
<file path=[Content_Types].xml><?xml version="1.0" encoding="utf-8"?>
<Types xmlns="http://schemas.openxmlformats.org/package/2006/content-types">
  <Default ContentType="application/vnd.openxmlformats-officedocument.spreadsheetml.printerSettings" Extension="bin"/>
  <Default ContentType="image/gif" Extension="gif"/>
  <Default ContentType="image/jpeg" Extension="jpeg"/>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ms-excel.controlproperties+xml" PartName="/xl/ctrlProps/ctrlProp1.xml"/>
  <Override ContentType="application/vnd.openxmlformats-officedocument.drawing+xml" PartName="/xl/drawings/drawing1.xml"/>
  <Override ContentType="application/vnd.openxmlformats-officedocument.drawing+xml" PartName="/xl/drawings/drawing2.xml"/>
  <Override ContentType="application/vnd.openxmlformats-officedocument.spreadsheetml.externalLink+xml" PartName="/xl/externalLinks/externalLink1.xml"/>
  <Override ContentType="application/vnd.openxmlformats-officedocument.spreadsheetml.externalLink+xml" PartName="/xl/externalLinks/externalLink10.xml"/>
  <Override ContentType="application/vnd.openxmlformats-officedocument.spreadsheetml.externalLink+xml" PartName="/xl/externalLinks/externalLink11.xml"/>
  <Override ContentType="application/vnd.openxmlformats-officedocument.spreadsheetml.externalLink+xml" PartName="/xl/externalLinks/externalLink12.xml"/>
  <Override ContentType="application/vnd.openxmlformats-officedocument.spreadsheetml.externalLink+xml" PartName="/xl/externalLinks/externalLink13.xml"/>
  <Override ContentType="application/vnd.openxmlformats-officedocument.spreadsheetml.externalLink+xml" PartName="/xl/externalLinks/externalLink14.xml"/>
  <Override ContentType="application/vnd.openxmlformats-officedocument.spreadsheetml.externalLink+xml" PartName="/xl/externalLinks/externalLink15.xml"/>
  <Override ContentType="application/vnd.openxmlformats-officedocument.spreadsheetml.externalLink+xml" PartName="/xl/externalLinks/externalLink16.xml"/>
  <Override ContentType="application/vnd.openxmlformats-officedocument.spreadsheetml.externalLink+xml" PartName="/xl/externalLinks/externalLink17.xml"/>
  <Override ContentType="application/vnd.openxmlformats-officedocument.spreadsheetml.externalLink+xml" PartName="/xl/externalLinks/externalLink18.xml"/>
  <Override ContentType="application/vnd.openxmlformats-officedocument.spreadsheetml.externalLink+xml" PartName="/xl/externalLinks/externalLink19.xml"/>
  <Override ContentType="application/vnd.openxmlformats-officedocument.spreadsheetml.externalLink+xml" PartName="/xl/externalLinks/externalLink2.xml"/>
  <Override ContentType="application/vnd.openxmlformats-officedocument.spreadsheetml.externalLink+xml" PartName="/xl/externalLinks/externalLink20.xml"/>
  <Override ContentType="application/vnd.openxmlformats-officedocument.spreadsheetml.externalLink+xml" PartName="/xl/externalLinks/externalLink21.xml"/>
  <Override ContentType="application/vnd.openxmlformats-officedocument.spreadsheetml.externalLink+xml" PartName="/xl/externalLinks/externalLink22.xml"/>
  <Override ContentType="application/vnd.openxmlformats-officedocument.spreadsheetml.externalLink+xml" PartName="/xl/externalLinks/externalLink23.xml"/>
  <Override ContentType="application/vnd.openxmlformats-officedocument.spreadsheetml.externalLink+xml" PartName="/xl/externalLinks/externalLink24.xml"/>
  <Override ContentType="application/vnd.openxmlformats-officedocument.spreadsheetml.externalLink+xml" PartName="/xl/externalLinks/externalLink25.xml"/>
  <Override ContentType="application/vnd.openxmlformats-officedocument.spreadsheetml.externalLink+xml" PartName="/xl/externalLinks/externalLink26.xml"/>
  <Override ContentType="application/vnd.openxmlformats-officedocument.spreadsheetml.externalLink+xml" PartName="/xl/externalLinks/externalLink27.xml"/>
  <Override ContentType="application/vnd.openxmlformats-officedocument.spreadsheetml.externalLink+xml" PartName="/xl/externalLinks/externalLink28.xml"/>
  <Override ContentType="application/vnd.openxmlformats-officedocument.spreadsheetml.externalLink+xml" PartName="/xl/externalLinks/externalLink29.xml"/>
  <Override ContentType="application/vnd.openxmlformats-officedocument.spreadsheetml.externalLink+xml" PartName="/xl/externalLinks/externalLink3.xml"/>
  <Override ContentType="application/vnd.openxmlformats-officedocument.spreadsheetml.externalLink+xml" PartName="/xl/externalLinks/externalLink30.xml"/>
  <Override ContentType="application/vnd.openxmlformats-officedocument.spreadsheetml.externalLink+xml" PartName="/xl/externalLinks/externalLink31.xml"/>
  <Override ContentType="application/vnd.openxmlformats-officedocument.spreadsheetml.externalLink+xml" PartName="/xl/externalLinks/externalLink32.xml"/>
  <Override ContentType="application/vnd.openxmlformats-officedocument.spreadsheetml.externalLink+xml" PartName="/xl/externalLinks/externalLink33.xml"/>
  <Override ContentType="application/vnd.openxmlformats-officedocument.spreadsheetml.externalLink+xml" PartName="/xl/externalLinks/externalLink34.xml"/>
  <Override ContentType="application/vnd.openxmlformats-officedocument.spreadsheetml.externalLink+xml" PartName="/xl/externalLinks/externalLink35.xml"/>
  <Override ContentType="application/vnd.openxmlformats-officedocument.spreadsheetml.externalLink+xml" PartName="/xl/externalLinks/externalLink36.xml"/>
  <Override ContentType="application/vnd.openxmlformats-officedocument.spreadsheetml.externalLink+xml" PartName="/xl/externalLinks/externalLink37.xml"/>
  <Override ContentType="application/vnd.openxmlformats-officedocument.spreadsheetml.externalLink+xml" PartName="/xl/externalLinks/externalLink38.xml"/>
  <Override ContentType="application/vnd.openxmlformats-officedocument.spreadsheetml.externalLink+xml" PartName="/xl/externalLinks/externalLink39.xml"/>
  <Override ContentType="application/vnd.openxmlformats-officedocument.spreadsheetml.externalLink+xml" PartName="/xl/externalLinks/externalLink4.xml"/>
  <Override ContentType="application/vnd.openxmlformats-officedocument.spreadsheetml.externalLink+xml" PartName="/xl/externalLinks/externalLink40.xml"/>
  <Override ContentType="application/vnd.openxmlformats-officedocument.spreadsheetml.externalLink+xml" PartName="/xl/externalLinks/externalLink41.xml"/>
  <Override ContentType="application/vnd.openxmlformats-officedocument.spreadsheetml.externalLink+xml" PartName="/xl/externalLinks/externalLink42.xml"/>
  <Override ContentType="application/vnd.openxmlformats-officedocument.spreadsheetml.externalLink+xml" PartName="/xl/externalLinks/externalLink43.xml"/>
  <Override ContentType="application/vnd.openxmlformats-officedocument.spreadsheetml.externalLink+xml" PartName="/xl/externalLinks/externalLink44.xml"/>
  <Override ContentType="application/vnd.openxmlformats-officedocument.spreadsheetml.externalLink+xml" PartName="/xl/externalLinks/externalLink45.xml"/>
  <Override ContentType="application/vnd.openxmlformats-officedocument.spreadsheetml.externalLink+xml" PartName="/xl/externalLinks/externalLink46.xml"/>
  <Override ContentType="application/vnd.openxmlformats-officedocument.spreadsheetml.externalLink+xml" PartName="/xl/externalLinks/externalLink47.xml"/>
  <Override ContentType="application/vnd.openxmlformats-officedocument.spreadsheetml.externalLink+xml" PartName="/xl/externalLinks/externalLink48.xml"/>
  <Override ContentType="application/vnd.openxmlformats-officedocument.spreadsheetml.externalLink+xml" PartName="/xl/externalLinks/externalLink49.xml"/>
  <Override ContentType="application/vnd.openxmlformats-officedocument.spreadsheetml.externalLink+xml" PartName="/xl/externalLinks/externalLink5.xml"/>
  <Override ContentType="application/vnd.openxmlformats-officedocument.spreadsheetml.externalLink+xml" PartName="/xl/externalLinks/externalLink50.xml"/>
  <Override ContentType="application/vnd.openxmlformats-officedocument.spreadsheetml.externalLink+xml" PartName="/xl/externalLinks/externalLink51.xml"/>
  <Override ContentType="application/vnd.openxmlformats-officedocument.spreadsheetml.externalLink+xml" PartName="/xl/externalLinks/externalLink52.xml"/>
  <Override ContentType="application/vnd.openxmlformats-officedocument.spreadsheetml.externalLink+xml" PartName="/xl/externalLinks/externalLink53.xml"/>
  <Override ContentType="application/vnd.openxmlformats-officedocument.spreadsheetml.externalLink+xml" PartName="/xl/externalLinks/externalLink54.xml"/>
  <Override ContentType="application/vnd.openxmlformats-officedocument.spreadsheetml.externalLink+xml" PartName="/xl/externalLinks/externalLink55.xml"/>
  <Override ContentType="application/vnd.openxmlformats-officedocument.spreadsheetml.externalLink+xml" PartName="/xl/externalLinks/externalLink56.xml"/>
  <Override ContentType="application/vnd.openxmlformats-officedocument.spreadsheetml.externalLink+xml" PartName="/xl/externalLinks/externalLink57.xml"/>
  <Override ContentType="application/vnd.openxmlformats-officedocument.spreadsheetml.externalLink+xml" PartName="/xl/externalLinks/externalLink58.xml"/>
  <Override ContentType="application/vnd.openxmlformats-officedocument.spreadsheetml.externalLink+xml" PartName="/xl/externalLinks/externalLink59.xml"/>
  <Override ContentType="application/vnd.openxmlformats-officedocument.spreadsheetml.externalLink+xml" PartName="/xl/externalLinks/externalLink6.xml"/>
  <Override ContentType="application/vnd.openxmlformats-officedocument.spreadsheetml.externalLink+xml" PartName="/xl/externalLinks/externalLink60.xml"/>
  <Override ContentType="application/vnd.openxmlformats-officedocument.spreadsheetml.externalLink+xml" PartName="/xl/externalLinks/externalLink61.xml"/>
  <Override ContentType="application/vnd.openxmlformats-officedocument.spreadsheetml.externalLink+xml" PartName="/xl/externalLinks/externalLink62.xml"/>
  <Override ContentType="application/vnd.openxmlformats-officedocument.spreadsheetml.externalLink+xml" PartName="/xl/externalLinks/externalLink63.xml"/>
  <Override ContentType="application/vnd.openxmlformats-officedocument.spreadsheetml.externalLink+xml" PartName="/xl/externalLinks/externalLink64.xml"/>
  <Override ContentType="application/vnd.openxmlformats-officedocument.spreadsheetml.externalLink+xml" PartName="/xl/externalLinks/externalLink65.xml"/>
  <Override ContentType="application/vnd.openxmlformats-officedocument.spreadsheetml.externalLink+xml" PartName="/xl/externalLinks/externalLink66.xml"/>
  <Override ContentType="application/vnd.openxmlformats-officedocument.spreadsheetml.externalLink+xml" PartName="/xl/externalLinks/externalLink67.xml"/>
  <Override ContentType="application/vnd.openxmlformats-officedocument.spreadsheetml.externalLink+xml" PartName="/xl/externalLinks/externalLink68.xml"/>
  <Override ContentType="application/vnd.openxmlformats-officedocument.spreadsheetml.externalLink+xml" PartName="/xl/externalLinks/externalLink69.xml"/>
  <Override ContentType="application/vnd.openxmlformats-officedocument.spreadsheetml.externalLink+xml" PartName="/xl/externalLinks/externalLink7.xml"/>
  <Override ContentType="application/vnd.openxmlformats-officedocument.spreadsheetml.externalLink+xml" PartName="/xl/externalLinks/externalLink70.xml"/>
  <Override ContentType="application/vnd.openxmlformats-officedocument.spreadsheetml.externalLink+xml" PartName="/xl/externalLinks/externalLink71.xml"/>
  <Override ContentType="application/vnd.openxmlformats-officedocument.spreadsheetml.externalLink+xml" PartName="/xl/externalLinks/externalLink72.xml"/>
  <Override ContentType="application/vnd.openxmlformats-officedocument.spreadsheetml.externalLink+xml" PartName="/xl/externalLinks/externalLink73.xml"/>
  <Override ContentType="application/vnd.openxmlformats-officedocument.spreadsheetml.externalLink+xml" PartName="/xl/externalLinks/externalLink74.xml"/>
  <Override ContentType="application/vnd.openxmlformats-officedocument.spreadsheetml.externalLink+xml" PartName="/xl/externalLinks/externalLink75.xml"/>
  <Override ContentType="application/vnd.openxmlformats-officedocument.spreadsheetml.externalLink+xml" PartName="/xl/externalLinks/externalLink8.xml"/>
  <Override ContentType="application/vnd.openxmlformats-officedocument.spreadsheetml.externalLink+xml" PartName="/xl/externalLinks/externalLink9.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fileVersion appName="xl" lastEdited="5" lowestEdited="5" rupBuild="9303"/>
  <workbookPr codeName="ThisWorkbook" defaultThemeVersion="124226"/>
  <bookViews>
    <workbookView xWindow="0" yWindow="-15" windowWidth="18750" windowHeight="7440" tabRatio="906"/>
  </bookViews>
  <sheets>
    <sheet name="ImportantDisclosures" sheetId="125" r:id="rId1"/>
    <sheet name="P&amp;L" sheetId="3" r:id="rId2"/>
    <sheet name="RevBuild" sheetId="51" r:id="rId3"/>
    <sheet name="CC_gro" sheetId="112" r:id="rId4"/>
    <sheet name="BalSht " sheetId="106" r:id="rId5"/>
    <sheet name="CashFlow" sheetId="107" r:id="rId6"/>
    <sheet name="Debt" sheetId="29" r:id="rId7"/>
    <sheet name="Pro Forma P&amp;L" sheetId="104" r:id="rId8"/>
    <sheet name="IndexInformation" sheetId="126" r:id="rId9"/>
    <sheet name="ModPubIndex" sheetId="127" r:id="rId10"/>
    <sheet name="__FDSCACHE__" sheetId="5" state="veryHidden" r:id="rId11"/>
    <sheet name="MW-Cache" sheetId="13" state="veryHidden" r:id="rId12"/>
    <sheet name="__APW_ACTIVE_FIELD_RESTORE__" sheetId="31" state="veryHidden" r:id="rId13"/>
  </sheets>
  <externalReferences>
    <externalReference r:id="rId14"/>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 r:id="rId60"/>
    <externalReference r:id="rId61"/>
    <externalReference r:id="rId62"/>
    <externalReference r:id="rId63"/>
    <externalReference r:id="rId64"/>
    <externalReference r:id="rId65"/>
    <externalReference r:id="rId66"/>
    <externalReference r:id="rId67"/>
    <externalReference r:id="rId68"/>
    <externalReference r:id="rId69"/>
    <externalReference r:id="rId70"/>
    <externalReference r:id="rId71"/>
    <externalReference r:id="rId72"/>
    <externalReference r:id="rId73"/>
    <externalReference r:id="rId74"/>
    <externalReference r:id="rId75"/>
    <externalReference r:id="rId76"/>
    <externalReference r:id="rId77"/>
    <externalReference r:id="rId78"/>
    <externalReference r:id="rId79"/>
    <externalReference r:id="rId80"/>
    <externalReference r:id="rId81"/>
    <externalReference r:id="rId82"/>
    <externalReference r:id="rId83"/>
    <externalReference r:id="rId84"/>
    <externalReference r:id="rId85"/>
    <externalReference r:id="rId86"/>
    <externalReference r:id="rId87"/>
    <externalReference r:id="rId88"/>
  </externalReferences>
  <definedNames>
    <definedName name="____a1" hidden="1">{"comp1",#N/A,FALSE,"COMPS";"footnotes",#N/A,FALSE,"COMPS"}</definedName>
    <definedName name="____aa1" hidden="1">{#N/A,#N/A,TRUE,"Pro Forma";#N/A,#N/A,TRUE,"PF_Bal";#N/A,#N/A,TRUE,"PF_INC";#N/A,#N/A,TRUE,"CBE";#N/A,#N/A,TRUE,"SWK"}</definedName>
    <definedName name="____ab1" hidden="1">{"comp1",#N/A,FALSE,"COMPS";"footnotes",#N/A,FALSE,"COMPS"}</definedName>
    <definedName name="____ae1" hidden="1">{#N/A,#N/A,FALSE,"Calc";#N/A,#N/A,FALSE,"Sensitivity";#N/A,#N/A,FALSE,"LT Earn.Dil.";#N/A,#N/A,FALSE,"Dil. AVP"}</definedName>
    <definedName name="____af1" hidden="1">"c1455"</definedName>
    <definedName name="____af10" hidden="1">"c2141"</definedName>
    <definedName name="____af11" hidden="1">"c1382"</definedName>
    <definedName name="____af12" hidden="1">"c1385"</definedName>
    <definedName name="____af13" hidden="1">"c1435"</definedName>
    <definedName name="____af14" hidden="1">"c1436"</definedName>
    <definedName name="____af15" hidden="1">"c1424"</definedName>
    <definedName name="____af16" hidden="1">"c1345"</definedName>
    <definedName name="____af18" hidden="1">"c1438"</definedName>
    <definedName name="____af19">{"Client Name or Project Name"}</definedName>
    <definedName name="____af2" hidden="1">"c1352"</definedName>
    <definedName name="____af20">{"Client Name or Project Name"}</definedName>
    <definedName name="____af21">{"Client Name or Project Name"}</definedName>
    <definedName name="____af22">{"Client Name or Project Name"}</definedName>
    <definedName name="____af23">{126}</definedName>
    <definedName name="____af24">{1}</definedName>
    <definedName name="____af25">{0}</definedName>
    <definedName name="____af26">{126}</definedName>
    <definedName name="____af27">{"Client Name or Project Name"}</definedName>
    <definedName name="____af28">{"Client Name or Project Name"}</definedName>
    <definedName name="____af3" hidden="1">"c1353"</definedName>
    <definedName name="____af30">{"Client Name or Project Name"}</definedName>
    <definedName name="____af31">{"Client Name or Project Name"}</definedName>
    <definedName name="____af32">{"Client Name or Project Name"}</definedName>
    <definedName name="____af33">{"Client Name or Project Name"}</definedName>
    <definedName name="____af34">{"Client Name or Project Name"}</definedName>
    <definedName name="____af35">{"Client Name or Project Name"}</definedName>
    <definedName name="____af36">{"Client Name or Project Name"}</definedName>
    <definedName name="____af37" hidden="1">{"Client is",#N/A,FALSE,"Client"}</definedName>
    <definedName name="____af38" hidden="1">{TRUE,TRUE,-1.25,-15.5,456.75,279.75,FALSE,FALSE,TRUE,TRUE,0,1,18,1,199,6,3,4,TRUE,TRUE,3,TRUE,1,TRUE,100,"Swvu.cash.","ACwvu.cash.",1,FALSE,FALSE,0.511811023622047,0.511811023622047,0.511811023622047,0.511811023622047,1,"","",FALSE,FALSE,FALSE,FALSE,1,#N/A,1,1,#DIV/0!,FALSE,"Rwvu.cash.",#N/A,FALSE,FALSE}</definedName>
    <definedName name="____af39" hidden="1">{TRUE,TRUE,-1.25,-15.5,456.75,279.75,FALSE,FALSE,TRUE,TRUE,0,1,21,1,127,6,3,4,TRUE,TRUE,3,TRUE,1,TRUE,100,"Swvu.profits.","ACwvu.profits.",1,FALSE,FALSE,0.511811023622047,0.511811023622047,0.511811023622047,0.511811023622047,1,"","",FALSE,FALSE,FALSE,FALSE,1,#N/A,1,1,#DIV/0!,FALSE,"Rwvu.profits.",#N/A,FALSE,FALSE}</definedName>
    <definedName name="____af4" hidden="1">"c1354"</definedName>
    <definedName name="____af40" hidden="1">{TRUE,TRUE,-1.25,-15.5,456.75,279.75,FALSE,FALSE,TRUE,TRUE,0,1,8,1,4,6,3,4,TRUE,TRUE,3,TRUE,1,TRUE,100,"Swvu.turnover.","ACwvu.turnover.",1,FALSE,FALSE,0.511811023622047,0.511811023622047,0.511811023622047,0.511811023622047,1,"","",FALSE,FALSE,FALSE,FALSE,1,#N/A,1,1,#DIV/0!,FALSE,"Rwvu.turnover.",#N/A,FALSE,FALSE}</definedName>
    <definedName name="____af5" hidden="1">"c1411"</definedName>
    <definedName name="____af6" hidden="1">"c1431"</definedName>
    <definedName name="____af7" hidden="1">"c1433"</definedName>
    <definedName name="____af8" hidden="1">"c1434"</definedName>
    <definedName name="____af9" hidden="1">"c1432"</definedName>
    <definedName name="____am1" hidden="1">{#N/A,#N/A,TRUE,"Pro Forma";#N/A,#N/A,TRUE,"PF_Bal";#N/A,#N/A,TRUE,"PF_INC";#N/A,#N/A,TRUE,"CBE";#N/A,#N/A,TRUE,"SWK"}</definedName>
    <definedName name="____as1" hidden="1">{"comp1",#N/A,FALSE,"COMPS";"footnotes",#N/A,FALSE,"COMPS"}</definedName>
    <definedName name="____ASM1">{9}</definedName>
    <definedName name="____ASM2">{9}</definedName>
    <definedName name="____f1" hidden="1">{"assumption cash",#N/A,TRUE,"Merger";"has gets cash",#N/A,TRUE,"Merger";"accretion dilution",#N/A,TRUE,"Merger";"comparison credit stats",#N/A,TRUE,"Merger";"pf credit stats",#N/A,TRUE,"Merger";"pf sheets",#N/A,TRUE,"Merger"}</definedName>
    <definedName name="____ik1" hidden="1">{"casespecific",#N/A,FALSE,"Assumptions"}</definedName>
    <definedName name="____P1">[1]Bio!$A$5:$S$293</definedName>
    <definedName name="____P2">[1]Bio!$A$5:$P$293</definedName>
    <definedName name="____ppp1">{"Client Name or Project Name"}</definedName>
    <definedName name="____rb10">{"Client Name or Project Name"}</definedName>
    <definedName name="____rb12">{9}</definedName>
    <definedName name="____rb13" hidden="1">{"'Breakup 01 Euro'!$A$3:$I$30"}</definedName>
    <definedName name="____rb15" hidden="1">"c1449"</definedName>
    <definedName name="____rb16" hidden="1">"c1343"</definedName>
    <definedName name="____rb17" hidden="1">"c1341"</definedName>
    <definedName name="____rb18" hidden="1">"c1340"</definedName>
    <definedName name="____rb19" hidden="1">"c1344"</definedName>
    <definedName name="____rb20" hidden="1">"c1342"</definedName>
    <definedName name="____rb21" hidden="1">"c1591"</definedName>
    <definedName name="____rb22" hidden="1">"c1346"</definedName>
    <definedName name="____rb23" hidden="1">"c2133"</definedName>
    <definedName name="____rb24" hidden="1">"c1349"</definedName>
    <definedName name="____rb25" hidden="1">"c1350"</definedName>
    <definedName name="____rb26" hidden="1">"c1458"</definedName>
    <definedName name="____rb27" hidden="1">"c116"</definedName>
    <definedName name="____rb28" hidden="1">"c1351"</definedName>
    <definedName name="____rb29" hidden="1">"c1355"</definedName>
    <definedName name="____rb30" hidden="1">"c1357"</definedName>
    <definedName name="____rb31" hidden="1">"c1358"</definedName>
    <definedName name="____rb32" hidden="1">"c1359"</definedName>
    <definedName name="____rb33" hidden="1">"c1362"</definedName>
    <definedName name="____rb34" hidden="1">"c1363"</definedName>
    <definedName name="____rb35" hidden="1">"c1364"</definedName>
    <definedName name="____rb36" hidden="1">"c1365"</definedName>
    <definedName name="____rb37" hidden="1">"c1447"</definedName>
    <definedName name="____rb38" hidden="1">"c1356"</definedName>
    <definedName name="____rb39" hidden="1">"c1360"</definedName>
    <definedName name="____rb40" hidden="1">"c1361"</definedName>
    <definedName name="____rb41" hidden="1">"c1520"</definedName>
    <definedName name="____rb42" hidden="1">"c1367"</definedName>
    <definedName name="____rb43" hidden="1">"c1366"</definedName>
    <definedName name="____rb44" hidden="1">"c1369"</definedName>
    <definedName name="____rb45" hidden="1">"c1370"</definedName>
    <definedName name="____rb46" hidden="1">"c1371"</definedName>
    <definedName name="____rb47" hidden="1">"c1348"</definedName>
    <definedName name="____rb48" hidden="1">"c1451"</definedName>
    <definedName name="____rb49" hidden="1">"c1390"</definedName>
    <definedName name="____rb5">{9}</definedName>
    <definedName name="____rb50" hidden="1">"c1428"</definedName>
    <definedName name="____rb51" hidden="1">"c1426"</definedName>
    <definedName name="____rb52" hidden="1">"c1427"</definedName>
    <definedName name="____rb53" hidden="1">"c1429"</definedName>
    <definedName name="____rb54" hidden="1">"c1897"</definedName>
    <definedName name="____rb55" hidden="1">"c1459"</definedName>
    <definedName name="____rb56" hidden="1">"c1405"</definedName>
    <definedName name="____rb57" hidden="1">"c1406"</definedName>
    <definedName name="____rb58" hidden="1">"c1376"</definedName>
    <definedName name="____rb59" hidden="1">"c1377"</definedName>
    <definedName name="____rb60" hidden="1">"c1380"</definedName>
    <definedName name="____rb61" hidden="1">"c1446"</definedName>
    <definedName name="____rb62" hidden="1">"c1378"</definedName>
    <definedName name="____rb63" hidden="1">"c1395"</definedName>
    <definedName name="____rb64" hidden="1">"c1396"</definedName>
    <definedName name="____rb65" hidden="1">"c1375"</definedName>
    <definedName name="____rb66" hidden="1">"c1407"</definedName>
    <definedName name="____rb67" hidden="1">"c1383"</definedName>
    <definedName name="____rb68" hidden="1">"c1393"</definedName>
    <definedName name="____rb69" hidden="1">"c1384"</definedName>
    <definedName name="____rb70" hidden="1">"c1391"</definedName>
    <definedName name="____rb71" hidden="1">"c1386"</definedName>
    <definedName name="____rb72" hidden="1">"c1387"</definedName>
    <definedName name="____rb73" hidden="1">"c1388"</definedName>
    <definedName name="____rb74" hidden="1">"c1389"</definedName>
    <definedName name="____rb75" hidden="1">"c1437"</definedName>
    <definedName name="____rb76" hidden="1">"c1394"</definedName>
    <definedName name="____rb77" hidden="1">"c1368"</definedName>
    <definedName name="____rb78" hidden="1">"c1397"</definedName>
    <definedName name="____rb79" hidden="1">"c1398"</definedName>
    <definedName name="____rb8">{9}</definedName>
    <definedName name="____rb9">{9}</definedName>
    <definedName name="____rt1" hidden="1">"c1392"</definedName>
    <definedName name="____rt10" hidden="1">"c1409"</definedName>
    <definedName name="____rt11" hidden="1">"c1453"</definedName>
    <definedName name="____rt12" hidden="1">"c1410"</definedName>
    <definedName name="____rt14" hidden="1">"c2128"</definedName>
    <definedName name="____rt15" hidden="1">"c1457"</definedName>
    <definedName name="____rt16" hidden="1">"c1414"</definedName>
    <definedName name="____rt17" hidden="1">"c1416"</definedName>
    <definedName name="____rt18" hidden="1">"c1415"</definedName>
    <definedName name="____rt19" hidden="1">"c1418"</definedName>
    <definedName name="____rt2" hidden="1">"c1399"</definedName>
    <definedName name="____rt20" hidden="1">"c1412"</definedName>
    <definedName name="____rt21" hidden="1">"c1413"</definedName>
    <definedName name="____rt22" hidden="1">"c1452"</definedName>
    <definedName name="____rt24" hidden="1">"c1379"</definedName>
    <definedName name="____rt25" hidden="1">"c1402"</definedName>
    <definedName name="____rt26" hidden="1">"c1417"</definedName>
    <definedName name="____rt27" hidden="1">"c1419"</definedName>
    <definedName name="____rt28" hidden="1">"c1420"</definedName>
    <definedName name="____rt29" hidden="1">"c1421"</definedName>
    <definedName name="____rt3" hidden="1">"c1400"</definedName>
    <definedName name="____rt30" hidden="1">"c1422"</definedName>
    <definedName name="____rt31" hidden="1">"c1347"</definedName>
    <definedName name="____rt32" hidden="1">"c1425"</definedName>
    <definedName name="____rt4" hidden="1">"c1401"</definedName>
    <definedName name="____rt5" hidden="1">"c1423"</definedName>
    <definedName name="____rt6" hidden="1">"c1448"</definedName>
    <definedName name="____rt7" hidden="1">"c1403"</definedName>
    <definedName name="____rt8" hidden="1">"c1404"</definedName>
    <definedName name="____rt9" hidden="1">"c1408"</definedName>
    <definedName name="____t1" hidden="1">{"Client is",#N/A,FALSE,"Client"}</definedName>
    <definedName name="___a1" hidden="1">{"comp1",#N/A,FALSE,"COMPS";"footnotes",#N/A,FALSE,"COMPS"}</definedName>
    <definedName name="___aa1" hidden="1">{#N/A,#N/A,TRUE,"Pro Forma";#N/A,#N/A,TRUE,"PF_Bal";#N/A,#N/A,TRUE,"PF_INC";#N/A,#N/A,TRUE,"CBE";#N/A,#N/A,TRUE,"SWK"}</definedName>
    <definedName name="___ab1" hidden="1">{"comp1",#N/A,FALSE,"COMPS";"footnotes",#N/A,FALSE,"COMPS"}</definedName>
    <definedName name="___ae1" hidden="1">{#N/A,#N/A,FALSE,"Calc";#N/A,#N/A,FALSE,"Sensitivity";#N/A,#N/A,FALSE,"LT Earn.Dil.";#N/A,#N/A,FALSE,"Dil. AVP"}</definedName>
    <definedName name="___af1" hidden="1">"c1455"</definedName>
    <definedName name="___af10" hidden="1">"c2141"</definedName>
    <definedName name="___af11" hidden="1">"c1382"</definedName>
    <definedName name="___af12" hidden="1">"c1385"</definedName>
    <definedName name="___af13" hidden="1">"c1435"</definedName>
    <definedName name="___af14" hidden="1">"c1436"</definedName>
    <definedName name="___af15" hidden="1">"c1424"</definedName>
    <definedName name="___af16" hidden="1">"c1345"</definedName>
    <definedName name="___af18" hidden="1">"c1438"</definedName>
    <definedName name="___af19">{"Client Name or Project Name"}</definedName>
    <definedName name="___af2" hidden="1">"c1352"</definedName>
    <definedName name="___af20">{"Client Name or Project Name"}</definedName>
    <definedName name="___af21">{"Client Name or Project Name"}</definedName>
    <definedName name="___af22">{"Client Name or Project Name"}</definedName>
    <definedName name="___af23">{126}</definedName>
    <definedName name="___af24">{1}</definedName>
    <definedName name="___af25">{0}</definedName>
    <definedName name="___af26">{126}</definedName>
    <definedName name="___af27">{"Client Name or Project Name"}</definedName>
    <definedName name="___af28">{"Client Name or Project Name"}</definedName>
    <definedName name="___af3" hidden="1">"c1353"</definedName>
    <definedName name="___af30">{"Client Name or Project Name"}</definedName>
    <definedName name="___af31">{"Client Name or Project Name"}</definedName>
    <definedName name="___af32">{"Client Name or Project Name"}</definedName>
    <definedName name="___af33">{"Client Name or Project Name"}</definedName>
    <definedName name="___af34">{"Client Name or Project Name"}</definedName>
    <definedName name="___af35">{"Client Name or Project Name"}</definedName>
    <definedName name="___af36">{"Client Name or Project Name"}</definedName>
    <definedName name="___af37" hidden="1">{"Client is",#N/A,FALSE,"Client"}</definedName>
    <definedName name="___af38" hidden="1">{TRUE,TRUE,-1.25,-15.5,456.75,279.75,FALSE,FALSE,TRUE,TRUE,0,1,18,1,199,6,3,4,TRUE,TRUE,3,TRUE,1,TRUE,100,"Swvu.cash.","ACwvu.cash.",1,FALSE,FALSE,0.511811023622047,0.511811023622047,0.511811023622047,0.511811023622047,1,"","",FALSE,FALSE,FALSE,FALSE,1,#N/A,1,1,#DIV/0!,FALSE,"Rwvu.cash.",#N/A,FALSE,FALSE}</definedName>
    <definedName name="___af39" hidden="1">{TRUE,TRUE,-1.25,-15.5,456.75,279.75,FALSE,FALSE,TRUE,TRUE,0,1,21,1,127,6,3,4,TRUE,TRUE,3,TRUE,1,TRUE,100,"Swvu.profits.","ACwvu.profits.",1,FALSE,FALSE,0.511811023622047,0.511811023622047,0.511811023622047,0.511811023622047,1,"","",FALSE,FALSE,FALSE,FALSE,1,#N/A,1,1,#DIV/0!,FALSE,"Rwvu.profits.",#N/A,FALSE,FALSE}</definedName>
    <definedName name="___af4" hidden="1">"c1354"</definedName>
    <definedName name="___af40" hidden="1">{TRUE,TRUE,-1.25,-15.5,456.75,279.75,FALSE,FALSE,TRUE,TRUE,0,1,8,1,4,6,3,4,TRUE,TRUE,3,TRUE,1,TRUE,100,"Swvu.turnover.","ACwvu.turnover.",1,FALSE,FALSE,0.511811023622047,0.511811023622047,0.511811023622047,0.511811023622047,1,"","",FALSE,FALSE,FALSE,FALSE,1,#N/A,1,1,#DIV/0!,FALSE,"Rwvu.turnover.",#N/A,FALSE,FALSE}</definedName>
    <definedName name="___af5" hidden="1">"c1411"</definedName>
    <definedName name="___af6" hidden="1">"c1431"</definedName>
    <definedName name="___af7" hidden="1">"c1433"</definedName>
    <definedName name="___af8" hidden="1">"c1434"</definedName>
    <definedName name="___af9" hidden="1">"c1432"</definedName>
    <definedName name="___am1" hidden="1">{#N/A,#N/A,TRUE,"Pro Forma";#N/A,#N/A,TRUE,"PF_Bal";#N/A,#N/A,TRUE,"PF_INC";#N/A,#N/A,TRUE,"CBE";#N/A,#N/A,TRUE,"SWK"}</definedName>
    <definedName name="___as1" hidden="1">{"comp1",#N/A,FALSE,"COMPS";"footnotes",#N/A,FALSE,"COMPS"}</definedName>
    <definedName name="___ASM1">{9}</definedName>
    <definedName name="___ASM2">{9}</definedName>
    <definedName name="___f1" hidden="1">{"assumption cash",#N/A,TRUE,"Merger";"has gets cash",#N/A,TRUE,"Merger";"accretion dilution",#N/A,TRUE,"Merger";"comparison credit stats",#N/A,TRUE,"Merger";"pf credit stats",#N/A,TRUE,"Merger";"pf sheets",#N/A,TRUE,"Merger"}</definedName>
    <definedName name="___ik1" hidden="1">{"casespecific",#N/A,FALSE,"Assumptions"}</definedName>
    <definedName name="___P1">[1]Bio!$A$5:$S$293</definedName>
    <definedName name="___P2">[1]Bio!$A$5:$P$293</definedName>
    <definedName name="___ppp1">{"Client Name or Project Name"}</definedName>
    <definedName name="___rb10">{"Client Name or Project Name"}</definedName>
    <definedName name="___rb12">{9}</definedName>
    <definedName name="___rb13" hidden="1">{"'Breakup 01 Euro'!$A$3:$I$30"}</definedName>
    <definedName name="___rb15" hidden="1">"c1449"</definedName>
    <definedName name="___rb16" hidden="1">"c1343"</definedName>
    <definedName name="___rb17" hidden="1">"c1341"</definedName>
    <definedName name="___rb18" hidden="1">"c1340"</definedName>
    <definedName name="___rb19" hidden="1">"c1344"</definedName>
    <definedName name="___rb20" hidden="1">"c1342"</definedName>
    <definedName name="___rb21" hidden="1">"c1591"</definedName>
    <definedName name="___rb22" hidden="1">"c1346"</definedName>
    <definedName name="___rb23" hidden="1">"c2133"</definedName>
    <definedName name="___rb24" hidden="1">"c1349"</definedName>
    <definedName name="___rb25" hidden="1">"c1350"</definedName>
    <definedName name="___rb26" hidden="1">"c1458"</definedName>
    <definedName name="___rb27" hidden="1">"c116"</definedName>
    <definedName name="___rb28" hidden="1">"c1351"</definedName>
    <definedName name="___rb29" hidden="1">"c1355"</definedName>
    <definedName name="___rb30" hidden="1">"c1357"</definedName>
    <definedName name="___rb31" hidden="1">"c1358"</definedName>
    <definedName name="___rb32" hidden="1">"c1359"</definedName>
    <definedName name="___rb33" hidden="1">"c1362"</definedName>
    <definedName name="___rb34" hidden="1">"c1363"</definedName>
    <definedName name="___rb35" hidden="1">"c1364"</definedName>
    <definedName name="___rb36" hidden="1">"c1365"</definedName>
    <definedName name="___rb37" hidden="1">"c1447"</definedName>
    <definedName name="___rb38" hidden="1">"c1356"</definedName>
    <definedName name="___rb39" hidden="1">"c1360"</definedName>
    <definedName name="___rb40" hidden="1">"c1361"</definedName>
    <definedName name="___rb41" hidden="1">"c1520"</definedName>
    <definedName name="___rb42" hidden="1">"c1367"</definedName>
    <definedName name="___rb43" hidden="1">"c1366"</definedName>
    <definedName name="___rb44" hidden="1">"c1369"</definedName>
    <definedName name="___rb45" hidden="1">"c1370"</definedName>
    <definedName name="___rb46" hidden="1">"c1371"</definedName>
    <definedName name="___rb47" hidden="1">"c1348"</definedName>
    <definedName name="___rb48" hidden="1">"c1451"</definedName>
    <definedName name="___rb49" hidden="1">"c1390"</definedName>
    <definedName name="___rb5">{9}</definedName>
    <definedName name="___rb50" hidden="1">"c1428"</definedName>
    <definedName name="___rb51" hidden="1">"c1426"</definedName>
    <definedName name="___rb52" hidden="1">"c1427"</definedName>
    <definedName name="___rb53" hidden="1">"c1429"</definedName>
    <definedName name="___rb54" hidden="1">"c1897"</definedName>
    <definedName name="___rb55" hidden="1">"c1459"</definedName>
    <definedName name="___rb56" hidden="1">"c1405"</definedName>
    <definedName name="___rb57" hidden="1">"c1406"</definedName>
    <definedName name="___rb58" hidden="1">"c1376"</definedName>
    <definedName name="___rb59" hidden="1">"c1377"</definedName>
    <definedName name="___rb60" hidden="1">"c1380"</definedName>
    <definedName name="___rb61" hidden="1">"c1446"</definedName>
    <definedName name="___rb62" hidden="1">"c1378"</definedName>
    <definedName name="___rb63" hidden="1">"c1395"</definedName>
    <definedName name="___rb64" hidden="1">"c1396"</definedName>
    <definedName name="___rb65" hidden="1">"c1375"</definedName>
    <definedName name="___rb66" hidden="1">"c1407"</definedName>
    <definedName name="___rb67" hidden="1">"c1383"</definedName>
    <definedName name="___rb68" hidden="1">"c1393"</definedName>
    <definedName name="___rb69" hidden="1">"c1384"</definedName>
    <definedName name="___rb70" hidden="1">"c1391"</definedName>
    <definedName name="___rb71" hidden="1">"c1386"</definedName>
    <definedName name="___rb72" hidden="1">"c1387"</definedName>
    <definedName name="___rb73" hidden="1">"c1388"</definedName>
    <definedName name="___rb74" hidden="1">"c1389"</definedName>
    <definedName name="___rb75" hidden="1">"c1437"</definedName>
    <definedName name="___rb76" hidden="1">"c1394"</definedName>
    <definedName name="___rb77" hidden="1">"c1368"</definedName>
    <definedName name="___rb78" hidden="1">"c1397"</definedName>
    <definedName name="___rb79" hidden="1">"c1398"</definedName>
    <definedName name="___rb8">{9}</definedName>
    <definedName name="___rb9">{9}</definedName>
    <definedName name="___rt1" hidden="1">"c1392"</definedName>
    <definedName name="___rt10" hidden="1">"c1409"</definedName>
    <definedName name="___rt11" hidden="1">"c1453"</definedName>
    <definedName name="___rt12" hidden="1">"c1410"</definedName>
    <definedName name="___rt14" hidden="1">"c2128"</definedName>
    <definedName name="___rt15" hidden="1">"c1457"</definedName>
    <definedName name="___rt16" hidden="1">"c1414"</definedName>
    <definedName name="___rt17" hidden="1">"c1416"</definedName>
    <definedName name="___rt18" hidden="1">"c1415"</definedName>
    <definedName name="___rt19" hidden="1">"c1418"</definedName>
    <definedName name="___rt2" hidden="1">"c1399"</definedName>
    <definedName name="___rt20" hidden="1">"c1412"</definedName>
    <definedName name="___rt21" hidden="1">"c1413"</definedName>
    <definedName name="___rt22" hidden="1">"c1452"</definedName>
    <definedName name="___rt24" hidden="1">"c1379"</definedName>
    <definedName name="___rt25" hidden="1">"c1402"</definedName>
    <definedName name="___rt26" hidden="1">"c1417"</definedName>
    <definedName name="___rt27" hidden="1">"c1419"</definedName>
    <definedName name="___rt28" hidden="1">"c1420"</definedName>
    <definedName name="___rt29" hidden="1">"c1421"</definedName>
    <definedName name="___rt3" hidden="1">"c1400"</definedName>
    <definedName name="___rt30" hidden="1">"c1422"</definedName>
    <definedName name="___rt31" hidden="1">"c1347"</definedName>
    <definedName name="___rt32" hidden="1">"c1425"</definedName>
    <definedName name="___rt4" hidden="1">"c1401"</definedName>
    <definedName name="___rt5" hidden="1">"c1423"</definedName>
    <definedName name="___rt6" hidden="1">"c1448"</definedName>
    <definedName name="___rt7" hidden="1">"c1403"</definedName>
    <definedName name="___rt8" hidden="1">"c1404"</definedName>
    <definedName name="___rt9" hidden="1">"c1408"</definedName>
    <definedName name="___t1" hidden="1">{"Client is",#N/A,FALSE,"Client"}</definedName>
    <definedName name="__a1" hidden="1">{"comp1",#N/A,FALSE,"COMPS";"footnotes",#N/A,FALSE,"COMPS"}</definedName>
    <definedName name="__aa1" hidden="1">{#N/A,#N/A,TRUE,"Pro Forma";#N/A,#N/A,TRUE,"PF_Bal";#N/A,#N/A,TRUE,"PF_INC";#N/A,#N/A,TRUE,"CBE";#N/A,#N/A,TRUE,"SWK"}</definedName>
    <definedName name="__ab1" hidden="1">{"comp1",#N/A,FALSE,"COMPS";"footnotes",#N/A,FALSE,"COMPS"}</definedName>
    <definedName name="__ae1" hidden="1">{#N/A,#N/A,FALSE,"Calc";#N/A,#N/A,FALSE,"Sensitivity";#N/A,#N/A,FALSE,"LT Earn.Dil.";#N/A,#N/A,FALSE,"Dil. AVP"}</definedName>
    <definedName name="__af1" hidden="1">"c1455"</definedName>
    <definedName name="__af10" hidden="1">"c2141"</definedName>
    <definedName name="__af11" hidden="1">"c1382"</definedName>
    <definedName name="__af12" hidden="1">"c1385"</definedName>
    <definedName name="__af13" hidden="1">"c1435"</definedName>
    <definedName name="__af14" hidden="1">"c1436"</definedName>
    <definedName name="__af15" hidden="1">"c1424"</definedName>
    <definedName name="__af16" hidden="1">"c1345"</definedName>
    <definedName name="__af18" hidden="1">"c1438"</definedName>
    <definedName name="__af19">{"Client Name or Project Name"}</definedName>
    <definedName name="__af2" hidden="1">"c1352"</definedName>
    <definedName name="__af20">{"Client Name or Project Name"}</definedName>
    <definedName name="__af21">{"Client Name or Project Name"}</definedName>
    <definedName name="__af22">{"Client Name or Project Name"}</definedName>
    <definedName name="__af23">{126}</definedName>
    <definedName name="__af24">{1}</definedName>
    <definedName name="__af25">{0}</definedName>
    <definedName name="__af26">{126}</definedName>
    <definedName name="__af27">{"Client Name or Project Name"}</definedName>
    <definedName name="__af28">{"Client Name or Project Name"}</definedName>
    <definedName name="__af3" hidden="1">"c1353"</definedName>
    <definedName name="__af30">{"Client Name or Project Name"}</definedName>
    <definedName name="__af31">{"Client Name or Project Name"}</definedName>
    <definedName name="__af32">{"Client Name or Project Name"}</definedName>
    <definedName name="__af33">{"Client Name or Project Name"}</definedName>
    <definedName name="__af34">{"Client Name or Project Name"}</definedName>
    <definedName name="__af35">{"Client Name or Project Name"}</definedName>
    <definedName name="__af36">{"Client Name or Project Name"}</definedName>
    <definedName name="__af37" hidden="1">{"Client is",#N/A,FALSE,"Client"}</definedName>
    <definedName name="__af38" hidden="1">{TRUE,TRUE,-1.25,-15.5,456.75,279.75,FALSE,FALSE,TRUE,TRUE,0,1,18,1,199,6,3,4,TRUE,TRUE,3,TRUE,1,TRUE,100,"Swvu.cash.","ACwvu.cash.",1,FALSE,FALSE,0.511811023622047,0.511811023622047,0.511811023622047,0.511811023622047,1,"","",FALSE,FALSE,FALSE,FALSE,1,#N/A,1,1,#DIV/0!,FALSE,"Rwvu.cash.",#N/A,FALSE,FALSE}</definedName>
    <definedName name="__af39" hidden="1">{TRUE,TRUE,-1.25,-15.5,456.75,279.75,FALSE,FALSE,TRUE,TRUE,0,1,21,1,127,6,3,4,TRUE,TRUE,3,TRUE,1,TRUE,100,"Swvu.profits.","ACwvu.profits.",1,FALSE,FALSE,0.511811023622047,0.511811023622047,0.511811023622047,0.511811023622047,1,"","",FALSE,FALSE,FALSE,FALSE,1,#N/A,1,1,#DIV/0!,FALSE,"Rwvu.profits.",#N/A,FALSE,FALSE}</definedName>
    <definedName name="__af4" hidden="1">"c1354"</definedName>
    <definedName name="__af40" hidden="1">{TRUE,TRUE,-1.25,-15.5,456.75,279.75,FALSE,FALSE,TRUE,TRUE,0,1,8,1,4,6,3,4,TRUE,TRUE,3,TRUE,1,TRUE,100,"Swvu.turnover.","ACwvu.turnover.",1,FALSE,FALSE,0.511811023622047,0.511811023622047,0.511811023622047,0.511811023622047,1,"","",FALSE,FALSE,FALSE,FALSE,1,#N/A,1,1,#DIV/0!,FALSE,"Rwvu.turnover.",#N/A,FALSE,FALSE}</definedName>
    <definedName name="__af5" hidden="1">"c1411"</definedName>
    <definedName name="__af6" hidden="1">"c1431"</definedName>
    <definedName name="__af7" hidden="1">"c1433"</definedName>
    <definedName name="__af8" hidden="1">"c1434"</definedName>
    <definedName name="__af9" hidden="1">"c1432"</definedName>
    <definedName name="__am1" hidden="1">{#N/A,#N/A,TRUE,"Pro Forma";#N/A,#N/A,TRUE,"PF_Bal";#N/A,#N/A,TRUE,"PF_INC";#N/A,#N/A,TRUE,"CBE";#N/A,#N/A,TRUE,"SWK"}</definedName>
    <definedName name="__as1" hidden="1">{"comp1",#N/A,FALSE,"COMPS";"footnotes",#N/A,FALSE,"COMPS"}</definedName>
    <definedName name="__ASM1">{9}</definedName>
    <definedName name="__ASM2">{9}</definedName>
    <definedName name="__f1" hidden="1">{"assumption cash",#N/A,TRUE,"Merger";"has gets cash",#N/A,TRUE,"Merger";"accretion dilution",#N/A,TRUE,"Merger";"comparison credit stats",#N/A,TRUE,"Merger";"pf credit stats",#N/A,TRUE,"Merger";"pf sheets",#N/A,TRUE,"Merger"}</definedName>
    <definedName name="__FDS_HYPERLINK_TOGGLE_STATE__" hidden="1">"ON"</definedName>
    <definedName name="__FDS_UNIQUE_RANGE_ID_GENERATOR_COUNTER" hidden="1">50</definedName>
    <definedName name="__FDS_USED_FOR_REUSING_RANGE_IDS_RECYCLE" localSheetId="6">{1,1}</definedName>
    <definedName name="__ik1" hidden="1">{"casespecific",#N/A,FALSE,"Assumptions"}</definedName>
    <definedName name="__P1">[1]Bio!$A$5:$S$293</definedName>
    <definedName name="__P2">[1]Bio!$A$5:$P$293</definedName>
    <definedName name="__ppp1">{"Client Name or Project Name"}</definedName>
    <definedName name="__rb10">{"Client Name or Project Name"}</definedName>
    <definedName name="__rb12">{9}</definedName>
    <definedName name="__rb13" hidden="1">{"'Breakup 01 Euro'!$A$3:$I$30"}</definedName>
    <definedName name="__rb15" hidden="1">"c1449"</definedName>
    <definedName name="__rb16" hidden="1">"c1343"</definedName>
    <definedName name="__rb17" hidden="1">"c1341"</definedName>
    <definedName name="__rb18" hidden="1">"c1340"</definedName>
    <definedName name="__rb19" hidden="1">"c1344"</definedName>
    <definedName name="__rb20" hidden="1">"c1342"</definedName>
    <definedName name="__rb21" hidden="1">"c1591"</definedName>
    <definedName name="__rb22" hidden="1">"c1346"</definedName>
    <definedName name="__rb23" hidden="1">"c2133"</definedName>
    <definedName name="__rb24" hidden="1">"c1349"</definedName>
    <definedName name="__rb25" hidden="1">"c1350"</definedName>
    <definedName name="__rb26" hidden="1">"c1458"</definedName>
    <definedName name="__rb27" hidden="1">"c116"</definedName>
    <definedName name="__rb28" hidden="1">"c1351"</definedName>
    <definedName name="__rb29" hidden="1">"c1355"</definedName>
    <definedName name="__rb30" hidden="1">"c1357"</definedName>
    <definedName name="__rb31" hidden="1">"c1358"</definedName>
    <definedName name="__rb32" hidden="1">"c1359"</definedName>
    <definedName name="__rb33" hidden="1">"c1362"</definedName>
    <definedName name="__rb34" hidden="1">"c1363"</definedName>
    <definedName name="__rb35" hidden="1">"c1364"</definedName>
    <definedName name="__rb36" hidden="1">"c1365"</definedName>
    <definedName name="__rb37" hidden="1">"c1447"</definedName>
    <definedName name="__rb38" hidden="1">"c1356"</definedName>
    <definedName name="__rb39" hidden="1">"c1360"</definedName>
    <definedName name="__rb40" hidden="1">"c1361"</definedName>
    <definedName name="__rb41" hidden="1">"c1520"</definedName>
    <definedName name="__rb42" hidden="1">"c1367"</definedName>
    <definedName name="__rb43" hidden="1">"c1366"</definedName>
    <definedName name="__rb44" hidden="1">"c1369"</definedName>
    <definedName name="__rb45" hidden="1">"c1370"</definedName>
    <definedName name="__rb46" hidden="1">"c1371"</definedName>
    <definedName name="__rb47" hidden="1">"c1348"</definedName>
    <definedName name="__rb48" hidden="1">"c1451"</definedName>
    <definedName name="__rb49" hidden="1">"c1390"</definedName>
    <definedName name="__rb5">{9}</definedName>
    <definedName name="__rb50" hidden="1">"c1428"</definedName>
    <definedName name="__rb51" hidden="1">"c1426"</definedName>
    <definedName name="__rb52" hidden="1">"c1427"</definedName>
    <definedName name="__rb53" hidden="1">"c1429"</definedName>
    <definedName name="__rb54" hidden="1">"c1897"</definedName>
    <definedName name="__rb55" hidden="1">"c1459"</definedName>
    <definedName name="__rb56" hidden="1">"c1405"</definedName>
    <definedName name="__rb57" hidden="1">"c1406"</definedName>
    <definedName name="__rb58" hidden="1">"c1376"</definedName>
    <definedName name="__rb59" hidden="1">"c1377"</definedName>
    <definedName name="__rb60" hidden="1">"c1380"</definedName>
    <definedName name="__rb61" hidden="1">"c1446"</definedName>
    <definedName name="__rb62" hidden="1">"c1378"</definedName>
    <definedName name="__rb63" hidden="1">"c1395"</definedName>
    <definedName name="__rb64" hidden="1">"c1396"</definedName>
    <definedName name="__rb65" hidden="1">"c1375"</definedName>
    <definedName name="__rb66" hidden="1">"c1407"</definedName>
    <definedName name="__rb67" hidden="1">"c1383"</definedName>
    <definedName name="__rb68" hidden="1">"c1393"</definedName>
    <definedName name="__rb69" hidden="1">"c1384"</definedName>
    <definedName name="__rb70" hidden="1">"c1391"</definedName>
    <definedName name="__rb71" hidden="1">"c1386"</definedName>
    <definedName name="__rb72" hidden="1">"c1387"</definedName>
    <definedName name="__rb73" hidden="1">"c1388"</definedName>
    <definedName name="__rb74" hidden="1">"c1389"</definedName>
    <definedName name="__rb75" hidden="1">"c1437"</definedName>
    <definedName name="__rb76" hidden="1">"c1394"</definedName>
    <definedName name="__rb77" hidden="1">"c1368"</definedName>
    <definedName name="__rb78" hidden="1">"c1397"</definedName>
    <definedName name="__rb79" hidden="1">"c1398"</definedName>
    <definedName name="__rb8">{9}</definedName>
    <definedName name="__rb9">{9}</definedName>
    <definedName name="__rt1" hidden="1">"c1392"</definedName>
    <definedName name="__rt10" hidden="1">"c1409"</definedName>
    <definedName name="__rt11" hidden="1">"c1453"</definedName>
    <definedName name="__rt12" hidden="1">"c1410"</definedName>
    <definedName name="__rt14" hidden="1">"c2128"</definedName>
    <definedName name="__rt15" hidden="1">"c1457"</definedName>
    <definedName name="__rt16" hidden="1">"c1414"</definedName>
    <definedName name="__rt17" hidden="1">"c1416"</definedName>
    <definedName name="__rt18" hidden="1">"c1415"</definedName>
    <definedName name="__rt19" hidden="1">"c1418"</definedName>
    <definedName name="__rt2" hidden="1">"c1399"</definedName>
    <definedName name="__rt20" hidden="1">"c1412"</definedName>
    <definedName name="__rt21" hidden="1">"c1413"</definedName>
    <definedName name="__rt22" hidden="1">"c1452"</definedName>
    <definedName name="__rt24" hidden="1">"c1379"</definedName>
    <definedName name="__rt25" hidden="1">"c1402"</definedName>
    <definedName name="__rt26" hidden="1">"c1417"</definedName>
    <definedName name="__rt27" hidden="1">"c1419"</definedName>
    <definedName name="__rt28" hidden="1">"c1420"</definedName>
    <definedName name="__rt29" hidden="1">"c1421"</definedName>
    <definedName name="__rt3" hidden="1">"c1400"</definedName>
    <definedName name="__rt30" hidden="1">"c1422"</definedName>
    <definedName name="__rt31" hidden="1">"c1347"</definedName>
    <definedName name="__rt32" hidden="1">"c1425"</definedName>
    <definedName name="__rt4" hidden="1">"c1401"</definedName>
    <definedName name="__rt5" hidden="1">"c1423"</definedName>
    <definedName name="__rt6" hidden="1">"c1448"</definedName>
    <definedName name="__rt7" hidden="1">"c1403"</definedName>
    <definedName name="__rt8" hidden="1">"c1404"</definedName>
    <definedName name="__rt9" hidden="1">"c1408"</definedName>
    <definedName name="__t1" hidden="1">{"Client is",#N/A,FALSE,"Client"}</definedName>
    <definedName name="_1__FDSAUDITLINK__" hidden="1">{"fdsup://directions/FAT Viewer?action=UPDATE&amp;creator=factset&amp;DYN_ARGS=TRUE&amp;DOC_NAME=FAT:FQL_AUDITING_CLIENT_TEMPLATE.FAT&amp;display_string=Audit&amp;VAR:KEY=HIXULSXUDA&amp;VAR:QUERY=KChGRl9ERUJUKFFUUiwwKS1GRl9DQVNIX1NUKFFUUiwwKSlAKEZGX0RFQlQoUVRSLC0xRlEpLUZGX0NBU0hfU","1QoUVRSLC0xRlEpKSk=&amp;WINDOW=FIRST_POPUP&amp;HEIGHT=450&amp;WIDTH=450&amp;START_MAXIMIZED=FALSE&amp;VAR:CALENDAR=US&amp;VAR:SYMBOL=HOLX&amp;VAR:INDEX=0"}</definedName>
    <definedName name="_1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0.758904&amp;VAR:V=12.259458&amp;VAR:V0=13.603223&amp;VAR:V1=11.886435&amp;VAR:Y0=2010&amp;VAR:Y1=2011&amp;VAR:P=1137.033723&amp;VAR:DATE=20101004&amp;VAR:THRESH=||||","||"}</definedName>
    <definedName name="_10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0.008219&amp;VAR:V=14.851090&amp;VAR:V0=14.863323&amp;VAR:V1=13.509517&amp;VAR:Y0=2007&amp;VAR:Y1=2008&amp;VAR:P=1416.602000&amp;VAR:DATE=20070103&amp;VAR:THRESH=||||","||"}</definedName>
    <definedName name="_10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0.926027&amp;VAR:V=14.871505&amp;VAR:V0=16.140548&amp;VAR:V1=14.778686&amp;VAR:Y0=2006&amp;VAR:Y1=2007&amp;VAR:P=1409.118800&amp;VAR:DATE=20061204&amp;VAR:THRESH=||||","||"}</definedName>
    <definedName name="_10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0.926027&amp;VAR:V=14.871505&amp;VAR:V0=16.140548&amp;VAR:V1=14.778686&amp;VAR:Y0=2006&amp;VAR:Y1=2007&amp;VAR:P=1409.118800&amp;VAR:DATE=20061204&amp;VAR:THRESH=||||","||"}</definedName>
    <definedName name="_10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0.841096&amp;VAR:V=14.474054&amp;VAR:V0=15.621969&amp;VAR:V1=14.275871&amp;VAR:Y0=2006&amp;VAR:Y1=2007&amp;VAR:P=1364.296900&amp;VAR:DATE=20061103&amp;VAR:THRESH=||||","||"}</definedName>
    <definedName name="_10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0.841096&amp;VAR:V=14.474054&amp;VAR:V0=15.621969&amp;VAR:V1=14.275871&amp;VAR:Y0=2006&amp;VAR:Y1=2007&amp;VAR:P=1364.296900&amp;VAR:DATE=20061103&amp;VAR:THRESH=||||","||"}</definedName>
    <definedName name="_10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0.758904&amp;VAR:V=14.427684&amp;VAR:V0=15.549321&amp;VAR:V1=14.104462&amp;VAR:Y0=2006&amp;VAR:Y1=2007&amp;VAR:P=1350.217500&amp;VAR:DATE=20061004&amp;VAR:THRESH=||||","||"}</definedName>
    <definedName name="_10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0.758904&amp;VAR:V=14.427684&amp;VAR:V0=15.549321&amp;VAR:V1=14.104462&amp;VAR:Y0=2006&amp;VAR:Y1=2007&amp;VAR:P=1350.217500&amp;VAR:DATE=20061004&amp;VAR:THRESH=||||","||"}</definedName>
    <definedName name="_10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0.668493&amp;VAR:V=14.110008&amp;VAR:V0=15.052498&amp;VAR:V1=13.685084&amp;VAR:Y0=2006&amp;VAR:Y1=2007&amp;VAR:P=1311.011000&amp;VAR:DATE=20060901&amp;VAR:THRESH=||||","||"}</definedName>
    <definedName name="_10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0.668493&amp;VAR:V=14.110008&amp;VAR:V0=15.052498&amp;VAR:V1=13.685084&amp;VAR:Y0=2006&amp;VAR:Y1=2007&amp;VAR:P=1311.011000&amp;VAR:DATE=20060901&amp;VAR:THRESH=||||","||"}</definedName>
    <definedName name="_10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0.591781&amp;VAR:V=13.851212&amp;VAR:V0=14.670310&amp;VAR:V1=13.337519&amp;VAR:Y0=2006&amp;VAR:Y1=2007&amp;VAR:P=1279.362400&amp;VAR:DATE=20060804&amp;VAR:THRESH=||||","||"}</definedName>
    <definedName name="_1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0.673973&amp;VAR:V=12.002332&amp;VAR:V0=13.187008&amp;VAR:V1=11.502463&amp;VAR:Y0=2010&amp;VAR:Y1=2011&amp;VAR:P=1104.506616&amp;VAR:DATE=20100903&amp;VAR:THRESH=||||","||"}</definedName>
    <definedName name="_11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0.591781&amp;VAR:V=13.851212&amp;VAR:V0=14.670310&amp;VAR:V1=13.337519&amp;VAR:Y0=2006&amp;VAR:Y1=2007&amp;VAR:P=1279.362400&amp;VAR:DATE=20060804&amp;VAR:THRESH=||||","||"}</definedName>
    <definedName name="_11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0.504110&amp;VAR:V=14.039137&amp;VAR:V0=14.796218&amp;VAR:V1=13.366368&amp;VAR:Y0=2006&amp;VAR:Y1=2007&amp;VAR:P=1280.189000&amp;VAR:DATE=20060703&amp;VAR:THRESH=||||","||"}</definedName>
    <definedName name="_11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0.504110&amp;VAR:V=14.039137&amp;VAR:V0=14.796218&amp;VAR:V1=13.366368&amp;VAR:Y0=2006&amp;VAR:Y1=2007&amp;VAR:P=1280.189000&amp;VAR:DATE=20060703&amp;VAR:THRESH=||||","||"}</definedName>
    <definedName name="_11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0.419178&amp;VAR:V=14.308472&amp;VAR:V0=14.919770&amp;VAR:V1=13.539788&amp;VAR:Y0=2006&amp;VAR:Y1=2007&amp;VAR:P=1288.218300&amp;VAR:DATE=20060602&amp;VAR:THRESH=||||","||"}</definedName>
    <definedName name="_11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0.419178&amp;VAR:V=14.308472&amp;VAR:V0=14.919770&amp;VAR:V1=13.539788&amp;VAR:Y0=2006&amp;VAR:Y1=2007&amp;VAR:P=1288.218300&amp;VAR:DATE=20060602&amp;VAR:THRESH=||||","||"}</definedName>
    <definedName name="_11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0.342466&amp;VAR:V=14.867865&amp;VAR:V0=15.400064&amp;VAR:V1=13.942740&amp;VAR:Y0=2006&amp;VAR:Y1=2007&amp;VAR:P=1325.760900&amp;VAR:DATE=20060505&amp;VAR:THRESH=||||","||"}</definedName>
    <definedName name="_11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0.342466&amp;VAR:V=14.867865&amp;VAR:V0=15.400064&amp;VAR:V1=13.942740&amp;VAR:Y0=2006&amp;VAR:Y1=2007&amp;VAR:P=1325.760900&amp;VAR:DATE=20060505&amp;VAR:THRESH=||||","||"}</definedName>
    <definedName name="_11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0.257534&amp;VAR:V=14.891503&amp;VAR:V0=15.279489&amp;VAR:V1=13.875714&amp;VAR:Y0=2006&amp;VAR:Y1=2007&amp;VAR:P=1305.934900&amp;VAR:DATE=20060404&amp;VAR:THRESH=||||","||"}</definedName>
    <definedName name="_11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0.257534&amp;VAR:V=14.891503&amp;VAR:V0=15.279489&amp;VAR:V1=13.875714&amp;VAR:Y0=2006&amp;VAR:Y1=2007&amp;VAR:P=1305.934900&amp;VAR:DATE=20060404&amp;VAR:THRESH=||||","||"}</definedName>
    <definedName name="_11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0.169863&amp;VAR:V=14.769875&amp;VAR:V0=15.023478&amp;VAR:V1=13.644273&amp;VAR:Y0=2006&amp;VAR:Y1=2007&amp;VAR:P=1287.231200&amp;VAR:DATE=20060303&amp;VAR:THRESH=||||","||"}</definedName>
    <definedName name="_1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0.673973&amp;VAR:V=12.002332&amp;VAR:V0=13.187008&amp;VAR:V1=11.502463&amp;VAR:Y0=2010&amp;VAR:Y1=2011&amp;VAR:P=1104.506616&amp;VAR:DATE=20100903&amp;VAR:THRESH=||||","||"}</definedName>
    <definedName name="_12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0.169863&amp;VAR:V=14.769875&amp;VAR:V0=15.023478&amp;VAR:V1=13.644273&amp;VAR:Y0=2006&amp;VAR:Y1=2007&amp;VAR:P=1287.231200&amp;VAR:DATE=20060303&amp;VAR:THRESH=||||","||"}</definedName>
    <definedName name="_12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0.090411&amp;VAR:V=14.683169&amp;VAR:V0=14.808455&amp;VAR:V1=13.531415&amp;VAR:Y0=2006&amp;VAR:Y1=2007&amp;VAR:P=1270.836800&amp;VAR:DATE=20060202&amp;VAR:THRESH=||||","||"}</definedName>
    <definedName name="_12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0.090411&amp;VAR:V=14.683169&amp;VAR:V0=14.808455&amp;VAR:V1=13.531415&amp;VAR:Y0=2006&amp;VAR:Y1=2007&amp;VAR:P=1270.836800&amp;VAR:DATE=20060202&amp;VAR:THRESH=||||","||"}</definedName>
    <definedName name="_12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0.008219&amp;VAR:V=14.730079&amp;VAR:V0=14.739652&amp;VAR:V1=13.659557&amp;VAR:Y0=2006&amp;VAR:Y1=2007&amp;VAR:P=1268.800400&amp;VAR:DATE=20060103&amp;VAR:THRESH=||||","||"}</definedName>
    <definedName name="_12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0.008219&amp;VAR:V=14.730079&amp;VAR:V0=14.739652&amp;VAR:V1=13.659557&amp;VAR:Y0=2006&amp;VAR:Y1=2007&amp;VAR:P=1268.800400&amp;VAR:DATE=20060103&amp;VAR:THRESH=||||","||"}</definedName>
    <definedName name="_12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0.920548&amp;VAR:V=14.825031&amp;VAR:V0=16.548683&amp;VAR:V1=14.692946&amp;VAR:Y0=2005&amp;VAR:Y1=2006&amp;VAR:P=1265.080000&amp;VAR:DATE=20051202&amp;VAR:THRESH=||||","||"}</definedName>
    <definedName name="_12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0.920548&amp;VAR:V=14.825031&amp;VAR:V0=16.548683&amp;VAR:V1=14.692946&amp;VAR:Y0=2005&amp;VAR:Y1=2006&amp;VAR:P=1265.080000&amp;VAR:DATE=20051202&amp;VAR:THRESH=||||","||"}</definedName>
    <definedName name="_12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0.841096&amp;VAR:V=14.423257&amp;VAR:V0=15.867142&amp;VAR:V1=14.179485&amp;VAR:Y0=2005&amp;VAR:Y1=2006&amp;VAR:P=1219.936300&amp;VAR:DATE=20051103&amp;VAR:THRESH=||||","||"}</definedName>
    <definedName name="_12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0.841096&amp;VAR:V=14.423257&amp;VAR:V0=15.867142&amp;VAR:V1=14.179485&amp;VAR:Y0=2005&amp;VAR:Y1=2006&amp;VAR:P=1219.936300&amp;VAR:DATE=20051103&amp;VAR:THRESH=||||","||"}</definedName>
    <definedName name="_12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0.758904&amp;VAR:V=14.539197&amp;VAR:V0=15.760124&amp;VAR:V1=14.189964&amp;VAR:Y0=2005&amp;VAR:Y1=2006&amp;VAR:P=1214.473400&amp;VAR:DATE=20051004&amp;VAR:THRESH=||||","||"}</definedName>
    <definedName name="_1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0.591781&amp;VAR:V=12.338524&amp;VAR:V0=13.454422&amp;VAR:V1=11.670806&amp;VAR:Y0=2010&amp;VAR:Y1=2011&amp;VAR:P=1127.239110&amp;VAR:DATE=20100804&amp;VAR:THRESH=||||","||"}</definedName>
    <definedName name="_13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0.758904&amp;VAR:V=14.539197&amp;VAR:V0=15.760124&amp;VAR:V1=14.189964&amp;VAR:Y0=2005&amp;VAR:Y1=2006&amp;VAR:P=1214.473400&amp;VAR:DATE=20051004&amp;VAR:THRESH=||||","||"}</definedName>
    <definedName name="_13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0.671233&amp;VAR:V=14.892845&amp;VAR:V0=15.944333&amp;VAR:V1=14.426847&amp;VAR:Y0=2005&amp;VAR:Y1=2006&amp;VAR:P=1218.021100&amp;VAR:DATE=20050902&amp;VAR:THRESH=||||","||"}</definedName>
    <definedName name="_13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0.671233&amp;VAR:V=14.892845&amp;VAR:V0=15.944333&amp;VAR:V1=14.426847&amp;VAR:Y0=2005&amp;VAR:Y1=2006&amp;VAR:P=1218.021100&amp;VAR:DATE=20050902&amp;VAR:THRESH=||||","||"}</definedName>
    <definedName name="_13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0.591781&amp;VAR:V=15.362821&amp;VAR:V0=16.321445&amp;VAR:V1=14.764623&amp;VAR:Y0=2005&amp;VAR:Y1=2006&amp;VAR:P=1235.858800&amp;VAR:DATE=20050804&amp;VAR:THRESH=||||","||"}</definedName>
    <definedName name="_13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0.591781&amp;VAR:V=15.362821&amp;VAR:V0=16.321445&amp;VAR:V1=14.764623&amp;VAR:Y0=2005&amp;VAR:Y1=2006&amp;VAR:P=1235.858800&amp;VAR:DATE=20050804&amp;VAR:THRESH=||||","||"}</definedName>
    <definedName name="_13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0.498630&amp;VAR:V=15.202852&amp;VAR:V0=15.966770&amp;VAR:V1=14.505055&amp;VAR:Y0=2005&amp;VAR:Y1=2006&amp;VAR:P=1194.440200&amp;VAR:DATE=20050701&amp;VAR:THRESH=||||","||"}</definedName>
    <definedName name="_13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0.498630&amp;VAR:V=15.202852&amp;VAR:V0=15.966770&amp;VAR:V1=14.505055&amp;VAR:Y0=2005&amp;VAR:Y1=2006&amp;VAR:P=1194.440200&amp;VAR:DATE=20050701&amp;VAR:THRESH=||||","||"}</definedName>
    <definedName name="_13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0.421918&amp;VAR:V=15.361796&amp;VAR:V0=15.989245&amp;VAR:V1=14.577988&amp;VAR:Y0=2005&amp;VAR:Y1=2006&amp;VAR:P=1196.016000&amp;VAR:DATE=20050603&amp;VAR:THRESH=||||","||"}</definedName>
    <definedName name="_13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0.421918&amp;VAR:V=15.361796&amp;VAR:V0=15.989245&amp;VAR:V1=14.577988&amp;VAR:Y0=2005&amp;VAR:Y1=2006&amp;VAR:P=1196.016000&amp;VAR:DATE=20050603&amp;VAR:THRESH=||||","||"}</definedName>
    <definedName name="_13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0.339726&amp;VAR:V=15.213811&amp;VAR:V0=15.703392&amp;VAR:V1=14.344618&amp;VAR:Y0=2005&amp;VAR:Y1=2006&amp;VAR:P=1175.650900&amp;VAR:DATE=20050504&amp;VAR:THRESH=||||","||"}</definedName>
    <definedName name="_1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0.591781&amp;VAR:V=12.338524&amp;VAR:V0=13.454422&amp;VAR:V1=11.670806&amp;VAR:Y0=2010&amp;VAR:Y1=2011&amp;VAR:P=1127.239110&amp;VAR:DATE=20100804&amp;VAR:THRESH=||||","||"}</definedName>
    <definedName name="_14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0.339726&amp;VAR:V=15.213811&amp;VAR:V0=15.703392&amp;VAR:V1=14.344618&amp;VAR:Y0=2005&amp;VAR:Y1=2006&amp;VAR:P=1175.650900&amp;VAR:DATE=20050504&amp;VAR:THRESH=||||","||"}</definedName>
    <definedName name="_14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0.257534&amp;VAR:V=15.387104&amp;VAR:V0=15.793654&amp;VAR:V1=14.324087&amp;VAR:Y0=2005&amp;VAR:Y1=2006&amp;VAR:P=1176.122900&amp;VAR:DATE=20050404&amp;VAR:THRESH=||||","||"}</definedName>
    <definedName name="_14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0.257534&amp;VAR:V=15.387104&amp;VAR:V0=15.793654&amp;VAR:V1=14.324087&amp;VAR:Y0=2005&amp;VAR:Y1=2006&amp;VAR:P=1176.122900&amp;VAR:DATE=20050404&amp;VAR:THRESH=||||","||"}</definedName>
    <definedName name="_14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0.172603&amp;VAR:V=16.199485&amp;VAR:V0=16.486818&amp;VAR:V1=14.950463&amp;VAR:Y0=2005&amp;VAR:Y1=2006&amp;VAR:P=1222.124500&amp;VAR:DATE=20050304&amp;VAR:THRESH=||||","||"}</definedName>
    <definedName name="_14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0.172603&amp;VAR:V=16.199485&amp;VAR:V0=16.486818&amp;VAR:V1=14.950463&amp;VAR:Y0=2005&amp;VAR:Y1=2006&amp;VAR:P=1222.124500&amp;VAR:DATE=20050304&amp;VAR:THRESH=||||","||"}</definedName>
    <definedName name="_14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0.090411&amp;VAR:V=16.015870&amp;VAR:V0=16.155363&amp;VAR:V1=14.735803&amp;VAR:Y0=2005&amp;VAR:Y1=2006&amp;VAR:P=1193.185300&amp;VAR:DATE=20050202&amp;VAR:THRESH=||||","||"}</definedName>
    <definedName name="_14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0.090411&amp;VAR:V=16.015870&amp;VAR:V0=16.155363&amp;VAR:V1=14.735803&amp;VAR:Y0=2005&amp;VAR:Y1=2006&amp;VAR:P=1193.185300&amp;VAR:DATE=20050202&amp;VAR:THRESH=||||","||"}</definedName>
    <definedName name="_14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0.008219&amp;VAR:V=16.301356&amp;VAR:V0=16.312931&amp;VAR:V1=15.015694&amp;VAR:Y0=2005&amp;VAR:Y1=2006&amp;VAR:P=1202.084400&amp;VAR:DATE=20050103&amp;VAR:THRESH=||||","||"}</definedName>
    <definedName name="_14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0.008219&amp;VAR:V=16.301356&amp;VAR:V0=16.312931&amp;VAR:V1=15.015694&amp;VAR:Y0=2005&amp;VAR:Y1=2006&amp;VAR:P=1202.084400&amp;VAR:DATE=20050103&amp;VAR:THRESH=||||","||"}</definedName>
    <definedName name="_14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0.923497&amp;VAR:V=16.271610&amp;VAR:V0=17.919119&amp;VAR:V1=16.148614&amp;VAR:Y0=2004&amp;VAR:Y1=2005&amp;VAR:P=1191.167100&amp;VAR:DATE=20041203&amp;VAR:THRESH=||||","||"}</definedName>
    <definedName name="_15__123Graph_ACHART_30" hidden="1">[2]Menu!$D$11:$M$11</definedName>
    <definedName name="_1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0.501370&amp;VAR:V=11.411280&amp;VAR:V0=12.428474&amp;VAR:V1=10.552354&amp;VAR:Y0=2010&amp;VAR:Y1=2011&amp;VAR:P=1022.582975&amp;VAR:DATE=20100702&amp;VAR:THRESH=||||","||"}</definedName>
    <definedName name="_15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0.923497&amp;VAR:V=16.271610&amp;VAR:V0=17.919119&amp;VAR:V1=16.148614&amp;VAR:Y0=2004&amp;VAR:Y1=2005&amp;VAR:P=1191.167100&amp;VAR:DATE=20041203&amp;VAR:THRESH=||||","||"}</definedName>
    <definedName name="_15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0.841530&amp;VAR:V=15.917795&amp;VAR:V0=17.286085&amp;VAR:V1=15.684010&amp;VAR:Y0=2004&amp;VAR:Y1=2005&amp;VAR:P=1143.195400&amp;VAR:DATE=20041103&amp;VAR:THRESH=||||","||"}</definedName>
    <definedName name="_15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0.841530&amp;VAR:V=15.917795&amp;VAR:V0=17.286085&amp;VAR:V1=15.684010&amp;VAR:Y0=2004&amp;VAR:Y1=2005&amp;VAR:P=1143.195400&amp;VAR:DATE=20041103&amp;VAR:THRESH=||||","||"}</definedName>
    <definedName name="_15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0.751366&amp;VAR:V=16.023889&amp;VAR:V0=17.207054&amp;VAR:V1=15.667401&amp;VAR:Y0=2004&amp;VAR:Y1=2005&amp;VAR:P=1131.500900&amp;VAR:DATE=20041001&amp;VAR:THRESH=||||","||"}</definedName>
    <definedName name="_15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0.751366&amp;VAR:V=16.023889&amp;VAR:V0=17.207054&amp;VAR:V1=15.667401&amp;VAR:Y0=2004&amp;VAR:Y1=2005&amp;VAR:P=1131.500900&amp;VAR:DATE=20041001&amp;VAR:THRESH=||||","||"}</definedName>
    <definedName name="_15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0.674863&amp;VAR:V=15.861591&amp;VAR:V0=16.948303&amp;VAR:V1=15.386287&amp;VAR:Y0=2004&amp;VAR:Y1=2005&amp;VAR:P=1113.630500&amp;VAR:DATE=20040903&amp;VAR:THRESH=||||","||"}</definedName>
    <definedName name="_15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0.674863&amp;VAR:V=15.861591&amp;VAR:V0=16.948303&amp;VAR:V1=15.386287&amp;VAR:Y0=2004&amp;VAR:Y1=2005&amp;VAR:P=1113.630500&amp;VAR:DATE=20040903&amp;VAR:THRESH=||||","||"}</definedName>
    <definedName name="_15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0.590164&amp;VAR:V=15.808436&amp;VAR:V0=16.733698&amp;VAR:V1=15.223867&amp;VAR:Y0=2004&amp;VAR:Y1=2005&amp;VAR:P=1099.687900&amp;VAR:DATE=20040803&amp;VAR:THRESH=||||","||"}</definedName>
    <definedName name="_15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0.590164&amp;VAR:V=15.808436&amp;VAR:V0=16.733698&amp;VAR:V1=15.223867&amp;VAR:Y0=2004&amp;VAR:Y1=2005&amp;VAR:P=1099.687900&amp;VAR:DATE=20040803&amp;VAR:THRESH=||||","||"}</definedName>
    <definedName name="_15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0.502732&amp;VAR:V=16.356296&amp;VAR:V0=17.204645&amp;VAR:V1=15.595645&amp;VAR:Y0=2004&amp;VAR:Y1=2005&amp;VAR:P=1125.379900&amp;VAR:DATE=20040702&amp;VAR:THRESH=||||","||"}</definedName>
    <definedName name="_16__123Graph_ALIQUIDS" hidden="1">[3]P!$S$78:$AL$78</definedName>
    <definedName name="_1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0.501370&amp;VAR:V=11.411280&amp;VAR:V0=12.428474&amp;VAR:V1=10.552354&amp;VAR:Y0=2010&amp;VAR:Y1=2011&amp;VAR:P=1022.582975&amp;VAR:DATE=20100702&amp;VAR:THRESH=||||","||"}</definedName>
    <definedName name="_16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0.502732&amp;VAR:V=16.356296&amp;VAR:V0=17.204645&amp;VAR:V1=15.595645&amp;VAR:Y0=2004&amp;VAR:Y1=2005&amp;VAR:P=1125.379900&amp;VAR:DATE=20040702&amp;VAR:THRESH=||||","||"}</definedName>
    <definedName name="_16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0.426230&amp;VAR:V=16.512439&amp;VAR:V0=17.288855&amp;VAR:V1=15.571107&amp;VAR:Y0=2004&amp;VAR:Y1=2005&amp;VAR:P=1122.504200&amp;VAR:DATE=20040604&amp;VAR:THRESH=||||","||"}</definedName>
    <definedName name="_16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0.426230&amp;VAR:V=16.512439&amp;VAR:V0=17.288855&amp;VAR:V1=15.571107&amp;VAR:Y0=2004&amp;VAR:Y1=2005&amp;VAR:P=1122.504200&amp;VAR:DATE=20040604&amp;VAR:THRESH=||||","||"}</definedName>
    <definedName name="_16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0.341530&amp;VAR:V=16.793465&amp;VAR:V0=17.416126&amp;VAR:V1=15.710539&amp;VAR:Y0=2004&amp;VAR:Y1=2005&amp;VAR:P=1119.553600&amp;VAR:DATE=20040504&amp;VAR:THRESH=||||","||"}</definedName>
    <definedName name="_16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0.341530&amp;VAR:V=16.793465&amp;VAR:V0=17.416126&amp;VAR:V1=15.710539&amp;VAR:Y0=2004&amp;VAR:Y1=2005&amp;VAR:P=1119.553600&amp;VAR:DATE=20040504&amp;VAR:THRESH=||||","||"}</definedName>
    <definedName name="_16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0.254098&amp;VAR:V=17.605337&amp;VAR:V0=18.142601&amp;VAR:V1=16.197313&amp;VAR:Y0=2004&amp;VAR:Y1=2005&amp;VAR:P=1141.809800&amp;VAR:DATE=20040402&amp;VAR:THRESH=||||","||"}</definedName>
    <definedName name="_16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0.254098&amp;VAR:V=17.605337&amp;VAR:V0=18.142601&amp;VAR:V1=16.197313&amp;VAR:Y0=2004&amp;VAR:Y1=2005&amp;VAR:P=1141.809800&amp;VAR:DATE=20040402&amp;VAR:THRESH=||||","||"}</definedName>
    <definedName name="_16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0.174863&amp;VAR:V=18.170143&amp;VAR:V0=18.576833&amp;VAR:V1=16.468838&amp;VAR:Y0=2004&amp;VAR:Y1=2005&amp;VAR:P=1154.875200&amp;VAR:DATE=20040304&amp;VAR:THRESH=||||","||"}</definedName>
    <definedName name="_16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0.174863&amp;VAR:V=18.170143&amp;VAR:V0=18.576833&amp;VAR:V1=16.468838&amp;VAR:Y0=2004&amp;VAR:Y1=2005&amp;VAR:P=1154.875200&amp;VAR:DATE=20040304&amp;VAR:THRESH=||||","||"}</definedName>
    <definedName name="_16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0.092896&amp;VAR:V=18.137413&amp;VAR:V0=18.353877&amp;VAR:V1=16.264350&amp;VAR:Y0=2004&amp;VAR:Y1=2005&amp;VAR:P=1136.034400&amp;VAR:DATE=20040203&amp;VAR:THRESH=||||","||"}</definedName>
    <definedName name="_1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0.424658&amp;VAR:V=12.008593&amp;VAR:V0=12.895105&amp;VAR:V1=10.985388&amp;VAR:Y0=2010&amp;VAR:Y1=2011&amp;VAR:P=1064.875042&amp;VAR:DATE=20100604&amp;VAR:THRESH=||||","||"}</definedName>
    <definedName name="_17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0.092896&amp;VAR:V=18.137413&amp;VAR:V0=18.353877&amp;VAR:V1=16.264350&amp;VAR:Y0=2004&amp;VAR:Y1=2005&amp;VAR:P=1136.034400&amp;VAR:DATE=20040203&amp;VAR:THRESH=||||","||"}</definedName>
    <definedName name="_17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0.005464&amp;VAR:V=18.043213&amp;VAR:V0=18.053550&amp;VAR:V1=16.340425&amp;VAR:Y0=2004&amp;VAR:Y1=2005&amp;VAR:P=1108.484600&amp;VAR:DATE=20040102&amp;VAR:THRESH=||||","||"}</definedName>
    <definedName name="_17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0.005464&amp;VAR:V=18.043213&amp;VAR:V0=18.053550&amp;VAR:V1=16.340425&amp;VAR:Y0=2004&amp;VAR:Y1=2005&amp;VAR:P=1108.484600&amp;VAR:DATE=20040102&amp;VAR:THRESH=||||","||"}</definedName>
    <definedName name="_17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0.926027&amp;VAR:V=17.676698&amp;VAR:V0=19.801141&amp;VAR:V1=17.526489&amp;VAR:Y0=2003&amp;VAR:Y1=2004&amp;VAR:P=1069.718500&amp;VAR:DATE=20031204&amp;VAR:THRESH=||||","||"}</definedName>
    <definedName name="_17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0.926027&amp;VAR:V=17.676698&amp;VAR:V0=19.801141&amp;VAR:V1=17.526489&amp;VAR:Y0=2003&amp;VAR:Y1=2004&amp;VAR:P=1069.718500&amp;VAR:DATE=20031204&amp;VAR:THRESH=||||","||"}</definedName>
    <definedName name="_17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0.841096&amp;VAR:V=17.671446&amp;VAR:V0=19.533441&amp;VAR:V1=17.358831&amp;VAR:Y0=2003&amp;VAR:Y1=2004&amp;VAR:P=1059.015600&amp;VAR:DATE=20031103&amp;VAR:THRESH=||||","||"}</definedName>
    <definedName name="_17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0.841096&amp;VAR:V=17.671446&amp;VAR:V0=19.533441&amp;VAR:V1=17.358831&amp;VAR:Y0=2003&amp;VAR:Y1=2004&amp;VAR:P=1059.015600&amp;VAR:DATE=20031103&amp;VAR:THRESH=||||","||"}</definedName>
    <definedName name="_17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0.756164&amp;VAR:V=17.468920&amp;VAR:V0=19.152586&amp;VAR:V1=16.987376&amp;VAR:Y0=2003&amp;VAR:Y1=2004&amp;VAR:P=1029.848000&amp;VAR:DATE=20031003&amp;VAR:THRESH=||||","||"}</definedName>
    <definedName name="_17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0.756164&amp;VAR:V=17.468920&amp;VAR:V0=19.152586&amp;VAR:V1=16.987376&amp;VAR:Y0=2003&amp;VAR:Y1=2004&amp;VAR:P=1029.848000&amp;VAR:DATE=20031003&amp;VAR:THRESH=||||","||"}</definedName>
    <definedName name="_17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0.676712&amp;VAR:V=17.610116&amp;VAR:V0=19.064788&amp;VAR:V1=16.990773&amp;VAR:Y0=2003&amp;VAR:Y1=2004&amp;VAR:P=1027.970800&amp;VAR:DATE=20030904&amp;VAR:THRESH=||||","||"}</definedName>
    <definedName name="_1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0.424658&amp;VAR:V=12.008593&amp;VAR:V0=12.895105&amp;VAR:V1=10.985388&amp;VAR:Y0=2010&amp;VAR:Y1=2011&amp;VAR:P=1064.875042&amp;VAR:DATE=20100604&amp;VAR:THRESH=||||","||"}</definedName>
    <definedName name="_18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0.676712&amp;VAR:V=17.610116&amp;VAR:V0=19.064788&amp;VAR:V1=16.990773&amp;VAR:Y0=2003&amp;VAR:Y1=2004&amp;VAR:P=1027.970800&amp;VAR:DATE=20030904&amp;VAR:THRESH=||||","||"}</definedName>
    <definedName name="_18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0.591781&amp;VAR:V=17.011568&amp;VAR:V0=18.265328&amp;VAR:V1=16.242487&amp;VAR:Y0=2003&amp;VAR:Y1=2004&amp;VAR:P=982.815060&amp;VAR:DATE=20030804&amp;VAR:THRESH=|||||","|"}</definedName>
    <definedName name="_18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0.591781&amp;VAR:V=17.011568&amp;VAR:V0=18.265328&amp;VAR:V1=16.242487&amp;VAR:Y0=2003&amp;VAR:Y1=2004&amp;VAR:P=982.815060&amp;VAR:DATE=20030804&amp;VAR:THRESH=|||||","|"}</definedName>
    <definedName name="_18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0.504110&amp;VAR:V=17.329903&amp;VAR:V0=18.489614&amp;VAR:V1=16.322793&amp;VAR:Y0=2003&amp;VAR:Y1=2004&amp;VAR:P=985.700000&amp;VAR:DATE=20030703&amp;VAR:THRESH=|||||","|"}</definedName>
    <definedName name="_18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0.504110&amp;VAR:V=17.329903&amp;VAR:V0=18.489614&amp;VAR:V1=16.322793&amp;VAR:Y0=2003&amp;VAR:Y1=2004&amp;VAR:P=985.700000&amp;VAR:DATE=20030703&amp;VAR:THRESH=|||||","|"}</definedName>
    <definedName name="_18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0.424658&amp;VAR:V=17.441062&amp;VAR:V0=18.413787&amp;VAR:V1=16.276167&amp;VAR:Y0=2003&amp;VAR:Y1=2004&amp;VAR:P=986.238900&amp;VAR:DATE=20030604&amp;VAR:THRESH=|||||","|"}</definedName>
    <definedName name="_18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0.424658&amp;VAR:V=17.441062&amp;VAR:V0=18.413787&amp;VAR:V1=16.276167&amp;VAR:Y0=2003&amp;VAR:Y1=2004&amp;VAR:P=986.238900&amp;VAR:DATE=20030604&amp;VAR:THRESH=|||||","|"}</definedName>
    <definedName name="_18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0.342466&amp;VAR:V=16.613721&amp;VAR:V0=17.383201&amp;VAR:V1=15.312323&amp;VAR:Y0=2003&amp;VAR:Y1=2004&amp;VAR:P=926.548200&amp;VAR:DATE=20030505&amp;VAR:THRESH=|||||","|"}</definedName>
    <definedName name="_18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0.342466&amp;VAR:V=16.613721&amp;VAR:V0=17.383201&amp;VAR:V1=15.312323&amp;VAR:Y0=2003&amp;VAR:Y1=2004&amp;VAR:P=926.548200&amp;VAR:DATE=20030505&amp;VAR:THRESH=|||||","|"}</definedName>
    <definedName name="_18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0.257534&amp;VAR:V=15.935705&amp;VAR:V0=16.555331&amp;VAR:V1=14.383667&amp;VAR:Y0=2003&amp;VAR:Y1=2004&amp;VAR:P=878.852500&amp;VAR:DATE=20030404&amp;VAR:THRESH=|||||","|"}</definedName>
    <definedName name="_1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0.342466&amp;VAR:V=13.374133&amp;VAR:V0=14.173133&amp;VAR:V1=12.067920&amp;VAR:Y0=2010&amp;VAR:Y1=2011&amp;VAR:P=1165.897009&amp;VAR:DATE=20100505&amp;VAR:THRESH=||||","||"}</definedName>
    <definedName name="_19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0.257534&amp;VAR:V=15.935705&amp;VAR:V0=16.555331&amp;VAR:V1=14.383667&amp;VAR:Y0=2003&amp;VAR:Y1=2004&amp;VAR:P=878.852500&amp;VAR:DATE=20030404&amp;VAR:THRESH=|||||","|"}</definedName>
    <definedName name="_19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0.175342&amp;VAR:V=15.166101&amp;VAR:V0=15.576921&amp;VAR:V1=13.492509&amp;VAR:Y0=2003&amp;VAR:Y1=2004&amp;VAR:P=829.851560&amp;VAR:DATE=20030305&amp;VAR:THRESH=|||||","|"}</definedName>
    <definedName name="_19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0.175342&amp;VAR:V=15.166101&amp;VAR:V0=15.576921&amp;VAR:V1=13.492509&amp;VAR:Y0=2003&amp;VAR:Y1=2004&amp;VAR:P=829.851560&amp;VAR:DATE=20030305&amp;VAR:THRESH=|||||","|"}</definedName>
    <definedName name="_19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0.093151&amp;VAR:V=15.834044&amp;VAR:V0=16.044498&amp;VAR:V1=14.041042&amp;VAR:Y0=2003&amp;VAR:Y1=2004&amp;VAR:P=860.321350&amp;VAR:DATE=20030203&amp;VAR:THRESH=|||||","|"}</definedName>
    <definedName name="_19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0.093151&amp;VAR:V=15.834044&amp;VAR:V0=16.044498&amp;VAR:V1=14.041042&amp;VAR:Y0=2003&amp;VAR:Y1=2004&amp;VAR:P=860.321350&amp;VAR:DATE=20030203&amp;VAR:THRESH=|||||","|"}</definedName>
    <definedName name="_19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0.008219&amp;VAR:V=16.623513&amp;VAR:V0=16.640562&amp;VAR:V1=14.794577&amp;VAR:Y0=2003&amp;VAR:Y1=2004&amp;VAR:P=908.589700&amp;VAR:DATE=20030103&amp;VAR:THRESH=|||||","|"}</definedName>
    <definedName name="_19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0.008219&amp;VAR:V=16.623513&amp;VAR:V0=16.640562&amp;VAR:V1=14.794577&amp;VAR:Y0=2003&amp;VAR:Y1=2004&amp;VAR:P=908.589700&amp;VAR:DATE=20030103&amp;VAR:THRESH=|||||","|"}</definedName>
    <definedName name="_19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0.926027&amp;VAR:V=16.856770&amp;VAR:V0=18.954232&amp;VAR:V1=16.709068&amp;VAR:Y0=2002&amp;VAR:Y1=2003&amp;VAR:P=917.573000&amp;VAR:DATE=20021204&amp;VAR:THRESH=|||||","|"}</definedName>
    <definedName name="_19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0.926027&amp;VAR:V=16.856770&amp;VAR:V0=18.954232&amp;VAR:V1=16.709068&amp;VAR:Y0=2002&amp;VAR:Y1=2003&amp;VAR:P=917.573000&amp;VAR:DATE=20021204&amp;VAR:THRESH=|||||","|"}</definedName>
    <definedName name="_19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0.835616&amp;VAR:V=16.421120&amp;VAR:V0=18.420501&amp;VAR:V1=16.077821&amp;VAR:Y0=2002&amp;VAR:Y1=2003&amp;VAR:P=900.963600&amp;VAR:DATE=20021101&amp;VAR:THRESH=|||||","|"}</definedName>
    <definedName name="_1Q_01E">"_01"</definedName>
    <definedName name="_2__FDSAUDITLINK__" hidden="1">{"fdsup://directions/FAT Viewer?action=UPDATE&amp;creator=factset&amp;DYN_ARGS=TRUE&amp;DOC_NAME=FAT:FQL_AUDITING_CLIENT_TEMPLATE.FAT&amp;display_string=Audit&amp;VAR:KEY=CPCRGJOXSD&amp;VAR:QUERY=Q1NGX0VOVFJQUl9WQUwoQU5OLDAsLCwsVVNEKQ==&amp;WINDOW=FIRST_POPUP&amp;HEIGHT=450&amp;WIDTH=450&amp;STAR","T_MAXIMIZED=FALSE&amp;VAR:CALENDAR=US&amp;VAR:SYMBOL=HRC&amp;VAR:INDEX=0"}</definedName>
    <definedName name="_2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0.342466&amp;VAR:V=13.374133&amp;VAR:V0=14.173133&amp;VAR:V1=12.067920&amp;VAR:Y0=2010&amp;VAR:Y1=2011&amp;VAR:P=1165.897009&amp;VAR:DATE=20100505&amp;VAR:THRESH=||||","||"}</definedName>
    <definedName name="_20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0.835616&amp;VAR:V=16.421120&amp;VAR:V0=18.420501&amp;VAR:V1=16.077821&amp;VAR:Y0=2002&amp;VAR:Y1=2003&amp;VAR:P=900.963600&amp;VAR:DATE=20021101&amp;VAR:THRESH=|||||","|"}</definedName>
    <definedName name="_20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0.758904&amp;VAR:V=14.434933&amp;VAR:V0=16.235937&amp;VAR:V1=13.943558&amp;VAR:Y0=2002&amp;VAR:Y1=2003&amp;VAR:P=800.582640&amp;VAR:DATE=20021004&amp;VAR:THRESH=|||||","|"}</definedName>
    <definedName name="_20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0.758904&amp;VAR:V=14.434933&amp;VAR:V0=16.235937&amp;VAR:V1=13.943558&amp;VAR:Y0=2002&amp;VAR:Y1=2003&amp;VAR:P=800.582640&amp;VAR:DATE=20021004&amp;VAR:THRESH=|||||","|"}</definedName>
    <definedName name="_20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0.673973&amp;VAR:V=15.705551&amp;VAR:V0=17.519100&amp;VAR:V1=14.956585&amp;VAR:Y0=2002&amp;VAR:Y1=2003&amp;VAR:P=878.018300&amp;VAR:DATE=20020903&amp;VAR:THRESH=|||||","|"}</definedName>
    <definedName name="_20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0.673973&amp;VAR:V=15.705551&amp;VAR:V0=17.519100&amp;VAR:V1=14.956585&amp;VAR:Y0=2002&amp;VAR:Y1=2003&amp;VAR:P=878.018300&amp;VAR:DATE=20020903&amp;VAR:THRESH=|||||","|"}</definedName>
    <definedName name="_20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0.586301&amp;VAR:V=15.543840&amp;VAR:V0=17.129015&amp;VAR:V1=14.591056&amp;VAR:Y0=2002&amp;VAR:Y1=2003&amp;VAR:P=864.244600&amp;VAR:DATE=20020802&amp;VAR:THRESH=|||||","|"}</definedName>
    <definedName name="_20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0.586301&amp;VAR:V=15.543840&amp;VAR:V0=17.129015&amp;VAR:V1=14.591056&amp;VAR:Y0=2002&amp;VAR:Y1=2003&amp;VAR:P=864.244600&amp;VAR:DATE=20020802&amp;VAR:THRESH=|||||","|"}</definedName>
    <definedName name="_20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0.504110&amp;VAR:V=17.032547&amp;VAR:V0=18.694216&amp;VAR:V1=15.663010&amp;VAR:Y0=2002&amp;VAR:Y1=2003&amp;VAR:P=953.991400&amp;VAR:DATE=20020703&amp;VAR:THRESH=|||||","|"}</definedName>
    <definedName name="_20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0.504110&amp;VAR:V=17.032547&amp;VAR:V0=18.694216&amp;VAR:V1=15.663010&amp;VAR:Y0=2002&amp;VAR:Y1=2003&amp;VAR:P=953.991400&amp;VAR:DATE=20020703&amp;VAR:THRESH=|||||","|"}</definedName>
    <definedName name="_20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0.424658&amp;VAR:V=18.639761&amp;VAR:V0=20.141898&amp;VAR:V1=16.929219&amp;VAR:Y0=2002&amp;VAR:Y1=2003&amp;VAR:P=1040.690000&amp;VAR:DATE=20020604&amp;VAR:THRESH=||||","||"}</definedName>
    <definedName name="_21__123Graph_Aｸﾞﾗﾌ_1" hidden="1">[4]ｾｸﾞﾒﾝﾄ!$E$164:$I$164</definedName>
    <definedName name="_2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0.249315&amp;VAR:V=14.164330&amp;VAR:V0=14.860196&amp;VAR:V1=12.413992&amp;VAR:Y0=2010&amp;VAR:Y1=2011&amp;VAR:P=1178.102625&amp;VAR:DATE=20100401&amp;VAR:THRESH=||||","||"}</definedName>
    <definedName name="_21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0.424658&amp;VAR:V=18.639761&amp;VAR:V0=20.141898&amp;VAR:V1=16.929219&amp;VAR:Y0=2002&amp;VAR:Y1=2003&amp;VAR:P=1040.690000&amp;VAR:DATE=20020604&amp;VAR:THRESH=||||","||"}</definedName>
    <definedName name="_21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0.336986&amp;VAR:V=19.503361&amp;VAR:V0=20.734008&amp;VAR:V1=17.463956&amp;VAR:Y0=2002&amp;VAR:Y1=2003&amp;VAR:P=1073.426400&amp;VAR:DATE=20020503&amp;VAR:THRESH=||||","||"}</definedName>
    <definedName name="_21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0.336986&amp;VAR:V=19.503361&amp;VAR:V0=20.734008&amp;VAR:V1=17.463956&amp;VAR:Y0=2002&amp;VAR:Y1=2003&amp;VAR:P=1073.426400&amp;VAR:DATE=20020503&amp;VAR:THRESH=||||","||"}</definedName>
    <definedName name="_21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0.257534&amp;VAR:V=20.555516&amp;VAR:V0=21.575556&amp;VAR:V1=18.089863&amp;VAR:Y0=2002&amp;VAR:Y1=2003&amp;VAR:P=1126.338500&amp;VAR:DATE=20020404&amp;VAR:THRESH=||||","||"}</definedName>
    <definedName name="_21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0.257534&amp;VAR:V=20.555516&amp;VAR:V0=21.575556&amp;VAR:V1=18.089863&amp;VAR:Y0=2002&amp;VAR:Y1=2003&amp;VAR:P=1126.338500&amp;VAR:DATE=20020404&amp;VAR:THRESH=||||","||"}</definedName>
    <definedName name="_21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0.175342&amp;VAR:V=21.223563&amp;VAR:V0=21.960290&amp;VAR:V1=18.331236&amp;VAR:Y0=2002&amp;VAR:Y1=2003&amp;VAR:P=1146.135100&amp;VAR:DATE=20020305&amp;VAR:THRESH=||||","||"}</definedName>
    <definedName name="_21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0.175342&amp;VAR:V=21.223563&amp;VAR:V0=21.960290&amp;VAR:V1=18.331236&amp;VAR:Y0=2002&amp;VAR:Y1=2003&amp;VAR:P=1146.135100&amp;VAR:DATE=20020305&amp;VAR:THRESH=||||","||"}</definedName>
    <definedName name="_21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21.027244&amp;VAR:V0=21.387065&amp;VAR:V1=17.894356&amp;VAR:Y0=2002&amp;VAR:Y1=2003&amp;VAR:P=1122.195300&amp;VAR:DATE=20020201&amp;VAR:THRESH=||||","||"}</definedName>
    <definedName name="_21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21.027244&amp;VAR:V0=21.387065&amp;VAR:V1=17.894356&amp;VAR:Y0=2002&amp;VAR:Y1=2003&amp;VAR:P=1122.195300&amp;VAR:DATE=20020201&amp;VAR:THRESH=||||","||"}</definedName>
    <definedName name="_21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0.008219&amp;VAR:V=22.079119&amp;VAR:V0=22.109269&amp;VAR:V1=18.959367&amp;VAR:Y0=2002&amp;VAR:Y1=2003&amp;VAR:P=1165.271400&amp;VAR:DATE=20020103&amp;VAR:THRESH=||||","||"}</definedName>
    <definedName name="_22__123Graph_Aｸﾞﾗﾌ_2" hidden="1">[4]単独!$AR$14:$AR$18</definedName>
    <definedName name="_2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0.249315&amp;VAR:V=14.164330&amp;VAR:V0=14.860196&amp;VAR:V1=12.413992&amp;VAR:Y0=2010&amp;VAR:Y1=2011&amp;VAR:P=1178.102625&amp;VAR:DATE=20100401&amp;VAR:THRESH=||||","||"}</definedName>
    <definedName name="_22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0.008219&amp;VAR:V=22.079119&amp;VAR:V0=22.109269&amp;VAR:V1=18.959367&amp;VAR:Y0=2002&amp;VAR:Y1=2003&amp;VAR:P=1165.271400&amp;VAR:DATE=20020103&amp;VAR:THRESH=||||","||"}</definedName>
    <definedName name="_22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0.923288&amp;VAR:V=21.382697&amp;VAR:V0=24.058771&amp;VAR:V1=21.186894&amp;VAR:Y0=2001&amp;VAR:Y1=2002&amp;VAR:P=1129.900000&amp;VAR:DATE=20011203&amp;VAR:THRESH=||||","||"}</definedName>
    <definedName name="_22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0.923288&amp;VAR:V=21.382697&amp;VAR:V0=24.058771&amp;VAR:V1=21.186894&amp;VAR:Y0=2001&amp;VAR:Y1=2002&amp;VAR:P=1129.900000&amp;VAR:DATE=20011203&amp;VAR:THRESH=||||","||"}</definedName>
    <definedName name="_22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0.838356&amp;VAR:V=20.201959&amp;VAR:V0=22.832122&amp;VAR:V1=19.763004&amp;VAR:Y0=2001&amp;VAR:Y1=2002&amp;VAR:P=1087.200000&amp;VAR:DATE=20011102&amp;VAR:THRESH=||||","||"}</definedName>
    <definedName name="_22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0.838356&amp;VAR:V=20.201959&amp;VAR:V0=22.832122&amp;VAR:V1=19.763004&amp;VAR:Y0=2001&amp;VAR:Y1=2002&amp;VAR:P=1087.200000&amp;VAR:DATE=20011102&amp;VAR:THRESH=||||","||"}</definedName>
    <definedName name="_22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0.758904&amp;VAR:V=19.276156&amp;VAR:V0=21.701149&amp;VAR:V1=18.615309&amp;VAR:Y0=2001&amp;VAR:Y1=2002&amp;VAR:P=1069.630000&amp;VAR:DATE=20011004&amp;VAR:THRESH=||||","||"}</definedName>
    <definedName name="_22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0.758904&amp;VAR:V=19.276156&amp;VAR:V0=21.701149&amp;VAR:V1=18.615309&amp;VAR:Y0=2001&amp;VAR:Y1=2002&amp;VAR:P=1069.630000&amp;VAR:DATE=20011004&amp;VAR:THRESH=||||","||"}</definedName>
    <definedName name="_22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0.665753&amp;VAR:V=20.059419&amp;VAR:V0=22.378573&amp;VAR:V1=19.067352&amp;VAR:Y0=2001&amp;VAR:Y1=2002&amp;VAR:P=1133.587900&amp;VAR:DATE=20010831&amp;VAR:THRESH=||||","||"}</definedName>
    <definedName name="_22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0.665753&amp;VAR:V=20.059419&amp;VAR:V0=22.378573&amp;VAR:V1=19.067352&amp;VAR:Y0=2001&amp;VAR:Y1=2002&amp;VAR:P=1133.587900&amp;VAR:DATE=20010831&amp;VAR:THRESH=||||","||"}</definedName>
    <definedName name="_22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0.589041&amp;VAR:V=21.573088&amp;VAR:V0=23.738808&amp;VAR:V1=20.282137&amp;VAR:Y0=2001&amp;VAR:Y1=2002&amp;VAR:P=1214.350000&amp;VAR:DATE=20010803&amp;VAR:THRESH=||||","||"}</definedName>
    <definedName name="_2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0.175342&amp;VAR:V=13.885560&amp;VAR:V0=14.359925&amp;VAR:V1=12.018353&amp;VAR:Y0=2010&amp;VAR:Y1=2011&amp;VAR:P=1138.698076&amp;VAR:DATE=20100305&amp;VAR:THRESH=||||","||"}</definedName>
    <definedName name="_23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0.589041&amp;VAR:V=21.573088&amp;VAR:V0=23.738808&amp;VAR:V1=20.282137&amp;VAR:Y0=2001&amp;VAR:Y1=2002&amp;VAR:P=1214.350000&amp;VAR:DATE=20010803&amp;VAR:THRESH=||||","||"}</definedName>
    <definedName name="_23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0.504110&amp;VAR:V=21.437824&amp;VAR:V0=23.151243&amp;VAR:V1=19.982999&amp;VAR:Y0=2001&amp;VAR:Y1=2002&amp;VAR:P=1234.450000&amp;VAR:DATE=20010703&amp;VAR:THRESH=||||","||"}</definedName>
    <definedName name="_23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0.504110&amp;VAR:V=21.437824&amp;VAR:V0=23.151243&amp;VAR:V1=19.982999&amp;VAR:Y0=2001&amp;VAR:Y1=2002&amp;VAR:P=1234.450000&amp;VAR:DATE=20010703&amp;VAR:THRESH=||||","||"}</definedName>
    <definedName name="_23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0.424658&amp;VAR:V=21.983947&amp;VAR:V0=23.345944&amp;VAR:V1=20.373597&amp;VAR:Y0=2001&amp;VAR:Y1=2002&amp;VAR:P=1267.110000&amp;VAR:DATE=20010604&amp;VAR:THRESH=||||","||"}</definedName>
    <definedName name="_23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0.424658&amp;VAR:V=21.983947&amp;VAR:V0=23.345944&amp;VAR:V1=20.373597&amp;VAR:Y0=2001&amp;VAR:Y1=2002&amp;VAR:P=1267.110000&amp;VAR:DATE=20010604&amp;VAR:THRESH=||||","||"}</definedName>
    <definedName name="_23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0.339726&amp;VAR:V=21.854708&amp;VAR:V0=23.025443&amp;VAR:V1=19.889248&amp;VAR:Y0=2001&amp;VAR:Y1=2002&amp;VAR:P=1266.610000&amp;VAR:DATE=20010504&amp;VAR:THRESH=||||","||"}</definedName>
    <definedName name="_23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0.339726&amp;VAR:V=21.854708&amp;VAR:V0=23.025443&amp;VAR:V1=19.889248&amp;VAR:Y0=2001&amp;VAR:Y1=2002&amp;VAR:P=1266.610000&amp;VAR:DATE=20010504&amp;VAR:THRESH=||||","||"}</definedName>
    <definedName name="_23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0.257534&amp;VAR:V=18.821448&amp;VAR:V0=19.505505&amp;VAR:V1=17.093222&amp;VAR:Y0=2001&amp;VAR:Y1=2002&amp;VAR:P=1103.250000&amp;VAR:DATE=20010404&amp;VAR:THRESH=||||","||"}</definedName>
    <definedName name="_23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0.257534&amp;VAR:V=18.821448&amp;VAR:V0=19.505505&amp;VAR:V1=17.093222&amp;VAR:Y0=2001&amp;VAR:Y1=2002&amp;VAR:P=1103.250000&amp;VAR:DATE=20010404&amp;VAR:THRESH=||||","||"}</definedName>
    <definedName name="_23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0.167123&amp;VAR:V=20.683632&amp;VAR:V0=21.133754&amp;VAR:V1=18.698851&amp;VAR:Y0=2001&amp;VAR:Y1=2002&amp;VAR:P=1234.180000&amp;VAR:DATE=20010302&amp;VAR:THRESH=||||","||"}</definedName>
    <definedName name="_2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0.175342&amp;VAR:V=13.885560&amp;VAR:V0=14.359925&amp;VAR:V1=12.018353&amp;VAR:Y0=2010&amp;VAR:Y1=2011&amp;VAR:P=1138.698076&amp;VAR:DATE=20100305&amp;VAR:THRESH=||||","||"}</definedName>
    <definedName name="_24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0.167123&amp;VAR:V=20.683632&amp;VAR:V0=21.133754&amp;VAR:V1=18.698851&amp;VAR:Y0=2001&amp;VAR:Y1=2002&amp;VAR:P=1234.180000&amp;VAR:DATE=20010302&amp;VAR:THRESH=||||","||"}</definedName>
    <definedName name="_24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0.090411&amp;VAR:V=22.399899&amp;VAR:V0=22.646160&amp;VAR:V1=20.190973&amp;VAR:Y0=2001&amp;VAR:Y1=2002&amp;VAR:P=1349.470000&amp;VAR:DATE=20010202&amp;VAR:THRESH=||||","||"}</definedName>
    <definedName name="_24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0.090411&amp;VAR:V=22.399899&amp;VAR:V0=22.646160&amp;VAR:V1=20.190973&amp;VAR:Y0=2001&amp;VAR:Y1=2002&amp;VAR:P=1349.470000&amp;VAR:DATE=20010202&amp;VAR:THRESH=||||","||"}</definedName>
    <definedName name="_24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1.821528&amp;VAR:P=1&amp;VAR:DATE=20110203"}</definedName>
    <definedName name="_24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1.821528&amp;VAR:P=1&amp;VAR:DATE=20110203"}</definedName>
    <definedName name="_24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1.779404&amp;VAR:P=1&amp;VAR:DATE=20110103"}</definedName>
    <definedName name="_24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1.779404&amp;VAR:P=1&amp;VAR:DATE=20110103"}</definedName>
    <definedName name="_24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1.730541&amp;VAR:P=1&amp;VAR:DATE=20101203"}</definedName>
    <definedName name="_24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1.730541&amp;VAR:P=1&amp;VAR:DATE=20101203"}</definedName>
    <definedName name="_24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1.746705&amp;VAR:P=1&amp;VAR:DATE=20101103"}</definedName>
    <definedName name="_2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0.090411&amp;VAR:V=13.633070&amp;VAR:V0=13.874247&amp;VAR:V1=11.603751&amp;VAR:Y0=2010&amp;VAR:Y1=2011&amp;VAR:P=1103.323052&amp;VAR:DATE=20100202&amp;VAR:THRESH=||||","||"}</definedName>
    <definedName name="_25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1.746705&amp;VAR:P=1&amp;VAR:DATE=20101103"}</definedName>
    <definedName name="_25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1.674824&amp;VAR:P=1&amp;VAR:DATE=20101004"}</definedName>
    <definedName name="_25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1.674824&amp;VAR:P=1&amp;VAR:DATE=20101004"}</definedName>
    <definedName name="_25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1.633646&amp;VAR:P=1&amp;VAR:DATE=20100903"}</definedName>
    <definedName name="_25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1.633646&amp;VAR:P=1&amp;VAR:DATE=20100903"}</definedName>
    <definedName name="_25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1.657488&amp;VAR:P=1&amp;VAR:DATE=20100804"}</definedName>
    <definedName name="_25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1.657488&amp;VAR:P=1&amp;VAR:DATE=20100804"}</definedName>
    <definedName name="_25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1.542532&amp;VAR:P=1&amp;VAR:DATE=20100702"}</definedName>
    <definedName name="_25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1.542532&amp;VAR:P=1&amp;VAR:DATE=20100702"}</definedName>
    <definedName name="_25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1.612415&amp;VAR:P=1&amp;VAR:DATE=20100604"}</definedName>
    <definedName name="_2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0.090411&amp;VAR:V=13.633070&amp;VAR:V0=13.874247&amp;VAR:V1=11.603751&amp;VAR:Y0=2010&amp;VAR:Y1=2011&amp;VAR:P=1103.323052&amp;VAR:DATE=20100202&amp;VAR:THRESH=||||","||"}</definedName>
    <definedName name="_26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1.612415&amp;VAR:P=1&amp;VAR:DATE=20100604"}</definedName>
    <definedName name="_26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1.719501&amp;VAR:P=1&amp;VAR:DATE=20100505"}</definedName>
    <definedName name="_26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1.719501&amp;VAR:P=1&amp;VAR:DATE=20100505"}</definedName>
    <definedName name="_26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1.730992&amp;VAR:P=1&amp;VAR:DATE=20100401"}</definedName>
    <definedName name="_26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1.730992&amp;VAR:P=1&amp;VAR:DATE=20100401"}</definedName>
    <definedName name="_26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1.692202&amp;VAR:P=1&amp;VAR:DATE=20100305"}</definedName>
    <definedName name="_26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1.692202&amp;VAR:P=1&amp;VAR:DATE=20100305"}</definedName>
    <definedName name="_26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1.688553&amp;VAR:P=1&amp;VAR:DATE=20100202"}</definedName>
    <definedName name="_26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1.688553&amp;VAR:P=1&amp;VAR:DATE=20100202"}</definedName>
    <definedName name="_26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1.708889&amp;VAR:P=1&amp;VAR:DATE=20091231"}</definedName>
    <definedName name="_27__123Graph_BCHART_111" hidden="1">[2]Menu!$D$24:$M$24</definedName>
    <definedName name="_2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1.000000&amp;VAR:V=14.251457&amp;VAR:V0=18.282748&amp;VAR:V1=14.251457&amp;VAR:Y0=2009&amp;VAR:Y1=2010&amp;VAR:P=1115.102681&amp;VAR:DATE=20091231&amp;VAR:THRESH=||||","||"}</definedName>
    <definedName name="_27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1.708889&amp;VAR:P=1&amp;VAR:DATE=20091231"}</definedName>
    <definedName name="_27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1.682223&amp;VAR:P=1&amp;VAR:DATE=20091203"}</definedName>
    <definedName name="_27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1.682223&amp;VAR:P=1&amp;VAR:DATE=20091203"}</definedName>
    <definedName name="_27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1.542028&amp;VAR:P=1&amp;VAR:DATE=20091103"}</definedName>
    <definedName name="_27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1.542028&amp;VAR:P=1&amp;VAR:DATE=20091103"}</definedName>
    <definedName name="_27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1.517806&amp;VAR:P=1&amp;VAR:DATE=20091002"}</definedName>
    <definedName name="_27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1.517806&amp;VAR:P=1&amp;VAR:DATE=20091002"}</definedName>
    <definedName name="_27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1.479540&amp;VAR:P=1&amp;VAR:DATE=20090903"}</definedName>
    <definedName name="_27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1.479540&amp;VAR:P=1&amp;VAR:DATE=20090903"}</definedName>
    <definedName name="_27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1.424409&amp;VAR:P=1&amp;VAR:DATE=20090804"}</definedName>
    <definedName name="_28__123Graph_BCHART_112" hidden="1">[2]Menu!$D$18:$M$18</definedName>
    <definedName name="_2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1.000000&amp;VAR:V=14.251457&amp;VAR:V0=18.282748&amp;VAR:V1=14.251457&amp;VAR:Y0=2009&amp;VAR:Y1=2010&amp;VAR:P=1115.102681&amp;VAR:DATE=20091231&amp;VAR:THRESH=||||","||"}</definedName>
    <definedName name="_28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1.424409&amp;VAR:P=1&amp;VAR:DATE=20090804"}</definedName>
    <definedName name="_28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1.326180&amp;VAR:P=1&amp;VAR:DATE=20090702"}</definedName>
    <definedName name="_28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1.326180&amp;VAR:P=1&amp;VAR:DATE=20090702"}</definedName>
    <definedName name="_28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1.370427&amp;VAR:P=1&amp;VAR:DATE=20090604"}</definedName>
    <definedName name="_28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1.370427&amp;VAR:P=1&amp;VAR:DATE=20090604"}</definedName>
    <definedName name="_28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1.247711&amp;VAR:P=1&amp;VAR:DATE=20090504"}</definedName>
    <definedName name="_28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1.247711&amp;VAR:P=1&amp;VAR:DATE=20090504"}</definedName>
    <definedName name="_28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1.192289&amp;VAR:P=1&amp;VAR:DATE=20090403"}</definedName>
    <definedName name="_28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1.192289&amp;VAR:P=1&amp;VAR:DATE=20090403"}</definedName>
    <definedName name="_28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1.071133&amp;VAR:P=1&amp;VAR:DATE=20090304"}</definedName>
    <definedName name="_29__123Graph_BCHART_26" hidden="1">[2]Menu!$D$88:$M$88</definedName>
    <definedName name="_2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0.923288&amp;VAR:V=14.292160&amp;VAR:V0=17.593214&amp;VAR:V1=14.072771&amp;VAR:Y0=2009&amp;VAR:Y1=2010&amp;VAR:P=1099.922226&amp;VAR:DATE=20091203&amp;VAR:THRESH=||||","||"}</definedName>
    <definedName name="_29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1.071133&amp;VAR:P=1&amp;VAR:DATE=20090304"}</definedName>
    <definedName name="_29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1.155717&amp;VAR:P=1&amp;VAR:DATE=20090202"}</definedName>
    <definedName name="_29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1.155717&amp;VAR:P=1&amp;VAR:DATE=20090202"}</definedName>
    <definedName name="_29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1.265845&amp;VAR:P=1&amp;VAR:DATE=20090102"}</definedName>
    <definedName name="_29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1.265845&amp;VAR:P=1&amp;VAR:DATE=20090102"}</definedName>
    <definedName name="_29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1.252604&amp;VAR:P=1&amp;VAR:DATE=20081203"}</definedName>
    <definedName name="_29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1.252604&amp;VAR:P=1&amp;VAR:DATE=20081203"}</definedName>
    <definedName name="_29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1.408078&amp;VAR:P=1&amp;VAR:DATE=20081103"}</definedName>
    <definedName name="_29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1.408078&amp;VAR:P=1&amp;VAR:DATE=20081103"}</definedName>
    <definedName name="_29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1.534903&amp;VAR:P=1&amp;VAR:DATE=20081003"}</definedName>
    <definedName name="_3__FDSAUDITLINK__" hidden="1">{"fdsup://directions/FAT Viewer?action=UPDATE&amp;creator=factset&amp;DYN_ARGS=TRUE&amp;DOC_NAME=FAT:FQL_AUDITING_CLIENT_TEMPLATE.FAT&amp;display_string=Audit&amp;VAR:KEY=CPCRGJOXSD&amp;VAR:QUERY=Q1NGX0VOVFJQUl9WQUwoQU5OLDAsLCwsVVNEKQ==&amp;WINDOW=FIRST_POPUP&amp;HEIGHT=450&amp;WIDTH=450&amp;STAR","T_MAXIMIZED=FALSE&amp;VAR:CALENDAR=US&amp;VAR:SYMBOL=HRC&amp;VAR:INDEX=0"}</definedName>
    <definedName name="_3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0.923288&amp;VAR:V=14.292160&amp;VAR:V0=17.593214&amp;VAR:V1=14.072771&amp;VAR:Y0=2009&amp;VAR:Y1=2010&amp;VAR:P=1099.922226&amp;VAR:DATE=20091203&amp;VAR:THRESH=||||","||"}</definedName>
    <definedName name="_30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1.534903&amp;VAR:P=1&amp;VAR:DATE=20081003"}</definedName>
    <definedName name="_30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1.895948&amp;VAR:P=1&amp;VAR:DATE=20080903"}</definedName>
    <definedName name="_30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1.895948&amp;VAR:P=1&amp;VAR:DATE=20080903"}</definedName>
    <definedName name="_30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1.907333&amp;VAR:P=1&amp;VAR:DATE=20080801"}</definedName>
    <definedName name="_30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1.907333&amp;VAR:P=1&amp;VAR:DATE=20080801"}</definedName>
    <definedName name="_30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1.963732&amp;VAR:P=1&amp;VAR:DATE=20080703"}</definedName>
    <definedName name="_30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1.963732&amp;VAR:P=1&amp;VAR:DATE=20080703"}</definedName>
    <definedName name="_30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2.049965&amp;VAR:P=1&amp;VAR:DATE=20080604"}</definedName>
    <definedName name="_30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2.049965&amp;VAR:P=1&amp;VAR:DATE=20080604"}</definedName>
    <definedName name="_30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2.153406&amp;VAR:P=1&amp;VAR:DATE=20080502"}</definedName>
    <definedName name="_3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0.841096&amp;VAR:V=13.913139&amp;VAR:V0=16.764521&amp;VAR:V1=13.479984&amp;VAR:Y0=2009&amp;VAR:Y1=2010&amp;VAR:P=1045.408874&amp;VAR:DATE=20091103&amp;VAR:THRESH=||||","||"}</definedName>
    <definedName name="_31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2.153406&amp;VAR:P=1&amp;VAR:DATE=20080502"}</definedName>
    <definedName name="_31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2.089191&amp;VAR:P=1&amp;VAR:DATE=20080404"}</definedName>
    <definedName name="_31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2.089191&amp;VAR:P=1&amp;VAR:DATE=20080404"}</definedName>
    <definedName name="_31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2.021046&amp;VAR:P=1&amp;VAR:DATE=20080304"}</definedName>
    <definedName name="_31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2.021046&amp;VAR:P=1&amp;VAR:DATE=20080304"}</definedName>
    <definedName name="_31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2.092343&amp;VAR:P=1&amp;VAR:DATE=20080201"}</definedName>
    <definedName name="_31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2.092343&amp;VAR:P=1&amp;VAR:DATE=20080201"}</definedName>
    <definedName name="_31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2.218586&amp;VAR:P=1&amp;VAR:DATE=20080103"}</definedName>
    <definedName name="_31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2.218586&amp;VAR:P=1&amp;VAR:DATE=20080103"}</definedName>
    <definedName name="_31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2.218348&amp;VAR:P=1&amp;VAR:DATE=20071204"}</definedName>
    <definedName name="_3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0.841096&amp;VAR:V=13.913139&amp;VAR:V0=16.764521&amp;VAR:V1=13.479984&amp;VAR:Y0=2009&amp;VAR:Y1=2010&amp;VAR:P=1045.408874&amp;VAR:DATE=20091103&amp;VAR:THRESH=||||","||"}</definedName>
    <definedName name="_32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2.218348&amp;VAR:P=1&amp;VAR:DATE=20071204"}</definedName>
    <definedName name="_32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2.305240&amp;VAR:P=1&amp;VAR:DATE=20071102"}</definedName>
    <definedName name="_32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2.305240&amp;VAR:P=1&amp;VAR:DATE=20071102"}</definedName>
    <definedName name="_32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2.306122&amp;VAR:P=1&amp;VAR:DATE=20071004"}</definedName>
    <definedName name="_32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2.306122&amp;VAR:P=1&amp;VAR:DATE=20071004"}</definedName>
    <definedName name="_32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2.252037&amp;VAR:P=1&amp;VAR:DATE=20070904"}</definedName>
    <definedName name="_32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2.252037&amp;VAR:P=1&amp;VAR:DATE=20070904"}</definedName>
    <definedName name="_32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2.207110&amp;VAR:P=1&amp;VAR:DATE=20070803"}</definedName>
    <definedName name="_32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2.207110&amp;VAR:P=1&amp;VAR:DATE=20070803"}</definedName>
    <definedName name="_32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2.275805&amp;VAR:P=1&amp;VAR:DATE=20070705"}</definedName>
    <definedName name="_3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0.753425&amp;VAR:V=14.257408&amp;VAR:V0=16.997943&amp;VAR:V1=13.542816&amp;VAR:Y0=2009&amp;VAR:Y1=2010&amp;VAR:P=1025.210463&amp;VAR:DATE=20091002&amp;VAR:THRESH=||||","||"}</definedName>
    <definedName name="_33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2.275805&amp;VAR:P=1&amp;VAR:DATE=20070705"}</definedName>
    <definedName name="_33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2.283741&amp;VAR:P=1&amp;VAR:DATE=20070604"}</definedName>
    <definedName name="_33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2.283741&amp;VAR:P=1&amp;VAR:DATE=20070604"}</definedName>
    <definedName name="_33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2.243829&amp;VAR:P=1&amp;VAR:DATE=20070504"}</definedName>
    <definedName name="_33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2.243829&amp;VAR:P=1&amp;VAR:DATE=20070504"}</definedName>
    <definedName name="_33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2.137900&amp;VAR:P=1&amp;VAR:DATE=20070404"}</definedName>
    <definedName name="_33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2.137900&amp;VAR:P=1&amp;VAR:DATE=20070404"}</definedName>
    <definedName name="_33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2.067120&amp;VAR:P=1&amp;VAR:DATE=20070305"}</definedName>
    <definedName name="_33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2.067120&amp;VAR:P=1&amp;VAR:DATE=20070305"}</definedName>
    <definedName name="_33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2.131472&amp;VAR:P=1&amp;VAR:DATE=20070202"}</definedName>
    <definedName name="_3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0.753425&amp;VAR:V=14.257408&amp;VAR:V0=16.997943&amp;VAR:V1=13.542816&amp;VAR:Y0=2009&amp;VAR:Y1=2010&amp;VAR:P=1025.210463&amp;VAR:DATE=20091002&amp;VAR:THRESH=||||","||"}</definedName>
    <definedName name="_34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2.131472&amp;VAR:P=1&amp;VAR:DATE=20070202"}</definedName>
    <definedName name="_34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2.136717&amp;VAR:P=1&amp;VAR:DATE=20070103"}</definedName>
    <definedName name="_34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2.136717&amp;VAR:P=1&amp;VAR:DATE=20070103"}</definedName>
    <definedName name="_34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2.148462&amp;VAR:P=1&amp;VAR:DATE=20061204"}</definedName>
    <definedName name="_34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2.148462&amp;VAR:P=1&amp;VAR:DATE=20061204"}</definedName>
    <definedName name="_34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2.124881&amp;VAR:P=1&amp;VAR:DATE=20061103"}</definedName>
    <definedName name="_34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2.124881&amp;VAR:P=1&amp;VAR:DATE=20061103"}</definedName>
    <definedName name="_34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2.067889&amp;VAR:P=1&amp;VAR:DATE=20061004"}</definedName>
    <definedName name="_34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2.067889&amp;VAR:P=1&amp;VAR:DATE=20061004"}</definedName>
    <definedName name="_34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2.030998&amp;VAR:P=1&amp;VAR:DATE=20060901"}</definedName>
    <definedName name="_35__123Graph_Bｸﾞﾗﾌ_1" hidden="1">[4]ｾｸﾞﾒﾝﾄ!$E$165:$I$165</definedName>
    <definedName name="_3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0.673973&amp;VAR:V=14.230549&amp;VAR:V0=16.643009&amp;VAR:V1=13.298091&amp;VAR:Y0=2009&amp;VAR:Y1=2010&amp;VAR:P=1003.238385&amp;VAR:DATE=20090903&amp;VAR:THRESH=||||","||"}</definedName>
    <definedName name="_35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2.030998&amp;VAR:P=1&amp;VAR:DATE=20060901"}</definedName>
    <definedName name="_35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2.076629&amp;VAR:P=1&amp;VAR:DATE=20060804"}</definedName>
    <definedName name="_35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2.076629&amp;VAR:P=1&amp;VAR:DATE=20060804"}</definedName>
    <definedName name="_35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2.095197&amp;VAR:P=1&amp;VAR:DATE=20060703"}</definedName>
    <definedName name="_35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2.095197&amp;VAR:P=1&amp;VAR:DATE=20060703"}</definedName>
    <definedName name="_35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2.104047&amp;VAR:P=1&amp;VAR:DATE=20060602"}</definedName>
    <definedName name="_35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2.104047&amp;VAR:P=1&amp;VAR:DATE=20060602"}</definedName>
    <definedName name="_35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2.150036&amp;VAR:P=1&amp;VAR:DATE=20060505"}</definedName>
    <definedName name="_35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2.150036&amp;VAR:P=1&amp;VAR:DATE=20060505"}</definedName>
    <definedName name="_35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2.106068&amp;VAR:P=1&amp;VAR:DATE=20060404"}</definedName>
    <definedName name="_36__123Graph_CCHART_111" hidden="1">[2]Menu!$D$25:$M$25</definedName>
    <definedName name="_3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0.673973&amp;VAR:V=14.230549&amp;VAR:V0=16.643009&amp;VAR:V1=13.298091&amp;VAR:Y0=2009&amp;VAR:Y1=2010&amp;VAR:P=1003.238385&amp;VAR:DATE=20090903&amp;VAR:THRESH=||||","||"}</definedName>
    <definedName name="_36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2.106068&amp;VAR:P=1&amp;VAR:DATE=20060404"}</definedName>
    <definedName name="_36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2.096924&amp;VAR:P=1&amp;VAR:DATE=20060303"}</definedName>
    <definedName name="_36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2.096924&amp;VAR:P=1&amp;VAR:DATE=20060303"}</definedName>
    <definedName name="_36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2.083735&amp;VAR:P=1&amp;VAR:DATE=20060202"}</definedName>
    <definedName name="_36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2.083735&amp;VAR:P=1&amp;VAR:DATE=20060202"}</definedName>
    <definedName name="_36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2.078322&amp;VAR:P=1&amp;VAR:DATE=20060103"}</definedName>
    <definedName name="_36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2.078322&amp;VAR:P=1&amp;VAR:DATE=20060103"}</definedName>
    <definedName name="_36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2.070017&amp;VAR:P=1&amp;VAR:DATE=20051202"}</definedName>
    <definedName name="_36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2.070017&amp;VAR:P=1&amp;VAR:DATE=20051202"}</definedName>
    <definedName name="_36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2.050054&amp;VAR:P=1&amp;VAR:DATE=20051103"}</definedName>
    <definedName name="_37__123Graph_CCHART_112" hidden="1">[2]Menu!$D$19:$M$19</definedName>
    <definedName name="_3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0.591781&amp;VAR:V=14.524336&amp;VAR:V0=16.618316&amp;VAR:V1=13.362843&amp;VAR:Y0=2009&amp;VAR:Y1=2010&amp;VAR:P=1005.647437&amp;VAR:DATE=20090804&amp;VAR:THRESH=||||","||"}</definedName>
    <definedName name="_37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2.050054&amp;VAR:P=1&amp;VAR:DATE=20051103"}</definedName>
    <definedName name="_37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2.037205&amp;VAR:P=1&amp;VAR:DATE=20051004"}</definedName>
    <definedName name="_37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2.037205&amp;VAR:P=1&amp;VAR:DATE=20051004"}</definedName>
    <definedName name="_37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2.044522&amp;VAR:P=1&amp;VAR:DATE=20050902"}</definedName>
    <definedName name="_37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2.044522&amp;VAR:P=1&amp;VAR:DATE=20050902"}</definedName>
    <definedName name="_37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2.129833&amp;VAR:P=1&amp;VAR:DATE=20050804"}</definedName>
    <definedName name="_37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2.129833&amp;VAR:P=1&amp;VAR:DATE=20050804"}</definedName>
    <definedName name="_37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2.078921&amp;VAR:P=1&amp;VAR:DATE=20050701"}</definedName>
    <definedName name="_37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2.078921&amp;VAR:P=1&amp;VAR:DATE=20050701"}</definedName>
    <definedName name="_37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2.091983&amp;VAR:P=1&amp;VAR:DATE=20050603"}</definedName>
    <definedName name="_38__123Graph_CCHART_26" hidden="1">[2]Menu!$D$92:$M$92</definedName>
    <definedName name="_3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0.591781&amp;VAR:V=14.524336&amp;VAR:V0=16.618316&amp;VAR:V1=13.362843&amp;VAR:Y0=2009&amp;VAR:Y1=2010&amp;VAR:P=1005.647437&amp;VAR:DATE=20090804&amp;VAR:THRESH=||||","||"}</definedName>
    <definedName name="_38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2.091983&amp;VAR:P=1&amp;VAR:DATE=20050603"}</definedName>
    <definedName name="_38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2.115283&amp;VAR:P=1&amp;VAR:DATE=20050504"}</definedName>
    <definedName name="_38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2.115283&amp;VAR:P=1&amp;VAR:DATE=20050504"}</definedName>
    <definedName name="_38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2.099748&amp;VAR:P=1&amp;VAR:DATE=20050404"}</definedName>
    <definedName name="_38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2.099748&amp;VAR:P=1&amp;VAR:DATE=20050404"}</definedName>
    <definedName name="_38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2.139575&amp;VAR:P=1&amp;VAR:DATE=20050304"}</definedName>
    <definedName name="_38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2.139575&amp;VAR:P=1&amp;VAR:DATE=20050304"}</definedName>
    <definedName name="_38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2.137896&amp;VAR:P=1&amp;VAR:DATE=20050202"}</definedName>
    <definedName name="_38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2.137896&amp;VAR:P=1&amp;VAR:DATE=20050202"}</definedName>
    <definedName name="_38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2.166928&amp;VAR:P=1&amp;VAR:DATE=20050103"}</definedName>
    <definedName name="_39__123Graph_CCHART_30" hidden="1">[2]Menu!$D$12:$M$12</definedName>
    <definedName name="_3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0.501370&amp;VAR:V=13.383225&amp;VAR:V0=15.113260&amp;VAR:V1=12.015331&amp;VAR:Y0=2009&amp;VAR:Y1=2010&amp;VAR:P=896.423078&amp;VAR:DATE=20090702&amp;VAR:THRESH=|||||","|"}</definedName>
    <definedName name="_39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2.166928&amp;VAR:P=1&amp;VAR:DATE=20050103"}</definedName>
    <definedName name="_39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2.156842&amp;VAR:P=1&amp;VAR:DATE=20041203"}</definedName>
    <definedName name="_39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2.156842&amp;VAR:P=1&amp;VAR:DATE=20041203"}</definedName>
    <definedName name="_39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2.115481&amp;VAR:P=1&amp;VAR:DATE=20041103"}</definedName>
    <definedName name="_39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2.115481&amp;VAR:P=1&amp;VAR:DATE=20041103"}</definedName>
    <definedName name="_39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2.093233&amp;VAR:P=1&amp;VAR:DATE=20041001"}</definedName>
    <definedName name="_39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2.093233&amp;VAR:P=1&amp;VAR:DATE=20041001"}</definedName>
    <definedName name="_39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2.076150&amp;VAR:P=1&amp;VAR:DATE=20040903"}</definedName>
    <definedName name="_39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2.076150&amp;VAR:P=1&amp;VAR:DATE=20040903"}</definedName>
    <definedName name="_39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2.134202&amp;VAR:P=1&amp;VAR:DATE=20040803"}</definedName>
    <definedName name="_4__FDSAUDITLINK__" hidden="1">{"fdsup://directions/FAT Viewer?action=UPDATE&amp;creator=factset&amp;DYN_ARGS=TRUE&amp;DOC_NAME=FAT:FQL_AUDITING_CLIENT_TEMPLATE.FAT&amp;display_string=Audit&amp;VAR:KEY=CPCRGJOXSD&amp;VAR:QUERY=Q1NGX0VOVFJQUl9WQUwoQU5OLDAsLCwsVVNEKQ==&amp;WINDOW=FIRST_POPUP&amp;HEIGHT=450&amp;WIDTH=450&amp;STAR","T_MAXIMIZED=FALSE&amp;VAR:CALENDAR=US&amp;VAR:SYMBOL=HRC&amp;VAR:INDEX=0"}</definedName>
    <definedName name="_4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0.501370&amp;VAR:V=13.383225&amp;VAR:V0=15.113260&amp;VAR:V1=12.015331&amp;VAR:Y0=2009&amp;VAR:Y1=2010&amp;VAR:P=896.423078&amp;VAR:DATE=20090702&amp;VAR:THRESH=|||||","|"}</definedName>
    <definedName name="_40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2.134202&amp;VAR:P=1&amp;VAR:DATE=20040803"}</definedName>
    <definedName name="_40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2.170779&amp;VAR:P=1&amp;VAR:DATE=20040702"}</definedName>
    <definedName name="_40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2.170779&amp;VAR:P=1&amp;VAR:DATE=20040702"}</definedName>
    <definedName name="_40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2.174230&amp;VAR:P=1&amp;VAR:DATE=20040604"}</definedName>
    <definedName name="_40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2.174230&amp;VAR:P=1&amp;VAR:DATE=20040604"}</definedName>
    <definedName name="_40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2.191797&amp;VAR:P=1&amp;VAR:DATE=20040504"}</definedName>
    <definedName name="_40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2.191797&amp;VAR:P=1&amp;VAR:DATE=20040504"}</definedName>
    <definedName name="_40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2.216448&amp;VAR:P=1&amp;VAR:DATE=20040402"}</definedName>
    <definedName name="_40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2.216448&amp;VAR:P=1&amp;VAR:DATE=20040402"}</definedName>
    <definedName name="_40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2.236377&amp;VAR:P=1&amp;VAR:DATE=20040304"}</definedName>
    <definedName name="_4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0.424658&amp;VAR:V=14.327608&amp;VAR:V0=15.860658&amp;VAR:V1=12.668591&amp;VAR:Y0=2009&amp;VAR:Y1=2010&amp;VAR:P=942.463847&amp;VAR:DATE=20090604&amp;VAR:THRESH=|||||","|"}</definedName>
    <definedName name="_41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2.236377&amp;VAR:P=1&amp;VAR:DATE=20040304"}</definedName>
    <definedName name="_41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2.210385&amp;VAR:P=1&amp;VAR:DATE=20040203"}</definedName>
    <definedName name="_41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2.210385&amp;VAR:P=1&amp;VAR:DATE=20040203"}</definedName>
    <definedName name="_41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2.187893&amp;VAR:P=1&amp;VAR:DATE=20040102"}</definedName>
    <definedName name="_41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2.187893&amp;VAR:P=1&amp;VAR:DATE=20040102"}</definedName>
    <definedName name="_41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2.145169&amp;VAR:P=1&amp;VAR:DATE=20031204"}</definedName>
    <definedName name="_41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2.145169&amp;VAR:P=1&amp;VAR:DATE=20031204"}</definedName>
    <definedName name="_41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2.158971&amp;VAR:P=1&amp;VAR:DATE=20031103"}</definedName>
    <definedName name="_41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2.158971&amp;VAR:P=1&amp;VAR:DATE=20031103"}</definedName>
    <definedName name="_41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2.127007&amp;VAR:P=1&amp;VAR:DATE=20031003"}</definedName>
    <definedName name="_4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0.424658&amp;VAR:V=14.327608&amp;VAR:V0=15.860658&amp;VAR:V1=12.668591&amp;VAR:Y0=2009&amp;VAR:Y1=2010&amp;VAR:P=942.463847&amp;VAR:DATE=20090604&amp;VAR:THRESH=|||||","|"}</definedName>
    <definedName name="_42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2.127007&amp;VAR:P=1&amp;VAR:DATE=20031003"}</definedName>
    <definedName name="_42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2.137612&amp;VAR:P=1&amp;VAR:DATE=20030904"}</definedName>
    <definedName name="_42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2.137612&amp;VAR:P=1&amp;VAR:DATE=20030904"}</definedName>
    <definedName name="_42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2.062344&amp;VAR:P=1&amp;VAR:DATE=20030804"}</definedName>
    <definedName name="_42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2.062344&amp;VAR:P=1&amp;VAR:DATE=20030804"}</definedName>
    <definedName name="_42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2.063665&amp;VAR:P=1&amp;VAR:DATE=20030703"}</definedName>
    <definedName name="_42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2.063665&amp;VAR:P=1&amp;VAR:DATE=20030703"}</definedName>
    <definedName name="_42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2.075626&amp;VAR:P=1&amp;VAR:DATE=20030604"}</definedName>
    <definedName name="_42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2.075626&amp;VAR:P=1&amp;VAR:DATE=20030604"}</definedName>
    <definedName name="_42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2.063878&amp;VAR:P=1&amp;VAR:DATE=20030505"}</definedName>
    <definedName name="_4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0.339726&amp;VAR:V=14.271033&amp;VAR:V0=15.568225&amp;VAR:V1=12.282048&amp;VAR:Y0=2009&amp;VAR:Y1=2010&amp;VAR:P=907.237535&amp;VAR:DATE=20090504&amp;VAR:THRESH=|||||","|"}</definedName>
    <definedName name="_43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2.063878&amp;VAR:P=1&amp;VAR:DATE=20030505"}</definedName>
    <definedName name="_43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1.990979&amp;VAR:P=1&amp;VAR:DATE=20030404"}</definedName>
    <definedName name="_43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1.990979&amp;VAR:P=1&amp;VAR:DATE=20030404"}</definedName>
    <definedName name="_43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1.923928&amp;VAR:P=1&amp;VAR:DATE=20030305"}</definedName>
    <definedName name="_43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1.923928&amp;VAR:P=1&amp;VAR:DATE=20030305"}</definedName>
    <definedName name="_43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1.897963&amp;VAR:P=1&amp;VAR:DATE=20030203"}</definedName>
    <definedName name="_43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1.897963&amp;VAR:P=1&amp;VAR:DATE=20030203"}</definedName>
    <definedName name="_43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1.973074&amp;VAR:P=1&amp;VAR:DATE=20030103"}</definedName>
    <definedName name="_43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1.973074&amp;VAR:P=1&amp;VAR:DATE=20030103"}</definedName>
    <definedName name="_43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1.996697&amp;VAR:P=1&amp;VAR:DATE=20021204"}</definedName>
    <definedName name="_44__123Graph_DCHART_112" hidden="1">[2]Menu!$D$16:$M$16</definedName>
    <definedName name="_4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0.339726&amp;VAR:V=14.271033&amp;VAR:V0=15.568225&amp;VAR:V1=12.282048&amp;VAR:Y0=2009&amp;VAR:Y1=2010&amp;VAR:P=907.237535&amp;VAR:DATE=20090504&amp;VAR:THRESH=|||||","|"}</definedName>
    <definedName name="_44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1.996697&amp;VAR:P=1&amp;VAR:DATE=20021204"}</definedName>
    <definedName name="_44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1.958286&amp;VAR:P=1&amp;VAR:DATE=20021101"}</definedName>
    <definedName name="_44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1.958286&amp;VAR:P=1&amp;VAR:DATE=20021101"}</definedName>
    <definedName name="_44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1.836557&amp;VAR:P=1&amp;VAR:DATE=20021004"}</definedName>
    <definedName name="_44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1.836557&amp;VAR:P=1&amp;VAR:DATE=20021004"}</definedName>
    <definedName name="_44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1.935345&amp;VAR:P=1&amp;VAR:DATE=20020903"}</definedName>
    <definedName name="_44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1.935345&amp;VAR:P=1&amp;VAR:DATE=20020903"}</definedName>
    <definedName name="_44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1.915557&amp;VAR:P=1&amp;VAR:DATE=20020802"}</definedName>
    <definedName name="_44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1.915557&amp;VAR:P=1&amp;VAR:DATE=20020802"}</definedName>
    <definedName name="_44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1.982351&amp;VAR:P=1&amp;VAR:DATE=20020703"}</definedName>
    <definedName name="_45__123Graph_Dｸﾞﾗﾌ_1" hidden="1">[4]ｾｸﾞﾒﾝﾄ!$E$167:$I$167</definedName>
    <definedName name="_4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0.254795&amp;VAR:V=13.082001&amp;VAR:V0=13.942891&amp;VAR:V1=11.080952&amp;VAR:Y0=2009&amp;VAR:Y1=2010&amp;VAR:P=842.500407&amp;VAR:DATE=20090403&amp;VAR:THRESH=|||||","|"}</definedName>
    <definedName name="_45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1.982351&amp;VAR:P=1&amp;VAR:DATE=20020703"}</definedName>
    <definedName name="_45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2.107189&amp;VAR:P=1&amp;VAR:DATE=20020604"}</definedName>
    <definedName name="_45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2.107189&amp;VAR:P=1&amp;VAR:DATE=20020604"}</definedName>
    <definedName name="_45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1.999840&amp;VAR:P=1&amp;VAR:DATE=20020503"}</definedName>
    <definedName name="_45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1.999840&amp;VAR:P=1&amp;VAR:DATE=20020503"}</definedName>
    <definedName name="_45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2.074337&amp;VAR:P=1&amp;VAR:DATE=20020404"}</definedName>
    <definedName name="_45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2.074337&amp;VAR:P=1&amp;VAR:DATE=20020404"}</definedName>
    <definedName name="_45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2.111153&amp;VAR:P=1&amp;VAR:DATE=20020305"}</definedName>
    <definedName name="_45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2.111153&amp;VAR:P=1&amp;VAR:DATE=20020305"}</definedName>
    <definedName name="_45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2.120246&amp;VAR:P=1&amp;VAR:DATE=20020201"}</definedName>
    <definedName name="_4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0.254795&amp;VAR:V=13.082001&amp;VAR:V0=13.942891&amp;VAR:V1=11.080952&amp;VAR:Y0=2009&amp;VAR:Y1=2010&amp;VAR:P=842.500407&amp;VAR:DATE=20090403&amp;VAR:THRESH=|||||","|"}</definedName>
    <definedName name="_46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2.120246&amp;VAR:P=1&amp;VAR:DATE=20020201"}</definedName>
    <definedName name="_46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2.172005&amp;VAR:P=1&amp;VAR:DATE=20020103"}</definedName>
    <definedName name="_46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2.172005&amp;VAR:P=1&amp;VAR:DATE=20020103"}</definedName>
    <definedName name="_46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2.123356&amp;VAR:P=1&amp;VAR:DATE=20011203"}</definedName>
    <definedName name="_46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2.123356&amp;VAR:P=1&amp;VAR:DATE=20011203"}</definedName>
    <definedName name="_46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2.010908&amp;VAR:P=1&amp;VAR:DATE=20011102"}</definedName>
    <definedName name="_46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2.010908&amp;VAR:P=1&amp;VAR:DATE=20011102"}</definedName>
    <definedName name="_46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1.957145&amp;VAR:P=1&amp;VAR:DATE=20011004"}</definedName>
    <definedName name="_46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1.957145&amp;VAR:P=1&amp;VAR:DATE=20011004"}</definedName>
    <definedName name="_46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2.035535&amp;VAR:P=1&amp;VAR:DATE=20010831"}</definedName>
    <definedName name="_4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0.172603&amp;VAR:V=10.807509&amp;VAR:V0=11.293009&amp;VAR:V1=8.960820&amp;VAR:Y0=2009&amp;VAR:Y1=2010&amp;VAR:P=712.865752&amp;VAR:DATE=20090304&amp;VAR:THRESH=||||||"}</definedName>
    <definedName name="_47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2.035535&amp;VAR:P=1&amp;VAR:DATE=20010831"}</definedName>
    <definedName name="_47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2.190282&amp;VAR:P=1&amp;VAR:DATE=20010803"}</definedName>
    <definedName name="_47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2.190282&amp;VAR:P=1&amp;VAR:DATE=20010803"}</definedName>
    <definedName name="_47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2.212685&amp;VAR:P=1&amp;VAR:DATE=20010703"}</definedName>
    <definedName name="_47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2.212685&amp;VAR:P=1&amp;VAR:DATE=20010703"}</definedName>
    <definedName name="_47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2.267329&amp;VAR:P=1&amp;VAR:DATE=20010604"}</definedName>
    <definedName name="_47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2.267329&amp;VAR:P=1&amp;VAR:DATE=20010604"}</definedName>
    <definedName name="_47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2.311696&amp;VAR:P=1&amp;VAR:DATE=20010504"}</definedName>
    <definedName name="_47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2.311696&amp;VAR:P=1&amp;VAR:DATE=20010504"}</definedName>
    <definedName name="_47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2.090174&amp;VAR:P=1&amp;VAR:DATE=20010404"}</definedName>
    <definedName name="_4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0.172603&amp;VAR:V=10.807509&amp;VAR:V0=11.293009&amp;VAR:V1=8.960820&amp;VAR:Y0=2009&amp;VAR:Y1=2010&amp;VAR:P=712.865752&amp;VAR:DATE=20090304&amp;VAR:THRESH=||||||"}</definedName>
    <definedName name="_48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2.090174&amp;VAR:P=1&amp;VAR:DATE=20010404"}</definedName>
    <definedName name="_48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2.271824&amp;VAR:P=1&amp;VAR:DATE=20010302"}</definedName>
    <definedName name="_48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2.271824&amp;VAR:P=1&amp;VAR:DATE=20010302"}</definedName>
    <definedName name="_48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2.441691&amp;VAR:P=1&amp;VAR:DATE=20010202"}</definedName>
    <definedName name="_48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2.441691&amp;VAR:P=1&amp;VAR:DATE=20010202"}</definedName>
    <definedName name="_48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0.093151&amp;VAR:V=1.253723&amp;VAR:V0=1.267823&amp;VAR:V1=1.116454&amp;VAR:Y0=2011&amp;VAR:Y1=2012&amp;VAR:P=1302.260000&amp;VAR:DATE=20110203&amp;VAR:THRESH=|||||","|"}</definedName>
    <definedName name="_48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0.093151&amp;VAR:V=1.253723&amp;VAR:V0=1.267823&amp;VAR:V1=1.116454&amp;VAR:Y0=2011&amp;VAR:Y1=2012&amp;VAR:P=1302.260000&amp;VAR:DATE=20110203&amp;VAR:THRESH=|||||","|"}</definedName>
    <definedName name="_48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0.008219&amp;VAR:V=1.249834&amp;VAR:V0=1.251055&amp;VAR:V1=1.102536&amp;VAR:Y0=2011&amp;VAR:Y1=2012&amp;VAR:P=1271.869879&amp;VAR:DATE=20110103&amp;VAR:THRESH=|||||","|"}</definedName>
    <definedName name="_48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0.008219&amp;VAR:V=1.249834&amp;VAR:V0=1.251055&amp;VAR:V1=1.102536&amp;VAR:Y0=2011&amp;VAR:Y1=2012&amp;VAR:P=1271.869879&amp;VAR:DATE=20110103&amp;VAR:THRESH=|||||","|"}</definedName>
    <definedName name="_48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0.923288&amp;VAR:V=1.220185&amp;VAR:V0=1.366058&amp;VAR:V1=1.208066&amp;VAR:Y0=2010&amp;VAR:Y1=2011&amp;VAR:P=1224.707723&amp;VAR:DATE=20101203&amp;VAR:THRESH=|||||","|"}</definedName>
    <definedName name="_4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0.090411&amp;VAR:V=12.224827&amp;VAR:V0=12.524139&amp;VAR:V1=9.855263&amp;VAR:Y0=2009&amp;VAR:Y1=2010&amp;VAR:P=825.437231&amp;VAR:DATE=20090202&amp;VAR:THRESH=||||||"}</definedName>
    <definedName name="_49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0.923288&amp;VAR:V=1.220185&amp;VAR:V0=1.366058&amp;VAR:V1=1.208066&amp;VAR:Y0=2010&amp;VAR:Y1=2011&amp;VAR:P=1224.707723&amp;VAR:DATE=20101203&amp;VAR:THRESH=|||||","|"}</definedName>
    <definedName name="_49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0.841096&amp;VAR:V=1.225373&amp;VAR:V0=1.358159&amp;VAR:V1=1.200286&amp;VAR:Y0=2010&amp;VAR:Y1=2011&amp;VAR:P=1197.961445&amp;VAR:DATE=20101103&amp;VAR:THRESH=|||||","|"}</definedName>
    <definedName name="_49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0.841096&amp;VAR:V=1.225373&amp;VAR:V0=1.358159&amp;VAR:V1=1.200286&amp;VAR:Y0=2010&amp;VAR:Y1=2011&amp;VAR:P=1197.961445&amp;VAR:DATE=20101103&amp;VAR:THRESH=|||||","|"}</definedName>
    <definedName name="_49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0.758904&amp;VAR:V=1.168873&amp;VAR:V0=1.292682&amp;VAR:V1=1.129540&amp;VAR:Y0=2010&amp;VAR:Y1=2011&amp;VAR:P=1137.033723&amp;VAR:DATE=20101004&amp;VAR:THRESH=|||||","|"}</definedName>
    <definedName name="_49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0.758904&amp;VAR:V=1.168873&amp;VAR:V0=1.292682&amp;VAR:V1=1.129540&amp;VAR:Y0=2010&amp;VAR:Y1=2011&amp;VAR:P=1137.033723&amp;VAR:DATE=20101004&amp;VAR:THRESH=|||||","|"}</definedName>
    <definedName name="_49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0.673973&amp;VAR:V=1.160686&amp;VAR:V0=1.270029&amp;VAR:V1=1.107792&amp;VAR:Y0=2010&amp;VAR:Y1=2011&amp;VAR:P=1104.506616&amp;VAR:DATE=20100903&amp;VAR:THRESH=|||||","|"}</definedName>
    <definedName name="_49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0.673973&amp;VAR:V=1.160686&amp;VAR:V0=1.270029&amp;VAR:V1=1.107792&amp;VAR:Y0=2010&amp;VAR:Y1=2011&amp;VAR:P=1104.506616&amp;VAR:DATE=20100903&amp;VAR:THRESH=|||||","|"}</definedName>
    <definedName name="_49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0.591781&amp;VAR:V=1.185211&amp;VAR:V0=1.286107&amp;VAR:V1=1.115612&amp;VAR:Y0=2010&amp;VAR:Y1=2011&amp;VAR:P=1127.239110&amp;VAR:DATE=20100804&amp;VAR:THRESH=|||||","|"}</definedName>
    <definedName name="_49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0.591781&amp;VAR:V=1.185211&amp;VAR:V0=1.286107&amp;VAR:V1=1.115612&amp;VAR:Y0=2010&amp;VAR:Y1=2011&amp;VAR:P=1127.239110&amp;VAR:DATE=20100804&amp;VAR:THRESH=|||||","|"}</definedName>
    <definedName name="_49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0.501370&amp;VAR:V=1.102366&amp;VAR:V0=1.192629&amp;VAR:V1=1.012597&amp;VAR:Y0=2010&amp;VAR:Y1=2011&amp;VAR:P=1022.582975&amp;VAR:DATE=20100702&amp;VAR:THRESH=|||||","|"}</definedName>
    <definedName name="_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0.923288&amp;VAR:V=12.908797&amp;VAR:V0=14.467518&amp;VAR:V1=12.794267&amp;VAR:Y0=2010&amp;VAR:Y1=2011&amp;VAR:P=1224.707723&amp;VAR:DATE=20101203&amp;VAR:THRESH=||||","||"}</definedName>
    <definedName name="_5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0.090411&amp;VAR:V=12.224827&amp;VAR:V0=12.524139&amp;VAR:V1=9.855263&amp;VAR:Y0=2009&amp;VAR:Y1=2010&amp;VAR:P=825.437231&amp;VAR:DATE=20090202&amp;VAR:THRESH=||||||"}</definedName>
    <definedName name="_50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0.501370&amp;VAR:V=1.102366&amp;VAR:V0=1.192629&amp;VAR:V1=1.012597&amp;VAR:Y0=2010&amp;VAR:Y1=2011&amp;VAR:P=1022.582975&amp;VAR:DATE=20100702&amp;VAR:THRESH=|||||","|"}</definedName>
    <definedName name="_50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0.424658&amp;VAR:V=1.153826&amp;VAR:V0=1.231260&amp;VAR:V1=1.048915&amp;VAR:Y0=2010&amp;VAR:Y1=2011&amp;VAR:P=1064.875042&amp;VAR:DATE=20100604&amp;VAR:THRESH=|||||","|"}</definedName>
    <definedName name="_50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0.424658&amp;VAR:V=1.153826&amp;VAR:V0=1.231260&amp;VAR:V1=1.048915&amp;VAR:Y0=2010&amp;VAR:Y1=2011&amp;VAR:P=1064.875042&amp;VAR:DATE=20100604&amp;VAR:THRESH=|||||","|"}</definedName>
    <definedName name="_50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0.342466&amp;VAR:V=1.290956&amp;VAR:V0=1.360144&amp;VAR:V1=1.158114&amp;VAR:Y0=2010&amp;VAR:Y1=2011&amp;VAR:P=1165.897009&amp;VAR:DATE=20100505&amp;VAR:THRESH=|||||","|"}</definedName>
    <definedName name="_50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0.342466&amp;VAR:V=1.290956&amp;VAR:V0=1.360144&amp;VAR:V1=1.158114&amp;VAR:Y0=2010&amp;VAR:Y1=2011&amp;VAR:P=1165.897009&amp;VAR:DATE=20100505&amp;VAR:THRESH=|||||","|"}</definedName>
    <definedName name="_50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0.249315&amp;VAR:V=1.387347&amp;VAR:V0=1.446722&amp;VAR:V1=1.208571&amp;VAR:Y0=2010&amp;VAR:Y1=2011&amp;VAR:P=1178.102625&amp;VAR:DATE=20100401&amp;VAR:THRESH=|||||","|"}</definedName>
    <definedName name="_50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0.249315&amp;VAR:V=1.387347&amp;VAR:V0=1.446722&amp;VAR:V1=1.208571&amp;VAR:Y0=2010&amp;VAR:Y1=2011&amp;VAR:P=1178.102625&amp;VAR:DATE=20100401&amp;VAR:THRESH=|||||","|"}</definedName>
    <definedName name="_50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0.175342&amp;VAR:V=1.350432&amp;VAR:V0=1.390180&amp;VAR:V1=1.163493&amp;VAR:Y0=2010&amp;VAR:Y1=2011&amp;VAR:P=1138.698076&amp;VAR:DATE=20100305&amp;VAR:THRESH=|||||","|"}</definedName>
    <definedName name="_50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0.175342&amp;VAR:V=1.350432&amp;VAR:V0=1.390180&amp;VAR:V1=1.163493&amp;VAR:Y0=2010&amp;VAR:Y1=2011&amp;VAR:P=1138.698076&amp;VAR:DATE=20100305&amp;VAR:THRESH=|||||","|"}</definedName>
    <definedName name="_50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0.090411&amp;VAR:V=1.331729&amp;VAR:V0=1.351729&amp;VAR:V1=1.130521&amp;VAR:Y0=2010&amp;VAR:Y1=2011&amp;VAR:P=1103.323052&amp;VAR:DATE=20100202&amp;VAR:THRESH=|||||","|"}</definedName>
    <definedName name="_5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0.005479&amp;VAR:V=12.050607&amp;VAR:V0=12.063590&amp;VAR:V1=10.081315&amp;VAR:Y0=2009&amp;VAR:Y1=2010&amp;VAR:P=931.800806&amp;VAR:DATE=20090102&amp;VAR:THRESH=|||||","|"}</definedName>
    <definedName name="_51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0.090411&amp;VAR:V=1.331729&amp;VAR:V0=1.351729&amp;VAR:V1=1.130521&amp;VAR:Y0=2010&amp;VAR:Y1=2011&amp;VAR:P=1103.323052&amp;VAR:DATE=20100202&amp;VAR:THRESH=|||||","|"}</definedName>
    <definedName name="_51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1.000000&amp;VAR:V=1.380813&amp;VAR:V0=1.771401&amp;VAR:V1=1.380813&amp;VAR:Y0=2009&amp;VAR:Y1=2010&amp;VAR:P=1115.102681&amp;VAR:DATE=20091231&amp;VAR:THRESH=|||||","|"}</definedName>
    <definedName name="_51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1.000000&amp;VAR:V=1.380813&amp;VAR:V0=1.771401&amp;VAR:V1=1.380813&amp;VAR:Y0=2009&amp;VAR:Y1=2010&amp;VAR:P=1115.102681&amp;VAR:DATE=20091231&amp;VAR:THRESH=|||||","|"}</definedName>
    <definedName name="_51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0.923288&amp;VAR:V=1.401115&amp;VAR:V0=1.718636&amp;VAR:V1=1.374733&amp;VAR:Y0=2009&amp;VAR:Y1=2010&amp;VAR:P=1099.922226&amp;VAR:DATE=20091203&amp;VAR:THRESH=|||||","|"}</definedName>
    <definedName name="_51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0.923288&amp;VAR:V=1.401115&amp;VAR:V0=1.718636&amp;VAR:V1=1.374733&amp;VAR:Y0=2009&amp;VAR:Y1=2010&amp;VAR:P=1099.922226&amp;VAR:DATE=20091203&amp;VAR:THRESH=|||||","|"}</definedName>
    <definedName name="_51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0.841096&amp;VAR:V=1.362520&amp;VAR:V0=1.631348&amp;VAR:V1=1.311731&amp;VAR:Y0=2009&amp;VAR:Y1=2010&amp;VAR:P=1045.408874&amp;VAR:DATE=20091103&amp;VAR:THRESH=|||||","|"}</definedName>
    <definedName name="_51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0.841096&amp;VAR:V=1.362520&amp;VAR:V0=1.631348&amp;VAR:V1=1.311731&amp;VAR:Y0=2009&amp;VAR:Y1=2010&amp;VAR:P=1045.408874&amp;VAR:DATE=20091103&amp;VAR:THRESH=|||||","|"}</definedName>
    <definedName name="_51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0.753425&amp;VAR:V=1.420560&amp;VAR:V0=1.677457&amp;VAR:V1=1.336485&amp;VAR:Y0=2009&amp;VAR:Y1=2010&amp;VAR:P=1025.210463&amp;VAR:DATE=20091002&amp;VAR:THRESH=|||||","|"}</definedName>
    <definedName name="_51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0.753425&amp;VAR:V=1.420560&amp;VAR:V0=1.677457&amp;VAR:V1=1.336485&amp;VAR:Y0=2009&amp;VAR:Y1=2010&amp;VAR:P=1025.210463&amp;VAR:DATE=20091002&amp;VAR:THRESH=|||||","|"}</definedName>
    <definedName name="_51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0.673973&amp;VAR:V=1.425348&amp;VAR:V0=1.648669&amp;VAR:V1=1.317319&amp;VAR:Y0=2009&amp;VAR:Y1=2010&amp;VAR:P=1003.238385&amp;VAR:DATE=20090903&amp;VAR:THRESH=|||||","|"}</definedName>
    <definedName name="_5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0.005479&amp;VAR:V=12.050607&amp;VAR:V0=12.063590&amp;VAR:V1=10.081315&amp;VAR:Y0=2009&amp;VAR:Y1=2010&amp;VAR:P=931.800806&amp;VAR:DATE=20090102&amp;VAR:THRESH=|||||","|"}</definedName>
    <definedName name="_52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0.673973&amp;VAR:V=1.425348&amp;VAR:V0=1.648669&amp;VAR:V1=1.317319&amp;VAR:Y0=2009&amp;VAR:Y1=2010&amp;VAR:P=1003.238385&amp;VAR:DATE=20090903&amp;VAR:THRESH=|||||","|"}</definedName>
    <definedName name="_52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0.591781&amp;VAR:V=1.442829&amp;VAR:V0=1.632026&amp;VAR:V1=1.312317&amp;VAR:Y0=2009&amp;VAR:Y1=2010&amp;VAR:P=1005.647437&amp;VAR:DATE=20090804&amp;VAR:THRESH=|||||","|"}</definedName>
    <definedName name="_52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0.591781&amp;VAR:V=1.442829&amp;VAR:V0=1.632026&amp;VAR:V1=1.312317&amp;VAR:Y0=2009&amp;VAR:Y1=2010&amp;VAR:P=1005.647437&amp;VAR:DATE=20090804&amp;VAR:THRESH=|||||","|"}</definedName>
    <definedName name="_52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0.501370&amp;VAR:V=1.319885&amp;VAR:V0=1.471069&amp;VAR:V1=1.169528&amp;VAR:Y0=2009&amp;VAR:Y1=2010&amp;VAR:P=896.423078&amp;VAR:DATE=20090702&amp;VAR:THRESH=||||||"}</definedName>
    <definedName name="_52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0.501370&amp;VAR:V=1.319885&amp;VAR:V0=1.471069&amp;VAR:V1=1.169528&amp;VAR:Y0=2009&amp;VAR:Y1=2010&amp;VAR:P=896.423078&amp;VAR:DATE=20090702&amp;VAR:THRESH=||||||"}</definedName>
    <definedName name="_52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0.424658&amp;VAR:V=1.426924&amp;VAR:V0=1.560273&amp;VAR:V1=1.246257&amp;VAR:Y0=2009&amp;VAR:Y1=2010&amp;VAR:P=942.463847&amp;VAR:DATE=20090604&amp;VAR:THRESH=||||||"}</definedName>
    <definedName name="_52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0.424658&amp;VAR:V=1.426924&amp;VAR:V0=1.560273&amp;VAR:V1=1.246257&amp;VAR:Y0=2009&amp;VAR:Y1=2010&amp;VAR:P=942.463847&amp;VAR:DATE=20090604&amp;VAR:THRESH=||||||"}</definedName>
    <definedName name="_52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0.339726&amp;VAR:V=1.426530&amp;VAR:V0=1.536729&amp;VAR:V1=1.212353&amp;VAR:Y0=2009&amp;VAR:Y1=2010&amp;VAR:P=907.237535&amp;VAR:DATE=20090504&amp;VAR:THRESH=||||||"}</definedName>
    <definedName name="_52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0.339726&amp;VAR:V=1.426530&amp;VAR:V0=1.536729&amp;VAR:V1=1.212353&amp;VAR:Y0=2009&amp;VAR:Y1=2010&amp;VAR:P=907.237535&amp;VAR:DATE=20090504&amp;VAR:THRESH=||||||"}</definedName>
    <definedName name="_52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0.254795&amp;VAR:V=1.239160&amp;VAR:V0=1.307544&amp;VAR:V1=1.039156&amp;VAR:Y0=2009&amp;VAR:Y1=2010&amp;VAR:P=842.500407&amp;VAR:DATE=20090403&amp;VAR:THRESH=||||||"}</definedName>
    <definedName name="_5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0.923497&amp;VAR:V=10.480073&amp;VAR:V0=11.494022&amp;VAR:V1=10.404043&amp;VAR:Y0=2008&amp;VAR:Y1=2009&amp;VAR:P=870.738773&amp;VAR:DATE=20081203&amp;VAR:THRESH=|||||","|"}</definedName>
    <definedName name="_53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0.254795&amp;VAR:V=1.239160&amp;VAR:V0=1.307544&amp;VAR:V1=1.039156&amp;VAR:Y0=2009&amp;VAR:Y1=2010&amp;VAR:P=842.500407&amp;VAR:DATE=20090403&amp;VAR:THRESH=||||||"}</definedName>
    <definedName name="_53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0.172603&amp;VAR:V=1.008333&amp;VAR:V0=1.045604&amp;VAR:V1=0.829670&amp;VAR:Y0=2009&amp;VAR:Y1=2010&amp;VAR:P=712.865752&amp;VAR:DATE=20090304&amp;VAR:THRESH=||||||"}</definedName>
    <definedName name="_53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0.172603&amp;VAR:V=1.008333&amp;VAR:V0=1.045604&amp;VAR:V1=0.829670&amp;VAR:Y0=2009&amp;VAR:Y1=2010&amp;VAR:P=712.865752&amp;VAR:DATE=20090304&amp;VAR:THRESH=||||||"}</definedName>
    <definedName name="_53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0.090411&amp;VAR:V=1.142549&amp;VAR:V0=1.164995&amp;VAR:V1=0.916736&amp;VAR:Y0=2009&amp;VAR:Y1=2010&amp;VAR:P=825.437231&amp;VAR:DATE=20090202&amp;VAR:THRESH=||||||"}</definedName>
    <definedName name="_53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0.090411&amp;VAR:V=1.142549&amp;VAR:V0=1.164995&amp;VAR:V1=0.916736&amp;VAR:Y0=2009&amp;VAR:Y1=2010&amp;VAR:P=825.437231&amp;VAR:DATE=20090202&amp;VAR:THRESH=||||||"}</definedName>
    <definedName name="_53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0.005479&amp;VAR:V=1.110244&amp;VAR:V0=1.111245&amp;VAR:V1=0.928646&amp;VAR:Y0=2009&amp;VAR:Y1=2010&amp;VAR:P=931.800806&amp;VAR:DATE=20090102&amp;VAR:THRESH=||||||"}</definedName>
    <definedName name="_53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0.005479&amp;VAR:V=1.110244&amp;VAR:V0=1.111245&amp;VAR:V1=0.928646&amp;VAR:Y0=2009&amp;VAR:Y1=2010&amp;VAR:P=931.800806&amp;VAR:DATE=20090102&amp;VAR:THRESH=||||||"}</definedName>
    <definedName name="_53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0.923497&amp;VAR:V=0.952098&amp;VAR:V0=1.043481&amp;VAR:V1=0.944527&amp;VAR:Y0=2008&amp;VAR:Y1=2009&amp;VAR:P=870.738773&amp;VAR:DATE=20081203&amp;VAR:THRESH=||||||"}</definedName>
    <definedName name="_53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0.923497&amp;VAR:V=0.952098&amp;VAR:V0=1.043481&amp;VAR:V1=0.944527&amp;VAR:Y0=2008&amp;VAR:Y1=2009&amp;VAR:P=870.738773&amp;VAR:DATE=20081203&amp;VAR:THRESH=||||||"}</definedName>
    <definedName name="_53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0.841530&amp;VAR:V=0.968733&amp;VAR:V0=1.078403&amp;VAR:V1=0.948081&amp;VAR:Y0=2008&amp;VAR:Y1=2009&amp;VAR:P=966.303470&amp;VAR:DATE=20081103&amp;VAR:THRESH=||||||"}</definedName>
    <definedName name="_5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0.923497&amp;VAR:V=10.480073&amp;VAR:V0=11.494022&amp;VAR:V1=10.404043&amp;VAR:Y0=2008&amp;VAR:Y1=2009&amp;VAR:P=870.738773&amp;VAR:DATE=20081203&amp;VAR:THRESH=|||||","|"}</definedName>
    <definedName name="_54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0.841530&amp;VAR:V=0.968733&amp;VAR:V0=1.078403&amp;VAR:V1=0.948081&amp;VAR:Y0=2008&amp;VAR:Y1=2009&amp;VAR:P=966.303470&amp;VAR:DATE=20081103&amp;VAR:THRESH=||||||"}</definedName>
    <definedName name="_54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0.756831&amp;VAR:V=0.962463&amp;VAR:V0=1.110990&amp;VAR:V1=0.914741&amp;VAR:Y0=2008&amp;VAR:Y1=2009&amp;VAR:P=1099.233800&amp;VAR:DATE=20081003&amp;VAR:THRESH=|||||","|"}</definedName>
    <definedName name="_54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0.756831&amp;VAR:V=0.962463&amp;VAR:V0=1.110990&amp;VAR:V1=0.914741&amp;VAR:Y0=2008&amp;VAR:Y1=2009&amp;VAR:P=1099.233800&amp;VAR:DATE=20081003&amp;VAR:THRESH=|||||","|"}</definedName>
    <definedName name="_54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0.674863&amp;VAR:V=1.071623&amp;VAR:V0=1.245953&amp;VAR:V1=0.987634&amp;VAR:Y0=2008&amp;VAR:Y1=2009&amp;VAR:P=1274.980300&amp;VAR:DATE=20080903&amp;VAR:THRESH=|||||","|"}</definedName>
    <definedName name="_54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0.674863&amp;VAR:V=1.071623&amp;VAR:V0=1.245953&amp;VAR:V1=0.987634&amp;VAR:Y0=2008&amp;VAR:Y1=2009&amp;VAR:P=1274.980300&amp;VAR:DATE=20080903&amp;VAR:THRESH=|||||","|"}</definedName>
    <definedName name="_54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0.584699&amp;VAR:V=1.046821&amp;VAR:V0=1.177112&amp;VAR:V1=0.954278&amp;VAR:Y0=2008&amp;VAR:Y1=2009&amp;VAR:P=1260.313800&amp;VAR:DATE=20080801&amp;VAR:THRESH=|||||","|"}</definedName>
    <definedName name="_54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0.584699&amp;VAR:V=1.046821&amp;VAR:V0=1.177112&amp;VAR:V1=0.954278&amp;VAR:Y0=2008&amp;VAR:Y1=2009&amp;VAR:P=1260.313800&amp;VAR:DATE=20080801&amp;VAR:THRESH=|||||","|"}</definedName>
    <definedName name="_54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0.505464&amp;VAR:V=1.011592&amp;VAR:V0=1.103962&amp;VAR:V1=0.921220&amp;VAR:Y0=2008&amp;VAR:Y1=2009&amp;VAR:P=1262.897200&amp;VAR:DATE=20080703&amp;VAR:THRESH=|||||","|"}</definedName>
    <definedName name="_54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0.505464&amp;VAR:V=1.011592&amp;VAR:V0=1.103962&amp;VAR:V1=0.921220&amp;VAR:Y0=2008&amp;VAR:Y1=2009&amp;VAR:P=1262.897200&amp;VAR:DATE=20080703&amp;VAR:THRESH=|||||","|"}</definedName>
    <definedName name="_54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0.426230&amp;VAR:V=1.125553&amp;VAR:V0=1.206807&amp;VAR:V1=1.016172&amp;VAR:Y0=2008&amp;VAR:Y1=2009&amp;VAR:P=1377.199500&amp;VAR:DATE=20080604&amp;VAR:THRESH=|||||","|"}</definedName>
    <definedName name="_55__123Graph_XCHART_112" hidden="1">[2]Menu!$AF$15:$AO$15</definedName>
    <definedName name="_5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0.841530&amp;VAR:V=10.923864&amp;VAR:V0=12.187487&amp;VAR:V1=10.714665&amp;VAR:Y0=2008&amp;VAR:Y1=2009&amp;VAR:P=966.303470&amp;VAR:DATE=20081103&amp;VAR:THRESH=|||||","|"}</definedName>
    <definedName name="_55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0.426230&amp;VAR:V=1.125553&amp;VAR:V0=1.206807&amp;VAR:V1=1.016172&amp;VAR:Y0=2008&amp;VAR:Y1=2009&amp;VAR:P=1377.199500&amp;VAR:DATE=20080604&amp;VAR:THRESH=|||||","|"}</definedName>
    <definedName name="_55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0.336066&amp;VAR:V=1.189746&amp;VAR:V0=1.253573&amp;VAR:V1=1.063651&amp;VAR:Y0=2008&amp;VAR:Y1=2009&amp;VAR:P=1413.897500&amp;VAR:DATE=20080502&amp;VAR:THRESH=|||||","|"}</definedName>
    <definedName name="_55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0.336066&amp;VAR:V=1.189746&amp;VAR:V0=1.253573&amp;VAR:V1=1.063651&amp;VAR:Y0=2008&amp;VAR:Y1=2009&amp;VAR:P=1413.897500&amp;VAR:DATE=20080502&amp;VAR:THRESH=|||||","|"}</definedName>
    <definedName name="_55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0.259563&amp;VAR:V=1.117434&amp;VAR:V0=1.158410&amp;VAR:V1=1.000547&amp;VAR:Y0=2008&amp;VAR:Y1=2009&amp;VAR:P=1370.400000&amp;VAR:DATE=20080404&amp;VAR:THRESH=|||||","|"}</definedName>
    <definedName name="_55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0.259563&amp;VAR:V=1.117434&amp;VAR:V0=1.158410&amp;VAR:V1=1.000547&amp;VAR:Y0=2008&amp;VAR:Y1=2009&amp;VAR:P=1370.400000&amp;VAR:DATE=20080404&amp;VAR:THRESH=|||||","|"}</definedName>
    <definedName name="_55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0.174863&amp;VAR:V=1.066895&amp;VAR:V0=1.089418&amp;VAR:V1=0.960615&amp;VAR:Y0=2008&amp;VAR:Y1=2009&amp;VAR:P=1326.753700&amp;VAR:DATE=20080304&amp;VAR:THRESH=|||||","|"}</definedName>
    <definedName name="_55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0.174863&amp;VAR:V=1.066895&amp;VAR:V0=1.089418&amp;VAR:V1=0.960615&amp;VAR:Y0=2008&amp;VAR:Y1=2009&amp;VAR:P=1326.753700&amp;VAR:DATE=20080304&amp;VAR:THRESH=|||||","|"}</definedName>
    <definedName name="_55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0.087432&amp;VAR:V=1.103015&amp;VAR:V0=1.113746&amp;VAR:V1=0.991008&amp;VAR:Y0=2008&amp;VAR:Y1=2009&amp;VAR:P=1395.415200&amp;VAR:DATE=20080201&amp;VAR:THRESH=|||||","|"}</definedName>
    <definedName name="_55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0.087432&amp;VAR:V=1.103015&amp;VAR:V0=1.113746&amp;VAR:V1=0.991008&amp;VAR:Y0=2008&amp;VAR:Y1=2009&amp;VAR:P=1395.415200&amp;VAR:DATE=20080201&amp;VAR:THRESH=|||||","|"}</definedName>
    <definedName name="_55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0.008197&amp;VAR:V=1.124567&amp;VAR:V0=1.125580&amp;VAR:V1=1.002046&amp;VAR:Y0=2008&amp;VAR:Y1=2009&amp;VAR:P=1447.164000&amp;VAR:DATE=20080103&amp;VAR:THRESH=|||||","|"}</definedName>
    <definedName name="_56__123Graph_XCHART_30" hidden="1">[2]Menu!$AF$15:$AO$15</definedName>
    <definedName name="_5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0.841530&amp;VAR:V=10.923864&amp;VAR:V0=12.187487&amp;VAR:V1=10.714665&amp;VAR:Y0=2008&amp;VAR:Y1=2009&amp;VAR:P=966.303470&amp;VAR:DATE=20081103&amp;VAR:THRESH=|||||","|"}</definedName>
    <definedName name="_56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0.008197&amp;VAR:V=1.124567&amp;VAR:V0=1.125580&amp;VAR:V1=1.002046&amp;VAR:Y0=2008&amp;VAR:Y1=2009&amp;VAR:P=1447.164000&amp;VAR:DATE=20080103&amp;VAR:THRESH=|||||","|"}</definedName>
    <definedName name="_56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0.926027&amp;VAR:V=1.142390&amp;VAR:V0=1.302620&amp;VAR:V1=1.129590&amp;VAR:Y0=2007&amp;VAR:Y1=2008&amp;VAR:P=1462.790200&amp;VAR:DATE=20071204&amp;VAR:THRESH=|||||","|"}</definedName>
    <definedName name="_56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0.926027&amp;VAR:V=1.142390&amp;VAR:V0=1.302620&amp;VAR:V1=1.129590&amp;VAR:Y0=2007&amp;VAR:Y1=2008&amp;VAR:P=1462.790200&amp;VAR:DATE=20071204&amp;VAR:THRESH=|||||","|"}</definedName>
    <definedName name="_56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0.838356&amp;VAR:V=1.178677&amp;VAR:V0=1.303489&amp;VAR:V1=1.154612&amp;VAR:Y0=2007&amp;VAR:Y1=2008&amp;VAR:P=1509.651700&amp;VAR:DATE=20071102&amp;VAR:THRESH=|||||","|"}</definedName>
    <definedName name="_56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0.838356&amp;VAR:V=1.178677&amp;VAR:V0=1.303489&amp;VAR:V1=1.154612&amp;VAR:Y0=2007&amp;VAR:Y1=2008&amp;VAR:P=1509.651700&amp;VAR:DATE=20071102&amp;VAR:THRESH=|||||","|"}</definedName>
    <definedName name="_56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0.758904&amp;VAR:V=1.236877&amp;VAR:V0=1.348794&amp;VAR:V1=1.201322&amp;VAR:Y0=2007&amp;VAR:Y1=2008&amp;VAR:P=1542.837900&amp;VAR:DATE=20071004&amp;VAR:THRESH=|||||","|"}</definedName>
    <definedName name="_56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0.758904&amp;VAR:V=1.236877&amp;VAR:V0=1.348794&amp;VAR:V1=1.201322&amp;VAR:Y0=2007&amp;VAR:Y1=2008&amp;VAR:P=1542.837900&amp;VAR:DATE=20071004&amp;VAR:THRESH=|||||","|"}</definedName>
    <definedName name="_56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0.676712&amp;VAR:V=1.219083&amp;VAR:V0=1.309862&amp;VAR:V1=1.175714&amp;VAR:Y0=2007&amp;VAR:Y1=2008&amp;VAR:P=1489.417600&amp;VAR:DATE=20070904&amp;VAR:THRESH=|||||","|"}</definedName>
    <definedName name="_56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0.676712&amp;VAR:V=1.219083&amp;VAR:V0=1.309862&amp;VAR:V1=1.175714&amp;VAR:Y0=2007&amp;VAR:Y1=2008&amp;VAR:P=1489.417600&amp;VAR:DATE=20070904&amp;VAR:THRESH=|||||","|"}</definedName>
    <definedName name="_56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0.589041&amp;VAR:V=1.174451&amp;VAR:V0=1.249277&amp;VAR:V1=1.122247&amp;VAR:Y0=2007&amp;VAR:Y1=2008&amp;VAR:P=1433.057900&amp;VAR:DATE=20070803&amp;VAR:THRESH=|||||","|"}</definedName>
    <definedName name="_57__123Graph_XLIQUIDS" hidden="1">[3]P!$R$29:$AK$29</definedName>
    <definedName name="_5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0.756831&amp;VAR:V=11.343061&amp;VAR:V0=13.184840&amp;VAR:V1=10.855829&amp;VAR:Y0=2008&amp;VAR:Y1=2009&amp;VAR:P=1099.233800&amp;VAR:DATE=20081003&amp;VAR:THRESH=||||","||"}</definedName>
    <definedName name="_57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0.589041&amp;VAR:V=1.174451&amp;VAR:V0=1.249277&amp;VAR:V1=1.122247&amp;VAR:Y0=2007&amp;VAR:Y1=2008&amp;VAR:P=1433.057900&amp;VAR:DATE=20070803&amp;VAR:THRESH=|||||","|"}</definedName>
    <definedName name="_57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0.509589&amp;VAR:V=1.271854&amp;VAR:V0=1.341867&amp;VAR:V1=1.204477&amp;VAR:Y0=2007&amp;VAR:Y1=2008&amp;VAR:P=1525.403100&amp;VAR:DATE=20070705&amp;VAR:THRESH=|||||","|"}</definedName>
    <definedName name="_57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0.509589&amp;VAR:V=1.271854&amp;VAR:V0=1.341867&amp;VAR:V1=1.204477&amp;VAR:Y0=2007&amp;VAR:Y1=2008&amp;VAR:P=1525.403100&amp;VAR:DATE=20070705&amp;VAR:THRESH=|||||","|"}</definedName>
    <definedName name="_57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0.424658&amp;VAR:V=1.298790&amp;VAR:V0=1.356466&amp;VAR:V1=1.220649&amp;VAR:Y0=2007&amp;VAR:Y1=2008&amp;VAR:P=1539.181800&amp;VAR:DATE=20070604&amp;VAR:THRESH=|||||","|"}</definedName>
    <definedName name="_57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0.424658&amp;VAR:V=1.298790&amp;VAR:V0=1.356466&amp;VAR:V1=1.220649&amp;VAR:Y0=2007&amp;VAR:Y1=2008&amp;VAR:P=1539.181800&amp;VAR:DATE=20070604&amp;VAR:THRESH=|||||","|"}</definedName>
    <definedName name="_57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0.339726&amp;VAR:V=1.289927&amp;VAR:V0=1.335864&amp;VAR:V1=1.200647&amp;VAR:Y0=2007&amp;VAR:Y1=2008&amp;VAR:P=1505.617000&amp;VAR:DATE=20070504&amp;VAR:THRESH=|||||","|"}</definedName>
    <definedName name="_57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0.339726&amp;VAR:V=1.289927&amp;VAR:V0=1.335864&amp;VAR:V1=1.200647&amp;VAR:Y0=2007&amp;VAR:Y1=2008&amp;VAR:P=1505.617000&amp;VAR:DATE=20070504&amp;VAR:THRESH=|||||","|"}</definedName>
    <definedName name="_57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0.257534&amp;VAR:V=1.268994&amp;VAR:V0=1.303139&amp;VAR:V1=1.170555&amp;VAR:Y0=2007&amp;VAR:Y1=2008&amp;VAR:P=1439.366200&amp;VAR:DATE=20070404&amp;VAR:THRESH=|||||","|"}</definedName>
    <definedName name="_57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0.257534&amp;VAR:V=1.268994&amp;VAR:V0=1.303139&amp;VAR:V1=1.170555&amp;VAR:Y0=2007&amp;VAR:Y1=2008&amp;VAR:P=1439.366200&amp;VAR:DATE=20070404&amp;VAR:THRESH=|||||","|"}</definedName>
    <definedName name="_57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0.175342&amp;VAR:V=1.206041&amp;VAR:V0=1.227591&amp;VAR:V1=1.104689&amp;VAR:Y0=2007&amp;VAR:Y1=2008&amp;VAR:P=1374.122400&amp;VAR:DATE=20070305&amp;VAR:THRESH=|||||","|"}</definedName>
    <definedName name="_58__123Graph_XR_M_MARG" hidden="1">[3]P!$R$29:$AK$29</definedName>
    <definedName name="_5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0.756831&amp;VAR:V=11.343061&amp;VAR:V0=13.184840&amp;VAR:V1=10.855829&amp;VAR:Y0=2008&amp;VAR:Y1=2009&amp;VAR:P=1099.233800&amp;VAR:DATE=20081003&amp;VAR:THRESH=||||","||"}</definedName>
    <definedName name="_58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0.175342&amp;VAR:V=1.206041&amp;VAR:V0=1.227591&amp;VAR:V1=1.104689&amp;VAR:Y0=2007&amp;VAR:Y1=2008&amp;VAR:P=1374.122400&amp;VAR:DATE=20070305&amp;VAR:THRESH=|||||","|"}</definedName>
    <definedName name="_58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0.090411&amp;VAR:V=1.280177&amp;VAR:V0=1.291495&amp;VAR:V1=1.166313&amp;VAR:Y0=2007&amp;VAR:Y1=2008&amp;VAR:P=1448.390100&amp;VAR:DATE=20070202&amp;VAR:THRESH=|||||","|"}</definedName>
    <definedName name="_58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0.090411&amp;VAR:V=1.280177&amp;VAR:V0=1.291495&amp;VAR:V1=1.166313&amp;VAR:Y0=2007&amp;VAR:Y1=2008&amp;VAR:P=1448.390100&amp;VAR:DATE=20070202&amp;VAR:THRESH=|||||","|"}</definedName>
    <definedName name="_58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0.008219&amp;VAR:V=1.240508&amp;VAR:V0=1.241438&amp;VAR:V1=1.128363&amp;VAR:Y0=2007&amp;VAR:Y1=2008&amp;VAR:P=1416.602000&amp;VAR:DATE=20070103&amp;VAR:THRESH=|||||","|"}</definedName>
    <definedName name="_58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0.008219&amp;VAR:V=1.240508&amp;VAR:V0=1.241438&amp;VAR:V1=1.128363&amp;VAR:Y0=2007&amp;VAR:Y1=2008&amp;VAR:P=1416.602000&amp;VAR:DATE=20070103&amp;VAR:THRESH=|||||","|"}</definedName>
    <definedName name="_58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0.926027&amp;VAR:V=1.239440&amp;VAR:V0=1.344490&amp;VAR:V1=1.231049&amp;VAR:Y0=2006&amp;VAR:Y1=2007&amp;VAR:P=1409.118800&amp;VAR:DATE=20061204&amp;VAR:THRESH=|||||","|"}</definedName>
    <definedName name="_58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0.926027&amp;VAR:V=1.239440&amp;VAR:V0=1.344490&amp;VAR:V1=1.231049&amp;VAR:Y0=2006&amp;VAR:Y1=2007&amp;VAR:P=1409.118800&amp;VAR:DATE=20061204&amp;VAR:THRESH=|||||","|"}</definedName>
    <definedName name="_58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0.841096&amp;VAR:V=1.222130&amp;VAR:V0=1.317625&amp;VAR:V1=1.204089&amp;VAR:Y0=2006&amp;VAR:Y1=2007&amp;VAR:P=1364.296900&amp;VAR:DATE=20061103&amp;VAR:THRESH=|||||","|"}</definedName>
    <definedName name="_58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0.841096&amp;VAR:V=1.222130&amp;VAR:V0=1.317625&amp;VAR:V1=1.204089&amp;VAR:Y0=2006&amp;VAR:Y1=2007&amp;VAR:P=1364.296900&amp;VAR:DATE=20061103&amp;VAR:THRESH=|||||","|"}</definedName>
    <definedName name="_58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0.758904&amp;VAR:V=1.225547&amp;VAR:V0=1.318527&amp;VAR:V1=1.196008&amp;VAR:Y0=2006&amp;VAR:Y1=2007&amp;VAR:P=1350.217500&amp;VAR:DATE=20061004&amp;VAR:THRESH=|||||","|"}</definedName>
    <definedName name="_5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0.674863&amp;VAR:V=12.927442&amp;VAR:V0=15.209304&amp;VAR:V1=12.056009&amp;VAR:Y0=2008&amp;VAR:Y1=2009&amp;VAR:P=1274.980300&amp;VAR:DATE=20080903&amp;VAR:THRESH=||||","||"}</definedName>
    <definedName name="_59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0.758904&amp;VAR:V=1.225547&amp;VAR:V0=1.318527&amp;VAR:V1=1.196008&amp;VAR:Y0=2006&amp;VAR:Y1=2007&amp;VAR:P=1350.217500&amp;VAR:DATE=20061004&amp;VAR:THRESH=|||||","|"}</definedName>
    <definedName name="_59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0.668493&amp;VAR:V=1.192468&amp;VAR:V0=1.269566&amp;VAR:V1=1.154235&amp;VAR:Y0=2006&amp;VAR:Y1=2007&amp;VAR:P=1311.011000&amp;VAR:DATE=20060901&amp;VAR:THRESH=|||||","|"}</definedName>
    <definedName name="_59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0.668493&amp;VAR:V=1.192468&amp;VAR:V0=1.269566&amp;VAR:V1=1.154235&amp;VAR:Y0=2006&amp;VAR:Y1=2007&amp;VAR:P=1311.011000&amp;VAR:DATE=20060901&amp;VAR:THRESH=|||||","|"}</definedName>
    <definedName name="_59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0.591781&amp;VAR:V=1.170882&amp;VAR:V0=1.237409&amp;VAR:V1=1.124991&amp;VAR:Y0=2006&amp;VAR:Y1=2007&amp;VAR:P=1279.362400&amp;VAR:DATE=20060804&amp;VAR:THRESH=|||||","|"}</definedName>
    <definedName name="_59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0.591781&amp;VAR:V=1.170882&amp;VAR:V0=1.237409&amp;VAR:V1=1.124991&amp;VAR:Y0=2006&amp;VAR:Y1=2007&amp;VAR:P=1279.362400&amp;VAR:DATE=20060804&amp;VAR:THRESH=|||||","|"}</definedName>
    <definedName name="_59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0.504110&amp;VAR:V=1.163443&amp;VAR:V0=1.223023&amp;VAR:V1=1.104835&amp;VAR:Y0=2006&amp;VAR:Y1=2007&amp;VAR:P=1280.189000&amp;VAR:DATE=20060703&amp;VAR:THRESH=|||||","|"}</definedName>
    <definedName name="_59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0.504110&amp;VAR:V=1.163443&amp;VAR:V0=1.223023&amp;VAR:V1=1.104835&amp;VAR:Y0=2006&amp;VAR:Y1=2007&amp;VAR:P=1280.189000&amp;VAR:DATE=20060703&amp;VAR:THRESH=|||||","|"}</definedName>
    <definedName name="_59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0.419178&amp;VAR:V=1.178852&amp;VAR:V0=1.226401&amp;VAR:V1=1.112967&amp;VAR:Y0=2006&amp;VAR:Y1=2007&amp;VAR:P=1288.218300&amp;VAR:DATE=20060602&amp;VAR:THRESH=|||||","|"}</definedName>
    <definedName name="_59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0.419178&amp;VAR:V=1.178852&amp;VAR:V0=1.226401&amp;VAR:V1=1.112967&amp;VAR:Y0=2006&amp;VAR:Y1=2007&amp;VAR:P=1288.218300&amp;VAR:DATE=20060602&amp;VAR:THRESH=|||||","|"}</definedName>
    <definedName name="_59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0.342466&amp;VAR:V=1.224272&amp;VAR:V0=1.265277&amp;VAR:V1=1.145543&amp;VAR:Y0=2006&amp;VAR:Y1=2007&amp;VAR:P=1325.760900&amp;VAR:DATE=20060505&amp;VAR:THRESH=|||||","|"}</definedName>
    <definedName name="_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0.923288&amp;VAR:V=12.908797&amp;VAR:V0=14.467518&amp;VAR:V1=12.794267&amp;VAR:Y0=2010&amp;VAR:Y1=2011&amp;VAR:P=1224.707723&amp;VAR:DATE=20101203&amp;VAR:THRESH=||||","||"}</definedName>
    <definedName name="_6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0.674863&amp;VAR:V=12.927442&amp;VAR:V0=15.209304&amp;VAR:V1=12.056009&amp;VAR:Y0=2008&amp;VAR:Y1=2009&amp;VAR:P=1274.980300&amp;VAR:DATE=20080903&amp;VAR:THRESH=||||","||"}</definedName>
    <definedName name="_60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0.342466&amp;VAR:V=1.224272&amp;VAR:V0=1.265277&amp;VAR:V1=1.145543&amp;VAR:Y0=2006&amp;VAR:Y1=2007&amp;VAR:P=1325.760900&amp;VAR:DATE=20060505&amp;VAR:THRESH=|||||","|"}</definedName>
    <definedName name="_60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0.257534&amp;VAR:V=1.213580&amp;VAR:V0=1.242989&amp;VAR:V1=1.128792&amp;VAR:Y0=2006&amp;VAR:Y1=2007&amp;VAR:P=1305.934900&amp;VAR:DATE=20060404&amp;VAR:THRESH=|||||","|"}</definedName>
    <definedName name="_60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0.257534&amp;VAR:V=1.213580&amp;VAR:V0=1.242989&amp;VAR:V1=1.128792&amp;VAR:Y0=2006&amp;VAR:Y1=2007&amp;VAR:P=1305.934900&amp;VAR:DATE=20060404&amp;VAR:THRESH=|||||","|"}</definedName>
    <definedName name="_60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0.169863&amp;VAR:V=1.209764&amp;VAR:V0=1.228928&amp;VAR:V1=1.116108&amp;VAR:Y0=2006&amp;VAR:Y1=2007&amp;VAR:P=1287.231200&amp;VAR:DATE=20060303&amp;VAR:THRESH=|||||","|"}</definedName>
    <definedName name="_60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0.169863&amp;VAR:V=1.209764&amp;VAR:V0=1.228928&amp;VAR:V1=1.116108&amp;VAR:Y0=2006&amp;VAR:Y1=2007&amp;VAR:P=1287.231200&amp;VAR:DATE=20060303&amp;VAR:THRESH=|||||","|"}</definedName>
    <definedName name="_60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0.090411&amp;VAR:V=1.200789&amp;VAR:V0=1.210225&amp;VAR:V1=1.105859&amp;VAR:Y0=2006&amp;VAR:Y1=2007&amp;VAR:P=1270.836800&amp;VAR:DATE=20060202&amp;VAR:THRESH=|||||","|"}</definedName>
    <definedName name="_60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0.090411&amp;VAR:V=1.200789&amp;VAR:V0=1.210225&amp;VAR:V1=1.105859&amp;VAR:Y0=2006&amp;VAR:Y1=2007&amp;VAR:P=1270.836800&amp;VAR:DATE=20060202&amp;VAR:THRESH=|||||","|"}</definedName>
    <definedName name="_60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0.008219&amp;VAR:V=1.211712&amp;VAR:V0=1.212443&amp;VAR:V1=1.123597&amp;VAR:Y0=2006&amp;VAR:Y1=2007&amp;VAR:P=1268.800400&amp;VAR:DATE=20060103&amp;VAR:THRESH=|||||","|"}</definedName>
    <definedName name="_60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0.008219&amp;VAR:V=1.211712&amp;VAR:V0=1.212443&amp;VAR:V1=1.123597&amp;VAR:Y0=2006&amp;VAR:Y1=2007&amp;VAR:P=1268.800400&amp;VAR:DATE=20060103&amp;VAR:THRESH=|||||","|"}</definedName>
    <definedName name="_60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0.920548&amp;VAR:V=1.216849&amp;VAR:V0=1.356922&amp;VAR:V1=1.204759&amp;VAR:Y0=2005&amp;VAR:Y1=2006&amp;VAR:P=1265.080000&amp;VAR:DATE=20051202&amp;VAR:THRESH=|||||","|"}</definedName>
    <definedName name="_6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0.584699&amp;VAR:V=12.767415&amp;VAR:V0=14.510593&amp;VAR:V1=11.763657&amp;VAR:Y0=2008&amp;VAR:Y1=2009&amp;VAR:P=1260.313800&amp;VAR:DATE=20080801&amp;VAR:THRESH=||||","||"}</definedName>
    <definedName name="_61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0.920548&amp;VAR:V=1.216849&amp;VAR:V0=1.356922&amp;VAR:V1=1.204759&amp;VAR:Y0=2005&amp;VAR:Y1=2006&amp;VAR:P=1265.080000&amp;VAR:DATE=20051202&amp;VAR:THRESH=|||||","|"}</definedName>
    <definedName name="_61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0.841096&amp;VAR:V=1.183982&amp;VAR:V0=1.300308&amp;VAR:V1=1.162005&amp;VAR:Y0=2005&amp;VAR:Y1=2006&amp;VAR:P=1219.936300&amp;VAR:DATE=20051103&amp;VAR:THRESH=|||||","|"}</definedName>
    <definedName name="_61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0.841096&amp;VAR:V=1.183982&amp;VAR:V0=1.300308&amp;VAR:V1=1.162005&amp;VAR:Y0=2005&amp;VAR:Y1=2006&amp;VAR:P=1219.936300&amp;VAR:DATE=20051103&amp;VAR:THRESH=|||||","|"}</definedName>
    <definedName name="_61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0.758904&amp;VAR:V=1.207596&amp;VAR:V0=1.306369&amp;VAR:V1=1.176217&amp;VAR:Y0=2005&amp;VAR:Y1=2006&amp;VAR:P=1214.473400&amp;VAR:DATE=20051004&amp;VAR:THRESH=|||||","|"}</definedName>
    <definedName name="_61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0.758904&amp;VAR:V=1.207596&amp;VAR:V0=1.306369&amp;VAR:V1=1.176217&amp;VAR:Y0=2005&amp;VAR:Y1=2006&amp;VAR:P=1214.473400&amp;VAR:DATE=20051004&amp;VAR:THRESH=|||||","|"}</definedName>
    <definedName name="_61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0.671233&amp;VAR:V=1.237635&amp;VAR:V0=1.322095&amp;VAR:V1=1.196266&amp;VAR:Y0=2005&amp;VAR:Y1=2006&amp;VAR:P=1218.021100&amp;VAR:DATE=20050902&amp;VAR:THRESH=|||||","|"}</definedName>
    <definedName name="_61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0.671233&amp;VAR:V=1.237635&amp;VAR:V0=1.322095&amp;VAR:V1=1.196266&amp;VAR:Y0=2005&amp;VAR:Y1=2006&amp;VAR:P=1218.021100&amp;VAR:DATE=20050902&amp;VAR:THRESH=|||||","|"}</definedName>
    <definedName name="_61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0.591781&amp;VAR:V=1.274436&amp;VAR:V0=1.350678&amp;VAR:V1=1.221843&amp;VAR:Y0=2005&amp;VAR:Y1=2006&amp;VAR:P=1235.858800&amp;VAR:DATE=20050804&amp;VAR:THRESH=|||||","|"}</definedName>
    <definedName name="_61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0.591781&amp;VAR:V=1.274436&amp;VAR:V0=1.350678&amp;VAR:V1=1.221843&amp;VAR:Y0=2005&amp;VAR:Y1=2006&amp;VAR:P=1235.858800&amp;VAR:DATE=20050804&amp;VAR:THRESH=|||||","|"}</definedName>
    <definedName name="_61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0.498630&amp;VAR:V=1.280903&amp;VAR:V0=1.342170&amp;VAR:V1=1.219298&amp;VAR:Y0=2005&amp;VAR:Y1=2006&amp;VAR:P=1194.440200&amp;VAR:DATE=20050701&amp;VAR:THRESH=|||||","|"}</definedName>
    <definedName name="_6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0.584699&amp;VAR:V=12.767415&amp;VAR:V0=14.510593&amp;VAR:V1=11.763657&amp;VAR:Y0=2008&amp;VAR:Y1=2009&amp;VAR:P=1260.313800&amp;VAR:DATE=20080801&amp;VAR:THRESH=||||","||"}</definedName>
    <definedName name="_62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0.498630&amp;VAR:V=1.280903&amp;VAR:V0=1.342170&amp;VAR:V1=1.219298&amp;VAR:Y0=2005&amp;VAR:Y1=2006&amp;VAR:P=1194.440200&amp;VAR:DATE=20050701&amp;VAR:THRESH=|||||","|"}</definedName>
    <definedName name="_62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0.421918&amp;VAR:V=1.282465&amp;VAR:V0=1.332071&amp;VAR:V1=1.214499&amp;VAR:Y0=2005&amp;VAR:Y1=2006&amp;VAR:P=1196.016000&amp;VAR:DATE=20050603&amp;VAR:THRESH=|||||","|"}</definedName>
    <definedName name="_62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0.421918&amp;VAR:V=1.282465&amp;VAR:V0=1.332071&amp;VAR:V1=1.214499&amp;VAR:Y0=2005&amp;VAR:Y1=2006&amp;VAR:P=1196.016000&amp;VAR:DATE=20050603&amp;VAR:THRESH=|||||","|"}</definedName>
    <definedName name="_62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0.339726&amp;VAR:V=1.281153&amp;VAR:V0=1.319953&amp;VAR:V1=1.205741&amp;VAR:Y0=2005&amp;VAR:Y1=2006&amp;VAR:P=1175.650900&amp;VAR:DATE=20050504&amp;VAR:THRESH=|||||","|"}</definedName>
    <definedName name="_62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0.339726&amp;VAR:V=1.281153&amp;VAR:V0=1.319953&amp;VAR:V1=1.205741&amp;VAR:Y0=2005&amp;VAR:Y1=2006&amp;VAR:P=1175.650900&amp;VAR:DATE=20050504&amp;VAR:THRESH=|||||","|"}</definedName>
    <definedName name="_62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0.257534&amp;VAR:V=1.294468&amp;VAR:V0=1.326249&amp;VAR:V1=1.202844&amp;VAR:Y0=2005&amp;VAR:Y1=2006&amp;VAR:P=1176.122900&amp;VAR:DATE=20050404&amp;VAR:THRESH=|||||","|"}</definedName>
    <definedName name="_62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0.257534&amp;VAR:V=1.294468&amp;VAR:V0=1.326249&amp;VAR:V1=1.202844&amp;VAR:Y0=2005&amp;VAR:Y1=2006&amp;VAR:P=1176.122900&amp;VAR:DATE=20050404&amp;VAR:THRESH=|||||","|"}</definedName>
    <definedName name="_62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0.172603&amp;VAR:V=1.354952&amp;VAR:V0=1.377102&amp;VAR:V1=1.248774&amp;VAR:Y0=2005&amp;VAR:Y1=2006&amp;VAR:P=1222.124500&amp;VAR:DATE=20050304&amp;VAR:THRESH=|||||","|"}</definedName>
    <definedName name="_62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0.172603&amp;VAR:V=1.354952&amp;VAR:V0=1.377102&amp;VAR:V1=1.248774&amp;VAR:Y0=2005&amp;VAR:Y1=2006&amp;VAR:P=1222.124500&amp;VAR:DATE=20050304&amp;VAR:THRESH=|||||","|"}</definedName>
    <definedName name="_62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0.090411&amp;VAR:V=1.330207&amp;VAR:V0=1.340859&amp;VAR:V1=1.223039&amp;VAR:Y0=2005&amp;VAR:Y1=2006&amp;VAR:P=1193.185300&amp;VAR:DATE=20050202&amp;VAR:THRESH=|||||","|"}</definedName>
    <definedName name="_6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0.505464&amp;VAR:V=12.624700&amp;VAR:V0=13.890564&amp;VAR:V1=11.591217&amp;VAR:Y0=2008&amp;VAR:Y1=2009&amp;VAR:P=1262.897200&amp;VAR:DATE=20080703&amp;VAR:THRESH=||||","||"}</definedName>
    <definedName name="_63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0.090411&amp;VAR:V=1.330207&amp;VAR:V0=1.340859&amp;VAR:V1=1.223039&amp;VAR:Y0=2005&amp;VAR:Y1=2006&amp;VAR:P=1193.185300&amp;VAR:DATE=20050202&amp;VAR:THRESH=|||||","|"}</definedName>
    <definedName name="_63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0.008219&amp;VAR:V=1.347881&amp;VAR:V0=1.348763&amp;VAR:V1=1.241507&amp;VAR:Y0=2005&amp;VAR:Y1=2006&amp;VAR:P=1202.084400&amp;VAR:DATE=20050103&amp;VAR:THRESH=|||||","|"}</definedName>
    <definedName name="_63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0.008219&amp;VAR:V=1.347881&amp;VAR:V0=1.348763&amp;VAR:V1=1.241507&amp;VAR:Y0=2005&amp;VAR:Y1=2006&amp;VAR:P=1202.084400&amp;VAR:DATE=20050103&amp;VAR:THRESH=|||||","|"}</definedName>
    <definedName name="_63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0.923497&amp;VAR:V=1.347936&amp;VAR:V0=1.483280&amp;VAR:V1=1.336724&amp;VAR:Y0=2004&amp;VAR:Y1=2005&amp;VAR:P=1191.167100&amp;VAR:DATE=20041203&amp;VAR:THRESH=|||||","|"}</definedName>
    <definedName name="_63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0.923497&amp;VAR:V=1.347936&amp;VAR:V0=1.483280&amp;VAR:V1=1.336724&amp;VAR:Y0=2004&amp;VAR:Y1=2005&amp;VAR:P=1191.167100&amp;VAR:DATE=20041203&amp;VAR:THRESH=|||||","|"}</definedName>
    <definedName name="_63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0.841530&amp;VAR:V=1.322601&amp;VAR:V0=1.434480&amp;VAR:V1=1.301532&amp;VAR:Y0=2004&amp;VAR:Y1=2005&amp;VAR:P=1143.195400&amp;VAR:DATE=20041103&amp;VAR:THRESH=|||||","|"}</definedName>
    <definedName name="_63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0.841530&amp;VAR:V=1.322601&amp;VAR:V0=1.434480&amp;VAR:V1=1.301532&amp;VAR:Y0=2004&amp;VAR:Y1=2005&amp;VAR:P=1143.195400&amp;VAR:DATE=20041103&amp;VAR:THRESH=|||||","|"}</definedName>
    <definedName name="_63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0.751366&amp;VAR:V=1.324997&amp;VAR:V0=1.420498&amp;VAR:V1=1.293395&amp;VAR:Y0=2004&amp;VAR:Y1=2005&amp;VAR:P=1131.500900&amp;VAR:DATE=20041001&amp;VAR:THRESH=|||||","|"}</definedName>
    <definedName name="_63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0.751366&amp;VAR:V=1.324997&amp;VAR:V0=1.420498&amp;VAR:V1=1.293395&amp;VAR:Y0=2004&amp;VAR:Y1=2005&amp;VAR:P=1131.500900&amp;VAR:DATE=20041001&amp;VAR:THRESH=|||||","|"}</definedName>
    <definedName name="_63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0.674863&amp;VAR:V=1.315979&amp;VAR:V0=1.403258&amp;VAR:V1=1.273929&amp;VAR:Y0=2004&amp;VAR:Y1=2005&amp;VAR:P=1113.630500&amp;VAR:DATE=20040903&amp;VAR:THRESH=|||||","|"}</definedName>
    <definedName name="_6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0.505464&amp;VAR:V=12.624700&amp;VAR:V0=13.890564&amp;VAR:V1=11.591217&amp;VAR:Y0=2008&amp;VAR:Y1=2009&amp;VAR:P=1262.897200&amp;VAR:DATE=20080703&amp;VAR:THRESH=||||","||"}</definedName>
    <definedName name="_64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0.674863&amp;VAR:V=1.315979&amp;VAR:V0=1.403258&amp;VAR:V1=1.273929&amp;VAR:Y0=2004&amp;VAR:Y1=2005&amp;VAR:P=1113.630500&amp;VAR:DATE=20040903&amp;VAR:THRESH=|||||","|"}</definedName>
    <definedName name="_64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0.590164&amp;VAR:V=1.322839&amp;VAR:V0=1.397240&amp;VAR:V1=1.271171&amp;VAR:Y0=2004&amp;VAR:Y1=2005&amp;VAR:P=1099.687900&amp;VAR:DATE=20040803&amp;VAR:THRESH=|||||","|"}</definedName>
    <definedName name="_64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0.590164&amp;VAR:V=1.322839&amp;VAR:V0=1.397240&amp;VAR:V1=1.271171&amp;VAR:Y0=2004&amp;VAR:Y1=2005&amp;VAR:P=1099.687900&amp;VAR:DATE=20040803&amp;VAR:THRESH=|||||","|"}</definedName>
    <definedName name="_64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0.502732&amp;VAR:V=1.354892&amp;VAR:V0=1.421737&amp;VAR:V1=1.288774&amp;VAR:Y0=2004&amp;VAR:Y1=2005&amp;VAR:P=1125.379900&amp;VAR:DATE=20040702&amp;VAR:THRESH=|||||","|"}</definedName>
    <definedName name="_64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0.502732&amp;VAR:V=1.354892&amp;VAR:V0=1.421737&amp;VAR:V1=1.288774&amp;VAR:Y0=2004&amp;VAR:Y1=2005&amp;VAR:P=1125.379900&amp;VAR:DATE=20040702&amp;VAR:THRESH=|||||","|"}</definedName>
    <definedName name="_64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0.426230&amp;VAR:V=1.362224&amp;VAR:V0=1.422463&amp;VAR:V1=1.281133&amp;VAR:Y0=2004&amp;VAR:Y1=2005&amp;VAR:P=1122.504200&amp;VAR:DATE=20040604&amp;VAR:THRESH=|||||","|"}</definedName>
    <definedName name="_64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0.426230&amp;VAR:V=1.362224&amp;VAR:V0=1.422463&amp;VAR:V1=1.281133&amp;VAR:Y0=2004&amp;VAR:Y1=2005&amp;VAR:P=1122.504200&amp;VAR:DATE=20040604&amp;VAR:THRESH=|||||","|"}</definedName>
    <definedName name="_64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0.341530&amp;VAR:V=1.396751&amp;VAR:V0=1.445084&amp;VAR:V1=1.303564&amp;VAR:Y0=2004&amp;VAR:Y1=2005&amp;VAR:P=1119.553600&amp;VAR:DATE=20040504&amp;VAR:THRESH=|||||","|"}</definedName>
    <definedName name="_64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0.341530&amp;VAR:V=1.396751&amp;VAR:V0=1.445084&amp;VAR:V1=1.303564&amp;VAR:Y0=2004&amp;VAR:Y1=2005&amp;VAR:P=1119.553600&amp;VAR:DATE=20040504&amp;VAR:THRESH=|||||","|"}</definedName>
    <definedName name="_64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0.254098&amp;VAR:V=1.467819&amp;VAR:V0=1.508930&amp;VAR:V1=1.347139&amp;VAR:Y0=2004&amp;VAR:Y1=2005&amp;VAR:P=1141.809800&amp;VAR:DATE=20040402&amp;VAR:THRESH=|||||","|"}</definedName>
    <definedName name="_6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0.426230&amp;VAR:V=13.781885&amp;VAR:V0=14.883901&amp;VAR:V1=12.532742&amp;VAR:Y0=2008&amp;VAR:Y1=2009&amp;VAR:P=1377.199500&amp;VAR:DATE=20080604&amp;VAR:THRESH=||||","||"}</definedName>
    <definedName name="_65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0.254098&amp;VAR:V=1.467819&amp;VAR:V0=1.508930&amp;VAR:V1=1.347139&amp;VAR:Y0=2004&amp;VAR:Y1=2005&amp;VAR:P=1141.809800&amp;VAR:DATE=20040402&amp;VAR:THRESH=|||||","|"}</definedName>
    <definedName name="_65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0.174863&amp;VAR:V=1.519185&amp;VAR:V0=1.549940&amp;VAR:V1=1.374062&amp;VAR:Y0=2004&amp;VAR:Y1=2005&amp;VAR:P=1154.875200&amp;VAR:DATE=20040304&amp;VAR:THRESH=|||||","|"}</definedName>
    <definedName name="_65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0.174863&amp;VAR:V=1.519185&amp;VAR:V0=1.549940&amp;VAR:V1=1.374062&amp;VAR:Y0=2004&amp;VAR:Y1=2005&amp;VAR:P=1154.875200&amp;VAR:DATE=20040304&amp;VAR:THRESH=|||||","|"}</definedName>
    <definedName name="_65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0.092896&amp;VAR:V=1.517276&amp;VAR:V0=1.533494&amp;VAR:V1=1.358911&amp;VAR:Y0=2004&amp;VAR:Y1=2005&amp;VAR:P=1136.034400&amp;VAR:DATE=20040203&amp;VAR:THRESH=|||||","|"}</definedName>
    <definedName name="_65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0.092896&amp;VAR:V=1.517276&amp;VAR:V0=1.533494&amp;VAR:V1=1.358911&amp;VAR:Y0=2004&amp;VAR:Y1=2005&amp;VAR:P=1136.034400&amp;VAR:DATE=20040203&amp;VAR:THRESH=|||||","|"}</definedName>
    <definedName name="_65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0.005464&amp;VAR:V=1.498180&amp;VAR:V0=1.498957&amp;VAR:V1=1.356719&amp;VAR:Y0=2004&amp;VAR:Y1=2005&amp;VAR:P=1108.484600&amp;VAR:DATE=20040102&amp;VAR:THRESH=|||||","|"}</definedName>
    <definedName name="_65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0.005464&amp;VAR:V=1.498180&amp;VAR:V0=1.498957&amp;VAR:V1=1.356719&amp;VAR:Y0=2004&amp;VAR:Y1=2005&amp;VAR:P=1108.484600&amp;VAR:DATE=20040102&amp;VAR:THRESH=|||||","|"}</definedName>
    <definedName name="_65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0.926027&amp;VAR:V=1.470638&amp;VAR:V0=1.645703&amp;VAR:V1=1.456653&amp;VAR:Y0=2003&amp;VAR:Y1=2004&amp;VAR:P=1069.718500&amp;VAR:DATE=20031204&amp;VAR:THRESH=|||||","|"}</definedName>
    <definedName name="_65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0.926027&amp;VAR:V=1.470638&amp;VAR:V0=1.645703&amp;VAR:V1=1.456653&amp;VAR:Y0=2003&amp;VAR:Y1=2004&amp;VAR:P=1069.718500&amp;VAR:DATE=20031204&amp;VAR:THRESH=|||||","|"}</definedName>
    <definedName name="_65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0.841096&amp;VAR:V=1.470466&amp;VAR:V0=1.622381&amp;VAR:V1=1.441765&amp;VAR:Y0=2003&amp;VAR:Y1=2004&amp;VAR:P=1059.015600&amp;VAR:DATE=20031103&amp;VAR:THRESH=|||||","|"}</definedName>
    <definedName name="_6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0.426230&amp;VAR:V=13.781885&amp;VAR:V0=14.883901&amp;VAR:V1=12.532742&amp;VAR:Y0=2008&amp;VAR:Y1=2009&amp;VAR:P=1377.199500&amp;VAR:DATE=20080604&amp;VAR:THRESH=||||","||"}</definedName>
    <definedName name="_66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0.841096&amp;VAR:V=1.470466&amp;VAR:V0=1.622381&amp;VAR:V1=1.441765&amp;VAR:Y0=2003&amp;VAR:Y1=2004&amp;VAR:P=1059.015600&amp;VAR:DATE=20031103&amp;VAR:THRESH=|||||","|"}</definedName>
    <definedName name="_66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0.756164&amp;VAR:V=1.450242&amp;VAR:V0=1.585804&amp;VAR:V1=1.406528&amp;VAR:Y0=2003&amp;VAR:Y1=2004&amp;VAR:P=1029.848000&amp;VAR:DATE=20031003&amp;VAR:THRESH=|||||","|"}</definedName>
    <definedName name="_66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0.756164&amp;VAR:V=1.450242&amp;VAR:V0=1.585804&amp;VAR:V1=1.406528&amp;VAR:Y0=2003&amp;VAR:Y1=2004&amp;VAR:P=1029.848000&amp;VAR:DATE=20031003&amp;VAR:THRESH=|||||","|"}</definedName>
    <definedName name="_66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0.676712&amp;VAR:V=1.459965&amp;VAR:V0=1.575986&amp;VAR:V1=1.404538&amp;VAR:Y0=2003&amp;VAR:Y1=2004&amp;VAR:P=1027.970800&amp;VAR:DATE=20030904&amp;VAR:THRESH=|||||","|"}</definedName>
    <definedName name="_66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0.676712&amp;VAR:V=1.459965&amp;VAR:V0=1.575986&amp;VAR:V1=1.404538&amp;VAR:Y0=2003&amp;VAR:Y1=2004&amp;VAR:P=1027.970800&amp;VAR:DATE=20030904&amp;VAR:THRESH=|||||","|"}</definedName>
    <definedName name="_66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0.591781&amp;VAR:V=1.409807&amp;VAR:V0=1.508684&amp;VAR:V1=1.341601&amp;VAR:Y0=2003&amp;VAR:Y1=2004&amp;VAR:P=982.815060&amp;VAR:DATE=20030804&amp;VAR:THRESH=||||||"}</definedName>
    <definedName name="_66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0.591781&amp;VAR:V=1.409807&amp;VAR:V0=1.508684&amp;VAR:V1=1.341601&amp;VAR:Y0=2003&amp;VAR:Y1=2004&amp;VAR:P=982.815060&amp;VAR:DATE=20030804&amp;VAR:THRESH=||||||"}</definedName>
    <definedName name="_66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0.504110&amp;VAR:V=1.433147&amp;VAR:V0=1.523129&amp;VAR:V1=1.344632&amp;VAR:Y0=2003&amp;VAR:Y1=2004&amp;VAR:P=985.700000&amp;VAR:DATE=20030703&amp;VAR:THRESH=||||||"}</definedName>
    <definedName name="_66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0.504110&amp;VAR:V=1.433147&amp;VAR:V0=1.523129&amp;VAR:V1=1.344632&amp;VAR:Y0=2003&amp;VAR:Y1=2004&amp;VAR:P=985.700000&amp;VAR:DATE=20030703&amp;VAR:THRESH=||||||"}</definedName>
    <definedName name="_66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0.424658&amp;VAR:V=1.439871&amp;VAR:V0=1.514534&amp;VAR:V1=1.338715&amp;VAR:Y0=2003&amp;VAR:Y1=2004&amp;VAR:P=986.238900&amp;VAR:DATE=20030604&amp;VAR:THRESH=||||||"}</definedName>
    <definedName name="_6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0.336066&amp;VAR:V=14.348521&amp;VAR:V0=15.209530&amp;VAR:V1=12.905216&amp;VAR:Y0=2008&amp;VAR:Y1=2009&amp;VAR:P=1413.897500&amp;VAR:DATE=20080502&amp;VAR:THRESH=||||","||"}</definedName>
    <definedName name="_67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0.424658&amp;VAR:V=1.439871&amp;VAR:V0=1.514534&amp;VAR:V1=1.338715&amp;VAR:Y0=2003&amp;VAR:Y1=2004&amp;VAR:P=986.238900&amp;VAR:DATE=20030604&amp;VAR:THRESH=||||||"}</definedName>
    <definedName name="_67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0.342466&amp;VAR:V=1.354900&amp;VAR:V0=1.412529&amp;VAR:V1=1.244253&amp;VAR:Y0=2003&amp;VAR:Y1=2004&amp;VAR:P=926.548200&amp;VAR:DATE=20030505&amp;VAR:THRESH=||||||"}</definedName>
    <definedName name="_67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0.342466&amp;VAR:V=1.354900&amp;VAR:V0=1.412529&amp;VAR:V1=1.244253&amp;VAR:Y0=2003&amp;VAR:Y1=2004&amp;VAR:P=926.548200&amp;VAR:DATE=20030505&amp;VAR:THRESH=||||||"}</definedName>
    <definedName name="_67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0.257534&amp;VAR:V=1.301695&amp;VAR:V0=1.347207&amp;VAR:V1=1.170486&amp;VAR:Y0=2003&amp;VAR:Y1=2004&amp;VAR:P=878.852500&amp;VAR:DATE=20030404&amp;VAR:THRESH=||||||"}</definedName>
    <definedName name="_67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0.257534&amp;VAR:V=1.301695&amp;VAR:V0=1.347207&amp;VAR:V1=1.170486&amp;VAR:Y0=2003&amp;VAR:Y1=2004&amp;VAR:P=878.852500&amp;VAR:DATE=20030404&amp;VAR:THRESH=||||||"}</definedName>
    <definedName name="_67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0.175342&amp;VAR:V=1.230591&amp;VAR:V0=1.260158&amp;VAR:V1=1.091531&amp;VAR:Y0=2003&amp;VAR:Y1=2004&amp;VAR:P=829.851560&amp;VAR:DATE=20030305&amp;VAR:THRESH=||||||"}</definedName>
    <definedName name="_67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0.175342&amp;VAR:V=1.230591&amp;VAR:V0=1.260158&amp;VAR:V1=1.091531&amp;VAR:Y0=2003&amp;VAR:Y1=2004&amp;VAR:P=829.851560&amp;VAR:DATE=20030305&amp;VAR:THRESH=||||||"}</definedName>
    <definedName name="_67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0.093151&amp;VAR:V=1.281200&amp;VAR:V0=1.296277&amp;VAR:V1=1.134413&amp;VAR:Y0=2003&amp;VAR:Y1=2004&amp;VAR:P=860.321350&amp;VAR:DATE=20030203&amp;VAR:THRESH=||||||"}</definedName>
    <definedName name="_67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0.093151&amp;VAR:V=1.281200&amp;VAR:V0=1.296277&amp;VAR:V1=1.134413&amp;VAR:Y0=2003&amp;VAR:Y1=2004&amp;VAR:P=860.321350&amp;VAR:DATE=20030203&amp;VAR:THRESH=||||||"}</definedName>
    <definedName name="_67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0.008219&amp;VAR:V=1.317185&amp;VAR:V0=1.318387&amp;VAR:V1=1.172134&amp;VAR:Y0=2003&amp;VAR:Y1=2004&amp;VAR:P=908.589700&amp;VAR:DATE=20030103&amp;VAR:THRESH=||||||"}</definedName>
    <definedName name="_6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0.336066&amp;VAR:V=14.348521&amp;VAR:V0=15.209530&amp;VAR:V1=12.905216&amp;VAR:Y0=2008&amp;VAR:Y1=2009&amp;VAR:P=1413.897500&amp;VAR:DATE=20080502&amp;VAR:THRESH=||||","||"}</definedName>
    <definedName name="_68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0.008219&amp;VAR:V=1.317185&amp;VAR:V0=1.318387&amp;VAR:V1=1.172134&amp;VAR:Y0=2003&amp;VAR:Y1=2004&amp;VAR:P=908.589700&amp;VAR:DATE=20030103&amp;VAR:THRESH=||||||"}</definedName>
    <definedName name="_68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8.941114&amp;VAR:P=1&amp;VAR:DATE=20110203"}</definedName>
    <definedName name="_68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8.941114&amp;VAR:P=1&amp;VAR:DATE=20110203"}</definedName>
    <definedName name="_68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8.703001&amp;VAR:P=1&amp;VAR:DATE=20110103"}</definedName>
    <definedName name="_68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8.703001&amp;VAR:P=1&amp;VAR:DATE=20110103"}</definedName>
    <definedName name="_68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8.479990&amp;VAR:P=1&amp;VAR:DATE=20101203"}</definedName>
    <definedName name="_68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8.479990&amp;VAR:P=1&amp;VAR:DATE=20101203"}</definedName>
    <definedName name="_68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8.673443&amp;VAR:P=1&amp;VAR:DATE=20101103"}</definedName>
    <definedName name="_68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8.673443&amp;VAR:P=1&amp;VAR:DATE=20101103"}</definedName>
    <definedName name="_68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8.291136&amp;VAR:P=1&amp;VAR:DATE=20101004"}</definedName>
    <definedName name="_6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0.259563&amp;VAR:V=13.803594&amp;VAR:V0=14.368893&amp;VAR:V1=12.410762&amp;VAR:Y0=2008&amp;VAR:Y1=2009&amp;VAR:P=1370.400000&amp;VAR:DATE=20080404&amp;VAR:THRESH=||||","||"}</definedName>
    <definedName name="_69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8.291136&amp;VAR:P=1&amp;VAR:DATE=20101004"}</definedName>
    <definedName name="_69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8.067109&amp;VAR:P=1&amp;VAR:DATE=20100903"}</definedName>
    <definedName name="_69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8.067109&amp;VAR:P=1&amp;VAR:DATE=20100903"}</definedName>
    <definedName name="_69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8.262042&amp;VAR:P=1&amp;VAR:DATE=20100804"}</definedName>
    <definedName name="_69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8.262042&amp;VAR:P=1&amp;VAR:DATE=20100804"}</definedName>
    <definedName name="_69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7.647984&amp;VAR:P=1&amp;VAR:DATE=20100702"}</definedName>
    <definedName name="_69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7.647984&amp;VAR:P=1&amp;VAR:DATE=20100702"}</definedName>
    <definedName name="_69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8.232576&amp;VAR:P=1&amp;VAR:DATE=20100604"}</definedName>
    <definedName name="_69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8.232576&amp;VAR:P=1&amp;VAR:DATE=20100604"}</definedName>
    <definedName name="_69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9.148974&amp;VAR:P=1&amp;VAR:DATE=20100505"}</definedName>
    <definedName name="_7__123Graph_ACHART_111" hidden="1">[2]Menu!$D$23:$M$23</definedName>
    <definedName name="_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0.841096&amp;VAR:V=12.759761&amp;VAR:V0=14.171356&amp;VAR:V1=12.524075&amp;VAR:Y0=2010&amp;VAR:Y1=2011&amp;VAR:P=1197.961445&amp;VAR:DATE=20101103&amp;VAR:THRESH=||||","||"}</definedName>
    <definedName name="_7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0.259563&amp;VAR:V=13.803594&amp;VAR:V0=14.368893&amp;VAR:V1=12.410762&amp;VAR:Y0=2008&amp;VAR:Y1=2009&amp;VAR:P=1370.400000&amp;VAR:DATE=20080404&amp;VAR:THRESH=||||","||"}</definedName>
    <definedName name="_70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9.148974&amp;VAR:P=1&amp;VAR:DATE=20100505"}</definedName>
    <definedName name="_70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9.243468&amp;VAR:P=1&amp;VAR:DATE=20100401"}</definedName>
    <definedName name="_70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9.243468&amp;VAR:P=1&amp;VAR:DATE=20100401"}</definedName>
    <definedName name="_70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9.060830&amp;VAR:P=1&amp;VAR:DATE=20100305"}</definedName>
    <definedName name="_70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9.060830&amp;VAR:P=1&amp;VAR:DATE=20100305"}</definedName>
    <definedName name="_70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9.158963&amp;VAR:P=1&amp;VAR:DATE=20100202"}</definedName>
    <definedName name="_70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9.158963&amp;VAR:P=1&amp;VAR:DATE=20100202"}</definedName>
    <definedName name="_70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9.290533&amp;VAR:P=1&amp;VAR:DATE=20091231"}</definedName>
    <definedName name="_70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9.290533&amp;VAR:P=1&amp;VAR:DATE=20091231"}</definedName>
    <definedName name="_70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9.143585&amp;VAR:P=1&amp;VAR:DATE=20091203"}</definedName>
    <definedName name="_7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0.174863&amp;VAR:V=13.209998&amp;VAR:V0=13.519726&amp;VAR:V1=11.921270&amp;VAR:Y0=2008&amp;VAR:Y1=2009&amp;VAR:P=1326.753700&amp;VAR:DATE=20080304&amp;VAR:THRESH=||||","||"}</definedName>
    <definedName name="_71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9.143585&amp;VAR:P=1&amp;VAR:DATE=20091203"}</definedName>
    <definedName name="_71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8.289142&amp;VAR:P=1&amp;VAR:DATE=20091103"}</definedName>
    <definedName name="_71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8.289142&amp;VAR:P=1&amp;VAR:DATE=20091103"}</definedName>
    <definedName name="_71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8.153603&amp;VAR:P=1&amp;VAR:DATE=20091002"}</definedName>
    <definedName name="_71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8.153603&amp;VAR:P=1&amp;VAR:DATE=20091002"}</definedName>
    <definedName name="_71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7.978500&amp;VAR:P=1&amp;VAR:DATE=20090903"}</definedName>
    <definedName name="_71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7.978500&amp;VAR:P=1&amp;VAR:DATE=20090903"}</definedName>
    <definedName name="_71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7.678887&amp;VAR:P=1&amp;VAR:DATE=20090804"}</definedName>
    <definedName name="_71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7.678887&amp;VAR:P=1&amp;VAR:DATE=20090804"}</definedName>
    <definedName name="_71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7.078317&amp;VAR:P=1&amp;VAR:DATE=20090702"}</definedName>
    <definedName name="_7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0.174863&amp;VAR:V=13.209998&amp;VAR:V0=13.519726&amp;VAR:V1=11.921270&amp;VAR:Y0=2008&amp;VAR:Y1=2009&amp;VAR:P=1326.753700&amp;VAR:DATE=20080304&amp;VAR:THRESH=||||","||"}</definedName>
    <definedName name="_72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7.078317&amp;VAR:P=1&amp;VAR:DATE=20090702"}</definedName>
    <definedName name="_72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7.325892&amp;VAR:P=1&amp;VAR:DATE=20090604"}</definedName>
    <definedName name="_72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7.325892&amp;VAR:P=1&amp;VAR:DATE=20090604"}</definedName>
    <definedName name="_72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6.671145&amp;VAR:P=1&amp;VAR:DATE=20090504"}</definedName>
    <definedName name="_72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6.671145&amp;VAR:P=1&amp;VAR:DATE=20090504"}</definedName>
    <definedName name="_72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6.384335&amp;VAR:P=1&amp;VAR:DATE=20090403"}</definedName>
    <definedName name="_72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6.384335&amp;VAR:P=1&amp;VAR:DATE=20090403"}</definedName>
    <definedName name="_72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5.698455&amp;VAR:P=1&amp;VAR:DATE=20090304"}</definedName>
    <definedName name="_72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5.698455&amp;VAR:P=1&amp;VAR:DATE=20090304"}</definedName>
    <definedName name="_72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6.198306&amp;VAR:P=1&amp;VAR:DATE=20090202"}</definedName>
    <definedName name="_7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0.087432&amp;VAR:V=13.794320&amp;VAR:V0=13.943693&amp;VAR:V1=12.407054&amp;VAR:Y0=2008&amp;VAR:Y1=2009&amp;VAR:P=1395.415200&amp;VAR:DATE=20080201&amp;VAR:THRESH=||||","||"}</definedName>
    <definedName name="_73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6.198306&amp;VAR:P=1&amp;VAR:DATE=20090202"}</definedName>
    <definedName name="_73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6.694002&amp;VAR:P=1&amp;VAR:DATE=20090102"}</definedName>
    <definedName name="_73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6.694002&amp;VAR:P=1&amp;VAR:DATE=20090102"}</definedName>
    <definedName name="_73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6.334980&amp;VAR:P=1&amp;VAR:DATE=20081203"}</definedName>
    <definedName name="_73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6.334980&amp;VAR:P=1&amp;VAR:DATE=20081203"}</definedName>
    <definedName name="_73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6.991200&amp;VAR:P=1&amp;VAR:DATE=20081103"}</definedName>
    <definedName name="_73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6.991200&amp;VAR:P=1&amp;VAR:DATE=20081103"}</definedName>
    <definedName name="_73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7.679877&amp;VAR:P=1&amp;VAR:DATE=20081003"}</definedName>
    <definedName name="_73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7.679877&amp;VAR:P=1&amp;VAR:DATE=20081003"}</definedName>
    <definedName name="_73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8.640673&amp;VAR:P=1&amp;VAR:DATE=20080903"}</definedName>
    <definedName name="_7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0.087432&amp;VAR:V=13.794320&amp;VAR:V0=13.943693&amp;VAR:V1=12.407054&amp;VAR:Y0=2008&amp;VAR:Y1=2009&amp;VAR:P=1395.415200&amp;VAR:DATE=20080201&amp;VAR:THRESH=||||","||"}</definedName>
    <definedName name="_74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8.640673&amp;VAR:P=1&amp;VAR:DATE=20080903"}</definedName>
    <definedName name="_74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8.615898&amp;VAR:P=1&amp;VAR:DATE=20080801"}</definedName>
    <definedName name="_74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8.615898&amp;VAR:P=1&amp;VAR:DATE=20080801"}</definedName>
    <definedName name="_74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8.738806&amp;VAR:P=1&amp;VAR:DATE=20080703"}</definedName>
    <definedName name="_74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8.738806&amp;VAR:P=1&amp;VAR:DATE=20080703"}</definedName>
    <definedName name="_74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9.269764&amp;VAR:P=1&amp;VAR:DATE=20080604"}</definedName>
    <definedName name="_74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9.269764&amp;VAR:P=1&amp;VAR:DATE=20080604"}</definedName>
    <definedName name="_74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9.637917&amp;VAR:P=1&amp;VAR:DATE=20080502"}</definedName>
    <definedName name="_74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9.637917&amp;VAR:P=1&amp;VAR:DATE=20080502"}</definedName>
    <definedName name="_74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9.424413&amp;VAR:P=1&amp;VAR:DATE=20080404"}</definedName>
    <definedName name="_7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0.008197&amp;VAR:V=14.139373&amp;VAR:V0=14.153661&amp;VAR:V1=12.600275&amp;VAR:Y0=2008&amp;VAR:Y1=2009&amp;VAR:P=1447.164000&amp;VAR:DATE=20080103&amp;VAR:THRESH=||||","||"}</definedName>
    <definedName name="_75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9.424413&amp;VAR:P=1&amp;VAR:DATE=20080404"}</definedName>
    <definedName name="_75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9.116974&amp;VAR:P=1&amp;VAR:DATE=20080304"}</definedName>
    <definedName name="_75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9.116974&amp;VAR:P=1&amp;VAR:DATE=20080304"}</definedName>
    <definedName name="_75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9.464734&amp;VAR:P=1&amp;VAR:DATE=20080201"}</definedName>
    <definedName name="_75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9.464734&amp;VAR:P=1&amp;VAR:DATE=20080201"}</definedName>
    <definedName name="_75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9.910656&amp;VAR:P=1&amp;VAR:DATE=20080103"}</definedName>
    <definedName name="_75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9.910656&amp;VAR:P=1&amp;VAR:DATE=20080103"}</definedName>
    <definedName name="_75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9.915987&amp;VAR:P=1&amp;VAR:DATE=20071204"}</definedName>
    <definedName name="_75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9.915987&amp;VAR:P=1&amp;VAR:DATE=20071204"}</definedName>
    <definedName name="_75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10.136585&amp;VAR:P=1&amp;VAR:DATE=20071102"}</definedName>
    <definedName name="_7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0.008197&amp;VAR:V=14.139373&amp;VAR:V0=14.153661&amp;VAR:V1=12.600275&amp;VAR:Y0=2008&amp;VAR:Y1=2009&amp;VAR:P=1447.164000&amp;VAR:DATE=20080103&amp;VAR:THRESH=||||","||"}</definedName>
    <definedName name="_76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10.136585&amp;VAR:P=1&amp;VAR:DATE=20071102"}</definedName>
    <definedName name="_76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10.127369&amp;VAR:P=1&amp;VAR:DATE=20071004"}</definedName>
    <definedName name="_76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10.127369&amp;VAR:P=1&amp;VAR:DATE=20071004"}</definedName>
    <definedName name="_76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9.826141&amp;VAR:P=1&amp;VAR:DATE=20070904"}</definedName>
    <definedName name="_76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9.826141&amp;VAR:P=1&amp;VAR:DATE=20070904"}</definedName>
    <definedName name="_76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9.742597&amp;VAR:P=1&amp;VAR:DATE=20070803"}</definedName>
    <definedName name="_76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9.742597&amp;VAR:P=1&amp;VAR:DATE=20070803"}</definedName>
    <definedName name="_76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10.126953&amp;VAR:P=1&amp;VAR:DATE=20070705"}</definedName>
    <definedName name="_76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10.126953&amp;VAR:P=1&amp;VAR:DATE=20070705"}</definedName>
    <definedName name="_76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10.170300&amp;VAR:P=1&amp;VAR:DATE=20070604"}</definedName>
    <definedName name="_7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0.926027&amp;VAR:V=14.204778&amp;VAR:V0=16.219699&amp;VAR:V1=14.065203&amp;VAR:Y0=2007&amp;VAR:Y1=2008&amp;VAR:P=1462.790200&amp;VAR:DATE=20071204&amp;VAR:THRESH=||||","||"}</definedName>
    <definedName name="_77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10.170300&amp;VAR:P=1&amp;VAR:DATE=20070604"}</definedName>
    <definedName name="_77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9.798459&amp;VAR:P=1&amp;VAR:DATE=20070504"}</definedName>
    <definedName name="_77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9.798459&amp;VAR:P=1&amp;VAR:DATE=20070504"}</definedName>
    <definedName name="_77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9.428311&amp;VAR:P=1&amp;VAR:DATE=20070404"}</definedName>
    <definedName name="_77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9.428311&amp;VAR:P=1&amp;VAR:DATE=20070404"}</definedName>
    <definedName name="_77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9.004281&amp;VAR:P=1&amp;VAR:DATE=20070305"}</definedName>
    <definedName name="_77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9.004281&amp;VAR:P=1&amp;VAR:DATE=20070305"}</definedName>
    <definedName name="_77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9.518798&amp;VAR:P=1&amp;VAR:DATE=20070202"}</definedName>
    <definedName name="_77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9.518798&amp;VAR:P=1&amp;VAR:DATE=20070202"}</definedName>
    <definedName name="_77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9.292314&amp;VAR:P=1&amp;VAR:DATE=20070103"}</definedName>
    <definedName name="_7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0.926027&amp;VAR:V=14.204778&amp;VAR:V0=16.219699&amp;VAR:V1=14.065203&amp;VAR:Y0=2007&amp;VAR:Y1=2008&amp;VAR:P=1462.790200&amp;VAR:DATE=20071204&amp;VAR:THRESH=||||","||"}</definedName>
    <definedName name="_78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9.292314&amp;VAR:P=1&amp;VAR:DATE=20070103"}</definedName>
    <definedName name="_78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9.356602&amp;VAR:P=1&amp;VAR:DATE=20061204"}</definedName>
    <definedName name="_78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9.356602&amp;VAR:P=1&amp;VAR:DATE=20061204"}</definedName>
    <definedName name="_78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9.353447&amp;VAR:P=1&amp;VAR:DATE=20061103"}</definedName>
    <definedName name="_78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9.353447&amp;VAR:P=1&amp;VAR:DATE=20061103"}</definedName>
    <definedName name="_78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9.233368&amp;VAR:P=1&amp;VAR:DATE=20061004"}</definedName>
    <definedName name="_78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9.233368&amp;VAR:P=1&amp;VAR:DATE=20061004"}</definedName>
    <definedName name="_78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9.057829&amp;VAR:P=1&amp;VAR:DATE=20060901"}</definedName>
    <definedName name="_78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9.057829&amp;VAR:P=1&amp;VAR:DATE=20060901"}</definedName>
    <definedName name="_78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9.169279&amp;VAR:P=1&amp;VAR:DATE=20060804"}</definedName>
    <definedName name="_7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0.838356&amp;VAR:V=14.610874&amp;VAR:V0=16.190287&amp;VAR:V1=14.341128&amp;VAR:Y0=2007&amp;VAR:Y1=2008&amp;VAR:P=1509.651700&amp;VAR:DATE=20071102&amp;VAR:THRESH=||||","||"}</definedName>
    <definedName name="_79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9.169279&amp;VAR:P=1&amp;VAR:DATE=20060804"}</definedName>
    <definedName name="_79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9.221990&amp;VAR:P=1&amp;VAR:DATE=20060703"}</definedName>
    <definedName name="_79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9.221990&amp;VAR:P=1&amp;VAR:DATE=20060703"}</definedName>
    <definedName name="_79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9.260679&amp;VAR:P=1&amp;VAR:DATE=20060602"}</definedName>
    <definedName name="_79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9.260679&amp;VAR:P=1&amp;VAR:DATE=20060602"}</definedName>
    <definedName name="_79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9.687273&amp;VAR:P=1&amp;VAR:DATE=20060505"}</definedName>
    <definedName name="_79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9.687273&amp;VAR:P=1&amp;VAR:DATE=20060505"}</definedName>
    <definedName name="_79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9.627583&amp;VAR:P=1&amp;VAR:DATE=20060404"}</definedName>
    <definedName name="_79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9.627583&amp;VAR:P=1&amp;VAR:DATE=20060404"}</definedName>
    <definedName name="_79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9.510110&amp;VAR:P=1&amp;VAR:DATE=20060303"}</definedName>
    <definedName name="_8__123Graph_ACHART_112" hidden="1">[2]Menu!$D$17:$M$17</definedName>
    <definedName name="_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0.841096&amp;VAR:V=12.759761&amp;VAR:V0=14.171356&amp;VAR:V1=12.524075&amp;VAR:Y0=2010&amp;VAR:Y1=2011&amp;VAR:P=1197.961445&amp;VAR:DATE=20101103&amp;VAR:THRESH=||||","||"}</definedName>
    <definedName name="_8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0.838356&amp;VAR:V=14.610874&amp;VAR:V0=16.190287&amp;VAR:V1=14.341128&amp;VAR:Y0=2007&amp;VAR:Y1=2008&amp;VAR:P=1509.651700&amp;VAR:DATE=20071102&amp;VAR:THRESH=||||","||"}</definedName>
    <definedName name="_80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9.510110&amp;VAR:P=1&amp;VAR:DATE=20060303"}</definedName>
    <definedName name="_80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9.720403&amp;VAR:P=1&amp;VAR:DATE=20060202"}</definedName>
    <definedName name="_80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9.720403&amp;VAR:P=1&amp;VAR:DATE=20060202"}</definedName>
    <definedName name="_80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9.667035&amp;VAR:P=1&amp;VAR:DATE=20060103"}</definedName>
    <definedName name="_80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9.667035&amp;VAR:P=1&amp;VAR:DATE=20060103"}</definedName>
    <definedName name="_80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9.641316&amp;VAR:P=1&amp;VAR:DATE=20051202"}</definedName>
    <definedName name="_80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9.641316&amp;VAR:P=1&amp;VAR:DATE=20051202"}</definedName>
    <definedName name="_80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9.387299&amp;VAR:P=1&amp;VAR:DATE=20051103"}</definedName>
    <definedName name="_80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9.387299&amp;VAR:P=1&amp;VAR:DATE=20051103"}</definedName>
    <definedName name="_80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9.436163&amp;VAR:P=1&amp;VAR:DATE=20051004"}</definedName>
    <definedName name="_8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0.758904&amp;VAR:V=14.967944&amp;VAR:V0=16.362378&amp;VAR:V1=14.573382&amp;VAR:Y0=2007&amp;VAR:Y1=2008&amp;VAR:P=1542.837900&amp;VAR:DATE=20071004&amp;VAR:THRESH=||||","||"}</definedName>
    <definedName name="_81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9.436163&amp;VAR:P=1&amp;VAR:DATE=20051004"}</definedName>
    <definedName name="_81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9.522823&amp;VAR:P=1&amp;VAR:DATE=20050902"}</definedName>
    <definedName name="_81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9.522823&amp;VAR:P=1&amp;VAR:DATE=20050902"}</definedName>
    <definedName name="_81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9.808216&amp;VAR:P=1&amp;VAR:DATE=20050804"}</definedName>
    <definedName name="_81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9.808216&amp;VAR:P=1&amp;VAR:DATE=20050804"}</definedName>
    <definedName name="_81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9.486941&amp;VAR:P=1&amp;VAR:DATE=20050701"}</definedName>
    <definedName name="_81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9.486941&amp;VAR:P=1&amp;VAR:DATE=20050701"}</definedName>
    <definedName name="_81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9.583898&amp;VAR:P=1&amp;VAR:DATE=20050603"}</definedName>
    <definedName name="_81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9.583898&amp;VAR:P=1&amp;VAR:DATE=20050603"}</definedName>
    <definedName name="_81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9.630356&amp;VAR:P=1&amp;VAR:DATE=20050504"}</definedName>
    <definedName name="_8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0.758904&amp;VAR:V=14.967944&amp;VAR:V0=16.362378&amp;VAR:V1=14.573382&amp;VAR:Y0=2007&amp;VAR:Y1=2008&amp;VAR:P=1542.837900&amp;VAR:DATE=20071004&amp;VAR:THRESH=||||","||"}</definedName>
    <definedName name="_82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9.630356&amp;VAR:P=1&amp;VAR:DATE=20050504"}</definedName>
    <definedName name="_82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9.706159&amp;VAR:P=1&amp;VAR:DATE=20050404"}</definedName>
    <definedName name="_82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9.706159&amp;VAR:P=1&amp;VAR:DATE=20050404"}</definedName>
    <definedName name="_82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10.028408&amp;VAR:P=1&amp;VAR:DATE=20050304"}</definedName>
    <definedName name="_82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10.028408&amp;VAR:P=1&amp;VAR:DATE=20050304"}</definedName>
    <definedName name="_82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10.141667&amp;VAR:P=1&amp;VAR:DATE=20050202"}</definedName>
    <definedName name="_82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10.141667&amp;VAR:P=1&amp;VAR:DATE=20050202"}</definedName>
    <definedName name="_82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10.231366&amp;VAR:P=1&amp;VAR:DATE=20050103"}</definedName>
    <definedName name="_82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10.231366&amp;VAR:P=1&amp;VAR:DATE=20050103"}</definedName>
    <definedName name="_82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10.192616&amp;VAR:P=1&amp;VAR:DATE=20041203"}</definedName>
    <definedName name="_8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0.676712&amp;VAR:V=14.485638&amp;VAR:V0=15.604108&amp;VAR:V1=14.006030&amp;VAR:Y0=2007&amp;VAR:Y1=2008&amp;VAR:P=1489.417600&amp;VAR:DATE=20070904&amp;VAR:THRESH=||||","||"}</definedName>
    <definedName name="_83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10.192616&amp;VAR:P=1&amp;VAR:DATE=20041203"}</definedName>
    <definedName name="_83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10.170885&amp;VAR:P=1&amp;VAR:DATE=20041103"}</definedName>
    <definedName name="_83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10.170885&amp;VAR:P=1&amp;VAR:DATE=20041103"}</definedName>
    <definedName name="_83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10.111724&amp;VAR:P=1&amp;VAR:DATE=20041001"}</definedName>
    <definedName name="_83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10.111724&amp;VAR:P=1&amp;VAR:DATE=20041001"}</definedName>
    <definedName name="_83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9.957583&amp;VAR:P=1&amp;VAR:DATE=20040903"}</definedName>
    <definedName name="_83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9.957583&amp;VAR:P=1&amp;VAR:DATE=20040903"}</definedName>
    <definedName name="_83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10.417731&amp;VAR:P=1&amp;VAR:DATE=20040803"}</definedName>
    <definedName name="_83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10.417731&amp;VAR:P=1&amp;VAR:DATE=20040803"}</definedName>
    <definedName name="_83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10.651409&amp;VAR:P=1&amp;VAR:DATE=20040702"}</definedName>
    <definedName name="_8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0.676712&amp;VAR:V=14.485638&amp;VAR:V0=15.604108&amp;VAR:V1=14.006030&amp;VAR:Y0=2007&amp;VAR:Y1=2008&amp;VAR:P=1489.417600&amp;VAR:DATE=20070904&amp;VAR:THRESH=||||","||"}</definedName>
    <definedName name="_84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10.651409&amp;VAR:P=1&amp;VAR:DATE=20040702"}</definedName>
    <definedName name="_84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10.649679&amp;VAR:P=1&amp;VAR:DATE=20040604"}</definedName>
    <definedName name="_84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10.649679&amp;VAR:P=1&amp;VAR:DATE=20040604"}</definedName>
    <definedName name="_84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10.549106&amp;VAR:P=1&amp;VAR:DATE=20040504"}</definedName>
    <definedName name="_84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10.549106&amp;VAR:P=1&amp;VAR:DATE=20040504"}</definedName>
    <definedName name="_84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10.704497&amp;VAR:P=1&amp;VAR:DATE=20040402"}</definedName>
    <definedName name="_84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10.704497&amp;VAR:P=1&amp;VAR:DATE=20040402"}</definedName>
    <definedName name="_84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10.827780&amp;VAR:P=1&amp;VAR:DATE=20040304"}</definedName>
    <definedName name="_84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10.827780&amp;VAR:P=1&amp;VAR:DATE=20040304"}</definedName>
    <definedName name="_84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11.877560&amp;VAR:P=1&amp;VAR:DATE=20040203"}</definedName>
    <definedName name="_8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0.589041&amp;VAR:V=14.039542&amp;VAR:V0=14.975632&amp;VAR:V1=13.452863&amp;VAR:Y0=2007&amp;VAR:Y1=2008&amp;VAR:P=1433.057900&amp;VAR:DATE=20070803&amp;VAR:THRESH=||||","||"}</definedName>
    <definedName name="_85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11.877560&amp;VAR:P=1&amp;VAR:DATE=20040203"}</definedName>
    <definedName name="_85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11.691075&amp;VAR:P=1&amp;VAR:DATE=20040102"}</definedName>
    <definedName name="_85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11.691075&amp;VAR:P=1&amp;VAR:DATE=20040102"}</definedName>
    <definedName name="_85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11.420972&amp;VAR:P=1&amp;VAR:DATE=20031204"}</definedName>
    <definedName name="_85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11.420972&amp;VAR:P=1&amp;VAR:DATE=20031204"}</definedName>
    <definedName name="_85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11.602767&amp;VAR:P=1&amp;VAR:DATE=20031103"}</definedName>
    <definedName name="_85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11.602767&amp;VAR:P=1&amp;VAR:DATE=20031103"}</definedName>
    <definedName name="_85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11.429638&amp;VAR:P=1&amp;VAR:DATE=20031003"}</definedName>
    <definedName name="_85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11.429638&amp;VAR:P=1&amp;VAR:DATE=20031003"}</definedName>
    <definedName name="_85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11.518236&amp;VAR:P=1&amp;VAR:DATE=20030904"}</definedName>
    <definedName name="_8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0.589041&amp;VAR:V=14.039542&amp;VAR:V0=14.975632&amp;VAR:V1=13.452863&amp;VAR:Y0=2007&amp;VAR:Y1=2008&amp;VAR:P=1433.057900&amp;VAR:DATE=20070803&amp;VAR:THRESH=||||","||"}</definedName>
    <definedName name="_86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11.518236&amp;VAR:P=1&amp;VAR:DATE=20030904"}</definedName>
    <definedName name="_86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11.047064&amp;VAR:P=1&amp;VAR:DATE=20030804"}</definedName>
    <definedName name="_86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11.047064&amp;VAR:P=1&amp;VAR:DATE=20030804"}</definedName>
    <definedName name="_86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11.088489&amp;VAR:P=1&amp;VAR:DATE=20030703"}</definedName>
    <definedName name="_86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11.088489&amp;VAR:P=1&amp;VAR:DATE=20030703"}</definedName>
    <definedName name="_86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11.113719&amp;VAR:P=1&amp;VAR:DATE=20030604"}</definedName>
    <definedName name="_86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11.113719&amp;VAR:P=1&amp;VAR:DATE=20030604"}</definedName>
    <definedName name="_86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9.855120&amp;VAR:P=1&amp;VAR:DATE=20030505"}</definedName>
    <definedName name="_86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9.855120&amp;VAR:P=1&amp;VAR:DATE=20030505"}</definedName>
    <definedName name="_86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9.515083&amp;VAR:P=1&amp;VAR:DATE=20030404"}</definedName>
    <definedName name="_8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0.509589&amp;VAR:V=15.183746&amp;VAR:V0=16.066332&amp;VAR:V1=14.421340&amp;VAR:Y0=2007&amp;VAR:Y1=2008&amp;VAR:P=1525.403100&amp;VAR:DATE=20070705&amp;VAR:THRESH=||||","||"}</definedName>
    <definedName name="_87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9.515083&amp;VAR:P=1&amp;VAR:DATE=20030404"}</definedName>
    <definedName name="_87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9.119877&amp;VAR:P=1&amp;VAR:DATE=20030305"}</definedName>
    <definedName name="_87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9.119877&amp;VAR:P=1&amp;VAR:DATE=20030305"}</definedName>
    <definedName name="_87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9.965353&amp;VAR:P=1&amp;VAR:DATE=20030203"}</definedName>
    <definedName name="_87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9.965353&amp;VAR:P=1&amp;VAR:DATE=20030203"}</definedName>
    <definedName name="_87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10.364563&amp;VAR:P=1&amp;VAR:DATE=20030103"}</definedName>
    <definedName name="_87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10.364563&amp;VAR:P=1&amp;VAR:DATE=20030103"}</definedName>
    <definedName name="_87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10.533836&amp;VAR:P=1&amp;VAR:DATE=20021204"}</definedName>
    <definedName name="_87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10.533836&amp;VAR:P=1&amp;VAR:DATE=20021204"}</definedName>
    <definedName name="_87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10.417538&amp;VAR:P=1&amp;VAR:DATE=20021101"}</definedName>
    <definedName name="_8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0.509589&amp;VAR:V=15.183746&amp;VAR:V0=16.066332&amp;VAR:V1=14.421340&amp;VAR:Y0=2007&amp;VAR:Y1=2008&amp;VAR:P=1525.403100&amp;VAR:DATE=20070705&amp;VAR:THRESH=||||","||"}</definedName>
    <definedName name="_88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10.417538&amp;VAR:P=1&amp;VAR:DATE=20021101"}</definedName>
    <definedName name="_88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9.620799&amp;VAR:P=1&amp;VAR:DATE=20021004"}</definedName>
    <definedName name="_88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9.620799&amp;VAR:P=1&amp;VAR:DATE=20021004"}</definedName>
    <definedName name="_88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10.282785&amp;VAR:P=1&amp;VAR:DATE=20020903"}</definedName>
    <definedName name="_88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10.282785&amp;VAR:P=1&amp;VAR:DATE=20020903"}</definedName>
    <definedName name="_88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10.192352&amp;VAR:P=1&amp;VAR:DATE=20020802"}</definedName>
    <definedName name="_88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10.192352&amp;VAR:P=1&amp;VAR:DATE=20020802"}</definedName>
    <definedName name="_88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11.043048&amp;VAR:P=1&amp;VAR:DATE=20020703"}</definedName>
    <definedName name="_88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11.043048&amp;VAR:P=1&amp;VAR:DATE=20020703"}</definedName>
    <definedName name="_88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11.896831&amp;VAR:P=1&amp;VAR:DATE=20020604"}</definedName>
    <definedName name="_8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0.424658&amp;VAR:V=15.501069&amp;VAR:V0=16.233496&amp;VAR:V1=14.608105&amp;VAR:Y0=2007&amp;VAR:Y1=2008&amp;VAR:P=1539.181800&amp;VAR:DATE=20070604&amp;VAR:THRESH=||||","||"}</definedName>
    <definedName name="_89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11.896831&amp;VAR:P=1&amp;VAR:DATE=20020604"}</definedName>
    <definedName name="_89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10.986961&amp;VAR:P=1&amp;VAR:DATE=20020503"}</definedName>
    <definedName name="_89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10.986961&amp;VAR:P=1&amp;VAR:DATE=20020503"}</definedName>
    <definedName name="_89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11.512978&amp;VAR:P=1&amp;VAR:DATE=20020404"}</definedName>
    <definedName name="_89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11.512978&amp;VAR:P=1&amp;VAR:DATE=20020404"}</definedName>
    <definedName name="_89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11.744124&amp;VAR:P=1&amp;VAR:DATE=20020305"}</definedName>
    <definedName name="_89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11.744124&amp;VAR:P=1&amp;VAR:DATE=20020305"}</definedName>
    <definedName name="_89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11.588851&amp;VAR:P=1&amp;VAR:DATE=20020201"}</definedName>
    <definedName name="_89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11.588851&amp;VAR:P=1&amp;VAR:DATE=20020201"}</definedName>
    <definedName name="_89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11.891066&amp;VAR:P=1&amp;VAR:DATE=20020103"}</definedName>
    <definedName name="_9__123Graph_ACHART_26" hidden="1">[2]Menu!$D$83:$M$83</definedName>
    <definedName name="_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0.758904&amp;VAR:V=12.259458&amp;VAR:V0=13.603223&amp;VAR:V1=11.886435&amp;VAR:Y0=2010&amp;VAR:Y1=2011&amp;VAR:P=1137.033723&amp;VAR:DATE=20101004&amp;VAR:THRESH=||||","||"}</definedName>
    <definedName name="_9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0.424658&amp;VAR:V=15.501069&amp;VAR:V0=16.233496&amp;VAR:V1=14.608105&amp;VAR:Y0=2007&amp;VAR:Y1=2008&amp;VAR:P=1539.181800&amp;VAR:DATE=20070604&amp;VAR:THRESH=||||","||"}</definedName>
    <definedName name="_90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11.891066&amp;VAR:P=1&amp;VAR:DATE=20020103"}</definedName>
    <definedName name="_90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11.531613&amp;VAR:P=1&amp;VAR:DATE=20011203"}</definedName>
    <definedName name="_90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11.531613&amp;VAR:P=1&amp;VAR:DATE=20011203"}</definedName>
    <definedName name="_90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10.728211&amp;VAR:P=1&amp;VAR:DATE=20011102"}</definedName>
    <definedName name="_90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10.728211&amp;VAR:P=1&amp;VAR:DATE=20011102"}</definedName>
    <definedName name="_90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10.537662&amp;VAR:P=1&amp;VAR:DATE=20011004"}</definedName>
    <definedName name="_90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10.537662&amp;VAR:P=1&amp;VAR:DATE=20011004"}</definedName>
    <definedName name="_90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10.997960&amp;VAR:P=1&amp;VAR:DATE=20010831"}</definedName>
    <definedName name="_90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10.997960&amp;VAR:P=1&amp;VAR:DATE=20010831"}</definedName>
    <definedName name="_90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11.405821&amp;VAR:P=1&amp;VAR:DATE=20010803"}</definedName>
    <definedName name="_9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0.339726&amp;VAR:V=15.359263&amp;VAR:V0=15.946908&amp;VAR:V1=14.332751&amp;VAR:Y0=2007&amp;VAR:Y1=2008&amp;VAR:P=1505.617000&amp;VAR:DATE=20070504&amp;VAR:THRESH=||||","||"}</definedName>
    <definedName name="_91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11.405821&amp;VAR:P=1&amp;VAR:DATE=20010803"}</definedName>
    <definedName name="_91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11.502147&amp;VAR:P=1&amp;VAR:DATE=20010703"}</definedName>
    <definedName name="_91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11.502147&amp;VAR:P=1&amp;VAR:DATE=20010703"}</definedName>
    <definedName name="_91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11.762053&amp;VAR:P=1&amp;VAR:DATE=20010604"}</definedName>
    <definedName name="_91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11.762053&amp;VAR:P=1&amp;VAR:DATE=20010604"}</definedName>
    <definedName name="_91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11.356570&amp;VAR:P=1&amp;VAR:DATE=20010504"}</definedName>
    <definedName name="_91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11.356570&amp;VAR:P=1&amp;VAR:DATE=20010504"}</definedName>
    <definedName name="_91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10.088822&amp;VAR:P=1&amp;VAR:DATE=20010404"}</definedName>
    <definedName name="_91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10.088822&amp;VAR:P=1&amp;VAR:DATE=20010404"}</definedName>
    <definedName name="_91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11.115745&amp;VAR:P=1&amp;VAR:DATE=20010302"}</definedName>
    <definedName name="_9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0.339726&amp;VAR:V=15.359263&amp;VAR:V0=15.946908&amp;VAR:V1=14.332751&amp;VAR:Y0=2007&amp;VAR:Y1=2008&amp;VAR:P=1505.617000&amp;VAR:DATE=20070504&amp;VAR:THRESH=||||","||"}</definedName>
    <definedName name="_92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11.115745&amp;VAR:P=1&amp;VAR:DATE=20010302"}</definedName>
    <definedName name="_92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12.361258&amp;VAR:P=1&amp;VAR:DATE=20010202"}</definedName>
    <definedName name="_92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12.361258&amp;VAR:P=1&amp;VAR:DATE=20010202"}</definedName>
    <definedName name="_9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0.257534&amp;VAR:V=14.940955&amp;VAR:V0=15.376779&amp;VAR:V1=13.812320&amp;VAR:Y0=2007&amp;VAR:Y1=2008&amp;VAR:P=1439.366200&amp;VAR:DATE=20070404&amp;VAR:THRESH=||||","||"}</definedName>
    <definedName name="_9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0.257534&amp;VAR:V=14.940955&amp;VAR:V0=15.376779&amp;VAR:V1=13.812320&amp;VAR:Y0=2007&amp;VAR:Y1=2008&amp;VAR:P=1439.366200&amp;VAR:DATE=20070404&amp;VAR:THRESH=||||","||"}</definedName>
    <definedName name="_9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0.175342&amp;VAR:V=14.338099&amp;VAR:V0=14.617803&amp;VAR:V1=13.154320&amp;VAR:Y0=2007&amp;VAR:Y1=2008&amp;VAR:P=1374.122400&amp;VAR:DATE=20070305&amp;VAR:THRESH=||||","||"}</definedName>
    <definedName name="_9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0.175342&amp;VAR:V=14.338099&amp;VAR:V0=14.617803&amp;VAR:V1=13.154320&amp;VAR:Y0=2007&amp;VAR:Y1=2008&amp;VAR:P=1374.122400&amp;VAR:DATE=20070305&amp;VAR:THRESH=||||","||"}</definedName>
    <definedName name="_9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0.090411&amp;VAR:V=15.218781&amp;VAR:V0=15.366463&amp;VAR:V1=13.877019&amp;VAR:Y0=2007&amp;VAR:Y1=2008&amp;VAR:P=1448.390100&amp;VAR:DATE=20070202&amp;VAR:THRESH=||||","||"}</definedName>
    <definedName name="_9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0.090411&amp;VAR:V=15.218781&amp;VAR:V0=15.366463&amp;VAR:V1=13.877019&amp;VAR:Y0=2007&amp;VAR:Y1=2008&amp;VAR:P=1448.390100&amp;VAR:DATE=20070202&amp;VAR:THRESH=||||","||"}</definedName>
    <definedName name="_9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0.008219&amp;VAR:V=14.851090&amp;VAR:V0=14.863323&amp;VAR:V1=13.509517&amp;VAR:Y0=2007&amp;VAR:Y1=2008&amp;VAR:P=1416.602000&amp;VAR:DATE=20070103&amp;VAR:THRESH=||||","||"}</definedName>
    <definedName name="_a1" localSheetId="6" hidden="1">{"comp1",#N/A,FALSE,"COMPS";"footnotes",#N/A,FALSE,"COMPS"}</definedName>
    <definedName name="_a1" hidden="1">{"comp1",#N/A,FALSE,"COMPS";"footnotes",#N/A,FALSE,"COMPS"}</definedName>
    <definedName name="_aa1" localSheetId="6" hidden="1">{#N/A,#N/A,TRUE,"Pro Forma";#N/A,#N/A,TRUE,"PF_Bal";#N/A,#N/A,TRUE,"PF_INC";#N/A,#N/A,TRUE,"CBE";#N/A,#N/A,TRUE,"SWK"}</definedName>
    <definedName name="_aa1" hidden="1">{#N/A,#N/A,TRUE,"Pro Forma";#N/A,#N/A,TRUE,"PF_Bal";#N/A,#N/A,TRUE,"PF_INC";#N/A,#N/A,TRUE,"CBE";#N/A,#N/A,TRUE,"SWK"}</definedName>
    <definedName name="_aaa1" hidden="1">{"comp1",#N/A,FALSE,"COMPS";"footnotes",#N/A,FALSE,"COMPS"}</definedName>
    <definedName name="_aab1" hidden="1">{"comp1",#N/A,FALSE,"COMPS";"footnotes",#N/A,FALSE,"COMPS"}</definedName>
    <definedName name="_ab1" localSheetId="6" hidden="1">{"comp1",#N/A,FALSE,"COMPS";"footnotes",#N/A,FALSE,"COMPS"}</definedName>
    <definedName name="_ab1" hidden="1">{"comp1",#N/A,FALSE,"COMPS";"footnotes",#N/A,FALSE,"COMPS"}</definedName>
    <definedName name="_ae1" localSheetId="6" hidden="1">{#N/A,#N/A,FALSE,"Calc";#N/A,#N/A,FALSE,"Sensitivity";#N/A,#N/A,FALSE,"LT Earn.Dil.";#N/A,#N/A,FALSE,"Dil. AVP"}</definedName>
    <definedName name="_ae1" hidden="1">{#N/A,#N/A,FALSE,"Calc";#N/A,#N/A,FALSE,"Sensitivity";#N/A,#N/A,FALSE,"LT Earn.Dil.";#N/A,#N/A,FALSE,"Dil. AVP"}</definedName>
    <definedName name="_aee1" hidden="1">{#N/A,#N/A,FALSE,"Calc";#N/A,#N/A,FALSE,"Sensitivity";#N/A,#N/A,FALSE,"LT Earn.Dil.";#N/A,#N/A,FALSE,"Dil. AVP"}</definedName>
    <definedName name="_af1" hidden="1">"c1455"</definedName>
    <definedName name="_af10" hidden="1">"c2141"</definedName>
    <definedName name="_af11" hidden="1">"c1382"</definedName>
    <definedName name="_af12" hidden="1">"c1385"</definedName>
    <definedName name="_af13" hidden="1">"c1435"</definedName>
    <definedName name="_af14" hidden="1">"c1436"</definedName>
    <definedName name="_af15" hidden="1">"c1424"</definedName>
    <definedName name="_af16" hidden="1">"c1345"</definedName>
    <definedName name="_af18" hidden="1">"c1438"</definedName>
    <definedName name="_af19" localSheetId="6">{"Client Name or Project Name"}</definedName>
    <definedName name="_af19">{"Client Name or Project Name"}</definedName>
    <definedName name="_af2" hidden="1">"c1352"</definedName>
    <definedName name="_af20" localSheetId="6">{"Client Name or Project Name"}</definedName>
    <definedName name="_af20">{"Client Name or Project Name"}</definedName>
    <definedName name="_af21" localSheetId="6">{"Client Name or Project Name"}</definedName>
    <definedName name="_af21">{"Client Name or Project Name"}</definedName>
    <definedName name="_af22" localSheetId="6">{"Client Name or Project Name"}</definedName>
    <definedName name="_af22">{"Client Name or Project Name"}</definedName>
    <definedName name="_af23" localSheetId="6">{126}</definedName>
    <definedName name="_af23">{126}</definedName>
    <definedName name="_af24" localSheetId="6">{1}</definedName>
    <definedName name="_af24">{1}</definedName>
    <definedName name="_af25" localSheetId="6">{0}</definedName>
    <definedName name="_af25">{0}</definedName>
    <definedName name="_af26" localSheetId="6">{126}</definedName>
    <definedName name="_af26">{126}</definedName>
    <definedName name="_af27" localSheetId="6">{"Client Name or Project Name"}</definedName>
    <definedName name="_af27">{"Client Name or Project Name"}</definedName>
    <definedName name="_af28" localSheetId="6">{"Client Name or Project Name"}</definedName>
    <definedName name="_af28">{"Client Name or Project Name"}</definedName>
    <definedName name="_af3" hidden="1">"c1353"</definedName>
    <definedName name="_af30" localSheetId="6">{"Client Name or Project Name"}</definedName>
    <definedName name="_af30">{"Client Name or Project Name"}</definedName>
    <definedName name="_af31" localSheetId="6">{"Client Name or Project Name"}</definedName>
    <definedName name="_af31">{"Client Name or Project Name"}</definedName>
    <definedName name="_af32" localSheetId="6">{"Client Name or Project Name"}</definedName>
    <definedName name="_af32">{"Client Name or Project Name"}</definedName>
    <definedName name="_af33" localSheetId="6">{"Client Name or Project Name"}</definedName>
    <definedName name="_af33">{"Client Name or Project Name"}</definedName>
    <definedName name="_af34" localSheetId="6">{"Client Name or Project Name"}</definedName>
    <definedName name="_af34">{"Client Name or Project Name"}</definedName>
    <definedName name="_af35" localSheetId="6">{"Client Name or Project Name"}</definedName>
    <definedName name="_af35">{"Client Name or Project Name"}</definedName>
    <definedName name="_af36" localSheetId="6">{"Client Name or Project Name"}</definedName>
    <definedName name="_af36">{"Client Name or Project Name"}</definedName>
    <definedName name="_af37" localSheetId="6" hidden="1">{"Client is",#N/A,FALSE,"Client"}</definedName>
    <definedName name="_af37" hidden="1">{"Client is",#N/A,FALSE,"Client"}</definedName>
    <definedName name="_af38" localSheetId="6" hidden="1">{TRUE,TRUE,-1.25,-15.5,456.75,279.75,FALSE,FALSE,TRUE,TRUE,0,1,18,1,199,6,3,4,TRUE,TRUE,3,TRUE,1,TRUE,100,"Swvu.cash.","ACwvu.cash.",1,FALSE,FALSE,0.511811023622047,0.511811023622047,0.511811023622047,0.511811023622047,1,"","",FALSE,FALSE,FALSE,FALSE,1,#N/A,1,1,#DIV/0!,FALSE,"Rwvu.cash.",#N/A,FALSE,FALSE}</definedName>
    <definedName name="_af38" hidden="1">{TRUE,TRUE,-1.25,-15.5,456.75,279.75,FALSE,FALSE,TRUE,TRUE,0,1,18,1,199,6,3,4,TRUE,TRUE,3,TRUE,1,TRUE,100,"Swvu.cash.","ACwvu.cash.",1,FALSE,FALSE,0.511811023622047,0.511811023622047,0.511811023622047,0.511811023622047,1,"","",FALSE,FALSE,FALSE,FALSE,1,#N/A,1,1,#DIV/0!,FALSE,"Rwvu.cash.",#N/A,FALSE,FALSE}</definedName>
    <definedName name="_af39" localSheetId="6" hidden="1">{TRUE,TRUE,-1.25,-15.5,456.75,279.75,FALSE,FALSE,TRUE,TRUE,0,1,21,1,127,6,3,4,TRUE,TRUE,3,TRUE,1,TRUE,100,"Swvu.profits.","ACwvu.profits.",1,FALSE,FALSE,0.511811023622047,0.511811023622047,0.511811023622047,0.511811023622047,1,"","",FALSE,FALSE,FALSE,FALSE,1,#N/A,1,1,#DIV/0!,FALSE,"Rwvu.profits.",#N/A,FALSE,FALSE}</definedName>
    <definedName name="_af39" hidden="1">{TRUE,TRUE,-1.25,-15.5,456.75,279.75,FALSE,FALSE,TRUE,TRUE,0,1,21,1,127,6,3,4,TRUE,TRUE,3,TRUE,1,TRUE,100,"Swvu.profits.","ACwvu.profits.",1,FALSE,FALSE,0.511811023622047,0.511811023622047,0.511811023622047,0.511811023622047,1,"","",FALSE,FALSE,FALSE,FALSE,1,#N/A,1,1,#DIV/0!,FALSE,"Rwvu.profits.",#N/A,FALSE,FALSE}</definedName>
    <definedName name="_af4" hidden="1">"c1354"</definedName>
    <definedName name="_af40" localSheetId="6" hidden="1">{TRUE,TRUE,-1.25,-15.5,456.75,279.75,FALSE,FALSE,TRUE,TRUE,0,1,8,1,4,6,3,4,TRUE,TRUE,3,TRUE,1,TRUE,100,"Swvu.turnover.","ACwvu.turnover.",1,FALSE,FALSE,0.511811023622047,0.511811023622047,0.511811023622047,0.511811023622047,1,"","",FALSE,FALSE,FALSE,FALSE,1,#N/A,1,1,#DIV/0!,FALSE,"Rwvu.turnover.",#N/A,FALSE,FALSE}</definedName>
    <definedName name="_af40" hidden="1">{TRUE,TRUE,-1.25,-15.5,456.75,279.75,FALSE,FALSE,TRUE,TRUE,0,1,8,1,4,6,3,4,TRUE,TRUE,3,TRUE,1,TRUE,100,"Swvu.turnover.","ACwvu.turnover.",1,FALSE,FALSE,0.511811023622047,0.511811023622047,0.511811023622047,0.511811023622047,1,"","",FALSE,FALSE,FALSE,FALSE,1,#N/A,1,1,#DIV/0!,FALSE,"Rwvu.turnover.",#N/A,FALSE,FALSE}</definedName>
    <definedName name="_af5" hidden="1">"c1411"</definedName>
    <definedName name="_af6" hidden="1">"c1431"</definedName>
    <definedName name="_af7" hidden="1">"c1433"</definedName>
    <definedName name="_af8" hidden="1">"c1434"</definedName>
    <definedName name="_af9" hidden="1">"c1432"</definedName>
    <definedName name="_am1" localSheetId="6" hidden="1">{#N/A,#N/A,TRUE,"Pro Forma";#N/A,#N/A,TRUE,"PF_Bal";#N/A,#N/A,TRUE,"PF_INC";#N/A,#N/A,TRUE,"CBE";#N/A,#N/A,TRUE,"SWK"}</definedName>
    <definedName name="_am1" hidden="1">{#N/A,#N/A,TRUE,"Pro Forma";#N/A,#N/A,TRUE,"PF_Bal";#N/A,#N/A,TRUE,"PF_INC";#N/A,#N/A,TRUE,"CBE";#N/A,#N/A,TRUE,"SWK"}</definedName>
    <definedName name="_amm1" hidden="1">{#N/A,#N/A,TRUE,"Pro Forma";#N/A,#N/A,TRUE,"PF_Bal";#N/A,#N/A,TRUE,"PF_INC";#N/A,#N/A,TRUE,"CBE";#N/A,#N/A,TRUE,"SWK"}</definedName>
    <definedName name="_as1" localSheetId="6" hidden="1">{"comp1",#N/A,FALSE,"COMPS";"footnotes",#N/A,FALSE,"COMPS"}</definedName>
    <definedName name="_as1" hidden="1">{"comp1",#N/A,FALSE,"COMPS";"footnotes",#N/A,FALSE,"COMPS"}</definedName>
    <definedName name="_ASM1" localSheetId="6">{9}</definedName>
    <definedName name="_ASM1">{9}</definedName>
    <definedName name="_ASM2" localSheetId="6">{9}</definedName>
    <definedName name="_ASM2">{9}</definedName>
    <definedName name="_ass1" hidden="1">{"comp1",#N/A,FALSE,"COMPS";"footnotes",#N/A,FALSE,"COMPS"}</definedName>
    <definedName name="_bdm.02E29E7B1053433EA3CCCBE4E5141596.edm" hidden="1">[5]Sheet1!$A:$IV</definedName>
    <definedName name="_bdm.1334C29876F942D8901AD4770A993668.edm" localSheetId="1" hidden="1">'P&amp;L'!$B$3:$AQ$71</definedName>
    <definedName name="_bdm.1ED62A45DEF247ECA361049A600E2EA7.edm" hidden="1">[6]Comps!$A:$IV</definedName>
    <definedName name="_bdm.2D2AE9F3DE2C4009BE1ADEF0D8291426.edm" hidden="1">'[6]Valuation metrics'!$A:$IV</definedName>
    <definedName name="_bdm.367EA898F586448AA306326C4129ADFD.edm" hidden="1">'[7]M&amp;Acalcs'!$A:$IV</definedName>
    <definedName name="_bdm.6694A034F149482090D1C7073DD8E728.edm" hidden="1">[8]Sheet1!$A:$IV</definedName>
    <definedName name="_bdm.D0F45DF5877447288FB1E0B1EA686B46.edm" hidden="1">[6]RC2!$A:$IV</definedName>
    <definedName name="_bdm.DA66EF2E41854969AD44B2D1C775CE0B.edm" hidden="1">'P&amp;L'!$1:$1048576</definedName>
    <definedName name="_CF_Summary">[6]RC2!$AF$35:$AK$47</definedName>
    <definedName name="_div_yield">[6]RC2!$V$13:$Y$21</definedName>
    <definedName name="_f1" localSheetId="6" hidden="1">{"assumption cash",#N/A,TRUE,"Merger";"has gets cash",#N/A,TRUE,"Merger";"accretion dilution",#N/A,TRUE,"Merger";"comparison credit stats",#N/A,TRUE,"Merger";"pf credit stats",#N/A,TRUE,"Merger";"pf sheets",#N/A,TRUE,"Merger"}</definedName>
    <definedName name="_f1" hidden="1">{"assumption cash",#N/A,TRUE,"Merger";"has gets cash",#N/A,TRUE,"Merger";"accretion dilution",#N/A,TRUE,"Merger";"comparison credit stats",#N/A,TRUE,"Merger";"pf credit stats",#N/A,TRUE,"Merger";"pf sheets",#N/A,TRUE,"Merger"}</definedName>
    <definedName name="_FCF_yield">[6]Comps!$D$20:$S$35</definedName>
    <definedName name="_ik1" localSheetId="6" hidden="1">{"casespecific",#N/A,FALSE,"Assumptions"}</definedName>
    <definedName name="_ik1" hidden="1">{"casespecific",#N/A,FALSE,"Assumptions"}</definedName>
    <definedName name="_Order1" hidden="1">255</definedName>
    <definedName name="_Order2" hidden="1">0</definedName>
    <definedName name="_P1">[1]Bio!$A$5:$S$293</definedName>
    <definedName name="_P2">[1]Bio!$A$5:$P$293</definedName>
    <definedName name="_ppp1" localSheetId="6">{"Client Name or Project Name"}</definedName>
    <definedName name="_ppp1">{"Client Name or Project Name"}</definedName>
    <definedName name="_rb1" hidden="1">{"comp1",#N/A,FALSE,"COMPS";"footnotes",#N/A,FALSE,"COMPS"}</definedName>
    <definedName name="_rb10" localSheetId="6">{"Client Name or Project Name"}</definedName>
    <definedName name="_rb10">{"Client Name or Project Name"}</definedName>
    <definedName name="_rb11" hidden="1">{"assumption cash",#N/A,TRUE,"Merger";"has gets cash",#N/A,TRUE,"Merger";"accretion dilution",#N/A,TRUE,"Merger";"comparison credit stats",#N/A,TRUE,"Merger";"pf credit stats",#N/A,TRUE,"Merger";"pf sheets",#N/A,TRUE,"Merger"}</definedName>
    <definedName name="_rb12" localSheetId="6">{9}</definedName>
    <definedName name="_rb12">{9}</definedName>
    <definedName name="_rb13" localSheetId="6" hidden="1">{"'Breakup 01 Euro'!$A$3:$I$30"}</definedName>
    <definedName name="_rb13" hidden="1">{"'Breakup 01 Euro'!$A$3:$I$30"}</definedName>
    <definedName name="_rb14" hidden="1">{"casespecific",#N/A,FALSE,"Assumptions"}</definedName>
    <definedName name="_rb15" hidden="1">"c1449"</definedName>
    <definedName name="_rb16" hidden="1">"c1343"</definedName>
    <definedName name="_rb17" hidden="1">"c1341"</definedName>
    <definedName name="_rb18" hidden="1">"c1340"</definedName>
    <definedName name="_rb19" hidden="1">"c1344"</definedName>
    <definedName name="_rb2" hidden="1">{#N/A,#N/A,TRUE,"Pro Forma";#N/A,#N/A,TRUE,"PF_Bal";#N/A,#N/A,TRUE,"PF_INC";#N/A,#N/A,TRUE,"CBE";#N/A,#N/A,TRUE,"SWK"}</definedName>
    <definedName name="_rb20" hidden="1">"c1342"</definedName>
    <definedName name="_rb21" hidden="1">"c1591"</definedName>
    <definedName name="_rb22" hidden="1">"c1346"</definedName>
    <definedName name="_rb23" hidden="1">"c2133"</definedName>
    <definedName name="_rb24" hidden="1">"c1349"</definedName>
    <definedName name="_rb25" hidden="1">"c1350"</definedName>
    <definedName name="_rb26" hidden="1">"c1458"</definedName>
    <definedName name="_rb27" hidden="1">"c116"</definedName>
    <definedName name="_rb28" hidden="1">"c1351"</definedName>
    <definedName name="_rb29" hidden="1">"c1355"</definedName>
    <definedName name="_rb3" hidden="1">{"comp1",#N/A,FALSE,"COMPS";"footnotes",#N/A,FALSE,"COMPS"}</definedName>
    <definedName name="_rb30" hidden="1">"c1357"</definedName>
    <definedName name="_rb31" hidden="1">"c1358"</definedName>
    <definedName name="_rb32" hidden="1">"c1359"</definedName>
    <definedName name="_rb33" hidden="1">"c1362"</definedName>
    <definedName name="_rb34" hidden="1">"c1363"</definedName>
    <definedName name="_rb35" hidden="1">"c1364"</definedName>
    <definedName name="_rb36" hidden="1">"c1365"</definedName>
    <definedName name="_rb37" hidden="1">"c1447"</definedName>
    <definedName name="_rb38" hidden="1">"c1356"</definedName>
    <definedName name="_rb39" hidden="1">"c1360"</definedName>
    <definedName name="_rb4" hidden="1">{#N/A,#N/A,FALSE,"Calc";#N/A,#N/A,FALSE,"Sensitivity";#N/A,#N/A,FALSE,"LT Earn.Dil.";#N/A,#N/A,FALSE,"Dil. AVP"}</definedName>
    <definedName name="_rb40" hidden="1">"c1361"</definedName>
    <definedName name="_rb41" hidden="1">"c1520"</definedName>
    <definedName name="_rb42" hidden="1">"c1367"</definedName>
    <definedName name="_rb43" hidden="1">"c1366"</definedName>
    <definedName name="_rb44" hidden="1">"c1369"</definedName>
    <definedName name="_rb45" hidden="1">"c1370"</definedName>
    <definedName name="_rb46" hidden="1">"c1371"</definedName>
    <definedName name="_rb47" hidden="1">"c1348"</definedName>
    <definedName name="_rb48" hidden="1">"c1451"</definedName>
    <definedName name="_rb49" hidden="1">"c1390"</definedName>
    <definedName name="_rb5" localSheetId="6">{9}</definedName>
    <definedName name="_rb5">{9}</definedName>
    <definedName name="_rb50" hidden="1">"c1428"</definedName>
    <definedName name="_rb51" hidden="1">"c1426"</definedName>
    <definedName name="_rb52" hidden="1">"c1427"</definedName>
    <definedName name="_rb53" hidden="1">"c1429"</definedName>
    <definedName name="_rb54" hidden="1">"c1897"</definedName>
    <definedName name="_rb55" hidden="1">"c1459"</definedName>
    <definedName name="_rb56" hidden="1">"c1405"</definedName>
    <definedName name="_rb57" hidden="1">"c1406"</definedName>
    <definedName name="_rb58" hidden="1">"c1376"</definedName>
    <definedName name="_rb59" hidden="1">"c1377"</definedName>
    <definedName name="_rb6" hidden="1">{#N/A,#N/A,TRUE,"Pro Forma";#N/A,#N/A,TRUE,"PF_Bal";#N/A,#N/A,TRUE,"PF_INC";#N/A,#N/A,TRUE,"CBE";#N/A,#N/A,TRUE,"SWK"}</definedName>
    <definedName name="_rb60" hidden="1">"c1380"</definedName>
    <definedName name="_rb61" hidden="1">"c1446"</definedName>
    <definedName name="_rb62" hidden="1">"c1378"</definedName>
    <definedName name="_rb63" hidden="1">"c1395"</definedName>
    <definedName name="_rb64" hidden="1">"c1396"</definedName>
    <definedName name="_rb65" hidden="1">"c1375"</definedName>
    <definedName name="_rb66" hidden="1">"c1407"</definedName>
    <definedName name="_rb67" hidden="1">"c1383"</definedName>
    <definedName name="_rb68" hidden="1">"c1393"</definedName>
    <definedName name="_rb69" hidden="1">"c1384"</definedName>
    <definedName name="_rb7" hidden="1">{"comp1",#N/A,FALSE,"COMPS";"footnotes",#N/A,FALSE,"COMPS"}</definedName>
    <definedName name="_rb70" hidden="1">"c1391"</definedName>
    <definedName name="_rb71" hidden="1">"c1386"</definedName>
    <definedName name="_rb72" hidden="1">"c1387"</definedName>
    <definedName name="_rb73" hidden="1">"c1388"</definedName>
    <definedName name="_rb74" hidden="1">"c1389"</definedName>
    <definedName name="_rb75" hidden="1">"c1437"</definedName>
    <definedName name="_rb76" hidden="1">"c1394"</definedName>
    <definedName name="_rb77" hidden="1">"c1368"</definedName>
    <definedName name="_rb78" hidden="1">"c1397"</definedName>
    <definedName name="_rb79" hidden="1">"c1398"</definedName>
    <definedName name="_rb8" localSheetId="6">{9}</definedName>
    <definedName name="_rb8">{9}</definedName>
    <definedName name="_rb9" localSheetId="6">{9}</definedName>
    <definedName name="_rb9">{9}</definedName>
    <definedName name="_Regression_Int" hidden="1">1</definedName>
    <definedName name="_rt1" hidden="1">"c1392"</definedName>
    <definedName name="_rt10" hidden="1">"c1409"</definedName>
    <definedName name="_rt11" hidden="1">"c1453"</definedName>
    <definedName name="_rt12" hidden="1">"c1410"</definedName>
    <definedName name="_rt14" hidden="1">"c2128"</definedName>
    <definedName name="_rt15" hidden="1">"c1457"</definedName>
    <definedName name="_rt16" hidden="1">"c1414"</definedName>
    <definedName name="_rt17" hidden="1">"c1416"</definedName>
    <definedName name="_rt18" hidden="1">"c1415"</definedName>
    <definedName name="_rt19" hidden="1">"c1418"</definedName>
    <definedName name="_rt2" hidden="1">"c1399"</definedName>
    <definedName name="_rt20" hidden="1">"c1412"</definedName>
    <definedName name="_rt21" hidden="1">"c1413"</definedName>
    <definedName name="_rt22" hidden="1">"c1452"</definedName>
    <definedName name="_rt24" hidden="1">"c1379"</definedName>
    <definedName name="_rt25" hidden="1">"c1402"</definedName>
    <definedName name="_rt26" hidden="1">"c1417"</definedName>
    <definedName name="_rt27" hidden="1">"c1419"</definedName>
    <definedName name="_rt28" hidden="1">"c1420"</definedName>
    <definedName name="_rt29" hidden="1">"c1421"</definedName>
    <definedName name="_rt3" hidden="1">"c1400"</definedName>
    <definedName name="_rt30" hidden="1">"c1422"</definedName>
    <definedName name="_rt31" hidden="1">"c1347"</definedName>
    <definedName name="_rt32" hidden="1">"c1425"</definedName>
    <definedName name="_rt4" hidden="1">"c1401"</definedName>
    <definedName name="_rt5" hidden="1">"c1423"</definedName>
    <definedName name="_rt6" hidden="1">"c1448"</definedName>
    <definedName name="_rt7" hidden="1">"c1403"</definedName>
    <definedName name="_rt8" hidden="1">"c1404"</definedName>
    <definedName name="_rt9" hidden="1">"c1408"</definedName>
    <definedName name="_t1" localSheetId="6" hidden="1">{"Client is",#N/A,FALSE,"Client"}</definedName>
    <definedName name="_t1" hidden="1">{"Client is",#N/A,FALSE,"Client"}</definedName>
    <definedName name="_TAR2">[9]Inputs!$F$9</definedName>
    <definedName name="aaaaaa1" hidden="1">{#N/A,#N/A,TRUE,"Pro Forma";#N/A,#N/A,TRUE,"PF_Bal";#N/A,#N/A,TRUE,"PF_INC";#N/A,#N/A,TRUE,"CBE";#N/A,#N/A,TRUE,"SWK"}</definedName>
    <definedName name="abc"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acq_name">[10]Inputs!$B$2</definedName>
    <definedName name="AdditionalInstructions">IndexInformation!$B$42</definedName>
    <definedName name="Address" localSheetId="0">ImportantDisclosures!$A$2:$A$2</definedName>
    <definedName name="af" hidden="1">"c1430"</definedName>
    <definedName name="afertgfs" hidden="1">{"comp1",#N/A,FALSE,"COMPS";"footnotes",#N/A,FALSE,"COMPS"}</definedName>
    <definedName name="AllTables" localSheetId="6">{9}</definedName>
    <definedName name="AllTables">{9}</definedName>
    <definedName name="alltables1" localSheetId="6">{9}</definedName>
    <definedName name="alltables1">{9}</definedName>
    <definedName name="amortization">'[11]Assumptions &amp; Cases'!$F$16</definedName>
    <definedName name="ANA" localSheetId="9">ModPubIndex!$A$7</definedName>
    <definedName name="anscount" hidden="1">1</definedName>
    <definedName name="apple">'[12]Financials Feeder'!$M$13</definedName>
    <definedName name="asdbdbvdfb" hidden="1">{0,#N/A,FALSE,0;0,#N/A,FALSE,0}</definedName>
    <definedName name="asdfbadffbf" hidden="1">{#VALUE!,#N/A,TRUE,0;#N/A,#N/A,TRUE,0;#N/A,#N/A,TRUE,0;#N/A,#N/A,TRUE,0;#N/A,#N/A,TRUE,0}</definedName>
    <definedName name="asdgasdgg" hidden="1">{0,#N/A,FALSE,0}</definedName>
    <definedName name="ASM" localSheetId="6">{9}</definedName>
    <definedName name="ASM">{9}</definedName>
    <definedName name="ASMM2" localSheetId="6">{9}</definedName>
    <definedName name="ASMM2">{9}</definedName>
    <definedName name="Australia">[13]Fitbit_Model!$B$12</definedName>
    <definedName name="Authors" localSheetId="0">ImportantDisclosures!$A$7</definedName>
    <definedName name="Authors" localSheetId="8">IndexInformation!$B$18</definedName>
    <definedName name="B">'[14]GVAT RI Valuation'!$C$149</definedName>
    <definedName name="bach_share_price">'[15]Accretion-Dilution'!$T$24</definedName>
    <definedName name="bnmjk" hidden="1">{#N/A,#N/A,TRUE,"Pro Forma";#N/A,#N/A,TRUE,"PF_Bal";#N/A,#N/A,TRUE,"PF_INC";#N/A,#N/A,TRUE,"CBE";#N/A,#N/A,TRUE,"SWK"}</definedName>
    <definedName name="BRO" localSheetId="9">ModPubIndex!$A$1</definedName>
    <definedName name="BSO">[16]Model_Assumptions!$P$18</definedName>
    <definedName name="Buyer">'[17]M&amp;A inputs'!$J$11</definedName>
    <definedName name="cad">'[18]MOL AccDil Input'!$R$1</definedName>
    <definedName name="cash2">'[19]Trans Inputs'!$B$14</definedName>
    <definedName name="cashpd">[20]Calcs!$C$10</definedName>
    <definedName name="cb_sChart10D6460A_opts" hidden="1">"1, 1, 1, False, 2, True, False, , 0, False, False, 1, 1"</definedName>
    <definedName name="cb_sChart10D65256_opts" hidden="1">"1, 1, 1, False, 2, True, False, , 0, False, False, 1, 1"</definedName>
    <definedName name="cb_sChart10D653EB_opts" hidden="1">"1, 1, 1, False, 2, True, False, , 0, False, False, 1, 1"</definedName>
    <definedName name="cb_sChart10D65893_opts" hidden="1">"1, 1, 1, False, 2, True, False, , 0, False, False, 1, 1"</definedName>
    <definedName name="cb_sChartEE4CE1B_opts" hidden="1">"1, 4, 1, False, 2, False, False, , 0, False, False, 1, 1"</definedName>
    <definedName name="cb_sChartEE4CF99_opts" hidden="1">"1, 1, 1, False, 2, False, False, , 0, False, False, 1, 1"</definedName>
    <definedName name="cb_sChartEE4DD06_opts" hidden="1">"1, 1, 1, False, 2, False, False, , 0, False, False, 1, 2"</definedName>
    <definedName name="cb_sChartEE4E93B_opts" hidden="1">"1, 1, 1, False, 2, False, False, , 0, False, False, 1, 1"</definedName>
    <definedName name="cb_sChartEE51E95_opts" hidden="1">"1, 1, 1, False, 2, False, False, , 0, False, False, 1, 1"</definedName>
    <definedName name="cb_sChartEED7645_opts" hidden="1">"1, 1, 1, False, 2, False, False, , 0, False, False, 1, 1"</definedName>
    <definedName name="cb_sChartEEDA195_opts" hidden="1">"1, 1, 1, False, 2, False, False, , 0, False, False, 1, 1"</definedName>
    <definedName name="cb_sChartEEDC338_opts" hidden="1">"1, 1, 1, False, 2, False, False, , 0, False, False, 1, 1"</definedName>
    <definedName name="cb_sChartEEDEDB8_opts" hidden="1">"1, 1, 1, False, 2, False, False, , 0, False, True, 1, 1"</definedName>
    <definedName name="cb_sChartEEDEE5A_opts" hidden="1">"1, 3, 1, False, 2, True, False, , 0, False, True, 1, 1"</definedName>
    <definedName name="cb_sChartEEDF178_opts" hidden="1">"1, 3, 1, False, 2, False, False, , 0, False, True, 1, 1"</definedName>
    <definedName name="cb_sChartF6A6B11_opts" hidden="1">"1, 1, 1, False, 2, True, False, , 0, False, False, 1, 1"</definedName>
    <definedName name="cb_sChartFD191DC_opts" hidden="1">"1, 3, 1, False, 2, True, False, , 0, False, True, 1, 1"</definedName>
    <definedName name="cb_sChartFD1A245_opts" hidden="1">"1, 3, 1, False, 2, True, False, , 0, False, True, 1, 1"</definedName>
    <definedName name="cb_sChartFD3F0E9_opts" hidden="1">"1, 3, 1, False, 2, True, False, , 0, False, False, 1, 1"</definedName>
    <definedName name="cb_sChartFD3F27E_opts" hidden="1">"1, 3, 1, False, 2, True, False, , 0, False, True, 1, 1"</definedName>
    <definedName name="cb_sChartFD58483_opts" hidden="1">"1, 1, 1, False, 2, True, False, , 0, False, False, 1, 1"</definedName>
    <definedName name="cb_sChartFD5C4CD_opts" hidden="1">"1, 1, 1, False, 2, True, False, , 0, False, False, 1, 1"</definedName>
    <definedName name="cb_sChartFD5D4CE_opts" hidden="1">"1, 1, 1, False, 2, True, False, , 0, False, False, 1, 1"</definedName>
    <definedName name="cb_sChartFD5DF34_opts" hidden="1">"1, 1, 1, False, 2, True, False, , 0, False, False, 1, 1"</definedName>
    <definedName name="cb_sChartFD5EFC0_opts" hidden="1">"1, 1, 1, False, 2, True, False, , 0, False, False, 1, 1"</definedName>
    <definedName name="cb_sChartFD5FDB9_opts" hidden="1">"1, 1, 1, False, 2, True, False, , 0, False, False, 1, 1"</definedName>
    <definedName name="cb_sChartFE54712_opts" hidden="1">"1, 3, 1, False, 2, True, False, , 0, False, True, 1, 1"</definedName>
    <definedName name="cf">'[20]Target&amp;Acquiror'!$C$2</definedName>
    <definedName name="China">[13]Fitbit_Model!$B$22</definedName>
    <definedName name="ChoiceOfChem" localSheetId="6">{"Client Name or Project Name"}</definedName>
    <definedName name="ChoiceOfChem">{"Client Name or Project Name"}</definedName>
    <definedName name="Choices_Wrapper" localSheetId="6">Debt!Choices_Wrapper</definedName>
    <definedName name="Choices_Wrapper">[0]!Choices_Wrapper</definedName>
    <definedName name="client">'[11]Assumptions &amp; Cases'!$F$6</definedName>
    <definedName name="COGSoverideTitle">[21]INPUTS!$D$33</definedName>
    <definedName name="common">[20]Trans!$E$11</definedName>
    <definedName name="companies">[22]Inputs!$O$15:$CV$110</definedName>
    <definedName name="CompanyName">[23]summary!$J$7</definedName>
    <definedName name="copy" localSheetId="6">{9}</definedName>
    <definedName name="copy">{9}</definedName>
    <definedName name="copy2" localSheetId="6">{9}</definedName>
    <definedName name="copy2">{9}</definedName>
    <definedName name="CopyrightStamp">ImportantDisclosures!$A$27</definedName>
    <definedName name="Cost_of_cash">'[15]Chopin MF Valuation'!$C$10</definedName>
    <definedName name="COU" localSheetId="9">ModPubIndex!$A$5</definedName>
    <definedName name="CQEnd" localSheetId="8">IndexInformation!$B$31</definedName>
    <definedName name="crailtitle">[21]INPUTS!$D$28</definedName>
    <definedName name="curex">[24]Inputs!$R$7</definedName>
    <definedName name="Curr_Date">[25]Comps!$AC$10</definedName>
    <definedName name="Currency" localSheetId="8">IndexInformation!$B$24</definedName>
    <definedName name="CurrentStockPrice" localSheetId="8">IndexInformation!$B$23</definedName>
    <definedName name="CurrQtrEPS" localSheetId="8">IndexInformation!$B$29</definedName>
    <definedName name="CurrYearEPS" localSheetId="8">IndexInformation!$B$11</definedName>
    <definedName name="CurrYearTotalRevenue" localSheetId="8">IndexInformation!$B$10</definedName>
    <definedName name="CurrYearTotalRevenueActual" localSheetId="8">IndexInformation!$B$32</definedName>
    <definedName name="CUSIP" localSheetId="8">IndexInformation!$B$20</definedName>
    <definedName name="CYEnd" localSheetId="8">IndexInformation!$B$30</definedName>
    <definedName name="d" hidden="1">{"comp1",#N/A,FALSE,"COMPS";"footnotes",#N/A,FALSE,"COMPS"}</definedName>
    <definedName name="data">[11]Inputs!$I$6:$K$153</definedName>
    <definedName name="_xlnm.Database" localSheetId="6">Debt!_xlnm.Database</definedName>
    <definedName name="_xlnm.Database">[26]!_xlnm.Database</definedName>
    <definedName name="Date" localSheetId="0">ImportantDisclosures!$A$8</definedName>
    <definedName name="date">'[27]Control Page'!$C$9</definedName>
    <definedName name="date2">[28]Evotec!$L$3</definedName>
    <definedName name="Deferred_Taxes">'[29]Bal Sheet &amp; Cash Flow'!$A$10:$IV$10</definedName>
    <definedName name="Deleted" localSheetId="8">IndexInformation!$B$27</definedName>
    <definedName name="Description" localSheetId="8">IndexInformation!$B$7</definedName>
    <definedName name="DEVELOPMENT">5</definedName>
    <definedName name="dfbdfbdfbadfbd" hidden="1">{#VALUE!,#N/A,FALSE,0;#N/A,#N/A,FALSE,0;#N/A,#N/A,FALSE,0;#N/A,#N/A,FALSE,0}</definedName>
    <definedName name="dfbfdfbgdb" hidden="1">{0,#N/A,FALSE,0}</definedName>
    <definedName name="dhdghdghgh">{9}</definedName>
    <definedName name="Discipline" localSheetId="8">IndexInformation!$B$3</definedName>
    <definedName name="DISCIPLINE" localSheetId="9">ModPubIndex!$A$12</definedName>
    <definedName name="DisclosuresText">ImportantDisclosures!$A$22</definedName>
    <definedName name="Distribution" localSheetId="8">IndexInformation!$B$26</definedName>
    <definedName name="DistTable" localSheetId="0">ImportantDisclosures!#REF!</definedName>
    <definedName name="DistTablePreamble" localSheetId="0">ImportantDisclosures!#REF!</definedName>
    <definedName name="DOCDAT" localSheetId="9">ModPubIndex!$A$2</definedName>
    <definedName name="DOCTIME" localSheetId="9">ModPubIndex!$A$3</definedName>
    <definedName name="DocType" localSheetId="8">IndexInformation!$B$5</definedName>
    <definedName name="Download_series" localSheetId="4">[30]!Download_series</definedName>
    <definedName name="Download_series" localSheetId="5">[30]!Download_series</definedName>
    <definedName name="Download_series" localSheetId="7">[30]!Download_series</definedName>
    <definedName name="Download_series">[30]!Download_series</definedName>
    <definedName name="DYNO">"TARGET"</definedName>
    <definedName name="EMAIL_ALERT" localSheetId="9">ModPubIndex!$A$10</definedName>
    <definedName name="EmailAlert" localSheetId="8">IndexInformation!$B$28</definedName>
    <definedName name="Epsilon">[31]Inputs!$B$3</definedName>
    <definedName name="equity1">'[32]Trans Sum'!$K$13</definedName>
    <definedName name="ev.Calculation" hidden="1">-4135</definedName>
    <definedName name="ev.Initialized" hidden="1">FALSE</definedName>
    <definedName name="Exhibit_4">"QSALES1"</definedName>
    <definedName name="FCF">[33]L!$C$13:$P$20</definedName>
    <definedName name="fhsdfhsdfhsdfh" hidden="1">{#VALUE!,#N/A,TRUE,0;#N/A,#N/A,TRUE,0;#N/A,#N/A,TRUE,0;#N/A,#N/A,TRUE,0;#N/A,#N/A,TRUE,0}</definedName>
    <definedName name="FINCriteriaType">1</definedName>
    <definedName name="FiveYearGrowthRate" localSheetId="8">IndexInformation!$B$16</definedName>
    <definedName name="fmv_04" localSheetId="6">{"Client Name or Project Name"}</definedName>
    <definedName name="fmv_04">{"Client Name or Project Name"}</definedName>
    <definedName name="FollowingYearEPS" localSheetId="8">IndexInformation!$B$15</definedName>
    <definedName name="FollowingYearTotalRevenue" localSheetId="8">IndexInformation!$B$14</definedName>
    <definedName name="FollowingYearTotalRevenueActual" localSheetId="8">IndexInformation!$B$34</definedName>
    <definedName name="France">[13]Fitbit_Model!$B$9</definedName>
    <definedName name="FYE">'[34]DCF Inputs'!$H$11</definedName>
    <definedName name="GBP_ON">[21]INPUTS!$N$19</definedName>
    <definedName name="GDWILL">[35]Calcs!$O$15</definedName>
    <definedName name="Germany">[13]Fitbit_Model!$B$8</definedName>
    <definedName name="gfngfngfndghnmgh" hidden="1">{0,#N/A,TRUE,0;0,#N/A,TRUE,0;0,#N/A,TRUE,0;0,#N/A,TRUE,0;0,#N/A,TRUE,0;0,#N/A,TRUE,0}</definedName>
    <definedName name="Graph_Frequency">OFFSET('[36]RESIDUAL INCOME'!$Y$60,0,MATCH(99.9999,'[36]RESIDUAL INCOME'!$Y$60:$BW$60,-1)-1,1,COUNT('[36]RESIDUAL INCOME'!$Y$60:$BW$60)-(MATCH(99.9999,'[36]RESIDUAL INCOME'!$Y$60:$BW$60,-1)-1))</definedName>
    <definedName name="Gross_Capex">'[29]Bal Sheet &amp; Cash Flow'!$A$38:$IV$38</definedName>
    <definedName name="guidance1" localSheetId="6">{9}</definedName>
    <definedName name="guidance1">{9}</definedName>
    <definedName name="GW_AMORT_BOOK">[22]Trans_Inputs!$U$39</definedName>
    <definedName name="GwthDecay_Rate">[13]Fitbit_Model!$C$27</definedName>
    <definedName name="hgjdfgh" hidden="1">{"comp1",#N/A,FALSE,"COMPS";"footnotes",#N/A,FALSE,"COMPS"}</definedName>
    <definedName name="HL" localSheetId="9">ModPubIndex!$A$8</definedName>
    <definedName name="hn.ModelVersion" hidden="1">1</definedName>
    <definedName name="hn.NoUpload" hidden="1">0</definedName>
    <definedName name="HTML_CodePage" hidden="1">1252</definedName>
    <definedName name="HTML_Control" localSheetId="6" hidden="1">{"'Breakup 01 Euro'!$A$3:$I$30"}</definedName>
    <definedName name="HTML_Control" hidden="1">{"'Breakup 01 Euro'!$A$3:$I$30"}</definedName>
    <definedName name="HTML_Description" hidden="1">""</definedName>
    <definedName name="HTML_Email" hidden="1">""</definedName>
    <definedName name="HTML_Header" hidden="1">"Breakup 01 Euro"</definedName>
    <definedName name="HTML_LastUpdate" hidden="1">"27/02/2001"</definedName>
    <definedName name="HTML_LineAfter" hidden="1">FALSE</definedName>
    <definedName name="HTML_LineBefore" hidden="1">FALSE</definedName>
    <definedName name="HTML_Name" hidden="1">"jonasa"</definedName>
    <definedName name="HTML_OBDlg2" hidden="1">TRUE</definedName>
    <definedName name="HTML_OBDlg4" hidden="1">TRUE</definedName>
    <definedName name="HTML_OS" hidden="1">0</definedName>
    <definedName name="HTML_PathFile" hidden="1">"L:\AUTOS\XLDATA\Jonas\other\DCX_Sop.htm"</definedName>
    <definedName name="HTML_Title" hidden="1">"DAIC-INC"</definedName>
    <definedName name="IND" localSheetId="9">ModPubIndex!$A$9</definedName>
    <definedName name="India">[13]Fitbit_Model!$B$13</definedName>
    <definedName name="Indonesia">[13]Fitbit_Model!$B$15</definedName>
    <definedName name="Industry" localSheetId="0">ImportantDisclosures!$A$12</definedName>
    <definedName name="IndustryId">IndexInformation!$B$40</definedName>
    <definedName name="IndustryRating" localSheetId="0">ImportantDisclosures!$A$13</definedName>
    <definedName name="IQ" hidden="1">"c413"</definedName>
    <definedName name="IQ_1_4_CONSTRUCTION_GROSS_LOANS_FFIEC" hidden="1">"c13402"</definedName>
    <definedName name="IQ_1_4_CONSTRUCTION_LL_REC_DOM_FFIEC" hidden="1">"c12899"</definedName>
    <definedName name="IQ_1_4_CONSTRUCTION_LOAN_COMMITMENTS_UNUSED_FFIEC" hidden="1">"c13244"</definedName>
    <definedName name="IQ_1_4_CONSTRUCTION_LOANS_DUE_30_89_FFIEC" hidden="1">"c13257"</definedName>
    <definedName name="IQ_1_4_CONSTRUCTION_LOANS_DUE_90_FFIEC" hidden="1">"c13285"</definedName>
    <definedName name="IQ_1_4_CONSTRUCTION_LOANS_NON_ACCRUAL_FFIEC" hidden="1">"c13311"</definedName>
    <definedName name="IQ_1_4_CONSTRUCTION_RISK_BASED_FFIEC" hidden="1">"c13423"</definedName>
    <definedName name="IQ_1_4_FAMILY_JUNIOR_LIENS_CHARGE_OFFS_FDIC" hidden="1">"c6605"</definedName>
    <definedName name="IQ_1_4_FAMILY_JUNIOR_LIENS_NET_CHARGE_OFFS_FDIC" hidden="1">"c6643"</definedName>
    <definedName name="IQ_1_4_FAMILY_JUNIOR_LIENS_RECOVERIES_FDIC" hidden="1">"c6624"</definedName>
    <definedName name="IQ_1_4_FAMILY_SENIOR_LIENS_CHARGE_OFFS_FDIC" hidden="1">"c6604"</definedName>
    <definedName name="IQ_1_4_FAMILY_SENIOR_LIENS_NET_CHARGE_OFFS_FDIC" hidden="1">"c6642"</definedName>
    <definedName name="IQ_1_4_FAMILY_SENIOR_LIENS_RECOVERIES_FDIC" hidden="1">"c6623"</definedName>
    <definedName name="IQ_1_4_HOME_EQUITY_NET_LOANS_FDIC" hidden="1">"c6441"</definedName>
    <definedName name="IQ_1_4_RESIDENTIAL_FIRST_LIENS_NET_LOANS_FDIC" hidden="1">"c6439"</definedName>
    <definedName name="IQ_1_4_RESIDENTIAL_JUNIOR_LIENS_NET_LOANS_FDIC" hidden="1">"c6440"</definedName>
    <definedName name="IQ_1_4_RESIDENTIAL_LOANS_FDIC" hidden="1">"c6310"</definedName>
    <definedName name="IQ_30YR_FIXED_MORTGAGE" hidden="1">"c6811"</definedName>
    <definedName name="IQ_30YR_FIXED_MORTGAGE_FC" hidden="1">"c7691"</definedName>
    <definedName name="IQ_30YR_FIXED_MORTGAGE_POP" hidden="1">"c7031"</definedName>
    <definedName name="IQ_30YR_FIXED_MORTGAGE_POP_FC" hidden="1">"c7911"</definedName>
    <definedName name="IQ_30YR_FIXED_MORTGAGE_YOY" hidden="1">"c7251"</definedName>
    <definedName name="IQ_30YR_FIXED_MORTGAGE_YOY_FC" hidden="1">"c8131"</definedName>
    <definedName name="IQ_ABS_AVAIL_SALE_FFIEC" hidden="1">"c12802"</definedName>
    <definedName name="IQ_ABS_FFIEC" hidden="1">"c12788"</definedName>
    <definedName name="IQ_ABS_INVEST_SECURITIES_FFIEC" hidden="1">"c13461"</definedName>
    <definedName name="IQ_ABS_PERIOD" hidden="1">"c13823"</definedName>
    <definedName name="IQ_ACCOUNT_CHANGE" hidden="1">"c413"</definedName>
    <definedName name="IQ_ACCOUNTING_FFIEC" hidden="1">"c13054"</definedName>
    <definedName name="IQ_ACCOUNTING_STANDARD" hidden="1">"c4539"</definedName>
    <definedName name="IQ_ACCOUNTS_PAY" hidden="1">"c32"</definedName>
    <definedName name="IQ_ACCR_INT_PAY" hidden="1">"c1"</definedName>
    <definedName name="IQ_ACCR_INT_PAY_CF" hidden="1">"c2"</definedName>
    <definedName name="IQ_ACCR_INT_RECEIV" hidden="1">"c3"</definedName>
    <definedName name="IQ_ACCR_INT_RECEIV_CF" hidden="1">"c4"</definedName>
    <definedName name="IQ_ACCRUED_EXP" hidden="1">"c8"</definedName>
    <definedName name="IQ_ACCRUED_INTEREST_RECEIVABLE_FFIEC" hidden="1">"c12842"</definedName>
    <definedName name="IQ_ACCT_RECV_10YR_ANN_CAGR" hidden="1">"c6159"</definedName>
    <definedName name="IQ_ACCT_RECV_10YR_ANN_GROWTH" hidden="1">"c1924"</definedName>
    <definedName name="IQ_ACCT_RECV_1YR_ANN_GROWTH" hidden="1">"c1919"</definedName>
    <definedName name="IQ_ACCT_RECV_2YR_ANN_CAGR" hidden="1">"c6155"</definedName>
    <definedName name="IQ_ACCT_RECV_2YR_ANN_GROWTH" hidden="1">"c1920"</definedName>
    <definedName name="IQ_ACCT_RECV_3YR_ANN_CAGR" hidden="1">"c6156"</definedName>
    <definedName name="IQ_ACCT_RECV_3YR_ANN_GROWTH" hidden="1">"c1921"</definedName>
    <definedName name="IQ_ACCT_RECV_5YR_ANN_CAGR" hidden="1">"c6157"</definedName>
    <definedName name="IQ_ACCT_RECV_5YR_ANN_GROWTH" hidden="1">"c1922"</definedName>
    <definedName name="IQ_ACCT_RECV_7YR_ANN_CAGR" hidden="1">"c6158"</definedName>
    <definedName name="IQ_ACCT_RECV_7YR_ANN_GROWTH" hidden="1">"c1923"</definedName>
    <definedName name="IQ_ACCUM_DEP" hidden="1">"c7"</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RED_BY_REPORTING_BANK_FDIC" hidden="1">"c6535"</definedName>
    <definedName name="IQ_ACQUISITION_RE_ASSETS" hidden="1">"c1628"</definedName>
    <definedName name="IQ_ACTUAL_PRODUCTION_ALUM" hidden="1">"c9247"</definedName>
    <definedName name="IQ_ACTUAL_PRODUCTION_CATHODE_COP" hidden="1">"c9192"</definedName>
    <definedName name="IQ_ACTUAL_PRODUCTION_COAL" hidden="1">"c9821"</definedName>
    <definedName name="IQ_ACTUAL_PRODUCTION_COP" hidden="1">"c9191"</definedName>
    <definedName name="IQ_ACTUAL_PRODUCTION_DIAM" hidden="1">"c9671"</definedName>
    <definedName name="IQ_ACTUAL_PRODUCTION_GOLD" hidden="1">"c9032"</definedName>
    <definedName name="IQ_ACTUAL_PRODUCTION_IRON" hidden="1">"c9406"</definedName>
    <definedName name="IQ_ACTUAL_PRODUCTION_LEAD" hidden="1">"c9459"</definedName>
    <definedName name="IQ_ACTUAL_PRODUCTION_MANG" hidden="1">"c9512"</definedName>
    <definedName name="IQ_ACTUAL_PRODUCTION_MET_COAL" hidden="1">"c9761"</definedName>
    <definedName name="IQ_ACTUAL_PRODUCTION_MOLYB" hidden="1">"c9724"</definedName>
    <definedName name="IQ_ACTUAL_PRODUCTION_NICK" hidden="1">"c9300"</definedName>
    <definedName name="IQ_ACTUAL_PRODUCTION_PLAT" hidden="1">"c9138"</definedName>
    <definedName name="IQ_ACTUAL_PRODUCTION_SILVER" hidden="1">"c9085"</definedName>
    <definedName name="IQ_ACTUAL_PRODUCTION_STEAM" hidden="1">"c9791"</definedName>
    <definedName name="IQ_ACTUAL_PRODUCTION_TITAN" hidden="1">"c9565"</definedName>
    <definedName name="IQ_ACTUAL_PRODUCTION_URAN" hidden="1">"c9618"</definedName>
    <definedName name="IQ_ACTUAL_PRODUCTION_ZINC" hidden="1">"c9353"</definedName>
    <definedName name="IQ_AD" hidden="1">"c7"</definedName>
    <definedName name="IQ_ADD_PAID_IN" hidden="1">"c39"</definedName>
    <definedName name="IQ_ADDIN" hidden="1">"AUTO"</definedName>
    <definedName name="IQ_ADDITIONAL_NON_INT_INC_FDIC" hidden="1">"c6574"</definedName>
    <definedName name="IQ_ADJ_AVG_BANK_ASSETS" hidden="1">"c2671"</definedName>
    <definedName name="IQ_ADJUSTABLE_RATE_LOANS_FDIC" hidden="1">"c6375"</definedName>
    <definedName name="IQ_ADJUSTED_NAV_COVERED" hidden="1">"c9963"</definedName>
    <definedName name="IQ_ADJUSTED_NAV_GROUP" hidden="1">"c9949"</definedName>
    <definedName name="IQ_ADMIN_RATIO" hidden="1">"c2784"</definedName>
    <definedName name="IQ_ADVERTISING" hidden="1">"c2246"</definedName>
    <definedName name="IQ_ADVERTISING_MARKETING" hidden="1">"c1566"</definedName>
    <definedName name="IQ_ADVERTISING_MARKETING_EXPENSES_FFIEC" hidden="1">"c13048"</definedName>
    <definedName name="IQ_AE" hidden="1">"c8"</definedName>
    <definedName name="IQ_AE_BNK" hidden="1">"c9"</definedName>
    <definedName name="IQ_AE_BR" hidden="1">"c10"</definedName>
    <definedName name="IQ_AE_FIN" hidden="1">"c11"</definedName>
    <definedName name="IQ_AE_INS" hidden="1">"c12"</definedName>
    <definedName name="IQ_AE_RE" hidden="1">"c6195"</definedName>
    <definedName name="IQ_AE_REIT" hidden="1">"c13"</definedName>
    <definedName name="IQ_AE_UTI" hidden="1">"c14"</definedName>
    <definedName name="IQ_AFFO" hidden="1">"c8756"</definedName>
    <definedName name="IQ_AFFO_PER_SHARE_BASIC" hidden="1">"c8869"</definedName>
    <definedName name="IQ_AFFO_PER_SHARE_DILUTED" hidden="1">"c8870"</definedName>
    <definedName name="IQ_AFS_INVEST_SECURITIES_FFIEC" hidden="1">"c13456"</definedName>
    <definedName name="IQ_AFS_SECURITIES_TIER_1_FFIEC" hidden="1">"c13343"</definedName>
    <definedName name="IQ_AFTER_TAX_INCOME_FDIC" hidden="1">"c6583"</definedName>
    <definedName name="IQ_AGENCY" hidden="1">"c8960"</definedName>
    <definedName name="IQ_AGENCY_INVEST_SECURITIES_FFIEC" hidden="1">"c13458"</definedName>
    <definedName name="IQ_AGG_CORPORATE_SHARES" hidden="1">"c13781"</definedName>
    <definedName name="IQ_AGG_CORPORATE_VALUE" hidden="1">"c13774"</definedName>
    <definedName name="IQ_AGG_ESOP_SHARES" hidden="1">"c13782"</definedName>
    <definedName name="IQ_AGG_ESOP_VALUE" hidden="1">"c13775"</definedName>
    <definedName name="IQ_AGG_FOUNDATION_SHARES" hidden="1">"c13783"</definedName>
    <definedName name="IQ_AGG_FOUNDATION_VALUE" hidden="1">"c13776"</definedName>
    <definedName name="IQ_AGG_HEDGEFUND_SHARES" hidden="1">"c13785"</definedName>
    <definedName name="IQ_AGG_HEDGEFUND_VALUE" hidden="1">"c13778"</definedName>
    <definedName name="IQ_AGG_INSIDER_SHARES" hidden="1">"c13780"</definedName>
    <definedName name="IQ_AGG_INSIDER_VALUE" hidden="1">"c13773"</definedName>
    <definedName name="IQ_AGG_INSTITUTIONAL_SHARES" hidden="1">"c13779"</definedName>
    <definedName name="IQ_AGG_INSTITUTIONAL_VALUE" hidden="1">"c13772"</definedName>
    <definedName name="IQ_AGG_OTHER_SHARES" hidden="1">"c13784"</definedName>
    <definedName name="IQ_AGG_OTHER_VALUE" hidden="1">"c13777"</definedName>
    <definedName name="IQ_AGRICULTURAL_GROSS_LOANS_FFIEC" hidden="1">"c13413"</definedName>
    <definedName name="IQ_AGRICULTURAL_LOANS_FOREIGN_FFIEC" hidden="1">"c13481"</definedName>
    <definedName name="IQ_AGRICULTURAL_PRODUCTION_CHARGE_OFFS_FDIC" hidden="1">"c6597"</definedName>
    <definedName name="IQ_AGRICULTURAL_PRODUCTION_CHARGE_OFFS_LESS_THAN_300M_FDIC" hidden="1">"c6655"</definedName>
    <definedName name="IQ_AGRICULTURAL_PRODUCTION_NET_CHARGE_OFFS_FDIC" hidden="1">"c6635"</definedName>
    <definedName name="IQ_AGRICULTURAL_PRODUCTION_NET_CHARGE_OFFS_LESS_THAN_300M_FDIC" hidden="1">"c6657"</definedName>
    <definedName name="IQ_AGRICULTURAL_PRODUCTION_RECOVERIES_FDIC" hidden="1">"c6616"</definedName>
    <definedName name="IQ_AGRICULTURAL_PRODUCTION_RECOVERIES_LESS_THAN_300M_FDIC" hidden="1">"c6656"</definedName>
    <definedName name="IQ_AGRICULTURAL_RISK_BASED_FFIEC" hidden="1">"c13434"</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AVG_PSGR_FARE" hidden="1">"c10029"</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NUMBER_HRS_FLOWN" hidden="1">"c10037"</definedName>
    <definedName name="IQ_AIR_NUMBER_OPERATING_AIRCRAFT_AVG" hidden="1">"c10035"</definedName>
    <definedName name="IQ_AIR_NUMBER_TRIPS_FLOWN" hidden="1">"c10030"</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EX_PER_ASK_EXCL_FUEL" hidden="1">"c10034"</definedName>
    <definedName name="IQ_AIR_OPEX_PER_ASM_EXCL_FUEL" hidden="1">"c10033"</definedName>
    <definedName name="IQ_AIR_OPTIONS" hidden="1">"c2837"</definedName>
    <definedName name="IQ_AIR_ORDERS" hidden="1">"c2836"</definedName>
    <definedName name="IQ_AIR_OWNED" hidden="1">"c2832"</definedName>
    <definedName name="IQ_AIR_PERCENTAGE_SALES_VIA_INTERNET" hidden="1">"c10036"</definedName>
    <definedName name="IQ_AIR_PSGR_HAUL_AVG_LENGTH_KM" hidden="1">"c10032"</definedName>
    <definedName name="IQ_AIR_PSGR_HAUL_AVG_LENGTH_MILES" hidden="1">"c10031"</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_OTHER_LEASES_CHARGE_OFFS_FFIEC" hidden="1">"c13185"</definedName>
    <definedName name="IQ_ALL_OTHER_LEASES_RECOV_FFIEC" hidden="1">"c13207"</definedName>
    <definedName name="IQ_ALL_OTHER_LOANS_CHARGE_OFFS_FFIEC" hidden="1">"c13183"</definedName>
    <definedName name="IQ_ALL_OTHER_LOANS_RECOV_FFIEC" hidden="1">"c13205"</definedName>
    <definedName name="IQ_ALL_OTHER_TRADING_LIABILITIES_DOM_FFIEC" hidden="1">"c12942"</definedName>
    <definedName name="IQ_ALLOW_BORROW_CONST" hidden="1">"c15"</definedName>
    <definedName name="IQ_ALLOW_CONST" hidden="1">"c16"</definedName>
    <definedName name="IQ_ALLOW_DOUBT_ACCT" hidden="1">"c2092"</definedName>
    <definedName name="IQ_ALLOW_EQUITY_CONST" hidden="1">"c16"</definedName>
    <definedName name="IQ_ALLOW_LL" hidden="1">"c17"</definedName>
    <definedName name="IQ_ALLOW_LL_LOSSES_FFIEC" hidden="1">"c12810"</definedName>
    <definedName name="IQ_ALLOWABLE_T2_CAPITAL_FFIEC" hidden="1">"c13150"</definedName>
    <definedName name="IQ_ALLOWANCE_10YR_ANN_CAGR" hidden="1">"c6035"</definedName>
    <definedName name="IQ_ALLOWANCE_10YR_ANN_GROWTH" hidden="1">"c18"</definedName>
    <definedName name="IQ_ALLOWANCE_1YR_ANN_GROWTH" hidden="1">"c19"</definedName>
    <definedName name="IQ_ALLOWANCE_2YR_ANN_CAGR" hidden="1">"c6036"</definedName>
    <definedName name="IQ_ALLOWANCE_2YR_ANN_GROWTH" hidden="1">"c20"</definedName>
    <definedName name="IQ_ALLOWANCE_3YR_ANN_CAGR" hidden="1">"c6037"</definedName>
    <definedName name="IQ_ALLOWANCE_3YR_ANN_GROWTH" hidden="1">"c21"</definedName>
    <definedName name="IQ_ALLOWANCE_5YR_ANN_CAGR" hidden="1">"c6038"</definedName>
    <definedName name="IQ_ALLOWANCE_5YR_ANN_GROWTH" hidden="1">"c22"</definedName>
    <definedName name="IQ_ALLOWANCE_7YR_ANN_CAGR" hidden="1">"c6039"</definedName>
    <definedName name="IQ_ALLOWANCE_7YR_ANN_GROWTH" hidden="1">"c23"</definedName>
    <definedName name="IQ_ALLOWANCE_CHARGE_OFFS" hidden="1">"c24"</definedName>
    <definedName name="IQ_ALLOWANCE_CREDIT_LOSSES_OFF_BS_FFIEC" hidden="1">"c12871"</definedName>
    <definedName name="IQ_ALLOWANCE_LL_LOSSES_T2_FFIEC" hidden="1">"c13146"</definedName>
    <definedName name="IQ_ALLOWANCE_NON_PERF_LOANS" hidden="1">"c25"</definedName>
    <definedName name="IQ_ALLOWANCE_TOTAL_LOANS" hidden="1">"c26"</definedName>
    <definedName name="IQ_AMENDED_BALANCE_PREVIOUS_YR_FDIC" hidden="1">"c6499"</definedName>
    <definedName name="IQ_AMORT_EXP_IMPAIRMENT_OTHER_INTANGIBLE_ASSETS_FFIEC" hidden="1">"c13026"</definedName>
    <definedName name="IQ_AMORT_EXPENSE_FDIC" hidden="1">"c6677"</definedName>
    <definedName name="IQ_AMORTIZATION" hidden="1">"c1471"</definedName>
    <definedName name="IQ_AMORTIZED_COST_FDIC" hidden="1">"c6426"</definedName>
    <definedName name="IQ_AMOUNT_FINANCIAL_LOC_CONVEYED_FFIEC" hidden="1">"c13250"</definedName>
    <definedName name="IQ_AMOUNT_PERFORMANCE_LOC_CONVEYED_FFIEC" hidden="1">"c13252"</definedName>
    <definedName name="IQ_AMT_OUT" hidden="1">"c2145"</definedName>
    <definedName name="IQ_ANALYST_DET_EST" hidden="1">"c12043"</definedName>
    <definedName name="IQ_ANALYST_DET_EST_THOM" hidden="1">"c12071"</definedName>
    <definedName name="IQ_ANALYST_EMAIL" hidden="1">"c13738"</definedName>
    <definedName name="IQ_ANALYST_NAME" hidden="1">"c13736"</definedName>
    <definedName name="IQ_ANALYST_NON_PER_DET_EST" hidden="1">"c12755"</definedName>
    <definedName name="IQ_ANALYST_NON_PER_DET_EST_THOM" hidden="1">"c12759"</definedName>
    <definedName name="IQ_ANALYST_PHONE" hidden="1">"c13737"</definedName>
    <definedName name="IQ_ANALYST_START_DATE" hidden="1">"c13740"</definedName>
    <definedName name="IQ_ANNU_DISTRIBUTION_UNIT" hidden="1">"c3004"</definedName>
    <definedName name="IQ_ANNUAL_PREMIUM_EQUIVALENT_NEW_BUSINESS" hidden="1">"c9972"</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NNUITY_SALES_FEES_COMMISSIONS_FFIEC" hidden="1">"c13007"</definedName>
    <definedName name="IQ_AP" hidden="1">"c32"</definedName>
    <definedName name="IQ_AP_BNK" hidden="1">"c33"</definedName>
    <definedName name="IQ_AP_BR" hidden="1">"c34"</definedName>
    <definedName name="IQ_AP_FIN" hidden="1">"c35"</definedName>
    <definedName name="IQ_AP_INS" hidden="1">"c36"</definedName>
    <definedName name="IQ_AP_RE" hidden="1">"c6196"</definedName>
    <definedName name="IQ_AP_REIT" hidden="1">"c37"</definedName>
    <definedName name="IQ_AP_UTI" hidden="1">"c38"</definedName>
    <definedName name="IQ_APIC" hidden="1">"c39"</definedName>
    <definedName name="IQ_APPLICABLE_INCOME_TAXES_FTE_FFIEC" hidden="1">"c13853"</definedName>
    <definedName name="IQ_AR" hidden="1">"c40"</definedName>
    <definedName name="IQ_AR_BR" hidden="1">"c41"</definedName>
    <definedName name="IQ_AR_LT" hidden="1">"c42"</definedName>
    <definedName name="IQ_AR_RE" hidden="1">"c6197"</definedName>
    <definedName name="IQ_AR_REIT" hidden="1">"c43"</definedName>
    <definedName name="IQ_AR_TURNS" hidden="1">"c44"</definedName>
    <definedName name="IQ_AR_UTI" hidden="1">"c45"</definedName>
    <definedName name="IQ_ARPU" hidden="1">"c2126"</definedName>
    <definedName name="IQ_ASSET_BACKED_FDIC" hidden="1">"c6301"</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 hidden="1">"c6198"</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 hidden="1">"c6199"</definedName>
    <definedName name="IQ_ASSET_WRITEDOWN_REIT" hidden="1">"c60"</definedName>
    <definedName name="IQ_ASSET_WRITEDOWN_SUPPLE" hidden="1">"c13812"</definedName>
    <definedName name="IQ_ASSET_WRITEDOWN_UTI" hidden="1">"c61"</definedName>
    <definedName name="IQ_ASSETS_AP" hidden="1">"c8883"</definedName>
    <definedName name="IQ_ASSETS_AP_ABS" hidden="1">"c8902"</definedName>
    <definedName name="IQ_ASSETS_CAP_LEASE_DEPR" hidden="1">"c2068"</definedName>
    <definedName name="IQ_ASSETS_CAP_LEASE_GROSS" hidden="1">"c2069"</definedName>
    <definedName name="IQ_ASSETS_FAIR_VALUE" hidden="1">"c13843"</definedName>
    <definedName name="IQ_ASSETS_HELD_FDIC" hidden="1">"c6305"</definedName>
    <definedName name="IQ_ASSETS_LEVEL_1" hidden="1">"c13839"</definedName>
    <definedName name="IQ_ASSETS_LEVEL_2" hidden="1">"c13840"</definedName>
    <definedName name="IQ_ASSETS_LEVEL_3" hidden="1">"c13841"</definedName>
    <definedName name="IQ_ASSETS_NAME_AP" hidden="1">"c8921"</definedName>
    <definedName name="IQ_ASSETS_NAME_AP_ABS" hidden="1">"c8940"</definedName>
    <definedName name="IQ_ASSETS_NETTING_OTHER_ADJUSTMENTS" hidden="1">"c13842"</definedName>
    <definedName name="IQ_ASSETS_OPER_LEASE_DEPR" hidden="1">"c2070"</definedName>
    <definedName name="IQ_ASSETS_OPER_LEASE_GROSS" hidden="1">"c2071"</definedName>
    <definedName name="IQ_ASSETS_PER_EMPLOYEE_FDIC" hidden="1">"c6737"</definedName>
    <definedName name="IQ_ASSETS_REPRICE_ASSETS_TOT_FFIEC" hidden="1">"c13454"</definedName>
    <definedName name="IQ_ASSETS_SOLD_1_4_FAMILY_LOANS_FDIC" hidden="1">"c6686"</definedName>
    <definedName name="IQ_ASSETS_SOLD_AUTO_LOANS_FDIC" hidden="1">"c6680"</definedName>
    <definedName name="IQ_ASSETS_SOLD_CL_LOANS_FDIC" hidden="1">"c6681"</definedName>
    <definedName name="IQ_ASSETS_SOLD_CREDIT_CARDS_RECEIVABLES_FDIC" hidden="1">"c6683"</definedName>
    <definedName name="IQ_ASSETS_SOLD_HOME_EQUITY_LINES_FDIC" hidden="1">"c6684"</definedName>
    <definedName name="IQ_ASSETS_SOLD_OTHER_CONSUMER_LOANS_FDIC" hidden="1">"c6682"</definedName>
    <definedName name="IQ_ASSETS_SOLD_OTHER_LOANS_FDIC" hidden="1">"c6685"</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TM_FEES_FFIEC" hidden="1">"c13042"</definedName>
    <definedName name="IQ_ATM_INTERCHANGE_EXPENSES_FFIEC" hidden="1">"c13056"</definedName>
    <definedName name="IQ_AUDITOR_NAME" hidden="1">"c1539"</definedName>
    <definedName name="IQ_AUDITOR_OPINION" hidden="1">"c1540"</definedName>
    <definedName name="IQ_AUM" hidden="1">"c10043"</definedName>
    <definedName name="IQ_AUM_EQUITY_FUNDS" hidden="1">"c10039"</definedName>
    <definedName name="IQ_AUM_FIXED_INCOME_FUNDS" hidden="1">"c10040"</definedName>
    <definedName name="IQ_AUM_MONEY_MARKET_FUNDS" hidden="1">"c10041"</definedName>
    <definedName name="IQ_AUM_OTHER" hidden="1">"c10042"</definedName>
    <definedName name="IQ_AUTO_REGIST_NEW" hidden="1">"c6923"</definedName>
    <definedName name="IQ_AUTO_REGIST_NEW_APR" hidden="1">"c7583"</definedName>
    <definedName name="IQ_AUTO_REGIST_NEW_APR_FC" hidden="1">"c8463"</definedName>
    <definedName name="IQ_AUTO_REGIST_NEW_FC" hidden="1">"c7803"</definedName>
    <definedName name="IQ_AUTO_REGIST_NEW_POP" hidden="1">"c7143"</definedName>
    <definedName name="IQ_AUTO_REGIST_NEW_POP_FC" hidden="1">"c8023"</definedName>
    <definedName name="IQ_AUTO_REGIST_NEW_YOY" hidden="1">"c7363"</definedName>
    <definedName name="IQ_AUTO_REGIST_NEW_YOY_FC" hidden="1">"c8243"</definedName>
    <definedName name="IQ_AUTO_SALES_DOM" hidden="1">"c6852"</definedName>
    <definedName name="IQ_AUTO_SALES_DOM_APR" hidden="1">"c7512"</definedName>
    <definedName name="IQ_AUTO_SALES_DOM_APR_FC" hidden="1">"c8392"</definedName>
    <definedName name="IQ_AUTO_SALES_DOM_FC" hidden="1">"c7732"</definedName>
    <definedName name="IQ_AUTO_SALES_DOM_POP" hidden="1">"c7072"</definedName>
    <definedName name="IQ_AUTO_SALES_DOM_POP_FC" hidden="1">"c7952"</definedName>
    <definedName name="IQ_AUTO_SALES_DOM_YOY" hidden="1">"c7292"</definedName>
    <definedName name="IQ_AUTO_SALES_DOM_YOY_FC" hidden="1">"c8172"</definedName>
    <definedName name="IQ_AUTO_SALES_FOREIGN" hidden="1">"c6873"</definedName>
    <definedName name="IQ_AUTO_SALES_FOREIGN_APR" hidden="1">"c7533"</definedName>
    <definedName name="IQ_AUTO_SALES_FOREIGN_APR_FC" hidden="1">"c8413"</definedName>
    <definedName name="IQ_AUTO_SALES_FOREIGN_FC" hidden="1">"c7753"</definedName>
    <definedName name="IQ_AUTO_SALES_FOREIGN_POP" hidden="1">"c7093"</definedName>
    <definedName name="IQ_AUTO_SALES_FOREIGN_POP_FC" hidden="1">"c7973"</definedName>
    <definedName name="IQ_AUTO_SALES_FOREIGN_YOY" hidden="1">"c7313"</definedName>
    <definedName name="IQ_AUTO_SALES_FOREIGN_YOY_FC" hidden="1">"c8193"</definedName>
    <definedName name="IQ_AUTO_WRITTEN" hidden="1">"c62"</definedName>
    <definedName name="IQ_AVAILABLE_FOR_SALE_FDIC" hidden="1">"c6409"</definedName>
    <definedName name="IQ_AVAILABLE_SALE_SEC_FFIEC" hidden="1">"c12791"</definedName>
    <definedName name="IQ_AVERAGE_ASSETS_FDIC" hidden="1">"c6362"</definedName>
    <definedName name="IQ_AVERAGE_ASSETS_QUART_FDIC" hidden="1">"c6363"</definedName>
    <definedName name="IQ_AVERAGE_EARNING_ASSETS_FDIC" hidden="1">"c6748"</definedName>
    <definedName name="IQ_AVERAGE_EQUITY_FDIC" hidden="1">"c6749"</definedName>
    <definedName name="IQ_AVERAGE_LOANS_FDIC" hidden="1">"c6750"</definedName>
    <definedName name="IQ_AVG_BANK_ASSETS" hidden="1">"c2072"</definedName>
    <definedName name="IQ_AVG_BANK_LOANS" hidden="1">"c2073"</definedName>
    <definedName name="IQ_AVG_BROKER_REC" hidden="1">"c63"</definedName>
    <definedName name="IQ_AVG_BROKER_REC_CIQ" hidden="1">"c3612"</definedName>
    <definedName name="IQ_AVG_BROKER_REC_NO" hidden="1">"c64"</definedName>
    <definedName name="IQ_AVG_BROKER_REC_NO_CIQ" hidden="1">"c4657"</definedName>
    <definedName name="IQ_AVG_BROKER_REC_NO_REUT" hidden="1">"c5315"</definedName>
    <definedName name="IQ_AVG_BROKER_REC_NO_THOM" hidden="1">"c5094"</definedName>
    <definedName name="IQ_AVG_BROKER_REC_REUT" hidden="1">"c3630"</definedName>
    <definedName name="IQ_AVG_BROKER_REC_THOM" hidden="1">"c3648"</definedName>
    <definedName name="IQ_AVG_CALORIFIC_VALUE_COAL" hidden="1">"c9828"</definedName>
    <definedName name="IQ_AVG_CALORIFIC_VALUE_MET_COAL" hidden="1">"c9764"</definedName>
    <definedName name="IQ_AVG_CALORIFIC_VALUE_STEAM" hidden="1">"c9794"</definedName>
    <definedName name="IQ_AVG_DAILY_VOL" hidden="1">"c65"</definedName>
    <definedName name="IQ_AVG_EMPLOYEES" hidden="1">"c6019"</definedName>
    <definedName name="IQ_AVG_GRADE_ALUM" hidden="1">"c9254"</definedName>
    <definedName name="IQ_AVG_GRADE_COP" hidden="1">"c9201"</definedName>
    <definedName name="IQ_AVG_GRADE_DIAM" hidden="1">"c9678"</definedName>
    <definedName name="IQ_AVG_GRADE_GOLD" hidden="1">"c9039"</definedName>
    <definedName name="IQ_AVG_GRADE_IRON" hidden="1">"c9413"</definedName>
    <definedName name="IQ_AVG_GRADE_LEAD" hidden="1">"c9466"</definedName>
    <definedName name="IQ_AVG_GRADE_MANG" hidden="1">"c9519"</definedName>
    <definedName name="IQ_AVG_GRADE_MOLYB" hidden="1">"c9731"</definedName>
    <definedName name="IQ_AVG_GRADE_NICK" hidden="1">"c9307"</definedName>
    <definedName name="IQ_AVG_GRADE_PLAT" hidden="1">"c9145"</definedName>
    <definedName name="IQ_AVG_GRADE_SILVER" hidden="1">"c9092"</definedName>
    <definedName name="IQ_AVG_GRADE_TITAN" hidden="1">"c9572"</definedName>
    <definedName name="IQ_AVG_GRADE_URAN" hidden="1">"c9625"</definedName>
    <definedName name="IQ_AVG_GRADE_ZINC" hidden="1">"c9360"</definedName>
    <definedName name="IQ_AVG_INDUSTRY_REC" hidden="1">"c4455"</definedName>
    <definedName name="IQ_AVG_INDUSTRY_REC_CIQ" hidden="1">"c4984"</definedName>
    <definedName name="IQ_AVG_INDUSTRY_REC_NO" hidden="1">"c4454"</definedName>
    <definedName name="IQ_AVG_INT_BEAR_LIAB" hidden="1">"c66"</definedName>
    <definedName name="IQ_AVG_INT_BEAR_LIAB_10YR_ANN_CAGR" hidden="1">"c6040"</definedName>
    <definedName name="IQ_AVG_INT_BEAR_LIAB_10YR_ANN_GROWTH" hidden="1">"c67"</definedName>
    <definedName name="IQ_AVG_INT_BEAR_LIAB_1YR_ANN_GROWTH" hidden="1">"c68"</definedName>
    <definedName name="IQ_AVG_INT_BEAR_LIAB_2YR_ANN_CAGR" hidden="1">"c6041"</definedName>
    <definedName name="IQ_AVG_INT_BEAR_LIAB_2YR_ANN_GROWTH" hidden="1">"c69"</definedName>
    <definedName name="IQ_AVG_INT_BEAR_LIAB_3YR_ANN_CAGR" hidden="1">"c6042"</definedName>
    <definedName name="IQ_AVG_INT_BEAR_LIAB_3YR_ANN_GROWTH" hidden="1">"c70"</definedName>
    <definedName name="IQ_AVG_INT_BEAR_LIAB_5YR_ANN_CAGR" hidden="1">"c6043"</definedName>
    <definedName name="IQ_AVG_INT_BEAR_LIAB_5YR_ANN_GROWTH" hidden="1">"c71"</definedName>
    <definedName name="IQ_AVG_INT_BEAR_LIAB_7YR_ANN_CAGR" hidden="1">"c6044"</definedName>
    <definedName name="IQ_AVG_INT_BEAR_LIAB_7YR_ANN_GROWTH" hidden="1">"c72"</definedName>
    <definedName name="IQ_AVG_INT_EARN_ASSETS" hidden="1">"c73"</definedName>
    <definedName name="IQ_AVG_INT_EARN_ASSETS_10YR_ANN_CAGR" hidden="1">"c6045"</definedName>
    <definedName name="IQ_AVG_INT_EARN_ASSETS_10YR_ANN_GROWTH" hidden="1">"c74"</definedName>
    <definedName name="IQ_AVG_INT_EARN_ASSETS_1YR_ANN_GROWTH" hidden="1">"c75"</definedName>
    <definedName name="IQ_AVG_INT_EARN_ASSETS_2YR_ANN_CAGR" hidden="1">"c6046"</definedName>
    <definedName name="IQ_AVG_INT_EARN_ASSETS_2YR_ANN_GROWTH" hidden="1">"c76"</definedName>
    <definedName name="IQ_AVG_INT_EARN_ASSETS_3YR_ANN_CAGR" hidden="1">"c6047"</definedName>
    <definedName name="IQ_AVG_INT_EARN_ASSETS_3YR_ANN_GROWTH" hidden="1">"c77"</definedName>
    <definedName name="IQ_AVG_INT_EARN_ASSETS_5YR_ANN_CAGR" hidden="1">"c6048"</definedName>
    <definedName name="IQ_AVG_INT_EARN_ASSETS_5YR_ANN_GROWTH" hidden="1">"c78"</definedName>
    <definedName name="IQ_AVG_INT_EARN_ASSETS_7YR_ANN_CAGR" hidden="1">"c6049"</definedName>
    <definedName name="IQ_AVG_INT_EARN_ASSETS_7YR_ANN_GROWTH" hidden="1">"c79"</definedName>
    <definedName name="IQ_AVG_MKTCAP" hidden="1">"c80"</definedName>
    <definedName name="IQ_AVG_PRICE" hidden="1">"c81"</definedName>
    <definedName name="IQ_AVG_PRICE_TARGET" hidden="1">"c82"</definedName>
    <definedName name="IQ_AVG_PRODUCTION_PER_MINE_ALUM" hidden="1">"c9249"</definedName>
    <definedName name="IQ_AVG_PRODUCTION_PER_MINE_COAL" hidden="1">"c9823"</definedName>
    <definedName name="IQ_AVG_PRODUCTION_PER_MINE_COP" hidden="1">"c9194"</definedName>
    <definedName name="IQ_AVG_PRODUCTION_PER_MINE_DIAM" hidden="1">"c9673"</definedName>
    <definedName name="IQ_AVG_PRODUCTION_PER_MINE_GOLD" hidden="1">"c9034"</definedName>
    <definedName name="IQ_AVG_PRODUCTION_PER_MINE_IRON" hidden="1">"c9408"</definedName>
    <definedName name="IQ_AVG_PRODUCTION_PER_MINE_LEAD" hidden="1">"c9461"</definedName>
    <definedName name="IQ_AVG_PRODUCTION_PER_MINE_MANG" hidden="1">"c9514"</definedName>
    <definedName name="IQ_AVG_PRODUCTION_PER_MINE_MOLYB" hidden="1">"c9726"</definedName>
    <definedName name="IQ_AVG_PRODUCTION_PER_MINE_NICK" hidden="1">"c9302"</definedName>
    <definedName name="IQ_AVG_PRODUCTION_PER_MINE_PLAT" hidden="1">"c9140"</definedName>
    <definedName name="IQ_AVG_PRODUCTION_PER_MINE_SILVER" hidden="1">"c9087"</definedName>
    <definedName name="IQ_AVG_PRODUCTION_PER_MINE_TITAN" hidden="1">"c9567"</definedName>
    <definedName name="IQ_AVG_PRODUCTION_PER_MINE_URAN" hidden="1">"c9620"</definedName>
    <definedName name="IQ_AVG_PRODUCTION_PER_MINE_ZINC" hidden="1">"c9355"</definedName>
    <definedName name="IQ_AVG_REAL_PRICE_POST_TREAT_REFINING_ALUM" hidden="1">"c9259"</definedName>
    <definedName name="IQ_AVG_REAL_PRICE_POST_TREAT_REFINING_COP" hidden="1">"c9206"</definedName>
    <definedName name="IQ_AVG_REAL_PRICE_POST_TREAT_REFINING_DIAM" hidden="1">"c9683"</definedName>
    <definedName name="IQ_AVG_REAL_PRICE_POST_TREAT_REFINING_GOLD" hidden="1">"c9044"</definedName>
    <definedName name="IQ_AVG_REAL_PRICE_POST_TREAT_REFINING_IRON" hidden="1">"c9418"</definedName>
    <definedName name="IQ_AVG_REAL_PRICE_POST_TREAT_REFINING_LEAD" hidden="1">"c9471"</definedName>
    <definedName name="IQ_AVG_REAL_PRICE_POST_TREAT_REFINING_MANG" hidden="1">"c9524"</definedName>
    <definedName name="IQ_AVG_REAL_PRICE_POST_TREAT_REFINING_MOLYB" hidden="1">"c9736"</definedName>
    <definedName name="IQ_AVG_REAL_PRICE_POST_TREAT_REFINING_NICK" hidden="1">"c9311"</definedName>
    <definedName name="IQ_AVG_REAL_PRICE_POST_TREAT_REFINING_PLAT" hidden="1">"c9150"</definedName>
    <definedName name="IQ_AVG_REAL_PRICE_POST_TREAT_REFINING_SILVER" hidden="1">"c9097"</definedName>
    <definedName name="IQ_AVG_REAL_PRICE_POST_TREAT_REFINING_TITAN" hidden="1">"c9577"</definedName>
    <definedName name="IQ_AVG_REAL_PRICE_POST_TREAT_REFINING_URAN" hidden="1">"c9630"</definedName>
    <definedName name="IQ_AVG_REAL_PRICE_POST_TREAT_REFINING_ZINC" hidden="1">"c9365"</definedName>
    <definedName name="IQ_AVG_REAL_PRICE_PRE_TREAT_REFINING_ALUM" hidden="1">"c9258"</definedName>
    <definedName name="IQ_AVG_REAL_PRICE_PRE_TREAT_REFINING_COP" hidden="1">"c9205"</definedName>
    <definedName name="IQ_AVG_REAL_PRICE_PRE_TREAT_REFINING_DIAM" hidden="1">"c9682"</definedName>
    <definedName name="IQ_AVG_REAL_PRICE_PRE_TREAT_REFINING_GOLD" hidden="1">"c9043"</definedName>
    <definedName name="IQ_AVG_REAL_PRICE_PRE_TREAT_REFINING_IRON" hidden="1">"c9417"</definedName>
    <definedName name="IQ_AVG_REAL_PRICE_PRE_TREAT_REFINING_LEAD" hidden="1">"c9470"</definedName>
    <definedName name="IQ_AVG_REAL_PRICE_PRE_TREAT_REFINING_MANG" hidden="1">"c9523"</definedName>
    <definedName name="IQ_AVG_REAL_PRICE_PRE_TREAT_REFINING_MOLYB" hidden="1">"c9735"</definedName>
    <definedName name="IQ_AVG_REAL_PRICE_PRE_TREAT_REFINING_NICK" hidden="1">"c9312"</definedName>
    <definedName name="IQ_AVG_REAL_PRICE_PRE_TREAT_REFINING_PLAT" hidden="1">"c9149"</definedName>
    <definedName name="IQ_AVG_REAL_PRICE_PRE_TREAT_REFINING_SILVER" hidden="1">"c9096"</definedName>
    <definedName name="IQ_AVG_REAL_PRICE_PRE_TREAT_REFINING_TITAN" hidden="1">"c9576"</definedName>
    <definedName name="IQ_AVG_REAL_PRICE_PRE_TREAT_REFINING_URAN" hidden="1">"c9629"</definedName>
    <definedName name="IQ_AVG_REAL_PRICE_PRE_TREAT_REFINING_ZINC" hidden="1">"c9364"</definedName>
    <definedName name="IQ_AVG_REALIZED_PRICE_AFTER_HEDGING_ALUM" hidden="1">"c9257"</definedName>
    <definedName name="IQ_AVG_REALIZED_PRICE_AFTER_HEDGING_COAL" hidden="1">"c9830"</definedName>
    <definedName name="IQ_AVG_REALIZED_PRICE_AFTER_HEDGING_COP" hidden="1">"c9204"</definedName>
    <definedName name="IQ_AVG_REALIZED_PRICE_AFTER_HEDGING_DIAM" hidden="1">"c9681"</definedName>
    <definedName name="IQ_AVG_REALIZED_PRICE_AFTER_HEDGING_GOLD" hidden="1">"c9042"</definedName>
    <definedName name="IQ_AVG_REALIZED_PRICE_AFTER_HEDGING_IRON" hidden="1">"c9416"</definedName>
    <definedName name="IQ_AVG_REALIZED_PRICE_AFTER_HEDGING_LEAD" hidden="1">"c9469"</definedName>
    <definedName name="IQ_AVG_REALIZED_PRICE_AFTER_HEDGING_MANG" hidden="1">"c9522"</definedName>
    <definedName name="IQ_AVG_REALIZED_PRICE_AFTER_HEDGING_MET_COAL" hidden="1">"c9766"</definedName>
    <definedName name="IQ_AVG_REALIZED_PRICE_AFTER_HEDGING_MOLYB" hidden="1">"c9734"</definedName>
    <definedName name="IQ_AVG_REALIZED_PRICE_AFTER_HEDGING_NICK" hidden="1">"c9310"</definedName>
    <definedName name="IQ_AVG_REALIZED_PRICE_AFTER_HEDGING_PLAT" hidden="1">"c9148"</definedName>
    <definedName name="IQ_AVG_REALIZED_PRICE_AFTER_HEDGING_SILVER" hidden="1">"c9095"</definedName>
    <definedName name="IQ_AVG_REALIZED_PRICE_AFTER_HEDGING_STEAM" hidden="1">"c9796"</definedName>
    <definedName name="IQ_AVG_REALIZED_PRICE_AFTER_HEDGING_TITAN" hidden="1">"c9575"</definedName>
    <definedName name="IQ_AVG_REALIZED_PRICE_AFTER_HEDGING_URAN" hidden="1">"c9628"</definedName>
    <definedName name="IQ_AVG_REALIZED_PRICE_AFTER_HEDGING_ZINC" hidden="1">"c9363"</definedName>
    <definedName name="IQ_AVG_REALIZED_PRICE_BEFORE_HEDGING_ALUM" hidden="1">"c9256"</definedName>
    <definedName name="IQ_AVG_REALIZED_PRICE_BEFORE_HEDGING_COAL" hidden="1">"c9829"</definedName>
    <definedName name="IQ_AVG_REALIZED_PRICE_BEFORE_HEDGING_COP" hidden="1">"c9203"</definedName>
    <definedName name="IQ_AVG_REALIZED_PRICE_BEFORE_HEDGING_DIAM" hidden="1">"c9680"</definedName>
    <definedName name="IQ_AVG_REALIZED_PRICE_BEFORE_HEDGING_GOLD" hidden="1">"c9041"</definedName>
    <definedName name="IQ_AVG_REALIZED_PRICE_BEFORE_HEDGING_IRON" hidden="1">"c9415"</definedName>
    <definedName name="IQ_AVG_REALIZED_PRICE_BEFORE_HEDGING_LEAD" hidden="1">"c9468"</definedName>
    <definedName name="IQ_AVG_REALIZED_PRICE_BEFORE_HEDGING_MANG" hidden="1">"c9521"</definedName>
    <definedName name="IQ_AVG_REALIZED_PRICE_BEFORE_HEDGING_MET_COAL" hidden="1">"c9765"</definedName>
    <definedName name="IQ_AVG_REALIZED_PRICE_BEFORE_HEDGING_MOLYB" hidden="1">"c9733"</definedName>
    <definedName name="IQ_AVG_REALIZED_PRICE_BEFORE_HEDGING_NICK" hidden="1">"c9309"</definedName>
    <definedName name="IQ_AVG_REALIZED_PRICE_BEFORE_HEDGING_PLAT" hidden="1">"c9147"</definedName>
    <definedName name="IQ_AVG_REALIZED_PRICE_BEFORE_HEDGING_SILVER" hidden="1">"c9094"</definedName>
    <definedName name="IQ_AVG_REALIZED_PRICE_BEFORE_HEDGING_STEAM" hidden="1">"c9795"</definedName>
    <definedName name="IQ_AVG_REALIZED_PRICE_BEFORE_HEDGING_TITAN" hidden="1">"c9574"</definedName>
    <definedName name="IQ_AVG_REALIZED_PRICE_BEFORE_HEDGING_URAN" hidden="1">"c9627"</definedName>
    <definedName name="IQ_AVG_REALIZED_PRICE_BEFORE_HEDGING_ZINC" hidden="1">"c9362"</definedName>
    <definedName name="IQ_AVG_SHAREOUTSTANDING" hidden="1">"c83"</definedName>
    <definedName name="IQ_AVG_TEMP_EMPLOYEES" hidden="1">"c6020"</definedName>
    <definedName name="IQ_AVG_TEV" hidden="1">"c84"</definedName>
    <definedName name="IQ_AVG_TOTAL_ASSETS_LEVERAGE_CAPITAL_FFIEC" hidden="1">"c13159"</definedName>
    <definedName name="IQ_AVG_TOTAL_ASSETS_LEVERAGE_RATIO_FFIEC" hidden="1">"c13154"</definedName>
    <definedName name="IQ_AVG_VOLUME" hidden="1">"c65"</definedName>
    <definedName name="IQ_AVG_WAGES" hidden="1">"c6812"</definedName>
    <definedName name="IQ_AVG_WAGES_APR" hidden="1">"c7472"</definedName>
    <definedName name="IQ_AVG_WAGES_APR_FC" hidden="1">"c8352"</definedName>
    <definedName name="IQ_AVG_WAGES_FC" hidden="1">"c7692"</definedName>
    <definedName name="IQ_AVG_WAGES_POP" hidden="1">"c7032"</definedName>
    <definedName name="IQ_AVG_WAGES_POP_FC" hidden="1">"c7912"</definedName>
    <definedName name="IQ_AVG_WAGES_YOY" hidden="1">"c7252"</definedName>
    <definedName name="IQ_AVG_WAGES_YOY_FC" hidden="1">"c8132"</definedName>
    <definedName name="IQ_BALANCE_GOODS_APR_FC_UNUSED" hidden="1">"c8353"</definedName>
    <definedName name="IQ_BALANCE_GOODS_APR_UNUSED" hidden="1">"c7473"</definedName>
    <definedName name="IQ_BALANCE_GOODS_FC_UNUSED" hidden="1">"c7693"</definedName>
    <definedName name="IQ_BALANCE_GOODS_POP_FC_UNUSED" hidden="1">"c7913"</definedName>
    <definedName name="IQ_BALANCE_GOODS_POP_UNUSED" hidden="1">"c7033"</definedName>
    <definedName name="IQ_BALANCE_GOODS_REAL" hidden="1">"c6952"</definedName>
    <definedName name="IQ_BALANCE_GOODS_REAL_APR" hidden="1">"c7612"</definedName>
    <definedName name="IQ_BALANCE_GOODS_REAL_APR_FC" hidden="1">"c8492"</definedName>
    <definedName name="IQ_BALANCE_GOODS_REAL_FC" hidden="1">"c7832"</definedName>
    <definedName name="IQ_BALANCE_GOODS_REAL_POP" hidden="1">"c7172"</definedName>
    <definedName name="IQ_BALANCE_GOODS_REAL_POP_FC" hidden="1">"c8052"</definedName>
    <definedName name="IQ_BALANCE_GOODS_REAL_SAAR" hidden="1">"c6953"</definedName>
    <definedName name="IQ_BALANCE_GOODS_REAL_SAAR_APR" hidden="1">"c7613"</definedName>
    <definedName name="IQ_BALANCE_GOODS_REAL_SAAR_APR_FC" hidden="1">"c8493"</definedName>
    <definedName name="IQ_BALANCE_GOODS_REAL_SAAR_FC" hidden="1">"c7833"</definedName>
    <definedName name="IQ_BALANCE_GOODS_REAL_SAAR_POP" hidden="1">"c7173"</definedName>
    <definedName name="IQ_BALANCE_GOODS_REAL_SAAR_POP_FC" hidden="1">"c8053"</definedName>
    <definedName name="IQ_BALANCE_GOODS_REAL_SAAR_USD_APR_FC" hidden="1">"c11893"</definedName>
    <definedName name="IQ_BALANCE_GOODS_REAL_SAAR_USD_FC" hidden="1">"c11890"</definedName>
    <definedName name="IQ_BALANCE_GOODS_REAL_SAAR_USD_POP_FC" hidden="1">"c11891"</definedName>
    <definedName name="IQ_BALANCE_GOODS_REAL_SAAR_USD_YOY_FC" hidden="1">"c11892"</definedName>
    <definedName name="IQ_BALANCE_GOODS_REAL_SAAR_YOY" hidden="1">"c7393"</definedName>
    <definedName name="IQ_BALANCE_GOODS_REAL_SAAR_YOY_FC" hidden="1">"c8273"</definedName>
    <definedName name="IQ_BALANCE_GOODS_REAL_USD_APR_FC" hidden="1">"c11889"</definedName>
    <definedName name="IQ_BALANCE_GOODS_REAL_USD_FC" hidden="1">"c11886"</definedName>
    <definedName name="IQ_BALANCE_GOODS_REAL_USD_POP_FC" hidden="1">"c11887"</definedName>
    <definedName name="IQ_BALANCE_GOODS_REAL_USD_YOY_FC" hidden="1">"c11888"</definedName>
    <definedName name="IQ_BALANCE_GOODS_REAL_YOY" hidden="1">"c7392"</definedName>
    <definedName name="IQ_BALANCE_GOODS_REAL_YOY_FC" hidden="1">"c8272"</definedName>
    <definedName name="IQ_BALANCE_GOODS_SAAR" hidden="1">"c6814"</definedName>
    <definedName name="IQ_BALANCE_GOODS_SAAR_APR" hidden="1">"c7474"</definedName>
    <definedName name="IQ_BALANCE_GOODS_SAAR_APR_FC" hidden="1">"c8354"</definedName>
    <definedName name="IQ_BALANCE_GOODS_SAAR_FC" hidden="1">"c7694"</definedName>
    <definedName name="IQ_BALANCE_GOODS_SAAR_POP" hidden="1">"c7034"</definedName>
    <definedName name="IQ_BALANCE_GOODS_SAAR_POP_FC" hidden="1">"c7914"</definedName>
    <definedName name="IQ_BALANCE_GOODS_SAAR_USD_APR_FC" hidden="1">"c11762"</definedName>
    <definedName name="IQ_BALANCE_GOODS_SAAR_USD_FC" hidden="1">"c11759"</definedName>
    <definedName name="IQ_BALANCE_GOODS_SAAR_USD_POP_FC" hidden="1">"c11760"</definedName>
    <definedName name="IQ_BALANCE_GOODS_SAAR_USD_YOY_FC" hidden="1">"c11761"</definedName>
    <definedName name="IQ_BALANCE_GOODS_SAAR_YOY" hidden="1">"c7254"</definedName>
    <definedName name="IQ_BALANCE_GOODS_SAAR_YOY_FC" hidden="1">"c8134"</definedName>
    <definedName name="IQ_BALANCE_GOODS_UNUSED" hidden="1">"c6813"</definedName>
    <definedName name="IQ_BALANCE_GOODS_USD_APR_FC" hidden="1">"c11758"</definedName>
    <definedName name="IQ_BALANCE_GOODS_USD_FC" hidden="1">"c11755"</definedName>
    <definedName name="IQ_BALANCE_GOODS_USD_POP_FC" hidden="1">"c11756"</definedName>
    <definedName name="IQ_BALANCE_GOODS_USD_YOY_FC" hidden="1">"c11757"</definedName>
    <definedName name="IQ_BALANCE_GOODS_YOY_FC_UNUSED" hidden="1">"c8133"</definedName>
    <definedName name="IQ_BALANCE_GOODS_YOY_UNUSED" hidden="1">"c7253"</definedName>
    <definedName name="IQ_BALANCE_SERV_APR_FC_UNUSED" hidden="1">"c8355"</definedName>
    <definedName name="IQ_BALANCE_SERV_APR_UNUSED" hidden="1">"c7475"</definedName>
    <definedName name="IQ_BALANCE_SERV_FC_UNUSED" hidden="1">"c7695"</definedName>
    <definedName name="IQ_BALANCE_SERV_POP_FC_UNUSED" hidden="1">"c7915"</definedName>
    <definedName name="IQ_BALANCE_SERV_POP_UNUSED" hidden="1">"c7035"</definedName>
    <definedName name="IQ_BALANCE_SERV_SAAR" hidden="1">"c6816"</definedName>
    <definedName name="IQ_BALANCE_SERV_SAAR_APR" hidden="1">"c7476"</definedName>
    <definedName name="IQ_BALANCE_SERV_SAAR_APR_FC" hidden="1">"c8356"</definedName>
    <definedName name="IQ_BALANCE_SERV_SAAR_FC" hidden="1">"c7696"</definedName>
    <definedName name="IQ_BALANCE_SERV_SAAR_POP" hidden="1">"c7036"</definedName>
    <definedName name="IQ_BALANCE_SERV_SAAR_POP_FC" hidden="1">"c7916"</definedName>
    <definedName name="IQ_BALANCE_SERV_SAAR_YOY" hidden="1">"c7256"</definedName>
    <definedName name="IQ_BALANCE_SERV_SAAR_YOY_FC" hidden="1">"c8136"</definedName>
    <definedName name="IQ_BALANCE_SERV_UNUSED" hidden="1">"c6815"</definedName>
    <definedName name="IQ_BALANCE_SERV_USD_APR_FC" hidden="1">"c11766"</definedName>
    <definedName name="IQ_BALANCE_SERV_USD_FC" hidden="1">"c11763"</definedName>
    <definedName name="IQ_BALANCE_SERV_USD_POP_FC" hidden="1">"c11764"</definedName>
    <definedName name="IQ_BALANCE_SERV_USD_YOY_FC" hidden="1">"c11765"</definedName>
    <definedName name="IQ_BALANCE_SERV_YOY_FC_UNUSED" hidden="1">"c8135"</definedName>
    <definedName name="IQ_BALANCE_SERV_YOY_UNUSED" hidden="1">"c7255"</definedName>
    <definedName name="IQ_BALANCE_SERVICES_REAL" hidden="1">"c6954"</definedName>
    <definedName name="IQ_BALANCE_SERVICES_REAL_APR" hidden="1">"c7614"</definedName>
    <definedName name="IQ_BALANCE_SERVICES_REAL_APR_FC" hidden="1">"c8494"</definedName>
    <definedName name="IQ_BALANCE_SERVICES_REAL_FC" hidden="1">"c7834"</definedName>
    <definedName name="IQ_BALANCE_SERVICES_REAL_POP" hidden="1">"c7174"</definedName>
    <definedName name="IQ_BALANCE_SERVICES_REAL_POP_FC" hidden="1">"c8054"</definedName>
    <definedName name="IQ_BALANCE_SERVICES_REAL_SAAR" hidden="1">"c6955"</definedName>
    <definedName name="IQ_BALANCE_SERVICES_REAL_SAAR_APR" hidden="1">"c7615"</definedName>
    <definedName name="IQ_BALANCE_SERVICES_REAL_SAAR_APR_FC" hidden="1">"c8495"</definedName>
    <definedName name="IQ_BALANCE_SERVICES_REAL_SAAR_FC" hidden="1">"c7835"</definedName>
    <definedName name="IQ_BALANCE_SERVICES_REAL_SAAR_POP" hidden="1">"c7175"</definedName>
    <definedName name="IQ_BALANCE_SERVICES_REAL_SAAR_POP_FC" hidden="1">"c8055"</definedName>
    <definedName name="IQ_BALANCE_SERVICES_REAL_SAAR_YOY" hidden="1">"c7395"</definedName>
    <definedName name="IQ_BALANCE_SERVICES_REAL_SAAR_YOY_FC" hidden="1">"c8275"</definedName>
    <definedName name="IQ_BALANCE_SERVICES_REAL_USD_APR_FC" hidden="1">"c11897"</definedName>
    <definedName name="IQ_BALANCE_SERVICES_REAL_USD_FC" hidden="1">"c11894"</definedName>
    <definedName name="IQ_BALANCE_SERVICES_REAL_USD_POP_FC" hidden="1">"c11895"</definedName>
    <definedName name="IQ_BALANCE_SERVICES_REAL_USD_YOY_FC" hidden="1">"c11896"</definedName>
    <definedName name="IQ_BALANCE_SERVICES_REAL_YOY" hidden="1">"c7394"</definedName>
    <definedName name="IQ_BALANCE_SERVICES_REAL_YOY_FC" hidden="1">"c8274"</definedName>
    <definedName name="IQ_BALANCE_TRADE_APR_FC_UNUSED" hidden="1">"c8357"</definedName>
    <definedName name="IQ_BALANCE_TRADE_APR_UNUSED" hidden="1">"c7477"</definedName>
    <definedName name="IQ_BALANCE_TRADE_FC_UNUSED" hidden="1">"c7697"</definedName>
    <definedName name="IQ_BALANCE_TRADE_POP_FC_UNUSED" hidden="1">"c7917"</definedName>
    <definedName name="IQ_BALANCE_TRADE_POP_UNUSED" hidden="1">"c7037"</definedName>
    <definedName name="IQ_BALANCE_TRADE_REAL" hidden="1">"c6956"</definedName>
    <definedName name="IQ_BALANCE_TRADE_REAL_APR" hidden="1">"c7616"</definedName>
    <definedName name="IQ_BALANCE_TRADE_REAL_APR_FC" hidden="1">"c8496"</definedName>
    <definedName name="IQ_BALANCE_TRADE_REAL_FC" hidden="1">"c7836"</definedName>
    <definedName name="IQ_BALANCE_TRADE_REAL_POP" hidden="1">"c7176"</definedName>
    <definedName name="IQ_BALANCE_TRADE_REAL_POP_FC" hidden="1">"c8056"</definedName>
    <definedName name="IQ_BALANCE_TRADE_REAL_SAAR" hidden="1">"c6957"</definedName>
    <definedName name="IQ_BALANCE_TRADE_REAL_SAAR_APR" hidden="1">"c7617"</definedName>
    <definedName name="IQ_BALANCE_TRADE_REAL_SAAR_APR_FC" hidden="1">"c8497"</definedName>
    <definedName name="IQ_BALANCE_TRADE_REAL_SAAR_FC" hidden="1">"c7837"</definedName>
    <definedName name="IQ_BALANCE_TRADE_REAL_SAAR_POP" hidden="1">"c7177"</definedName>
    <definedName name="IQ_BALANCE_TRADE_REAL_SAAR_POP_FC" hidden="1">"c8057"</definedName>
    <definedName name="IQ_BALANCE_TRADE_REAL_SAAR_USD_APR_FC" hidden="1">"c11905"</definedName>
    <definedName name="IQ_BALANCE_TRADE_REAL_SAAR_USD_FC" hidden="1">"c11902"</definedName>
    <definedName name="IQ_BALANCE_TRADE_REAL_SAAR_USD_POP_FC" hidden="1">"c11903"</definedName>
    <definedName name="IQ_BALANCE_TRADE_REAL_SAAR_USD_YOY_FC" hidden="1">"c11904"</definedName>
    <definedName name="IQ_BALANCE_TRADE_REAL_SAAR_YOY" hidden="1">"c7397"</definedName>
    <definedName name="IQ_BALANCE_TRADE_REAL_SAAR_YOY_FC" hidden="1">"c8277"</definedName>
    <definedName name="IQ_BALANCE_TRADE_REAL_USD_APR_FC" hidden="1">"c11901"</definedName>
    <definedName name="IQ_BALANCE_TRADE_REAL_USD_FC" hidden="1">"c11898"</definedName>
    <definedName name="IQ_BALANCE_TRADE_REAL_USD_POP_FC" hidden="1">"c11899"</definedName>
    <definedName name="IQ_BALANCE_TRADE_REAL_USD_YOY_FC" hidden="1">"c11900"</definedName>
    <definedName name="IQ_BALANCE_TRADE_REAL_YOY" hidden="1">"c7396"</definedName>
    <definedName name="IQ_BALANCE_TRADE_REAL_YOY_FC" hidden="1">"c8276"</definedName>
    <definedName name="IQ_BALANCE_TRADE_SAAR" hidden="1">"c6818"</definedName>
    <definedName name="IQ_BALANCE_TRADE_SAAR_APR" hidden="1">"c7478"</definedName>
    <definedName name="IQ_BALANCE_TRADE_SAAR_APR_FC" hidden="1">"c8358"</definedName>
    <definedName name="IQ_BALANCE_TRADE_SAAR_FC" hidden="1">"c7698"</definedName>
    <definedName name="IQ_BALANCE_TRADE_SAAR_POP" hidden="1">"c7038"</definedName>
    <definedName name="IQ_BALANCE_TRADE_SAAR_POP_FC" hidden="1">"c7918"</definedName>
    <definedName name="IQ_BALANCE_TRADE_SAAR_USD_APR_FC" hidden="1">"c11774"</definedName>
    <definedName name="IQ_BALANCE_TRADE_SAAR_USD_FC" hidden="1">"c11771"</definedName>
    <definedName name="IQ_BALANCE_TRADE_SAAR_USD_POP_FC" hidden="1">"c11772"</definedName>
    <definedName name="IQ_BALANCE_TRADE_SAAR_USD_YOY_FC" hidden="1">"c11773"</definedName>
    <definedName name="IQ_BALANCE_TRADE_SAAR_YOY" hidden="1">"c7258"</definedName>
    <definedName name="IQ_BALANCE_TRADE_SAAR_YOY_FC" hidden="1">"c8138"</definedName>
    <definedName name="IQ_BALANCE_TRADE_UNUSED" hidden="1">"c6817"</definedName>
    <definedName name="IQ_BALANCE_TRADE_USD_APR_FC" hidden="1">"c11770"</definedName>
    <definedName name="IQ_BALANCE_TRADE_USD_FC" hidden="1">"c11767"</definedName>
    <definedName name="IQ_BALANCE_TRADE_USD_POP_FC" hidden="1">"c11768"</definedName>
    <definedName name="IQ_BALANCE_TRADE_USD_YOY_FC" hidden="1">"c11769"</definedName>
    <definedName name="IQ_BALANCE_TRADE_YOY_FC_UNUSED" hidden="1">"c8137"</definedName>
    <definedName name="IQ_BALANCE_TRADE_YOY_UNUSED" hidden="1">"c7257"</definedName>
    <definedName name="IQ_BALANCES_DUE_DEPOSITORY_INSTITUTIONS_FDIC" hidden="1">"c6389"</definedName>
    <definedName name="IQ_BALANCES_DUE_FOREIGN_FDIC" hidden="1">"c6391"</definedName>
    <definedName name="IQ_BALANCES_DUE_FRB_FDIC" hidden="1">"c6393"</definedName>
    <definedName name="IQ_BANK_BENEFICIARY_FDIC" hidden="1">"c6505"</definedName>
    <definedName name="IQ_BANK_DEBT" hidden="1">"c2544"</definedName>
    <definedName name="IQ_BANK_DEBT_PCT" hidden="1">"c2545"</definedName>
    <definedName name="IQ_BANK_GUARANTOR_FDIC" hidden="1">"c6506"</definedName>
    <definedName name="IQ_BANK_LOAN_LIST" hidden="1">"c13507"</definedName>
    <definedName name="IQ_BANK_PREMISES_FDIC" hidden="1">"c6329"</definedName>
    <definedName name="IQ_BANK_SECURITIZATION_1_4_FAMILY_LOANS_FDIC" hidden="1">"c6721"</definedName>
    <definedName name="IQ_BANK_SECURITIZATION_AUTO_LOANS_FDIC" hidden="1">"c6715"</definedName>
    <definedName name="IQ_BANK_SECURITIZATION_CL_LOANS_FDIC" hidden="1">"c6716"</definedName>
    <definedName name="IQ_BANK_SECURITIZATION_CREDIT_CARDS_RECEIVABLES_FDIC" hidden="1">"c6718"</definedName>
    <definedName name="IQ_BANK_SECURITIZATION_HOME_EQUITY_LINES_FDIC" hidden="1">"c6719"</definedName>
    <definedName name="IQ_BANK_SECURITIZATION_OTHER_CONSUMER_LOANS_FDIC" hidden="1">"c6717"</definedName>
    <definedName name="IQ_BANK_SECURITIZATION_OTHER_LOANS_FDIC" hidden="1">"c6720"</definedName>
    <definedName name="IQ_BANKING_FEES_OPERATING_INC_FFIEC" hidden="1">"c13386"</definedName>
    <definedName name="IQ_BANKS_FOREIGN_COUNTRIES_TOTAL_DEPOSITS_FDIC" hidden="1">"c6475"</definedName>
    <definedName name="IQ_BASIC_EPS_EXCL" hidden="1">"c85"</definedName>
    <definedName name="IQ_BASIC_EPS_INCL" hidden="1">"c86"</definedName>
    <definedName name="IQ_BASIC_NORMAL_EPS" hidden="1">"c1592"</definedName>
    <definedName name="IQ_BASIC_OUTSTANDING_CURRENT_EST" hidden="1">"c4128"</definedName>
    <definedName name="IQ_BASIC_OUTSTANDING_CURRENT_HIGH_EST" hidden="1">"c4129"</definedName>
    <definedName name="IQ_BASIC_OUTSTANDING_CURRENT_LOW_EST" hidden="1">"c4130"</definedName>
    <definedName name="IQ_BASIC_OUTSTANDING_CURRENT_MEDIAN_EST" hidden="1">"c4131"</definedName>
    <definedName name="IQ_BASIC_OUTSTANDING_CURRENT_NUM_EST" hidden="1">"c4132"</definedName>
    <definedName name="IQ_BASIC_OUTSTANDING_CURRENT_STDDEV_EST" hidden="1">"c4133"</definedName>
    <definedName name="IQ_BASIC_OUTSTANDING_EST" hidden="1">"c4134"</definedName>
    <definedName name="IQ_BASIC_OUTSTANDING_HIGH_EST" hidden="1">"c4135"</definedName>
    <definedName name="IQ_BASIC_OUTSTANDING_LOW_EST" hidden="1">"c4136"</definedName>
    <definedName name="IQ_BASIC_OUTSTANDING_MEDIAN_EST" hidden="1">"c4137"</definedName>
    <definedName name="IQ_BASIC_OUTSTANDING_NUM_EST" hidden="1">"c4138"</definedName>
    <definedName name="IQ_BASIC_OUTSTANDING_STDDEV_EST" hidden="1">"c4139"</definedName>
    <definedName name="IQ_BASIC_WEIGHT" hidden="1">"c87"</definedName>
    <definedName name="IQ_BASIC_WEIGHT_EST" hidden="1">"c4140"</definedName>
    <definedName name="IQ_BASIC_WEIGHT_HIGH_EST" hidden="1">"c4142"</definedName>
    <definedName name="IQ_BASIC_WEIGHT_LOW_EST" hidden="1">"c4143"</definedName>
    <definedName name="IQ_BASIC_WEIGHT_MEDIAN_EST" hidden="1">"c4144"</definedName>
    <definedName name="IQ_BASIC_WEIGHT_NUM_EST" hidden="1">"c4145"</definedName>
    <definedName name="IQ_BASIC_WEIGHT_STDDEV_EST" hidden="1">"c4146"</definedName>
    <definedName name="IQ_BENCHMARK_SECURITY" hidden="1">"c2154"</definedName>
    <definedName name="IQ_BENCHMARK_SPRD" hidden="1">"c2153"</definedName>
    <definedName name="IQ_BENCHMARK_YIELD" hidden="1">"c8955"</definedName>
    <definedName name="IQ_BETA" hidden="1">"c88"</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ID" hidden="1">"c13756"</definedName>
    <definedName name="IQ_BOARD_MEMBER_TITLE" hidden="1">"c97"</definedName>
    <definedName name="IQ_BOND_COUPON" hidden="1">"c2183"</definedName>
    <definedName name="IQ_BOND_COUPON_TYPE" hidden="1">"c2184"</definedName>
    <definedName name="IQ_BOND_LIST" hidden="1">"c13505"</definedName>
    <definedName name="IQ_BOND_PRICE" hidden="1">"c2162"</definedName>
    <definedName name="IQ_BORROWED_MONEY_QUARTERLY_AVG_FFIEC" hidden="1">"c13091"</definedName>
    <definedName name="IQ_BORROWINGS_LESS_1YR_ASSETS_TOT_FFIEC" hidden="1">"c13450"</definedName>
    <definedName name="IQ_BROK_COMISSION" hidden="1">"c98"</definedName>
    <definedName name="IQ_BROK_COMMISSION" hidden="1">"c3514"</definedName>
    <definedName name="IQ_BROKERED_DEPOSITS_FDIC" hidden="1">"c6486"</definedName>
    <definedName name="IQ_BUDGET_BALANCE_APR_FC_UNUSED" hidden="1">"c8359"</definedName>
    <definedName name="IQ_BUDGET_BALANCE_APR_UNUSED" hidden="1">"c7479"</definedName>
    <definedName name="IQ_BUDGET_BALANCE_FC_UNUSED" hidden="1">"c7699"</definedName>
    <definedName name="IQ_BUDGET_BALANCE_POP_FC_UNUSED" hidden="1">"c7919"</definedName>
    <definedName name="IQ_BUDGET_BALANCE_POP_UNUSED" hidden="1">"c7039"</definedName>
    <definedName name="IQ_BUDGET_BALANCE_SAAR" hidden="1">"c6820"</definedName>
    <definedName name="IQ_BUDGET_BALANCE_SAAR_APR" hidden="1">"c7480"</definedName>
    <definedName name="IQ_BUDGET_BALANCE_SAAR_APR_FC" hidden="1">"c8360"</definedName>
    <definedName name="IQ_BUDGET_BALANCE_SAAR_FC" hidden="1">"c7700"</definedName>
    <definedName name="IQ_BUDGET_BALANCE_SAAR_POP" hidden="1">"c7040"</definedName>
    <definedName name="IQ_BUDGET_BALANCE_SAAR_POP_FC" hidden="1">"c7920"</definedName>
    <definedName name="IQ_BUDGET_BALANCE_SAAR_YOY" hidden="1">"c7260"</definedName>
    <definedName name="IQ_BUDGET_BALANCE_SAAR_YOY_FC" hidden="1">"c8140"</definedName>
    <definedName name="IQ_BUDGET_BALANCE_UNUSED" hidden="1">"c6819"</definedName>
    <definedName name="IQ_BUDGET_BALANCE_YOY_FC_UNUSED" hidden="1">"c8139"</definedName>
    <definedName name="IQ_BUDGET_BALANCE_YOY_UNUSED" hidden="1">"c7259"</definedName>
    <definedName name="IQ_BUDGET_RECEIPTS_APR_FC_UNUSED" hidden="1">"c8361"</definedName>
    <definedName name="IQ_BUDGET_RECEIPTS_APR_UNUSED" hidden="1">"c7481"</definedName>
    <definedName name="IQ_BUDGET_RECEIPTS_FC_UNUSED" hidden="1">"c7701"</definedName>
    <definedName name="IQ_BUDGET_RECEIPTS_POP_FC_UNUSED" hidden="1">"c7921"</definedName>
    <definedName name="IQ_BUDGET_RECEIPTS_POP_UNUSED" hidden="1">"c7041"</definedName>
    <definedName name="IQ_BUDGET_RECEIPTS_UNUSED" hidden="1">"c6821"</definedName>
    <definedName name="IQ_BUDGET_RECEIPTS_YOY_FC_UNUSED" hidden="1">"c8141"</definedName>
    <definedName name="IQ_BUDGET_RECEIPTS_YOY_UNUSED" hidden="1">"c7261"</definedName>
    <definedName name="IQ_BUDGET_SPENDING" hidden="1">"c6822"</definedName>
    <definedName name="IQ_BUDGET_SPENDING_APR" hidden="1">"c7482"</definedName>
    <definedName name="IQ_BUDGET_SPENDING_APR_FC" hidden="1">"c8362"</definedName>
    <definedName name="IQ_BUDGET_SPENDING_FC" hidden="1">"c7702"</definedName>
    <definedName name="IQ_BUDGET_SPENDING_POP" hidden="1">"c7042"</definedName>
    <definedName name="IQ_BUDGET_SPENDING_POP_FC" hidden="1">"c7922"</definedName>
    <definedName name="IQ_BUDGET_SPENDING_REAL" hidden="1">"c6958"</definedName>
    <definedName name="IQ_BUDGET_SPENDING_REAL_APR" hidden="1">"c7618"</definedName>
    <definedName name="IQ_BUDGET_SPENDING_REAL_APR_FC" hidden="1">"c8498"</definedName>
    <definedName name="IQ_BUDGET_SPENDING_REAL_FC" hidden="1">"c7838"</definedName>
    <definedName name="IQ_BUDGET_SPENDING_REAL_POP" hidden="1">"c7178"</definedName>
    <definedName name="IQ_BUDGET_SPENDING_REAL_POP_FC" hidden="1">"c8058"</definedName>
    <definedName name="IQ_BUDGET_SPENDING_REAL_SAAR" hidden="1">"c6959"</definedName>
    <definedName name="IQ_BUDGET_SPENDING_REAL_SAAR_APR" hidden="1">"c7619"</definedName>
    <definedName name="IQ_BUDGET_SPENDING_REAL_SAAR_APR_FC" hidden="1">"c8499"</definedName>
    <definedName name="IQ_BUDGET_SPENDING_REAL_SAAR_FC" hidden="1">"c7839"</definedName>
    <definedName name="IQ_BUDGET_SPENDING_REAL_SAAR_POP" hidden="1">"c7179"</definedName>
    <definedName name="IQ_BUDGET_SPENDING_REAL_SAAR_POP_FC" hidden="1">"c8059"</definedName>
    <definedName name="IQ_BUDGET_SPENDING_REAL_SAAR_USD" hidden="1">"c11906"</definedName>
    <definedName name="IQ_BUDGET_SPENDING_REAL_SAAR_USD_APR" hidden="1">"c11909"</definedName>
    <definedName name="IQ_BUDGET_SPENDING_REAL_SAAR_USD_POP" hidden="1">"c11907"</definedName>
    <definedName name="IQ_BUDGET_SPENDING_REAL_SAAR_USD_YOY" hidden="1">"c11908"</definedName>
    <definedName name="IQ_BUDGET_SPENDING_REAL_SAAR_YOY" hidden="1">"c7399"</definedName>
    <definedName name="IQ_BUDGET_SPENDING_REAL_SAAR_YOY_FC" hidden="1">"c8279"</definedName>
    <definedName name="IQ_BUDGET_SPENDING_REAL_YOY" hidden="1">"c7398"</definedName>
    <definedName name="IQ_BUDGET_SPENDING_REAL_YOY_FC" hidden="1">"c8278"</definedName>
    <definedName name="IQ_BUDGET_SPENDING_SAAR" hidden="1">"c6823"</definedName>
    <definedName name="IQ_BUDGET_SPENDING_SAAR_APR" hidden="1">"c7483"</definedName>
    <definedName name="IQ_BUDGET_SPENDING_SAAR_APR_FC" hidden="1">"c8363"</definedName>
    <definedName name="IQ_BUDGET_SPENDING_SAAR_FC" hidden="1">"c7703"</definedName>
    <definedName name="IQ_BUDGET_SPENDING_SAAR_POP" hidden="1">"c7043"</definedName>
    <definedName name="IQ_BUDGET_SPENDING_SAAR_POP_FC" hidden="1">"c7923"</definedName>
    <definedName name="IQ_BUDGET_SPENDING_SAAR_USD_APR_FC" hidden="1">"c11782"</definedName>
    <definedName name="IQ_BUDGET_SPENDING_SAAR_USD_FC" hidden="1">"c11779"</definedName>
    <definedName name="IQ_BUDGET_SPENDING_SAAR_USD_POP_FC" hidden="1">"c11780"</definedName>
    <definedName name="IQ_BUDGET_SPENDING_SAAR_USD_YOY_FC" hidden="1">"c11781"</definedName>
    <definedName name="IQ_BUDGET_SPENDING_SAAR_YOY" hidden="1">"c7263"</definedName>
    <definedName name="IQ_BUDGET_SPENDING_SAAR_YOY_FC" hidden="1">"c8143"</definedName>
    <definedName name="IQ_BUDGET_SPENDING_USD_APR_FC" hidden="1">"c11778"</definedName>
    <definedName name="IQ_BUDGET_SPENDING_USD_FC" hidden="1">"c11775"</definedName>
    <definedName name="IQ_BUDGET_SPENDING_USD_POP_FC" hidden="1">"c11776"</definedName>
    <definedName name="IQ_BUDGET_SPENDING_USD_YOY_FC" hidden="1">"c11777"</definedName>
    <definedName name="IQ_BUDGET_SPENDING_YOY" hidden="1">"c7262"</definedName>
    <definedName name="IQ_BUDGET_SPENDING_YOY_FC" hidden="1">"c8142"</definedName>
    <definedName name="IQ_BUILDINGS" hidden="1">"c99"</definedName>
    <definedName name="IQ_BUS_SEG_ASSETS" hidden="1">"c4067"</definedName>
    <definedName name="IQ_BUS_SEG_ASSETS_ABS" hidden="1">"c4089"</definedName>
    <definedName name="IQ_BUS_SEG_ASSETS_TOTAL" hidden="1">"c4112"</definedName>
    <definedName name="IQ_BUS_SEG_CAPEX" hidden="1">"c4079"</definedName>
    <definedName name="IQ_BUS_SEG_CAPEX_ABS" hidden="1">"c4101"</definedName>
    <definedName name="IQ_BUS_SEG_CAPEX_TOTAL" hidden="1">"c4116"</definedName>
    <definedName name="IQ_BUS_SEG_DA" hidden="1">"c4078"</definedName>
    <definedName name="IQ_BUS_SEG_DA_ABS" hidden="1">"c4100"</definedName>
    <definedName name="IQ_BUS_SEG_DA_TOTAL" hidden="1">"c4115"</definedName>
    <definedName name="IQ_BUS_SEG_EARNINGS_OP" hidden="1">"c4063"</definedName>
    <definedName name="IQ_BUS_SEG_EARNINGS_OP_ABS" hidden="1">"c4085"</definedName>
    <definedName name="IQ_BUS_SEG_EARNINGS_OP_TOTAL" hidden="1">"c4108"</definedName>
    <definedName name="IQ_BUS_SEG_EBT" hidden="1">"c4064"</definedName>
    <definedName name="IQ_BUS_SEG_EBT_ABS" hidden="1">"c4086"</definedName>
    <definedName name="IQ_BUS_SEG_EBT_TOTAL" hidden="1">"c4110"</definedName>
    <definedName name="IQ_BUS_SEG_GP" hidden="1">"c4066"</definedName>
    <definedName name="IQ_BUS_SEG_GP_ABS" hidden="1">"c4088"</definedName>
    <definedName name="IQ_BUS_SEG_GP_TOTAL" hidden="1">"c4109"</definedName>
    <definedName name="IQ_BUS_SEG_INC_TAX" hidden="1">"c4077"</definedName>
    <definedName name="IQ_BUS_SEG_INC_TAX_ABS" hidden="1">"c4099"</definedName>
    <definedName name="IQ_BUS_SEG_INC_TAX_TOTAL" hidden="1">"c4114"</definedName>
    <definedName name="IQ_BUS_SEG_INTEREST_EXP" hidden="1">"c4076"</definedName>
    <definedName name="IQ_BUS_SEG_INTEREST_EXP_ABS" hidden="1">"c4098"</definedName>
    <definedName name="IQ_BUS_SEG_INTEREST_EXP_TOTAL" hidden="1">"c4113"</definedName>
    <definedName name="IQ_BUS_SEG_NAME" hidden="1">"c5482"</definedName>
    <definedName name="IQ_BUS_SEG_NAME_ABS" hidden="1">"c5483"</definedName>
    <definedName name="IQ_BUS_SEG_NI" hidden="1">"c4065"</definedName>
    <definedName name="IQ_BUS_SEG_NI_ABS" hidden="1">"c4087"</definedName>
    <definedName name="IQ_BUS_SEG_NI_TOTAL" hidden="1">"c4111"</definedName>
    <definedName name="IQ_BUS_SEG_OPER_INC" hidden="1">"c4062"</definedName>
    <definedName name="IQ_BUS_SEG_OPER_INC_ABS" hidden="1">"c4084"</definedName>
    <definedName name="IQ_BUS_SEG_OPER_INC_TOTAL" hidden="1">"c4107"</definedName>
    <definedName name="IQ_BUS_SEG_REV" hidden="1">"c4068"</definedName>
    <definedName name="IQ_BUS_SEG_REV_ABS" hidden="1">"c4090"</definedName>
    <definedName name="IQ_BUS_SEG_REV_TOTAL" hidden="1">"c4106"</definedName>
    <definedName name="IQ_BUSINESS_COMBINATIONS_FFIEC" hidden="1">"c12967"</definedName>
    <definedName name="IQ_BUSINESS_DESCRIPTION" hidden="1">"c322"</definedName>
    <definedName name="IQ_BV_ACT_OR_EST_CIQ" hidden="1">"c5068"</definedName>
    <definedName name="IQ_BV_EST" hidden="1">"c5624"</definedName>
    <definedName name="IQ_BV_HIGH_EST" hidden="1">"c5626"</definedName>
    <definedName name="IQ_BV_LOW_EST" hidden="1">"c5627"</definedName>
    <definedName name="IQ_BV_MEDIAN_EST" hidden="1">"c5625"</definedName>
    <definedName name="IQ_BV_NUM_EST" hidden="1">"c5628"</definedName>
    <definedName name="IQ_BV_OVER_SHARES" hidden="1">"c100"</definedName>
    <definedName name="IQ_BV_SHARE" hidden="1">"c100"</definedName>
    <definedName name="IQ_BV_SHARE_ACT_OR_EST" hidden="1">"c3587"</definedName>
    <definedName name="IQ_BV_SHARE_ACT_OR_EST_THOM" hidden="1">"c5312"</definedName>
    <definedName name="IQ_BV_SHARE_DET_EST" hidden="1">"c12047"</definedName>
    <definedName name="IQ_BV_SHARE_DET_EST_CURRENCY" hidden="1">"c12456"</definedName>
    <definedName name="IQ_BV_SHARE_DET_EST_CURRENCY_THOM" hidden="1">"c12476"</definedName>
    <definedName name="IQ_BV_SHARE_DET_EST_DATE" hidden="1">"c12200"</definedName>
    <definedName name="IQ_BV_SHARE_DET_EST_DATE_THOM" hidden="1">"c12225"</definedName>
    <definedName name="IQ_BV_SHARE_DET_EST_INCL" hidden="1">"c12339"</definedName>
    <definedName name="IQ_BV_SHARE_DET_EST_INCL_THOM" hidden="1">"c12359"</definedName>
    <definedName name="IQ_BV_SHARE_DET_EST_ORIGIN" hidden="1">"c12573"</definedName>
    <definedName name="IQ_BV_SHARE_DET_EST_ORIGIN_THOM" hidden="1">"c12595"</definedName>
    <definedName name="IQ_BV_SHARE_DET_EST_THOM" hidden="1">"c12075"</definedName>
    <definedName name="IQ_BV_SHARE_EST" hidden="1">"c3541"</definedName>
    <definedName name="IQ_BV_SHARE_EST_THOM" hidden="1">"c4020"</definedName>
    <definedName name="IQ_BV_SHARE_HIGH_EST" hidden="1">"c3542"</definedName>
    <definedName name="IQ_BV_SHARE_HIGH_EST_THOM" hidden="1">"c4022"</definedName>
    <definedName name="IQ_BV_SHARE_LOW_EST" hidden="1">"c3543"</definedName>
    <definedName name="IQ_BV_SHARE_LOW_EST_THOM" hidden="1">"c4023"</definedName>
    <definedName name="IQ_BV_SHARE_MEDIAN_EST" hidden="1">"c3544"</definedName>
    <definedName name="IQ_BV_SHARE_MEDIAN_EST_THOM" hidden="1">"c4021"</definedName>
    <definedName name="IQ_BV_SHARE_NUM_EST" hidden="1">"c3539"</definedName>
    <definedName name="IQ_BV_SHARE_NUM_EST_THOM" hidden="1">"c4024"</definedName>
    <definedName name="IQ_BV_SHARE_STDDEV_EST" hidden="1">"c3540"</definedName>
    <definedName name="IQ_BV_SHARE_STDDEV_EST_THOM" hidden="1">"c4025"</definedName>
    <definedName name="IQ_BV_STDDEV_EST" hidden="1">"c5629"</definedName>
    <definedName name="IQ_CA_AP" hidden="1">"c8881"</definedName>
    <definedName name="IQ_CA_AP_ABS" hidden="1">"c8900"</definedName>
    <definedName name="IQ_CA_NAME_AP" hidden="1">"c8919"</definedName>
    <definedName name="IQ_CA_NAME_AP_ABS" hidden="1">"c8938"</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Q_EST" hidden="1">"c6796"</definedName>
    <definedName name="IQ_CAL_Q_EST_CIQ" hidden="1">"c6808"</definedName>
    <definedName name="IQ_CAL_Q_EST_THOM" hidden="1">"c6804"</definedName>
    <definedName name="IQ_CAL_Y" hidden="1">"c102"</definedName>
    <definedName name="IQ_CAL_Y_EST" hidden="1">"c6797"</definedName>
    <definedName name="IQ_CAL_Y_EST_CIQ" hidden="1">"c6809"</definedName>
    <definedName name="IQ_CAL_Y_EST_THOM" hidden="1">"c6805"</definedName>
    <definedName name="IQ_CALC_TYPE_BS" hidden="1">"c3086"</definedName>
    <definedName name="IQ_CALC_TYPE_CF" hidden="1">"c3085"</definedName>
    <definedName name="IQ_CALC_TYPE_IS" hidden="1">"c3084"</definedName>
    <definedName name="IQ_CALL_DATE_SCHEDULE" hidden="1">"c2481"</definedName>
    <definedName name="IQ_CALL_FEATURE" hidden="1">"c2197"</definedName>
    <definedName name="IQ_CALL_PRICE_SCHEDULE" hidden="1">"c2482"</definedName>
    <definedName name="IQ_CALLABLE" hidden="1">"c2196"</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_UTIL_RATE" hidden="1">"c6824"</definedName>
    <definedName name="IQ_CAP_UTIL_RATE_POP" hidden="1">"c7044"</definedName>
    <definedName name="IQ_CAP_UTIL_RATE_YOY" hidden="1">"c7264"</definedName>
    <definedName name="IQ_CAPEX" hidden="1">"c103"</definedName>
    <definedName name="IQ_CAPEX_10YR_ANN_CAGR" hidden="1">"c6050"</definedName>
    <definedName name="IQ_CAPEX_10YR_ANN_GROWTH" hidden="1">"c104"</definedName>
    <definedName name="IQ_CAPEX_1YR_ANN_GROWTH" hidden="1">"c105"</definedName>
    <definedName name="IQ_CAPEX_2YR_ANN_CAGR" hidden="1">"c6051"</definedName>
    <definedName name="IQ_CAPEX_2YR_ANN_GROWTH" hidden="1">"c106"</definedName>
    <definedName name="IQ_CAPEX_3YR_ANN_CAGR" hidden="1">"c6052"</definedName>
    <definedName name="IQ_CAPEX_3YR_ANN_GROWTH" hidden="1">"c107"</definedName>
    <definedName name="IQ_CAPEX_5YR_ANN_CAGR" hidden="1">"c6053"</definedName>
    <definedName name="IQ_CAPEX_5YR_ANN_GROWTH" hidden="1">"c108"</definedName>
    <definedName name="IQ_CAPEX_7YR_ANN_CAGR" hidden="1">"c6054"</definedName>
    <definedName name="IQ_CAPEX_7YR_ANN_GROWTH" hidden="1">"c109"</definedName>
    <definedName name="IQ_CAPEX_ACT_OR_EST" hidden="1">"c3584"</definedName>
    <definedName name="IQ_CAPEX_ACT_OR_EST_THOM" hidden="1">"c5546"</definedName>
    <definedName name="IQ_CAPEX_BNK" hidden="1">"c110"</definedName>
    <definedName name="IQ_CAPEX_BR" hidden="1">"c111"</definedName>
    <definedName name="IQ_CAPEX_DET_EST" hidden="1">"c12048"</definedName>
    <definedName name="IQ_CAPEX_DET_EST_CURRENCY" hidden="1">"c12457"</definedName>
    <definedName name="IQ_CAPEX_DET_EST_CURRENCY_THOM" hidden="1">"c12477"</definedName>
    <definedName name="IQ_CAPEX_DET_EST_DATE" hidden="1">"c12201"</definedName>
    <definedName name="IQ_CAPEX_DET_EST_DATE_THOM" hidden="1">"c12226"</definedName>
    <definedName name="IQ_CAPEX_DET_EST_INCL" hidden="1">"c12340"</definedName>
    <definedName name="IQ_CAPEX_DET_EST_INCL_THOM" hidden="1">"c12360"</definedName>
    <definedName name="IQ_CAPEX_DET_EST_ORIGIN" hidden="1">"c12765"</definedName>
    <definedName name="IQ_CAPEX_DET_EST_ORIGIN_THOM" hidden="1">"c12596"</definedName>
    <definedName name="IQ_CAPEX_DET_EST_THOM" hidden="1">"c12076"</definedName>
    <definedName name="IQ_CAPEX_EST" hidden="1">"c3523"</definedName>
    <definedName name="IQ_CAPEX_EST_THOM" hidden="1">"c5502"</definedName>
    <definedName name="IQ_CAPEX_FIN" hidden="1">"c112"</definedName>
    <definedName name="IQ_CAPEX_HIGH_EST" hidden="1">"c3524"</definedName>
    <definedName name="IQ_CAPEX_HIGH_EST_THOM" hidden="1">"c5504"</definedName>
    <definedName name="IQ_CAPEX_INS" hidden="1">"c113"</definedName>
    <definedName name="IQ_CAPEX_LOW_EST" hidden="1">"c3525"</definedName>
    <definedName name="IQ_CAPEX_LOW_EST_THOM" hidden="1">"c5505"</definedName>
    <definedName name="IQ_CAPEX_MEDIAN_EST" hidden="1">"c3526"</definedName>
    <definedName name="IQ_CAPEX_MEDIAN_EST_THOM" hidden="1">"c5503"</definedName>
    <definedName name="IQ_CAPEX_NUM_EST" hidden="1">"c3521"</definedName>
    <definedName name="IQ_CAPEX_NUM_EST_THOM" hidden="1">"c5506"</definedName>
    <definedName name="IQ_CAPEX_STDDEV_EST" hidden="1">"c3522"</definedName>
    <definedName name="IQ_CAPEX_STDDEV_EST_THOM" hidden="1">"c5507"</definedName>
    <definedName name="IQ_CAPEX_UTI" hidden="1">"c114"</definedName>
    <definedName name="IQ_CAPITAL_LEASE" hidden="1">"c115"</definedName>
    <definedName name="IQ_CAPITAL_LEASES" hidden="1">"c115"</definedName>
    <definedName name="IQ_CAPITAL_LEASES_TOTAL" hidden="1">"c3031"</definedName>
    <definedName name="IQ_CAPITAL_LEASES_TOTAL_PCT" hidden="1">"c2506"</definedName>
    <definedName name="IQ_CAPITAL_RAISED_PERIOD_COVERED" hidden="1">"c9959"</definedName>
    <definedName name="IQ_CAPITAL_RAISED_PERIOD_GROUP" hidden="1">"c9945"</definedName>
    <definedName name="IQ_CAPITALIZED_INTEREST" hidden="1">"c2076"</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"c118"</definedName>
    <definedName name="IQ_CASH_ACQUIRE_CF" hidden="1">"c1630"</definedName>
    <definedName name="IQ_CASH_BALANCES_DUE_FFIEC" hidden="1">"c12773"</definedName>
    <definedName name="IQ_CASH_CONVERSION" hidden="1">"c117"</definedName>
    <definedName name="IQ_CASH_COST_ALUM" hidden="1">"c9252"</definedName>
    <definedName name="IQ_CASH_COST_COAL" hidden="1">"c9825"</definedName>
    <definedName name="IQ_CASH_COST_COP" hidden="1">"c9199"</definedName>
    <definedName name="IQ_CASH_COST_DIAM" hidden="1">"c9676"</definedName>
    <definedName name="IQ_CASH_COST_GOLD" hidden="1">"c9037"</definedName>
    <definedName name="IQ_CASH_COST_IRON" hidden="1">"c9411"</definedName>
    <definedName name="IQ_CASH_COST_LEAD" hidden="1">"c9464"</definedName>
    <definedName name="IQ_CASH_COST_MANG" hidden="1">"c9517"</definedName>
    <definedName name="IQ_CASH_COST_MET_COAL" hidden="1">"c9762"</definedName>
    <definedName name="IQ_CASH_COST_MOLYB" hidden="1">"c9729"</definedName>
    <definedName name="IQ_CASH_COST_NICK" hidden="1">"c9305"</definedName>
    <definedName name="IQ_CASH_COST_PLAT" hidden="1">"c9143"</definedName>
    <definedName name="IQ_CASH_COST_SILVER" hidden="1">"c9090"</definedName>
    <definedName name="IQ_CASH_COST_STEAM" hidden="1">"c9792"</definedName>
    <definedName name="IQ_CASH_COST_TITAN" hidden="1">"c9570"</definedName>
    <definedName name="IQ_CASH_COST_URAN" hidden="1">"c9623"</definedName>
    <definedName name="IQ_CASH_COST_ZINC" hidden="1">"c9358"</definedName>
    <definedName name="IQ_CASH_DIVIDENDS_NET_INCOME_FDIC" hidden="1">"c6738"</definedName>
    <definedName name="IQ_CASH_DUE_BANKS" hidden="1">"c118"</definedName>
    <definedName name="IQ_CASH_EPS_ACT_OR_EST" hidden="1">"c5638"</definedName>
    <definedName name="IQ_CASH_EPS_ACT_OR_EST_THOM" hidden="1">"c5646"</definedName>
    <definedName name="IQ_CASH_EPS_DET_EST_CURRENCY_THOM" hidden="1">"c12478"</definedName>
    <definedName name="IQ_CASH_EPS_DET_EST_DATE_THOM" hidden="1">"c12227"</definedName>
    <definedName name="IQ_CASH_EPS_DET_EST_INCL_THOM" hidden="1">"c12361"</definedName>
    <definedName name="IQ_CASH_EPS_DET_EST_ORIGIN_THOM" hidden="1">"c12597"</definedName>
    <definedName name="IQ_CASH_EPS_DET_EST_THOM" hidden="1">"c12077"</definedName>
    <definedName name="IQ_CASH_EPS_EST" hidden="1">"c5631"</definedName>
    <definedName name="IQ_CASH_EPS_EST_THOM" hidden="1">"c5639"</definedName>
    <definedName name="IQ_CASH_EPS_HIGH_EST" hidden="1">"c5633"</definedName>
    <definedName name="IQ_CASH_EPS_HIGH_EST_THOM" hidden="1">"c5641"</definedName>
    <definedName name="IQ_CASH_EPS_LOW_EST" hidden="1">"c5634"</definedName>
    <definedName name="IQ_CASH_EPS_LOW_EST_THOM" hidden="1">"c5642"</definedName>
    <definedName name="IQ_CASH_EPS_MEDIAN_EST" hidden="1">"c5632"</definedName>
    <definedName name="IQ_CASH_EPS_MEDIAN_EST_THOM" hidden="1">"c5640"</definedName>
    <definedName name="IQ_CASH_EPS_NUM_EST" hidden="1">"c5635"</definedName>
    <definedName name="IQ_CASH_EPS_NUM_EST_THOM" hidden="1">"c5643"</definedName>
    <definedName name="IQ_CASH_EPS_STDDEV_EST" hidden="1">"c5636"</definedName>
    <definedName name="IQ_CASH_EPS_STDDEV_EST_THOM" hidden="1">"c5644"</definedName>
    <definedName name="IQ_CASH_EQUIV" hidden="1">"c118"</definedName>
    <definedName name="IQ_CASH_FINAN" hidden="1">"c119"</definedName>
    <definedName name="IQ_CASH_FINAN_AP" hidden="1">"c8890"</definedName>
    <definedName name="IQ_CASH_FINAN_AP_ABS" hidden="1">"c8909"</definedName>
    <definedName name="IQ_CASH_FINAN_NAME_AP" hidden="1">"c8928"</definedName>
    <definedName name="IQ_CASH_FINAN_NAME_AP_ABS" hidden="1">"c8947"</definedName>
    <definedName name="IQ_CASH_FINAN_SUBTOTAL_AP" hidden="1">"c10111"</definedName>
    <definedName name="IQ_CASH_FLOW_ACT_OR_EST" hidden="1">"c4154"</definedName>
    <definedName name="IQ_CASH_FLOW_ACT_OR_EST_CIQ" hidden="1">"c4566"</definedName>
    <definedName name="IQ_CASH_FLOW_EST" hidden="1">"c4153"</definedName>
    <definedName name="IQ_CASH_FLOW_HIGH_EST" hidden="1">"c4156"</definedName>
    <definedName name="IQ_CASH_FLOW_LOW_EST" hidden="1">"c4157"</definedName>
    <definedName name="IQ_CASH_FLOW_MEDIAN_EST" hidden="1">"c4158"</definedName>
    <definedName name="IQ_CASH_FLOW_NUM_EST" hidden="1">"c4159"</definedName>
    <definedName name="IQ_CASH_FLOW_STDDEV_EST" hidden="1">"c4160"</definedName>
    <definedName name="IQ_CASH_IN_PROCESS_FDIC" hidden="1">"c6386"</definedName>
    <definedName name="IQ_CASH_INTEREST" hidden="1">"c120"</definedName>
    <definedName name="IQ_CASH_INTEREST_FINAN" hidden="1">"c6295"</definedName>
    <definedName name="IQ_CASH_INTEREST_INVEST" hidden="1">"c6294"</definedName>
    <definedName name="IQ_CASH_INTEREST_NET" hidden="1">"c12753"</definedName>
    <definedName name="IQ_CASH_INTEREST_OPER" hidden="1">"c6293"</definedName>
    <definedName name="IQ_CASH_INTEREST_RECEIVED" hidden="1">"c12754"</definedName>
    <definedName name="IQ_CASH_INVEST" hidden="1">"c121"</definedName>
    <definedName name="IQ_CASH_INVEST_AP" hidden="1">"c8889"</definedName>
    <definedName name="IQ_CASH_INVEST_AP_ABS" hidden="1">"c8908"</definedName>
    <definedName name="IQ_CASH_INVEST_NAME_AP" hidden="1">"c8927"</definedName>
    <definedName name="IQ_CASH_INVEST_NAME_AP_ABS" hidden="1">"c8946"</definedName>
    <definedName name="IQ_CASH_INVEST_SUBTOTAL_AP" hidden="1">"c8991"</definedName>
    <definedName name="IQ_CASH_OPER" hidden="1">"c122"</definedName>
    <definedName name="IQ_CASH_OPER_ACT_OR_EST" hidden="1">"c4164"</definedName>
    <definedName name="IQ_CASH_OPER_ACT_OR_EST_CIQ" hidden="1">"c4576"</definedName>
    <definedName name="IQ_CASH_OPER_AP" hidden="1">"c8888"</definedName>
    <definedName name="IQ_CASH_OPER_AP_ABS" hidden="1">"c8907"</definedName>
    <definedName name="IQ_CASH_OPER_EST" hidden="1">"c4163"</definedName>
    <definedName name="IQ_CASH_OPER_HIGH_EST" hidden="1">"c4166"</definedName>
    <definedName name="IQ_CASH_OPER_LOW_EST" hidden="1">"c4244"</definedName>
    <definedName name="IQ_CASH_OPER_MEDIAN_EST" hidden="1">"c4245"</definedName>
    <definedName name="IQ_CASH_OPER_NAME_AP" hidden="1">"c8926"</definedName>
    <definedName name="IQ_CASH_OPER_NAME_AP_ABS" hidden="1">"c8945"</definedName>
    <definedName name="IQ_CASH_OPER_NUM_EST" hidden="1">"c4246"</definedName>
    <definedName name="IQ_CASH_OPER_STDDEV_EST" hidden="1">"c4247"</definedName>
    <definedName name="IQ_CASH_OPER_SUBTOTAL_AP" hidden="1">"c8990"</definedName>
    <definedName name="IQ_CASH_OTHER_ADJ_AP" hidden="1">"c8891"</definedName>
    <definedName name="IQ_CASH_OTHER_ADJ_AP_ABS" hidden="1">"c8910"</definedName>
    <definedName name="IQ_CASH_OTHER_ADJ_NAME_AP" hidden="1">"c8929"</definedName>
    <definedName name="IQ_CASH_OTHER_ADJ_NAME_AP_ABS" hidden="1">"c8948"</definedName>
    <definedName name="IQ_CASH_SEGREG" hidden="1">"c123"</definedName>
    <definedName name="IQ_CASH_SHARE" hidden="1">"c1911"</definedName>
    <definedName name="IQ_CASH_ST" hidden="1">"c124"</definedName>
    <definedName name="IQ_CASH_ST_INVEST" hidden="1">"c124"</definedName>
    <definedName name="IQ_CASH_ST_INVEST_EST" hidden="1">"c4249"</definedName>
    <definedName name="IQ_CASH_ST_INVEST_HIGH_EST" hidden="1">"c4251"</definedName>
    <definedName name="IQ_CASH_ST_INVEST_LOW_EST" hidden="1">"c4252"</definedName>
    <definedName name="IQ_CASH_ST_INVEST_MEDIAN_EST" hidden="1">"c4253"</definedName>
    <definedName name="IQ_CASH_ST_INVEST_NUM_EST" hidden="1">"c4254"</definedName>
    <definedName name="IQ_CASH_ST_INVEST_STDDEV_EST" hidden="1">"c4255"</definedName>
    <definedName name="IQ_CASH_TAXES" hidden="1">"c125"</definedName>
    <definedName name="IQ_CASH_TAXES_FINAN" hidden="1">"c6292"</definedName>
    <definedName name="IQ_CASH_TAXES_INVEST" hidden="1">"c6291"</definedName>
    <definedName name="IQ_CASH_TAXES_OPER" hidden="1">"c6290"</definedName>
    <definedName name="IQ_CCE_FDIC" hidden="1">"c6296"</definedName>
    <definedName name="IQ_CDS_5YR_CIQID" hidden="1">"c11751"</definedName>
    <definedName name="IQ_CDS_ASK" hidden="1">"c6027"</definedName>
    <definedName name="IQ_CDS_BID" hidden="1">"c6026"</definedName>
    <definedName name="IQ_CDS_CURRENCY" hidden="1">"c6031"</definedName>
    <definedName name="IQ_CDS_DERIVATIVES_BENEFICIARY_FFIEC" hidden="1">"c13119"</definedName>
    <definedName name="IQ_CDS_DERIVATIVES_GUARANTOR_FFIEC" hidden="1">"c13112"</definedName>
    <definedName name="IQ_CDS_EVAL_DATE" hidden="1">"c6029"</definedName>
    <definedName name="IQ_CDS_LIST" hidden="1">"c13510"</definedName>
    <definedName name="IQ_CDS_LOAN_LIST" hidden="1">"c13518"</definedName>
    <definedName name="IQ_CDS_MID" hidden="1">"c6028"</definedName>
    <definedName name="IQ_CDS_NAME" hidden="1">"c6034"</definedName>
    <definedName name="IQ_CDS_SENIOR_LIST" hidden="1">"c13508"</definedName>
    <definedName name="IQ_CDS_SUB_LIST" hidden="1">"c13509"</definedName>
    <definedName name="IQ_CDS_TERM" hidden="1">"c6030"</definedName>
    <definedName name="IQ_CDS_TYPE" hidden="1">"c6025"</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CAGR" hidden="1">"c6055"</definedName>
    <definedName name="IQ_CFO_10YR_ANN_GROWTH" hidden="1">"c126"</definedName>
    <definedName name="IQ_CFO_1YR_ANN_GROWTH" hidden="1">"c127"</definedName>
    <definedName name="IQ_CFO_2YR_ANN_CAGR" hidden="1">"c6056"</definedName>
    <definedName name="IQ_CFO_2YR_ANN_GROWTH" hidden="1">"c128"</definedName>
    <definedName name="IQ_CFO_3YR_ANN_CAGR" hidden="1">"c6057"</definedName>
    <definedName name="IQ_CFO_3YR_ANN_GROWTH" hidden="1">"c129"</definedName>
    <definedName name="IQ_CFO_5YR_ANN_CAGR" hidden="1">"c6058"</definedName>
    <definedName name="IQ_CFO_5YR_ANN_GROWTH" hidden="1">"c130"</definedName>
    <definedName name="IQ_CFO_7YR_ANN_CAGR" hidden="1">"c6059"</definedName>
    <definedName name="IQ_CFO_7YR_ANN_GROWTH" hidden="1">"c131"</definedName>
    <definedName name="IQ_CFO_CURRENT_LIAB" hidden="1">"c132"</definedName>
    <definedName name="IQ_CFPS_ACT_OR_EST" hidden="1">"c2217"</definedName>
    <definedName name="IQ_CFPS_ACT_OR_EST_THOM" hidden="1">"c5301"</definedName>
    <definedName name="IQ_CFPS_DET_EST" hidden="1">"c12049"</definedName>
    <definedName name="IQ_CFPS_DET_EST_CURRENCY" hidden="1">"c12458"</definedName>
    <definedName name="IQ_CFPS_DET_EST_CURRENCY_THOM" hidden="1">"c12479"</definedName>
    <definedName name="IQ_CFPS_DET_EST_DATE" hidden="1">"c12202"</definedName>
    <definedName name="IQ_CFPS_DET_EST_DATE_THOM" hidden="1">"c12228"</definedName>
    <definedName name="IQ_CFPS_DET_EST_INCL" hidden="1">"c12341"</definedName>
    <definedName name="IQ_CFPS_DET_EST_INCL_THOM" hidden="1">"c12362"</definedName>
    <definedName name="IQ_CFPS_DET_EST_ORIGIN" hidden="1">"c12575"</definedName>
    <definedName name="IQ_CFPS_DET_EST_ORIGIN_THOM" hidden="1">"c12598"</definedName>
    <definedName name="IQ_CFPS_DET_EST_THOM" hidden="1">"c12078"</definedName>
    <definedName name="IQ_CFPS_EST" hidden="1">"c1667"</definedName>
    <definedName name="IQ_CFPS_EST_THOM" hidden="1">"c4006"</definedName>
    <definedName name="IQ_CFPS_HIGH_EST" hidden="1">"c1669"</definedName>
    <definedName name="IQ_CFPS_HIGH_EST_THOM" hidden="1">"c4008"</definedName>
    <definedName name="IQ_CFPS_LOW_EST" hidden="1">"c1670"</definedName>
    <definedName name="IQ_CFPS_LOW_EST_THOM" hidden="1">"c4009"</definedName>
    <definedName name="IQ_CFPS_MEDIAN_EST" hidden="1">"c1668"</definedName>
    <definedName name="IQ_CFPS_MEDIAN_EST_THOM" hidden="1">"c4007"</definedName>
    <definedName name="IQ_CFPS_NUM_EST" hidden="1">"c1671"</definedName>
    <definedName name="IQ_CFPS_NUM_EST_THOM" hidden="1">"c4010"</definedName>
    <definedName name="IQ_CFPS_STDDEV_EST" hidden="1">"c1672"</definedName>
    <definedName name="IQ_CFPS_STDDEV_EST_THOM" hidden="1">"c4011"</definedName>
    <definedName name="IQ_CH" hidden="1">110000</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 hidden="1">"c6200"</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 hidden="1">"c6201"</definedName>
    <definedName name="IQ_CHANGE_AR_REIT" hidden="1">"c145"</definedName>
    <definedName name="IQ_CHANGE_AR_UTI" hidden="1">"c146"</definedName>
    <definedName name="IQ_CHANGE_DEF_TAX" hidden="1">"c147"</definedName>
    <definedName name="IQ_CHANGE_DEPOSIT_ACCT" hidden="1">"c148"</definedName>
    <definedName name="IQ_CHANGE_FAIR_VALUE_FINANCIAL_LIAB_T1_FFIEC" hidden="1">"c13138"</definedName>
    <definedName name="IQ_CHANGE_FAIR_VALUE_OPTIONS_FFIEC" hidden="1">"c13045"</definedName>
    <definedName name="IQ_CHANGE_INC_TAX" hidden="1">"c149"</definedName>
    <definedName name="IQ_CHANGE_INS_RES_LIAB" hidden="1">"c150"</definedName>
    <definedName name="IQ_CHANGE_INVENT" hidden="1">"c6826"</definedName>
    <definedName name="IQ_CHANGE_INVENT_APR" hidden="1">"c7486"</definedName>
    <definedName name="IQ_CHANGE_INVENT_POP" hidden="1">"c7046"</definedName>
    <definedName name="IQ_CHANGE_INVENT_REAL_APR_FC_UNUSED" hidden="1">"c8500"</definedName>
    <definedName name="IQ_CHANGE_INVENT_REAL_APR_UNUSED" hidden="1">"c7620"</definedName>
    <definedName name="IQ_CHANGE_INVENT_REAL_FC_UNUSED" hidden="1">"c7840"</definedName>
    <definedName name="IQ_CHANGE_INVENT_REAL_POP_FC_UNUSED" hidden="1">"c8060"</definedName>
    <definedName name="IQ_CHANGE_INVENT_REAL_POP_UNUSED" hidden="1">"c7180"</definedName>
    <definedName name="IQ_CHANGE_INVENT_REAL_SAAR" hidden="1">"c6962"</definedName>
    <definedName name="IQ_CHANGE_INVENT_REAL_SAAR_APR" hidden="1">"c7622"</definedName>
    <definedName name="IQ_CHANGE_INVENT_REAL_SAAR_APR_FC" hidden="1">"c8502"</definedName>
    <definedName name="IQ_CHANGE_INVENT_REAL_SAAR_FC" hidden="1">"c7842"</definedName>
    <definedName name="IQ_CHANGE_INVENT_REAL_SAAR_POP" hidden="1">"c7182"</definedName>
    <definedName name="IQ_CHANGE_INVENT_REAL_SAAR_POP_FC" hidden="1">"c8062"</definedName>
    <definedName name="IQ_CHANGE_INVENT_REAL_SAAR_USD_APR_FC" hidden="1">"c11917"</definedName>
    <definedName name="IQ_CHANGE_INVENT_REAL_SAAR_USD_FC" hidden="1">"c11914"</definedName>
    <definedName name="IQ_CHANGE_INVENT_REAL_SAAR_USD_POP_FC" hidden="1">"c11915"</definedName>
    <definedName name="IQ_CHANGE_INVENT_REAL_SAAR_USD_YOY_FC" hidden="1">"c11916"</definedName>
    <definedName name="IQ_CHANGE_INVENT_REAL_SAAR_YOY" hidden="1">"c7402"</definedName>
    <definedName name="IQ_CHANGE_INVENT_REAL_SAAR_YOY_FC" hidden="1">"c8282"</definedName>
    <definedName name="IQ_CHANGE_INVENT_REAL_UNUSED" hidden="1">"c6960"</definedName>
    <definedName name="IQ_CHANGE_INVENT_REAL_USD_APR_FC" hidden="1">"c11913"</definedName>
    <definedName name="IQ_CHANGE_INVENT_REAL_USD_FC" hidden="1">"c11910"</definedName>
    <definedName name="IQ_CHANGE_INVENT_REAL_USD_POP_FC" hidden="1">"c11911"</definedName>
    <definedName name="IQ_CHANGE_INVENT_REAL_USD_YOY_FC" hidden="1">"c11912"</definedName>
    <definedName name="IQ_CHANGE_INVENT_REAL_YOY_FC_UNUSED" hidden="1">"c8280"</definedName>
    <definedName name="IQ_CHANGE_INVENT_REAL_YOY_UNUSED" hidden="1">"c7400"</definedName>
    <definedName name="IQ_CHANGE_INVENT_SAAR" hidden="1">"c6827"</definedName>
    <definedName name="IQ_CHANGE_INVENT_SAAR_APR" hidden="1">"c7487"</definedName>
    <definedName name="IQ_CHANGE_INVENT_SAAR_APR_FC" hidden="1">"c8367"</definedName>
    <definedName name="IQ_CHANGE_INVENT_SAAR_FC" hidden="1">"c7707"</definedName>
    <definedName name="IQ_CHANGE_INVENT_SAAR_POP" hidden="1">"c7047"</definedName>
    <definedName name="IQ_CHANGE_INVENT_SAAR_POP_FC" hidden="1">"c7927"</definedName>
    <definedName name="IQ_CHANGE_INVENT_SAAR_YOY" hidden="1">"c7267"</definedName>
    <definedName name="IQ_CHANGE_INVENT_SAAR_YOY_FC" hidden="1">"c8147"</definedName>
    <definedName name="IQ_CHANGE_INVENT_YOY" hidden="1">"c7266"</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 hidden="1">"c6285"</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PRIVATE_INVENT" hidden="1">"c6828"</definedName>
    <definedName name="IQ_CHANGE_PRIVATE_INVENT_APR" hidden="1">"c7488"</definedName>
    <definedName name="IQ_CHANGE_PRIVATE_INVENT_APR_FC" hidden="1">"c8368"</definedName>
    <definedName name="IQ_CHANGE_PRIVATE_INVENT_FC" hidden="1">"c7708"</definedName>
    <definedName name="IQ_CHANGE_PRIVATE_INVENT_POP" hidden="1">"c7048"</definedName>
    <definedName name="IQ_CHANGE_PRIVATE_INVENT_POP_FC" hidden="1">"c7928"</definedName>
    <definedName name="IQ_CHANGE_PRIVATE_INVENT_YOY" hidden="1">"c7268"</definedName>
    <definedName name="IQ_CHANGE_PRIVATE_INVENT_YOY_FC" hidden="1">"c8148"</definedName>
    <definedName name="IQ_CHANGE_TRADING_ASSETS" hidden="1">"c159"</definedName>
    <definedName name="IQ_CHANGE_UNEARN_REV" hidden="1">"c160"</definedName>
    <definedName name="IQ_CHANGE_WORK_CAP" hidden="1">"c161"</definedName>
    <definedName name="IQ_CHANGES_WORK_CAP" hidden="1">"c161"</definedName>
    <definedName name="IQ_CHARGE_OFFS_1_4_FAMILY_FDIC" hidden="1">"c6756"</definedName>
    <definedName name="IQ_CHARGE_OFFS_1_4_FAMILY_LOANS_FDIC" hidden="1">"c6714"</definedName>
    <definedName name="IQ_CHARGE_OFFS_AUTO_LOANS_FDIC" hidden="1">"c6708"</definedName>
    <definedName name="IQ_CHARGE_OFFS_CL_LOANS_FDIC" hidden="1">"c6709"</definedName>
    <definedName name="IQ_CHARGE_OFFS_COMMERCIAL_INDUSTRIAL_FDIC" hidden="1">"c6759"</definedName>
    <definedName name="IQ_CHARGE_OFFS_COMMERCIAL_RE_FDIC" hidden="1">"c6754"</definedName>
    <definedName name="IQ_CHARGE_OFFS_COMMERCIAL_RE_NOT_SECURED_FDIC" hidden="1">"c6764"</definedName>
    <definedName name="IQ_CHARGE_OFFS_CONSTRUCTION_DEVELOPMENT_FDIC" hidden="1">"c6753"</definedName>
    <definedName name="IQ_CHARGE_OFFS_CREDIT_CARDS_FDIC" hidden="1">"c6761"</definedName>
    <definedName name="IQ_CHARGE_OFFS_CREDIT_CARDS_RECEIVABLES_FDIC" hidden="1">"c6711"</definedName>
    <definedName name="IQ_CHARGE_OFFS_GROSS" hidden="1">"c162"</definedName>
    <definedName name="IQ_CHARGE_OFFS_HOME_EQUITY_FDIC" hidden="1">"c6757"</definedName>
    <definedName name="IQ_CHARGE_OFFS_HOME_EQUITY_LINES_FDIC" hidden="1">"c6712"</definedName>
    <definedName name="IQ_CHARGE_OFFS_INDIVIDUALS_FDIC" hidden="1">"c6760"</definedName>
    <definedName name="IQ_CHARGE_OFFS_MULTI_FAMILY_FDIC" hidden="1">"c6755"</definedName>
    <definedName name="IQ_CHARGE_OFFS_NET" hidden="1">"c163"</definedName>
    <definedName name="IQ_CHARGE_OFFS_OTHER_1_4_FAMILY_FDIC" hidden="1">"c6758"</definedName>
    <definedName name="IQ_CHARGE_OFFS_OTHER_CONSUMER_LOANS_FDIC" hidden="1">"c6710"</definedName>
    <definedName name="IQ_CHARGE_OFFS_OTHER_INDIVIDUAL_FDIC" hidden="1">"c6762"</definedName>
    <definedName name="IQ_CHARGE_OFFS_OTHER_LOANS_FDIC" hidden="1">"c6763"</definedName>
    <definedName name="IQ_CHARGE_OFFS_OTHER_LOANS_OTHER_FDIC" hidden="1">"c6713"</definedName>
    <definedName name="IQ_CHARGE_OFFS_RE_LOANS_FDIC" hidden="1">"c6752"</definedName>
    <definedName name="IQ_CHARGE_OFFS_RECOVERED" hidden="1">"c164"</definedName>
    <definedName name="IQ_CHARGE_OFFS_TOTAL_AVG_LOANS" hidden="1">"c165"</definedName>
    <definedName name="IQ_CHICAGO_PMI" hidden="1">"c6829"</definedName>
    <definedName name="IQ_CHICAGO_PMI_APR" hidden="1">"c7489"</definedName>
    <definedName name="IQ_CHICAGO_PMI_APR_FC" hidden="1">"c8369"</definedName>
    <definedName name="IQ_CHICAGO_PMI_FC" hidden="1">"c7709"</definedName>
    <definedName name="IQ_CHICAGO_PMI_POP" hidden="1">"c7049"</definedName>
    <definedName name="IQ_CHICAGO_PMI_POP_FC" hidden="1">"c7929"</definedName>
    <definedName name="IQ_CHICAGO_PMI_YOY" hidden="1">"c7269"</definedName>
    <definedName name="IQ_CHICAGO_PMI_YOY_FC" hidden="1">"c8149"</definedName>
    <definedName name="IQ_CITY" hidden="1">"c166"</definedName>
    <definedName name="IQ_CL_AP" hidden="1">"c8884"</definedName>
    <definedName name="IQ_CL_AP_ABS" hidden="1">"c8903"</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NAME_AP" hidden="1">"c8922"</definedName>
    <definedName name="IQ_CL_NAME_AP_ABS" hidden="1">"c8941"</definedName>
    <definedName name="IQ_CL_OBLIGATION_IMMEDIATE" hidden="1">"c2253"</definedName>
    <definedName name="IQ_CLAIMS_ADJUSTMENT_EXP_PC_FFIEC" hidden="1">"c13100"</definedName>
    <definedName name="IQ_CLASS_MARKETCAP" hidden="1">"c13512"</definedName>
    <definedName name="IQ_CLASS_SHARESOUTSTANDING" hidden="1">"c13513"</definedName>
    <definedName name="IQ_CLASSA_OPTIONS_BEG_OS" hidden="1">"c2679"</definedName>
    <definedName name="IQ_CLASSA_OPTIONS_CANCELLED" hidden="1">"c2682"</definedName>
    <definedName name="IQ_CLASSA_OPTIONS_END_OS" hidden="1">"c2683"</definedName>
    <definedName name="IQ_CLASSA_OPTIONS_EXERCISABLE_END_OS" hidden="1">"c5809"</definedName>
    <definedName name="IQ_CLASSA_OPTIONS_EXERCISED" hidden="1">"c2681"</definedName>
    <definedName name="IQ_CLASSA_OPTIONS_GRANTED" hidden="1">"c2680"</definedName>
    <definedName name="IQ_CLASSA_OPTIONS_STRIKE_PRICE_BEG_OS" hidden="1">"c5810"</definedName>
    <definedName name="IQ_CLASSA_OPTIONS_STRIKE_PRICE_CANCELLED" hidden="1">"c5812"</definedName>
    <definedName name="IQ_CLASSA_OPTIONS_STRIKE_PRICE_EXERCISABLE" hidden="1">"c5813"</definedName>
    <definedName name="IQ_CLASSA_OPTIONS_STRIKE_PRICE_EXERCISED" hidden="1">"c5811"</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D_END_1_4_FAM_LOANS_TOT_LOANS_FFIEC" hidden="1">"c13866"</definedName>
    <definedName name="IQ_CLOSED_END_1_4_FIRST_LIENS_TRADING_DOM_FFIEC" hidden="1">"c12928"</definedName>
    <definedName name="IQ_CLOSED_END_1_4_JR_LIENS_LL_REC_DOM_FFIEC" hidden="1">"c12904"</definedName>
    <definedName name="IQ_CLOSED_END_1_4_JUNIOR_LIENS_TRADING_DOM_FFIEC" hidden="1">"c12929"</definedName>
    <definedName name="IQ_CLOSED_END_SEC_1_4_1ST_LIENS_CHARGE_OFFS_FFIEC" hidden="1">"c13169"</definedName>
    <definedName name="IQ_CLOSED_END_SEC_1_4_1ST_LIENS_DUE_30_89_FFIEC" hidden="1">"c13261"</definedName>
    <definedName name="IQ_CLOSED_END_SEC_1_4_1ST_LIENS_DUE_90_FFIEC" hidden="1">"c13289"</definedName>
    <definedName name="IQ_CLOSED_END_SEC_1_4_1ST_LIENS_NON_ACCRUAL_FFIEC" hidden="1">"c13315"</definedName>
    <definedName name="IQ_CLOSED_END_SEC_1_4_1ST_LIENS_RECOV_FFIEC" hidden="1">"c13191"</definedName>
    <definedName name="IQ_CLOSED_END_SEC_1_4_JR_LIENS_CHARGE_OFFS_FFIEC" hidden="1">"c13170"</definedName>
    <definedName name="IQ_CLOSED_END_SEC_1_4_JR_LIENS_DUE_30_89_FFIEC" hidden="1">"c13262"</definedName>
    <definedName name="IQ_CLOSED_END_SEC_1_4_JR_LIENS_DUE_90_FFIEC" hidden="1">"c13290"</definedName>
    <definedName name="IQ_CLOSED_END_SEC_1_4_JR_LIENS_NON_ACCRUAL_FFIEC" hidden="1">"c13316"</definedName>
    <definedName name="IQ_CLOSED_END_SEC_1_4_JR_LIENS_RECOV_FFIEC" hidden="1">"c13192"</definedName>
    <definedName name="IQ_CLOSED_END_SECURED_1_4_FIRST_LIENS_LL_REC_DOM_FFIEC" hidden="1">"c12903"</definedName>
    <definedName name="IQ_CLOSED_LOANS_GROSS_LOANS_FFIEC" hidden="1">"c13399"</definedName>
    <definedName name="IQ_CLOSED_LOANS_RISK_BASED_FFIEC" hidden="1">"c13420"</definedName>
    <definedName name="IQ_CLOSEPRICE" hidden="1">"c174"</definedName>
    <definedName name="IQ_CLOSEPRICE_ADJ" hidden="1">"c2115"</definedName>
    <definedName name="IQ_CMBS_ISSUED_AVAIL_SALE_FFIEC" hidden="1">"c12800"</definedName>
    <definedName name="IQ_CMBS_ISSUED_FFIEC" hidden="1">"c12786"</definedName>
    <definedName name="IQ_CMO_FDIC" hidden="1">"c6406"</definedName>
    <definedName name="IQ_COGS" hidden="1">"c175"</definedName>
    <definedName name="IQ_COLLATERAL_TYPE" hidden="1">"c8954"</definedName>
    <definedName name="IQ_COLLECTION_DOMESTIC_FDIC" hidden="1">"c6387"</definedName>
    <definedName name="IQ_COM_TARGET_PRICE" hidden="1">"c13606"</definedName>
    <definedName name="IQ_COM_TARGET_PRICE_CIQ" hidden="1">"c13599"</definedName>
    <definedName name="IQ_COM_TARGET_PRICE_HIGH" hidden="1">"c13607"</definedName>
    <definedName name="IQ_COM_TARGET_PRICE_HIGH_CIQ" hidden="1">"c13600"</definedName>
    <definedName name="IQ_COM_TARGET_PRICE_LOW" hidden="1">"c13608"</definedName>
    <definedName name="IQ_COM_TARGET_PRICE_LOW_CIQ" hidden="1">"c13601"</definedName>
    <definedName name="IQ_COM_TARGET_PRICE_MEDIAN" hidden="1">"c13609"</definedName>
    <definedName name="IQ_COM_TARGET_PRICE_MEDIAN_CIQ" hidden="1">"c13602"</definedName>
    <definedName name="IQ_COM_TARGET_PRICE_NUM" hidden="1">"c13604"</definedName>
    <definedName name="IQ_COM_TARGET_PRICE_NUM_CIQ" hidden="1">"c13597"</definedName>
    <definedName name="IQ_COM_TARGET_PRICE_STDDEV" hidden="1">"c13605"</definedName>
    <definedName name="IQ_COM_TARGET_PRICE_STDDEV_CIQ" hidden="1">"c13598"</definedName>
    <definedName name="IQ_COMBINED_RATIO" hidden="1">"c176"</definedName>
    <definedName name="IQ_COMM_IND_LOANS_TOT_LOANS_FFIEC" hidden="1">"c13874"</definedName>
    <definedName name="IQ_COMM_INDUSTRIAL_LOANS_FFIEC" hidden="1">"c12821"</definedName>
    <definedName name="IQ_COMM_INDUSTRIAL_NON_US_LL_REC_FFIEC" hidden="1">"c12888"</definedName>
    <definedName name="IQ_COMM_INDUSTRIAL_US_LL_REC_FFIEC" hidden="1">"c12887"</definedName>
    <definedName name="IQ_COMM_RE_FARM_LOANS_TOT_LOANS_FFIEC" hidden="1">"c13872"</definedName>
    <definedName name="IQ_COMM_RE_NONFARM_NONRES_TOT_LOANS_FFIEC" hidden="1">"c13871"</definedName>
    <definedName name="IQ_COMMERCIAL_BANKS_DEPOSITS_FOREIGN_FDIC" hidden="1">"c6480"</definedName>
    <definedName name="IQ_COMMERCIAL_BANKS_LOANS_FDIC" hidden="1">"c6434"</definedName>
    <definedName name="IQ_COMMERCIAL_BANKS_NONTRANSACTION_ACCOUNTS_FDIC" hidden="1">"c6548"</definedName>
    <definedName name="IQ_COMMERCIAL_BANKS_TOTAL_DEPOSITS_FDIC" hidden="1">"c6474"</definedName>
    <definedName name="IQ_COMMERCIAL_BANKS_TOTAL_LOANS_FOREIGN_FDIC" hidden="1">"c6444"</definedName>
    <definedName name="IQ_COMMERCIAL_BANKS_TRANSACTION_ACCOUNTS_FDIC" hidden="1">"c6540"</definedName>
    <definedName name="IQ_COMMERCIAL_DOM" hidden="1">"c177"</definedName>
    <definedName name="IQ_COMMERCIAL_FIRE_WRITTEN" hidden="1">"c178"</definedName>
    <definedName name="IQ_COMMERCIAL_INDUSTRIAL_CHARGE_OFFS_FDIC" hidden="1">"c6598"</definedName>
    <definedName name="IQ_COMMERCIAL_INDUSTRIAL_GROSS_LOANS_FFIEC" hidden="1">"c13410"</definedName>
    <definedName name="IQ_COMMERCIAL_INDUSTRIAL_LOANS_DUE_30_89_FFIEC" hidden="1">"c13271"</definedName>
    <definedName name="IQ_COMMERCIAL_INDUSTRIAL_LOANS_DUE_90_FFIEC" hidden="1">"c13297"</definedName>
    <definedName name="IQ_COMMERCIAL_INDUSTRIAL_LOANS_LL_REC_DOM_FFIEC" hidden="1">"c12910"</definedName>
    <definedName name="IQ_COMMERCIAL_INDUSTRIAL_LOANS_NET_FDIC" hidden="1">"c6317"</definedName>
    <definedName name="IQ_COMMERCIAL_INDUSTRIAL_LOANS_NON_ACCRUAL_FFIEC" hidden="1">"c13323"</definedName>
    <definedName name="IQ_COMMERCIAL_INDUSTRIAL_NET_CHARGE_OFFS_FDIC" hidden="1">"c6636"</definedName>
    <definedName name="IQ_COMMERCIAL_INDUSTRIAL_NON_US_CHARGE_OFFS_FFIEC" hidden="1">"c13179"</definedName>
    <definedName name="IQ_COMMERCIAL_INDUSTRIAL_NON_US_RECOV_FFIEC" hidden="1">"c13201"</definedName>
    <definedName name="IQ_COMMERCIAL_INDUSTRIAL_RECOVERIES_FDIC" hidden="1">"c6617"</definedName>
    <definedName name="IQ_COMMERCIAL_INDUSTRIAL_RISK_BASED_FFIEC" hidden="1">"c13431"</definedName>
    <definedName name="IQ_COMMERCIAL_INDUSTRIAL_TOTAL_LOANS_FOREIGN_FDIC" hidden="1">"c6451"</definedName>
    <definedName name="IQ_COMMERCIAL_INDUSTRIAL_TRADING_DOM_FFIEC" hidden="1">"c12932"</definedName>
    <definedName name="IQ_COMMERCIAL_INDUSTRIAL_US_CHARGE_OFFS_FFIEC" hidden="1">"c13178"</definedName>
    <definedName name="IQ_COMMERCIAL_INDUSTRIAL_US_RECOV_FFIEC" hidden="1">"c13200"</definedName>
    <definedName name="IQ_COMMERCIAL_MORT" hidden="1">"c179"</definedName>
    <definedName name="IQ_COMMERCIAL_OTHER_LOC_FFIEC" hidden="1">"c13253"</definedName>
    <definedName name="IQ_COMMERCIAL_PAPER_ASSETS_TOT_FFIEC" hidden="1">"c13449"</definedName>
    <definedName name="IQ_COMMERCIAL_PAPER_FFIEC" hidden="1">"c12863"</definedName>
    <definedName name="IQ_COMMERCIAL_RE_CONSTRUCTION_LAND_DEV_FDIC" hidden="1">"c6526"</definedName>
    <definedName name="IQ_COMMERCIAL_RE_GROSS_LOANS_FFIEC" hidden="1">"c13400"</definedName>
    <definedName name="IQ_COMMERCIAL_RE_LOANS_FDIC" hidden="1">"c6312"</definedName>
    <definedName name="IQ_COMMERCIAL_RE_RISK_BASED_FFIEC" hidden="1">"c13421"</definedName>
    <definedName name="IQ_COMMISS_FEES" hidden="1">"c180"</definedName>
    <definedName name="IQ_COMMISSION_DEF" hidden="1">"c181"</definedName>
    <definedName name="IQ_COMMITMENTS_BUY_SEC_OTHER_OFF_BS_FFIEC" hidden="1">"c13128"</definedName>
    <definedName name="IQ_COMMITMENTS_COMMERCIAL_RE_UNUSED_FFIEC" hidden="1">"c13243"</definedName>
    <definedName name="IQ_COMMITMENTS_MATURITY_EXCEEDING_1YR_FDIC" hidden="1">"c6531"</definedName>
    <definedName name="IQ_COMMITMENTS_NOT_SECURED_RE_FDIC" hidden="1">"c6528"</definedName>
    <definedName name="IQ_COMMITMENTS_SECURED_RE_FDIC" hidden="1">"c6527"</definedName>
    <definedName name="IQ_COMMITMENTS_SELL_SEC_OTHER_OFF_BS_FFIEC" hidden="1">"c13129"</definedName>
    <definedName name="IQ_COMMODITY_EXPOSURE_FFIEC" hidden="1">"c13061"</definedName>
    <definedName name="IQ_COMMODITY_EXPOSURES_FDIC" hidden="1">"c6665"</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 hidden="1">"c6202"</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CAGR" hidden="1">"c6060"</definedName>
    <definedName name="IQ_COMMON_EQUITY_10YR_ANN_GROWTH" hidden="1">"c191"</definedName>
    <definedName name="IQ_COMMON_EQUITY_1YR_ANN_GROWTH" hidden="1">"c192"</definedName>
    <definedName name="IQ_COMMON_EQUITY_2YR_ANN_CAGR" hidden="1">"c6061"</definedName>
    <definedName name="IQ_COMMON_EQUITY_2YR_ANN_GROWTH" hidden="1">"c193"</definedName>
    <definedName name="IQ_COMMON_EQUITY_3YR_ANN_CAGR" hidden="1">"c6062"</definedName>
    <definedName name="IQ_COMMON_EQUITY_3YR_ANN_GROWTH" hidden="1">"c194"</definedName>
    <definedName name="IQ_COMMON_EQUITY_5YR_ANN_CAGR" hidden="1">"c6063"</definedName>
    <definedName name="IQ_COMMON_EQUITY_5YR_ANN_GROWTH" hidden="1">"c195"</definedName>
    <definedName name="IQ_COMMON_EQUITY_7YR_ANN_CAGR" hidden="1">"c6064"</definedName>
    <definedName name="IQ_COMMON_EQUITY_7YR_ANN_GROWTH" hidden="1">"c196"</definedName>
    <definedName name="IQ_COMMON_FDIC" hidden="1">"c6350"</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 hidden="1">"c6203"</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 hidden="1">"c6204"</definedName>
    <definedName name="IQ_COMMON_REP_REIT" hidden="1">"c211"</definedName>
    <definedName name="IQ_COMMON_REP_UTI" hidden="1">"c212"</definedName>
    <definedName name="IQ_COMMON_STOCK" hidden="1">"c182"</definedName>
    <definedName name="IQ_COMMON_STOCK_FFIEC" hidden="1">"c12876"</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NOTE" hidden="1">"c6792"</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MPETITOR_ALL" hidden="1">"c13754"</definedName>
    <definedName name="IQ_COMPETITOR_NAMED_BY_COMPANY" hidden="1">"c13751"</definedName>
    <definedName name="IQ_COMPETITOR_NAMED_BY_COMPETITOR" hidden="1">"c13752"</definedName>
    <definedName name="IQ_COMPETITOR_NAMED_BY_THIRDPARTY" hidden="1">"c13753"</definedName>
    <definedName name="IQ_COMPOSITE_CYCLICAL_IND" hidden="1">"c6830"</definedName>
    <definedName name="IQ_COMPOSITE_CYCLICAL_IND_APR" hidden="1">"c7490"</definedName>
    <definedName name="IQ_COMPOSITE_CYCLICAL_IND_APR_FC" hidden="1">"c8370"</definedName>
    <definedName name="IQ_COMPOSITE_CYCLICAL_IND_FC" hidden="1">"c7710"</definedName>
    <definedName name="IQ_COMPOSITE_CYCLICAL_IND_POP" hidden="1">"c7050"</definedName>
    <definedName name="IQ_COMPOSITE_CYCLICAL_IND_POP_FC" hidden="1">"c7930"</definedName>
    <definedName name="IQ_COMPOSITE_CYCLICAL_IND_YOY" hidden="1">"c7270"</definedName>
    <definedName name="IQ_COMPOSITE_CYCLICAL_IND_YOY_FC" hidden="1">"c8150"</definedName>
    <definedName name="IQ_CONSOL_BEDS" hidden="1">"c8782"</definedName>
    <definedName name="IQ_CONSOL_PROP_OPERATIONAL" hidden="1">"c8758"</definedName>
    <definedName name="IQ_CONSOL_PROP_OTHER_OWNED" hidden="1">"c8760"</definedName>
    <definedName name="IQ_CONSOL_PROP_TOTAL" hidden="1">"c8761"</definedName>
    <definedName name="IQ_CONSOL_PROP_UNDEVELOPED" hidden="1">"c8759"</definedName>
    <definedName name="IQ_CONSOL_ROOMS" hidden="1">"c8786"</definedName>
    <definedName name="IQ_CONSOL_SQ_FT_OPERATIONAL" hidden="1">"c8774"</definedName>
    <definedName name="IQ_CONSOL_SQ_FT_OTHER_OWNED" hidden="1">"c8776"</definedName>
    <definedName name="IQ_CONSOL_SQ_FT_TOTAL" hidden="1">"c8777"</definedName>
    <definedName name="IQ_CONSOL_SQ_FT_UNDEVELOPED" hidden="1">"c8775"</definedName>
    <definedName name="IQ_CONSOL_UNITS_OPERATIONAL" hidden="1">"c8766"</definedName>
    <definedName name="IQ_CONSOL_UNITS_OTHER_OWNED" hidden="1">"c8768"</definedName>
    <definedName name="IQ_CONSOL_UNITS_TOTAL" hidden="1">"c8769"</definedName>
    <definedName name="IQ_CONSOL_UNITS_UNDEVELOPED" hidden="1">"c8767"</definedName>
    <definedName name="IQ_CONSOLIDATED_ASSETS_QUARTERLY_AVG_FFIEC" hidden="1">"c13087"</definedName>
    <definedName name="IQ_CONST_LAND_DEV_LOANS_TOT_LOANS_FFIEC" hidden="1">"c13865"</definedName>
    <definedName name="IQ_CONST_LAND_DEVELOP_OTHER_DOM_CHARGE_OFFS_FFIEC" hidden="1">"c13628"</definedName>
    <definedName name="IQ_CONST_LAND_DEVELOP_OTHER_DOM_RECOV_FFIEC" hidden="1">"c13632"</definedName>
    <definedName name="IQ_CONSTRUCTION_DEV_LOANS_FDIC" hidden="1">"c6313"</definedName>
    <definedName name="IQ_CONSTRUCTION_LAND_DEVELOPMENT_CHARGE_OFFS_FDIC" hidden="1">"c6594"</definedName>
    <definedName name="IQ_CONSTRUCTION_LAND_DEVELOPMENT_NET_CHARGE_OFFS_FDIC" hidden="1">"c6632"</definedName>
    <definedName name="IQ_CONSTRUCTION_LAND_DEVELOPMENT_RECOVERIES_FDIC" hidden="1">"c6613"</definedName>
    <definedName name="IQ_CONSTRUCTION_LL_REC_DOM_FFIEC" hidden="1">"c12900"</definedName>
    <definedName name="IQ_CONSTRUCTION_LOANS" hidden="1">"c222"</definedName>
    <definedName name="IQ_CONSTRUCTION_LOANS_DOM_DUE_30_89_FFIEC" hidden="1">"c13256"</definedName>
    <definedName name="IQ_CONSTRUCTION_LOANS_DOM_DUE_90_FFIEC" hidden="1">"c13284"</definedName>
    <definedName name="IQ_CONSTRUCTION_LOANS_DOM_NON_ACCRUAL_FFIEC" hidden="1">"c13310"</definedName>
    <definedName name="IQ_CONSTRUCTION_LOANS_GROSS_LOANS_FFIEC" hidden="1">"c13401"</definedName>
    <definedName name="IQ_CONSTRUCTION_RISK_BASED_FFIEC" hidden="1">"c13422"</definedName>
    <definedName name="IQ_CONSULTING_FFIEC" hidden="1">"c13055"</definedName>
    <definedName name="IQ_CONSUMER_COMFORT" hidden="1">"c6831"</definedName>
    <definedName name="IQ_CONSUMER_COMFORT_APR" hidden="1">"c7491"</definedName>
    <definedName name="IQ_CONSUMER_COMFORT_APR_FC" hidden="1">"c8371"</definedName>
    <definedName name="IQ_CONSUMER_COMFORT_FC" hidden="1">"c7711"</definedName>
    <definedName name="IQ_CONSUMER_COMFORT_POP" hidden="1">"c7051"</definedName>
    <definedName name="IQ_CONSUMER_COMFORT_POP_FC" hidden="1">"c7931"</definedName>
    <definedName name="IQ_CONSUMER_CONFIDENCE" hidden="1">"c6832"</definedName>
    <definedName name="IQ_CONSUMER_CONFIDENCE_APR" hidden="1">"c7492"</definedName>
    <definedName name="IQ_CONSUMER_CONFIDENCE_APR_FC" hidden="1">"c8372"</definedName>
    <definedName name="IQ_CONSUMER_CONFIDENCE_FC" hidden="1">"c7712"</definedName>
    <definedName name="IQ_CONSUMER_CONFIDENCE_POP" hidden="1">"c7052"</definedName>
    <definedName name="IQ_CONSUMER_CONFIDENCE_POP_FC" hidden="1">"c7932"</definedName>
    <definedName name="IQ_CONSUMER_CONFIDENCE_YOY" hidden="1">"c7272"</definedName>
    <definedName name="IQ_CONSUMER_CONFIDENCE_YOY_FC" hidden="1">"c8152"</definedName>
    <definedName name="IQ_CONSUMER_LEASES_LL_REC_FFIEC" hidden="1">"c12895"</definedName>
    <definedName name="IQ_CONSUMER_LENDING" hidden="1">"c6833"</definedName>
    <definedName name="IQ_CONSUMER_LENDING_APR" hidden="1">"c7493"</definedName>
    <definedName name="IQ_CONSUMER_LENDING_APR_FC" hidden="1">"c8373"</definedName>
    <definedName name="IQ_CONSUMER_LENDING_FC" hidden="1">"c7713"</definedName>
    <definedName name="IQ_CONSUMER_LENDING_GROSS" hidden="1">"c6878"</definedName>
    <definedName name="IQ_CONSUMER_LENDING_GROSS_APR" hidden="1">"c7538"</definedName>
    <definedName name="IQ_CONSUMER_LENDING_GROSS_APR_FC" hidden="1">"c8418"</definedName>
    <definedName name="IQ_CONSUMER_LENDING_GROSS_FC" hidden="1">"c7758"</definedName>
    <definedName name="IQ_CONSUMER_LENDING_GROSS_POP" hidden="1">"c7098"</definedName>
    <definedName name="IQ_CONSUMER_LENDING_GROSS_POP_FC" hidden="1">"c7978"</definedName>
    <definedName name="IQ_CONSUMER_LENDING_GROSS_YOY" hidden="1">"c7318"</definedName>
    <definedName name="IQ_CONSUMER_LENDING_GROSS_YOY_FC" hidden="1">"c8198"</definedName>
    <definedName name="IQ_CONSUMER_LENDING_NET" hidden="1">"c6922"</definedName>
    <definedName name="IQ_CONSUMER_LENDING_NET_APR" hidden="1">"c7582"</definedName>
    <definedName name="IQ_CONSUMER_LENDING_NET_APR_FC" hidden="1">"c8462"</definedName>
    <definedName name="IQ_CONSUMER_LENDING_NET_FC" hidden="1">"c7802"</definedName>
    <definedName name="IQ_CONSUMER_LENDING_NET_POP" hidden="1">"c7142"</definedName>
    <definedName name="IQ_CONSUMER_LENDING_NET_POP_FC" hidden="1">"c8022"</definedName>
    <definedName name="IQ_CONSUMER_LENDING_NET_YOY" hidden="1">"c7362"</definedName>
    <definedName name="IQ_CONSUMER_LENDING_NET_YOY_FC" hidden="1">"c8242"</definedName>
    <definedName name="IQ_CONSUMER_LENDING_POP" hidden="1">"c7053"</definedName>
    <definedName name="IQ_CONSUMER_LENDING_POP_FC" hidden="1">"c7933"</definedName>
    <definedName name="IQ_CONSUMER_LENDING_TOTAL" hidden="1">"c7018"</definedName>
    <definedName name="IQ_CONSUMER_LENDING_TOTAL_APR" hidden="1">"c7678"</definedName>
    <definedName name="IQ_CONSUMER_LENDING_TOTAL_APR_FC" hidden="1">"c8558"</definedName>
    <definedName name="IQ_CONSUMER_LENDING_TOTAL_FC" hidden="1">"c7898"</definedName>
    <definedName name="IQ_CONSUMER_LENDING_TOTAL_POP" hidden="1">"c7238"</definedName>
    <definedName name="IQ_CONSUMER_LENDING_TOTAL_POP_FC" hidden="1">"c8118"</definedName>
    <definedName name="IQ_CONSUMER_LENDING_TOTAL_YOY" hidden="1">"c7458"</definedName>
    <definedName name="IQ_CONSUMER_LENDING_TOTAL_YOY_FC" hidden="1">"c8338"</definedName>
    <definedName name="IQ_CONSUMER_LENDING_YOY" hidden="1">"c7273"</definedName>
    <definedName name="IQ_CONSUMER_LENDING_YOY_FC" hidden="1">"c8153"</definedName>
    <definedName name="IQ_CONSUMER_LOANS" hidden="1">"c223"</definedName>
    <definedName name="IQ_CONSUMER_LOANS_LL_REC_DOM_FFIEC" hidden="1">"c12911"</definedName>
    <definedName name="IQ_CONSUMER_LOANS_TOT_LOANS_FFIEC" hidden="1">"c13875"</definedName>
    <definedName name="IQ_CONSUMER_SPENDING" hidden="1">"c6834"</definedName>
    <definedName name="IQ_CONSUMER_SPENDING_APR" hidden="1">"c7494"</definedName>
    <definedName name="IQ_CONSUMER_SPENDING_APR_FC" hidden="1">"c8374"</definedName>
    <definedName name="IQ_CONSUMER_SPENDING_DURABLE" hidden="1">"c6835"</definedName>
    <definedName name="IQ_CONSUMER_SPENDING_DURABLE_APR" hidden="1">"c7495"</definedName>
    <definedName name="IQ_CONSUMER_SPENDING_DURABLE_APR_FC" hidden="1">"c8375"</definedName>
    <definedName name="IQ_CONSUMER_SPENDING_DURABLE_FC" hidden="1">"c7715"</definedName>
    <definedName name="IQ_CONSUMER_SPENDING_DURABLE_POP" hidden="1">"c7055"</definedName>
    <definedName name="IQ_CONSUMER_SPENDING_DURABLE_POP_FC" hidden="1">"c7935"</definedName>
    <definedName name="IQ_CONSUMER_SPENDING_DURABLE_REAL" hidden="1">"c6964"</definedName>
    <definedName name="IQ_CONSUMER_SPENDING_DURABLE_REAL_APR" hidden="1">"c7624"</definedName>
    <definedName name="IQ_CONSUMER_SPENDING_DURABLE_REAL_APR_FC" hidden="1">"c8504"</definedName>
    <definedName name="IQ_CONSUMER_SPENDING_DURABLE_REAL_FC" hidden="1">"c7844"</definedName>
    <definedName name="IQ_CONSUMER_SPENDING_DURABLE_REAL_POP" hidden="1">"c7184"</definedName>
    <definedName name="IQ_CONSUMER_SPENDING_DURABLE_REAL_POP_FC" hidden="1">"c8064"</definedName>
    <definedName name="IQ_CONSUMER_SPENDING_DURABLE_REAL_SAAR" hidden="1">"c6965"</definedName>
    <definedName name="IQ_CONSUMER_SPENDING_DURABLE_REAL_SAAR_APR" hidden="1">"c7625"</definedName>
    <definedName name="IQ_CONSUMER_SPENDING_DURABLE_REAL_SAAR_APR_FC" hidden="1">"c8505"</definedName>
    <definedName name="IQ_CONSUMER_SPENDING_DURABLE_REAL_SAAR_FC" hidden="1">"c7845"</definedName>
    <definedName name="IQ_CONSUMER_SPENDING_DURABLE_REAL_SAAR_POP" hidden="1">"c7185"</definedName>
    <definedName name="IQ_CONSUMER_SPENDING_DURABLE_REAL_SAAR_POP_FC" hidden="1">"c8065"</definedName>
    <definedName name="IQ_CONSUMER_SPENDING_DURABLE_REAL_SAAR_YOY" hidden="1">"c7405"</definedName>
    <definedName name="IQ_CONSUMER_SPENDING_DURABLE_REAL_SAAR_YOY_FC" hidden="1">"c8285"</definedName>
    <definedName name="IQ_CONSUMER_SPENDING_DURABLE_REAL_YOY" hidden="1">"c7404"</definedName>
    <definedName name="IQ_CONSUMER_SPENDING_DURABLE_REAL_YOY_FC" hidden="1">"c8284"</definedName>
    <definedName name="IQ_CONSUMER_SPENDING_DURABLE_YOY" hidden="1">"c7275"</definedName>
    <definedName name="IQ_CONSUMER_SPENDING_DURABLE_YOY_FC" hidden="1">"c8155"</definedName>
    <definedName name="IQ_CONSUMER_SPENDING_FC" hidden="1">"c7714"</definedName>
    <definedName name="IQ_CONSUMER_SPENDING_NONDURABLE" hidden="1">"c6836"</definedName>
    <definedName name="IQ_CONSUMER_SPENDING_NONDURABLE_APR" hidden="1">"c7496"</definedName>
    <definedName name="IQ_CONSUMER_SPENDING_NONDURABLE_APR_FC" hidden="1">"c8376"</definedName>
    <definedName name="IQ_CONSUMER_SPENDING_NONDURABLE_FC" hidden="1">"c7716"</definedName>
    <definedName name="IQ_CONSUMER_SPENDING_NONDURABLE_POP" hidden="1">"c7056"</definedName>
    <definedName name="IQ_CONSUMER_SPENDING_NONDURABLE_POP_FC" hidden="1">"c7936"</definedName>
    <definedName name="IQ_CONSUMER_SPENDING_NONDURABLE_REAL" hidden="1">"c6966"</definedName>
    <definedName name="IQ_CONSUMER_SPENDING_NONDURABLE_REAL_APR" hidden="1">"c7626"</definedName>
    <definedName name="IQ_CONSUMER_SPENDING_NONDURABLE_REAL_APR_FC" hidden="1">"c8506"</definedName>
    <definedName name="IQ_CONSUMER_SPENDING_NONDURABLE_REAL_FC" hidden="1">"c7846"</definedName>
    <definedName name="IQ_CONSUMER_SPENDING_NONDURABLE_REAL_POP" hidden="1">"c7186"</definedName>
    <definedName name="IQ_CONSUMER_SPENDING_NONDURABLE_REAL_POP_FC" hidden="1">"c8066"</definedName>
    <definedName name="IQ_CONSUMER_SPENDING_NONDURABLE_REAL_SAAR" hidden="1">"c6967"</definedName>
    <definedName name="IQ_CONSUMER_SPENDING_NONDURABLE_REAL_SAAR_APR" hidden="1">"c7627"</definedName>
    <definedName name="IQ_CONSUMER_SPENDING_NONDURABLE_REAL_SAAR_APR_FC" hidden="1">"c8507"</definedName>
    <definedName name="IQ_CONSUMER_SPENDING_NONDURABLE_REAL_SAAR_FC" hidden="1">"c7847"</definedName>
    <definedName name="IQ_CONSUMER_SPENDING_NONDURABLE_REAL_SAAR_POP" hidden="1">"c7187"</definedName>
    <definedName name="IQ_CONSUMER_SPENDING_NONDURABLE_REAL_SAAR_POP_FC" hidden="1">"c8067"</definedName>
    <definedName name="IQ_CONSUMER_SPENDING_NONDURABLE_REAL_SAAR_YOY" hidden="1">"c7407"</definedName>
    <definedName name="IQ_CONSUMER_SPENDING_NONDURABLE_REAL_SAAR_YOY_FC" hidden="1">"c8287"</definedName>
    <definedName name="IQ_CONSUMER_SPENDING_NONDURABLE_REAL_YOY" hidden="1">"c7406"</definedName>
    <definedName name="IQ_CONSUMER_SPENDING_NONDURABLE_REAL_YOY_FC" hidden="1">"c8286"</definedName>
    <definedName name="IQ_CONSUMER_SPENDING_NONDURABLE_YOY" hidden="1">"c7276"</definedName>
    <definedName name="IQ_CONSUMER_SPENDING_NONDURABLE_YOY_FC" hidden="1">"c8156"</definedName>
    <definedName name="IQ_CONSUMER_SPENDING_POP" hidden="1">"c7054"</definedName>
    <definedName name="IQ_CONSUMER_SPENDING_POP_FC" hidden="1">"c7934"</definedName>
    <definedName name="IQ_CONSUMER_SPENDING_REAL" hidden="1">"c6963"</definedName>
    <definedName name="IQ_CONSUMER_SPENDING_REAL_APR" hidden="1">"c7623"</definedName>
    <definedName name="IQ_CONSUMER_SPENDING_REAL_APR_FC" hidden="1">"c8503"</definedName>
    <definedName name="IQ_CONSUMER_SPENDING_REAL_FC" hidden="1">"c7843"</definedName>
    <definedName name="IQ_CONSUMER_SPENDING_REAL_POP" hidden="1">"c7183"</definedName>
    <definedName name="IQ_CONSUMER_SPENDING_REAL_POP_FC" hidden="1">"c8063"</definedName>
    <definedName name="IQ_CONSUMER_SPENDING_REAL_SAAR" hidden="1">"c6968"</definedName>
    <definedName name="IQ_CONSUMER_SPENDING_REAL_SAAR_APR" hidden="1">"c7628"</definedName>
    <definedName name="IQ_CONSUMER_SPENDING_REAL_SAAR_APR_FC" hidden="1">"c8508"</definedName>
    <definedName name="IQ_CONSUMER_SPENDING_REAL_SAAR_FC" hidden="1">"c7848"</definedName>
    <definedName name="IQ_CONSUMER_SPENDING_REAL_SAAR_POP" hidden="1">"c7188"</definedName>
    <definedName name="IQ_CONSUMER_SPENDING_REAL_SAAR_POP_FC" hidden="1">"c8068"</definedName>
    <definedName name="IQ_CONSUMER_SPENDING_REAL_SAAR_YOY" hidden="1">"c7408"</definedName>
    <definedName name="IQ_CONSUMER_SPENDING_REAL_SAAR_YOY_FC" hidden="1">"c8288"</definedName>
    <definedName name="IQ_CONSUMER_SPENDING_REAL_USD_APR_FC" hidden="1">"c11921"</definedName>
    <definedName name="IQ_CONSUMER_SPENDING_REAL_USD_FC" hidden="1">"c11918"</definedName>
    <definedName name="IQ_CONSUMER_SPENDING_REAL_USD_POP_FC" hidden="1">"c11919"</definedName>
    <definedName name="IQ_CONSUMER_SPENDING_REAL_USD_YOY_FC" hidden="1">"c11920"</definedName>
    <definedName name="IQ_CONSUMER_SPENDING_REAL_YOY" hidden="1">"c7403"</definedName>
    <definedName name="IQ_CONSUMER_SPENDING_REAL_YOY_FC" hidden="1">"c8283"</definedName>
    <definedName name="IQ_CONSUMER_SPENDING_SERVICES" hidden="1">"c6837"</definedName>
    <definedName name="IQ_CONSUMER_SPENDING_SERVICES_APR" hidden="1">"c7497"</definedName>
    <definedName name="IQ_CONSUMER_SPENDING_SERVICES_APR_FC" hidden="1">"c8377"</definedName>
    <definedName name="IQ_CONSUMER_SPENDING_SERVICES_FC" hidden="1">"c7717"</definedName>
    <definedName name="IQ_CONSUMER_SPENDING_SERVICES_POP" hidden="1">"c7057"</definedName>
    <definedName name="IQ_CONSUMER_SPENDING_SERVICES_POP_FC" hidden="1">"c7937"</definedName>
    <definedName name="IQ_CONSUMER_SPENDING_SERVICES_REAL" hidden="1">"c6969"</definedName>
    <definedName name="IQ_CONSUMER_SPENDING_SERVICES_REAL_APR" hidden="1">"c7629"</definedName>
    <definedName name="IQ_CONSUMER_SPENDING_SERVICES_REAL_APR_FC" hidden="1">"c8509"</definedName>
    <definedName name="IQ_CONSUMER_SPENDING_SERVICES_REAL_FC" hidden="1">"c7849"</definedName>
    <definedName name="IQ_CONSUMER_SPENDING_SERVICES_REAL_POP" hidden="1">"c7189"</definedName>
    <definedName name="IQ_CONSUMER_SPENDING_SERVICES_REAL_POP_FC" hidden="1">"c8069"</definedName>
    <definedName name="IQ_CONSUMER_SPENDING_SERVICES_REAL_SAAR" hidden="1">"c6970"</definedName>
    <definedName name="IQ_CONSUMER_SPENDING_SERVICES_REAL_SAAR_APR" hidden="1">"c7630"</definedName>
    <definedName name="IQ_CONSUMER_SPENDING_SERVICES_REAL_SAAR_APR_FC" hidden="1">"c8510"</definedName>
    <definedName name="IQ_CONSUMER_SPENDING_SERVICES_REAL_SAAR_FC" hidden="1">"c7850"</definedName>
    <definedName name="IQ_CONSUMER_SPENDING_SERVICES_REAL_SAAR_POP" hidden="1">"c7190"</definedName>
    <definedName name="IQ_CONSUMER_SPENDING_SERVICES_REAL_SAAR_POP_FC" hidden="1">"c8070"</definedName>
    <definedName name="IQ_CONSUMER_SPENDING_SERVICES_REAL_SAAR_YOY" hidden="1">"c7410"</definedName>
    <definedName name="IQ_CONSUMER_SPENDING_SERVICES_REAL_SAAR_YOY_FC" hidden="1">"c8290"</definedName>
    <definedName name="IQ_CONSUMER_SPENDING_SERVICES_REAL_YOY" hidden="1">"c7409"</definedName>
    <definedName name="IQ_CONSUMER_SPENDING_SERVICES_REAL_YOY_FC" hidden="1">"c8289"</definedName>
    <definedName name="IQ_CONSUMER_SPENDING_SERVICES_YOY" hidden="1">"c7277"</definedName>
    <definedName name="IQ_CONSUMER_SPENDING_SERVICES_YOY_FC" hidden="1">"c8157"</definedName>
    <definedName name="IQ_CONSUMER_SPENDING_YOY" hidden="1">"c7274"</definedName>
    <definedName name="IQ_CONSUMER_SPENDING_YOY_FC" hidden="1">"c8154"</definedName>
    <definedName name="IQ_CONTRACTS_OTHER_COMMODITIES_EQUITIES_FDIC" hidden="1">"c6522"</definedName>
    <definedName name="IQ_CONTRIB_ID_DET_EST" hidden="1">"c12045"</definedName>
    <definedName name="IQ_CONTRIB_ID_DET_EST_THOM" hidden="1">"c12073"</definedName>
    <definedName name="IQ_CONTRIB_ID_NON_PER_DET_EST" hidden="1">"c13824"</definedName>
    <definedName name="IQ_CONTRIB_ID_NON_PER_DET_EST_THOM" hidden="1">"c13826"</definedName>
    <definedName name="IQ_CONTRIB_NAME_DET_EST" hidden="1">"c12046"</definedName>
    <definedName name="IQ_CONTRIB_NAME_DET_EST_THOM" hidden="1">"c12074"</definedName>
    <definedName name="IQ_CONTRIB_NAME_NON_PER_DET_EST" hidden="1">"c12760"</definedName>
    <definedName name="IQ_CONTRIB_NAME_NON_PER_DET_EST_THOM" hidden="1">"c12764"</definedName>
    <definedName name="IQ_CONTRIB_REC_DET_EST" hidden="1">"c12051"</definedName>
    <definedName name="IQ_CONTRIB_REC_DET_EST_DATE" hidden="1">"c12204"</definedName>
    <definedName name="IQ_CONTRIB_REC_DET_EST_DATE_THOM" hidden="1">"c12230"</definedName>
    <definedName name="IQ_CONTRIB_REC_DET_EST_ORIGIN" hidden="1">"c12577"</definedName>
    <definedName name="IQ_CONTRIB_REC_DET_EST_ORIGIN_THOM" hidden="1">"c12600"</definedName>
    <definedName name="IQ_CONTRIB_REC_DET_EST_THOM" hidden="1">"c12080"</definedName>
    <definedName name="IQ_CONTRIBUTOR_CIQID" hidden="1">"c13742"</definedName>
    <definedName name="IQ_CONTRIBUTOR_NAME" hidden="1">"c13735"</definedName>
    <definedName name="IQ_CONTRIBUTOR_START_DATE" hidden="1">"c13741"</definedName>
    <definedName name="IQ_CONV_DATE" hidden="1">"c2191"</definedName>
    <definedName name="IQ_CONV_EXP_DATE" hidden="1">"c3043"</definedName>
    <definedName name="IQ_CONV_PREMIUM" hidden="1">"c2195"</definedName>
    <definedName name="IQ_CONV_PRICE" hidden="1">"c2193"</definedName>
    <definedName name="IQ_CONV_RATE" hidden="1">"c2192"</definedName>
    <definedName name="IQ_CONV_RATIO" hidden="1">"c2192"</definedName>
    <definedName name="IQ_CONV_SECURITY" hidden="1">"c2189"</definedName>
    <definedName name="IQ_CONV_SECURITY_ISSUER" hidden="1">"c2190"</definedName>
    <definedName name="IQ_CONV_SECURITY_PRICE" hidden="1">"c2194"</definedName>
    <definedName name="IQ_CONVERSION_COMMON_FFIEC" hidden="1">"c12964"</definedName>
    <definedName name="IQ_CONVERSION_PREF_FFIEC" hidden="1">"c12962"</definedName>
    <definedName name="IQ_CONVERT" hidden="1">"c2536"</definedName>
    <definedName name="IQ_CONVERT_PCT" hidden="1">"c2537"</definedName>
    <definedName name="IQ_CONVEXITY" hidden="1">"c2182"</definedName>
    <definedName name="IQ_CONVEYED_TO_OTHERS_FDIC" hidden="1">"c6534"</definedName>
    <definedName name="IQ_CORE_CAPITAL_RATIO_FDIC" hidden="1">"c6745"</definedName>
    <definedName name="IQ_CORE_DEPOSITS_ASSETS_TOT_FFIEC" hidden="1">"c13442"</definedName>
    <definedName name="IQ_CORE_DEPOSITS_FFIEC" hidden="1">"c13862"</definedName>
    <definedName name="IQ_CORE_DEPOSITS_TOT_DEPOSITS_FFIEC" hidden="1">"c13911"</definedName>
    <definedName name="IQ_CORP_GOODS_PRICE_INDEX_APR_FC_UNUSED" hidden="1">"c8381"</definedName>
    <definedName name="IQ_CORP_GOODS_PRICE_INDEX_APR_UNUSED" hidden="1">"c7501"</definedName>
    <definedName name="IQ_CORP_GOODS_PRICE_INDEX_FC_UNUSED" hidden="1">"c7721"</definedName>
    <definedName name="IQ_CORP_GOODS_PRICE_INDEX_POP_FC_UNUSED" hidden="1">"c7941"</definedName>
    <definedName name="IQ_CORP_GOODS_PRICE_INDEX_POP_UNUSED" hidden="1">"c7061"</definedName>
    <definedName name="IQ_CORP_GOODS_PRICE_INDEX_UNUSED" hidden="1">"c6841"</definedName>
    <definedName name="IQ_CORP_GOODS_PRICE_INDEX_YOY_FC_UNUSED" hidden="1">"c8161"</definedName>
    <definedName name="IQ_CORP_GOODS_PRICE_INDEX_YOY_UNUSED" hidden="1">"c7281"</definedName>
    <definedName name="IQ_CORP_PROFITS" hidden="1">"c6843"</definedName>
    <definedName name="IQ_CORP_PROFITS_AFTER_TAX_SAAR" hidden="1">"c6842"</definedName>
    <definedName name="IQ_CORP_PROFITS_AFTER_TAX_SAAR_APR" hidden="1">"c7502"</definedName>
    <definedName name="IQ_CORP_PROFITS_AFTER_TAX_SAAR_APR_FC" hidden="1">"c8382"</definedName>
    <definedName name="IQ_CORP_PROFITS_AFTER_TAX_SAAR_FC" hidden="1">"c7722"</definedName>
    <definedName name="IQ_CORP_PROFITS_AFTER_TAX_SAAR_POP" hidden="1">"c7062"</definedName>
    <definedName name="IQ_CORP_PROFITS_AFTER_TAX_SAAR_POP_FC" hidden="1">"c7942"</definedName>
    <definedName name="IQ_CORP_PROFITS_AFTER_TAX_SAAR_YOY" hidden="1">"c7282"</definedName>
    <definedName name="IQ_CORP_PROFITS_AFTER_TAX_SAAR_YOY_FC" hidden="1">"c8162"</definedName>
    <definedName name="IQ_CORP_PROFITS_APR" hidden="1">"c7503"</definedName>
    <definedName name="IQ_CORP_PROFITS_APR_FC" hidden="1">"c8383"</definedName>
    <definedName name="IQ_CORP_PROFITS_FC" hidden="1">"c7723"</definedName>
    <definedName name="IQ_CORP_PROFITS_POP" hidden="1">"c7063"</definedName>
    <definedName name="IQ_CORP_PROFITS_POP_FC" hidden="1">"c7943"</definedName>
    <definedName name="IQ_CORP_PROFITS_SAAR" hidden="1">"c6844"</definedName>
    <definedName name="IQ_CORP_PROFITS_SAAR_APR" hidden="1">"c7504"</definedName>
    <definedName name="IQ_CORP_PROFITS_SAAR_APR_FC" hidden="1">"c8384"</definedName>
    <definedName name="IQ_CORP_PROFITS_SAAR_FC" hidden="1">"c7724"</definedName>
    <definedName name="IQ_CORP_PROFITS_SAAR_POP" hidden="1">"c7064"</definedName>
    <definedName name="IQ_CORP_PROFITS_SAAR_POP_FC" hidden="1">"c7944"</definedName>
    <definedName name="IQ_CORP_PROFITS_SAAR_YOY" hidden="1">"c7284"</definedName>
    <definedName name="IQ_CORP_PROFITS_SAAR_YOY_FC" hidden="1">"c8164"</definedName>
    <definedName name="IQ_CORP_PROFITS_YOY" hidden="1">"c7283"</definedName>
    <definedName name="IQ_CORP_PROFITS_YOY_FC" hidden="1">"c8163"</definedName>
    <definedName name="IQ_CORPORATE_OVER_TOTAL" hidden="1">"c13767"</definedName>
    <definedName name="IQ_COST_BORROWED_FUNDS_FFIEC" hidden="1">"c13492"</definedName>
    <definedName name="IQ_COST_BORROWING" hidden="1">"c2936"</definedName>
    <definedName name="IQ_COST_BORROWINGS" hidden="1">"c225"</definedName>
    <definedName name="IQ_COST_CAPITAL_NEW_BUSINESS" hidden="1">"c9968"</definedName>
    <definedName name="IQ_COST_FOREIGN_DEPOSITS_FFIEC" hidden="1">"c13490"</definedName>
    <definedName name="IQ_COST_FUNDS_PURCHASED_FFIEC" hidden="1">"c13491"</definedName>
    <definedName name="IQ_COST_INT_DEPOSITS_FFIEC" hidden="1">"c13489"</definedName>
    <definedName name="IQ_COST_OF_FUNDING_ASSETS_FDIC" hidden="1">"c6725"</definedName>
    <definedName name="IQ_COST_REV" hidden="1">"c226"</definedName>
    <definedName name="IQ_COST_REVENUE" hidden="1">"c226"</definedName>
    <definedName name="IQ_COST_SAVINGS" hidden="1">"c227"</definedName>
    <definedName name="IQ_COST_SERVICE" hidden="1">"c228"</definedName>
    <definedName name="IQ_COST_SOLVENCY_CAPITAL_COVERED" hidden="1">"c9965"</definedName>
    <definedName name="IQ_COST_SOLVENCY_CAPITAL_GROUP" hidden="1">"c9951"</definedName>
    <definedName name="IQ_COST_TOTAL_BORROWINGS" hidden="1">"c229"</definedName>
    <definedName name="IQ_COUNTRY_NAME" hidden="1">"c230"</definedName>
    <definedName name="IQ_COUNTRY_NAME_ECON" hidden="1">"c11752"</definedName>
    <definedName name="IQ_COUPON_FORMULA" hidden="1">"c8965"</definedName>
    <definedName name="IQ_COVERED_POPS" hidden="1">"c2124"</definedName>
    <definedName name="IQ_CP" hidden="1">"c2495"</definedName>
    <definedName name="IQ_CP_PCT" hidden="1">"c2496"</definedName>
    <definedName name="IQ_CPI" hidden="1">"c6845"</definedName>
    <definedName name="IQ_CPI_APR" hidden="1">"c7505"</definedName>
    <definedName name="IQ_CPI_APR_FC" hidden="1">"c8385"</definedName>
    <definedName name="IQ_CPI_CORE" hidden="1">"c6838"</definedName>
    <definedName name="IQ_CPI_CORE_APR" hidden="1">"c7498"</definedName>
    <definedName name="IQ_CPI_CORE_POP" hidden="1">"c7058"</definedName>
    <definedName name="IQ_CPI_CORE_YOY" hidden="1">"c7278"</definedName>
    <definedName name="IQ_CPI_FC" hidden="1">"c7725"</definedName>
    <definedName name="IQ_CPI_POP" hidden="1">"c7065"</definedName>
    <definedName name="IQ_CPI_POP_FC" hidden="1">"c7945"</definedName>
    <definedName name="IQ_CPI_YOY" hidden="1">"c7285"</definedName>
    <definedName name="IQ_CPI_YOY_FC" hidden="1">"c8165"</definedName>
    <definedName name="IQ_CQ" hidden="1">5000</definedName>
    <definedName name="IQ_CREDIT_CARD_CHARGE_OFFS_FDIC" hidden="1">"c6652"</definedName>
    <definedName name="IQ_CREDIT_CARD_FEE_BNK" hidden="1">"c231"</definedName>
    <definedName name="IQ_CREDIT_CARD_FEE_FIN" hidden="1">"c1583"</definedName>
    <definedName name="IQ_CREDIT_CARD_GROSS_LOANS_FFIEC" hidden="1">"c13412"</definedName>
    <definedName name="IQ_CREDIT_CARD_INTERCHANGE_FEES_FFIEC" hidden="1">"c13046"</definedName>
    <definedName name="IQ_CREDIT_CARD_LINES_FDIC" hidden="1">"c6525"</definedName>
    <definedName name="IQ_CREDIT_CARD_LINES_UNUSED_FFIEC" hidden="1">"c13242"</definedName>
    <definedName name="IQ_CREDIT_CARD_LOANS_CHARGE_OFFS_FFIEC" hidden="1">"c13180"</definedName>
    <definedName name="IQ_CREDIT_CARD_LOANS_DUE_30_89_FFIEC" hidden="1">"c13272"</definedName>
    <definedName name="IQ_CREDIT_CARD_LOANS_DUE_90_FFIEC" hidden="1">"c13298"</definedName>
    <definedName name="IQ_CREDIT_CARD_LOANS_FDIC" hidden="1">"c6319"</definedName>
    <definedName name="IQ_CREDIT_CARD_LOANS_NON_ACCRUAL_FFIEC" hidden="1">"c13324"</definedName>
    <definedName name="IQ_CREDIT_CARD_LOANS_RECOV_FFIEC" hidden="1">"c13202"</definedName>
    <definedName name="IQ_CREDIT_CARD_NET_CHARGE_OFFS_FDIC" hidden="1">"c6654"</definedName>
    <definedName name="IQ_CREDIT_CARD_RECOVERIES_FDIC" hidden="1">"c6653"</definedName>
    <definedName name="IQ_CREDIT_CARD_RISK_BASED_FFIEC" hidden="1">"c13433"</definedName>
    <definedName name="IQ_CREDIT_CARDS_CONSUMER_LOANS_FFIEC" hidden="1">"c12822"</definedName>
    <definedName name="IQ_CREDIT_CARDS_LL_REC_FFIEC" hidden="1">"c12889"</definedName>
    <definedName name="IQ_CREDIT_CARDS_LOANS_TRADING_DOM_FFIEC" hidden="1">"c12933"</definedName>
    <definedName name="IQ_CREDIT_EXPOSURE" hidden="1">"c10038"</definedName>
    <definedName name="IQ_CREDIT_EXPOSURE_FFIEC" hidden="1">"c13062"</definedName>
    <definedName name="IQ_CREDIT_LOSS_CF" hidden="1">"c232"</definedName>
    <definedName name="IQ_CREDIT_LOSS_PROVISION_NET_CHARGE_OFFS_FDIC" hidden="1">"c6734"</definedName>
    <definedName name="IQ_CREDIT_LOSSES_DERIVATIVES_FFIEC" hidden="1">"c13068"</definedName>
    <definedName name="IQ_CREDIT_OPTIONS_DERIVATIVES_BENEFICIARY_FFIEC" hidden="1">"c13121"</definedName>
    <definedName name="IQ_CREDIT_OPTIONS_DERIVATIVES_GUARANTOR_FFIEC" hidden="1">"c13114"</definedName>
    <definedName name="IQ_CUMULATIVE_PREFERREDS_T2_FFIEC" hidden="1">"c13145"</definedName>
    <definedName name="IQ_CUMULATIVE_SPLIT_FACTOR" hidden="1">"c2094"</definedName>
    <definedName name="IQ_CURR_ACCT_BALANCE_APR_FC_UNUSED" hidden="1">"c8387"</definedName>
    <definedName name="IQ_CURR_ACCT_BALANCE_APR_UNUSED" hidden="1">"c7507"</definedName>
    <definedName name="IQ_CURR_ACCT_BALANCE_FC_UNUSED" hidden="1">"c7727"</definedName>
    <definedName name="IQ_CURR_ACCT_BALANCE_PCT" hidden="1">"c6846"</definedName>
    <definedName name="IQ_CURR_ACCT_BALANCE_PCT_FC" hidden="1">"c7726"</definedName>
    <definedName name="IQ_CURR_ACCT_BALANCE_PCT_POP" hidden="1">"c7066"</definedName>
    <definedName name="IQ_CURR_ACCT_BALANCE_PCT_POP_FC" hidden="1">"c7946"</definedName>
    <definedName name="IQ_CURR_ACCT_BALANCE_PCT_YOY" hidden="1">"c7286"</definedName>
    <definedName name="IQ_CURR_ACCT_BALANCE_PCT_YOY_FC" hidden="1">"c8166"</definedName>
    <definedName name="IQ_CURR_ACCT_BALANCE_POP_FC_UNUSED" hidden="1">"c7947"</definedName>
    <definedName name="IQ_CURR_ACCT_BALANCE_POP_UNUSED" hidden="1">"c7067"</definedName>
    <definedName name="IQ_CURR_ACCT_BALANCE_SAAR" hidden="1">"c6848"</definedName>
    <definedName name="IQ_CURR_ACCT_BALANCE_SAAR_APR" hidden="1">"c7508"</definedName>
    <definedName name="IQ_CURR_ACCT_BALANCE_SAAR_APR_FC" hidden="1">"c8388"</definedName>
    <definedName name="IQ_CURR_ACCT_BALANCE_SAAR_FC" hidden="1">"c7728"</definedName>
    <definedName name="IQ_CURR_ACCT_BALANCE_SAAR_POP" hidden="1">"c7068"</definedName>
    <definedName name="IQ_CURR_ACCT_BALANCE_SAAR_POP_FC" hidden="1">"c7948"</definedName>
    <definedName name="IQ_CURR_ACCT_BALANCE_SAAR_USD_APR_FC" hidden="1">"c11797"</definedName>
    <definedName name="IQ_CURR_ACCT_BALANCE_SAAR_USD_FC" hidden="1">"c11794"</definedName>
    <definedName name="IQ_CURR_ACCT_BALANCE_SAAR_USD_POP_FC" hidden="1">"c11795"</definedName>
    <definedName name="IQ_CURR_ACCT_BALANCE_SAAR_USD_YOY_FC" hidden="1">"c11796"</definedName>
    <definedName name="IQ_CURR_ACCT_BALANCE_SAAR_YOY" hidden="1">"c7288"</definedName>
    <definedName name="IQ_CURR_ACCT_BALANCE_SAAR_YOY_FC" hidden="1">"c8168"</definedName>
    <definedName name="IQ_CURR_ACCT_BALANCE_UNUSED" hidden="1">"c6847"</definedName>
    <definedName name="IQ_CURR_ACCT_BALANCE_USD" hidden="1">"c11786"</definedName>
    <definedName name="IQ_CURR_ACCT_BALANCE_USD_APR" hidden="1">"c11789"</definedName>
    <definedName name="IQ_CURR_ACCT_BALANCE_USD_APR_FC" hidden="1">"c11793"</definedName>
    <definedName name="IQ_CURR_ACCT_BALANCE_USD_FC" hidden="1">"c11790"</definedName>
    <definedName name="IQ_CURR_ACCT_BALANCE_USD_POP" hidden="1">"c11787"</definedName>
    <definedName name="IQ_CURR_ACCT_BALANCE_USD_POP_FC" hidden="1">"c11791"</definedName>
    <definedName name="IQ_CURR_ACCT_BALANCE_USD_YOY" hidden="1">"c11788"</definedName>
    <definedName name="IQ_CURR_ACCT_BALANCE_USD_YOY_FC" hidden="1">"c11792"</definedName>
    <definedName name="IQ_CURR_ACCT_BALANCE_YOY_FC_UNUSED" hidden="1">"c8167"</definedName>
    <definedName name="IQ_CURR_ACCT_BALANCE_YOY_UNUSED" hidden="1">"c7287"</definedName>
    <definedName name="IQ_CURR_ACCT_INC_RECEIPTS" hidden="1">"c6849"</definedName>
    <definedName name="IQ_CURR_ACCT_INC_RECEIPTS_APR" hidden="1">"c7509"</definedName>
    <definedName name="IQ_CURR_ACCT_INC_RECEIPTS_APR_FC" hidden="1">"c8389"</definedName>
    <definedName name="IQ_CURR_ACCT_INC_RECEIPTS_FC" hidden="1">"c7729"</definedName>
    <definedName name="IQ_CURR_ACCT_INC_RECEIPTS_POP" hidden="1">"c7069"</definedName>
    <definedName name="IQ_CURR_ACCT_INC_RECEIPTS_POP_FC" hidden="1">"c7949"</definedName>
    <definedName name="IQ_CURR_ACCT_INC_RECEIPTS_YOY" hidden="1">"c7289"</definedName>
    <definedName name="IQ_CURR_ACCT_INC_RECEIPTS_YOY_FC" hidden="1">"c8169"</definedName>
    <definedName name="IQ_CURR_DOMESTIC_TAXES" hidden="1">"c2074"</definedName>
    <definedName name="IQ_CURR_FOREIGN_TAXES" hidden="1">"c2075"</definedName>
    <definedName name="IQ_CURRENCY_COIN_DOMESTIC_FDIC" hidden="1">"c6388"</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 hidden="1">"c6205"</definedName>
    <definedName name="IQ_CURRENCY_GAIN_REIT" hidden="1">"c239"</definedName>
    <definedName name="IQ_CURRENCY_GAIN_UTI" hidden="1">"c240"</definedName>
    <definedName name="IQ_CURRENT_BENCHMARK" hidden="1">"c6780"</definedName>
    <definedName name="IQ_CURRENT_BENCHMARK_CIQID" hidden="1">"c6781"</definedName>
    <definedName name="IQ_CURRENT_BENCHMARK_MATURITY" hidden="1">"c6782"</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 hidden="1">"c6283"</definedName>
    <definedName name="IQ_CURRENT_PORT_DEBT_REIT" hidden="1">"c1570"</definedName>
    <definedName name="IQ_CURRENT_PORT_DEBT_UTI" hidden="1">"c1571"</definedName>
    <definedName name="IQ_CURRENT_PORT_FHLB_DEBT" hidden="1">"c5657"</definedName>
    <definedName name="IQ_CURRENT_PORT_LEASES" hidden="1">"c245"</definedName>
    <definedName name="IQ_CURRENT_PORT_PCT" hidden="1">"c2541"</definedName>
    <definedName name="IQ_CURRENT_RATIO" hidden="1">"c246"</definedName>
    <definedName name="IQ_CUSIP" hidden="1">"c2245"</definedName>
    <definedName name="IQ_CUSTOMER_LIAB_ACCEPTANCES_OUT_FFIEC" hidden="1">"c12835"</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 hidden="1">"c6206"</definedName>
    <definedName name="IQ_DA_CF_REIT" hidden="1">"c254"</definedName>
    <definedName name="IQ_DA_CF_UTI" hidden="1">"c255"</definedName>
    <definedName name="IQ_DA_EBITDA" hidden="1">"c5528"</definedName>
    <definedName name="IQ_DA_FIN" hidden="1">"c256"</definedName>
    <definedName name="IQ_DA_INS" hidden="1">"c257"</definedName>
    <definedName name="IQ_DA_RE" hidden="1">"c6207"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 hidden="1">"c6208"</definedName>
    <definedName name="IQ_DA_SUPPL_CF_REIT" hidden="1">"c266"</definedName>
    <definedName name="IQ_DA_SUPPL_CF_UTI" hidden="1">"c267"</definedName>
    <definedName name="IQ_DA_SUPPL_FIN" hidden="1">"c268"</definedName>
    <definedName name="IQ_DA_SUPPL_INS" hidden="1">"c269"</definedName>
    <definedName name="IQ_DA_SUPPL_RE" hidden="1">"c6209"</definedName>
    <definedName name="IQ_DA_SUPPL_REIT" hidden="1">"c270"</definedName>
    <definedName name="IQ_DA_SUPPL_UTI" hidden="1">"c271"</definedName>
    <definedName name="IQ_DA_UTI" hidden="1">"c272"</definedName>
    <definedName name="IQ_DATA_PROCESSING_EXP_FFIEC" hidden="1">"c13047"</definedName>
    <definedName name="IQ_DATED_DATE" hidden="1">"c2185"</definedName>
    <definedName name="IQ_DAY_COUNT" hidden="1">"c2161"</definedName>
    <definedName name="IQ_DAYS_COVER_SHORT" hidden="1">"c1578"</definedName>
    <definedName name="IQ_DAYS_DELAY" hidden="1">"c8963"</definedName>
    <definedName name="IQ_DAYS_INVENTORY_OUT" hidden="1">"c273"</definedName>
    <definedName name="IQ_DAYS_PAY_OUTST" hidden="1">"c274"</definedName>
    <definedName name="IQ_DAYS_PAYABLE_OUT" hidden="1">"c274"</definedName>
    <definedName name="IQ_DAYS_SALES_OUT" hidden="1">"c275"</definedName>
    <definedName name="IQ_DAYS_SALES_OUTST" hidden="1">"c275"</definedName>
    <definedName name="IQ_DEBT_1_5_INVEST_SECURITIES_FFIEC" hidden="1">"c13465"</definedName>
    <definedName name="IQ_DEBT_ADJ" hidden="1">"c2515"</definedName>
    <definedName name="IQ_DEBT_ADJ_PCT" hidden="1">"c2516"</definedName>
    <definedName name="IQ_DEBT_EQUITY_EST" hidden="1">"c4257"</definedName>
    <definedName name="IQ_DEBT_EQUITY_HIGH_EST" hidden="1">"c4258"</definedName>
    <definedName name="IQ_DEBT_EQUITY_LOW_EST" hidden="1">"c4259"</definedName>
    <definedName name="IQ_DEBT_EQUITY_MEDIAN_EST" hidden="1">"c4260"</definedName>
    <definedName name="IQ_DEBT_EQUITY_NUM_EST" hidden="1">"c4261"</definedName>
    <definedName name="IQ_DEBT_EQUITY_STDDEV_EST" hidden="1">"c4262"</definedName>
    <definedName name="IQ_DEBT_EQUIV_NET_PBO" hidden="1">"c2938"</definedName>
    <definedName name="IQ_DEBT_EQUIV_OPER_LEASE" hidden="1">"c2935"</definedName>
    <definedName name="IQ_DEBT_LESS_1YR_INVEST_SECURITIES_FFIEC" hidden="1">"c13464"</definedName>
    <definedName name="IQ_DEBT_MATURING_MORE_THAN_ONE_YEAR_FFIEC" hidden="1">"c13164"</definedName>
    <definedName name="IQ_DEBT_MATURING_WITHIN_ONE_YEAR_FFIEC" hidden="1">"c13163"</definedName>
    <definedName name="IQ_DEBT_SEC_OVER_5YR_INVEST_SECURITIES_FFIEC" hidden="1">"c13466"</definedName>
    <definedName name="IQ_DEBT_SECURITIES_FOREIGN_FFIEC" hidden="1">"c13484"</definedName>
    <definedName name="IQ_DEBT_SECURITIES_OTHER_ASSETS_DUE_30_89_FFIEC" hidden="1">"c13279"</definedName>
    <definedName name="IQ_DEBT_SECURITIES_OTHER_ASSETS_DUE_90_FFIEC" hidden="1">"c13305"</definedName>
    <definedName name="IQ_DEBT_SECURITIES_OTHER_ASSETS_NON_ACCRUAL_FFIEC" hidden="1">"c13331"</definedName>
    <definedName name="IQ_DECREASE_INT_EXPENSE_FFIEC" hidden="1">"c13064"</definedName>
    <definedName name="IQ_DEDUCTIONS_TOTAL_RISK_BASED_CAPITAL_FFIEC" hidden="1">"c13152"</definedName>
    <definedName name="IQ_DEF_ACQ_CST" hidden="1">"c301"</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 hidden="1">"c6210"</definedName>
    <definedName name="IQ_DEF_CHARGES_LT_REIT" hidden="1">"c297"</definedName>
    <definedName name="IQ_DEF_CHARGES_LT_UTI" hidden="1">"c298"</definedName>
    <definedName name="IQ_DEF_CHARGES_RE" hidden="1">"c6211"</definedName>
    <definedName name="IQ_DEF_CHARGES_REIT" hidden="1">"c299"</definedName>
    <definedName name="IQ_DEF_CONTRIBUTION_TOTAL_COST" hidden="1">"c300"</definedName>
    <definedName name="IQ_DEF_INC_TAX" hidden="1">"c313"</definedName>
    <definedName name="IQ_DEF_POLICY_ACQ_COSTS" hidden="1">"c301"</definedName>
    <definedName name="IQ_DEF_POLICY_ACQ_COSTS_CF" hidden="1">"c302"</definedName>
    <definedName name="IQ_DEF_POLICY_AMORT" hidden="1">"c303"</definedName>
    <definedName name="IQ_DEF_SPENDING_REAL_SAAR" hidden="1">"c6971"</definedName>
    <definedName name="IQ_DEF_SPENDING_REAL_SAAR_APR" hidden="1">"c7631"</definedName>
    <definedName name="IQ_DEF_SPENDING_REAL_SAAR_APR_FC" hidden="1">"c8511"</definedName>
    <definedName name="IQ_DEF_SPENDING_REAL_SAAR_FC" hidden="1">"c7851"</definedName>
    <definedName name="IQ_DEF_SPENDING_REAL_SAAR_POP" hidden="1">"c7191"</definedName>
    <definedName name="IQ_DEF_SPENDING_REAL_SAAR_POP_FC" hidden="1">"c8071"</definedName>
    <definedName name="IQ_DEF_SPENDING_REAL_SAAR_YOY" hidden="1">"c7411"</definedName>
    <definedName name="IQ_DEF_SPENDING_REAL_SAAR_YOY_FC" hidden="1">"c8291"</definedName>
    <definedName name="IQ_DEF_TAX_ASSET_LT_BR" hidden="1">"c304"</definedName>
    <definedName name="IQ_DEF_TAX_ASSET_LT_FIN" hidden="1">"c305"</definedName>
    <definedName name="IQ_DEF_TAX_ASSET_LT_INS" hidden="1">"c306"</definedName>
    <definedName name="IQ_DEF_TAX_ASSET_LT_RE" hidden="1">"c6212"</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 hidden="1">"c6213"</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"c315"</definedName>
    <definedName name="IQ_DEFERRED_TAX_ASSETS_FFIEC" hidden="1">"c12843"</definedName>
    <definedName name="IQ_DEFERRED_TAX_ASSETS_T1_FFIEC" hidden="1">"c13141"</definedName>
    <definedName name="IQ_DEFERRED_TAX_LIAB_FFIEC" hidden="1">"c12870"</definedName>
    <definedName name="IQ_DEFERRED_TAXES" hidden="1">"c147"</definedName>
    <definedName name="IQ_DEMAND_DEP" hidden="1">"c320"</definedName>
    <definedName name="IQ_DEMAND_DEPOSITS_COMMERCIAL_BANK_SUBS_FFIEC" hidden="1">"c12945"</definedName>
    <definedName name="IQ_DEMAND_DEPOSITS_FDIC" hidden="1">"c6489"</definedName>
    <definedName name="IQ_DEMAND_DEPOSITS_TOT_DEPOSITS_FFIEC" hidden="1">"c13902"</definedName>
    <definedName name="IQ_DEPOSIT_ACCOUNTS_LESS_THAN_100K_FDIC" hidden="1">"c6494"</definedName>
    <definedName name="IQ_DEPOSIT_ACCOUNTS_MORE_THAN_100K_FDIC" hidden="1">"c6492"</definedName>
    <definedName name="IQ_DEPOSITORY_INST_ACCEPTANCES_LL_REC_DOM_FFIEC" hidden="1">"c12908"</definedName>
    <definedName name="IQ_DEPOSITORY_INST_GROSS_LOANS_FFIEC" hidden="1">"c13409"</definedName>
    <definedName name="IQ_DEPOSITORY_INST_RISK_BASED_FFIEC" hidden="1">"c13430"</definedName>
    <definedName name="IQ_DEPOSITORY_INSTITUTIONS_CHARGE_OFFS_FDIC" hidden="1">"c6596"</definedName>
    <definedName name="IQ_DEPOSITORY_INSTITUTIONS_NET_CHARGE_OFFS_FDIC" hidden="1">"c6634"</definedName>
    <definedName name="IQ_DEPOSITORY_INSTITUTIONS_RECOVERIES_FDIC" hidden="1">"c6615"</definedName>
    <definedName name="IQ_DEPOSITS_100K_MORE_ASSETS_TOT_FFIEC" hidden="1">"c13444"</definedName>
    <definedName name="IQ_DEPOSITS_DOM_FFIEC" hidden="1">"c12850"</definedName>
    <definedName name="IQ_DEPOSITS_FAIR_VALUE_TOT_FFIEC" hidden="1">"c13213"</definedName>
    <definedName name="IQ_DEPOSITS_FIN" hidden="1">"c321"</definedName>
    <definedName name="IQ_DEPOSITS_FOREIGN_FFIEC" hidden="1">"c12853"</definedName>
    <definedName name="IQ_DEPOSITS_HELD_DOMESTIC_FDIC" hidden="1">"c6340"</definedName>
    <definedName name="IQ_DEPOSITS_HELD_FOREIGN_FDIC" hidden="1">"c6341"</definedName>
    <definedName name="IQ_DEPOSITS_INTEREST_SECURITIES" hidden="1">"c5509"</definedName>
    <definedName name="IQ_DEPOSITS_LESS_100K_COMMERCIAL_BANK_SUBS_FFIEC" hidden="1">"c12948"</definedName>
    <definedName name="IQ_DEPOSITS_LESS_THAN_100K_AFTER_THREE_YEARS_FDIC" hidden="1">"c6464"</definedName>
    <definedName name="IQ_DEPOSITS_LESS_THAN_100K_THREE_MONTHS_FDIC" hidden="1">"c6461"</definedName>
    <definedName name="IQ_DEPOSITS_LESS_THAN_100K_THREE_YEARS_FDIC" hidden="1">"c6463"</definedName>
    <definedName name="IQ_DEPOSITS_LESS_THAN_100K_TWELVE_MONTHS_FDIC" hidden="1">"c6462"</definedName>
    <definedName name="IQ_DEPOSITS_LEVEL_1_FFIEC" hidden="1">"c13221"</definedName>
    <definedName name="IQ_DEPOSITS_LEVEL_2_FFIEC" hidden="1">"c13229"</definedName>
    <definedName name="IQ_DEPOSITS_LEVEL_3_FFIEC" hidden="1">"c13237"</definedName>
    <definedName name="IQ_DEPOSITS_MORE_100K_COMMERCIAL_BANK_SUBS_FFIEC" hidden="1">"c12949"</definedName>
    <definedName name="IQ_DEPOSITS_MORE_THAN_100K_AFTER_THREE_YEARS_FDIC" hidden="1">"c6469"</definedName>
    <definedName name="IQ_DEPOSITS_MORE_THAN_100K_THREE_MONTHS_FDIC" hidden="1">"c6466"</definedName>
    <definedName name="IQ_DEPOSITS_MORE_THAN_100K_THREE_YEARS_FDIC" hidden="1">"c6468"</definedName>
    <definedName name="IQ_DEPOSITS_MORE_THAN_100K_TWELVE_MONTHS_FDIC" hidden="1">"c6467"</definedName>
    <definedName name="IQ_DEPRE_AMORT" hidden="1">"c247"</definedName>
    <definedName name="IQ_DEPRE_AMORT_SUPPL" hidden="1">"c1593"</definedName>
    <definedName name="IQ_DEPRE_DEPLE" hidden="1">"c261"</definedName>
    <definedName name="IQ_DEPRE_SUPP" hidden="1">"c1443"</definedName>
    <definedName name="IQ_DERIVATIVES_FDIC" hidden="1">"c6523"</definedName>
    <definedName name="IQ_DERIVATIVES_NEGATIVE_FAIR_VALUE_DOM_FFIEC" hidden="1">"c12943"</definedName>
    <definedName name="IQ_DERIVATIVES_NEGATIVE_VALUE_FFIEC" hidden="1">"c12861"</definedName>
    <definedName name="IQ_DERIVATIVES_POS_FAIR_VALUE_FFIEC" hidden="1">"c12827"</definedName>
    <definedName name="IQ_DERIVATIVES_POSITIVE_FAIR_VALUE_TRADING_DOM_FFIEC" hidden="1">"c12938"</definedName>
    <definedName name="IQ_DESCRIPTION_LONG" hidden="1">"c322"</definedName>
    <definedName name="IQ_DEVELOP_LAND" hidden="1">"c323"</definedName>
    <definedName name="IQ_DIC" hidden="1">"c13834"</definedName>
    <definedName name="IQ_DIFF_LASTCLOSE_TARGET_PRICE" hidden="1">"c1854"</definedName>
    <definedName name="IQ_DIFF_LASTCLOSE_TARGET_PRICE_CIQ" hidden="1">"c4767"</definedName>
    <definedName name="IQ_DIFF_LASTCLOSE_TARGET_PRICE_THOM" hidden="1">"c5278"</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OUTSTANDING_CURRENT_EST" hidden="1">"c4263"</definedName>
    <definedName name="IQ_DILUT_OUTSTANDING_CURRENT_HIGH_EST" hidden="1">"c4264"</definedName>
    <definedName name="IQ_DILUT_OUTSTANDING_CURRENT_LOW_EST" hidden="1">"c4265"</definedName>
    <definedName name="IQ_DILUT_OUTSTANDING_CURRENT_MEDIAN_EST" hidden="1">"c4266"</definedName>
    <definedName name="IQ_DILUT_OUTSTANDING_CURRENT_NUM_EST" hidden="1">"c4267"</definedName>
    <definedName name="IQ_DILUT_OUTSTANDING_CURRENT_STDDEV_EST" hidden="1">"c4268"</definedName>
    <definedName name="IQ_DILUT_WEIGHT" hidden="1">"c326"</definedName>
    <definedName name="IQ_DILUT_WEIGHT_EST" hidden="1">"c4269"</definedName>
    <definedName name="IQ_DILUT_WEIGHT_HIGH_EST" hidden="1">"c4271"</definedName>
    <definedName name="IQ_DILUT_WEIGHT_LOW_EST" hidden="1">"c4272"</definedName>
    <definedName name="IQ_DILUT_WEIGHT_MEDIAN_EST" hidden="1">"c4273"</definedName>
    <definedName name="IQ_DILUT_WEIGHT_NUM_EST" hidden="1">"c4274"</definedName>
    <definedName name="IQ_DILUT_WEIGHT_STDDEV_EST" hidden="1">"c4275"</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RECTORS_FEES_FFIEC" hidden="1">"c13049"</definedName>
    <definedName name="IQ_DISALLOWED_DEFERRED_TAX_ASSETS_FFIEC" hidden="1">"c13157"</definedName>
    <definedName name="IQ_DISALLOWED_GOODWILL_INTANGIBLE_ASSETS_FFIEC" hidden="1">"c13155"</definedName>
    <definedName name="IQ_DISALLOWED_GOODWILL_INTANGIBLES_T1_FFIEC" hidden="1">"c13137"</definedName>
    <definedName name="IQ_DISALLOWED_SERVICING_ASSETS_FFIEC" hidden="1">"c13156"</definedName>
    <definedName name="IQ_DISALLOWED_SERVICING_ASSETS_T1_FFIEC" hidden="1">"c13140"</definedName>
    <definedName name="IQ_DISCONT_OPER" hidden="1">"c333"</definedName>
    <definedName name="IQ_DISCOUNT_RATE_PENSION_DOMESTIC" hidden="1">"c327"</definedName>
    <definedName name="IQ_DISCOUNT_RATE_PENSION_FOREIGN" hidden="1">"c328"</definedName>
    <definedName name="IQ_DISPOSABLE_PERSONAL_INC" hidden="1">"c6850"</definedName>
    <definedName name="IQ_DISPOSABLE_PERSONAL_INC_APR" hidden="1">"c7510"</definedName>
    <definedName name="IQ_DISPOSABLE_PERSONAL_INC_APR_FC" hidden="1">"c8390"</definedName>
    <definedName name="IQ_DISPOSABLE_PERSONAL_INC_FC" hidden="1">"c7730"</definedName>
    <definedName name="IQ_DISPOSABLE_PERSONAL_INC_POP" hidden="1">"c7070"</definedName>
    <definedName name="IQ_DISPOSABLE_PERSONAL_INC_POP_FC" hidden="1">"c7950"</definedName>
    <definedName name="IQ_DISPOSABLE_PERSONAL_INC_REAL" hidden="1">"c11922"</definedName>
    <definedName name="IQ_DISPOSABLE_PERSONAL_INC_REAL_APR" hidden="1">"c11925"</definedName>
    <definedName name="IQ_DISPOSABLE_PERSONAL_INC_REAL_POP" hidden="1">"c11923"</definedName>
    <definedName name="IQ_DISPOSABLE_PERSONAL_INC_REAL_YOY" hidden="1">"c11924"</definedName>
    <definedName name="IQ_DISPOSABLE_PERSONAL_INC_SAAR" hidden="1">"c6851"</definedName>
    <definedName name="IQ_DISPOSABLE_PERSONAL_INC_SAAR_APR" hidden="1">"c7511"</definedName>
    <definedName name="IQ_DISPOSABLE_PERSONAL_INC_SAAR_APR_FC" hidden="1">"c8391"</definedName>
    <definedName name="IQ_DISPOSABLE_PERSONAL_INC_SAAR_FC" hidden="1">"c7731"</definedName>
    <definedName name="IQ_DISPOSABLE_PERSONAL_INC_SAAR_POP" hidden="1">"c7071"</definedName>
    <definedName name="IQ_DISPOSABLE_PERSONAL_INC_SAAR_POP_FC" hidden="1">"c7951"</definedName>
    <definedName name="IQ_DISPOSABLE_PERSONAL_INC_SAAR_USD_APR_FC" hidden="1">"c11805"</definedName>
    <definedName name="IQ_DISPOSABLE_PERSONAL_INC_SAAR_USD_FC" hidden="1">"c11802"</definedName>
    <definedName name="IQ_DISPOSABLE_PERSONAL_INC_SAAR_USD_POP_FC" hidden="1">"c11803"</definedName>
    <definedName name="IQ_DISPOSABLE_PERSONAL_INC_SAAR_USD_YOY_FC" hidden="1">"c11804"</definedName>
    <definedName name="IQ_DISPOSABLE_PERSONAL_INC_SAAR_YOY" hidden="1">"c7291"</definedName>
    <definedName name="IQ_DISPOSABLE_PERSONAL_INC_SAAR_YOY_FC" hidden="1">"c8171"</definedName>
    <definedName name="IQ_DISPOSABLE_PERSONAL_INC_USD_APR_FC" hidden="1">"c11801"</definedName>
    <definedName name="IQ_DISPOSABLE_PERSONAL_INC_USD_FC" hidden="1">"c11798"</definedName>
    <definedName name="IQ_DISPOSABLE_PERSONAL_INC_USD_POP_FC" hidden="1">"c11799"</definedName>
    <definedName name="IQ_DISPOSABLE_PERSONAL_INC_USD_YOY_FC" hidden="1">"c11800"</definedName>
    <definedName name="IQ_DISPOSABLE_PERSONAL_INC_YOY" hidden="1">"c7290"</definedName>
    <definedName name="IQ_DISPOSABLE_PERSONAL_INC_YOY_FC" hidden="1">"c8170"</definedName>
    <definedName name="IQ_DISTR_EXCESS_EARN" hidden="1">"c329"</definedName>
    <definedName name="IQ_DISTRIBUTABLE_CASH" hidden="1">"c3002"</definedName>
    <definedName name="IQ_DISTRIBUTABLE_CASH_ACT_OR_EST" hidden="1">"c4278"</definedName>
    <definedName name="IQ_DISTRIBUTABLE_CASH_ACT_OR_EST_CIQ" hidden="1">"c4803"</definedName>
    <definedName name="IQ_DISTRIBUTABLE_CASH_EST" hidden="1">"c4277"</definedName>
    <definedName name="IQ_DISTRIBUTABLE_CASH_HIGH_EST" hidden="1">"c4280"</definedName>
    <definedName name="IQ_DISTRIBUTABLE_CASH_LOW_EST" hidden="1">"c4281"</definedName>
    <definedName name="IQ_DISTRIBUTABLE_CASH_MEDIAN_EST" hidden="1">"c4282"</definedName>
    <definedName name="IQ_DISTRIBUTABLE_CASH_NUM_EST" hidden="1">"c4283"</definedName>
    <definedName name="IQ_DISTRIBUTABLE_CASH_PAYOUT" hidden="1">"c3005"</definedName>
    <definedName name="IQ_DISTRIBUTABLE_CASH_SHARE" hidden="1">"c3003"</definedName>
    <definedName name="IQ_DISTRIBUTABLE_CASH_SHARE_ACT_OR_EST" hidden="1">"c4286"</definedName>
    <definedName name="IQ_DISTRIBUTABLE_CASH_SHARE_ACT_OR_EST_CIQ" hidden="1">"c4811"</definedName>
    <definedName name="IQ_DISTRIBUTABLE_CASH_SHARE_EST" hidden="1">"c4285"</definedName>
    <definedName name="IQ_DISTRIBUTABLE_CASH_SHARE_HIGH_EST" hidden="1">"c4288"</definedName>
    <definedName name="IQ_DISTRIBUTABLE_CASH_SHARE_LOW_EST" hidden="1">"c4289"</definedName>
    <definedName name="IQ_DISTRIBUTABLE_CASH_SHARE_MEDIAN_EST" hidden="1">"c4290"</definedName>
    <definedName name="IQ_DISTRIBUTABLE_CASH_SHARE_NUM_EST" hidden="1">"c4291"</definedName>
    <definedName name="IQ_DISTRIBUTABLE_CASH_SHARE_STDDEV_EST" hidden="1">"c4292"</definedName>
    <definedName name="IQ_DISTRIBUTABLE_CASH_STDDEV_EST" hidden="1">"c4294"</definedName>
    <definedName name="IQ_DIV_AMOUNT" hidden="1">"c3041"</definedName>
    <definedName name="IQ_DIV_PAYMENT_DATE" hidden="1">"c2205"</definedName>
    <definedName name="IQ_DIV_PAYMENT_TYPE" hidden="1">"c12752"</definedName>
    <definedName name="IQ_DIV_RECORD_DATE" hidden="1">"c2204"</definedName>
    <definedName name="IQ_DIV_SHARE" hidden="1">"c330"</definedName>
    <definedName name="IQ_DIVEST_CF" hidden="1">"c331"</definedName>
    <definedName name="IQ_DIVID_SHARE" hidden="1">"c330"</definedName>
    <definedName name="IQ_DIVIDEND_EST" hidden="1">"c4296"</definedName>
    <definedName name="IQ_DIVIDEND_HIGH_EST" hidden="1">"c4297"</definedName>
    <definedName name="IQ_DIVIDEND_LOW_EST" hidden="1">"c4298"</definedName>
    <definedName name="IQ_DIVIDEND_MEDIAN_EST" hidden="1">"c4299"</definedName>
    <definedName name="IQ_DIVIDEND_NUM_EST" hidden="1">"c4300"</definedName>
    <definedName name="IQ_DIVIDEND_STDDEV_EST" hidden="1">"c4301"</definedName>
    <definedName name="IQ_DIVIDEND_YIELD" hidden="1">"c332"</definedName>
    <definedName name="IQ_DIVIDENDS_DECLARED_COMMON_FDIC" hidden="1">"c6659"</definedName>
    <definedName name="IQ_DIVIDENDS_DECLARED_COMMON_FFIEC" hidden="1">"c12969"</definedName>
    <definedName name="IQ_DIVIDENDS_DECLARED_PREFERRED_FDIC" hidden="1">"c6658"</definedName>
    <definedName name="IQ_DIVIDENDS_DECLARED_PREFERRED_FFIEC" hidden="1">"c12968"</definedName>
    <definedName name="IQ_DIVIDENDS_FDIC" hidden="1">"c6660"</definedName>
    <definedName name="IQ_DIVIDENDS_NET_INCOME_FFIEC" hidden="1">"c13349"</definedName>
    <definedName name="IQ_DIVIDENDS_PAID_DECLARED_PERIOD_COVERED" hidden="1">"c9960"</definedName>
    <definedName name="IQ_DIVIDENDS_PAID_DECLARED_PERIOD_GROUP" hidden="1">"c9946"</definedName>
    <definedName name="IQ_DNB_OTHER_EXP_INC_TAX_US" hidden="1">"c6787"</definedName>
    <definedName name="IQ_DO" hidden="1">"c333"</definedName>
    <definedName name="IQ_DO_ASSETS_CURRENT" hidden="1">"c334"</definedName>
    <definedName name="IQ_DO_ASSETS_LT" hidden="1">"c335"</definedName>
    <definedName name="IQ_DO_CF" hidden="1">"c336"</definedName>
    <definedName name="IQ_DOC_CLAUSE" hidden="1">"c6032"</definedName>
    <definedName name="IQ_DOM_OFFICE_DEPOSITS_TOT_DEPOSITS_FFIEC" hidden="1">"c13910"</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CAGR" hidden="1">"c6065"</definedName>
    <definedName name="IQ_DPS_10YR_ANN_GROWTH" hidden="1">"c337"</definedName>
    <definedName name="IQ_DPS_1YR_ANN_GROWTH" hidden="1">"c338"</definedName>
    <definedName name="IQ_DPS_2YR_ANN_CAGR" hidden="1">"c6066"</definedName>
    <definedName name="IQ_DPS_2YR_ANN_GROWTH" hidden="1">"c339"</definedName>
    <definedName name="IQ_DPS_3YR_ANN_CAGR" hidden="1">"c6067"</definedName>
    <definedName name="IQ_DPS_3YR_ANN_GROWTH" hidden="1">"c340"</definedName>
    <definedName name="IQ_DPS_5YR_ANN_CAGR" hidden="1">"c6068"</definedName>
    <definedName name="IQ_DPS_5YR_ANN_GROWTH" hidden="1">"c341"</definedName>
    <definedName name="IQ_DPS_7YR_ANN_CAGR" hidden="1">"c6069"</definedName>
    <definedName name="IQ_DPS_7YR_ANN_GROWTH" hidden="1">"c342"</definedName>
    <definedName name="IQ_DPS_ACT_OR_EST" hidden="1">"c2218"</definedName>
    <definedName name="IQ_DPS_ACT_OR_EST_THOM" hidden="1">"c5302"</definedName>
    <definedName name="IQ_DPS_DET_EST" hidden="1">"c12052"</definedName>
    <definedName name="IQ_DPS_DET_EST_CURRENCY" hidden="1">"c12459"</definedName>
    <definedName name="IQ_DPS_DET_EST_CURRENCY_THOM" hidden="1">"c12480"</definedName>
    <definedName name="IQ_DPS_DET_EST_DATE" hidden="1">"c12205"</definedName>
    <definedName name="IQ_DPS_DET_EST_DATE_THOM" hidden="1">"c12231"</definedName>
    <definedName name="IQ_DPS_DET_EST_INCL" hidden="1">"c12342"</definedName>
    <definedName name="IQ_DPS_DET_EST_INCL_THOM" hidden="1">"c12363"</definedName>
    <definedName name="IQ_DPS_DET_EST_ORIGIN" hidden="1">"c12578"</definedName>
    <definedName name="IQ_DPS_DET_EST_ORIGIN_THOM" hidden="1">"c12601"</definedName>
    <definedName name="IQ_DPS_DET_EST_THOM" hidden="1">"c12081"</definedName>
    <definedName name="IQ_DPS_EST" hidden="1">"c1674"</definedName>
    <definedName name="IQ_DPS_EST_BOTTOM_UP" hidden="1">"c5493"</definedName>
    <definedName name="IQ_DPS_EST_THOM" hidden="1">"c4013"</definedName>
    <definedName name="IQ_DPS_HIGH_EST" hidden="1">"c1676"</definedName>
    <definedName name="IQ_DPS_HIGH_EST_THOM" hidden="1">"c4015"</definedName>
    <definedName name="IQ_DPS_LOW_EST" hidden="1">"c1677"</definedName>
    <definedName name="IQ_DPS_LOW_EST_THOM" hidden="1">"c4016"</definedName>
    <definedName name="IQ_DPS_MEDIAN_EST" hidden="1">"c1675"</definedName>
    <definedName name="IQ_DPS_MEDIAN_EST_THOM" hidden="1">"c4014"</definedName>
    <definedName name="IQ_DPS_NUM_EST" hidden="1">"c1678"</definedName>
    <definedName name="IQ_DPS_NUM_EST_THOM" hidden="1">"c4017"</definedName>
    <definedName name="IQ_DPS_STDDEV_EST" hidden="1">"c1679"</definedName>
    <definedName name="IQ_DPS_STDDEV_EST_THOM" hidden="1">"c4018"</definedName>
    <definedName name="IQ_DURABLE_INVENTORIES" hidden="1">"c6853"</definedName>
    <definedName name="IQ_DURABLE_INVENTORIES_APR" hidden="1">"c7513"</definedName>
    <definedName name="IQ_DURABLE_INVENTORIES_APR_FC" hidden="1">"c8393"</definedName>
    <definedName name="IQ_DURABLE_INVENTORIES_FC" hidden="1">"c7733"</definedName>
    <definedName name="IQ_DURABLE_INVENTORIES_POP" hidden="1">"c7073"</definedName>
    <definedName name="IQ_DURABLE_INVENTORIES_POP_FC" hidden="1">"c7953"</definedName>
    <definedName name="IQ_DURABLE_INVENTORIES_YOY" hidden="1">"c7293"</definedName>
    <definedName name="IQ_DURABLE_INVENTORIES_YOY_FC" hidden="1">"c8173"</definedName>
    <definedName name="IQ_DURABLE_ORDERS" hidden="1">"c6854"</definedName>
    <definedName name="IQ_DURABLE_ORDERS_APR" hidden="1">"c7514"</definedName>
    <definedName name="IQ_DURABLE_ORDERS_APR_FC" hidden="1">"c8394"</definedName>
    <definedName name="IQ_DURABLE_ORDERS_FC" hidden="1">"c7734"</definedName>
    <definedName name="IQ_DURABLE_ORDERS_POP" hidden="1">"c7074"</definedName>
    <definedName name="IQ_DURABLE_ORDERS_POP_FC" hidden="1">"c7954"</definedName>
    <definedName name="IQ_DURABLE_ORDERS_YOY" hidden="1">"c7294"</definedName>
    <definedName name="IQ_DURABLE_ORDERS_YOY_FC" hidden="1">"c8174"</definedName>
    <definedName name="IQ_DURABLE_SHIPMENTS" hidden="1">"c6855"</definedName>
    <definedName name="IQ_DURABLE_SHIPMENTS_APR" hidden="1">"c7515"</definedName>
    <definedName name="IQ_DURABLE_SHIPMENTS_APR_FC" hidden="1">"c8395"</definedName>
    <definedName name="IQ_DURABLE_SHIPMENTS_FC" hidden="1">"c7735"</definedName>
    <definedName name="IQ_DURABLE_SHIPMENTS_POP" hidden="1">"c7075"</definedName>
    <definedName name="IQ_DURABLE_SHIPMENTS_POP_FC" hidden="1">"c7955"</definedName>
    <definedName name="IQ_DURABLE_SHIPMENTS_YOY" hidden="1">"c7295"</definedName>
    <definedName name="IQ_DURABLE_SHIPMENTS_YOY_FC" hidden="1">"c8175"</definedName>
    <definedName name="IQ_DURATION" hidden="1">"c2181"</definedName>
    <definedName name="IQ_EARNING_ASSET_YIELD" hidden="1">"c343"</definedName>
    <definedName name="IQ_EARNING_ASSETS_AVG_ASSETS_FFIEC" hidden="1">"c13354"</definedName>
    <definedName name="IQ_EARNING_ASSETS_FDIC" hidden="1">"c6360"</definedName>
    <definedName name="IQ_EARNING_ASSETS_QUARTERLY_AVG_FFIEC" hidden="1">"c13086"</definedName>
    <definedName name="IQ_EARNING_ASSETS_REPRICE_ASSETS_TOT_FFIEC" hidden="1">"c13451"</definedName>
    <definedName name="IQ_EARNING_ASSETS_YIELD_FDIC" hidden="1">"c6724"</definedName>
    <definedName name="IQ_EARNING_CO" hidden="1">"c344"</definedName>
    <definedName name="IQ_EARNING_CO_10YR_ANN_CAGR" hidden="1">"c6070"</definedName>
    <definedName name="IQ_EARNING_CO_10YR_ANN_GROWTH" hidden="1">"c345"</definedName>
    <definedName name="IQ_EARNING_CO_1YR_ANN_GROWTH" hidden="1">"c346"</definedName>
    <definedName name="IQ_EARNING_CO_2YR_ANN_CAGR" hidden="1">"c6071"</definedName>
    <definedName name="IQ_EARNING_CO_2YR_ANN_GROWTH" hidden="1">"c347"</definedName>
    <definedName name="IQ_EARNING_CO_3YR_ANN_CAGR" hidden="1">"c6072"</definedName>
    <definedName name="IQ_EARNING_CO_3YR_ANN_GROWTH" hidden="1">"c348"</definedName>
    <definedName name="IQ_EARNING_CO_5YR_ANN_CAGR" hidden="1">"c6073"</definedName>
    <definedName name="IQ_EARNING_CO_5YR_ANN_GROWTH" hidden="1">"c349"</definedName>
    <definedName name="IQ_EARNING_CO_7YR_ANN_CAGR" hidden="1">"c6074"</definedName>
    <definedName name="IQ_EARNING_CO_7YR_ANN_GROWTH" hidden="1">"c350"</definedName>
    <definedName name="IQ_EARNING_CO_MARGIN" hidden="1">"c351"</definedName>
    <definedName name="IQ_EARNINGS_ANNOUNCE_DATE" hidden="1">"c1649"</definedName>
    <definedName name="IQ_EARNINGS_ANNOUNCE_DATE_CIQ" hidden="1">"c4656"</definedName>
    <definedName name="IQ_EARNINGS_ANNOUNCE_DATE_REUT" hidden="1">"c5314"</definedName>
    <definedName name="IQ_EARNINGS_ANNOUNCE_DATE_THOM" hidden="1">"c5093"</definedName>
    <definedName name="IQ_EARNINGS_CO_FFIEC" hidden="1">"c13032"</definedName>
    <definedName name="IQ_EARNINGS_COVERAGE_LOSSES_FFIEC" hidden="1">"c13351"</definedName>
    <definedName name="IQ_EARNINGS_COVERAGE_NET_CHARGE_OFFS_FDIC" hidden="1">"c6735"</definedName>
    <definedName name="IQ_EARNINGS_LIFE_INSURANCE_FFIEC" hidden="1">"c13041"</definedName>
    <definedName name="IQ_EARNINGS_PERIOD_COVERED" hidden="1">"c9958"</definedName>
    <definedName name="IQ_EARNINGS_PERIOD_GROUP" hidden="1">"c9944"</definedName>
    <definedName name="IQ_EBIT" hidden="1">"c352"</definedName>
    <definedName name="IQ_EBIT_10YR_ANN_CAGR" hidden="1">"c6075"</definedName>
    <definedName name="IQ_EBIT_10YR_ANN_GROWTH" hidden="1">"c353"</definedName>
    <definedName name="IQ_EBIT_1YR_ANN_GROWTH" hidden="1">"c354"</definedName>
    <definedName name="IQ_EBIT_2YR_ANN_CAGR" hidden="1">"c6076"</definedName>
    <definedName name="IQ_EBIT_2YR_ANN_GROWTH" hidden="1">"c355"</definedName>
    <definedName name="IQ_EBIT_3YR_ANN_CAGR" hidden="1">"c6077"</definedName>
    <definedName name="IQ_EBIT_3YR_ANN_GROWTH" hidden="1">"c356"</definedName>
    <definedName name="IQ_EBIT_5YR_ANN_CAGR" hidden="1">"c6078"</definedName>
    <definedName name="IQ_EBIT_5YR_ANN_GROWTH" hidden="1">"c357"</definedName>
    <definedName name="IQ_EBIT_7YR_ANN_CAGR" hidden="1">"c6079"</definedName>
    <definedName name="IQ_EBIT_7YR_ANN_GROWTH" hidden="1">"c358"</definedName>
    <definedName name="IQ_EBIT_ACT_OR_EST" hidden="1">"c2219"</definedName>
    <definedName name="IQ_EBIT_ACT_OR_EST_THOM" hidden="1">"c5303"</definedName>
    <definedName name="IQ_EBIT_DET_EST" hidden="1">"c12053"</definedName>
    <definedName name="IQ_EBIT_DET_EST_CURRENCY" hidden="1">"c12460"</definedName>
    <definedName name="IQ_EBIT_DET_EST_CURRENCY_THOM" hidden="1">"c12481"</definedName>
    <definedName name="IQ_EBIT_DET_EST_DATE" hidden="1">"c12206"</definedName>
    <definedName name="IQ_EBIT_DET_EST_DATE_THOM" hidden="1">"c12232"</definedName>
    <definedName name="IQ_EBIT_DET_EST_INCL" hidden="1">"c12343"</definedName>
    <definedName name="IQ_EBIT_DET_EST_INCL_THOM" hidden="1">"c12364"</definedName>
    <definedName name="IQ_EBIT_DET_EST_ORIGIN" hidden="1">"c12579"</definedName>
    <definedName name="IQ_EBIT_DET_EST_ORIGIN_THOM" hidden="1">"c12602"</definedName>
    <definedName name="IQ_EBIT_DET_EST_THOM" hidden="1">"c12082"</definedName>
    <definedName name="IQ_EBIT_EQ_INC" hidden="1">"c3498"</definedName>
    <definedName name="IQ_EBIT_EQ_INC_EXCL_SBC" hidden="1">"c3502"</definedName>
    <definedName name="IQ_EBIT_EST" hidden="1">"c1681"</definedName>
    <definedName name="IQ_EBIT_EST_THOM" hidden="1">"c5105"</definedName>
    <definedName name="IQ_EBIT_EXCL_SBC" hidden="1">"c3082"</definedName>
    <definedName name="IQ_EBIT_GW_ACT_OR_EST" hidden="1">"c4306"</definedName>
    <definedName name="IQ_EBIT_GW_EST" hidden="1">"c4305"</definedName>
    <definedName name="IQ_EBIT_GW_HIGH_EST" hidden="1">"c4308"</definedName>
    <definedName name="IQ_EBIT_GW_LOW_EST" hidden="1">"c4309"</definedName>
    <definedName name="IQ_EBIT_GW_MEDIAN_EST" hidden="1">"c4310"</definedName>
    <definedName name="IQ_EBIT_GW_NUM_EST" hidden="1">"c4311"</definedName>
    <definedName name="IQ_EBIT_GW_STDDEV_EST" hidden="1">"c4312"</definedName>
    <definedName name="IQ_EBIT_HIGH_EST" hidden="1">"c1683"</definedName>
    <definedName name="IQ_EBIT_HIGH_EST_THOM" hidden="1">"c5107"</definedName>
    <definedName name="IQ_EBIT_INT" hidden="1">"c360"</definedName>
    <definedName name="IQ_EBIT_LOW_EST" hidden="1">"c1684"</definedName>
    <definedName name="IQ_EBIT_LOW_EST_THOM" hidden="1">"c5108"</definedName>
    <definedName name="IQ_EBIT_MARGIN" hidden="1">"c359"</definedName>
    <definedName name="IQ_EBIT_MEDIAN_EST" hidden="1">"c1682"</definedName>
    <definedName name="IQ_EBIT_MEDIAN_EST_THOM" hidden="1">"c5106"</definedName>
    <definedName name="IQ_EBIT_NUM_EST" hidden="1">"c1685"</definedName>
    <definedName name="IQ_EBIT_NUM_EST_THOM" hidden="1">"c5109"</definedName>
    <definedName name="IQ_EBIT_OVER_IE" hidden="1">"c360"</definedName>
    <definedName name="IQ_EBIT_SBC_ACT_OR_EST" hidden="1">"c4316"</definedName>
    <definedName name="IQ_EBIT_SBC_ACT_OR_EST_CIQ" hidden="1">"c4841"</definedName>
    <definedName name="IQ_EBIT_SBC_EST" hidden="1">"c4315"</definedName>
    <definedName name="IQ_EBIT_SBC_GW_ACT_OR_EST" hidden="1">"c4320"</definedName>
    <definedName name="IQ_EBIT_SBC_GW_ACT_OR_EST_CIQ" hidden="1">"c4845"</definedName>
    <definedName name="IQ_EBIT_SBC_GW_EST" hidden="1">"c4319"</definedName>
    <definedName name="IQ_EBIT_SBC_GW_HIGH_EST" hidden="1">"c4322"</definedName>
    <definedName name="IQ_EBIT_SBC_GW_LOW_EST" hidden="1">"c4323"</definedName>
    <definedName name="IQ_EBIT_SBC_GW_MEDIAN_EST" hidden="1">"c4324"</definedName>
    <definedName name="IQ_EBIT_SBC_GW_NUM_EST" hidden="1">"c4325"</definedName>
    <definedName name="IQ_EBIT_SBC_GW_STDDEV_EST" hidden="1">"c4326"</definedName>
    <definedName name="IQ_EBIT_SBC_HIGH_EST" hidden="1">"c4328"</definedName>
    <definedName name="IQ_EBIT_SBC_LOW_EST" hidden="1">"c4329"</definedName>
    <definedName name="IQ_EBIT_SBC_MEDIAN_EST" hidden="1">"c4330"</definedName>
    <definedName name="IQ_EBIT_SBC_NUM_EST" hidden="1">"c4331"</definedName>
    <definedName name="IQ_EBIT_SBC_STDDEV_EST" hidden="1">"c4332"</definedName>
    <definedName name="IQ_EBIT_STDDEV_EST" hidden="1">"c1686"</definedName>
    <definedName name="IQ_EBIT_STDDEV_EST_THOM" hidden="1">"c5110"</definedName>
    <definedName name="IQ_EBITA" hidden="1">"c1910"</definedName>
    <definedName name="IQ_EBITA_10YR_ANN_CAGR" hidden="1">"c6184"</definedName>
    <definedName name="IQ_EBITA_10YR_ANN_GROWTH" hidden="1">"c1954"</definedName>
    <definedName name="IQ_EBITA_1YR_ANN_GROWTH" hidden="1">"c1949"</definedName>
    <definedName name="IQ_EBITA_2YR_ANN_CAGR" hidden="1">"c6180"</definedName>
    <definedName name="IQ_EBITA_2YR_ANN_GROWTH" hidden="1">"c1950"</definedName>
    <definedName name="IQ_EBITA_3YR_ANN_CAGR" hidden="1">"c6181"</definedName>
    <definedName name="IQ_EBITA_3YR_ANN_GROWTH" hidden="1">"c1951"</definedName>
    <definedName name="IQ_EBITA_5YR_ANN_CAGR" hidden="1">"c6182"</definedName>
    <definedName name="IQ_EBITA_5YR_ANN_GROWTH" hidden="1">"c1952"</definedName>
    <definedName name="IQ_EBITA_7YR_ANN_CAGR" hidden="1">"c6183"</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YR_ANN_CAGR" hidden="1">"c6080"</definedName>
    <definedName name="IQ_EBITDA_10YR_ANN_GROWTH" hidden="1">"c362"</definedName>
    <definedName name="IQ_EBITDA_1YR_ANN_GROWTH" hidden="1">"c363"</definedName>
    <definedName name="IQ_EBITDA_2YR_ANN_CAGR" hidden="1">"c6081"</definedName>
    <definedName name="IQ_EBITDA_2YR_ANN_GROWTH" hidden="1">"c364"</definedName>
    <definedName name="IQ_EBITDA_3YR_ANN_CAGR" hidden="1">"c6082"</definedName>
    <definedName name="IQ_EBITDA_3YR_ANN_GROWTH" hidden="1">"c365"</definedName>
    <definedName name="IQ_EBITDA_5YR_ANN_CAGR" hidden="1">"c6083"</definedName>
    <definedName name="IQ_EBITDA_5YR_ANN_GROWTH" hidden="1">"c366"</definedName>
    <definedName name="IQ_EBITDA_7YR_ANN_CAGR" hidden="1">"c6084"</definedName>
    <definedName name="IQ_EBITDA_7YR_ANN_GROWTH" hidden="1">"c367"</definedName>
    <definedName name="IQ_EBITDA_ACT_OR_EST" hidden="1">"c2215"</definedName>
    <definedName name="IQ_EBITDA_ACT_OR_EST_CIQ" hidden="1">"c5060"</definedName>
    <definedName name="IQ_EBITDA_ACT_OR_EST_THOM" hidden="1">"c5300"</definedName>
    <definedName name="IQ_EBITDA_CAPEX_INT" hidden="1">"c368"</definedName>
    <definedName name="IQ_EBITDA_CAPEX_OVER_TOTAL_IE" hidden="1">"c368"</definedName>
    <definedName name="IQ_EBITDA_DET_EST" hidden="1">"c12054"</definedName>
    <definedName name="IQ_EBITDA_DET_EST_CURRENCY" hidden="1">"c12461"</definedName>
    <definedName name="IQ_EBITDA_DET_EST_CURRENCY_THOM" hidden="1">"c12482"</definedName>
    <definedName name="IQ_EBITDA_DET_EST_DATE" hidden="1">"c12207"</definedName>
    <definedName name="IQ_EBITDA_DET_EST_DATE_THOM" hidden="1">"c12233"</definedName>
    <definedName name="IQ_EBITDA_DET_EST_INCL" hidden="1">"c12344"</definedName>
    <definedName name="IQ_EBITDA_DET_EST_INCL_THOM" hidden="1">"c12365"</definedName>
    <definedName name="IQ_EBITDA_DET_EST_ORIGIN" hidden="1">"c12580"</definedName>
    <definedName name="IQ_EBITDA_DET_EST_ORIGIN_THOM" hidden="1">"c12603"</definedName>
    <definedName name="IQ_EBITDA_DET_EST_THOM" hidden="1">"c12083"</definedName>
    <definedName name="IQ_EBITDA_EQ_INC" hidden="1">"c3496"</definedName>
    <definedName name="IQ_EBITDA_EQ_INC_EXCL_SBC" hidden="1">"c3500"</definedName>
    <definedName name="IQ_EBITDA_EST" hidden="1">"c369"</definedName>
    <definedName name="IQ_EBITDA_EST_CIQ" hidden="1">"c3622"</definedName>
    <definedName name="IQ_EBITDA_EST_REUT" hidden="1">"c3640"</definedName>
    <definedName name="IQ_EBITDA_EST_THOM" hidden="1">"c3658"</definedName>
    <definedName name="IQ_EBITDA_EXCL_SBC" hidden="1">"c3081"</definedName>
    <definedName name="IQ_EBITDA_HIGH_EST" hidden="1">"c370"</definedName>
    <definedName name="IQ_EBITDA_HIGH_EST_CIQ" hidden="1">"c3624"</definedName>
    <definedName name="IQ_EBITDA_HIGH_EST_REUT" hidden="1">"c3642"</definedName>
    <definedName name="IQ_EBITDA_HIGH_EST_THOM" hidden="1">"c3660"</definedName>
    <definedName name="IQ_EBITDA_INT" hidden="1">"c373"</definedName>
    <definedName name="IQ_EBITDA_LOW_EST" hidden="1">"c371"</definedName>
    <definedName name="IQ_EBITDA_LOW_EST_CIQ" hidden="1">"c3625"</definedName>
    <definedName name="IQ_EBITDA_LOW_EST_REUT" hidden="1">"c3643"</definedName>
    <definedName name="IQ_EBITDA_LOW_EST_THOM" hidden="1">"c3661"</definedName>
    <definedName name="IQ_EBITDA_MARGIN" hidden="1">"c372"</definedName>
    <definedName name="IQ_EBITDA_MEDIAN_EST" hidden="1">"c1663"</definedName>
    <definedName name="IQ_EBITDA_MEDIAN_EST_CIQ" hidden="1">"c3623"</definedName>
    <definedName name="IQ_EBITDA_MEDIAN_EST_REUT" hidden="1">"c3641"</definedName>
    <definedName name="IQ_EBITDA_MEDIAN_EST_THOM" hidden="1">"c3659"</definedName>
    <definedName name="IQ_EBITDA_NUM_EST" hidden="1">"c374"</definedName>
    <definedName name="IQ_EBITDA_NUM_EST_CIQ" hidden="1">"c3626"</definedName>
    <definedName name="IQ_EBITDA_NUM_EST_REUT" hidden="1">"c3644"</definedName>
    <definedName name="IQ_EBITDA_NUM_EST_THOM" hidden="1">"c3662"</definedName>
    <definedName name="IQ_EBITDA_OVER_TOTAL_IE" hidden="1">"c373"</definedName>
    <definedName name="IQ_EBITDA_SBC_ACT_OR_EST" hidden="1">"c4337"</definedName>
    <definedName name="IQ_EBITDA_SBC_ACT_OR_EST_CIQ" hidden="1">"c4862"</definedName>
    <definedName name="IQ_EBITDA_SBC_EST" hidden="1">"c4336"</definedName>
    <definedName name="IQ_EBITDA_SBC_HIGH_EST" hidden="1">"c4339"</definedName>
    <definedName name="IQ_EBITDA_SBC_LOW_EST" hidden="1">"c4340"</definedName>
    <definedName name="IQ_EBITDA_SBC_MEDIAN_EST" hidden="1">"c4341"</definedName>
    <definedName name="IQ_EBITDA_SBC_NUM_EST" hidden="1">"c4342"</definedName>
    <definedName name="IQ_EBITDA_SBC_STDDEV_EST" hidden="1">"c4343"</definedName>
    <definedName name="IQ_EBITDA_STDDEV_EST" hidden="1">"c375"</definedName>
    <definedName name="IQ_EBITDA_STDDEV_EST_CIQ" hidden="1">"c3627"</definedName>
    <definedName name="IQ_EBITDA_STDDEV_EST_REUT" hidden="1">"c3645"</definedName>
    <definedName name="IQ_EBITDA_STDDEV_EST_THOM" hidden="1">"c3663"</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 hidden="1">"c6214"</definedName>
    <definedName name="IQ_EBT_EXCL_REIT" hidden="1">"c384"</definedName>
    <definedName name="IQ_EBT_EXCL_UTI" hidden="1">"c385"</definedName>
    <definedName name="IQ_EBT_FFIEC" hidden="1">"c13029"</definedName>
    <definedName name="IQ_EBT_FIN" hidden="1">"c386"</definedName>
    <definedName name="IQ_EBT_FTE_FFIEC" hidden="1">"c13037"</definedName>
    <definedName name="IQ_EBT_INCL_MARGIN" hidden="1">"c387"</definedName>
    <definedName name="IQ_EBT_INS" hidden="1">"c388"</definedName>
    <definedName name="IQ_EBT_RE" hidden="1">"c6215"</definedName>
    <definedName name="IQ_EBT_REIT" hidden="1">"c389"</definedName>
    <definedName name="IQ_EBT_SBC_ACT_OR_EST" hidden="1">"c4350"</definedName>
    <definedName name="IQ_EBT_SBC_ACT_OR_EST_CIQ" hidden="1">"c4875"</definedName>
    <definedName name="IQ_EBT_SBC_EST" hidden="1">"c4349"</definedName>
    <definedName name="IQ_EBT_SBC_GW_ACT_OR_EST" hidden="1">"c4354"</definedName>
    <definedName name="IQ_EBT_SBC_GW_ACT_OR_EST_CIQ" hidden="1">"c4879"</definedName>
    <definedName name="IQ_EBT_SBC_GW_EST" hidden="1">"c4353"</definedName>
    <definedName name="IQ_EBT_SBC_GW_HIGH_EST" hidden="1">"c4356"</definedName>
    <definedName name="IQ_EBT_SBC_GW_LOW_EST" hidden="1">"c4357"</definedName>
    <definedName name="IQ_EBT_SBC_GW_MEDIAN_EST" hidden="1">"c4358"</definedName>
    <definedName name="IQ_EBT_SBC_GW_NUM_EST" hidden="1">"c4359"</definedName>
    <definedName name="IQ_EBT_SBC_GW_STDDEV_EST" hidden="1">"c4360"</definedName>
    <definedName name="IQ_EBT_SBC_HIGH_EST" hidden="1">"c4362"</definedName>
    <definedName name="IQ_EBT_SBC_LOW_EST" hidden="1">"c4363"</definedName>
    <definedName name="IQ_EBT_SBC_MEDIAN_EST" hidden="1">"c4364"</definedName>
    <definedName name="IQ_EBT_SBC_NUM_EST" hidden="1">"c4365"</definedName>
    <definedName name="IQ_EBT_SBC_STDDEV_EST" hidden="1">"c4366"</definedName>
    <definedName name="IQ_EBT_SUBTOTAL_AP" hidden="1">"c8982"</definedName>
    <definedName name="IQ_EBT_UTI" hidden="1">"c390"</definedName>
    <definedName name="IQ_ECO_METRIC_6825_UNUSED" hidden="1">"c6825"</definedName>
    <definedName name="IQ_ECO_METRIC_6839_UNUSED" hidden="1">"c6839"</definedName>
    <definedName name="IQ_ECO_METRIC_6896_UNUSED" hidden="1">"c6896"</definedName>
    <definedName name="IQ_ECO_METRIC_6897_UNUSED" hidden="1">"c6897"</definedName>
    <definedName name="IQ_ECO_METRIC_6927" hidden="1">"c6927"</definedName>
    <definedName name="IQ_ECO_METRIC_6988_UNUSED" hidden="1">"c6988"</definedName>
    <definedName name="IQ_ECO_METRIC_7045_UNUSED" hidden="1">"c7045"</definedName>
    <definedName name="IQ_ECO_METRIC_7059_UNUSED" hidden="1">"c7059"</definedName>
    <definedName name="IQ_ECO_METRIC_7116_UNUSED" hidden="1">"c7116"</definedName>
    <definedName name="IQ_ECO_METRIC_7117_UNUSED" hidden="1">"c7117"</definedName>
    <definedName name="IQ_ECO_METRIC_7147" hidden="1">"c7147"</definedName>
    <definedName name="IQ_ECO_METRIC_7208_UNUSED" hidden="1">"c7208"</definedName>
    <definedName name="IQ_ECO_METRIC_7265_UNUSED" hidden="1">"c7265"</definedName>
    <definedName name="IQ_ECO_METRIC_7279_UNUSED" hidden="1">"c7279"</definedName>
    <definedName name="IQ_ECO_METRIC_7336_UNUSED" hidden="1">"c7336"</definedName>
    <definedName name="IQ_ECO_METRIC_7337_UNUSED" hidden="1">"c7337"</definedName>
    <definedName name="IQ_ECO_METRIC_7367" hidden="1">"c7367"</definedName>
    <definedName name="IQ_ECO_METRIC_7428_UNUSED" hidden="1">"c7428"</definedName>
    <definedName name="IQ_ECO_METRIC_7556_UNUSED" hidden="1">"c7556"</definedName>
    <definedName name="IQ_ECO_METRIC_7557_UNUSED" hidden="1">"c7557"</definedName>
    <definedName name="IQ_ECO_METRIC_7587" hidden="1">"c7587"</definedName>
    <definedName name="IQ_ECO_METRIC_7648_UNUSED" hidden="1">"c7648"</definedName>
    <definedName name="IQ_ECO_METRIC_7704" hidden="1">"c7704"</definedName>
    <definedName name="IQ_ECO_METRIC_7705_UNUSED" hidden="1">"c7705"</definedName>
    <definedName name="IQ_ECO_METRIC_7706" hidden="1">"c7706"</definedName>
    <definedName name="IQ_ECO_METRIC_7718" hidden="1">"c7718"</definedName>
    <definedName name="IQ_ECO_METRIC_7719_UNUSED" hidden="1">"c7719"</definedName>
    <definedName name="IQ_ECO_METRIC_7776_UNUSED" hidden="1">"c7776"</definedName>
    <definedName name="IQ_ECO_METRIC_7777_UNUSED" hidden="1">"c7777"</definedName>
    <definedName name="IQ_ECO_METRIC_7807" hidden="1">"c7807"</definedName>
    <definedName name="IQ_ECO_METRIC_7811" hidden="1">"c7811"</definedName>
    <definedName name="IQ_ECO_METRIC_7868_UNUSED" hidden="1">"c7868"</definedName>
    <definedName name="IQ_ECO_METRIC_7873" hidden="1">"c7873"</definedName>
    <definedName name="IQ_ECO_METRIC_7924" hidden="1">"c7924"</definedName>
    <definedName name="IQ_ECO_METRIC_7925_UNUSED" hidden="1">"c7925"</definedName>
    <definedName name="IQ_ECO_METRIC_7926" hidden="1">"c7926"</definedName>
    <definedName name="IQ_ECO_METRIC_7938" hidden="1">"c7938"</definedName>
    <definedName name="IQ_ECO_METRIC_7939_UNUSED" hidden="1">"c7939"</definedName>
    <definedName name="IQ_ECO_METRIC_7996_UNUSED" hidden="1">"c7996"</definedName>
    <definedName name="IQ_ECO_METRIC_7997_UNUSED" hidden="1">"c7997"</definedName>
    <definedName name="IQ_ECO_METRIC_8027" hidden="1">"c8027"</definedName>
    <definedName name="IQ_ECO_METRIC_8031" hidden="1">"c8031"</definedName>
    <definedName name="IQ_ECO_METRIC_8088_UNUSED" hidden="1">"c8088"</definedName>
    <definedName name="IQ_ECO_METRIC_8093" hidden="1">"c8093"</definedName>
    <definedName name="IQ_ECO_METRIC_8144" hidden="1">"c8144"</definedName>
    <definedName name="IQ_ECO_METRIC_8145_UNUSED" hidden="1">"c8145"</definedName>
    <definedName name="IQ_ECO_METRIC_8146" hidden="1">"c8146"</definedName>
    <definedName name="IQ_ECO_METRIC_8158" hidden="1">"c8158"</definedName>
    <definedName name="IQ_ECO_METRIC_8159_UNUSED" hidden="1">"c8159"</definedName>
    <definedName name="IQ_ECO_METRIC_8216_UNUSED" hidden="1">"c8216"</definedName>
    <definedName name="IQ_ECO_METRIC_8217_UNUSED" hidden="1">"c8217"</definedName>
    <definedName name="IQ_ECO_METRIC_8247" hidden="1">"c8247"</definedName>
    <definedName name="IQ_ECO_METRIC_8251" hidden="1">"c8251"</definedName>
    <definedName name="IQ_ECO_METRIC_8308_UNUSED" hidden="1">"c8308"</definedName>
    <definedName name="IQ_ECO_METRIC_8313" hidden="1">"c8313"</definedName>
    <definedName name="IQ_ECO_METRIC_8366" hidden="1">"c8366"</definedName>
    <definedName name="IQ_ECO_METRIC_8378" hidden="1">"c8378"</definedName>
    <definedName name="IQ_ECO_METRIC_8436_UNUSED" hidden="1">"c8436"</definedName>
    <definedName name="IQ_ECO_METRIC_8437_UNUSED" hidden="1">"c8437"</definedName>
    <definedName name="IQ_ECO_METRIC_8467" hidden="1">"c8467"</definedName>
    <definedName name="IQ_ECO_METRIC_8471" hidden="1">"c8471"</definedName>
    <definedName name="IQ_ECO_METRIC_8528_UNUSED" hidden="1">"c8528"</definedName>
    <definedName name="IQ_ECO_METRIC_8533" hidden="1">"c8533"</definedName>
    <definedName name="IQ_ECS_AUTHORIZED_SHARES" hidden="1">"c5583"</definedName>
    <definedName name="IQ_ECS_AUTHORIZED_SHARES_ABS" hidden="1">"c5597"</definedName>
    <definedName name="IQ_ECS_CONVERT_FACTOR" hidden="1">"c5581"</definedName>
    <definedName name="IQ_ECS_CONVERT_FACTOR_ABS" hidden="1">"c5595"</definedName>
    <definedName name="IQ_ECS_CONVERT_INTO" hidden="1">"c5580"</definedName>
    <definedName name="IQ_ECS_CONVERT_INTO_ABS" hidden="1">"c5594"</definedName>
    <definedName name="IQ_ECS_CONVERT_TYPE" hidden="1">"c5579"</definedName>
    <definedName name="IQ_ECS_CONVERT_TYPE_ABS" hidden="1">"c5593"</definedName>
    <definedName name="IQ_ECS_INACTIVE_DATE" hidden="1">"c5576"</definedName>
    <definedName name="IQ_ECS_INACTIVE_DATE_ABS" hidden="1">"c5590"</definedName>
    <definedName name="IQ_ECS_NAME" hidden="1">"c5571"</definedName>
    <definedName name="IQ_ECS_NAME_ABS" hidden="1">"c5585"</definedName>
    <definedName name="IQ_ECS_NUM_SHAREHOLDERS" hidden="1">"c5584"</definedName>
    <definedName name="IQ_ECS_NUM_SHAREHOLDERS_ABS" hidden="1">"c5598"</definedName>
    <definedName name="IQ_ECS_PAR_VALUE" hidden="1">"c5577"</definedName>
    <definedName name="IQ_ECS_PAR_VALUE_ABS" hidden="1">"c5591"</definedName>
    <definedName name="IQ_ECS_PAR_VALUE_CURRENCY" hidden="1">"c5578"</definedName>
    <definedName name="IQ_ECS_PAR_VALUE_CURRENCY_ABS" hidden="1">"c5592"</definedName>
    <definedName name="IQ_ECS_SHARES_OUT_BS_DATE" hidden="1">"c5572"</definedName>
    <definedName name="IQ_ECS_SHARES_OUT_BS_DATE_ABS" hidden="1">"c5586"</definedName>
    <definedName name="IQ_ECS_SHARES_OUT_FILING_DATE" hidden="1">"c5573"</definedName>
    <definedName name="IQ_ECS_SHARES_OUT_FILING_DATE_ABS" hidden="1">"c5587"</definedName>
    <definedName name="IQ_ECS_START_DATE" hidden="1">"c5575"</definedName>
    <definedName name="IQ_ECS_START_DATE_ABS" hidden="1">"c5589"</definedName>
    <definedName name="IQ_ECS_TYPE" hidden="1">"c5574"</definedName>
    <definedName name="IQ_ECS_TYPE_ABS" hidden="1">"c5588"</definedName>
    <definedName name="IQ_ECS_VOTING" hidden="1">"c5582"</definedName>
    <definedName name="IQ_ECS_VOTING_ABS" hidden="1">"c5596"</definedName>
    <definedName name="IQ_EFFECT_SPECIAL_CHARGE" hidden="1">"c1595"</definedName>
    <definedName name="IQ_EFFECT_TAX_RATE" hidden="1">"c1899"</definedName>
    <definedName name="IQ_EFFECTIVE_DATE" hidden="1">"c8966"</definedName>
    <definedName name="IQ_EFFICIENCY_RATIO" hidden="1">"c391"</definedName>
    <definedName name="IQ_EFFICIENCY_RATIO_FDIC" hidden="1">"c6736"</definedName>
    <definedName name="IQ_EMBEDDED_VAL_COVERED" hidden="1">"c9962"</definedName>
    <definedName name="IQ_EMBEDDED_VAL_COVERED_BEG" hidden="1">"c9957"</definedName>
    <definedName name="IQ_EMBEDDED_VAL_GROUP" hidden="1">"c9948"</definedName>
    <definedName name="IQ_EMBEDDED_VAL_GROUP_BEG" hidden="1">"c9943"</definedName>
    <definedName name="IQ_EMPLOY_COST_INDEX_BENEFITS" hidden="1">"c6857"</definedName>
    <definedName name="IQ_EMPLOY_COST_INDEX_BENEFITS_APR" hidden="1">"c7517"</definedName>
    <definedName name="IQ_EMPLOY_COST_INDEX_BENEFITS_APR_FC" hidden="1">"c8397"</definedName>
    <definedName name="IQ_EMPLOY_COST_INDEX_BENEFITS_FC" hidden="1">"c7737"</definedName>
    <definedName name="IQ_EMPLOY_COST_INDEX_BENEFITS_POP" hidden="1">"c7077"</definedName>
    <definedName name="IQ_EMPLOY_COST_INDEX_BENEFITS_POP_FC" hidden="1">"c7957"</definedName>
    <definedName name="IQ_EMPLOY_COST_INDEX_BENEFITS_YOY" hidden="1">"c7297"</definedName>
    <definedName name="IQ_EMPLOY_COST_INDEX_BENEFITS_YOY_FC" hidden="1">"c8177"</definedName>
    <definedName name="IQ_EMPLOY_COST_INDEX_COMP" hidden="1">"c6856"</definedName>
    <definedName name="IQ_EMPLOY_COST_INDEX_COMP_APR" hidden="1">"c7516"</definedName>
    <definedName name="IQ_EMPLOY_COST_INDEX_COMP_APR_FC" hidden="1">"c8396"</definedName>
    <definedName name="IQ_EMPLOY_COST_INDEX_COMP_FC" hidden="1">"c7736"</definedName>
    <definedName name="IQ_EMPLOY_COST_INDEX_COMP_POP" hidden="1">"c7076"</definedName>
    <definedName name="IQ_EMPLOY_COST_INDEX_COMP_POP_FC" hidden="1">"c7956"</definedName>
    <definedName name="IQ_EMPLOY_COST_INDEX_COMP_YOY" hidden="1">"c7296"</definedName>
    <definedName name="IQ_EMPLOY_COST_INDEX_COMP_YOY_FC" hidden="1">"c8176"</definedName>
    <definedName name="IQ_EMPLOY_COST_INDEX_WAGE_SALARY" hidden="1">"c6858"</definedName>
    <definedName name="IQ_EMPLOY_COST_INDEX_WAGE_SALARY_APR" hidden="1">"c7518"</definedName>
    <definedName name="IQ_EMPLOY_COST_INDEX_WAGE_SALARY_APR_FC" hidden="1">"c8398"</definedName>
    <definedName name="IQ_EMPLOY_COST_INDEX_WAGE_SALARY_FC" hidden="1">"c7738"</definedName>
    <definedName name="IQ_EMPLOY_COST_INDEX_WAGE_SALARY_POP" hidden="1">"c7078"</definedName>
    <definedName name="IQ_EMPLOY_COST_INDEX_WAGE_SALARY_POP_FC" hidden="1">"c7958"</definedName>
    <definedName name="IQ_EMPLOY_COST_INDEX_WAGE_SALARY_YOY" hidden="1">"c7298"</definedName>
    <definedName name="IQ_EMPLOY_COST_INDEX_WAGE_SALARY_YOY_FC" hidden="1">"c8178"</definedName>
    <definedName name="IQ_EMPLOYEES" hidden="1">"c392"</definedName>
    <definedName name="IQ_EMPLOYEES_FFIEC" hidden="1">"c13035"</definedName>
    <definedName name="IQ_ENTERPRISE_VALUE" hidden="1">"c84"</definedName>
    <definedName name="IQ_ENTITLEMENT_DET_EST" hidden="1">"c12044"</definedName>
    <definedName name="IQ_ENTITLEMENT_DET_EST_THOM" hidden="1">"c12072"</definedName>
    <definedName name="IQ_ENTREPRENEURAL_PROPERTY_INC" hidden="1">"c6859"</definedName>
    <definedName name="IQ_ENTREPRENEURAL_PROPERTY_INC_APR" hidden="1">"c7519"</definedName>
    <definedName name="IQ_ENTREPRENEURAL_PROPERTY_INC_APR_FC" hidden="1">"c8399"</definedName>
    <definedName name="IQ_ENTREPRENEURAL_PROPERTY_INC_FC" hidden="1">"c7739"</definedName>
    <definedName name="IQ_ENTREPRENEURAL_PROPERTY_INC_POP" hidden="1">"c7079"</definedName>
    <definedName name="IQ_ENTREPRENEURAL_PROPERTY_INC_POP_FC" hidden="1">"c7959"</definedName>
    <definedName name="IQ_ENTREPRENEURAL_PROPERTY_INC_YOY" hidden="1">"c7299"</definedName>
    <definedName name="IQ_ENTREPRENEURAL_PROPERTY_INC_YOY_FC" hidden="1">"c8179"</definedName>
    <definedName name="IQ_EPS_10YR_ANN_CAGR" hidden="1">"c6085"</definedName>
    <definedName name="IQ_EPS_10YR_ANN_GROWTH" hidden="1">"c393"</definedName>
    <definedName name="IQ_EPS_1YR_ANN_GROWTH" hidden="1">"c394"</definedName>
    <definedName name="IQ_EPS_2YR_ANN_CAGR" hidden="1">"c6086"</definedName>
    <definedName name="IQ_EPS_2YR_ANN_GROWTH" hidden="1">"c395"</definedName>
    <definedName name="IQ_EPS_3YR_ANN_CAGR" hidden="1">"c6087"</definedName>
    <definedName name="IQ_EPS_3YR_ANN_GROWTH" hidden="1">"c396"</definedName>
    <definedName name="IQ_EPS_5YR_ANN_CAGR" hidden="1">"c6088"</definedName>
    <definedName name="IQ_EPS_5YR_ANN_GROWTH" hidden="1">"c397"</definedName>
    <definedName name="IQ_EPS_7YR_ANN_CAGR" hidden="1">"c6089"</definedName>
    <definedName name="IQ_EPS_7YR_ANN_GROWTH" hidden="1">"c398"</definedName>
    <definedName name="IQ_EPS_ACT_OR_EST" hidden="1">"c2213"</definedName>
    <definedName name="IQ_EPS_ACT_OR_EST_CIQ" hidden="1">"c5058"</definedName>
    <definedName name="IQ_EPS_ACT_OR_EST_THOM" hidden="1">"c5298"</definedName>
    <definedName name="IQ_EPS_AP" hidden="1">"c8880"</definedName>
    <definedName name="IQ_EPS_AP_ABS" hidden="1">"c8899"</definedName>
    <definedName name="IQ_EPS_DET_EST" hidden="1">"c13571"</definedName>
    <definedName name="IQ_EPS_DET_EST_CURRENCY" hidden="1">"c13583"</definedName>
    <definedName name="IQ_EPS_DET_EST_CURRENCY_THOM" hidden="1">"c12484"</definedName>
    <definedName name="IQ_EPS_DET_EST_DATE" hidden="1">"c13575"</definedName>
    <definedName name="IQ_EPS_DET_EST_DATE_THOM" hidden="1">"c12235"</definedName>
    <definedName name="IQ_EPS_DET_EST_INCL" hidden="1">"c13587"</definedName>
    <definedName name="IQ_EPS_DET_EST_INCL_THOM" hidden="1">"c12367"</definedName>
    <definedName name="IQ_EPS_DET_EST_ORIGIN" hidden="1">"c13579"</definedName>
    <definedName name="IQ_EPS_DET_EST_ORIGIN_THOM" hidden="1">"c12605"</definedName>
    <definedName name="IQ_EPS_DET_EST_THOM" hidden="1">"c12085"</definedName>
    <definedName name="IQ_EPS_EST" hidden="1">"c399"</definedName>
    <definedName name="IQ_EPS_EST_BOTTOM_UP" hidden="1">"c5489"</definedName>
    <definedName name="IQ_EPS_EST_BOTTOM_UP_CIQ" hidden="1">"c12026"</definedName>
    <definedName name="IQ_EPS_EST_BOTTOM_UP_THOM" hidden="1">"c5647"</definedName>
    <definedName name="IQ_EPS_EST_CIQ" hidden="1">"c4994"</definedName>
    <definedName name="IQ_EPS_EST_REUT" hidden="1">"c5453"</definedName>
    <definedName name="IQ_EPS_EST_THOM" hidden="1">"c5290"</definedName>
    <definedName name="IQ_EPS_GW_ACT_OR_EST" hidden="1">"c2223"</definedName>
    <definedName name="IQ_EPS_GW_ACT_OR_EST_CIQ" hidden="1">"c5066"</definedName>
    <definedName name="IQ_EPS_GW_DET_EST" hidden="1">"c12056"</definedName>
    <definedName name="IQ_EPS_GW_DET_EST_CURRENCY" hidden="1">"c12463"</definedName>
    <definedName name="IQ_EPS_GW_DET_EST_CURRENCY_THOM" hidden="1">"c12485"</definedName>
    <definedName name="IQ_EPS_GW_DET_EST_DATE" hidden="1">"c12209"</definedName>
    <definedName name="IQ_EPS_GW_DET_EST_DATE_THOM" hidden="1">"c12236"</definedName>
    <definedName name="IQ_EPS_GW_DET_EST_INCL" hidden="1">"c12346"</definedName>
    <definedName name="IQ_EPS_GW_DET_EST_INCL_THOM" hidden="1">"c12368"</definedName>
    <definedName name="IQ_EPS_GW_DET_EST_ORIGIN" hidden="1">"c12582"</definedName>
    <definedName name="IQ_EPS_GW_DET_EST_ORIGIN_THOM" hidden="1">"c12606"</definedName>
    <definedName name="IQ_EPS_GW_DET_EST_THOM" hidden="1">"c12086"</definedName>
    <definedName name="IQ_EPS_GW_EST" hidden="1">"c1737"</definedName>
    <definedName name="IQ_EPS_GW_EST_BOTTOM_UP" hidden="1">"c5491"</definedName>
    <definedName name="IQ_EPS_GW_EST_BOTTOM_UP_CIQ" hidden="1">"c12028"</definedName>
    <definedName name="IQ_EPS_GW_EST_CIQ" hidden="1">"c4723"</definedName>
    <definedName name="IQ_EPS_GW_EST_THOM" hidden="1">"c5133"</definedName>
    <definedName name="IQ_EPS_GW_HIGH_EST" hidden="1">"c1739"</definedName>
    <definedName name="IQ_EPS_GW_HIGH_EST_CIQ" hidden="1">"c4725"</definedName>
    <definedName name="IQ_EPS_GW_HIGH_EST_THOM" hidden="1">"c5135"</definedName>
    <definedName name="IQ_EPS_GW_LOW_EST" hidden="1">"c1740"</definedName>
    <definedName name="IQ_EPS_GW_LOW_EST_CIQ" hidden="1">"c4726"</definedName>
    <definedName name="IQ_EPS_GW_LOW_EST_THOM" hidden="1">"c5136"</definedName>
    <definedName name="IQ_EPS_GW_MEDIAN_EST" hidden="1">"c1738"</definedName>
    <definedName name="IQ_EPS_GW_MEDIAN_EST_CIQ" hidden="1">"c4724"</definedName>
    <definedName name="IQ_EPS_GW_MEDIAN_EST_THOM" hidden="1">"c5134"</definedName>
    <definedName name="IQ_EPS_GW_NUM_EST" hidden="1">"c1741"</definedName>
    <definedName name="IQ_EPS_GW_NUM_EST_CIQ" hidden="1">"c4727"</definedName>
    <definedName name="IQ_EPS_GW_NUM_EST_THOM" hidden="1">"c5137"</definedName>
    <definedName name="IQ_EPS_GW_STDDEV_EST" hidden="1">"c1742"</definedName>
    <definedName name="IQ_EPS_GW_STDDEV_EST_CIQ" hidden="1">"c4728"</definedName>
    <definedName name="IQ_EPS_GW_STDDEV_EST_THOM" hidden="1">"c5138"</definedName>
    <definedName name="IQ_EPS_HIGH_EST" hidden="1">"c400"</definedName>
    <definedName name="IQ_EPS_HIGH_EST_CIQ" hidden="1">"c4995"</definedName>
    <definedName name="IQ_EPS_HIGH_EST_REUT" hidden="1">"c5454"</definedName>
    <definedName name="IQ_EPS_HIGH_EST_THOM" hidden="1">"c5291"</definedName>
    <definedName name="IQ_EPS_LOW_EST" hidden="1">"c401"</definedName>
    <definedName name="IQ_EPS_LOW_EST_CIQ" hidden="1">"c4996"</definedName>
    <definedName name="IQ_EPS_LOW_EST_REUT" hidden="1">"c5455"</definedName>
    <definedName name="IQ_EPS_LOW_EST_THOM" hidden="1">"c5292"</definedName>
    <definedName name="IQ_EPS_MEDIAN_EST" hidden="1">"c1661"</definedName>
    <definedName name="IQ_EPS_MEDIAN_EST_CIQ" hidden="1">"c4997"</definedName>
    <definedName name="IQ_EPS_MEDIAN_EST_REUT" hidden="1">"c5456"</definedName>
    <definedName name="IQ_EPS_MEDIAN_EST_THOM" hidden="1">"c5293"</definedName>
    <definedName name="IQ_EPS_NAME_AP" hidden="1">"c8918"</definedName>
    <definedName name="IQ_EPS_NAME_AP_ABS" hidden="1">"c8937"</definedName>
    <definedName name="IQ_EPS_NORM" hidden="1">"c1902"</definedName>
    <definedName name="IQ_EPS_NORM_DET_EST" hidden="1">"c12058"</definedName>
    <definedName name="IQ_EPS_NORM_DET_EST_CURRENCY" hidden="1">"c12465"</definedName>
    <definedName name="IQ_EPS_NORM_DET_EST_DATE" hidden="1">"c12211"</definedName>
    <definedName name="IQ_EPS_NORM_DET_EST_INCL" hidden="1">"c12348"</definedName>
    <definedName name="IQ_EPS_NORM_DET_EST_ORIGIN" hidden="1">"c12583"</definedName>
    <definedName name="IQ_EPS_NORM_DET_EST_ORIGIN_THOM" hidden="1">"c12607"</definedName>
    <definedName name="IQ_EPS_NORM_EST" hidden="1">"c2226"</definedName>
    <definedName name="IQ_EPS_NORM_EST_BOTTOM_UP" hidden="1">"c5490"</definedName>
    <definedName name="IQ_EPS_NORM_EST_BOTTOM_UP_CIQ" hidden="1">"c12027"</definedName>
    <definedName name="IQ_EPS_NORM_EST_CIQ" hidden="1">"c4667"</definedName>
    <definedName name="IQ_EPS_NORM_HIGH_EST" hidden="1">"c2228"</definedName>
    <definedName name="IQ_EPS_NORM_HIGH_EST_CIQ" hidden="1">"c4669"</definedName>
    <definedName name="IQ_EPS_NORM_LOW_EST" hidden="1">"c2229"</definedName>
    <definedName name="IQ_EPS_NORM_LOW_EST_CIQ" hidden="1">"c4670"</definedName>
    <definedName name="IQ_EPS_NORM_MEDIAN_EST" hidden="1">"c2227"</definedName>
    <definedName name="IQ_EPS_NORM_MEDIAN_EST_CIQ" hidden="1">"c4668"</definedName>
    <definedName name="IQ_EPS_NORM_NUM_EST" hidden="1">"c2230"</definedName>
    <definedName name="IQ_EPS_NORM_NUM_EST_CIQ" hidden="1">"c4671"</definedName>
    <definedName name="IQ_EPS_NORM_STDDEV_EST" hidden="1">"c2231"</definedName>
    <definedName name="IQ_EPS_NORM_STDDEV_EST_CIQ" hidden="1">"c4672"</definedName>
    <definedName name="IQ_EPS_NUM_EST" hidden="1">"c402"</definedName>
    <definedName name="IQ_EPS_NUM_EST_CIQ" hidden="1">"c4992"</definedName>
    <definedName name="IQ_EPS_NUM_EST_REUT" hidden="1">"c5451"</definedName>
    <definedName name="IQ_EPS_NUM_EST_THOM" hidden="1">"c5288"</definedName>
    <definedName name="IQ_EPS_REPORT_ACT_OR_EST" hidden="1">"c2224"</definedName>
    <definedName name="IQ_EPS_REPORT_ACT_OR_EST_CIQ" hidden="1">"c5067"</definedName>
    <definedName name="IQ_EPS_REPORT_ACT_OR_EST_THOM" hidden="1">"c5307"</definedName>
    <definedName name="IQ_EPS_REPORTED_DET_EST" hidden="1">"c12057"</definedName>
    <definedName name="IQ_EPS_REPORTED_DET_EST_CURRENCY" hidden="1">"c12464"</definedName>
    <definedName name="IQ_EPS_REPORTED_DET_EST_CURRENCY_THOM" hidden="1">"c12486"</definedName>
    <definedName name="IQ_EPS_REPORTED_DET_EST_DATE" hidden="1">"c12210"</definedName>
    <definedName name="IQ_EPS_REPORTED_DET_EST_DATE_THOM" hidden="1">"c12237"</definedName>
    <definedName name="IQ_EPS_REPORTED_DET_EST_INCL" hidden="1">"c12347"</definedName>
    <definedName name="IQ_EPS_REPORTED_DET_EST_INCL_THOM" hidden="1">"c12369"</definedName>
    <definedName name="IQ_EPS_REPORTED_DET_EST_ORIGIN" hidden="1">"c12772"</definedName>
    <definedName name="IQ_EPS_REPORTED_DET_EST_ORIGIN_THOM" hidden="1">"c13511"</definedName>
    <definedName name="IQ_EPS_REPORTED_DET_EST_THOM" hidden="1">"c12087"</definedName>
    <definedName name="IQ_EPS_REPORTED_EST" hidden="1">"c1744"</definedName>
    <definedName name="IQ_EPS_REPORTED_EST_BOTTOM_UP" hidden="1">"c5492"</definedName>
    <definedName name="IQ_EPS_REPORTED_EST_BOTTOM_UP_CIQ" hidden="1">"c12029"</definedName>
    <definedName name="IQ_EPS_REPORTED_EST_CIQ" hidden="1">"c4730"</definedName>
    <definedName name="IQ_EPS_REPORTED_EST_THOM" hidden="1">"c5140"</definedName>
    <definedName name="IQ_EPS_REPORTED_HIGH_EST" hidden="1">"c1746"</definedName>
    <definedName name="IQ_EPS_REPORTED_HIGH_EST_CIQ" hidden="1">"c4732"</definedName>
    <definedName name="IQ_EPS_REPORTED_HIGH_EST_THOM" hidden="1">"c5142"</definedName>
    <definedName name="IQ_EPS_REPORTED_LOW_EST" hidden="1">"c1747"</definedName>
    <definedName name="IQ_EPS_REPORTED_LOW_EST_CIQ" hidden="1">"c4733"</definedName>
    <definedName name="IQ_EPS_REPORTED_LOW_EST_THOM" hidden="1">"c5143"</definedName>
    <definedName name="IQ_EPS_REPORTED_MEDIAN_EST" hidden="1">"c1745"</definedName>
    <definedName name="IQ_EPS_REPORTED_MEDIAN_EST_CIQ" hidden="1">"c4731"</definedName>
    <definedName name="IQ_EPS_REPORTED_MEDIAN_EST_THOM" hidden="1">"c5141"</definedName>
    <definedName name="IQ_EPS_REPORTED_NUM_EST" hidden="1">"c1748"</definedName>
    <definedName name="IQ_EPS_REPORTED_NUM_EST_CIQ" hidden="1">"c4734"</definedName>
    <definedName name="IQ_EPS_REPORTED_NUM_EST_THOM" hidden="1">"c5144"</definedName>
    <definedName name="IQ_EPS_REPORTED_STDDEV_EST" hidden="1">"c1749"</definedName>
    <definedName name="IQ_EPS_REPORTED_STDDEV_EST_CIQ" hidden="1">"c4735"</definedName>
    <definedName name="IQ_EPS_REPORTED_STDDEV_EST_THOM" hidden="1">"c5145"</definedName>
    <definedName name="IQ_EPS_SBC_ACT_OR_EST" hidden="1">"c4376"</definedName>
    <definedName name="IQ_EPS_SBC_ACT_OR_EST_CIQ" hidden="1">"c4901"</definedName>
    <definedName name="IQ_EPS_SBC_EST" hidden="1">"c4375"</definedName>
    <definedName name="IQ_EPS_SBC_GW_ACT_OR_EST" hidden="1">"c4380"</definedName>
    <definedName name="IQ_EPS_SBC_GW_ACT_OR_EST_CIQ" hidden="1">"c4905"</definedName>
    <definedName name="IQ_EPS_SBC_GW_EST" hidden="1">"c4379"</definedName>
    <definedName name="IQ_EPS_SBC_GW_HIGH_EST" hidden="1">"c4382"</definedName>
    <definedName name="IQ_EPS_SBC_GW_LOW_EST" hidden="1">"c4383"</definedName>
    <definedName name="IQ_EPS_SBC_GW_MEDIAN_EST" hidden="1">"c4384"</definedName>
    <definedName name="IQ_EPS_SBC_GW_NUM_EST" hidden="1">"c4385"</definedName>
    <definedName name="IQ_EPS_SBC_GW_STDDEV_EST" hidden="1">"c4386"</definedName>
    <definedName name="IQ_EPS_SBC_HIGH_EST" hidden="1">"c4388"</definedName>
    <definedName name="IQ_EPS_SBC_LOW_EST" hidden="1">"c4389"</definedName>
    <definedName name="IQ_EPS_SBC_MEDIAN_EST" hidden="1">"c4390"</definedName>
    <definedName name="IQ_EPS_SBC_NUM_EST" hidden="1">"c4391"</definedName>
    <definedName name="IQ_EPS_SBC_STDDEV_EST" hidden="1">"c4392"</definedName>
    <definedName name="IQ_EPS_STDDEV_EST" hidden="1">"c403"</definedName>
    <definedName name="IQ_EPS_STDDEV_EST_CIQ" hidden="1">"c4993"</definedName>
    <definedName name="IQ_EPS_STDDEV_EST_REUT" hidden="1">"c5452"</definedName>
    <definedName name="IQ_EPS_STDDEV_EST_THOM" hidden="1">"c5289"</definedName>
    <definedName name="IQ_EQUITY_AFFIL" hidden="1">"c552"</definedName>
    <definedName name="IQ_EQUITY_AP" hidden="1">"c8887"</definedName>
    <definedName name="IQ_EQUITY_AP_ABS" hidden="1">"c8906"</definedName>
    <definedName name="IQ_EQUITY_ASSETS_TOT_FFIEC" hidden="1">"c13436"</definedName>
    <definedName name="IQ_EQUITY_BEG_EXCL_FFIEC" hidden="1">"c12957"</definedName>
    <definedName name="IQ_EQUITY_BEG_FFIEC" hidden="1">"c12959"</definedName>
    <definedName name="IQ_EQUITY_CAPITAL_ASSETS_FDIC" hidden="1">"c6744"</definedName>
    <definedName name="IQ_EQUITY_CAPITAL_QUARTERLY_AVG_FFIEC" hidden="1">"c13092"</definedName>
    <definedName name="IQ_EQUITY_ENDING_FFIEC" hidden="1">"c12973"</definedName>
    <definedName name="IQ_EQUITY_FDIC" hidden="1">"c6353"</definedName>
    <definedName name="IQ_EQUITY_INDEX_EXPOSURE_FFIEC" hidden="1">"c13060"</definedName>
    <definedName name="IQ_EQUITY_METHOD" hidden="1">"c404"</definedName>
    <definedName name="IQ_EQUITY_NAME_AP" hidden="1">"c8925"</definedName>
    <definedName name="IQ_EQUITY_NAME_AP_ABS" hidden="1">"c8944"</definedName>
    <definedName name="IQ_EQUITY_SEC_FAIR_VALUE_FFIEC" hidden="1">"c12805"</definedName>
    <definedName name="IQ_EQUITY_SEC_INVEST_SECURITIES_FFIEC" hidden="1">"c13463"</definedName>
    <definedName name="IQ_EQUITY_SECURITIES_FDIC" hidden="1">"c6304"</definedName>
    <definedName name="IQ_EQUITY_SECURITIES_WITHOUT_FAIR_VALUES_FFIEC" hidden="1">"c12846"</definedName>
    <definedName name="IQ_EQUITY_SECURITY_EXPOSURES_FDIC" hidden="1">"c6664"</definedName>
    <definedName name="IQ_EQV_OVER_BV" hidden="1">"c1596"</definedName>
    <definedName name="IQ_EQV_OVER_LTM_PRETAX_INC" hidden="1">"c739"</definedName>
    <definedName name="IQ_ESOP_DEBT" hidden="1">"c1597"</definedName>
    <definedName name="IQ_ESOP_DEBT_GUARANTEED_FFIEC" hidden="1">"c12971"</definedName>
    <definedName name="IQ_ESOP_OVER_TOTAL" hidden="1">"c13768"</definedName>
    <definedName name="IQ_EST_ACT_BV" hidden="1">"c5630"</definedName>
    <definedName name="IQ_EST_ACT_BV_SHARE" hidden="1">"c3549"</definedName>
    <definedName name="IQ_EST_ACT_BV_SHARE_THOM" hidden="1">"c4026"</definedName>
    <definedName name="IQ_EST_ACT_CAPEX" hidden="1">"c3546"</definedName>
    <definedName name="IQ_EST_ACT_CAPEX_THOM" hidden="1">"c5508"</definedName>
    <definedName name="IQ_EST_ACT_CASH_EPS" hidden="1">"c5637"</definedName>
    <definedName name="IQ_EST_ACT_CASH_EPS_THOM" hidden="1">"c5645"</definedName>
    <definedName name="IQ_EST_ACT_CASH_FLOW" hidden="1">"c4394"</definedName>
    <definedName name="IQ_EST_ACT_CASH_OPER" hidden="1">"c4395"</definedName>
    <definedName name="IQ_EST_ACT_CFPS" hidden="1">"c1673"</definedName>
    <definedName name="IQ_EST_ACT_CFPS_THOM" hidden="1">"c4012"</definedName>
    <definedName name="IQ_EST_ACT_DISTRIBUTABLE_CASH" hidden="1">"c4396"</definedName>
    <definedName name="IQ_EST_ACT_DISTRIBUTABLE_CASH_SHARE" hidden="1">"c4397"</definedName>
    <definedName name="IQ_EST_ACT_DPS" hidden="1">"c1680"</definedName>
    <definedName name="IQ_EST_ACT_DPS_THOM" hidden="1">"c4019"</definedName>
    <definedName name="IQ_EST_ACT_EBIT" hidden="1">"c1687"</definedName>
    <definedName name="IQ_EST_ACT_EBIT_GW" hidden="1">"c4398"</definedName>
    <definedName name="IQ_EST_ACT_EBIT_SBC" hidden="1">"c4399"</definedName>
    <definedName name="IQ_EST_ACT_EBIT_SBC_GW" hidden="1">"c4400"</definedName>
    <definedName name="IQ_EST_ACT_EBIT_THOM" hidden="1">"c5111"</definedName>
    <definedName name="IQ_EST_ACT_EBITDA" hidden="1">"c1664"</definedName>
    <definedName name="IQ_EST_ACT_EBITDA_CIQ" hidden="1">"c3667"</definedName>
    <definedName name="IQ_EST_ACT_EBITDA_SBC" hidden="1">"c4401"</definedName>
    <definedName name="IQ_EST_ACT_EBITDA_THOM" hidden="1">"c3998"</definedName>
    <definedName name="IQ_EST_ACT_EBT_SBC" hidden="1">"c4402"</definedName>
    <definedName name="IQ_EST_ACT_EBT_SBC_GW" hidden="1">"c4403"</definedName>
    <definedName name="IQ_EST_ACT_EPS" hidden="1">"c1648"</definedName>
    <definedName name="IQ_EST_ACT_EPS_CIQ" hidden="1">"c4998"</definedName>
    <definedName name="IQ_EST_ACT_EPS_GW" hidden="1">"c1743"</definedName>
    <definedName name="IQ_EST_ACT_EPS_GW_CIQ" hidden="1">"c4729"</definedName>
    <definedName name="IQ_EST_ACT_EPS_GW_THOM" hidden="1">"c5139"</definedName>
    <definedName name="IQ_EST_ACT_EPS_NORM" hidden="1">"c2232"</definedName>
    <definedName name="IQ_EST_ACT_EPS_NORM_CIQ" hidden="1">"c4673"</definedName>
    <definedName name="IQ_EST_ACT_EPS_REPORTED" hidden="1">"c1750"</definedName>
    <definedName name="IQ_EST_ACT_EPS_REPORTED_CIQ" hidden="1">"c4736"</definedName>
    <definedName name="IQ_EST_ACT_EPS_REPORTED_THOM" hidden="1">"c5146"</definedName>
    <definedName name="IQ_EST_ACT_EPS_SBC" hidden="1">"c4404"</definedName>
    <definedName name="IQ_EST_ACT_EPS_SBC_GW" hidden="1">"c4405"</definedName>
    <definedName name="IQ_EST_ACT_EPS_THOM" hidden="1">"c5294"</definedName>
    <definedName name="IQ_EST_ACT_FFO" hidden="1">"c4407"</definedName>
    <definedName name="IQ_EST_ACT_FFO_ADJ" hidden="1">"c4406"</definedName>
    <definedName name="IQ_EST_ACT_FFO_SHARE" hidden="1">"c1666"</definedName>
    <definedName name="IQ_EST_ACT_FFO_SHARE_THOM" hidden="1">"c4005"</definedName>
    <definedName name="IQ_EST_ACT_GROSS_MARGIN" hidden="1">"c5553"</definedName>
    <definedName name="IQ_EST_ACT_GROSS_MARGIN_THOM" hidden="1">"c5561"</definedName>
    <definedName name="IQ_EST_ACT_MAINT_CAPEX" hidden="1">"c4408"</definedName>
    <definedName name="IQ_EST_ACT_NAV" hidden="1">"c1757"</definedName>
    <definedName name="IQ_EST_ACT_NAV_SHARE" hidden="1">"c5608"</definedName>
    <definedName name="IQ_EST_ACT_NAV_THOM" hidden="1">"c5600"</definedName>
    <definedName name="IQ_EST_ACT_NET_DEBT" hidden="1">"c3545"</definedName>
    <definedName name="IQ_EST_ACT_NET_DEBT_THOM" hidden="1">"c4033"</definedName>
    <definedName name="IQ_EST_ACT_NI" hidden="1">"c1722"</definedName>
    <definedName name="IQ_EST_ACT_NI_GW" hidden="1">"c1729"</definedName>
    <definedName name="IQ_EST_ACT_NI_REPORTED" hidden="1">"c1736"</definedName>
    <definedName name="IQ_EST_ACT_NI_SBC" hidden="1">"c4409"</definedName>
    <definedName name="IQ_EST_ACT_NI_SBC_GW" hidden="1">"c4410"</definedName>
    <definedName name="IQ_EST_ACT_NI_THOM" hidden="1">"c5132"</definedName>
    <definedName name="IQ_EST_ACT_OPER_INC" hidden="1">"c1694"</definedName>
    <definedName name="IQ_EST_ACT_OPER_INC_THOM" hidden="1">"c5118"</definedName>
    <definedName name="IQ_EST_ACT_PRETAX_GW_INC" hidden="1">"c1708"</definedName>
    <definedName name="IQ_EST_ACT_PRETAX_INC" hidden="1">"c1701"</definedName>
    <definedName name="IQ_EST_ACT_PRETAX_INC_THOM" hidden="1">"c5125"</definedName>
    <definedName name="IQ_EST_ACT_PRETAX_REPORT_INC" hidden="1">"c1715"</definedName>
    <definedName name="IQ_EST_ACT_RECURRING_PROFIT" hidden="1">"c4411"</definedName>
    <definedName name="IQ_EST_ACT_RECURRING_PROFIT_SHARE" hidden="1">"c4412"</definedName>
    <definedName name="IQ_EST_ACT_RETURN_ASSETS" hidden="1">"c3547"</definedName>
    <definedName name="IQ_EST_ACT_RETURN_ASSETS_THOM" hidden="1">"c4040"</definedName>
    <definedName name="IQ_EST_ACT_RETURN_EQUITY" hidden="1">"c3548"</definedName>
    <definedName name="IQ_EST_ACT_RETURN_EQUITY_THOM" hidden="1">"c5287"</definedName>
    <definedName name="IQ_EST_ACT_REV" hidden="1">"c2113"</definedName>
    <definedName name="IQ_EST_ACT_REV_CIQ" hidden="1">"c3666"</definedName>
    <definedName name="IQ_EST_ACT_REV_THOM" hidden="1">"c3997"</definedName>
    <definedName name="IQ_EST_BV_SHARE_DIFF" hidden="1">"c4147"</definedName>
    <definedName name="IQ_EST_BV_SHARE_SURPRISE_PERCENT" hidden="1">"c4148"</definedName>
    <definedName name="IQ_EST_CAPEX_DIFF" hidden="1">"c4149"</definedName>
    <definedName name="IQ_EST_CAPEX_GROWTH_1YR" hidden="1">"c3588"</definedName>
    <definedName name="IQ_EST_CAPEX_GROWTH_1YR_THOM" hidden="1">"c5542"</definedName>
    <definedName name="IQ_EST_CAPEX_GROWTH_2YR" hidden="1">"c3589"</definedName>
    <definedName name="IQ_EST_CAPEX_GROWTH_2YR_THOM" hidden="1">"c5543"</definedName>
    <definedName name="IQ_EST_CAPEX_GROWTH_Q_1YR" hidden="1">"c3590"</definedName>
    <definedName name="IQ_EST_CAPEX_GROWTH_Q_1YR_THOM" hidden="1">"c5544"</definedName>
    <definedName name="IQ_EST_CAPEX_SEQ_GROWTH_Q" hidden="1">"c3591"</definedName>
    <definedName name="IQ_EST_CAPEX_SEQ_GROWTH_Q_THOM" hidden="1">"c5545"</definedName>
    <definedName name="IQ_EST_CAPEX_SURPRISE_PERCENT" hidden="1">"c4151"</definedName>
    <definedName name="IQ_EST_CASH_FLOW_DIFF" hidden="1">"c4152"</definedName>
    <definedName name="IQ_EST_CASH_FLOW_SURPRISE_PERCENT" hidden="1">"c4161"</definedName>
    <definedName name="IQ_EST_CASH_OPER_DIFF" hidden="1">"c4162"</definedName>
    <definedName name="IQ_EST_CASH_OPER_SURPRISE_PERCENT" hidden="1">"c4248"</definedName>
    <definedName name="IQ_EST_CFPS_DIFF" hidden="1">"c1871"</definedName>
    <definedName name="IQ_EST_CFPS_DIFF_THOM" hidden="1">"c5188"</definedName>
    <definedName name="IQ_EST_CFPS_GROWTH_1YR" hidden="1">"c1774"</definedName>
    <definedName name="IQ_EST_CFPS_GROWTH_1YR_THOM" hidden="1">"c5174"</definedName>
    <definedName name="IQ_EST_CFPS_GROWTH_2YR" hidden="1">"c1775"</definedName>
    <definedName name="IQ_EST_CFPS_GROWTH_2YR_THOM" hidden="1">"c5175"</definedName>
    <definedName name="IQ_EST_CFPS_GROWTH_Q_1YR" hidden="1">"c1776"</definedName>
    <definedName name="IQ_EST_CFPS_GROWTH_Q_1YR_THOM" hidden="1">"c5176"</definedName>
    <definedName name="IQ_EST_CFPS_SEQ_GROWTH_Q" hidden="1">"c1777"</definedName>
    <definedName name="IQ_EST_CFPS_SEQ_GROWTH_Q_THOM" hidden="1">"c5177"</definedName>
    <definedName name="IQ_EST_CFPS_SURPRISE_PERCENT" hidden="1">"c1872"</definedName>
    <definedName name="IQ_EST_CFPS_SURPRISE_PERCENT_THOM" hidden="1">"c5189"</definedName>
    <definedName name="IQ_EST_CURRENCY" hidden="1">"c2140"</definedName>
    <definedName name="IQ_EST_CURRENCY_CIQ" hidden="1">"c4769"</definedName>
    <definedName name="IQ_EST_CURRENCY_REUT" hidden="1">"c5437"</definedName>
    <definedName name="IQ_EST_CURRENCY_THOM" hidden="1">"c5280"</definedName>
    <definedName name="IQ_EST_DATE" hidden="1">"c1634"</definedName>
    <definedName name="IQ_EST_DATE_CIQ" hidden="1">"c4770"</definedName>
    <definedName name="IQ_EST_DATE_REUT" hidden="1">"c5438"</definedName>
    <definedName name="IQ_EST_DATE_THOM" hidden="1">"c5281"</definedName>
    <definedName name="IQ_EST_DISTRIBUTABLE_CASH_DIFF" hidden="1">"c4276"</definedName>
    <definedName name="IQ_EST_DISTRIBUTABLE_CASH_GROWTH_1YR" hidden="1">"c4413"</definedName>
    <definedName name="IQ_EST_DISTRIBUTABLE_CASH_GROWTH_2YR" hidden="1">"c4414"</definedName>
    <definedName name="IQ_EST_DISTRIBUTABLE_CASH_GROWTH_Q_1YR" hidden="1">"c4415"</definedName>
    <definedName name="IQ_EST_DISTRIBUTABLE_CASH_SEQ_GROWTH_Q" hidden="1">"c4416"</definedName>
    <definedName name="IQ_EST_DISTRIBUTABLE_CASH_SHARE_DIFF" hidden="1">"c4284"</definedName>
    <definedName name="IQ_EST_DISTRIBUTABLE_CASH_SHARE_GROWTH_1YR" hidden="1">"c4417"</definedName>
    <definedName name="IQ_EST_DISTRIBUTABLE_CASH_SHARE_GROWTH_2YR" hidden="1">"c4418"</definedName>
    <definedName name="IQ_EST_DISTRIBUTABLE_CASH_SHARE_GROWTH_Q_1YR" hidden="1">"c4419"</definedName>
    <definedName name="IQ_EST_DISTRIBUTABLE_CASH_SHARE_SEQ_GROWTH_Q" hidden="1">"c4420"</definedName>
    <definedName name="IQ_EST_DISTRIBUTABLE_CASH_SHARE_SURPRISE_PERCENT" hidden="1">"c4293"</definedName>
    <definedName name="IQ_EST_DISTRIBUTABLE_CASH_SURPRISE_PERCENT" hidden="1">"c4295"</definedName>
    <definedName name="IQ_EST_DPS_DIFF" hidden="1">"c1873"</definedName>
    <definedName name="IQ_EST_DPS_DIFF_THOM" hidden="1">"c5190"</definedName>
    <definedName name="IQ_EST_DPS_GROWTH_1YR" hidden="1">"c1778"</definedName>
    <definedName name="IQ_EST_DPS_GROWTH_1YR_THOM" hidden="1">"c5178"</definedName>
    <definedName name="IQ_EST_DPS_GROWTH_2YR" hidden="1">"c1779"</definedName>
    <definedName name="IQ_EST_DPS_GROWTH_2YR_THOM" hidden="1">"c5179"</definedName>
    <definedName name="IQ_EST_DPS_GROWTH_Q_1YR" hidden="1">"c1780"</definedName>
    <definedName name="IQ_EST_DPS_GROWTH_Q_1YR_THOM" hidden="1">"c5180"</definedName>
    <definedName name="IQ_EST_DPS_SEQ_GROWTH_Q" hidden="1">"c1781"</definedName>
    <definedName name="IQ_EST_DPS_SEQ_GROWTH_Q_THOM" hidden="1">"c5181"</definedName>
    <definedName name="IQ_EST_DPS_SURPRISE_PERCENT" hidden="1">"c1874"</definedName>
    <definedName name="IQ_EST_DPS_SURPRISE_PERCENT_THOM" hidden="1">"c5191"</definedName>
    <definedName name="IQ_EST_EBIT_DIFF" hidden="1">"c1875"</definedName>
    <definedName name="IQ_EST_EBIT_DIFF_THOM" hidden="1">"c5192"</definedName>
    <definedName name="IQ_EST_EBIT_GW_DIFF" hidden="1">"c4304"</definedName>
    <definedName name="IQ_EST_EBIT_GW_SURPRISE_PERCENT" hidden="1">"c4313"</definedName>
    <definedName name="IQ_EST_EBIT_SBC_DIFF" hidden="1">"c4314"</definedName>
    <definedName name="IQ_EST_EBIT_SBC_GW_DIFF" hidden="1">"c4318"</definedName>
    <definedName name="IQ_EST_EBIT_SBC_GW_SURPRISE_PERCENT" hidden="1">"c4327"</definedName>
    <definedName name="IQ_EST_EBIT_SBC_SURPRISE_PERCENT" hidden="1">"c4333"</definedName>
    <definedName name="IQ_EST_EBIT_SURPRISE_PERCENT" hidden="1">"c1876"</definedName>
    <definedName name="IQ_EST_EBIT_SURPRISE_PERCENT_THOM" hidden="1">"c5193"</definedName>
    <definedName name="IQ_EST_EBITDA_DIFF" hidden="1">"c1867"</definedName>
    <definedName name="IQ_EST_EBITDA_DIFF_CIQ" hidden="1">"c3719"</definedName>
    <definedName name="IQ_EST_EBITDA_DIFF_THOM" hidden="1">"c5184"</definedName>
    <definedName name="IQ_EST_EBITDA_GROWTH_1YR" hidden="1">"c1766"</definedName>
    <definedName name="IQ_EST_EBITDA_GROWTH_1YR_CIQ" hidden="1">"c3695"</definedName>
    <definedName name="IQ_EST_EBITDA_GROWTH_1YR_THOM" hidden="1">"c5161"</definedName>
    <definedName name="IQ_EST_EBITDA_GROWTH_2YR" hidden="1">"c1767"</definedName>
    <definedName name="IQ_EST_EBITDA_GROWTH_2YR_CIQ" hidden="1">"c3696"</definedName>
    <definedName name="IQ_EST_EBITDA_GROWTH_2YR_THOM" hidden="1">"c5162"</definedName>
    <definedName name="IQ_EST_EBITDA_GROWTH_Q_1YR" hidden="1">"c1768"</definedName>
    <definedName name="IQ_EST_EBITDA_GROWTH_Q_1YR_CIQ" hidden="1">"c3697"</definedName>
    <definedName name="IQ_EST_EBITDA_GROWTH_Q_1YR_THOM" hidden="1">"c5163"</definedName>
    <definedName name="IQ_EST_EBITDA_SBC_DIFF" hidden="1">"c4335"</definedName>
    <definedName name="IQ_EST_EBITDA_SBC_SURPRISE_PERCENT" hidden="1">"c4344"</definedName>
    <definedName name="IQ_EST_EBITDA_SEQ_GROWTH_Q" hidden="1">"c1769"</definedName>
    <definedName name="IQ_EST_EBITDA_SEQ_GROWTH_Q_CIQ" hidden="1">"c3698"</definedName>
    <definedName name="IQ_EST_EBITDA_SEQ_GROWTH_Q_THOM" hidden="1">"c5164"</definedName>
    <definedName name="IQ_EST_EBITDA_SURPRISE_PERCENT" hidden="1">"c1868"</definedName>
    <definedName name="IQ_EST_EBITDA_SURPRISE_PERCENT_CIQ" hidden="1">"c3720"</definedName>
    <definedName name="IQ_EST_EBITDA_SURPRISE_PERCENT_THOM" hidden="1">"c5185"</definedName>
    <definedName name="IQ_EST_EBT_SBC_DIFF" hidden="1">"c4348"</definedName>
    <definedName name="IQ_EST_EBT_SBC_GW_DIFF" hidden="1">"c4352"</definedName>
    <definedName name="IQ_EST_EBT_SBC_GW_SURPRISE_PERCENT" hidden="1">"c4361"</definedName>
    <definedName name="IQ_EST_EBT_SBC_SURPRISE_PERCENT" hidden="1">"c4367"</definedName>
    <definedName name="IQ_EST_EPS_DIFF" hidden="1">"c1864"</definedName>
    <definedName name="IQ_EST_EPS_DIFF_CIQ" hidden="1">"c4999"</definedName>
    <definedName name="IQ_EST_EPS_DIFF_THOM" hidden="1">"c5295"</definedName>
    <definedName name="IQ_EST_EPS_GROWTH_1YR" hidden="1">"c1636"</definedName>
    <definedName name="IQ_EST_EPS_GROWTH_1YR_CIQ" hidden="1">"c3628"</definedName>
    <definedName name="IQ_EST_EPS_GROWTH_1YR_REUT" hidden="1">"c3646"</definedName>
    <definedName name="IQ_EST_EPS_GROWTH_1YR_THOM" hidden="1">"c3664"</definedName>
    <definedName name="IQ_EST_EPS_GROWTH_2YR" hidden="1">"c1637"</definedName>
    <definedName name="IQ_EST_EPS_GROWTH_2YR_CIQ" hidden="1">"c3689"</definedName>
    <definedName name="IQ_EST_EPS_GROWTH_2YR_THOM" hidden="1">"c5154"</definedName>
    <definedName name="IQ_EST_EPS_GROWTH_5YR" hidden="1">"c1655"</definedName>
    <definedName name="IQ_EST_EPS_GROWTH_5YR_BOTTOM_UP" hidden="1">"c5487"</definedName>
    <definedName name="IQ_EST_EPS_GROWTH_5YR_BOTTOM_UP_CIQ" hidden="1">"c12024"</definedName>
    <definedName name="IQ_EST_EPS_GROWTH_5YR_CIQ" hidden="1">"c3615"</definedName>
    <definedName name="IQ_EST_EPS_GROWTH_5YR_HIGH" hidden="1">"c1657"</definedName>
    <definedName name="IQ_EST_EPS_GROWTH_5YR_HIGH_CIQ" hidden="1">"c4663"</definedName>
    <definedName name="IQ_EST_EPS_GROWTH_5YR_HIGH_THOM" hidden="1">"c5101"</definedName>
    <definedName name="IQ_EST_EPS_GROWTH_5YR_LOW" hidden="1">"c1658"</definedName>
    <definedName name="IQ_EST_EPS_GROWTH_5YR_LOW_CIQ" hidden="1">"c4664"</definedName>
    <definedName name="IQ_EST_EPS_GROWTH_5YR_LOW_THOM" hidden="1">"c5102"</definedName>
    <definedName name="IQ_EST_EPS_GROWTH_5YR_MEDIAN" hidden="1">"c1656"</definedName>
    <definedName name="IQ_EST_EPS_GROWTH_5YR_MEDIAN_CIQ" hidden="1">"c5480"</definedName>
    <definedName name="IQ_EST_EPS_GROWTH_5YR_MEDIAN_THOM" hidden="1">"c5100"</definedName>
    <definedName name="IQ_EST_EPS_GROWTH_5YR_NUM" hidden="1">"c1659"</definedName>
    <definedName name="IQ_EST_EPS_GROWTH_5YR_NUM_CIQ" hidden="1">"c4665"</definedName>
    <definedName name="IQ_EST_EPS_GROWTH_5YR_NUM_THOM" hidden="1">"c5103"</definedName>
    <definedName name="IQ_EST_EPS_GROWTH_5YR_REUT" hidden="1">"c3633"</definedName>
    <definedName name="IQ_EST_EPS_GROWTH_5YR_STDDEV" hidden="1">"c1660"</definedName>
    <definedName name="IQ_EST_EPS_GROWTH_5YR_STDDEV_CIQ" hidden="1">"c4666"</definedName>
    <definedName name="IQ_EST_EPS_GROWTH_5YR_STDDEV_THOM" hidden="1">"c5104"</definedName>
    <definedName name="IQ_EST_EPS_GROWTH_5YR_THOM" hidden="1">"c3651"</definedName>
    <definedName name="IQ_EST_EPS_GROWTH_Q_1YR" hidden="1">"c1641"</definedName>
    <definedName name="IQ_EST_EPS_GROWTH_Q_1YR_CIQ" hidden="1">"c4744"</definedName>
    <definedName name="IQ_EST_EPS_GROWTH_Q_1YR_REUT" hidden="1">"c5410"</definedName>
    <definedName name="IQ_EST_EPS_GROWTH_Q_1YR_THOM" hidden="1">"c5155"</definedName>
    <definedName name="IQ_EST_EPS_GW_DIFF" hidden="1">"c1891"</definedName>
    <definedName name="IQ_EST_EPS_GW_DIFF_CIQ" hidden="1">"c4761"</definedName>
    <definedName name="IQ_EST_EPS_GW_DIFF_THOM" hidden="1">"c5200"</definedName>
    <definedName name="IQ_EST_EPS_GW_SURPRISE_PERCENT" hidden="1">"c1892"</definedName>
    <definedName name="IQ_EST_EPS_GW_SURPRISE_PERCENT_CIQ" hidden="1">"c4762"</definedName>
    <definedName name="IQ_EST_EPS_GW_SURPRISE_PERCENT_THOM" hidden="1">"c5201"</definedName>
    <definedName name="IQ_EST_EPS_NORM_DIFF" hidden="1">"c2247"</definedName>
    <definedName name="IQ_EST_EPS_NORM_DIFF_CIQ" hidden="1">"c4745"</definedName>
    <definedName name="IQ_EST_EPS_NORM_SURPRISE_PERCENT" hidden="1">"c2248"</definedName>
    <definedName name="IQ_EST_EPS_NORM_SURPRISE_PERCENT_CIQ" hidden="1">"c4746"</definedName>
    <definedName name="IQ_EST_EPS_REPORT_DIFF" hidden="1">"c1893"</definedName>
    <definedName name="IQ_EST_EPS_REPORT_DIFF_CIQ" hidden="1">"c4763"</definedName>
    <definedName name="IQ_EST_EPS_REPORT_DIFF_THOM" hidden="1">"c5202"</definedName>
    <definedName name="IQ_EST_EPS_REPORT_SURPRISE_PERCENT" hidden="1">"c1894"</definedName>
    <definedName name="IQ_EST_EPS_REPORT_SURPRISE_PERCENT_CIQ" hidden="1">"c4764"</definedName>
    <definedName name="IQ_EST_EPS_REPORT_SURPRISE_PERCENT_THOM" hidden="1">"c5203"</definedName>
    <definedName name="IQ_EST_EPS_SBC_DIFF" hidden="1">"c4374"</definedName>
    <definedName name="IQ_EST_EPS_SBC_GW_DIFF" hidden="1">"c4378"</definedName>
    <definedName name="IQ_EST_EPS_SBC_GW_SURPRISE_PERCENT" hidden="1">"c4387"</definedName>
    <definedName name="IQ_EST_EPS_SBC_SURPRISE_PERCENT" hidden="1">"c4393"</definedName>
    <definedName name="IQ_EST_EPS_SEQ_GROWTH_Q" hidden="1">"c1764"</definedName>
    <definedName name="IQ_EST_EPS_SEQ_GROWTH_Q_CIQ" hidden="1">"c3690"</definedName>
    <definedName name="IQ_EST_EPS_SEQ_GROWTH_Q_THOM" hidden="1">"c5156"</definedName>
    <definedName name="IQ_EST_EPS_SURPRISE_PERCENT" hidden="1">"c1635"</definedName>
    <definedName name="IQ_EST_EPS_SURPRISE_PERCENT_CIQ" hidden="1">"c5000"</definedName>
    <definedName name="IQ_EST_EPS_SURPRISE_PERCENT_THOM" hidden="1">"c5296"</definedName>
    <definedName name="IQ_EST_FAIR_VALUE_MORT_SERVICING_ASSETS_FFIEC" hidden="1">"c12956"</definedName>
    <definedName name="IQ_EST_FFO_ADJ_DIFF" hidden="1">"c4433"</definedName>
    <definedName name="IQ_EST_FFO_ADJ_GROWTH_1YR" hidden="1">"c4421"</definedName>
    <definedName name="IQ_EST_FFO_ADJ_GROWTH_2YR" hidden="1">"c4422"</definedName>
    <definedName name="IQ_EST_FFO_ADJ_GROWTH_Q_1YR" hidden="1">"c4423"</definedName>
    <definedName name="IQ_EST_FFO_ADJ_SEQ_GROWTH_Q" hidden="1">"c4424"</definedName>
    <definedName name="IQ_EST_FFO_ADJ_SURPRISE_PERCENT" hidden="1">"c4442"</definedName>
    <definedName name="IQ_EST_FFO_DIFF" hidden="1">"c4444"</definedName>
    <definedName name="IQ_EST_FFO_GROWTH_1YR" hidden="1">"c4425"</definedName>
    <definedName name="IQ_EST_FFO_GROWTH_1YR_THOM" hidden="1">"c5170"</definedName>
    <definedName name="IQ_EST_FFO_GROWTH_2YR" hidden="1">"c4426"</definedName>
    <definedName name="IQ_EST_FFO_GROWTH_2YR_THOM" hidden="1">"c5171"</definedName>
    <definedName name="IQ_EST_FFO_GROWTH_Q_1YR" hidden="1">"c4427"</definedName>
    <definedName name="IQ_EST_FFO_GROWTH_Q_1YR_THOM" hidden="1">"c5172"</definedName>
    <definedName name="IQ_EST_FFO_SEQ_GROWTH_Q" hidden="1">"c4428"</definedName>
    <definedName name="IQ_EST_FFO_SEQ_GROWTH_Q_THOM" hidden="1">"c5173"</definedName>
    <definedName name="IQ_EST_FFO_SHARE_DIFF" hidden="1">"c1869"</definedName>
    <definedName name="IQ_EST_FFO_SHARE_DIFF_THOM" hidden="1">"c5186"</definedName>
    <definedName name="IQ_EST_FFO_SHARE_GROWTH_1YR" hidden="1">"c1770"</definedName>
    <definedName name="IQ_EST_FFO_SHARE_GROWTH_2YR" hidden="1">"c1771"</definedName>
    <definedName name="IQ_EST_FFO_SHARE_GROWTH_Q_1YR" hidden="1">"c1772"</definedName>
    <definedName name="IQ_EST_FFO_SHARE_SEQ_GROWTH_Q" hidden="1">"c1773"</definedName>
    <definedName name="IQ_EST_FFO_SHARE_SURPRISE_PERCENT" hidden="1">"c1870"</definedName>
    <definedName name="IQ_EST_FFO_SHARE_SURPRISE_PERCENT_THOM" hidden="1">"c5187"</definedName>
    <definedName name="IQ_EST_FFO_SURPRISE_PERCENT" hidden="1">"c4453"</definedName>
    <definedName name="IQ_EST_FOOTNOTE" hidden="1">"c4540"</definedName>
    <definedName name="IQ_EST_FOOTNOTE_CIQ" hidden="1">"c12022"</definedName>
    <definedName name="IQ_EST_FOOTNOTE_THOM" hidden="1">"c5313"</definedName>
    <definedName name="IQ_EST_MAINT_CAPEX_DIFF" hidden="1">"c4456"</definedName>
    <definedName name="IQ_EST_MAINT_CAPEX_GROWTH_1YR" hidden="1">"c4429"</definedName>
    <definedName name="IQ_EST_MAINT_CAPEX_GROWTH_2YR" hidden="1">"c4430"</definedName>
    <definedName name="IQ_EST_MAINT_CAPEX_GROWTH_Q_1YR" hidden="1">"c4431"</definedName>
    <definedName name="IQ_EST_MAINT_CAPEX_SEQ_GROWTH_Q" hidden="1">"c4432"</definedName>
    <definedName name="IQ_EST_MAINT_CAPEX_SURPRISE_PERCENT" hidden="1">"c4465"</definedName>
    <definedName name="IQ_EST_NAV_DIFF" hidden="1">"c1895"</definedName>
    <definedName name="IQ_EST_NAV_SHARE_SURPRISE_PERCENT" hidden="1">"c1896"</definedName>
    <definedName name="IQ_EST_NAV_SURPRISE_PERCENT" hidden="1">"c12040"</definedName>
    <definedName name="IQ_EST_NET_DEBT_DIFF" hidden="1">"c4466"</definedName>
    <definedName name="IQ_EST_NET_DEBT_SURPRISE_PERCENT" hidden="1">"c4468"</definedName>
    <definedName name="IQ_EST_NEXT_EARNINGS_DATE" hidden="1">"c13591"</definedName>
    <definedName name="IQ_EST_NI_DIFF" hidden="1">"c1885"</definedName>
    <definedName name="IQ_EST_NI_DIFF_THOM" hidden="1">"c5198"</definedName>
    <definedName name="IQ_EST_NI_GW_DIFF" hidden="1">"c1887"</definedName>
    <definedName name="IQ_EST_NI_GW_SURPRISE_PERCENT" hidden="1">"c1888"</definedName>
    <definedName name="IQ_EST_NI_REPORT_DIFF" hidden="1">"c1889"</definedName>
    <definedName name="IQ_EST_NI_REPORT_SURPRISE_PERCENT" hidden="1">"c1890"</definedName>
    <definedName name="IQ_EST_NI_SBC_DIFF" hidden="1">"c4472"</definedName>
    <definedName name="IQ_EST_NI_SBC_GW_DIFF" hidden="1">"c4476"</definedName>
    <definedName name="IQ_EST_NI_SBC_GW_SURPRISE_PERCENT" hidden="1">"c4485"</definedName>
    <definedName name="IQ_EST_NI_SBC_SURPRISE_PERCENT" hidden="1">"c4491"</definedName>
    <definedName name="IQ_EST_NI_SURPRISE_PERCENT" hidden="1">"c1886"</definedName>
    <definedName name="IQ_EST_NI_SURPRISE_PERCENT_THOM" hidden="1">"c5199"</definedName>
    <definedName name="IQ_EST_NUM_BUY" hidden="1">"c1759"</definedName>
    <definedName name="IQ_EST_NUM_HIGH_REC" hidden="1">"c5649"</definedName>
    <definedName name="IQ_EST_NUM_HIGH_REC_CIQ" hidden="1">"c3701"</definedName>
    <definedName name="IQ_EST_NUM_HIGH_REC_THOM" hidden="1">"c5166"</definedName>
    <definedName name="IQ_EST_NUM_HIGHEST_REC" hidden="1">"c5648"</definedName>
    <definedName name="IQ_EST_NUM_HIGHEST_REC_CIQ" hidden="1">"c3700"</definedName>
    <definedName name="IQ_EST_NUM_HIGHEST_REC_THOM" hidden="1">"c5165"</definedName>
    <definedName name="IQ_EST_NUM_HOLD" hidden="1">"c1761"</definedName>
    <definedName name="IQ_EST_NUM_LOW_REC" hidden="1">"c5651"</definedName>
    <definedName name="IQ_EST_NUM_LOW_REC_CIQ" hidden="1">"c3703"</definedName>
    <definedName name="IQ_EST_NUM_LOW_REC_THOM" hidden="1">"c5168"</definedName>
    <definedName name="IQ_EST_NUM_LOWEST_REC" hidden="1">"c5652"</definedName>
    <definedName name="IQ_EST_NUM_LOWEST_REC_CIQ" hidden="1">"c3704"</definedName>
    <definedName name="IQ_EST_NUM_LOWEST_REC_THOM" hidden="1">"c5169"</definedName>
    <definedName name="IQ_EST_NUM_NEUTRAL_REC" hidden="1">"c5650"</definedName>
    <definedName name="IQ_EST_NUM_NEUTRAL_REC_CIQ" hidden="1">"c3702"</definedName>
    <definedName name="IQ_EST_NUM_NEUTRAL_REC_THOM" hidden="1">"c5167"</definedName>
    <definedName name="IQ_EST_NUM_NO_OPINION" hidden="1">"c1758"</definedName>
    <definedName name="IQ_EST_NUM_NO_OPINION_CIQ" hidden="1">"c3699"</definedName>
    <definedName name="IQ_EST_NUM_OUTPERFORM" hidden="1">"c1760"</definedName>
    <definedName name="IQ_EST_NUM_SELL" hidden="1">"c1763"</definedName>
    <definedName name="IQ_EST_NUM_UNDERPERFORM" hidden="1">"c1762"</definedName>
    <definedName name="IQ_EST_OPER_INC_DIFF" hidden="1">"c1877"</definedName>
    <definedName name="IQ_EST_OPER_INC_DIFF_THOM" hidden="1">"c5194"</definedName>
    <definedName name="IQ_EST_OPER_INC_SURPRISE_PERCENT" hidden="1">"c1878"</definedName>
    <definedName name="IQ_EST_OPER_INC_SURPRISE_PERCENT_THOM" hidden="1">"c5195"</definedName>
    <definedName name="IQ_EST_PRE_TAX_DIFF" hidden="1">"c1879"</definedName>
    <definedName name="IQ_EST_PRE_TAX_DIFF_THOM" hidden="1">"c5196"</definedName>
    <definedName name="IQ_EST_PRE_TAX_GW_DIFF" hidden="1">"c1881"</definedName>
    <definedName name="IQ_EST_PRE_TAX_GW_SURPRISE_PERCENT" hidden="1">"c1882"</definedName>
    <definedName name="IQ_EST_PRE_TAX_REPORT_DIFF" hidden="1">"c1883"</definedName>
    <definedName name="IQ_EST_PRE_TAX_REPORT_SURPRISE_PERCENT" hidden="1">"c1884"</definedName>
    <definedName name="IQ_EST_PRE_TAX_SURPRISE_PERCENT" hidden="1">"c1880"</definedName>
    <definedName name="IQ_EST_PRE_TAX_SURPRISE_PERCENT_THOM" hidden="1">"c5197"</definedName>
    <definedName name="IQ_EST_RECURRING_PROFIT_SHARE_DIFF" hidden="1">"c4505"</definedName>
    <definedName name="IQ_EST_RECURRING_PROFIT_SHARE_SURPRISE_PERCENT" hidden="1">"c4515"</definedName>
    <definedName name="IQ_EST_REV_DIFF" hidden="1">"c1865"</definedName>
    <definedName name="IQ_EST_REV_DIFF_CIQ" hidden="1">"c3717"</definedName>
    <definedName name="IQ_EST_REV_DIFF_THOM" hidden="1">"c5182"</definedName>
    <definedName name="IQ_EST_REV_GROWTH_1YR" hidden="1">"c1638"</definedName>
    <definedName name="IQ_EST_REV_GROWTH_1YR_CIQ" hidden="1">"c3691"</definedName>
    <definedName name="IQ_EST_REV_GROWTH_1YR_THOM" hidden="1">"c5157"</definedName>
    <definedName name="IQ_EST_REV_GROWTH_2YR" hidden="1">"c1639"</definedName>
    <definedName name="IQ_EST_REV_GROWTH_2YR_CIQ" hidden="1">"c3692"</definedName>
    <definedName name="IQ_EST_REV_GROWTH_2YR_THOM" hidden="1">"c5158"</definedName>
    <definedName name="IQ_EST_REV_GROWTH_Q_1YR" hidden="1">"c1640"</definedName>
    <definedName name="IQ_EST_REV_GROWTH_Q_1YR_CIQ" hidden="1">"c3693"</definedName>
    <definedName name="IQ_EST_REV_GROWTH_Q_1YR_THOM" hidden="1">"c5159"</definedName>
    <definedName name="IQ_EST_REV_SEQ_GROWTH_Q" hidden="1">"c1765"</definedName>
    <definedName name="IQ_EST_REV_SEQ_GROWTH_Q_CIQ" hidden="1">"c3694"</definedName>
    <definedName name="IQ_EST_REV_SEQ_GROWTH_Q_THOM" hidden="1">"c5160"</definedName>
    <definedName name="IQ_EST_REV_SURPRISE_PERCENT" hidden="1">"c1866"</definedName>
    <definedName name="IQ_EST_REV_SURPRISE_PERCENT_CIQ" hidden="1">"c3718"</definedName>
    <definedName name="IQ_EST_REV_SURPRISE_PERCENT_THOM" hidden="1">"c5183"</definedName>
    <definedName name="IQ_EST_VENDOR" hidden="1">"c5564"</definedName>
    <definedName name="IQ_ESTIMATED_ASSESSABLE_DEPOSITS_FDIC" hidden="1">"c6490"</definedName>
    <definedName name="IQ_ESTIMATED_INSURED_DEPOSITS_FDIC" hidden="1">"c6491"</definedName>
    <definedName name="IQ_EV_OVER_EMPLOYEE" hidden="1">"c1225"</definedName>
    <definedName name="IQ_EV_OVER_LTM_EBIT" hidden="1">"c1221"</definedName>
    <definedName name="IQ_EV_OVER_LTM_EBITDA" hidden="1">"c1223"</definedName>
    <definedName name="IQ_EV_OVER_LTM_REVENUE" hidden="1">"c1227"</definedName>
    <definedName name="IQ_EVAL_DATE" hidden="1">"c2180"</definedName>
    <definedName name="IQ_EVENT_DATE" hidden="1">"c13819"</definedName>
    <definedName name="IQ_EVENT_ID" hidden="1">"c13818"</definedName>
    <definedName name="IQ_EVENT_TIME" hidden="1">"c13820"</definedName>
    <definedName name="IQ_EVENT_TYPE" hidden="1">"c13821"</definedName>
    <definedName name="IQ_EXCHANGE" hidden="1">"c405"</definedName>
    <definedName name="IQ_EXCISE_TAXES_EXCL_SALES" hidden="1">"c5515"</definedName>
    <definedName name="IQ_EXCISE_TAXES_INCL_SALES" hidden="1">"c5514"</definedName>
    <definedName name="IQ_EXERCISE_PRICE" hidden="1">"c406"</definedName>
    <definedName name="IQ_EXERCISED" hidden="1">"c406"</definedName>
    <definedName name="IQ_EXP_RETURN_PENSION_DOMESTIC" hidden="1">"c407"</definedName>
    <definedName name="IQ_EXP_RETURN_PENSION_FOREIGN" hidden="1">"c408"</definedName>
    <definedName name="IQ_EXPENSES_AP" hidden="1">"c8875"</definedName>
    <definedName name="IQ_EXPENSES_AP_ABS" hidden="1">"c8894"</definedName>
    <definedName name="IQ_EXPENSES_FIXED_ASSETS_FFIEC" hidden="1">"c13024"</definedName>
    <definedName name="IQ_EXPENSES_NAME_AP" hidden="1">"c8913"</definedName>
    <definedName name="IQ_EXPENSES_NAME_AP_ABS" hidden="1">"c8932"</definedName>
    <definedName name="IQ_EXPLORATION_EXPENDITURE_ALUM" hidden="1">"c9255"</definedName>
    <definedName name="IQ_EXPLORATION_EXPENDITURE_COAL" hidden="1">"c9827"</definedName>
    <definedName name="IQ_EXPLORATION_EXPENDITURE_COP" hidden="1">"c9202"</definedName>
    <definedName name="IQ_EXPLORATION_EXPENDITURE_DIAM" hidden="1">"c9679"</definedName>
    <definedName name="IQ_EXPLORATION_EXPENDITURE_GOLD" hidden="1">"c9040"</definedName>
    <definedName name="IQ_EXPLORATION_EXPENDITURE_IRON" hidden="1">"c9414"</definedName>
    <definedName name="IQ_EXPLORATION_EXPENDITURE_LEAD" hidden="1">"c9467"</definedName>
    <definedName name="IQ_EXPLORATION_EXPENDITURE_MANG" hidden="1">"c9520"</definedName>
    <definedName name="IQ_EXPLORATION_EXPENDITURE_MOLYB" hidden="1">"c9732"</definedName>
    <definedName name="IQ_EXPLORATION_EXPENDITURE_NICK" hidden="1">"c9308"</definedName>
    <definedName name="IQ_EXPLORATION_EXPENDITURE_PLAT" hidden="1">"c9146"</definedName>
    <definedName name="IQ_EXPLORATION_EXPENDITURE_SILVER" hidden="1">"c9093"</definedName>
    <definedName name="IQ_EXPLORATION_EXPENDITURE_TITAN" hidden="1">"c9573"</definedName>
    <definedName name="IQ_EXPLORATION_EXPENDITURE_URAN" hidden="1">"c9626"</definedName>
    <definedName name="IQ_EXPLORATION_EXPENDITURE_ZINC" hidden="1">"c9361"</definedName>
    <definedName name="IQ_EXPLORE_DRILL" hidden="1">"c409"</definedName>
    <definedName name="IQ_EXPLORE_DRILL_EXP_TOTAL" hidden="1">"c13850"</definedName>
    <definedName name="IQ_EXPORT_PRICE_INDEX" hidden="1">"c6860"</definedName>
    <definedName name="IQ_EXPORT_PRICE_INDEX_APR" hidden="1">"c7520"</definedName>
    <definedName name="IQ_EXPORT_PRICE_INDEX_APR_FC" hidden="1">"c8400"</definedName>
    <definedName name="IQ_EXPORT_PRICE_INDEX_FC" hidden="1">"c7740"</definedName>
    <definedName name="IQ_EXPORT_PRICE_INDEX_POP" hidden="1">"c7080"</definedName>
    <definedName name="IQ_EXPORT_PRICE_INDEX_POP_FC" hidden="1">"c7960"</definedName>
    <definedName name="IQ_EXPORT_PRICE_INDEX_YOY" hidden="1">"c7300"</definedName>
    <definedName name="IQ_EXPORT_PRICE_INDEX_YOY_FC" hidden="1">"c8180"</definedName>
    <definedName name="IQ_EXPORTS_APR_FC_UNUSED" hidden="1">"c8401"</definedName>
    <definedName name="IQ_EXPORTS_APR_UNUSED" hidden="1">"c7521"</definedName>
    <definedName name="IQ_EXPORTS_FACTOR_SERVICES" hidden="1">"c6862"</definedName>
    <definedName name="IQ_EXPORTS_FACTOR_SERVICES_APR" hidden="1">"c7522"</definedName>
    <definedName name="IQ_EXPORTS_FACTOR_SERVICES_APR_FC" hidden="1">"c8402"</definedName>
    <definedName name="IQ_EXPORTS_FACTOR_SERVICES_FC" hidden="1">"c7742"</definedName>
    <definedName name="IQ_EXPORTS_FACTOR_SERVICES_POP" hidden="1">"c7082"</definedName>
    <definedName name="IQ_EXPORTS_FACTOR_SERVICES_POP_FC" hidden="1">"c7962"</definedName>
    <definedName name="IQ_EXPORTS_FACTOR_SERVICES_SAAR" hidden="1">"c6863"</definedName>
    <definedName name="IQ_EXPORTS_FACTOR_SERVICES_SAAR_APR" hidden="1">"c7523"</definedName>
    <definedName name="IQ_EXPORTS_FACTOR_SERVICES_SAAR_APR_FC" hidden="1">"c8403"</definedName>
    <definedName name="IQ_EXPORTS_FACTOR_SERVICES_SAAR_FC" hidden="1">"c7743"</definedName>
    <definedName name="IQ_EXPORTS_FACTOR_SERVICES_SAAR_POP" hidden="1">"c7083"</definedName>
    <definedName name="IQ_EXPORTS_FACTOR_SERVICES_SAAR_POP_FC" hidden="1">"c7963"</definedName>
    <definedName name="IQ_EXPORTS_FACTOR_SERVICES_SAAR_USD_APR_FC" hidden="1">"c11817"</definedName>
    <definedName name="IQ_EXPORTS_FACTOR_SERVICES_SAAR_USD_FC" hidden="1">"c11814"</definedName>
    <definedName name="IQ_EXPORTS_FACTOR_SERVICES_SAAR_USD_POP_FC" hidden="1">"c11815"</definedName>
    <definedName name="IQ_EXPORTS_FACTOR_SERVICES_SAAR_USD_YOY_FC" hidden="1">"c11816"</definedName>
    <definedName name="IQ_EXPORTS_FACTOR_SERVICES_SAAR_YOY" hidden="1">"c7303"</definedName>
    <definedName name="IQ_EXPORTS_FACTOR_SERVICES_SAAR_YOY_FC" hidden="1">"c8183"</definedName>
    <definedName name="IQ_EXPORTS_FACTOR_SERVICES_USD_APR_FC" hidden="1">"c11813"</definedName>
    <definedName name="IQ_EXPORTS_FACTOR_SERVICES_USD_FC" hidden="1">"c11810"</definedName>
    <definedName name="IQ_EXPORTS_FACTOR_SERVICES_USD_POP_FC" hidden="1">"c11811"</definedName>
    <definedName name="IQ_EXPORTS_FACTOR_SERVICES_USD_YOY_FC" hidden="1">"c11812"</definedName>
    <definedName name="IQ_EXPORTS_FACTOR_SERVICES_YOY" hidden="1">"c7302"</definedName>
    <definedName name="IQ_EXPORTS_FACTOR_SERVICES_YOY_FC" hidden="1">"c8182"</definedName>
    <definedName name="IQ_EXPORTS_FC_UNUSED" hidden="1">"c7741"</definedName>
    <definedName name="IQ_EXPORTS_GOODS" hidden="1">"c6864"</definedName>
    <definedName name="IQ_EXPORTS_GOODS_APR" hidden="1">"c7524"</definedName>
    <definedName name="IQ_EXPORTS_GOODS_APR_FC" hidden="1">"c8404"</definedName>
    <definedName name="IQ_EXPORTS_GOODS_FC" hidden="1">"c7744"</definedName>
    <definedName name="IQ_EXPORTS_GOODS_NONFACTOR_SERVICES" hidden="1">"c6865"</definedName>
    <definedName name="IQ_EXPORTS_GOODS_NONFACTOR_SERVICES_APR" hidden="1">"c7525"</definedName>
    <definedName name="IQ_EXPORTS_GOODS_NONFACTOR_SERVICES_APR_FC" hidden="1">"c8405"</definedName>
    <definedName name="IQ_EXPORTS_GOODS_NONFACTOR_SERVICES_FC" hidden="1">"c7745"</definedName>
    <definedName name="IQ_EXPORTS_GOODS_NONFACTOR_SERVICES_POP" hidden="1">"c7085"</definedName>
    <definedName name="IQ_EXPORTS_GOODS_NONFACTOR_SERVICES_POP_FC" hidden="1">"c7965"</definedName>
    <definedName name="IQ_EXPORTS_GOODS_NONFACTOR_SERVICES_YOY" hidden="1">"c7305"</definedName>
    <definedName name="IQ_EXPORTS_GOODS_NONFACTOR_SERVICES_YOY_FC" hidden="1">"c8185"</definedName>
    <definedName name="IQ_EXPORTS_GOODS_POP" hidden="1">"c7084"</definedName>
    <definedName name="IQ_EXPORTS_GOODS_POP_FC" hidden="1">"c7964"</definedName>
    <definedName name="IQ_EXPORTS_GOODS_REAL" hidden="1">"c6973"</definedName>
    <definedName name="IQ_EXPORTS_GOODS_REAL_APR" hidden="1">"c7633"</definedName>
    <definedName name="IQ_EXPORTS_GOODS_REAL_APR_FC" hidden="1">"c8513"</definedName>
    <definedName name="IQ_EXPORTS_GOODS_REAL_FC" hidden="1">"c7853"</definedName>
    <definedName name="IQ_EXPORTS_GOODS_REAL_POP" hidden="1">"c7193"</definedName>
    <definedName name="IQ_EXPORTS_GOODS_REAL_POP_FC" hidden="1">"c8073"</definedName>
    <definedName name="IQ_EXPORTS_GOODS_REAL_SAAR" hidden="1">"c11930"</definedName>
    <definedName name="IQ_EXPORTS_GOODS_REAL_SAAR_APR" hidden="1">"c11933"</definedName>
    <definedName name="IQ_EXPORTS_GOODS_REAL_SAAR_APR_FC_UNUSED" hidden="1">"c8512"</definedName>
    <definedName name="IQ_EXPORTS_GOODS_REAL_SAAR_APR_UNUSED" hidden="1">"c7632"</definedName>
    <definedName name="IQ_EXPORTS_GOODS_REAL_SAAR_FC_UNUSED" hidden="1">"c7852"</definedName>
    <definedName name="IQ_EXPORTS_GOODS_REAL_SAAR_POP" hidden="1">"c11931"</definedName>
    <definedName name="IQ_EXPORTS_GOODS_REAL_SAAR_POP_FC_UNUSED" hidden="1">"c8072"</definedName>
    <definedName name="IQ_EXPORTS_GOODS_REAL_SAAR_POP_UNUSED" hidden="1">"c7192"</definedName>
    <definedName name="IQ_EXPORTS_GOODS_REAL_SAAR_UNUSED" hidden="1">"c6972"</definedName>
    <definedName name="IQ_EXPORTS_GOODS_REAL_SAAR_YOY" hidden="1">"c11932"</definedName>
    <definedName name="IQ_EXPORTS_GOODS_REAL_SAAR_YOY_FC_UNUSED" hidden="1">"c8292"</definedName>
    <definedName name="IQ_EXPORTS_GOODS_REAL_SAAR_YOY_UNUSED" hidden="1">"c7412"</definedName>
    <definedName name="IQ_EXPORTS_GOODS_REAL_YOY" hidden="1">"c7413"</definedName>
    <definedName name="IQ_EXPORTS_GOODS_REAL_YOY_FC" hidden="1">"c8293"</definedName>
    <definedName name="IQ_EXPORTS_GOODS_SERVICES" hidden="1">"c6866"</definedName>
    <definedName name="IQ_EXPORTS_GOODS_SERVICES_APR" hidden="1">"c7526"</definedName>
    <definedName name="IQ_EXPORTS_GOODS_SERVICES_APR_FC" hidden="1">"c8406"</definedName>
    <definedName name="IQ_EXPORTS_GOODS_SERVICES_FC" hidden="1">"c7746"</definedName>
    <definedName name="IQ_EXPORTS_GOODS_SERVICES_POP" hidden="1">"c7086"</definedName>
    <definedName name="IQ_EXPORTS_GOODS_SERVICES_POP_FC" hidden="1">"c7966"</definedName>
    <definedName name="IQ_EXPORTS_GOODS_SERVICES_REAL" hidden="1">"c6974"</definedName>
    <definedName name="IQ_EXPORTS_GOODS_SERVICES_REAL_APR" hidden="1">"c7634"</definedName>
    <definedName name="IQ_EXPORTS_GOODS_SERVICES_REAL_APR_FC" hidden="1">"c8514"</definedName>
    <definedName name="IQ_EXPORTS_GOODS_SERVICES_REAL_FC" hidden="1">"c7854"</definedName>
    <definedName name="IQ_EXPORTS_GOODS_SERVICES_REAL_POP" hidden="1">"c7194"</definedName>
    <definedName name="IQ_EXPORTS_GOODS_SERVICES_REAL_POP_FC" hidden="1">"c8074"</definedName>
    <definedName name="IQ_EXPORTS_GOODS_SERVICES_REAL_SAAR" hidden="1">"c6975"</definedName>
    <definedName name="IQ_EXPORTS_GOODS_SERVICES_REAL_SAAR_APR" hidden="1">"c7635"</definedName>
    <definedName name="IQ_EXPORTS_GOODS_SERVICES_REAL_SAAR_APR_FC" hidden="1">"c8515"</definedName>
    <definedName name="IQ_EXPORTS_GOODS_SERVICES_REAL_SAAR_FC" hidden="1">"c7855"</definedName>
    <definedName name="IQ_EXPORTS_GOODS_SERVICES_REAL_SAAR_POP" hidden="1">"c7195"</definedName>
    <definedName name="IQ_EXPORTS_GOODS_SERVICES_REAL_SAAR_POP_FC" hidden="1">"c8075"</definedName>
    <definedName name="IQ_EXPORTS_GOODS_SERVICES_REAL_SAAR_YOY" hidden="1">"c7415"</definedName>
    <definedName name="IQ_EXPORTS_GOODS_SERVICES_REAL_SAAR_YOY_FC" hidden="1">"c8295"</definedName>
    <definedName name="IQ_EXPORTS_GOODS_SERVICES_REAL_USD" hidden="1">"c11926"</definedName>
    <definedName name="IQ_EXPORTS_GOODS_SERVICES_REAL_USD_APR" hidden="1">"c11929"</definedName>
    <definedName name="IQ_EXPORTS_GOODS_SERVICES_REAL_USD_POP" hidden="1">"c11927"</definedName>
    <definedName name="IQ_EXPORTS_GOODS_SERVICES_REAL_USD_YOY" hidden="1">"c11928"</definedName>
    <definedName name="IQ_EXPORTS_GOODS_SERVICES_REAL_YOY" hidden="1">"c7414"</definedName>
    <definedName name="IQ_EXPORTS_GOODS_SERVICES_REAL_YOY_FC" hidden="1">"c8294"</definedName>
    <definedName name="IQ_EXPORTS_GOODS_SERVICES_SAAR" hidden="1">"c6867"</definedName>
    <definedName name="IQ_EXPORTS_GOODS_SERVICES_SAAR_APR" hidden="1">"c7527"</definedName>
    <definedName name="IQ_EXPORTS_GOODS_SERVICES_SAAR_APR_FC" hidden="1">"c8407"</definedName>
    <definedName name="IQ_EXPORTS_GOODS_SERVICES_SAAR_FC" hidden="1">"c7747"</definedName>
    <definedName name="IQ_EXPORTS_GOODS_SERVICES_SAAR_POP" hidden="1">"c7087"</definedName>
    <definedName name="IQ_EXPORTS_GOODS_SERVICES_SAAR_POP_FC" hidden="1">"c7967"</definedName>
    <definedName name="IQ_EXPORTS_GOODS_SERVICES_SAAR_YOY" hidden="1">"c7307"</definedName>
    <definedName name="IQ_EXPORTS_GOODS_SERVICES_SAAR_YOY_FC" hidden="1">"c8187"</definedName>
    <definedName name="IQ_EXPORTS_GOODS_SERVICES_USD" hidden="1">"c11822"</definedName>
    <definedName name="IQ_EXPORTS_GOODS_SERVICES_USD_APR" hidden="1">"c11825"</definedName>
    <definedName name="IQ_EXPORTS_GOODS_SERVICES_USD_POP" hidden="1">"c11823"</definedName>
    <definedName name="IQ_EXPORTS_GOODS_SERVICES_USD_YOY" hidden="1">"c11824"</definedName>
    <definedName name="IQ_EXPORTS_GOODS_SERVICES_YOY" hidden="1">"c7306"</definedName>
    <definedName name="IQ_EXPORTS_GOODS_SERVICES_YOY_FC" hidden="1">"c8186"</definedName>
    <definedName name="IQ_EXPORTS_GOODS_USD" hidden="1">"c11818"</definedName>
    <definedName name="IQ_EXPORTS_GOODS_USD_APR" hidden="1">"c11821"</definedName>
    <definedName name="IQ_EXPORTS_GOODS_USD_POP" hidden="1">"c11819"</definedName>
    <definedName name="IQ_EXPORTS_GOODS_USD_YOY" hidden="1">"c11820"</definedName>
    <definedName name="IQ_EXPORTS_GOODS_YOY" hidden="1">"c7304"</definedName>
    <definedName name="IQ_EXPORTS_GOODS_YOY_FC" hidden="1">"c8184"</definedName>
    <definedName name="IQ_EXPORTS_NONFACTOR_SERVICES" hidden="1">"c6868"</definedName>
    <definedName name="IQ_EXPORTS_NONFACTOR_SERVICES_APR" hidden="1">"c7528"</definedName>
    <definedName name="IQ_EXPORTS_NONFACTOR_SERVICES_APR_FC" hidden="1">"c8408"</definedName>
    <definedName name="IQ_EXPORTS_NONFACTOR_SERVICES_FC" hidden="1">"c7748"</definedName>
    <definedName name="IQ_EXPORTS_NONFACTOR_SERVICES_POP" hidden="1">"c7088"</definedName>
    <definedName name="IQ_EXPORTS_NONFACTOR_SERVICES_POP_FC" hidden="1">"c7968"</definedName>
    <definedName name="IQ_EXPORTS_NONFACTOR_SERVICES_YOY" hidden="1">"c7308"</definedName>
    <definedName name="IQ_EXPORTS_NONFACTOR_SERVICES_YOY_FC" hidden="1">"c8188"</definedName>
    <definedName name="IQ_EXPORTS_POP_FC_UNUSED" hidden="1">"c7961"</definedName>
    <definedName name="IQ_EXPORTS_POP_UNUSED" hidden="1">"c7081"</definedName>
    <definedName name="IQ_EXPORTS_SERVICES_REAL" hidden="1">"c6977"</definedName>
    <definedName name="IQ_EXPORTS_SERVICES_REAL_APR" hidden="1">"c7637"</definedName>
    <definedName name="IQ_EXPORTS_SERVICES_REAL_APR_FC" hidden="1">"c8517"</definedName>
    <definedName name="IQ_EXPORTS_SERVICES_REAL_FC" hidden="1">"c7857"</definedName>
    <definedName name="IQ_EXPORTS_SERVICES_REAL_POP" hidden="1">"c7197"</definedName>
    <definedName name="IQ_EXPORTS_SERVICES_REAL_POP_FC" hidden="1">"c8077"</definedName>
    <definedName name="IQ_EXPORTS_SERVICES_REAL_SAAR" hidden="1">"c11934"</definedName>
    <definedName name="IQ_EXPORTS_SERVICES_REAL_SAAR_APR" hidden="1">"c11937"</definedName>
    <definedName name="IQ_EXPORTS_SERVICES_REAL_SAAR_APR_FC_UNUSED" hidden="1">"c8516"</definedName>
    <definedName name="IQ_EXPORTS_SERVICES_REAL_SAAR_APR_UNUSED" hidden="1">"c7636"</definedName>
    <definedName name="IQ_EXPORTS_SERVICES_REAL_SAAR_FC_UNUSED" hidden="1">"c7856"</definedName>
    <definedName name="IQ_EXPORTS_SERVICES_REAL_SAAR_POP" hidden="1">"c11935"</definedName>
    <definedName name="IQ_EXPORTS_SERVICES_REAL_SAAR_POP_FC_UNUSED" hidden="1">"c8076"</definedName>
    <definedName name="IQ_EXPORTS_SERVICES_REAL_SAAR_POP_UNUSED" hidden="1">"c7196"</definedName>
    <definedName name="IQ_EXPORTS_SERVICES_REAL_SAAR_UNUSED" hidden="1">"c6976"</definedName>
    <definedName name="IQ_EXPORTS_SERVICES_REAL_SAAR_YOY" hidden="1">"c11936"</definedName>
    <definedName name="IQ_EXPORTS_SERVICES_REAL_SAAR_YOY_FC_UNUSED" hidden="1">"c8296"</definedName>
    <definedName name="IQ_EXPORTS_SERVICES_REAL_SAAR_YOY_UNUSED" hidden="1">"c7416"</definedName>
    <definedName name="IQ_EXPORTS_SERVICES_REAL_YOY" hidden="1">"c7417"</definedName>
    <definedName name="IQ_EXPORTS_SERVICES_REAL_YOY_FC" hidden="1">"c8297"</definedName>
    <definedName name="IQ_EXPORTS_UNUSED" hidden="1">"c6861"</definedName>
    <definedName name="IQ_EXPORTS_USD" hidden="1">"c11806"</definedName>
    <definedName name="IQ_EXPORTS_USD_APR" hidden="1">"c11809"</definedName>
    <definedName name="IQ_EXPORTS_USD_POP" hidden="1">"c11807"</definedName>
    <definedName name="IQ_EXPORTS_USD_YOY" hidden="1">"c11808"</definedName>
    <definedName name="IQ_EXPORTS_YOY_FC_UNUSED" hidden="1">"c8181"</definedName>
    <definedName name="IQ_EXPORTS_YOY_UNUSED" hidden="1">"c7301"</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 hidden="1">"c6216"</definedName>
    <definedName name="IQ_EXTRA_ACC_ITEMS_REIT" hidden="1">"c415"</definedName>
    <definedName name="IQ_EXTRA_ACC_ITEMS_UTI" hidden="1">"c416"</definedName>
    <definedName name="IQ_EXTRA_AVG_ASSETS_FFIEC" hidden="1">"c13369"</definedName>
    <definedName name="IQ_EXTRA_ITEMS" hidden="1">"c413"</definedName>
    <definedName name="IQ_EXTRAORDINARY_GAINS_FDIC" hidden="1">"c6586"</definedName>
    <definedName name="IQ_EXTRAORDINARY_ITEMS_FFIEC" hidden="1">"c13033"</definedName>
    <definedName name="IQ_FAD" hidden="1">"c8757"</definedName>
    <definedName name="IQ_FAD_PAYOUT_RATIO" hidden="1">"c8872"</definedName>
    <definedName name="IQ_FAIR_VALUE_CHANGE_INCL_EARNINGS" hidden="1">"c13849"</definedName>
    <definedName name="IQ_FAIR_VALUE_FDIC" hidden="1">"c6427"</definedName>
    <definedName name="IQ_FARM_LOANS_NET_FDIC" hidden="1">"c6316"</definedName>
    <definedName name="IQ_FARM_LOANS_TOT_LOANS_FFIEC" hidden="1">"c13870"</definedName>
    <definedName name="IQ_FARM_LOANS_TOTAL_LOANS_FOREIGN_FDIC" hidden="1">"c6450"</definedName>
    <definedName name="IQ_FARMLAND_LOANS_FDIC" hidden="1">"c6314"</definedName>
    <definedName name="IQ_FDIC" hidden="1">"c417"</definedName>
    <definedName name="IQ_FDIC_DEPOSIT_INSURANCE_FFIEC" hidden="1">"c13053"</definedName>
    <definedName name="IQ_FED_BUDGET_RECEIPTS" hidden="1">"c6869"</definedName>
    <definedName name="IQ_FED_BUDGET_RECEIPTS_APR" hidden="1">"c7529"</definedName>
    <definedName name="IQ_FED_BUDGET_RECEIPTS_APR_FC" hidden="1">"c8409"</definedName>
    <definedName name="IQ_FED_BUDGET_RECEIPTS_FC" hidden="1">"c7749"</definedName>
    <definedName name="IQ_FED_BUDGET_RECEIPTS_POP" hidden="1">"c7089"</definedName>
    <definedName name="IQ_FED_BUDGET_RECEIPTS_POP_FC" hidden="1">"c7969"</definedName>
    <definedName name="IQ_FED_BUDGET_RECEIPTS_YOY" hidden="1">"c7309"</definedName>
    <definedName name="IQ_FED_BUDGET_RECEIPTS_YOY_FC" hidden="1">"c8189"</definedName>
    <definedName name="IQ_FED_FUNDS_PURCHASED_DOM_FFIEC" hidden="1">"c12856"</definedName>
    <definedName name="IQ_FED_FUNDS_PURCHASED_FDIC" hidden="1">"c6343"</definedName>
    <definedName name="IQ_FED_FUNDS_PURCHASED_QUARTERLY_AVG_FFIEC" hidden="1">"c13090"</definedName>
    <definedName name="IQ_FED_FUNDS_SOLD_DOM_FFIEC" hidden="1">"c12806"</definedName>
    <definedName name="IQ_FED_FUNDS_SOLD_FDIC" hidden="1">"c6307"</definedName>
    <definedName name="IQ_FED_FUNDS_SOLD_QUARTERLY_AVG_FFIEC" hidden="1">"c13080"</definedName>
    <definedName name="IQ_FEDFUNDS_SOLD" hidden="1">"c2256"</definedName>
    <definedName name="IQ_FEES_COMMISSIONS_BROKERAGE_FFIEC" hidden="1">"c13005"</definedName>
    <definedName name="IQ_FFO" hidden="1">"c1574"</definedName>
    <definedName name="IQ_FFO_ACT_OR_EST" hidden="1">"c4446"</definedName>
    <definedName name="IQ_FFO_ADJ_ACT_OR_EST" hidden="1">"c4435"</definedName>
    <definedName name="IQ_FFO_ADJ_ACT_OR_EST_CIQ" hidden="1">"c4960"</definedName>
    <definedName name="IQ_FFO_ADJ_EST" hidden="1">"c4434"</definedName>
    <definedName name="IQ_FFO_ADJ_HIGH_EST" hidden="1">"c4437"</definedName>
    <definedName name="IQ_FFO_ADJ_LOW_EST" hidden="1">"c4438"</definedName>
    <definedName name="IQ_FFO_ADJ_MEDIAN_EST" hidden="1">"c4439"</definedName>
    <definedName name="IQ_FFO_ADJ_NUM_EST" hidden="1">"c4440"</definedName>
    <definedName name="IQ_FFO_ADJ_STDDEV_EST" hidden="1">"c4441"</definedName>
    <definedName name="IQ_FFO_EST" hidden="1">"c4445"</definedName>
    <definedName name="IQ_FFO_HIGH_EST" hidden="1">"c4448"</definedName>
    <definedName name="IQ_FFO_LOW_EST" hidden="1">"c4449"</definedName>
    <definedName name="IQ_FFO_MEDIAN_EST" hidden="1">"c4450"</definedName>
    <definedName name="IQ_FFO_NUM_EST" hidden="1">"c4451"</definedName>
    <definedName name="IQ_FFO_PAYOUT_RATIO" hidden="1">"c3492"</definedName>
    <definedName name="IQ_FFO_PER_SHARE_BASIC" hidden="1">"c8867"</definedName>
    <definedName name="IQ_FFO_PER_SHARE_DILUTED" hidden="1">"c8868"</definedName>
    <definedName name="IQ_FFO_SHARE_ACT_OR_EST" hidden="1">"c4446"</definedName>
    <definedName name="IQ_FFO_SHARE_ACT_OR_EST_CIQ" hidden="1">"c4971"</definedName>
    <definedName name="IQ_FFO_SHARE_EST" hidden="1">"c418"</definedName>
    <definedName name="IQ_FFO_SHARE_EST_DET_EST" hidden="1">"c12059"</definedName>
    <definedName name="IQ_FFO_SHARE_EST_DET_EST_CURRENCY" hidden="1">"c12466"</definedName>
    <definedName name="IQ_FFO_SHARE_EST_DET_EST_CURRENCY_THOM" hidden="1">"c12487"</definedName>
    <definedName name="IQ_FFO_SHARE_EST_DET_EST_DATE" hidden="1">"c12212"</definedName>
    <definedName name="IQ_FFO_SHARE_EST_DET_EST_DATE_THOM" hidden="1">"c12238"</definedName>
    <definedName name="IQ_FFO_SHARE_EST_DET_EST_INCL" hidden="1">"c12349"</definedName>
    <definedName name="IQ_FFO_SHARE_EST_DET_EST_INCL_THOM" hidden="1">"c12370"</definedName>
    <definedName name="IQ_FFO_SHARE_EST_DET_EST_ORIGIN" hidden="1">"c12722"</definedName>
    <definedName name="IQ_FFO_SHARE_EST_DET_EST_ORIGIN_THOM" hidden="1">"c12608"</definedName>
    <definedName name="IQ_FFO_SHARE_EST_DET_EST_THOM" hidden="1">"c12088"</definedName>
    <definedName name="IQ_FFO_SHARE_EST_THOM" hidden="1">"c3999"</definedName>
    <definedName name="IQ_FFO_SHARE_HIGH_EST" hidden="1">"c419"</definedName>
    <definedName name="IQ_FFO_SHARE_HIGH_EST_THOM" hidden="1">"c4001"</definedName>
    <definedName name="IQ_FFO_SHARE_LOW_EST" hidden="1">"c420"</definedName>
    <definedName name="IQ_FFO_SHARE_LOW_EST_THOM" hidden="1">"c4002"</definedName>
    <definedName name="IQ_FFO_SHARE_MEDIAN_EST" hidden="1">"c1665"</definedName>
    <definedName name="IQ_FFO_SHARE_MEDIAN_EST_THOM" hidden="1">"c4000"</definedName>
    <definedName name="IQ_FFO_SHARE_NUM_EST" hidden="1">"c421"</definedName>
    <definedName name="IQ_FFO_SHARE_NUM_EST_THOM" hidden="1">"c4003"</definedName>
    <definedName name="IQ_FFO_SHARE_STDDEV_EST" hidden="1">"c422"</definedName>
    <definedName name="IQ_FFO_SHARE_STDDEV_EST_THOM" hidden="1">"c4004"</definedName>
    <definedName name="IQ_FFO_STDDEV_EST" hidden="1">"c4452"</definedName>
    <definedName name="IQ_FH" hidden="1">100000</definedName>
    <definedName name="IQ_FHLB_ADVANCES_FDIC" hidden="1">"c6366"</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DUCIARY_ACTIVITIES_FDIC" hidden="1">"c6571"</definedName>
    <definedName name="IQ_FIDUCIARY_INCOME_OPERATING_INC_FFIEC" hidden="1">"c13383"</definedName>
    <definedName name="IQ_FIFETEEN_YEAR_FIXED_AND_FLOATING_RATE_FDIC" hidden="1">"c6423"</definedName>
    <definedName name="IQ_FIFETEEN_YEAR_MORTGAGE_PASS_THROUGHS_FDIC" hidden="1">"c6415"</definedName>
    <definedName name="IQ_FILING_CURRENCY" hidden="1">"c2129"</definedName>
    <definedName name="IQ_FILING_CURRENCY_AP" hidden="1">"c11747"</definedName>
    <definedName name="IQ_FILINGDATE_BS" hidden="1">"c424"</definedName>
    <definedName name="IQ_FILINGDATE_CF" hidden="1">"c425"</definedName>
    <definedName name="IQ_FILINGDATE_IS" hidden="1">"c426"</definedName>
    <definedName name="IQ_FILM_RIGHTS" hidden="1">"c2254"</definedName>
    <definedName name="IQ_FIN_DATA_SOURCE" hidden="1">"c6788"</definedName>
    <definedName name="IQ_FIN_DIV_ASSETS_CURRENT" hidden="1">"c427"</definedName>
    <definedName name="IQ_FIN_DIV_ASSETS_LT" hidden="1">"c428"</definedName>
    <definedName name="IQ_FIN_DIV_CASH_EQUIV" hidden="1">"c6289"</definedName>
    <definedName name="IQ_FIN_DIV_CURRENT_PORT_DEBT_TOTAL" hidden="1">"c5524"</definedName>
    <definedName name="IQ_FIN_DIV_CURRENT_PORT_LEASES_TOTAL" hidden="1">"c5523"</definedName>
    <definedName name="IQ_FIN_DIV_DEBT_CURRENT" hidden="1">"c429"</definedName>
    <definedName name="IQ_FIN_DIV_DEBT_LT" hidden="1">"c430"</definedName>
    <definedName name="IQ_FIN_DIV_DEBT_LT_TOTAL" hidden="1">"c5526"</definedName>
    <definedName name="IQ_FIN_DIV_DEBT_TOTAL" hidden="1">"c5656"</definedName>
    <definedName name="IQ_FIN_DIV_EXP" hidden="1">"c431"</definedName>
    <definedName name="IQ_FIN_DIV_INT_EXP" hidden="1">"c432"</definedName>
    <definedName name="IQ_FIN_DIV_LEASES_LT_TOTAL" hidden="1">"c5525"</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LT_DEBT_TOTAL" hidden="1">"c5655"</definedName>
    <definedName name="IQ_FIN_DIV_NOTES_PAY_TOTAL" hidden="1">"c5522"</definedName>
    <definedName name="IQ_FIN_DIV_REV" hidden="1">"c437"</definedName>
    <definedName name="IQ_FIN_DIV_ST_DEBT_TOTAL" hidden="1">"c5527"</definedName>
    <definedName name="IQ_FIN_DIV_ST_INVEST" hidden="1">"c6288"</definedName>
    <definedName name="IQ_FINANCIAL_LOC_FOREIGN_GUARANTEES_FFIEC" hidden="1">"c13249"</definedName>
    <definedName name="IQ_FINANCIAL_SERVICING_ASSETS_FAIR_VALUE_TOT_FFIEC" hidden="1">"c13212"</definedName>
    <definedName name="IQ_FINANCIAL_SERVICING_ASSETS_LEVEL_1_FFIEC" hidden="1">"c13220"</definedName>
    <definedName name="IQ_FINANCIAL_SERVICING_ASSETS_LEVEL_2_FFIEC" hidden="1">"c13228"</definedName>
    <definedName name="IQ_FINANCIAL_SERVICING_ASSETS_LEVEL_3_FFIEC" hidden="1">"c13236"</definedName>
    <definedName name="IQ_FINANCIAL_SERVICING_LIAB_FAIR_VALUE_TOT_FFIEC" hidden="1">"c13215"</definedName>
    <definedName name="IQ_FINANCIAL_SERVICING_LIAB_LEVEL_1_FFIEC" hidden="1">"c13223"</definedName>
    <definedName name="IQ_FINANCIAL_SERVICING_LIAB_LEVEL_2_FFIEC" hidden="1">"c13231"</definedName>
    <definedName name="IQ_FINANCIAL_SERVICING_LIAB_LEVEL_3_FFIEC" hidden="1">"c13239"</definedName>
    <definedName name="IQ_FINANCING_CASH" hidden="1">"c893"</definedName>
    <definedName name="IQ_FINANCING_CASH_SUPPL" hidden="1">"c899"</definedName>
    <definedName name="IQ_FINANCING_OBLIG_CURRENT" hidden="1">"c11753"</definedName>
    <definedName name="IQ_FINANCING_OBLIG_NON_CURRENT" hidden="1">"c11754"</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Q_EST" hidden="1">"c6794"</definedName>
    <definedName name="IQ_FISCAL_Q_EST_CIQ" hidden="1">"c6806"</definedName>
    <definedName name="IQ_FISCAL_Q_EST_THOM" hidden="1">"c6802"</definedName>
    <definedName name="IQ_FISCAL_Y" hidden="1">"c441"</definedName>
    <definedName name="IQ_FISCAL_Y_EST" hidden="1">"c6795"</definedName>
    <definedName name="IQ_FISCAL_Y_EST_CIQ" hidden="1">"c6807"</definedName>
    <definedName name="IQ_FISCAL_Y_EST_THOM" hidden="1">"c6803"</definedName>
    <definedName name="IQ_FIVE_PERCENT_OWNER" hidden="1">"c442"</definedName>
    <definedName name="IQ_FIVE_YEAR_FIXED_AND_FLOATING_RATE_FDIC" hidden="1">"c6422"</definedName>
    <definedName name="IQ_FIVE_YEAR_MORTGAGE_PASS_THROUGHS_FDIC" hidden="1">"c6414"</definedName>
    <definedName name="IQ_FIVEPERCENT_PERCENT" hidden="1">"c443"</definedName>
    <definedName name="IQ_FIVEPERCENT_SHARES" hidden="1">"c444"</definedName>
    <definedName name="IQ_FIX_FREQUENCY" hidden="1">"c8964"</definedName>
    <definedName name="IQ_FIXED_ASSET_TURNS" hidden="1">"c445"</definedName>
    <definedName name="IQ_FIXED_INCOME_LIST" hidden="1">"c13504"</definedName>
    <definedName name="IQ_FIXED_INVEST_APR_FC_UNUSED" hidden="1">"c8410"</definedName>
    <definedName name="IQ_FIXED_INVEST_APR_UNUSED" hidden="1">"c7530"</definedName>
    <definedName name="IQ_FIXED_INVEST_FC_UNUSED" hidden="1">"c7750"</definedName>
    <definedName name="IQ_FIXED_INVEST_MACH_EQUIP" hidden="1">"c6871"</definedName>
    <definedName name="IQ_FIXED_INVEST_MACH_EQUIP_APR" hidden="1">"c7531"</definedName>
    <definedName name="IQ_FIXED_INVEST_MACH_EQUIP_APR_FC" hidden="1">"c8411"</definedName>
    <definedName name="IQ_FIXED_INVEST_MACH_EQUIP_FC" hidden="1">"c7751"</definedName>
    <definedName name="IQ_FIXED_INVEST_MACH_EQUIP_POP" hidden="1">"c7091"</definedName>
    <definedName name="IQ_FIXED_INVEST_MACH_EQUIP_POP_FC" hidden="1">"c7971"</definedName>
    <definedName name="IQ_FIXED_INVEST_MACH_EQUIP_REAL" hidden="1">"c6979"</definedName>
    <definedName name="IQ_FIXED_INVEST_MACH_EQUIP_REAL_APR" hidden="1">"c7639"</definedName>
    <definedName name="IQ_FIXED_INVEST_MACH_EQUIP_REAL_APR_FC" hidden="1">"c8519"</definedName>
    <definedName name="IQ_FIXED_INVEST_MACH_EQUIP_REAL_FC" hidden="1">"c7859"</definedName>
    <definedName name="IQ_FIXED_INVEST_MACH_EQUIP_REAL_POP" hidden="1">"c7199"</definedName>
    <definedName name="IQ_FIXED_INVEST_MACH_EQUIP_REAL_POP_FC" hidden="1">"c8079"</definedName>
    <definedName name="IQ_FIXED_INVEST_MACH_EQUIP_REAL_YOY" hidden="1">"c7419"</definedName>
    <definedName name="IQ_FIXED_INVEST_MACH_EQUIP_REAL_YOY_FC" hidden="1">"c8299"</definedName>
    <definedName name="IQ_FIXED_INVEST_MACH_EQUIP_YOY" hidden="1">"c7311"</definedName>
    <definedName name="IQ_FIXED_INVEST_MACH_EQUIP_YOY_FC" hidden="1">"c8191"</definedName>
    <definedName name="IQ_FIXED_INVEST_POP_FC_UNUSED" hidden="1">"c7970"</definedName>
    <definedName name="IQ_FIXED_INVEST_POP_UNUSED" hidden="1">"c7090"</definedName>
    <definedName name="IQ_FIXED_INVEST_REAL_APR_FC_UNUSED" hidden="1">"c8518"</definedName>
    <definedName name="IQ_FIXED_INVEST_REAL_APR_UNUSED" hidden="1">"c7638"</definedName>
    <definedName name="IQ_FIXED_INVEST_REAL_FC_UNUSED" hidden="1">"c7858"</definedName>
    <definedName name="IQ_FIXED_INVEST_REAL_POP_FC_UNUSED" hidden="1">"c8078"</definedName>
    <definedName name="IQ_FIXED_INVEST_REAL_POP_UNUSED" hidden="1">"c7198"</definedName>
    <definedName name="IQ_FIXED_INVEST_REAL_SAAR" hidden="1">"c6980"</definedName>
    <definedName name="IQ_FIXED_INVEST_REAL_SAAR_APR" hidden="1">"c7640"</definedName>
    <definedName name="IQ_FIXED_INVEST_REAL_SAAR_APR_FC" hidden="1">"c8520"</definedName>
    <definedName name="IQ_FIXED_INVEST_REAL_SAAR_FC" hidden="1">"c7860"</definedName>
    <definedName name="IQ_FIXED_INVEST_REAL_SAAR_POP" hidden="1">"c7200"</definedName>
    <definedName name="IQ_FIXED_INVEST_REAL_SAAR_POP_FC" hidden="1">"c8080"</definedName>
    <definedName name="IQ_FIXED_INVEST_REAL_SAAR_USD_APR_FC" hidden="1">"c11945"</definedName>
    <definedName name="IQ_FIXED_INVEST_REAL_SAAR_USD_FC" hidden="1">"c11942"</definedName>
    <definedName name="IQ_FIXED_INVEST_REAL_SAAR_USD_POP_FC" hidden="1">"c11943"</definedName>
    <definedName name="IQ_FIXED_INVEST_REAL_SAAR_USD_YOY_FC" hidden="1">"c11944"</definedName>
    <definedName name="IQ_FIXED_INVEST_REAL_SAAR_YOY" hidden="1">"c7420"</definedName>
    <definedName name="IQ_FIXED_INVEST_REAL_SAAR_YOY_FC" hidden="1">"c8300"</definedName>
    <definedName name="IQ_FIXED_INVEST_REAL_UNUSED" hidden="1">"c6978"</definedName>
    <definedName name="IQ_FIXED_INVEST_REAL_USD_APR_FC" hidden="1">"c11941"</definedName>
    <definedName name="IQ_FIXED_INVEST_REAL_USD_FC" hidden="1">"c11938"</definedName>
    <definedName name="IQ_FIXED_INVEST_REAL_USD_POP_FC" hidden="1">"c11939"</definedName>
    <definedName name="IQ_FIXED_INVEST_REAL_USD_YOY_FC" hidden="1">"c11940"</definedName>
    <definedName name="IQ_FIXED_INVEST_REAL_YOY_FC_UNUSED" hidden="1">"c8298"</definedName>
    <definedName name="IQ_FIXED_INVEST_REAL_YOY_UNUSED" hidden="1">"c7418"</definedName>
    <definedName name="IQ_FIXED_INVEST_SAAR" hidden="1">"c6872"</definedName>
    <definedName name="IQ_FIXED_INVEST_SAAR_APR" hidden="1">"c7532"</definedName>
    <definedName name="IQ_FIXED_INVEST_SAAR_APR_FC" hidden="1">"c8412"</definedName>
    <definedName name="IQ_FIXED_INVEST_SAAR_FC" hidden="1">"c7752"</definedName>
    <definedName name="IQ_FIXED_INVEST_SAAR_POP" hidden="1">"c7092"</definedName>
    <definedName name="IQ_FIXED_INVEST_SAAR_POP_FC" hidden="1">"c7972"</definedName>
    <definedName name="IQ_FIXED_INVEST_SAAR_USD_APR_FC" hidden="1">"c11833"</definedName>
    <definedName name="IQ_FIXED_INVEST_SAAR_USD_FC" hidden="1">"c11830"</definedName>
    <definedName name="IQ_FIXED_INVEST_SAAR_USD_POP_FC" hidden="1">"c11831"</definedName>
    <definedName name="IQ_FIXED_INVEST_SAAR_USD_YOY_FC" hidden="1">"c11832"</definedName>
    <definedName name="IQ_FIXED_INVEST_SAAR_YOY" hidden="1">"c7312"</definedName>
    <definedName name="IQ_FIXED_INVEST_SAAR_YOY_FC" hidden="1">"c8192"</definedName>
    <definedName name="IQ_FIXED_INVEST_UNUSED" hidden="1">"c6870"</definedName>
    <definedName name="IQ_FIXED_INVEST_USD_APR_FC" hidden="1">"c11829"</definedName>
    <definedName name="IQ_FIXED_INVEST_USD_FC" hidden="1">"c11826"</definedName>
    <definedName name="IQ_FIXED_INVEST_USD_POP_FC" hidden="1">"c11827"</definedName>
    <definedName name="IQ_FIXED_INVEST_USD_YOY_FC" hidden="1">"c11828"</definedName>
    <definedName name="IQ_FIXED_INVEST_YOY_FC_UNUSED" hidden="1">"c8190"</definedName>
    <definedName name="IQ_FIXED_INVEST_YOY_UNUSED" hidden="1">"c7310"</definedName>
    <definedName name="IQ_FLOAT_PERCENT" hidden="1">"c1575"</definedName>
    <definedName name="IQ_FNMA_FHLMC_FDIC" hidden="1">"c6397"</definedName>
    <definedName name="IQ_FNMA_FHLMC_GNMA_FDIC" hidden="1">"c6399"</definedName>
    <definedName name="IQ_FORECLOSED_PROPERTIES_FDIC" hidden="1">"c6459"</definedName>
    <definedName name="IQ_FOREIGN_BANK_LOANS_FDIC" hidden="1">"c6437"</definedName>
    <definedName name="IQ_FOREIGN_BANKS_DEPOSITS_FOREIGN_FDIC" hidden="1">"c6481"</definedName>
    <definedName name="IQ_FOREIGN_BANKS_DUE_30_89_FFIEC" hidden="1">"c13269"</definedName>
    <definedName name="IQ_FOREIGN_BANKS_DUE_90_FFIEC" hidden="1">"c13295"</definedName>
    <definedName name="IQ_FOREIGN_BANKS_LOAN_CHARG_OFFS_FDIC" hidden="1">"c6645"</definedName>
    <definedName name="IQ_FOREIGN_BANKS_NET_CHARGE_OFFS_FDIC" hidden="1">"c6647"</definedName>
    <definedName name="IQ_FOREIGN_BANKS_NON_ACCRUAL_FFIEC" hidden="1">"c13321"</definedName>
    <definedName name="IQ_FOREIGN_BANKS_NONTRANSACTION_ACCOUNTS_FDIC" hidden="1">"c6550"</definedName>
    <definedName name="IQ_FOREIGN_BANKS_RECOVERIES_FDIC" hidden="1">"c6646"</definedName>
    <definedName name="IQ_FOREIGN_BANKS_TRANSACTION_ACCOUNTS_FDIC" hidden="1">"c6542"</definedName>
    <definedName name="IQ_FOREIGN_BRANCHES_US_BANKS_FDIC" hidden="1">"c6392"</definedName>
    <definedName name="IQ_FOREIGN_BRANCHES_US_BANKS_LOANS_FDIC" hidden="1">"c6438"</definedName>
    <definedName name="IQ_FOREIGN_COUNTRIES_BANKS_TOTAL_LOANS_FOREIGN_FDIC" hidden="1">"c6445"</definedName>
    <definedName name="IQ_FOREIGN_DEBT_SECURITIES_FDIC" hidden="1">"c6303"</definedName>
    <definedName name="IQ_FOREIGN_DEP_IB" hidden="1">"c446"</definedName>
    <definedName name="IQ_FOREIGN_DEP_NON_IB" hidden="1">"c447"</definedName>
    <definedName name="IQ_FOREIGN_DEPOSITS_ASSETS_TOT_FFIEC" hidden="1">"c13445"</definedName>
    <definedName name="IQ_FOREIGN_DEPOSITS_NONTRANSACTION_ACCOUNTS_FDIC" hidden="1">"c6549"</definedName>
    <definedName name="IQ_FOREIGN_DEPOSITS_TOT_FFIEC" hidden="1">"c13486"</definedName>
    <definedName name="IQ_FOREIGN_DEPOSITS_TRANSACTION_ACCOUNTS_FDIC" hidden="1">"c6541"</definedName>
    <definedName name="IQ_FOREIGN_EXCHANGE" hidden="1">"c451"</definedName>
    <definedName name="IQ_FOREIGN_EXCHANGE_EXPOSURES_FDIC" hidden="1">"c6663"</definedName>
    <definedName name="IQ_FOREIGN_GOVERNMENT_LOANS_FDIC" hidden="1">"c6430"</definedName>
    <definedName name="IQ_FOREIGN_GOVERNMENTS_CHARGE_OFFS_FDIC" hidden="1">"c6600"</definedName>
    <definedName name="IQ_FOREIGN_GOVERNMENTS_DEPOSITS_FOREIGN_FDIC" hidden="1">"c6482"</definedName>
    <definedName name="IQ_FOREIGN_GOVERNMENTS_NET_CHARGE_OFFS_FDIC" hidden="1">"c6638"</definedName>
    <definedName name="IQ_FOREIGN_GOVERNMENTS_NONTRANSACTION_ACCOUNTS_FDIC" hidden="1">"c6551"</definedName>
    <definedName name="IQ_FOREIGN_GOVERNMENTS_RECOVERIES_FDIC" hidden="1">"c6619"</definedName>
    <definedName name="IQ_FOREIGN_GOVERNMENTS_TOTAL_DEPOSITS_FDIC" hidden="1">"c6476"</definedName>
    <definedName name="IQ_FOREIGN_GOVERNMENTS_TRANSACTION_ACCOUNTS_FDIC" hidden="1">"c6543"</definedName>
    <definedName name="IQ_FOREIGN_LL_REC_FFIEC" hidden="1">"c12892"</definedName>
    <definedName name="IQ_FOREIGN_LOANS" hidden="1">"c448"</definedName>
    <definedName name="IQ_FOREIGN_LOANS_LEASES_FOREIGN_FFIEC" hidden="1">"c13478"</definedName>
    <definedName name="IQ_FOUNDATION_OVER_TOTAL" hidden="1">"c13769"</definedName>
    <definedName name="IQ_FQ" hidden="1">500</definedName>
    <definedName name="IQ_FUEL" hidden="1">"c449"</definedName>
    <definedName name="IQ_FULL_TIME" hidden="1">"c450"</definedName>
    <definedName name="IQ_FULLY_INSURED_DEPOSITS_FDIC" hidden="1">"c6487"</definedName>
    <definedName name="IQ_FUND_FEE_INC_NON_INT_INC_FFIEC" hidden="1">"c13493"</definedName>
    <definedName name="IQ_FUNDING_DEPENDENCE_FFIEC" hidden="1">"c13336"</definedName>
    <definedName name="IQ_FUNDING_DEPENDENCE_ST_FFIEC" hidden="1">"c13337"</definedName>
    <definedName name="IQ_FUNDS_PURCHASED_ASSETS_TOT_FFIEC" hidden="1">"c13446"</definedName>
    <definedName name="IQ_FUTURES_FORWARD_CONTRACTS_NOTIONAL_AMOUNT_FDIC" hidden="1">"c6518"</definedName>
    <definedName name="IQ_FUTURES_FORWARD_CONTRACTS_RATE_RISK_FDIC" hidden="1">"c6508"</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X" hidden="1">"c451"</definedName>
    <definedName name="IQ_FX_CONTRACTS_FDIC" hidden="1">"c6517"</definedName>
    <definedName name="IQ_FX_CONTRACTS_FFIEC" hidden="1">"c13125"</definedName>
    <definedName name="IQ_FX_CONTRACTS_SPOT_FDIC" hidden="1">"c6356"</definedName>
    <definedName name="IQ_FX_EXPOSURE_FFIEC" hidden="1">"c13059"</definedName>
    <definedName name="IQ_FY" hidden="1">1000</definedName>
    <definedName name="IQ_GA_EXP" hidden="1">"c2241"</definedName>
    <definedName name="IQ_GAAP_BS" hidden="1">"c6789"</definedName>
    <definedName name="IQ_GAAP_CF" hidden="1">"c6790"</definedName>
    <definedName name="IQ_GAAP_IS" hidden="1">"c6194"</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 hidden="1">"c6217"</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 hidden="1">"c6218"</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 hidden="1">"c6219"</definedName>
    <definedName name="IQ_GAIN_ASSETS_REV_REIT" hidden="1">"c477"</definedName>
    <definedName name="IQ_GAIN_ASSETS_REV_UTI" hidden="1">"c478"</definedName>
    <definedName name="IQ_GAIN_ASSETS_UTI" hidden="1">"c479"</definedName>
    <definedName name="IQ_GAIN_CREDIT_DERIVATIVES_FFIEC" hidden="1">"c13066"</definedName>
    <definedName name="IQ_GAIN_CREDIT_DERIVATIVES_NON_TRADING_FFIEC" hidden="1">"c13067"</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 hidden="1">"c6220"</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 hidden="1">"c6278"</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 hidden="1">"c6221"</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"c452"</definedName>
    <definedName name="IQ_GAIN_SALE_LOANS_FDIC" hidden="1">"c6673"</definedName>
    <definedName name="IQ_GAIN_SALE_RE_FDIC" hidden="1">"c6674"</definedName>
    <definedName name="IQ_GAINS_AFS_AVG_ASSETS_FFIEC" hidden="1">"c13364"</definedName>
    <definedName name="IQ_GAINS_ASSETS_TOT_FFIEC" hidden="1">"c13073"</definedName>
    <definedName name="IQ_GAINS_AVAIL_SALE_EQUITY_SEC_T2_FFIEC" hidden="1">"c13147"</definedName>
    <definedName name="IQ_GAINS_AVAIL_SALE_SEC_T1_FFIEC" hidden="1">"c13131"</definedName>
    <definedName name="IQ_GAINS_CASH_FLOW_HEDGES_T1_FFIEC" hidden="1">"c13133"</definedName>
    <definedName name="IQ_GAINS_HTM_AVG_ASSETS_FFIEC" hidden="1">"c13363"</definedName>
    <definedName name="IQ_GAINS_INSTRUMENT_SPECIFIC_CREDIT_RISK_LIAB_FFIEC" hidden="1">"c13076"</definedName>
    <definedName name="IQ_GAINS_INSTRUMENT_SPECIFIC_RISK_FFIEC" hidden="1">"c13074"</definedName>
    <definedName name="IQ_GAINS_INSURANCE_ACTIVITIES_FFIEC" hidden="1">"c13072"</definedName>
    <definedName name="IQ_GAINS_LIABILITIES_FFIEC" hidden="1">"c13075"</definedName>
    <definedName name="IQ_GAINS_SALE_ASSETS_FDIC" hidden="1">"c6675"</definedName>
    <definedName name="IQ_GAINS_SALE_LOANS_LEASES_FFIEC" hidden="1">"c13013"</definedName>
    <definedName name="IQ_GAINS_SALE_OTHER_ASSETS_FFIEC" hidden="1">"c13015"</definedName>
    <definedName name="IQ_GAINS_SALE_OTHER_RE_OWNED_FFIEC" hidden="1">"c13014"</definedName>
    <definedName name="IQ_GAINS_SECURITIZATION_OPERATING_INC_FFIEC" hidden="1">"c13391"</definedName>
    <definedName name="IQ_GDP" hidden="1">"c6874"</definedName>
    <definedName name="IQ_GDP_APR" hidden="1">"c7534"</definedName>
    <definedName name="IQ_GDP_APR_FC" hidden="1">"c8414"</definedName>
    <definedName name="IQ_GDP_FC" hidden="1">"c7754"</definedName>
    <definedName name="IQ_GDP_POP" hidden="1">"c7094"</definedName>
    <definedName name="IQ_GDP_POP_FC" hidden="1">"c7974"</definedName>
    <definedName name="IQ_GDP_REAL" hidden="1">"c6981"</definedName>
    <definedName name="IQ_GDP_REAL_APR" hidden="1">"c7641"</definedName>
    <definedName name="IQ_GDP_REAL_APR_FC" hidden="1">"c8521"</definedName>
    <definedName name="IQ_GDP_REAL_FC" hidden="1">"c7861"</definedName>
    <definedName name="IQ_GDP_REAL_POP" hidden="1">"c7201"</definedName>
    <definedName name="IQ_GDP_REAL_POP_FC" hidden="1">"c8081"</definedName>
    <definedName name="IQ_GDP_REAL_SAAR" hidden="1">"c6982"</definedName>
    <definedName name="IQ_GDP_REAL_SAAR_APR" hidden="1">"c7642"</definedName>
    <definedName name="IQ_GDP_REAL_SAAR_APR_FC" hidden="1">"c8522"</definedName>
    <definedName name="IQ_GDP_REAL_SAAR_FC" hidden="1">"c7862"</definedName>
    <definedName name="IQ_GDP_REAL_SAAR_POP" hidden="1">"c7202"</definedName>
    <definedName name="IQ_GDP_REAL_SAAR_POP_FC" hidden="1">"c8082"</definedName>
    <definedName name="IQ_GDP_REAL_SAAR_YOY" hidden="1">"c7422"</definedName>
    <definedName name="IQ_GDP_REAL_SAAR_YOY_FC" hidden="1">"c8302"</definedName>
    <definedName name="IQ_GDP_REAL_USD" hidden="1">"c11946"</definedName>
    <definedName name="IQ_GDP_REAL_USD_APR" hidden="1">"c11949"</definedName>
    <definedName name="IQ_GDP_REAL_USD_POP" hidden="1">"c11947"</definedName>
    <definedName name="IQ_GDP_REAL_USD_YOY" hidden="1">"c11948"</definedName>
    <definedName name="IQ_GDP_REAL_YOY" hidden="1">"c7421"</definedName>
    <definedName name="IQ_GDP_REAL_YOY_FC" hidden="1">"c8301"</definedName>
    <definedName name="IQ_GDP_SAAR" hidden="1">"c6875"</definedName>
    <definedName name="IQ_GDP_SAAR_APR" hidden="1">"c7535"</definedName>
    <definedName name="IQ_GDP_SAAR_APR_FC" hidden="1">"c8415"</definedName>
    <definedName name="IQ_GDP_SAAR_FC" hidden="1">"c7755"</definedName>
    <definedName name="IQ_GDP_SAAR_POP" hidden="1">"c7095"</definedName>
    <definedName name="IQ_GDP_SAAR_POP_FC" hidden="1">"c7975"</definedName>
    <definedName name="IQ_GDP_SAAR_YOY" hidden="1">"c7315"</definedName>
    <definedName name="IQ_GDP_SAAR_YOY_FC" hidden="1">"c8195"</definedName>
    <definedName name="IQ_GDP_USD" hidden="1">"c11834"</definedName>
    <definedName name="IQ_GDP_USD_APR" hidden="1">"c11837"</definedName>
    <definedName name="IQ_GDP_USD_POP" hidden="1">"c11835"</definedName>
    <definedName name="IQ_GDP_USD_YOY" hidden="1">"c11836"</definedName>
    <definedName name="IQ_GDP_YOY" hidden="1">"c7314"</definedName>
    <definedName name="IQ_GDP_YOY_FC" hidden="1">"c8194"</definedName>
    <definedName name="IQ_GEO_SEG_ASSETS" hidden="1">"c4069"</definedName>
    <definedName name="IQ_GEO_SEG_ASSETS_ABS" hidden="1">"c4091"</definedName>
    <definedName name="IQ_GEO_SEG_ASSETS_TOTAL" hidden="1">"c4123"</definedName>
    <definedName name="IQ_GEO_SEG_CAPEX" hidden="1">"c4083"</definedName>
    <definedName name="IQ_GEO_SEG_CAPEX_ABS" hidden="1">"c4105"</definedName>
    <definedName name="IQ_GEO_SEG_CAPEX_TOTAL" hidden="1">"c4127"</definedName>
    <definedName name="IQ_GEO_SEG_DA" hidden="1">"c4082"</definedName>
    <definedName name="IQ_GEO_SEG_DA_ABS" hidden="1">"c4104"</definedName>
    <definedName name="IQ_GEO_SEG_DA_TOTAL" hidden="1">"c4126"</definedName>
    <definedName name="IQ_GEO_SEG_EARNINGS_OP" hidden="1">"c4073"</definedName>
    <definedName name="IQ_GEO_SEG_EARNINGS_OP_ABS" hidden="1">"c4095"</definedName>
    <definedName name="IQ_GEO_SEG_EARNINGS_OP_TOTAL" hidden="1">"c4119"</definedName>
    <definedName name="IQ_GEO_SEG_EBT" hidden="1">"c4072"</definedName>
    <definedName name="IQ_GEO_SEG_EBT_ABS" hidden="1">"c4094"</definedName>
    <definedName name="IQ_GEO_SEG_EBT_TOTAL" hidden="1">"c4121"</definedName>
    <definedName name="IQ_GEO_SEG_GP" hidden="1">"c4070"</definedName>
    <definedName name="IQ_GEO_SEG_GP_ABS" hidden="1">"c4092"</definedName>
    <definedName name="IQ_GEO_SEG_GP_TOTAL" hidden="1">"c4120"</definedName>
    <definedName name="IQ_GEO_SEG_INC_TAX" hidden="1">"c4081"</definedName>
    <definedName name="IQ_GEO_SEG_INC_TAX_ABS" hidden="1">"c4103"</definedName>
    <definedName name="IQ_GEO_SEG_INC_TAX_TOTAL" hidden="1">"c4125"</definedName>
    <definedName name="IQ_GEO_SEG_INTEREST_EXP" hidden="1">"c4080"</definedName>
    <definedName name="IQ_GEO_SEG_INTEREST_EXP_ABS" hidden="1">"c4102"</definedName>
    <definedName name="IQ_GEO_SEG_INTEREST_EXP_TOTAL" hidden="1">"c4124"</definedName>
    <definedName name="IQ_GEO_SEG_NAME" hidden="1">"c5484"</definedName>
    <definedName name="IQ_GEO_SEG_NAME_ABS" hidden="1">"c5485"</definedName>
    <definedName name="IQ_GEO_SEG_NI" hidden="1">"c4071"</definedName>
    <definedName name="IQ_GEO_SEG_NI_ABS" hidden="1">"c4093"</definedName>
    <definedName name="IQ_GEO_SEG_NI_TOTAL" hidden="1">"c4122"</definedName>
    <definedName name="IQ_GEO_SEG_OPER_INC" hidden="1">"c4075"</definedName>
    <definedName name="IQ_GEO_SEG_OPER_INC_ABS" hidden="1">"c4097"</definedName>
    <definedName name="IQ_GEO_SEG_OPER_INC_TOTAL" hidden="1">"c4118"</definedName>
    <definedName name="IQ_GEO_SEG_REV" hidden="1">"c4074"</definedName>
    <definedName name="IQ_GEO_SEG_REV_ABS" hidden="1">"c4096"</definedName>
    <definedName name="IQ_GEO_SEG_REV_TOTAL" hidden="1">"c4117"</definedName>
    <definedName name="IQ_GLA_PCT_LEASED_CONSOL" hidden="1">"c8810"</definedName>
    <definedName name="IQ_GLA_PCT_LEASED_MANAGED" hidden="1">"c8812"</definedName>
    <definedName name="IQ_GLA_PCT_LEASED_OTHER" hidden="1">"c8813"</definedName>
    <definedName name="IQ_GLA_PCT_LEASED_TOTAL" hidden="1">"c8814"</definedName>
    <definedName name="IQ_GLA_PCT_LEASED_UNCONSOL" hidden="1">"c8811"</definedName>
    <definedName name="IQ_GLA_SQ_FT_CONSOL" hidden="1">"c8790"</definedName>
    <definedName name="IQ_GLA_SQ_FT_MANAGED" hidden="1">"c8792"</definedName>
    <definedName name="IQ_GLA_SQ_FT_OTHER" hidden="1">"c8793"</definedName>
    <definedName name="IQ_GLA_SQ_FT_TOTAL" hidden="1">"c8794"</definedName>
    <definedName name="IQ_GLA_SQ_FT_UNCONSOL" hidden="1">"c8791"</definedName>
    <definedName name="IQ_GLA_SQ_METER_CONSOL" hidden="1">"c8795"</definedName>
    <definedName name="IQ_GLA_SQ_METER_MANAGED" hidden="1">"c8797"</definedName>
    <definedName name="IQ_GLA_SQ_METER_OTHER" hidden="1">"c8798"</definedName>
    <definedName name="IQ_GLA_SQ_METER_TOTAL" hidden="1">"c8799"</definedName>
    <definedName name="IQ_GLA_SQ_METER_UNCONSOL" hidden="1">"c8796"</definedName>
    <definedName name="IQ_GNMA_FDIC" hidden="1">"c6398"</definedName>
    <definedName name="IQ_GOODWILL_FDIC" hidden="1">"c6334"</definedName>
    <definedName name="IQ_GOODWILL_FFIEC" hidden="1">"c12836"</definedName>
    <definedName name="IQ_GOODWILL_IMPAIRMENT_FDIC" hidden="1">"c6678"</definedName>
    <definedName name="IQ_GOODWILL_IMPAIRMENT_FFIEC" hidden="1">"c13025"</definedName>
    <definedName name="IQ_GOODWILL_INTAN_FDIC" hidden="1">"c6333"</definedName>
    <definedName name="IQ_GOODWILL_NET" hidden="1">"c530"</definedName>
    <definedName name="IQ_GOVT_PERSONAL_TAXES_RECEIPTS" hidden="1">"c6876"</definedName>
    <definedName name="IQ_GOVT_PERSONAL_TAXES_RECEIPTS_APR" hidden="1">"c7536"</definedName>
    <definedName name="IQ_GOVT_PERSONAL_TAXES_RECEIPTS_APR_FC" hidden="1">"c8416"</definedName>
    <definedName name="IQ_GOVT_PERSONAL_TAXES_RECEIPTS_FC" hidden="1">"c7756"</definedName>
    <definedName name="IQ_GOVT_PERSONAL_TAXES_RECEIPTS_POP" hidden="1">"c7096"</definedName>
    <definedName name="IQ_GOVT_PERSONAL_TAXES_RECEIPTS_POP_FC" hidden="1">"c7976"</definedName>
    <definedName name="IQ_GOVT_PERSONAL_TAXES_RECEIPTS_YOY" hidden="1">"c7316"</definedName>
    <definedName name="IQ_GOVT_PERSONAL_TAXES_RECEIPTS_YOY_FC" hidden="1">"c8196"</definedName>
    <definedName name="IQ_GOVT_RECEIPTS" hidden="1">"c6877"</definedName>
    <definedName name="IQ_GOVT_RECEIPTS_APR" hidden="1">"c7537"</definedName>
    <definedName name="IQ_GOVT_RECEIPTS_APR_FC" hidden="1">"c8417"</definedName>
    <definedName name="IQ_GOVT_RECEIPTS_FC" hidden="1">"c7757"</definedName>
    <definedName name="IQ_GOVT_RECEIPTS_POP" hidden="1">"c7097"</definedName>
    <definedName name="IQ_GOVT_RECEIPTS_POP_FC" hidden="1">"c7977"</definedName>
    <definedName name="IQ_GOVT_RECEIPTS_YOY" hidden="1">"c7317"</definedName>
    <definedName name="IQ_GOVT_RECEIPTS_YOY_FC" hidden="1">"c8197"</definedName>
    <definedName name="IQ_GP" hidden="1">"c511"</definedName>
    <definedName name="IQ_GP_10YR_ANN_CAGR" hidden="1">"c6090"</definedName>
    <definedName name="IQ_GP_10YR_ANN_GROWTH" hidden="1">"c512"</definedName>
    <definedName name="IQ_GP_1YR_ANN_GROWTH" hidden="1">"c513"</definedName>
    <definedName name="IQ_GP_2YR_ANN_CAGR" hidden="1">"c6091"</definedName>
    <definedName name="IQ_GP_2YR_ANN_GROWTH" hidden="1">"c514"</definedName>
    <definedName name="IQ_GP_3YR_ANN_CAGR" hidden="1">"c6092"</definedName>
    <definedName name="IQ_GP_3YR_ANN_GROWTH" hidden="1">"c515"</definedName>
    <definedName name="IQ_GP_5YR_ANN_CAGR" hidden="1">"c6093"</definedName>
    <definedName name="IQ_GP_5YR_ANN_GROWTH" hidden="1">"c516"</definedName>
    <definedName name="IQ_GP_7YR_ANN_CAGR" hidden="1">"c6094"</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"c192"</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CAGR" hidden="1">"c6095"</definedName>
    <definedName name="IQ_GROSS_LOANS_10YR_ANN_GROWTH" hidden="1">"c522"</definedName>
    <definedName name="IQ_GROSS_LOANS_1YR_ANN_GROWTH" hidden="1">"c523"</definedName>
    <definedName name="IQ_GROSS_LOANS_2YR_ANN_CAGR" hidden="1">"c6096"</definedName>
    <definedName name="IQ_GROSS_LOANS_2YR_ANN_GROWTH" hidden="1">"c524"</definedName>
    <definedName name="IQ_GROSS_LOANS_3YR_ANN_CAGR" hidden="1">"c6097"</definedName>
    <definedName name="IQ_GROSS_LOANS_3YR_ANN_GROWTH" hidden="1">"c525"</definedName>
    <definedName name="IQ_GROSS_LOANS_5YR_ANN_CAGR" hidden="1">"c6098"</definedName>
    <definedName name="IQ_GROSS_LOANS_5YR_ANN_GROWTH" hidden="1">"c526"</definedName>
    <definedName name="IQ_GROSS_LOANS_7YR_ANN_CAGR" hidden="1">"c6099"</definedName>
    <definedName name="IQ_GROSS_LOANS_7YR_ANN_GROWTH" hidden="1">"c527"</definedName>
    <definedName name="IQ_GROSS_LOANS_TOTAL_DEPOSITS" hidden="1">"c528"</definedName>
    <definedName name="IQ_GROSS_LOSSES_AVG_LOANS_FFIEC" hidden="1">"c13475"</definedName>
    <definedName name="IQ_GROSS_MARGIN" hidden="1">"c529"</definedName>
    <definedName name="IQ_GROSS_MARGIN_ACT_OR_EST" hidden="1">"c5554"</definedName>
    <definedName name="IQ_GROSS_MARGIN_ACT_OR_EST_THOM" hidden="1">"c5562"</definedName>
    <definedName name="IQ_GROSS_MARGIN_DET_EST_DATE_THOM" hidden="1">"c12239"</definedName>
    <definedName name="IQ_GROSS_MARGIN_DET_EST_INCL_THOM" hidden="1">"c12371"</definedName>
    <definedName name="IQ_GROSS_MARGIN_DET_EST_ORIGIN_THOM" hidden="1">"c12609"</definedName>
    <definedName name="IQ_GROSS_MARGIN_DET_EST_THOM" hidden="1">"c12089"</definedName>
    <definedName name="IQ_GROSS_MARGIN_EST" hidden="1">"c5547"</definedName>
    <definedName name="IQ_GROSS_MARGIN_EST_THOM" hidden="1">"c5555"</definedName>
    <definedName name="IQ_GROSS_MARGIN_HIGH_EST" hidden="1">"c5549"</definedName>
    <definedName name="IQ_GROSS_MARGIN_HIGH_EST_THOM" hidden="1">"c5557"</definedName>
    <definedName name="IQ_GROSS_MARGIN_LOW_EST" hidden="1">"c5550"</definedName>
    <definedName name="IQ_GROSS_MARGIN_LOW_EST_THOM" hidden="1">"c5558"</definedName>
    <definedName name="IQ_GROSS_MARGIN_MEDIAN_EST" hidden="1">"c5548"</definedName>
    <definedName name="IQ_GROSS_MARGIN_MEDIAN_EST_THOM" hidden="1">"c5556"</definedName>
    <definedName name="IQ_GROSS_MARGIN_NUM_EST" hidden="1">"c5551"</definedName>
    <definedName name="IQ_GROSS_MARGIN_NUM_EST_THOM" hidden="1">"c5559"</definedName>
    <definedName name="IQ_GROSS_MARGIN_STDDEV_EST" hidden="1">"c5552"</definedName>
    <definedName name="IQ_GROSS_MARGIN_STDDEV_EST_THOM" hidden="1">"c5560"</definedName>
    <definedName name="IQ_GROSS_PC_EARNED" hidden="1">"c2747"</definedName>
    <definedName name="IQ_GROSS_PROFIT" hidden="1">"c511"</definedName>
    <definedName name="IQ_GROSS_SPRD" hidden="1">"c2155"</definedName>
    <definedName name="IQ_GROSS_WRITTEN" hidden="1">"c2726"</definedName>
    <definedName name="IQ_GROUP_EMBEDDED_VALUE_ASSET_MANAGEMENT" hidden="1">"c9955"</definedName>
    <definedName name="IQ_GROUP_EMBEDDED_VALUE_HEALTH" hidden="1">"c9954"</definedName>
    <definedName name="IQ_GROUP_EMBEDDED_VALUE_LIFE" hidden="1">"c9953"</definedName>
    <definedName name="IQ_GROUP_EMBEDDED_VALUE_LIFE_OTHER" hidden="1">"c9956"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 hidden="1">"c6279"</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 hidden="1">"c6280"</definedName>
    <definedName name="IQ_GW_INTAN_AMORT_REIT" hidden="1">"c1480"</definedName>
    <definedName name="IQ_GW_INTAN_AMORT_UTI" hidden="1">"c1481"</definedName>
    <definedName name="IQ_HC_ADJUSTED_DISCHARGES" hidden="1">"c9977"</definedName>
    <definedName name="IQ_HC_ADMISSIONS" hidden="1">"c5953"</definedName>
    <definedName name="IQ_HC_ADMISSIONS_GROWTH" hidden="1">"c5997"</definedName>
    <definedName name="IQ_HC_ADMISSIONS_MANAGED_CARE" hidden="1">"c5956"</definedName>
    <definedName name="IQ_HC_ADMISSIONS_MEDICAID" hidden="1">"c5955"</definedName>
    <definedName name="IQ_HC_ADMISSIONS_MEDICARE" hidden="1">"c5954"</definedName>
    <definedName name="IQ_HC_ADMISSIONS_OTHER" hidden="1">"c5957"</definedName>
    <definedName name="IQ_HC_ADMISSIONS_SF" hidden="1">"c6006"</definedName>
    <definedName name="IQ_HC_ALFS" hidden="1">"c5952"</definedName>
    <definedName name="IQ_HC_ASO_COVERED_LIVES" hidden="1">"c9982"</definedName>
    <definedName name="IQ_HC_ASO_MEMBERSHIP" hidden="1">"c9985"</definedName>
    <definedName name="IQ_HC_AVG_BEDS_SVC" hidden="1">"c5951"</definedName>
    <definedName name="IQ_HC_AVG_DAILY_CENSUS" hidden="1">"c5965"</definedName>
    <definedName name="IQ_HC_AVG_LICENSED_BEDS" hidden="1">"c5949"</definedName>
    <definedName name="IQ_HC_AVG_LICENSED_BEDS_SF" hidden="1">"c6004"</definedName>
    <definedName name="IQ_HC_AVG_STAY" hidden="1">"c5966"</definedName>
    <definedName name="IQ_HC_AVG_STAY_SF" hidden="1">"c6016"</definedName>
    <definedName name="IQ_HC_BEDS_SVC" hidden="1">"c5950"</definedName>
    <definedName name="IQ_HC_CASES" hidden="1">"c9978"</definedName>
    <definedName name="IQ_HC_CLAIMS_RESERVES" hidden="1">"c9989"</definedName>
    <definedName name="IQ_HC_DAYS_REV_OUT" hidden="1">"c5993"</definedName>
    <definedName name="IQ_HC_DISCHARGES" hidden="1">"c9976"</definedName>
    <definedName name="IQ_HC_EQUIV_ADMISSIONS_GROWTH" hidden="1">"c5998"</definedName>
    <definedName name="IQ_HC_EQUIVALENT_ADMISSIONS" hidden="1">"c5958"</definedName>
    <definedName name="IQ_HC_EQUIVALENT_ADMISSIONS_SF" hidden="1">"c6007"</definedName>
    <definedName name="IQ_HC_EQUIVALENT_PATIENT_DAYS" hidden="1">"c9980"</definedName>
    <definedName name="IQ_HC_ER_VISITS" hidden="1">"c5964"</definedName>
    <definedName name="IQ_HC_ER_VISITS_SF" hidden="1">"c6017"</definedName>
    <definedName name="IQ_HC_GROSS_INPATIENT_REV" hidden="1">"c5987"</definedName>
    <definedName name="IQ_HC_GROSS_OUTPATIENT_REV" hidden="1">"c5988"</definedName>
    <definedName name="IQ_HC_GROSS_PATIENT_REV" hidden="1">"c5989"</definedName>
    <definedName name="IQ_HC_HOSP_FACILITIES_CONSOL" hidden="1">"c5945"</definedName>
    <definedName name="IQ_HC_HOSP_FACILITIES_CONSOL_SF" hidden="1">"c6000"</definedName>
    <definedName name="IQ_HC_HOSP_FACILITIES_NON_CONSOL" hidden="1">"c5946"</definedName>
    <definedName name="IQ_HC_HOSP_FACILITIES_NON_CONSOL_SF" hidden="1">"c6001"</definedName>
    <definedName name="IQ_HC_HOSP_FACILITIES_TOTAL" hidden="1">"c5947"</definedName>
    <definedName name="IQ_HC_HOSP_FACILITIES_TOTAL_SF" hidden="1">"c6002"</definedName>
    <definedName name="IQ_HC_INPATIENT_PROCEDURES" hidden="1">"c5961"</definedName>
    <definedName name="IQ_HC_INPATIENT_PROCEDURES_SF" hidden="1">"c6011"</definedName>
    <definedName name="IQ_HC_INPATIENT_REV_PER_ADMISSION" hidden="1">"c5994"</definedName>
    <definedName name="IQ_HC_INTPATIENT_SVCS_PCT_REV" hidden="1">"c5975"</definedName>
    <definedName name="IQ_HC_INTPATIENT_SVCS_PCT_REV_SF" hidden="1">"c6015"</definedName>
    <definedName name="IQ_HC_LICENSED_BEDS" hidden="1">"c5948"</definedName>
    <definedName name="IQ_HC_LICENSED_BEDS_SF" hidden="1">"c6003"</definedName>
    <definedName name="IQ_HC_MANAGED_CARE_PCT_ADMISSIONS" hidden="1">"c5982"</definedName>
    <definedName name="IQ_HC_MANAGED_CARE_PCT_REV" hidden="1">"c5978"</definedName>
    <definedName name="IQ_HC_MEDICAID_PCT_ADMISSIONS" hidden="1">"c5981"</definedName>
    <definedName name="IQ_HC_MEDICAID_PCT_REV" hidden="1">"c5977"</definedName>
    <definedName name="IQ_HC_MEDICAL_EXPENSE_RATIO" hidden="1">"c9987"</definedName>
    <definedName name="IQ_HC_MEDICARE_PCT_ADMISSIONS" hidden="1">"c5980"</definedName>
    <definedName name="IQ_HC_MEDICARE_PCT_REV" hidden="1">"c5976"</definedName>
    <definedName name="IQ_HC_NET_INPATIENT_REV" hidden="1">"c5984"</definedName>
    <definedName name="IQ_HC_NET_OUTPATIENT_REV" hidden="1">"c5985"</definedName>
    <definedName name="IQ_HC_NET_PATIENT_REV" hidden="1">"c5986"</definedName>
    <definedName name="IQ_HC_NET_PATIENT_REV_SF" hidden="1">"c6005"</definedName>
    <definedName name="IQ_HC_OCC_RATE" hidden="1">"c5967"</definedName>
    <definedName name="IQ_HC_OCC_RATE_LICENSED_BEDS" hidden="1">"c5968"</definedName>
    <definedName name="IQ_HC_OCC_RATE_SF" hidden="1">"c6009"</definedName>
    <definedName name="IQ_HC_OPEX_SUPPLIES" hidden="1">"c5990"</definedName>
    <definedName name="IQ_HC_OTHER_OPEX_PCT_REV" hidden="1">"c5973"</definedName>
    <definedName name="IQ_HC_OUTPATIENT_PROCEDURES" hidden="1">"c5962"</definedName>
    <definedName name="IQ_HC_OUTPATIENT_PROCEDURES_SF" hidden="1">"c6012"</definedName>
    <definedName name="IQ_HC_OUTPATIENT_REV_PER_ADMISSION" hidden="1">"c5995"</definedName>
    <definedName name="IQ_HC_OUTPATIENT_SVCS_PCT_REV" hidden="1">"c5974"</definedName>
    <definedName name="IQ_HC_OUTPATIENT_SVCS_PCT_REV_SF" hidden="1">"c6014"</definedName>
    <definedName name="IQ_HC_PATIENT_DAYS" hidden="1">"c5960"</definedName>
    <definedName name="IQ_HC_PATIENT_DAYS_SF" hidden="1">"c6010"</definedName>
    <definedName name="IQ_HC_PROF_GEN_LIAB_CLAIM_PAID" hidden="1">"c5991"</definedName>
    <definedName name="IQ_HC_PROF_GEN_LIAB_EXP_BENEFIT" hidden="1">"c5992"</definedName>
    <definedName name="IQ_HC_PROVISION_DOUBTFUL_PCT_REV" hidden="1">"c5972"</definedName>
    <definedName name="IQ_HC_REV_GROWTH" hidden="1">"c5996"</definedName>
    <definedName name="IQ_HC_REV_PER_CASE" hidden="1">"c9979"</definedName>
    <definedName name="IQ_HC_REV_PER_DISCHARGE" hidden="1">"c9990"</definedName>
    <definedName name="IQ_HC_REV_PER_EQUIV_ADMISSION" hidden="1">"c5959"</definedName>
    <definedName name="IQ_HC_REV_PER_EQUIV_ADMISSION_SF" hidden="1">"c6008"</definedName>
    <definedName name="IQ_HC_REV_PER_EQUIV_ADMISSIONS_GROWTH" hidden="1">"c5999"</definedName>
    <definedName name="IQ_HC_REV_PER_PATIENT_DAY" hidden="1">"c5969"</definedName>
    <definedName name="IQ_HC_REV_PER_PATIENT_DAY_SF" hidden="1">"c6018"</definedName>
    <definedName name="IQ_HC_RISK_COVERED_LIVES" hidden="1">"c9981"</definedName>
    <definedName name="IQ_HC_RISK_MEMBERSHIP" hidden="1">"c9984"</definedName>
    <definedName name="IQ_HC_SALARIES_PCT_REV" hidden="1">"c5970"</definedName>
    <definedName name="IQ_HC_SGA_MARGIN" hidden="1">"c9988"</definedName>
    <definedName name="IQ_HC_SUPPLIES_PCT_REV" hidden="1">"c5971"</definedName>
    <definedName name="IQ_HC_TOTAL_COVERED_LIVES" hidden="1">"c9983"</definedName>
    <definedName name="IQ_HC_TOTAL_MEMBERSHIP" hidden="1">"c9986"</definedName>
    <definedName name="IQ_HC_TOTAL_PROCEDURES" hidden="1">"c5963"</definedName>
    <definedName name="IQ_HC_TOTAL_PROCEDURES_SF" hidden="1">"c6013"</definedName>
    <definedName name="IQ_HC_UNINSURED_PCT_ADMISSIONS" hidden="1">"c5983"</definedName>
    <definedName name="IQ_HC_UNINSURED_PCT_REV" hidden="1">"c5979"</definedName>
    <definedName name="IQ_HEDGEFUND_OVER_TOTAL" hidden="1">"c13771"</definedName>
    <definedName name="IQ_HELD_MATURITY_FDIC" hidden="1">"c6408"</definedName>
    <definedName name="IQ_HG_ACQUIRED_FRANCHISE_HOTEL_PROPERTIES" hidden="1">"c8584"</definedName>
    <definedName name="IQ_HG_ACQUIRED_FRANCHISE_ROOMS" hidden="1">"c8614"</definedName>
    <definedName name="IQ_HG_ACQUIRED_HOTEL_PROPERTIES" hidden="1">"c8572"</definedName>
    <definedName name="IQ_HG_ACQUIRED_MANAGED_HOTEL_PROPERTIES" hidden="1">"c8590"</definedName>
    <definedName name="IQ_HG_ACQUIRED_MANAGED_ROOMS" hidden="1">"c8620"</definedName>
    <definedName name="IQ_HG_ACQUIRED_OTHER_HOTEL_PROPERTIES" hidden="1">"c8596"</definedName>
    <definedName name="IQ_HG_ACQUIRED_OTHER_ROOMS" hidden="1">"c8626"</definedName>
    <definedName name="IQ_HG_ACQUIRED_OWNED_HOTEL_PROPERTIES" hidden="1">"c8578"</definedName>
    <definedName name="IQ_HG_ACQUIRED_OWNED_ROOMS" hidden="1">"c8608"</definedName>
    <definedName name="IQ_HG_ACQUIRED_ROOMS" hidden="1">"c8602"</definedName>
    <definedName name="IQ_HG_ADR_CHANGE_FRANCHISE" hidden="1">"c8684"</definedName>
    <definedName name="IQ_HG_ADR_CHANGE_MANAGED" hidden="1">"c8685"</definedName>
    <definedName name="IQ_HG_ADR_CHANGE_OTHER" hidden="1">"c8686"</definedName>
    <definedName name="IQ_HG_ADR_CHANGE_OWNED" hidden="1">"c8683"</definedName>
    <definedName name="IQ_HG_ADR_CHANGE_OWNED_COMP" hidden="1">"c8709"</definedName>
    <definedName name="IQ_HG_ADR_CHANGE_TOTAL" hidden="1">"c8687"</definedName>
    <definedName name="IQ_HG_ADR_CHANGE_TOTAL_COMP" hidden="1">"c8710"</definedName>
    <definedName name="IQ_HG_ADR_FRANCHISE" hidden="1">"c8664"</definedName>
    <definedName name="IQ_HG_ADR_MANAGED" hidden="1">"c8665"</definedName>
    <definedName name="IQ_HG_ADR_OTHER" hidden="1">"c8666"</definedName>
    <definedName name="IQ_HG_ADR_OWNED" hidden="1">"c8663"</definedName>
    <definedName name="IQ_HG_ADR_OWNED_COMP" hidden="1">"c8701"</definedName>
    <definedName name="IQ_HG_ADR_TOTAL" hidden="1">"c8667"</definedName>
    <definedName name="IQ_HG_ADR_TOTAL_COMP" hidden="1">"c8702"</definedName>
    <definedName name="IQ_HG_CASINOS_JV" hidden="1">"c8631"</definedName>
    <definedName name="IQ_HG_CASINOS_MANAGED" hidden="1">"c8632"</definedName>
    <definedName name="IQ_HG_CASINOS_OWNED" hidden="1">"c8630"</definedName>
    <definedName name="IQ_HG_CASINOS_TOTAL" hidden="1">"c8633"</definedName>
    <definedName name="IQ_HG_CLOSED_FRANCHISE_HOTEL_PROPERTIES" hidden="1">"c8586"</definedName>
    <definedName name="IQ_HG_CLOSED_FRANCHISE_ROOMS" hidden="1">"c8616"</definedName>
    <definedName name="IQ_HG_CLOSED_HOTEL_PROPERTIES" hidden="1">"c8574"</definedName>
    <definedName name="IQ_HG_CLOSED_MANAGED_HOTEL_PROPERTIES" hidden="1">"c8592"</definedName>
    <definedName name="IQ_HG_CLOSED_MANAGED_ROOMS" hidden="1">"c8622"</definedName>
    <definedName name="IQ_HG_CLOSED_OTHER_HOTEL_PROPERTIES" hidden="1">"c8598"</definedName>
    <definedName name="IQ_HG_CLOSED_OTHER_ROOMS" hidden="1">"c8628"</definedName>
    <definedName name="IQ_HG_CLOSED_OWNED_HOTEL_PROPERTIES" hidden="1">"c8580"</definedName>
    <definedName name="IQ_HG_CLOSED_OWNED_ROOMS" hidden="1">"c8610"</definedName>
    <definedName name="IQ_HG_CLOSED_ROOMS" hidden="1">"c8604"</definedName>
    <definedName name="IQ_HG_EXP_CASINO" hidden="1">"c8733"</definedName>
    <definedName name="IQ_HG_EXP_DEVELOPMENT" hidden="1">"c8738"</definedName>
    <definedName name="IQ_HG_EXP_ENTERTAINMENT" hidden="1">"c8736"</definedName>
    <definedName name="IQ_HG_EXP_FOOD_BEV" hidden="1">"c8734"</definedName>
    <definedName name="IQ_HG_EXP_FRANCHISE_MANAGEMENT" hidden="1">"c8744"</definedName>
    <definedName name="IQ_HG_EXP_OTHER_MNGD_FRANCHISE_PROP" hidden="1">"c8742"</definedName>
    <definedName name="IQ_HG_EXP_OWNED_LEASED_CONSOL_JV" hidden="1">"c8740"</definedName>
    <definedName name="IQ_HG_EXP_REIMBURSEMENTS" hidden="1">"c8743"</definedName>
    <definedName name="IQ_HG_EXP_RETAIL" hidden="1">"c8737"</definedName>
    <definedName name="IQ_HG_EXP_ROOMS" hidden="1">"c8735"</definedName>
    <definedName name="IQ_HG_EXP_THEATRE_CONCESSION" hidden="1">"c8739"</definedName>
    <definedName name="IQ_HG_EXP_VACA_OWNERSHIP_RES" hidden="1">"c8741"</definedName>
    <definedName name="IQ_HG_FOOD_PROM_COSTS" hidden="1">"c8746"</definedName>
    <definedName name="IQ_HG_FRANCHISE_HOTEL_PROPERTIES_BEG" hidden="1">"c8582"</definedName>
    <definedName name="IQ_HG_FRANCHISE_ROOMS_BEG" hidden="1">"c8612"</definedName>
    <definedName name="IQ_HG_GAMING_SPACE_JV" hidden="1">"c8635"</definedName>
    <definedName name="IQ_HG_GAMING_SPACE_MANAGED" hidden="1">"c8636"</definedName>
    <definedName name="IQ_HG_GAMING_SPACE_OWNED" hidden="1">"c8634"</definedName>
    <definedName name="IQ_HG_GAMING_SPACE_TOTAL" hidden="1">"c8637"</definedName>
    <definedName name="IQ_HG_HOTEL_PROPERTIES_BEG" hidden="1">"c8570"</definedName>
    <definedName name="IQ_HG_LAND_AVAIL_JV" hidden="1">"c8647"</definedName>
    <definedName name="IQ_HG_LAND_AVAIL_MANAGED" hidden="1">"c8648"</definedName>
    <definedName name="IQ_HG_LAND_AVAIL_OWNED" hidden="1">"c8646"</definedName>
    <definedName name="IQ_HG_LAND_AVAIL_TOTAL" hidden="1">"c8649"</definedName>
    <definedName name="IQ_HG_LAND_JV" hidden="1">"c8651"</definedName>
    <definedName name="IQ_HG_LAND_MANAGED" hidden="1">"c8652"</definedName>
    <definedName name="IQ_HG_LAND_OWNED" hidden="1">"c8650"</definedName>
    <definedName name="IQ_HG_LAND_TOTAL" hidden="1">"c8653"</definedName>
    <definedName name="IQ_HG_MANAGED_HOTEL_PROPERTIES_BEG" hidden="1">"c8588"</definedName>
    <definedName name="IQ_HG_MANAGED_ROOMS_BEG" hidden="1">"c8618"</definedName>
    <definedName name="IQ_HG_OCCUPANCY_CHANGE_FRANCHISE" hidden="1">"c8675"</definedName>
    <definedName name="IQ_HG_OCCUPANCY_CHANGE_MANAGED" hidden="1">"c8677"</definedName>
    <definedName name="IQ_HG_OCCUPANCY_CHANGE_OTHER" hidden="1">"c8679"</definedName>
    <definedName name="IQ_HG_OCCUPANCY_CHANGE_OWNED" hidden="1">"c8673"</definedName>
    <definedName name="IQ_HG_OCCUPANCY_CHANGE_OWNED_COMP" hidden="1">"c8705"</definedName>
    <definedName name="IQ_HG_OCCUPANCY_CHANGE_TOTAL" hidden="1">"c8681"</definedName>
    <definedName name="IQ_HG_OCCUPANCY_CHANGE_TOTAL_COMP" hidden="1">"c8707"</definedName>
    <definedName name="IQ_HG_OCCUPANCY_FRANCHISE" hidden="1">"c8659"</definedName>
    <definedName name="IQ_HG_OCCUPANCY_INCDEC_FRANCHISE" hidden="1">"c8676"</definedName>
    <definedName name="IQ_HG_OCCUPANCY_INCDEC_MANAGED" hidden="1">"c8678"</definedName>
    <definedName name="IQ_HG_OCCUPANCY_INCDEC_OTHER" hidden="1">"c8680"</definedName>
    <definedName name="IQ_HG_OCCUPANCY_INCDEC_OWNED" hidden="1">"c8674"</definedName>
    <definedName name="IQ_HG_OCCUPANCY_INCDEC_OWNED_COMP" hidden="1">"c8706"</definedName>
    <definedName name="IQ_HG_OCCUPANCY_INCDEC_TOTAL" hidden="1">"c8682"</definedName>
    <definedName name="IQ_HG_OCCUPANCY_INCDEC_TOTAL_COMP" hidden="1">"c8708"</definedName>
    <definedName name="IQ_HG_OCCUPANCY_MANAGED" hidden="1">"c8660"</definedName>
    <definedName name="IQ_HG_OCCUPANCY_OTHER" hidden="1">"c8661"</definedName>
    <definedName name="IQ_HG_OCCUPANCY_OWNED" hidden="1">"c8658"</definedName>
    <definedName name="IQ_HG_OCCUPANCY_OWNED_COMP" hidden="1">"c8699"</definedName>
    <definedName name="IQ_HG_OCCUPANCY_TOTAL" hidden="1">"c8662"</definedName>
    <definedName name="IQ_HG_OCCUPANCY_TOTAL_COMP" hidden="1">"c8700"</definedName>
    <definedName name="IQ_HG_OPENED_FRANCHISE_HOTEL_PROPERTIES" hidden="1">"c8583"</definedName>
    <definedName name="IQ_HG_OPENED_FRANCHISE_ROOMS" hidden="1">"c8613"</definedName>
    <definedName name="IQ_HG_OPENED_HOTEL_PROPERTIES" hidden="1">"c8571"</definedName>
    <definedName name="IQ_HG_OPENED_MANAGED_HOTEL_PROPERTIES" hidden="1">"c8589"</definedName>
    <definedName name="IQ_HG_OPENED_MANAGED_ROOMS" hidden="1">"c8619"</definedName>
    <definedName name="IQ_HG_OPENED_OTHER_HOTEL_PROPERTIES" hidden="1">"c8595"</definedName>
    <definedName name="IQ_HG_OPENED_OTHER_ROOMS" hidden="1">"c8625"</definedName>
    <definedName name="IQ_HG_OPENED_OWNED_HOTEL_PROPERTIES" hidden="1">"c8577"</definedName>
    <definedName name="IQ_HG_OPENED_OWNED_ROOMS" hidden="1">"c8607"</definedName>
    <definedName name="IQ_HG_OPENED_ROOMS" hidden="1">"c8601"</definedName>
    <definedName name="IQ_HG_OTHER_HOTEL_PROPERTIES_BEG" hidden="1">"c8594"</definedName>
    <definedName name="IQ_HG_OTHER_PROM_COSTS" hidden="1">"c8747"</definedName>
    <definedName name="IQ_HG_OTHER_ROOMS_BEG" hidden="1">"c8624"</definedName>
    <definedName name="IQ_HG_OWNED_HOTEL_PROPERTIES_BEG" hidden="1">"c8576"</definedName>
    <definedName name="IQ_HG_OWNED_ROOMS_BEG" hidden="1">"c8606"</definedName>
    <definedName name="IQ_HG_PARKING_SPACES_JV" hidden="1">"c8655"</definedName>
    <definedName name="IQ_HG_PARKING_SPACES_MANAGED" hidden="1">"c8656"</definedName>
    <definedName name="IQ_HG_PARKING_SPACES_OWNED" hidden="1">"c8654"</definedName>
    <definedName name="IQ_HG_PARKING_SPACES_TOTAL" hidden="1">"c8657"</definedName>
    <definedName name="IQ_HG_REV_BASE_MANAGEMENT_FEES" hidden="1">"c8726"</definedName>
    <definedName name="IQ_HG_REV_CASINO" hidden="1">"c8713"</definedName>
    <definedName name="IQ_HG_REV_COST_REIMBURSEMENT" hidden="1">"c8728"</definedName>
    <definedName name="IQ_HG_REV_ENTERTAINMENT" hidden="1">"c8716"</definedName>
    <definedName name="IQ_HG_REV_FOOD_BEV" hidden="1">"c8714"</definedName>
    <definedName name="IQ_HG_REV_FRANCHISE" hidden="1">"c8725"</definedName>
    <definedName name="IQ_HG_REV_INCENTIVE_MANAGEMENT_FEES" hidden="1">"c8727"</definedName>
    <definedName name="IQ_HG_REV_MANAGEMENT_FEES" hidden="1">"c8718"</definedName>
    <definedName name="IQ_HG_REV_OTHER_MNGD_FRANCHISE_PROP" hidden="1">"c8730"</definedName>
    <definedName name="IQ_HG_REV_OTHER_OP_SEGMENT" hidden="1">"c8721"</definedName>
    <definedName name="IQ_HG_REV_OTHER_OWNERSHIP_MIX" hidden="1">"c8731"</definedName>
    <definedName name="IQ_HG_REV_OWNED_LEASED_CONSOL_JV_HOTELS" hidden="1">"c8724"</definedName>
    <definedName name="IQ_HG_REV_PROMOTIONAL_ALLOWANCE" hidden="1">"c8722"</definedName>
    <definedName name="IQ_HG_REV_RACING" hidden="1">"c8719"</definedName>
    <definedName name="IQ_HG_REV_RETAIL" hidden="1">"c8717"</definedName>
    <definedName name="IQ_HG_REV_ROOMS" hidden="1">"c8715"</definedName>
    <definedName name="IQ_HG_REV_THEATRE_CONCESSION" hidden="1">"c8720"</definedName>
    <definedName name="IQ_HG_REV_TOTAL_OP_SEGMENT" hidden="1">"c8723"</definedName>
    <definedName name="IQ_HG_REV_TOTAL_OWNERSHIP_MIX" hidden="1">"c8732"</definedName>
    <definedName name="IQ_HG_REV_VACA_OWNERSHIP_RES_SALES_SVCS" hidden="1">"c8729"</definedName>
    <definedName name="IQ_HG_REVENUES_CHANGE_OWNED_COMP" hidden="1">"c8697"</definedName>
    <definedName name="IQ_HG_REVENUES_CHANGE_TOTAL_COMP" hidden="1">"c8698"</definedName>
    <definedName name="IQ_HG_REVPAR_CHANGE_MANAGED" hidden="1">"c8690"</definedName>
    <definedName name="IQ_HG_REVPAR_CHANGE_OTHER" hidden="1">"c8691"</definedName>
    <definedName name="IQ_HG_REVPAR_CHANGE_OWNED" hidden="1">"c8688"</definedName>
    <definedName name="IQ_HG_REVPAR_CHANGE_OWNED_COMP" hidden="1">"c8711"</definedName>
    <definedName name="IQ_HG_REVPAR_CHANGE_TOTAL" hidden="1">"c8692"</definedName>
    <definedName name="IQ_HG_REVPAR_CHANGE_TOTAL_COMP" hidden="1">"c8712"</definedName>
    <definedName name="IQ_HG_REVPAR_CHNAGE_FRANCHISE" hidden="1">"c8689"</definedName>
    <definedName name="IQ_HG_REVPAR_FRANCHISE" hidden="1">"c8669"</definedName>
    <definedName name="IQ_HG_REVPAR_MANAGED" hidden="1">"c8670"</definedName>
    <definedName name="IQ_HG_REVPAR_OTHER" hidden="1">"c8671"</definedName>
    <definedName name="IQ_HG_REVPAR_OWNED" hidden="1">"c8668"</definedName>
    <definedName name="IQ_HG_REVPAR_OWNED_COMP" hidden="1">"c8703"</definedName>
    <definedName name="IQ_HG_REVPAR_TOTAL" hidden="1">"c8672"</definedName>
    <definedName name="IQ_HG_REVPAR_TOTAL_COMP" hidden="1">"c8704"</definedName>
    <definedName name="IQ_HG_ROOM_PROM_COSTS" hidden="1">"c8745"</definedName>
    <definedName name="IQ_HG_ROOMS_BEG" hidden="1">"c8600"</definedName>
    <definedName name="IQ_HG_SLOT_MACHINES_JV" hidden="1">"c8639"</definedName>
    <definedName name="IQ_HG_SLOT_MACHINES_MANAGED" hidden="1">"c8640"</definedName>
    <definedName name="IQ_HG_SLOT_MACHINES_OWNED" hidden="1">"c8638"</definedName>
    <definedName name="IQ_HG_SLOT_MACHINES_TOTAL" hidden="1">"c8641"</definedName>
    <definedName name="IQ_HG_SOLD_FRANCHISE_HOTEL_PROPERTIES" hidden="1">"c8585"</definedName>
    <definedName name="IQ_HG_SOLD_FRANCHISE_ROOMS" hidden="1">"c8615"</definedName>
    <definedName name="IQ_HG_SOLD_HOTEL_PROPERTIES" hidden="1">"c8573"</definedName>
    <definedName name="IQ_HG_SOLD_MANAGED_HOTEL_PROPERTIES" hidden="1">"c8591"</definedName>
    <definedName name="IQ_HG_SOLD_MANAGED_ROOMS" hidden="1">"c8621"</definedName>
    <definedName name="IQ_HG_SOLD_OTHER_HOTEL_PROPERTIES" hidden="1">"c8597"</definedName>
    <definedName name="IQ_HG_SOLD_OTHER_ROOMS" hidden="1">"c8627"</definedName>
    <definedName name="IQ_HG_SOLD_OWNED_HOTEL_PROPERTIES" hidden="1">"c8579"</definedName>
    <definedName name="IQ_HG_SOLD_OWNED_ROOMS" hidden="1">"c8609"</definedName>
    <definedName name="IQ_HG_SOLD_ROOMS" hidden="1">"c8603"</definedName>
    <definedName name="IQ_HG_TABLE_GAMES_JV" hidden="1">"c8643"</definedName>
    <definedName name="IQ_HG_TABLE_GAMES_MANAGED" hidden="1">"c8644"</definedName>
    <definedName name="IQ_HG_TABLE_GAMES_OWNED" hidden="1">"c8642"</definedName>
    <definedName name="IQ_HG_TABLE_GAMES_TOTAL" hidden="1">"c8645"</definedName>
    <definedName name="IQ_HG_TOTAL_FRANCHISE_HOTEL_PROPERTIES" hidden="1">"c8587"</definedName>
    <definedName name="IQ_HG_TOTAL_FRANCHISE_ROOMS" hidden="1">"c8617"</definedName>
    <definedName name="IQ_HG_TOTAL_HOTEL_PROPERTIES" hidden="1">"c8575"</definedName>
    <definedName name="IQ_HG_TOTAL_MANAGED_HOTEL_PROPERTIES" hidden="1">"c8593"</definedName>
    <definedName name="IQ_HG_TOTAL_MANAGED_ROOMS" hidden="1">"c8623"</definedName>
    <definedName name="IQ_HG_TOTAL_OTHER_HOTEL_PROPERTIES" hidden="1">"c8599"</definedName>
    <definedName name="IQ_HG_TOTAL_OTHER_ROOMS" hidden="1">"c8629"</definedName>
    <definedName name="IQ_HG_TOTAL_OWNED_HOTEL_PROPERTIES" hidden="1">"c8581"</definedName>
    <definedName name="IQ_HG_TOTAL_OWNED_PROPERTIES_COMP" hidden="1">"c8693"</definedName>
    <definedName name="IQ_HG_TOTAL_OWNED_ROOMS" hidden="1">"c8611"</definedName>
    <definedName name="IQ_HG_TOTAL_OWNED_ROOMS_COMP" hidden="1">"c8695"</definedName>
    <definedName name="IQ_HG_TOTAL_PROM_COSTS" hidden="1">"c8748"</definedName>
    <definedName name="IQ_HG_TOTAL_PROPERTIES_COMP" hidden="1">"c8694"</definedName>
    <definedName name="IQ_HG_TOTAL_ROOMS" hidden="1">"c8605"</definedName>
    <definedName name="IQ_HG_TOTAL_ROOMS_COMP" hidden="1">"c8696"</definedName>
    <definedName name="IQ_HIGH_LOW_CLOSEPRICE_DATE" hidden="1">"c1204"</definedName>
    <definedName name="IQ_HIGH_TARGET_PRICE" hidden="1">"c1651"</definedName>
    <definedName name="IQ_HIGH_TARGET_PRICE_CIQ" hidden="1">"c4659"</definedName>
    <definedName name="IQ_HIGH_TARGET_PRICE_REUT" hidden="1">"c5317"</definedName>
    <definedName name="IQ_HIGH_TARGET_PRICE_THOM" hidden="1">"c5096"</definedName>
    <definedName name="IQ_HIGHPRICE" hidden="1">"c545"</definedName>
    <definedName name="IQ_HOLDER_CIQID" hidden="1">"c13787"</definedName>
    <definedName name="IQ_HOLDER_CIQID_SECURITY" hidden="1">"c13794"</definedName>
    <definedName name="IQ_HOLDER_DERIVATIVES" hidden="1">"c13789"</definedName>
    <definedName name="IQ_HOLDER_DERIVATIVES_SECURITY" hidden="1">"c13796"</definedName>
    <definedName name="IQ_HOLDER_NAME" hidden="1">"c13786"</definedName>
    <definedName name="IQ_HOLDER_NAME_SECURITY" hidden="1">"c13793"</definedName>
    <definedName name="IQ_HOLDER_PERCENT" hidden="1">"c13790"</definedName>
    <definedName name="IQ_HOLDER_PERCENT_SECURITY" hidden="1">"c13831"</definedName>
    <definedName name="IQ_HOLDER_POSITION_DATE" hidden="1">"c13792"</definedName>
    <definedName name="IQ_HOLDER_POSITION_DATE_SECURITY" hidden="1">"c13798"</definedName>
    <definedName name="IQ_HOLDER_SHARES" hidden="1">"c13788"</definedName>
    <definedName name="IQ_HOLDER_SHARES_SECURITY" hidden="1">"c13795"</definedName>
    <definedName name="IQ_HOLDER_VALUE" hidden="1">"c13791"</definedName>
    <definedName name="IQ_HOLDER_VALUE_SECURITY" hidden="1">"c13797"</definedName>
    <definedName name="IQ_HOLDING_CIQID" hidden="1">"c13802"</definedName>
    <definedName name="IQ_HOLDING_NAME" hidden="1">"c13799"</definedName>
    <definedName name="IQ_HOLDING_PERCENT" hidden="1">"c13805"</definedName>
    <definedName name="IQ_HOLDING_PERCENT_PORTFOLIO" hidden="1">"c13806"</definedName>
    <definedName name="IQ_HOLDING_POSITION_DATE" hidden="1">"c13808"</definedName>
    <definedName name="IQ_HOLDING_SECURITY_TYPE" hidden="1">"c13803"</definedName>
    <definedName name="IQ_HOLDING_SHARES" hidden="1">"c13804"</definedName>
    <definedName name="IQ_HOLDING_TICKER" hidden="1">"c13800"</definedName>
    <definedName name="IQ_HOLDING_TRADING_ITEM_CIQID" hidden="1">"c13801"</definedName>
    <definedName name="IQ_HOLDING_VALUE" hidden="1">"c13807"</definedName>
    <definedName name="IQ_HOME_AVG_LOAN_SIZE" hidden="1">"c5911"</definedName>
    <definedName name="IQ_HOME_BACKLOG" hidden="1">"c5844"</definedName>
    <definedName name="IQ_HOME_BACKLOG_AVG_JV" hidden="1">"c5848"</definedName>
    <definedName name="IQ_HOME_BACKLOG_AVG_JV_GROWTH" hidden="1">"c5928"</definedName>
    <definedName name="IQ_HOME_BACKLOG_AVG_JV_INC" hidden="1">"c5851"</definedName>
    <definedName name="IQ_HOME_BACKLOG_AVG_JV_INC_GROWTH" hidden="1">"c5931"</definedName>
    <definedName name="IQ_HOME_BACKLOG_AVG_PRICE" hidden="1">"c5845"</definedName>
    <definedName name="IQ_HOME_BACKLOG_AVG_PRICE_GROWTH" hidden="1">"c5925"</definedName>
    <definedName name="IQ_HOME_BACKLOG_GROWTH" hidden="1">"c5924"</definedName>
    <definedName name="IQ_HOME_BACKLOG_JV" hidden="1">"c5847"</definedName>
    <definedName name="IQ_HOME_BACKLOG_JV_GROWTH" hidden="1">"c5927"</definedName>
    <definedName name="IQ_HOME_BACKLOG_JV_INC" hidden="1">"c5850"</definedName>
    <definedName name="IQ_HOME_BACKLOG_JV_INC_GROWTH" hidden="1">"c5930"</definedName>
    <definedName name="IQ_HOME_BACKLOG_VALUE" hidden="1">"c5846"</definedName>
    <definedName name="IQ_HOME_BACKLOG_VALUE_GROWTH" hidden="1">"c5926"</definedName>
    <definedName name="IQ_HOME_BACKLOG_VALUE_JV" hidden="1">"c5849"</definedName>
    <definedName name="IQ_HOME_BACKLOG_VALUE_JV_GROWTH" hidden="1">"c5929"</definedName>
    <definedName name="IQ_HOME_BACKLOG_VALUE_JV_INC" hidden="1">"c5852"</definedName>
    <definedName name="IQ_HOME_BACKLOG_VALUE_JV_INC_GROWTH" hidden="1">"c5932"</definedName>
    <definedName name="IQ_HOME_COMMUNITIES_ACTIVE" hidden="1">"c5862"</definedName>
    <definedName name="IQ_HOME_COMMUNITIES_ACTIVE_GROWTH" hidden="1">"c5942"</definedName>
    <definedName name="IQ_HOME_COMMUNITIES_ACTIVE_JV" hidden="1">"c5863"</definedName>
    <definedName name="IQ_HOME_COMMUNITIES_ACTIVE_JV_GROWTH" hidden="1">"c5943"</definedName>
    <definedName name="IQ_HOME_COMMUNITIES_ACTIVE_JV_INC" hidden="1">"c5864"</definedName>
    <definedName name="IQ_HOME_COMMUNITIES_ACTIVE_JV_INC_GROWTH" hidden="1">"c5944"</definedName>
    <definedName name="IQ_HOME_COST_CONSTRUCTION_SVCS" hidden="1">"c5882"</definedName>
    <definedName name="IQ_HOME_COST_ELIMINATIONS_OTHER" hidden="1">"c5883"</definedName>
    <definedName name="IQ_HOME_COST_FINANCIAL_SVCS" hidden="1">"c5881"</definedName>
    <definedName name="IQ_HOME_COST_HOUSING" hidden="1">"c5877"</definedName>
    <definedName name="IQ_HOME_COST_LAND_LOT" hidden="1">"c5878"</definedName>
    <definedName name="IQ_HOME_COST_OTHER_HOMEBUILDING" hidden="1">"c5879"</definedName>
    <definedName name="IQ_HOME_COST_TOTAL" hidden="1">"c5884"</definedName>
    <definedName name="IQ_HOME_COST_TOTAL_HOMEBUILDING" hidden="1">"c5880"</definedName>
    <definedName name="IQ_HOME_DELIVERED" hidden="1">"c5835"</definedName>
    <definedName name="IQ_HOME_DELIVERED_AVG_PRICE" hidden="1">"c5836"</definedName>
    <definedName name="IQ_HOME_DELIVERED_AVG_PRICE_GROWTH" hidden="1">"c5916"</definedName>
    <definedName name="IQ_HOME_DELIVERED_AVG_PRICE_JV" hidden="1">"c5839"</definedName>
    <definedName name="IQ_HOME_DELIVERED_AVG_PRICE_JV_GROWTH" hidden="1">"c5919"</definedName>
    <definedName name="IQ_HOME_DELIVERED_AVG_PRICE_JV_INC" hidden="1">"c5842"</definedName>
    <definedName name="IQ_HOME_DELIVERED_AVG_PRICE_JV_INC_GROWTH" hidden="1">"c5922"</definedName>
    <definedName name="IQ_HOME_DELIVERED_GROWTH" hidden="1">"c5915"</definedName>
    <definedName name="IQ_HOME_DELIVERED_JV" hidden="1">"c5838"</definedName>
    <definedName name="IQ_HOME_DELIVERED_JV_GROWTH" hidden="1">"c5918"</definedName>
    <definedName name="IQ_HOME_DELIVERED_JV_INC" hidden="1">"c5841"</definedName>
    <definedName name="IQ_HOME_DELIVERED_JV_INC_GROWTH" hidden="1">"c5921"</definedName>
    <definedName name="IQ_HOME_DELIVERED_VALUE" hidden="1">"c5837"</definedName>
    <definedName name="IQ_HOME_DELIVERED_VALUE_GROWTH" hidden="1">"c5917"</definedName>
    <definedName name="IQ_HOME_DELIVERED_VALUE_JV" hidden="1">"c5840"</definedName>
    <definedName name="IQ_HOME_DELIVERED_VALUE_JV_GROWTH" hidden="1">"c5920"</definedName>
    <definedName name="IQ_HOME_DELIVERED_VALUE_JV_INC" hidden="1">"c5843"</definedName>
    <definedName name="IQ_HOME_DELIVERED_VALUE_JV_INC_GROWTH" hidden="1">"c5923"</definedName>
    <definedName name="IQ_HOME_EQUITY_LOANS_TOT_LOANS_FFIEC" hidden="1">"c13867"</definedName>
    <definedName name="IQ_HOME_EQUITY_LOC_NET_CHARGE_OFFS_FDIC" hidden="1">"c6644"</definedName>
    <definedName name="IQ_HOME_EQUITY_LOC_TOTAL_CHARGE_OFFS_FDIC" hidden="1">"c6606"</definedName>
    <definedName name="IQ_HOME_EQUITY_LOC_TOTAL_RECOVERIES_FDIC" hidden="1">"c6625"</definedName>
    <definedName name="IQ_HOME_FINISHED_HOMES_CIP" hidden="1">"c5865"</definedName>
    <definedName name="IQ_HOME_FIRSTLIEN_MORT_ORIGINATED" hidden="1">"c5905"</definedName>
    <definedName name="IQ_HOME_FIRSTLIEN_MORT_ORIGINATED_VOL" hidden="1">"c5908"</definedName>
    <definedName name="IQ_HOME_HUC" hidden="1">"c5822"</definedName>
    <definedName name="IQ_HOME_HUC_JV" hidden="1">"c5823"</definedName>
    <definedName name="IQ_HOME_HUC_JV_INC" hidden="1">"c5824"</definedName>
    <definedName name="IQ_HOME_INV_NOT_OWNED" hidden="1">"c5868"</definedName>
    <definedName name="IQ_HOME_LAND_DEVELOPMENT" hidden="1">"c5866"</definedName>
    <definedName name="IQ_HOME_LAND_FUTURE_DEVELOPMENT" hidden="1">"c5867"</definedName>
    <definedName name="IQ_HOME_LOAN_APPLICATIONS" hidden="1">"c5910"</definedName>
    <definedName name="IQ_HOME_LOANS_SOLD_COUNT" hidden="1">"c5912"</definedName>
    <definedName name="IQ_HOME_LOANS_SOLD_VALUE" hidden="1">"c5913"</definedName>
    <definedName name="IQ_HOME_LOTS_CONTROLLED" hidden="1">"c5831"</definedName>
    <definedName name="IQ_HOME_LOTS_FINISHED" hidden="1">"c5827"</definedName>
    <definedName name="IQ_HOME_LOTS_HELD_SALE" hidden="1">"c5830"</definedName>
    <definedName name="IQ_HOME_LOTS_JV" hidden="1">"c5833"</definedName>
    <definedName name="IQ_HOME_LOTS_JV_INC" hidden="1">"c5834"</definedName>
    <definedName name="IQ_HOME_LOTS_OTHER" hidden="1">"c5832"</definedName>
    <definedName name="IQ_HOME_LOTS_OWNED" hidden="1">"c5828"</definedName>
    <definedName name="IQ_HOME_LOTS_UNDER_DEVELOPMENT" hidden="1">"c5826"</definedName>
    <definedName name="IQ_HOME_LOTS_UNDER_OPTION" hidden="1">"c5829"</definedName>
    <definedName name="IQ_HOME_LOTS_UNDEVELOPED" hidden="1">"c5825"</definedName>
    <definedName name="IQ_HOME_MORT_CAPTURE_RATE" hidden="1">"c5906"</definedName>
    <definedName name="IQ_HOME_MORT_ORIGINATED" hidden="1">"c5907"</definedName>
    <definedName name="IQ_HOME_OBLIGATIONS_INV_NOT_OWNED" hidden="1">"c5914"</definedName>
    <definedName name="IQ_HOME_ORDERS" hidden="1">"c5853"</definedName>
    <definedName name="IQ_HOME_ORDERS_AVG_PRICE" hidden="1">"c5854"</definedName>
    <definedName name="IQ_HOME_ORDERS_AVG_PRICE_GROWTH" hidden="1">"c5934"</definedName>
    <definedName name="IQ_HOME_ORDERS_AVG_PRICE_JV" hidden="1">"c5857"</definedName>
    <definedName name="IQ_HOME_ORDERS_AVG_PRICE_JV_GROWTH" hidden="1">"c5937"</definedName>
    <definedName name="IQ_HOME_ORDERS_AVG_PRICE_JV_INC" hidden="1">"c5860"</definedName>
    <definedName name="IQ_HOME_ORDERS_AVG_PRICE_JV_INC_GROWTH" hidden="1">"c5940"</definedName>
    <definedName name="IQ_HOME_ORDERS_GROWTH" hidden="1">"c5933"</definedName>
    <definedName name="IQ_HOME_ORDERS_JV" hidden="1">"c5856"</definedName>
    <definedName name="IQ_HOME_ORDERS_JV_GROWTH" hidden="1">"c5936"</definedName>
    <definedName name="IQ_HOME_ORDERS_JV_INC" hidden="1">"c5859"</definedName>
    <definedName name="IQ_HOME_ORDERS_JV_INC_GROWTH" hidden="1">"c5939"</definedName>
    <definedName name="IQ_HOME_ORDERS_VALUE" hidden="1">"c5855"</definedName>
    <definedName name="IQ_HOME_ORDERS_VALUE_GROWTH" hidden="1">"c5935"</definedName>
    <definedName name="IQ_HOME_ORDERS_VALUE_JV" hidden="1">"c5858"</definedName>
    <definedName name="IQ_HOME_ORDERS_VALUE_JV_GROWTH" hidden="1">"c5938"</definedName>
    <definedName name="IQ_HOME_ORDERS_VALUE_JV_INC" hidden="1">"c5861"</definedName>
    <definedName name="IQ_HOME_ORDERS_VALUE_JV_INC_GROWTH" hidden="1">"c5941"</definedName>
    <definedName name="IQ_HOME_ORIGINATION_TOTAL" hidden="1">"c5909"</definedName>
    <definedName name="IQ_HOME_PRETAX_INC_CONSTRUCTION_SVCS" hidden="1">"c5890"</definedName>
    <definedName name="IQ_HOME_PRETAX_INC_ELIMINATIONS_OTHER" hidden="1">"c5891"</definedName>
    <definedName name="IQ_HOME_PRETAX_INC_FINANCIAL_SVCS" hidden="1">"c5889"</definedName>
    <definedName name="IQ_HOME_PRETAX_INC_HOUSING" hidden="1">"c5885"</definedName>
    <definedName name="IQ_HOME_PRETAX_INC_LAND_LOT" hidden="1">"c5886"</definedName>
    <definedName name="IQ_HOME_PRETAX_INC_OTHER_HOMEBUILDING" hidden="1">"c5887"</definedName>
    <definedName name="IQ_HOME_PRETAX_INC_TOTAL" hidden="1">"c5892"</definedName>
    <definedName name="IQ_HOME_PRETAX_INC_TOTAL_HOMEBUILDING" hidden="1">"c5888"</definedName>
    <definedName name="IQ_HOME_PURCH_OBLIGATION_1YR" hidden="1">"c5898"</definedName>
    <definedName name="IQ_HOME_PURCH_OBLIGATION_2YR" hidden="1">"c5899"</definedName>
    <definedName name="IQ_HOME_PURCH_OBLIGATION_3YR" hidden="1">"c5900"</definedName>
    <definedName name="IQ_HOME_PURCH_OBLIGATION_4YR" hidden="1">"c5901"</definedName>
    <definedName name="IQ_HOME_PURCH_OBLIGATION_5YR" hidden="1">"c5902"</definedName>
    <definedName name="IQ_HOME_PURCH_OBLIGATION_AFTER5" hidden="1">"c5903"</definedName>
    <definedName name="IQ_HOME_PURCH_OBLIGATION_TOTAL" hidden="1">"c5904"</definedName>
    <definedName name="IQ_HOME_REV_CONSTRUCTION_SERVICES" hidden="1">"c5874"</definedName>
    <definedName name="IQ_HOME_REV_ELIMINATIONS_OTHER" hidden="1">"c5875"</definedName>
    <definedName name="IQ_HOME_REV_FINANCIAL_SERVICES" hidden="1">"c5873"</definedName>
    <definedName name="IQ_HOME_REV_HOUSING" hidden="1">"c5872"</definedName>
    <definedName name="IQ_HOME_REV_LAND_LOT" hidden="1">"c5870"</definedName>
    <definedName name="IQ_HOME_REV_OTHER_HOMEBUILDING" hidden="1">"c5871"</definedName>
    <definedName name="IQ_HOME_REV_TOTAL" hidden="1">"c5876"</definedName>
    <definedName name="IQ_HOME_SALES_NEW" hidden="1">"c6924"</definedName>
    <definedName name="IQ_HOME_SALES_NEW_APR" hidden="1">"c7584"</definedName>
    <definedName name="IQ_HOME_SALES_NEW_APR_FC" hidden="1">"c8464"</definedName>
    <definedName name="IQ_HOME_SALES_NEW_FC" hidden="1">"c7804"</definedName>
    <definedName name="IQ_HOME_SALES_NEW_POP" hidden="1">"c7144"</definedName>
    <definedName name="IQ_HOME_SALES_NEW_POP_FC" hidden="1">"c8024"</definedName>
    <definedName name="IQ_HOME_SALES_NEW_YOY" hidden="1">"c7364"</definedName>
    <definedName name="IQ_HOME_SALES_NEW_YOY_FC" hidden="1">"c8244"</definedName>
    <definedName name="IQ_HOME_TOTAL_INV" hidden="1">"c5869"</definedName>
    <definedName name="IQ_HOME_WARRANTY_RES_BEG" hidden="1">"c5893"</definedName>
    <definedName name="IQ_HOME_WARRANTY_RES_END" hidden="1">"c5897"</definedName>
    <definedName name="IQ_HOME_WARRANTY_RES_ISS" hidden="1">"c5894"</definedName>
    <definedName name="IQ_HOME_WARRANTY_RES_OTHER" hidden="1">"c5896"</definedName>
    <definedName name="IQ_HOME_WARRANTY_RES_PAY" hidden="1">"c5895"</definedName>
    <definedName name="IQ_HOMEOWNERS_WRITTEN" hidden="1">"c546"</definedName>
    <definedName name="IQ_HOURLY_COMP" hidden="1">"c6879"</definedName>
    <definedName name="IQ_HOURLY_COMP_APR" hidden="1">"c7539"</definedName>
    <definedName name="IQ_HOURLY_COMP_APR_FC" hidden="1">"c8419"</definedName>
    <definedName name="IQ_HOURLY_COMP_FC" hidden="1">"c7759"</definedName>
    <definedName name="IQ_HOURLY_COMP_POP" hidden="1">"c7099"</definedName>
    <definedName name="IQ_HOURLY_COMP_POP_FC" hidden="1">"c7979"</definedName>
    <definedName name="IQ_HOURLY_COMP_YOY" hidden="1">"c7319"</definedName>
    <definedName name="IQ_HOURLY_COMP_YOY_FC" hidden="1">"c8199"</definedName>
    <definedName name="IQ_HOUSING_COMPLETIONS" hidden="1">"c6881"</definedName>
    <definedName name="IQ_HOUSING_COMPLETIONS_APR" hidden="1">"c7541"</definedName>
    <definedName name="IQ_HOUSING_COMPLETIONS_APR_FC" hidden="1">"c8421"</definedName>
    <definedName name="IQ_HOUSING_COMPLETIONS_FC" hidden="1">"c7761"</definedName>
    <definedName name="IQ_HOUSING_COMPLETIONS_POP" hidden="1">"c7101"</definedName>
    <definedName name="IQ_HOUSING_COMPLETIONS_POP_FC" hidden="1">"c7981"</definedName>
    <definedName name="IQ_HOUSING_COMPLETIONS_SINGLE_FAM_APR_FC_UNUSED" hidden="1">"c8422"</definedName>
    <definedName name="IQ_HOUSING_COMPLETIONS_SINGLE_FAM_APR_UNUSED" hidden="1">"c7542"</definedName>
    <definedName name="IQ_HOUSING_COMPLETIONS_SINGLE_FAM_FC_UNUSED" hidden="1">"c7762"</definedName>
    <definedName name="IQ_HOUSING_COMPLETIONS_SINGLE_FAM_POP_FC_UNUSED" hidden="1">"c7982"</definedName>
    <definedName name="IQ_HOUSING_COMPLETIONS_SINGLE_FAM_POP_UNUSED" hidden="1">"c7102"</definedName>
    <definedName name="IQ_HOUSING_COMPLETIONS_SINGLE_FAM_UNUSED" hidden="1">"c6882"</definedName>
    <definedName name="IQ_HOUSING_COMPLETIONS_SINGLE_FAM_YOY_FC_UNUSED" hidden="1">"c8202"</definedName>
    <definedName name="IQ_HOUSING_COMPLETIONS_SINGLE_FAM_YOY_UNUSED" hidden="1">"c7322"</definedName>
    <definedName name="IQ_HOUSING_COMPLETIONS_YOY" hidden="1">"c7321"</definedName>
    <definedName name="IQ_HOUSING_COMPLETIONS_YOY_FC" hidden="1">"c8201"</definedName>
    <definedName name="IQ_HOUSING_PERMITS" hidden="1">"c6883"</definedName>
    <definedName name="IQ_HOUSING_PERMITS_APR" hidden="1">"c7543"</definedName>
    <definedName name="IQ_HOUSING_PERMITS_APR_FC" hidden="1">"c8423"</definedName>
    <definedName name="IQ_HOUSING_PERMITS_FC" hidden="1">"c7763"</definedName>
    <definedName name="IQ_HOUSING_PERMITS_POP" hidden="1">"c7103"</definedName>
    <definedName name="IQ_HOUSING_PERMITS_POP_FC" hidden="1">"c7983"</definedName>
    <definedName name="IQ_HOUSING_PERMITS_YOY" hidden="1">"c7323"</definedName>
    <definedName name="IQ_HOUSING_PERMITS_YOY_FC" hidden="1">"c8203"</definedName>
    <definedName name="IQ_HOUSING_STARTS" hidden="1">"c6884"</definedName>
    <definedName name="IQ_HOUSING_STARTS_APR" hidden="1">"c7544"</definedName>
    <definedName name="IQ_HOUSING_STARTS_APR_FC" hidden="1">"c8424"</definedName>
    <definedName name="IQ_HOUSING_STARTS_FC" hidden="1">"c7764"</definedName>
    <definedName name="IQ_HOUSING_STARTS_POP" hidden="1">"c7104"</definedName>
    <definedName name="IQ_HOUSING_STARTS_POP_FC" hidden="1">"c7984"</definedName>
    <definedName name="IQ_HOUSING_STARTS_SAAR" hidden="1">"c6885"</definedName>
    <definedName name="IQ_HOUSING_STARTS_SAAR_APR" hidden="1">"c7545"</definedName>
    <definedName name="IQ_HOUSING_STARTS_SAAR_APR_FC" hidden="1">"c8425"</definedName>
    <definedName name="IQ_HOUSING_STARTS_SAAR_FC" hidden="1">"c7765"</definedName>
    <definedName name="IQ_HOUSING_STARTS_SAAR_POP" hidden="1">"c7105"</definedName>
    <definedName name="IQ_HOUSING_STARTS_SAAR_POP_FC" hidden="1">"c7985"</definedName>
    <definedName name="IQ_HOUSING_STARTS_SAAR_YOY" hidden="1">"c7325"</definedName>
    <definedName name="IQ_HOUSING_STARTS_SAAR_YOY_FC" hidden="1">"c8205"</definedName>
    <definedName name="IQ_HOUSING_STARTS_YOY" hidden="1">"c7324"</definedName>
    <definedName name="IQ_HOUSING_STARTS_YOY_FC" hidden="1">"c8204"</definedName>
    <definedName name="IQ_HRS_WORKED_FULL_PT" hidden="1">"c6880"</definedName>
    <definedName name="IQ_HRS_WORKED_FULL_PT_APR" hidden="1">"c7540"</definedName>
    <definedName name="IQ_HRS_WORKED_FULL_PT_APR_FC" hidden="1">"c8420"</definedName>
    <definedName name="IQ_HRS_WORKED_FULL_PT_FC" hidden="1">"c7760"</definedName>
    <definedName name="IQ_HRS_WORKED_FULL_PT_POP" hidden="1">"c7100"</definedName>
    <definedName name="IQ_HRS_WORKED_FULL_PT_POP_FC" hidden="1">"c7980"</definedName>
    <definedName name="IQ_HRS_WORKED_FULL_PT_YOY" hidden="1">"c7320"</definedName>
    <definedName name="IQ_HRS_WORKED_FULL_PT_YOY_FC" hidden="1">"c8200"</definedName>
    <definedName name="IQ_HTM_INVEST_SECURITIES_FFIEC" hidden="1">"c13455"</definedName>
    <definedName name="IQ_HTM_SECURITIES_TIER_1_FFIEC" hidden="1">"c13342"</definedName>
    <definedName name="IQ_IM_AVG_REV_PER_CLICK" hidden="1">"c9991"</definedName>
    <definedName name="IQ_IM_NUMBER_PAGE_VIEWS" hidden="1">"c9993"</definedName>
    <definedName name="IQ_IM_NUMBER_PAID_CLICKS" hidden="1">"c9995"</definedName>
    <definedName name="IQ_IM_NUMBER_PAID_CLICKS_GROWTH" hidden="1">"c9996"</definedName>
    <definedName name="IQ_IM_PAGE_VIEWS_GROWTH" hidden="1">"c9994"</definedName>
    <definedName name="IQ_IM_REV_PER_PAGE_VIEW_GROWTH" hidden="1">"c9992"</definedName>
    <definedName name="IQ_IM_TRAFFIC_ACQUISITION_CHANGE" hidden="1">"c9998"</definedName>
    <definedName name="IQ_IM_TRAFFIC_ACQUISITION_COST_TO_AD_REV_RATIO" hidden="1">"c10000"</definedName>
    <definedName name="IQ_IM_TRAFFIC_ACQUISITION_COST_TO_TOTAL_REV_RATIO" hidden="1">"c9999"</definedName>
    <definedName name="IQ_IM_TRAFFIC_ACQUISITION_COSTS" hidden="1">"c9997"</definedName>
    <definedName name="IQ_IMPAIR_OIL" hidden="1">"c547"</definedName>
    <definedName name="IQ_IMPAIRMENT_GW" hidden="1">"c548"</definedName>
    <definedName name="IQ_IMPAIRMENT_GW_SUPPLE" hidden="1">"c13811"</definedName>
    <definedName name="IQ_IMPORT_PRICE_INDEX" hidden="1">"c6886"</definedName>
    <definedName name="IQ_IMPORT_PRICE_INDEX_APR" hidden="1">"c7546"</definedName>
    <definedName name="IQ_IMPORT_PRICE_INDEX_APR_FC" hidden="1">"c8426"</definedName>
    <definedName name="IQ_IMPORT_PRICE_INDEX_FC" hidden="1">"c7766"</definedName>
    <definedName name="IQ_IMPORT_PRICE_INDEX_POP" hidden="1">"c7106"</definedName>
    <definedName name="IQ_IMPORT_PRICE_INDEX_POP_FC" hidden="1">"c7986"</definedName>
    <definedName name="IQ_IMPORT_PRICE_INDEX_YOY" hidden="1">"c7326"</definedName>
    <definedName name="IQ_IMPORT_PRICE_INDEX_YOY_FC" hidden="1">"c8206"</definedName>
    <definedName name="IQ_IMPORTS_GOODS" hidden="1">"c6887"</definedName>
    <definedName name="IQ_IMPORTS_GOODS_APR" hidden="1">"c7547"</definedName>
    <definedName name="IQ_IMPORTS_GOODS_APR_FC" hidden="1">"c8427"</definedName>
    <definedName name="IQ_IMPORTS_GOODS_FC" hidden="1">"c7767"</definedName>
    <definedName name="IQ_IMPORTS_GOODS_NONFACTOR_SERVICES" hidden="1">"c6888"</definedName>
    <definedName name="IQ_IMPORTS_GOODS_NONFACTOR_SERVICES_APR" hidden="1">"c7548"</definedName>
    <definedName name="IQ_IMPORTS_GOODS_NONFACTOR_SERVICES_APR_FC" hidden="1">"c8428"</definedName>
    <definedName name="IQ_IMPORTS_GOODS_NONFACTOR_SERVICES_FC" hidden="1">"c7768"</definedName>
    <definedName name="IQ_IMPORTS_GOODS_NONFACTOR_SERVICES_POP" hidden="1">"c7108"</definedName>
    <definedName name="IQ_IMPORTS_GOODS_NONFACTOR_SERVICES_POP_FC" hidden="1">"c7988"</definedName>
    <definedName name="IQ_IMPORTS_GOODS_NONFACTOR_SERVICES_YOY" hidden="1">"c7328"</definedName>
    <definedName name="IQ_IMPORTS_GOODS_NONFACTOR_SERVICES_YOY_FC" hidden="1">"c8208"</definedName>
    <definedName name="IQ_IMPORTS_GOODS_POP" hidden="1">"c7107"</definedName>
    <definedName name="IQ_IMPORTS_GOODS_POP_FC" hidden="1">"c7987"</definedName>
    <definedName name="IQ_IMPORTS_GOODS_REAL" hidden="1">"c11950"</definedName>
    <definedName name="IQ_IMPORTS_GOODS_REAL_APR" hidden="1">"c11953"</definedName>
    <definedName name="IQ_IMPORTS_GOODS_REAL_POP" hidden="1">"c11951"</definedName>
    <definedName name="IQ_IMPORTS_GOODS_REAL_SAAR_APR_FC_UNUSED" hidden="1">"c8523"</definedName>
    <definedName name="IQ_IMPORTS_GOODS_REAL_SAAR_APR_UNUSED" hidden="1">"c7643"</definedName>
    <definedName name="IQ_IMPORTS_GOODS_REAL_SAAR_FC_UNUSED" hidden="1">"c7863"</definedName>
    <definedName name="IQ_IMPORTS_GOODS_REAL_SAAR_POP_FC_UNUSED" hidden="1">"c8083"</definedName>
    <definedName name="IQ_IMPORTS_GOODS_REAL_SAAR_POP_UNUSED" hidden="1">"c7203"</definedName>
    <definedName name="IQ_IMPORTS_GOODS_REAL_SAAR_UNUSED" hidden="1">"c6983"</definedName>
    <definedName name="IQ_IMPORTS_GOODS_REAL_SAAR_YOY_FC_UNUSED" hidden="1">"c8303"</definedName>
    <definedName name="IQ_IMPORTS_GOODS_REAL_SAAR_YOY_UNUSED" hidden="1">"c7423"</definedName>
    <definedName name="IQ_IMPORTS_GOODS_REAL_YOY" hidden="1">"c11952"</definedName>
    <definedName name="IQ_IMPORTS_GOODS_SAAR" hidden="1">"c6891"</definedName>
    <definedName name="IQ_IMPORTS_GOODS_SAAR_APR" hidden="1">"c7551"</definedName>
    <definedName name="IQ_IMPORTS_GOODS_SAAR_APR_FC" hidden="1">"c8431"</definedName>
    <definedName name="IQ_IMPORTS_GOODS_SAAR_FC" hidden="1">"c7771"</definedName>
    <definedName name="IQ_IMPORTS_GOODS_SAAR_POP" hidden="1">"c7111"</definedName>
    <definedName name="IQ_IMPORTS_GOODS_SAAR_POP_FC" hidden="1">"c7991"</definedName>
    <definedName name="IQ_IMPORTS_GOODS_SAAR_USD_APR_FC" hidden="1">"c11849"</definedName>
    <definedName name="IQ_IMPORTS_GOODS_SAAR_USD_FC" hidden="1">"c11846"</definedName>
    <definedName name="IQ_IMPORTS_GOODS_SAAR_USD_POP_FC" hidden="1">"c11847"</definedName>
    <definedName name="IQ_IMPORTS_GOODS_SAAR_USD_YOY_FC" hidden="1">"c11848"</definedName>
    <definedName name="IQ_IMPORTS_GOODS_SAAR_YOY" hidden="1">"c7331"</definedName>
    <definedName name="IQ_IMPORTS_GOODS_SAAR_YOY_FC" hidden="1">"c8211"</definedName>
    <definedName name="IQ_IMPORTS_GOODS_SERVICES_APR_FC_UNUSED" hidden="1">"c8429"</definedName>
    <definedName name="IQ_IMPORTS_GOODS_SERVICES_APR_UNUSED" hidden="1">"c7549"</definedName>
    <definedName name="IQ_IMPORTS_GOODS_SERVICES_FC_UNUSED" hidden="1">"c7769"</definedName>
    <definedName name="IQ_IMPORTS_GOODS_SERVICES_POP_FC_UNUSED" hidden="1">"c7989"</definedName>
    <definedName name="IQ_IMPORTS_GOODS_SERVICES_POP_UNUSED" hidden="1">"c7109"</definedName>
    <definedName name="IQ_IMPORTS_GOODS_SERVICES_REAL" hidden="1">"c6985"</definedName>
    <definedName name="IQ_IMPORTS_GOODS_SERVICES_REAL_APR" hidden="1">"c7645"</definedName>
    <definedName name="IQ_IMPORTS_GOODS_SERVICES_REAL_APR_FC" hidden="1">"c8525"</definedName>
    <definedName name="IQ_IMPORTS_GOODS_SERVICES_REAL_FC" hidden="1">"c7865"</definedName>
    <definedName name="IQ_IMPORTS_GOODS_SERVICES_REAL_POP" hidden="1">"c7205"</definedName>
    <definedName name="IQ_IMPORTS_GOODS_SERVICES_REAL_POP_FC" hidden="1">"c8085"</definedName>
    <definedName name="IQ_IMPORTS_GOODS_SERVICES_REAL_SAAR" hidden="1">"c11958"</definedName>
    <definedName name="IQ_IMPORTS_GOODS_SERVICES_REAL_SAAR_APR" hidden="1">"c11961"</definedName>
    <definedName name="IQ_IMPORTS_GOODS_SERVICES_REAL_SAAR_APR_FC_UNUSED" hidden="1">"c8524"</definedName>
    <definedName name="IQ_IMPORTS_GOODS_SERVICES_REAL_SAAR_APR_UNUSED" hidden="1">"c7644"</definedName>
    <definedName name="IQ_IMPORTS_GOODS_SERVICES_REAL_SAAR_FC_UNUSED" hidden="1">"c7864"</definedName>
    <definedName name="IQ_IMPORTS_GOODS_SERVICES_REAL_SAAR_POP" hidden="1">"c11959"</definedName>
    <definedName name="IQ_IMPORTS_GOODS_SERVICES_REAL_SAAR_POP_FC_UNUSED" hidden="1">"c8084"</definedName>
    <definedName name="IQ_IMPORTS_GOODS_SERVICES_REAL_SAAR_POP_UNUSED" hidden="1">"c7204"</definedName>
    <definedName name="IQ_IMPORTS_GOODS_SERVICES_REAL_SAAR_UNUSED" hidden="1">"c6984"</definedName>
    <definedName name="IQ_IMPORTS_GOODS_SERVICES_REAL_SAAR_USD" hidden="1">"c11962"</definedName>
    <definedName name="IQ_IMPORTS_GOODS_SERVICES_REAL_SAAR_USD_APR" hidden="1">"c11965"</definedName>
    <definedName name="IQ_IMPORTS_GOODS_SERVICES_REAL_SAAR_USD_APR_FC" hidden="1">"c11969"</definedName>
    <definedName name="IQ_IMPORTS_GOODS_SERVICES_REAL_SAAR_USD_FC" hidden="1">"c11966"</definedName>
    <definedName name="IQ_IMPORTS_GOODS_SERVICES_REAL_SAAR_USD_POP" hidden="1">"c11963"</definedName>
    <definedName name="IQ_IMPORTS_GOODS_SERVICES_REAL_SAAR_USD_POP_FC" hidden="1">"c11967"</definedName>
    <definedName name="IQ_IMPORTS_GOODS_SERVICES_REAL_SAAR_USD_YOY" hidden="1">"c11964"</definedName>
    <definedName name="IQ_IMPORTS_GOODS_SERVICES_REAL_SAAR_USD_YOY_FC" hidden="1">"c11968"</definedName>
    <definedName name="IQ_IMPORTS_GOODS_SERVICES_REAL_SAAR_YOY" hidden="1">"c11960"</definedName>
    <definedName name="IQ_IMPORTS_GOODS_SERVICES_REAL_SAAR_YOY_FC_UNUSED" hidden="1">"c8304"</definedName>
    <definedName name="IQ_IMPORTS_GOODS_SERVICES_REAL_SAAR_YOY_UNUSED" hidden="1">"c7424"</definedName>
    <definedName name="IQ_IMPORTS_GOODS_SERVICES_REAL_USD" hidden="1">"c11954"</definedName>
    <definedName name="IQ_IMPORTS_GOODS_SERVICES_REAL_USD_APR" hidden="1">"c11957"</definedName>
    <definedName name="IQ_IMPORTS_GOODS_SERVICES_REAL_USD_POP" hidden="1">"c11955"</definedName>
    <definedName name="IQ_IMPORTS_GOODS_SERVICES_REAL_USD_YOY" hidden="1">"c11956"</definedName>
    <definedName name="IQ_IMPORTS_GOODS_SERVICES_REAL_YOY" hidden="1">"c7425"</definedName>
    <definedName name="IQ_IMPORTS_GOODS_SERVICES_REAL_YOY_FC" hidden="1">"c8305"</definedName>
    <definedName name="IQ_IMPORTS_GOODS_SERVICES_SAAR" hidden="1">"c6890"</definedName>
    <definedName name="IQ_IMPORTS_GOODS_SERVICES_SAAR_APR" hidden="1">"c7550"</definedName>
    <definedName name="IQ_IMPORTS_GOODS_SERVICES_SAAR_APR_FC" hidden="1">"c8430"</definedName>
    <definedName name="IQ_IMPORTS_GOODS_SERVICES_SAAR_FC" hidden="1">"c7770"</definedName>
    <definedName name="IQ_IMPORTS_GOODS_SERVICES_SAAR_POP" hidden="1">"c7110"</definedName>
    <definedName name="IQ_IMPORTS_GOODS_SERVICES_SAAR_POP_FC" hidden="1">"c7990"</definedName>
    <definedName name="IQ_IMPORTS_GOODS_SERVICES_SAAR_YOY" hidden="1">"c7330"</definedName>
    <definedName name="IQ_IMPORTS_GOODS_SERVICES_SAAR_YOY_FC" hidden="1">"c8210"</definedName>
    <definedName name="IQ_IMPORTS_GOODS_SERVICES_UNUSED" hidden="1">"c6889"</definedName>
    <definedName name="IQ_IMPORTS_GOODS_SERVICES_USD" hidden="1">"c11842"</definedName>
    <definedName name="IQ_IMPORTS_GOODS_SERVICES_USD_APR" hidden="1">"c11845"</definedName>
    <definedName name="IQ_IMPORTS_GOODS_SERVICES_USD_POP" hidden="1">"c11843"</definedName>
    <definedName name="IQ_IMPORTS_GOODS_SERVICES_USD_YOY" hidden="1">"c11844"</definedName>
    <definedName name="IQ_IMPORTS_GOODS_SERVICES_YOY_FC_UNUSED" hidden="1">"c8209"</definedName>
    <definedName name="IQ_IMPORTS_GOODS_SERVICES_YOY_UNUSED" hidden="1">"c7329"</definedName>
    <definedName name="IQ_IMPORTS_GOODS_USD_APR_FC" hidden="1">"c11841"</definedName>
    <definedName name="IQ_IMPORTS_GOODS_USD_FC" hidden="1">"c11838"</definedName>
    <definedName name="IQ_IMPORTS_GOODS_USD_POP_FC" hidden="1">"c11839"</definedName>
    <definedName name="IQ_IMPORTS_GOODS_USD_YOY_FC" hidden="1">"c11840"</definedName>
    <definedName name="IQ_IMPORTS_GOODS_YOY" hidden="1">"c7327"</definedName>
    <definedName name="IQ_IMPORTS_GOODS_YOY_FC" hidden="1">"c8207"</definedName>
    <definedName name="IQ_IMPORTS_NONFACTOR_SERVICES" hidden="1">"c6892"</definedName>
    <definedName name="IQ_IMPORTS_NONFACTOR_SERVICES_APR" hidden="1">"c7552"</definedName>
    <definedName name="IQ_IMPORTS_NONFACTOR_SERVICES_APR_FC" hidden="1">"c8432"</definedName>
    <definedName name="IQ_IMPORTS_NONFACTOR_SERVICES_FC" hidden="1">"c7772"</definedName>
    <definedName name="IQ_IMPORTS_NONFACTOR_SERVICES_POP" hidden="1">"c7112"</definedName>
    <definedName name="IQ_IMPORTS_NONFACTOR_SERVICES_POP_FC" hidden="1">"c7992"</definedName>
    <definedName name="IQ_IMPORTS_NONFACTOR_SERVICES_SAAR" hidden="1">"c6893"</definedName>
    <definedName name="IQ_IMPORTS_NONFACTOR_SERVICES_SAAR_APR" hidden="1">"c7553"</definedName>
    <definedName name="IQ_IMPORTS_NONFACTOR_SERVICES_SAAR_APR_FC" hidden="1">"c8433"</definedName>
    <definedName name="IQ_IMPORTS_NONFACTOR_SERVICES_SAAR_FC" hidden="1">"c7773"</definedName>
    <definedName name="IQ_IMPORTS_NONFACTOR_SERVICES_SAAR_POP" hidden="1">"c7113"</definedName>
    <definedName name="IQ_IMPORTS_NONFACTOR_SERVICES_SAAR_POP_FC" hidden="1">"c7993"</definedName>
    <definedName name="IQ_IMPORTS_NONFACTOR_SERVICES_SAAR_USD_APR_FC" hidden="1">"c11857"</definedName>
    <definedName name="IQ_IMPORTS_NONFACTOR_SERVICES_SAAR_USD_FC" hidden="1">"c11854"</definedName>
    <definedName name="IQ_IMPORTS_NONFACTOR_SERVICES_SAAR_USD_POP_FC" hidden="1">"c11855"</definedName>
    <definedName name="IQ_IMPORTS_NONFACTOR_SERVICES_SAAR_USD_YOY_FC" hidden="1">"c11856"</definedName>
    <definedName name="IQ_IMPORTS_NONFACTOR_SERVICES_SAAR_YOY" hidden="1">"c7333"</definedName>
    <definedName name="IQ_IMPORTS_NONFACTOR_SERVICES_SAAR_YOY_FC" hidden="1">"c8213"</definedName>
    <definedName name="IQ_IMPORTS_NONFACTOR_SERVICES_USD_APR_FC" hidden="1">"c11853"</definedName>
    <definedName name="IQ_IMPORTS_NONFACTOR_SERVICES_USD_FC" hidden="1">"c11850"</definedName>
    <definedName name="IQ_IMPORTS_NONFACTOR_SERVICES_USD_POP_FC" hidden="1">"c11851"</definedName>
    <definedName name="IQ_IMPORTS_NONFACTOR_SERVICES_USD_YOY_FC" hidden="1">"c11852"</definedName>
    <definedName name="IQ_IMPORTS_NONFACTOR_SERVICES_YOY" hidden="1">"c7332"</definedName>
    <definedName name="IQ_IMPORTS_NONFACTOR_SERVICES_YOY_FC" hidden="1">"c8212"</definedName>
    <definedName name="IQ_IMPORTS_SERVICES" hidden="1">"c11858"</definedName>
    <definedName name="IQ_IMPORTS_SERVICES_APR" hidden="1">"c11861"</definedName>
    <definedName name="IQ_IMPORTS_SERVICES_POP" hidden="1">"c11859"</definedName>
    <definedName name="IQ_IMPORTS_SERVICES_REAL" hidden="1">"c6986"</definedName>
    <definedName name="IQ_IMPORTS_SERVICES_REAL_APR" hidden="1">"c7646"</definedName>
    <definedName name="IQ_IMPORTS_SERVICES_REAL_APR_FC" hidden="1">"c8526"</definedName>
    <definedName name="IQ_IMPORTS_SERVICES_REAL_FC" hidden="1">"c7866"</definedName>
    <definedName name="IQ_IMPORTS_SERVICES_REAL_POP" hidden="1">"c7206"</definedName>
    <definedName name="IQ_IMPORTS_SERVICES_REAL_POP_FC" hidden="1">"c8086"</definedName>
    <definedName name="IQ_IMPORTS_SERVICES_REAL_YOY" hidden="1">"c7426"</definedName>
    <definedName name="IQ_IMPORTS_SERVICES_REAL_YOY_FC" hidden="1">"c8306"</definedName>
    <definedName name="IQ_IMPORTS_SERVICES_YOY" hidden="1">"c11860"</definedName>
    <definedName name="IQ_IMPUT_OPER_LEASE_DEPR" hidden="1">"c2987"</definedName>
    <definedName name="IQ_IMPUT_OPER_LEASE_INT_EXP" hidden="1">"c2986"</definedName>
    <definedName name="IQ_INC_AFTER_TAX" hidden="1">"c1598"</definedName>
    <definedName name="IQ_INC_AVAIL_EXCL" hidden="1">"c789"</definedName>
    <definedName name="IQ_INC_AVAIL_INCL" hidden="1">"c791"</definedName>
    <definedName name="IQ_INC_BEFORE_TAX" hidden="1">"c386"</definedName>
    <definedName name="IQ_INC_DOM_LOANS_FFIEC" hidden="1">"c12975"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 hidden="1">"c6222"</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CIDENTAL_CHANGES_BUSINESS_COMBINATIONS_FDIC" hidden="1">"c6502"</definedName>
    <definedName name="IQ_INCOME_BEFORE_EXTRA_FDIC" hidden="1">"c6585"</definedName>
    <definedName name="IQ_INCOME_CHECKS_FFIEC" hidden="1">"c13040"</definedName>
    <definedName name="IQ_INCOME_EARNED_FDIC" hidden="1">"c6359"</definedName>
    <definedName name="IQ_INCOME_FIDUCIARY_ACTIVITIES_FFIEC" hidden="1">"c13002"</definedName>
    <definedName name="IQ_INCOME_LEASE_FINANCING_REC_FFIEC" hidden="1">"c12980"</definedName>
    <definedName name="IQ_INCOME_LOANS_LEASES_TAX_EXEMPT_FFIEC" hidden="1">"c13038"</definedName>
    <definedName name="IQ_INCOME_OTHER_INSURANCE_ACTIVITIES_FFIEC" hidden="1">"c13009"</definedName>
    <definedName name="IQ_INCOME_SALE_MUTUAL_FUNDS_DOM_FFIEC" hidden="1">"c13069"</definedName>
    <definedName name="IQ_INCOME_SECURITIES_TAX_EXEMPT_FFIEC" hidden="1">"c13039"</definedName>
    <definedName name="IQ_INCOME_TAXES_FDIC" hidden="1">"c6582"</definedName>
    <definedName name="IQ_INCOME_TAXES_FFIEC" hidden="1">"c13030"</definedName>
    <definedName name="IQ_INCREASE_INT_INCOME_FFIEC" hidden="1">"c13063"</definedName>
    <definedName name="IQ_INDEX_LEADING_IND" hidden="1">"c6894"</definedName>
    <definedName name="IQ_INDEX_LEADING_IND_APR" hidden="1">"c7554"</definedName>
    <definedName name="IQ_INDEX_LEADING_IND_APR_FC" hidden="1">"c8434"</definedName>
    <definedName name="IQ_INDEX_LEADING_IND_FC" hidden="1">"c7774"</definedName>
    <definedName name="IQ_INDEX_LEADING_IND_POP" hidden="1">"c7114"</definedName>
    <definedName name="IQ_INDEX_LEADING_IND_POP_FC" hidden="1">"c7994"</definedName>
    <definedName name="IQ_INDEX_LEADING_IND_YOY" hidden="1">"c7334"</definedName>
    <definedName name="IQ_INDEX_LEADING_IND_YOY_FC" hidden="1">"c8214"</definedName>
    <definedName name="IQ_INDICATED_ATTRIB_ORE_RESOURCES_ALUM" hidden="1">"c9238"</definedName>
    <definedName name="IQ_INDICATED_ATTRIB_ORE_RESOURCES_COP" hidden="1">"c9182"</definedName>
    <definedName name="IQ_INDICATED_ATTRIB_ORE_RESOURCES_DIAM" hidden="1">"c9662"</definedName>
    <definedName name="IQ_INDICATED_ATTRIB_ORE_RESOURCES_GOLD" hidden="1">"c9023"</definedName>
    <definedName name="IQ_INDICATED_ATTRIB_ORE_RESOURCES_IRON" hidden="1">"c9397"</definedName>
    <definedName name="IQ_INDICATED_ATTRIB_ORE_RESOURCES_LEAD" hidden="1">"c9450"</definedName>
    <definedName name="IQ_INDICATED_ATTRIB_ORE_RESOURCES_MANG" hidden="1">"c9503"</definedName>
    <definedName name="IQ_INDICATED_ATTRIB_ORE_RESOURCES_MOLYB" hidden="1">"c9715"</definedName>
    <definedName name="IQ_INDICATED_ATTRIB_ORE_RESOURCES_NICK" hidden="1">"c9291"</definedName>
    <definedName name="IQ_INDICATED_ATTRIB_ORE_RESOURCES_PLAT" hidden="1">"c9129"</definedName>
    <definedName name="IQ_INDICATED_ATTRIB_ORE_RESOURCES_SILVER" hidden="1">"c9076"</definedName>
    <definedName name="IQ_INDICATED_ATTRIB_ORE_RESOURCES_TITAN" hidden="1">"c9556"</definedName>
    <definedName name="IQ_INDICATED_ATTRIB_ORE_RESOURCES_URAN" hidden="1">"c9609"</definedName>
    <definedName name="IQ_INDICATED_ATTRIB_ORE_RESOURCES_ZINC" hidden="1">"c9344"</definedName>
    <definedName name="IQ_INDICATED_ORE_RESOURCES_ALUM" hidden="1">"c9224"</definedName>
    <definedName name="IQ_INDICATED_ORE_RESOURCES_COP" hidden="1">"c9168"</definedName>
    <definedName name="IQ_INDICATED_ORE_RESOURCES_DIAM" hidden="1">"c9648"</definedName>
    <definedName name="IQ_INDICATED_ORE_RESOURCES_GOLD" hidden="1">"c9009"</definedName>
    <definedName name="IQ_INDICATED_ORE_RESOURCES_IRON" hidden="1">"c9383"</definedName>
    <definedName name="IQ_INDICATED_ORE_RESOURCES_LEAD" hidden="1">"c9436"</definedName>
    <definedName name="IQ_INDICATED_ORE_RESOURCES_MANG" hidden="1">"c9489"</definedName>
    <definedName name="IQ_INDICATED_ORE_RESOURCES_MOLYB" hidden="1">"c9701"</definedName>
    <definedName name="IQ_INDICATED_ORE_RESOURCES_NICK" hidden="1">"c9277"</definedName>
    <definedName name="IQ_INDICATED_ORE_RESOURCES_PLAT" hidden="1">"c9115"</definedName>
    <definedName name="IQ_INDICATED_ORE_RESOURCES_SILVER" hidden="1">"c9062"</definedName>
    <definedName name="IQ_INDICATED_ORE_RESOURCES_TITAN" hidden="1">"c9542"</definedName>
    <definedName name="IQ_INDICATED_ORE_RESOURCES_URAN" hidden="1">"c9595"</definedName>
    <definedName name="IQ_INDICATED_ORE_RESOURCES_ZINC" hidden="1">"c9330"</definedName>
    <definedName name="IQ_INDICATED_RECOV_ATTRIB_RESOURCES_ALUM" hidden="1">"c9243"</definedName>
    <definedName name="IQ_INDICATED_RECOV_ATTRIB_RESOURCES_COAL" hidden="1">"c9817"</definedName>
    <definedName name="IQ_INDICATED_RECOV_ATTRIB_RESOURCES_COP" hidden="1">"c9187"</definedName>
    <definedName name="IQ_INDICATED_RECOV_ATTRIB_RESOURCES_DIAM" hidden="1">"c9667"</definedName>
    <definedName name="IQ_INDICATED_RECOV_ATTRIB_RESOURCES_GOLD" hidden="1">"c9028"</definedName>
    <definedName name="IQ_INDICATED_RECOV_ATTRIB_RESOURCES_IRON" hidden="1">"c9402"</definedName>
    <definedName name="IQ_INDICATED_RECOV_ATTRIB_RESOURCES_LEAD" hidden="1">"c9455"</definedName>
    <definedName name="IQ_INDICATED_RECOV_ATTRIB_RESOURCES_MANG" hidden="1">"c9508"</definedName>
    <definedName name="IQ_INDICATED_RECOV_ATTRIB_RESOURCES_MET_COAL" hidden="1">"c9757"</definedName>
    <definedName name="IQ_INDICATED_RECOV_ATTRIB_RESOURCES_MOLYB" hidden="1">"c9720"</definedName>
    <definedName name="IQ_INDICATED_RECOV_ATTRIB_RESOURCES_NICK" hidden="1">"c9296"</definedName>
    <definedName name="IQ_INDICATED_RECOV_ATTRIB_RESOURCES_PLAT" hidden="1">"c9134"</definedName>
    <definedName name="IQ_INDICATED_RECOV_ATTRIB_RESOURCES_SILVER" hidden="1">"c9081"</definedName>
    <definedName name="IQ_INDICATED_RECOV_ATTRIB_RESOURCES_STEAM" hidden="1">"c9787"</definedName>
    <definedName name="IQ_INDICATED_RECOV_ATTRIB_RESOURCES_TITAN" hidden="1">"c9561"</definedName>
    <definedName name="IQ_INDICATED_RECOV_ATTRIB_RESOURCES_URAN" hidden="1">"c9614"</definedName>
    <definedName name="IQ_INDICATED_RECOV_ATTRIB_RESOURCES_ZINC" hidden="1">"c9349"</definedName>
    <definedName name="IQ_INDICATED_RECOV_RESOURCES_ALUM" hidden="1">"c9233"</definedName>
    <definedName name="IQ_INDICATED_RECOV_RESOURCES_COAL" hidden="1">"c9812"</definedName>
    <definedName name="IQ_INDICATED_RECOV_RESOURCES_COP" hidden="1">"c9177"</definedName>
    <definedName name="IQ_INDICATED_RECOV_RESOURCES_DIAM" hidden="1">"c9657"</definedName>
    <definedName name="IQ_INDICATED_RECOV_RESOURCES_GOLD" hidden="1">"c9018"</definedName>
    <definedName name="IQ_INDICATED_RECOV_RESOURCES_IRON" hidden="1">"c9392"</definedName>
    <definedName name="IQ_INDICATED_RECOV_RESOURCES_LEAD" hidden="1">"c9445"</definedName>
    <definedName name="IQ_INDICATED_RECOV_RESOURCES_MANG" hidden="1">"c9498"</definedName>
    <definedName name="IQ_INDICATED_RECOV_RESOURCES_MET_COAL" hidden="1">"c9752"</definedName>
    <definedName name="IQ_INDICATED_RECOV_RESOURCES_MOLYB" hidden="1">"c9710"</definedName>
    <definedName name="IQ_INDICATED_RECOV_RESOURCES_NICK" hidden="1">"c9286"</definedName>
    <definedName name="IQ_INDICATED_RECOV_RESOURCES_PLAT" hidden="1">"c9124"</definedName>
    <definedName name="IQ_INDICATED_RECOV_RESOURCES_SILVER" hidden="1">"c9071"</definedName>
    <definedName name="IQ_INDICATED_RECOV_RESOURCES_STEAM" hidden="1">"c9782"</definedName>
    <definedName name="IQ_INDICATED_RECOV_RESOURCES_TITAN" hidden="1">"c9551"</definedName>
    <definedName name="IQ_INDICATED_RECOV_RESOURCES_URAN" hidden="1">"c9604"</definedName>
    <definedName name="IQ_INDICATED_RECOV_RESOURCES_ZINC" hidden="1">"c9339"</definedName>
    <definedName name="IQ_INDICATED_RESOURCES_CALORIFIC_VALUE_COAL" hidden="1">"c9807"</definedName>
    <definedName name="IQ_INDICATED_RESOURCES_CALORIFIC_VALUE_MET_COAL" hidden="1">"c9747"</definedName>
    <definedName name="IQ_INDICATED_RESOURCES_CALORIFIC_VALUE_STEAM" hidden="1">"c9777"</definedName>
    <definedName name="IQ_INDICATED_RESOURCES_GRADE_ALUM" hidden="1">"c9225"</definedName>
    <definedName name="IQ_INDICATED_RESOURCES_GRADE_COP" hidden="1">"c9169"</definedName>
    <definedName name="IQ_INDICATED_RESOURCES_GRADE_DIAM" hidden="1">"c9649"</definedName>
    <definedName name="IQ_INDICATED_RESOURCES_GRADE_GOLD" hidden="1">"c9010"</definedName>
    <definedName name="IQ_INDICATED_RESOURCES_GRADE_IRON" hidden="1">"c9384"</definedName>
    <definedName name="IQ_INDICATED_RESOURCES_GRADE_LEAD" hidden="1">"c9437"</definedName>
    <definedName name="IQ_INDICATED_RESOURCES_GRADE_MANG" hidden="1">"c9490"</definedName>
    <definedName name="IQ_INDICATED_RESOURCES_GRADE_MOLYB" hidden="1">"c9702"</definedName>
    <definedName name="IQ_INDICATED_RESOURCES_GRADE_NICK" hidden="1">"c9278"</definedName>
    <definedName name="IQ_INDICATED_RESOURCES_GRADE_PLAT" hidden="1">"c9116"</definedName>
    <definedName name="IQ_INDICATED_RESOURCES_GRADE_SILVER" hidden="1">"c9063"</definedName>
    <definedName name="IQ_INDICATED_RESOURCES_GRADE_TITAN" hidden="1">"c9543"</definedName>
    <definedName name="IQ_INDICATED_RESOURCES_GRADE_URAN" hidden="1">"c9596"</definedName>
    <definedName name="IQ_INDICATED_RESOURCES_GRADE_ZINC" hidden="1">"c9331"</definedName>
    <definedName name="IQ_INDIVIDUALS_CHARGE_OFFS_FDIC" hidden="1">"c6599"</definedName>
    <definedName name="IQ_INDIVIDUALS_GROSS_LOANS_FFIEC" hidden="1">"c13411"</definedName>
    <definedName name="IQ_INDIVIDUALS_LOANS_FDIC" hidden="1">"c6318"</definedName>
    <definedName name="IQ_INDIVIDUALS_NET_CHARGE_OFFS_FDIC" hidden="1">"c6637"</definedName>
    <definedName name="IQ_INDIVIDUALS_OTHER_LOANS_FDIC" hidden="1">"c6321"</definedName>
    <definedName name="IQ_INDIVIDUALS_PARTNERSHIPS_CORP_DEPOSITS_FOREIGN_FDIC" hidden="1">"c6479"</definedName>
    <definedName name="IQ_INDIVIDUALS_PARTNERSHIPS_CORP_NONTRANSACTION_ACCOUNTS_FDIC" hidden="1">"c6545"</definedName>
    <definedName name="IQ_INDIVIDUALS_PARTNERSHIPS_CORP_TOTAL_DEPOSITS_FDIC" hidden="1">"c6471"</definedName>
    <definedName name="IQ_INDIVIDUALS_PARTNERSHIPS_CORP_TRANSACTION_ACCOUNTS_FDIC" hidden="1">"c6537"</definedName>
    <definedName name="IQ_INDIVIDUALS_RECOVERIES_FDIC" hidden="1">"c6618"</definedName>
    <definedName name="IQ_INDIVIDUALS_RISK_BASED_FFIEC" hidden="1">"c13432"</definedName>
    <definedName name="IQ_INDUSTRIAL_PROD" hidden="1">"c6895"</definedName>
    <definedName name="IQ_INDUSTRIAL_PROD_APR" hidden="1">"c7555"</definedName>
    <definedName name="IQ_INDUSTRIAL_PROD_APR_FC" hidden="1">"c8435"</definedName>
    <definedName name="IQ_INDUSTRIAL_PROD_FC" hidden="1">"c7775"</definedName>
    <definedName name="IQ_INDUSTRIAL_PROD_POP" hidden="1">"c7115"</definedName>
    <definedName name="IQ_INDUSTRIAL_PROD_POP_FC" hidden="1">"c7995"</definedName>
    <definedName name="IQ_INDUSTRIAL_PROD_YOY" hidden="1">"c7335"</definedName>
    <definedName name="IQ_INDUSTRIAL_PROD_YOY_FC" hidden="1">"c8215"</definedName>
    <definedName name="IQ_INDUSTRY" hidden="1">"c3601"</definedName>
    <definedName name="IQ_INDUSTRY_GROUP" hidden="1">"c3602"</definedName>
    <definedName name="IQ_INDUSTRY_SECTOR" hidden="1">"c3603"</definedName>
    <definedName name="IQ_INFERRED_ATTRIB_ORE_RESOURCES_ALUM" hidden="1">"c9240"</definedName>
    <definedName name="IQ_INFERRED_ATTRIB_ORE_RESOURCES_COP" hidden="1">"c9184"</definedName>
    <definedName name="IQ_INFERRED_ATTRIB_ORE_RESOURCES_DIAM" hidden="1">"c9664"</definedName>
    <definedName name="IQ_INFERRED_ATTRIB_ORE_RESOURCES_GOLD" hidden="1">"c9025"</definedName>
    <definedName name="IQ_INFERRED_ATTRIB_ORE_RESOURCES_IRON" hidden="1">"c9399"</definedName>
    <definedName name="IQ_INFERRED_ATTRIB_ORE_RESOURCES_LEAD" hidden="1">"c9452"</definedName>
    <definedName name="IQ_INFERRED_ATTRIB_ORE_RESOURCES_MANG" hidden="1">"c9505"</definedName>
    <definedName name="IQ_INFERRED_ATTRIB_ORE_RESOURCES_MOLYB" hidden="1">"c9717"</definedName>
    <definedName name="IQ_INFERRED_ATTRIB_ORE_RESOURCES_NICK" hidden="1">"c9293"</definedName>
    <definedName name="IQ_INFERRED_ATTRIB_ORE_RESOURCES_PLAT" hidden="1">"c9131"</definedName>
    <definedName name="IQ_INFERRED_ATTRIB_ORE_RESOURCES_SILVER" hidden="1">"c9078"</definedName>
    <definedName name="IQ_INFERRED_ATTRIB_ORE_RESOURCES_TITAN" hidden="1">"c9558"</definedName>
    <definedName name="IQ_INFERRED_ATTRIB_ORE_RESOURCES_URAN" hidden="1">"c9611"</definedName>
    <definedName name="IQ_INFERRED_ATTRIB_ORE_RESOURCES_ZINC" hidden="1">"c9346"</definedName>
    <definedName name="IQ_INFERRED_ORE_RESOURCES_ALUM" hidden="1">"c9228"</definedName>
    <definedName name="IQ_INFERRED_ORE_RESOURCES_COP" hidden="1">"c9172"</definedName>
    <definedName name="IQ_INFERRED_ORE_RESOURCES_DIAM" hidden="1">"c9652"</definedName>
    <definedName name="IQ_INFERRED_ORE_RESOURCES_GOLD" hidden="1">"c9013"</definedName>
    <definedName name="IQ_INFERRED_ORE_RESOURCES_IRON" hidden="1">"c9387"</definedName>
    <definedName name="IQ_INFERRED_ORE_RESOURCES_LEAD" hidden="1">"c9440"</definedName>
    <definedName name="IQ_INFERRED_ORE_RESOURCES_MANG" hidden="1">"c9493"</definedName>
    <definedName name="IQ_INFERRED_ORE_RESOURCES_MOLYB" hidden="1">"c9705"</definedName>
    <definedName name="IQ_INFERRED_ORE_RESOURCES_NICK" hidden="1">"c9281"</definedName>
    <definedName name="IQ_INFERRED_ORE_RESOURCES_PLAT" hidden="1">"c9119"</definedName>
    <definedName name="IQ_INFERRED_ORE_RESOURCES_SILVER" hidden="1">"c9066"</definedName>
    <definedName name="IQ_INFERRED_ORE_RESOURCES_TITAN" hidden="1">"c9546"</definedName>
    <definedName name="IQ_INFERRED_ORE_RESOURCES_URAN" hidden="1">"c9599"</definedName>
    <definedName name="IQ_INFERRED_ORE_RESOURCES_ZINC" hidden="1">"c9334"</definedName>
    <definedName name="IQ_INFERRED_RECOV_ATTRIB_RESOURCES_ALUM" hidden="1">"c9245"</definedName>
    <definedName name="IQ_INFERRED_RECOV_ATTRIB_RESOURCES_COAL" hidden="1">"c9819"</definedName>
    <definedName name="IQ_INFERRED_RECOV_ATTRIB_RESOURCES_COP" hidden="1">"c9189"</definedName>
    <definedName name="IQ_INFERRED_RECOV_ATTRIB_RESOURCES_DIAM" hidden="1">"c9669"</definedName>
    <definedName name="IQ_INFERRED_RECOV_ATTRIB_RESOURCES_GOLD" hidden="1">"c9030"</definedName>
    <definedName name="IQ_INFERRED_RECOV_ATTRIB_RESOURCES_IRON" hidden="1">"c9404"</definedName>
    <definedName name="IQ_INFERRED_RECOV_ATTRIB_RESOURCES_LEAD" hidden="1">"c9457"</definedName>
    <definedName name="IQ_INFERRED_RECOV_ATTRIB_RESOURCES_MANG" hidden="1">"c9510"</definedName>
    <definedName name="IQ_INFERRED_RECOV_ATTRIB_RESOURCES_MET_COAL" hidden="1">"c9759"</definedName>
    <definedName name="IQ_INFERRED_RECOV_ATTRIB_RESOURCES_MOLYB" hidden="1">"c9722"</definedName>
    <definedName name="IQ_INFERRED_RECOV_ATTRIB_RESOURCES_NICK" hidden="1">"c9298"</definedName>
    <definedName name="IQ_INFERRED_RECOV_ATTRIB_RESOURCES_PLAT" hidden="1">"c9136"</definedName>
    <definedName name="IQ_INFERRED_RECOV_ATTRIB_RESOURCES_SILVER" hidden="1">"c9083"</definedName>
    <definedName name="IQ_INFERRED_RECOV_ATTRIB_RESOURCES_STEAM" hidden="1">"c9789"</definedName>
    <definedName name="IQ_INFERRED_RECOV_ATTRIB_RESOURCES_TITAN" hidden="1">"c9563"</definedName>
    <definedName name="IQ_INFERRED_RECOV_ATTRIB_RESOURCES_URAN" hidden="1">"c9616"</definedName>
    <definedName name="IQ_INFERRED_RECOV_ATTRIB_RESOURCES_ZINC" hidden="1">"c9351"</definedName>
    <definedName name="IQ_INFERRED_RECOV_RESOURCES_ALUM" hidden="1">"c9235"</definedName>
    <definedName name="IQ_INFERRED_RECOV_RESOURCES_COAL" hidden="1">"c9814"</definedName>
    <definedName name="IQ_INFERRED_RECOV_RESOURCES_COP" hidden="1">"c9179"</definedName>
    <definedName name="IQ_INFERRED_RECOV_RESOURCES_DIAM" hidden="1">"c9659"</definedName>
    <definedName name="IQ_INFERRED_RECOV_RESOURCES_GOLD" hidden="1">"c9020"</definedName>
    <definedName name="IQ_INFERRED_RECOV_RESOURCES_IRON" hidden="1">"c9394"</definedName>
    <definedName name="IQ_INFERRED_RECOV_RESOURCES_LEAD" hidden="1">"c9447"</definedName>
    <definedName name="IQ_INFERRED_RECOV_RESOURCES_MANG" hidden="1">"c9500"</definedName>
    <definedName name="IQ_INFERRED_RECOV_RESOURCES_MET_COAL" hidden="1">"c9754"</definedName>
    <definedName name="IQ_INFERRED_RECOV_RESOURCES_MOLYB" hidden="1">"c9712"</definedName>
    <definedName name="IQ_INFERRED_RECOV_RESOURCES_NICK" hidden="1">"c9288"</definedName>
    <definedName name="IQ_INFERRED_RECOV_RESOURCES_PLAT" hidden="1">"c9126"</definedName>
    <definedName name="IQ_INFERRED_RECOV_RESOURCES_SILVER" hidden="1">"c9073"</definedName>
    <definedName name="IQ_INFERRED_RECOV_RESOURCES_STEAM" hidden="1">"c9784"</definedName>
    <definedName name="IQ_INFERRED_RECOV_RESOURCES_TITAN" hidden="1">"c9553"</definedName>
    <definedName name="IQ_INFERRED_RECOV_RESOURCES_URAN" hidden="1">"c9606"</definedName>
    <definedName name="IQ_INFERRED_RECOV_RESOURCES_ZINC" hidden="1">"c9341"</definedName>
    <definedName name="IQ_INFERRED_RESOURCES_CALORIFIC_VALUE_COAL" hidden="1">"c9809"</definedName>
    <definedName name="IQ_INFERRED_RESOURCES_CALORIFIC_VALUE_MET_COAL" hidden="1">"c9749"</definedName>
    <definedName name="IQ_INFERRED_RESOURCES_CALORIFIC_VALUE_STEAM" hidden="1">"c9779"</definedName>
    <definedName name="IQ_INFERRED_RESOURCES_GRADE_ALUM" hidden="1">"c9229"</definedName>
    <definedName name="IQ_INFERRED_RESOURCES_GRADE_COP" hidden="1">"c9173"</definedName>
    <definedName name="IQ_INFERRED_RESOURCES_GRADE_DIAM" hidden="1">"c9653"</definedName>
    <definedName name="IQ_INFERRED_RESOURCES_GRADE_GOLD" hidden="1">"c9014"</definedName>
    <definedName name="IQ_INFERRED_RESOURCES_GRADE_IRON" hidden="1">"c9388"</definedName>
    <definedName name="IQ_INFERRED_RESOURCES_GRADE_LEAD" hidden="1">"c9441"</definedName>
    <definedName name="IQ_INFERRED_RESOURCES_GRADE_MANG" hidden="1">"c9494"</definedName>
    <definedName name="IQ_INFERRED_RESOURCES_GRADE_MOLYB" hidden="1">"c9706"</definedName>
    <definedName name="IQ_INFERRED_RESOURCES_GRADE_NICK" hidden="1">"c9282"</definedName>
    <definedName name="IQ_INFERRED_RESOURCES_GRADE_PLAT" hidden="1">"c9120"</definedName>
    <definedName name="IQ_INFERRED_RESOURCES_GRADE_SILVER" hidden="1">"c9067"</definedName>
    <definedName name="IQ_INFERRED_RESOURCES_GRADE_TITAN" hidden="1">"c9547"</definedName>
    <definedName name="IQ_INFERRED_RESOURCES_GRADE_URAN" hidden="1">"c9600"</definedName>
    <definedName name="IQ_INFERRED_RESOURCES_GRADE_ZINC" hidden="1">"c9335"</definedName>
    <definedName name="IQ_INFLATION_RATE" hidden="1">"c6899"</definedName>
    <definedName name="IQ_INFLATION_RATE_CORE" hidden="1">"c11783"</definedName>
    <definedName name="IQ_INFLATION_RATE_CORE_POP" hidden="1">"c11784"</definedName>
    <definedName name="IQ_INFLATION_RATE_CORE_YOY" hidden="1">"c11785"</definedName>
    <definedName name="IQ_INFLATION_RATE_FC" hidden="1">"c7779"</definedName>
    <definedName name="IQ_INFLATION_RATE_POP" hidden="1">"c7119"</definedName>
    <definedName name="IQ_INFLATION_RATE_POP_FC" hidden="1">"c7999"</definedName>
    <definedName name="IQ_INFLATION_RATE_YOY" hidden="1">"c7339"</definedName>
    <definedName name="IQ_INFLATION_RATE_YOY_FC" hidden="1">"c8219"</definedName>
    <definedName name="IQ_INITIAL_CLAIMS" hidden="1">"c6900"</definedName>
    <definedName name="IQ_INITIAL_CLAIMS_APR" hidden="1">"c7560"</definedName>
    <definedName name="IQ_INITIAL_CLAIMS_APR_FC" hidden="1">"c8440"</definedName>
    <definedName name="IQ_INITIAL_CLAIMS_FC" hidden="1">"c7780"</definedName>
    <definedName name="IQ_INITIAL_CLAIMS_POP" hidden="1">"c7120"</definedName>
    <definedName name="IQ_INITIAL_CLAIMS_POP_FC" hidden="1">"c8000"</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 hidden="1">"c6223"</definedName>
    <definedName name="IQ_INS_SETTLE_REIT" hidden="1">"c575"</definedName>
    <definedName name="IQ_INS_SETTLE_SUPPLE" hidden="1">"c13814"</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LOANS_FDIC" hidden="1">"c6365"</definedName>
    <definedName name="IQ_INSIDER_OVER_TOTAL" hidden="1">"c1581"</definedName>
    <definedName name="IQ_INSIDER_OWNER" hidden="1">"c577"</definedName>
    <definedName name="IQ_INSIDER_PERCENT" hidden="1">"c578"</definedName>
    <definedName name="IQ_INSIDER_SHARES" hidden="1">"c579"</definedName>
    <definedName name="IQ_INST_DEPOSITS" hidden="1">"c89"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TITUTIONS_EARNINGS_GAINS_FDIC" hidden="1">"c6723"</definedName>
    <definedName name="IQ_INSUR_RECEIV" hidden="1">"c1600"</definedName>
    <definedName name="IQ_INSURANCE_COMMISSION_FEES_FDIC" hidden="1">"c6670"</definedName>
    <definedName name="IQ_INSURANCE_REINSURANCE_UNDERWRITING_INCOME_FFIEC" hidden="1">"c13008"</definedName>
    <definedName name="IQ_INSURANCE_REV_OPERATING_INC_FFIEC" hidden="1">"c13387"</definedName>
    <definedName name="IQ_INSURANCE_UNDERWRITING_INCOME_FDIC" hidden="1">"c6671"</definedName>
    <definedName name="IQ_INT_BEARING_DEPOSITS" hidden="1">"c1166"</definedName>
    <definedName name="IQ_INT_BEARING_FUNDS_AVG_ASSETS_FFIEC" hidden="1">"c13355"</definedName>
    <definedName name="IQ_INT_BEARING_LIABILITIES_REPRICE_ASSETS_TOT_FFIEC" hidden="1">"c13452"</definedName>
    <definedName name="IQ_INT_BORROW" hidden="1">"c583"</definedName>
    <definedName name="IQ_INT_DEMAND_NOTES_FDIC" hidden="1">"c6567"</definedName>
    <definedName name="IQ_INT_DEPOSITS" hidden="1">"c584"</definedName>
    <definedName name="IQ_INT_DEPOSITS_DOM_FFIEC" hidden="1">"c12852"</definedName>
    <definedName name="IQ_INT_DEPOSITS_DOM_QUARTERLY_AVG_FFIEC" hidden="1">"c13088"</definedName>
    <definedName name="IQ_INT_DEPOSITS_FOREIGN_FFIEC" hidden="1">"c12855"</definedName>
    <definedName name="IQ_INT_DEPOSITS_FOREIGN_QUARTERLY_AVG_FFIEC" hidden="1">"c13089"</definedName>
    <definedName name="IQ_INT_DIV_INC" hidden="1">"c585"</definedName>
    <definedName name="IQ_INT_DIV_INC_MBS_FFIEC" hidden="1">"c12984"</definedName>
    <definedName name="IQ_INT_DIV_INC_SECURITIES_FFIEC" hidden="1">"c12982"</definedName>
    <definedName name="IQ_INT_DIV_INC_SECURITIES_OTHER_FFIEC" hidden="1">"c12985"</definedName>
    <definedName name="IQ_INT_DIV_INC_TREASURY_SECURITIES_FFIEC" hidden="1">"c12983"</definedName>
    <definedName name="IQ_INT_DOMESTIC_DEPOSITS_FDIC" hidden="1">"c6564"</definedName>
    <definedName name="IQ_INT_EXP_AVG_ASSETS_FFIEC" hidden="1">"c13357"</definedName>
    <definedName name="IQ_INT_EXP_BR" hidden="1">"c586"</definedName>
    <definedName name="IQ_INT_EXP_COVERAGE" hidden="1">"c587"</definedName>
    <definedName name="IQ_INT_EXP_EARNING_ASSETS_FFIEC" hidden="1">"c13376"</definedName>
    <definedName name="IQ_INT_EXP_FED_FUNDS_PURCHASED_FFIEC" hidden="1">"c12996"</definedName>
    <definedName name="IQ_INT_EXP_FIN" hidden="1">"c588"</definedName>
    <definedName name="IQ_INT_EXP_INCL_CAP" hidden="1">"c2988"</definedName>
    <definedName name="IQ_INT_EXP_INS" hidden="1">"c589"</definedName>
    <definedName name="IQ_INT_EXP_LTD" hidden="1">"c2086"</definedName>
    <definedName name="IQ_INT_EXP_RE" hidden="1">"c6224"</definedName>
    <definedName name="IQ_INT_EXP_REIT" hidden="1">"c590"</definedName>
    <definedName name="IQ_INT_EXP_TOTAL" hidden="1">"c591"</definedName>
    <definedName name="IQ_INT_EXP_TOTAL_BNK_SUBTOTAL_AP" hidden="1">"c8977"</definedName>
    <definedName name="IQ_INT_EXP_TOTAL_FDIC" hidden="1">"c6569"</definedName>
    <definedName name="IQ_INT_EXP_UTI" hidden="1">"c592"</definedName>
    <definedName name="IQ_INT_FED_FUNDS_FDIC" hidden="1">"c6566"</definedName>
    <definedName name="IQ_INT_FEE_INC_LOANS_1_4_DOM_FFIEC" hidden="1">"c12976"</definedName>
    <definedName name="IQ_INT_FEE_INC_LOANS_DOM_FFIEC" hidden="1">"c13335"</definedName>
    <definedName name="IQ_INT_FEE_INC_LOANS_FOREIGN_FFIEC" hidden="1">"c12979"</definedName>
    <definedName name="IQ_INT_FEE_INC_LOANS_OTHER_DOM_FFIEC" hidden="1">"c12978"</definedName>
    <definedName name="IQ_INT_FEE_INC_SECURED_RE_DOM_FFIEC" hidden="1">"c12977"</definedName>
    <definedName name="IQ_INT_FEE_INCOME_FFIEC" hidden="1">"c12974"</definedName>
    <definedName name="IQ_INT_FOREIGN_DEPOSITS_FDIC" hidden="1">"c6565"</definedName>
    <definedName name="IQ_INT_INC_AVG_ASSETS_FFIEC" hidden="1">"c13356"</definedName>
    <definedName name="IQ_INT_INC_BR" hidden="1">"c593"</definedName>
    <definedName name="IQ_INT_INC_DEPOSITORY_INST_FDIC" hidden="1">"c6558"</definedName>
    <definedName name="IQ_INT_INC_DOM_LOANS_FDIC" hidden="1">"c6555"</definedName>
    <definedName name="IQ_INT_INC_DUE_DEPOSITORY_INSTITUTIONS_FFIEC" hidden="1">"c12981"</definedName>
    <definedName name="IQ_INT_INC_EARNING_ASSETS_FFIEC" hidden="1">"c13375"</definedName>
    <definedName name="IQ_INT_INC_FED_FUNDS_FDIC" hidden="1">"c6561"</definedName>
    <definedName name="IQ_INT_INC_FED_FUNDS_SOLD_FFIEC" hidden="1">"c12987"</definedName>
    <definedName name="IQ_INT_INC_FIN" hidden="1">"c594"</definedName>
    <definedName name="IQ_INT_INC_FOREIGN_LOANS_FDIC" hidden="1">"c6556"</definedName>
    <definedName name="IQ_INT_INC_INVEST" hidden="1">"c595"</definedName>
    <definedName name="IQ_INT_INC_LEASE_RECEIVABLES_FDIC" hidden="1">"c6557"</definedName>
    <definedName name="IQ_INT_INC_LOANS" hidden="1">"c596"</definedName>
    <definedName name="IQ_INT_INC_OTHER_FDIC" hidden="1">"c6562"</definedName>
    <definedName name="IQ_INT_INC_RE" hidden="1">"c6225"</definedName>
    <definedName name="IQ_INT_INC_REIT" hidden="1">"c597"</definedName>
    <definedName name="IQ_INT_INC_SECURITIES_FDIC" hidden="1">"c6559"</definedName>
    <definedName name="IQ_INT_INC_TE_AVG_ASSETS_FFIEC" hidden="1">"c13358"</definedName>
    <definedName name="IQ_INT_INC_TE_EARNING_ASSETS_FFIEC" hidden="1">"c13377"</definedName>
    <definedName name="IQ_INT_INC_TOTAL" hidden="1">"c598"</definedName>
    <definedName name="IQ_INT_INC_TOTAL_BNK_SUBTOTAL_AP" hidden="1">"c8976"</definedName>
    <definedName name="IQ_INT_INC_TOTAL_FDIC" hidden="1">"c6563"</definedName>
    <definedName name="IQ_INT_INC_TRADING_ACCOUNTS_FDIC" hidden="1">"c6560"</definedName>
    <definedName name="IQ_INT_INC_TRADING_ASSETS_FFIEC" hidden="1">"c12986"</definedName>
    <definedName name="IQ_INT_INC_UTI" hidden="1">"c599"</definedName>
    <definedName name="IQ_INT_INCOME_FTE_AVG_ASSETS_FFIEC" hidden="1">"c13856"</definedName>
    <definedName name="IQ_INT_INCOME_FTE_AVG_EARNING_ASSETS_FFIEC" hidden="1">"c13857"</definedName>
    <definedName name="IQ_INT_INCOME_FTE_FFIEC" hidden="1">"c13852"</definedName>
    <definedName name="IQ_INT_INV_INC" hidden="1">"c600"</definedName>
    <definedName name="IQ_INT_INV_INC_RE" hidden="1">"c6226"</definedName>
    <definedName name="IQ_INT_INV_INC_REIT" hidden="1">"c601"</definedName>
    <definedName name="IQ_INT_INV_INC_UTI" hidden="1">"c602"</definedName>
    <definedName name="IQ_INT_ON_BORROWING_COVERAGE" hidden="1">"c603"</definedName>
    <definedName name="IQ_INT_ON_DEPOSITS_DOM_FFIEC" hidden="1">"c12991"</definedName>
    <definedName name="IQ_INT_ON_DEPOSITS_FFIEC" hidden="1">"c12990"</definedName>
    <definedName name="IQ_INT_ON_DEPOSITS_FOREIGN_FFIEC" hidden="1">"c12995"</definedName>
    <definedName name="IQ_INT_RATE_EXPOSURE_FFIEC" hidden="1">"c13058"</definedName>
    <definedName name="IQ_INT_RATE_SPREAD" hidden="1">"c604"</definedName>
    <definedName name="IQ_INT_SUB_NOTES_FDIC" hidden="1">"c6568"</definedName>
    <definedName name="IQ_INT_SUB_NOTES_FFIEC" hidden="1">"c12998"</definedName>
    <definedName name="IQ_INT_TIME_DEPOSITS_LESS_THAN_100K_DOM_FFIEC" hidden="1">"c12993"</definedName>
    <definedName name="IQ_INT_TIME_DEPOSITS_MORE_THAN_100K_DOM_FFIEC" hidden="1">"c12992"</definedName>
    <definedName name="IQ_INT_TRADING_LIABILITIES_FFIEC" hidden="1">"c12997"</definedName>
    <definedName name="IQ_INTANGIBLES_NET" hidden="1">"c907"</definedName>
    <definedName name="IQ_INTEREST_BEARING_BALANCES_FDIC" hidden="1">"c6371"</definedName>
    <definedName name="IQ_INTEREST_BEARING_CASH_FOREIGN_FFIEC" hidden="1">"c12776"</definedName>
    <definedName name="IQ_INTEREST_BEARING_CASH_US_FFIEC" hidden="1">"c12775"</definedName>
    <definedName name="IQ_INTEREST_BEARING_DEPOSITS_DOMESTIC_FDIC" hidden="1">"c6478"</definedName>
    <definedName name="IQ_INTEREST_BEARING_DEPOSITS_FDIC" hidden="1">"c6373"</definedName>
    <definedName name="IQ_INTEREST_BEARING_DEPOSITS_FOREIGN_FDIC" hidden="1">"c6485"</definedName>
    <definedName name="IQ_INTEREST_CASH_DEPOSITS" hidden="1">"c2255"</definedName>
    <definedName name="IQ_INTEREST_EXP" hidden="1">"c618"</definedName>
    <definedName name="IQ_INTEREST_EXP_NET" hidden="1">"c1450"</definedName>
    <definedName name="IQ_INTEREST_EXP_NON" hidden="1">"c618"</definedName>
    <definedName name="IQ_INTEREST_EXP_SUPPL" hidden="1">"c1460"</definedName>
    <definedName name="IQ_INTEREST_INC" hidden="1">"c769"</definedName>
    <definedName name="IQ_INTEREST_INC_NON" hidden="1">"c619"</definedName>
    <definedName name="IQ_INTEREST_INVEST_INC" hidden="1">"c619"</definedName>
    <definedName name="IQ_INTEREST_RATE_CONTRACTS_FDIC" hidden="1">"c6512"</definedName>
    <definedName name="IQ_INTEREST_RATE_EXPOSURES_FDIC" hidden="1">"c6662"</definedName>
    <definedName name="IQ_INV_10YR_ANN_CAGR" hidden="1">"c6164"</definedName>
    <definedName name="IQ_INV_10YR_ANN_GROWTH" hidden="1">"c1930"</definedName>
    <definedName name="IQ_INV_1YR_ANN_GROWTH" hidden="1">"c1925"</definedName>
    <definedName name="IQ_INV_2YR_ANN_CAGR" hidden="1">"c6160"</definedName>
    <definedName name="IQ_INV_2YR_ANN_GROWTH" hidden="1">"c1926"</definedName>
    <definedName name="IQ_INV_3YR_ANN_CAGR" hidden="1">"c6161"</definedName>
    <definedName name="IQ_INV_3YR_ANN_GROWTH" hidden="1">"c1927"</definedName>
    <definedName name="IQ_INV_5YR_ANN_CAGR" hidden="1">"c6162"</definedName>
    <definedName name="IQ_INV_5YR_ANN_GROWTH" hidden="1">"c1928"</definedName>
    <definedName name="IQ_INV_7YR_ANN_CAGR" hidden="1">"c6163"</definedName>
    <definedName name="IQ_INV_7YR_ANN_GROWTH" hidden="1">"c1929"</definedName>
    <definedName name="IQ_INV_BANKING_FEE" hidden="1">"c620"</definedName>
    <definedName name="IQ_INV_METHOD" hidden="1">"c621"</definedName>
    <definedName name="IQ_INVENTORIES" hidden="1">"c6901"</definedName>
    <definedName name="IQ_INVENTORIES_APR" hidden="1">"c7561"</definedName>
    <definedName name="IQ_INVENTORIES_APR_FC" hidden="1">"c8441"</definedName>
    <definedName name="IQ_INVENTORIES_FC" hidden="1">"c7781"</definedName>
    <definedName name="IQ_INVENTORIES_POP" hidden="1">"c7121"</definedName>
    <definedName name="IQ_INVENTORIES_POP_FC" hidden="1">"c8001"</definedName>
    <definedName name="IQ_INVENTORIES_YOY" hidden="1">"c7341"</definedName>
    <definedName name="IQ_INVENTORIES_YOY_FC" hidden="1">"c8221"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GOV_SECURITY" hidden="1">"c5510"</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 hidden="1">"c6227"</definedName>
    <definedName name="IQ_INVEST_LOANS_CF_REIT" hidden="1">"c633"</definedName>
    <definedName name="IQ_INVEST_LOANS_CF_UTI" hidden="1">"c634"</definedName>
    <definedName name="IQ_INVEST_MUNI_SECURITY" hidden="1">"c5512"</definedName>
    <definedName name="IQ_INVEST_REAL_ESTATE" hidden="1">"c635"</definedName>
    <definedName name="IQ_INVEST_SECURITIES_ASSETS_TOT_FFIEC" hidden="1">"c13440"</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 hidden="1">"c6228"</definedName>
    <definedName name="IQ_INVEST_SECURITY_CF_REIT" hidden="1">"c642"</definedName>
    <definedName name="IQ_INVEST_SECURITY_CF_UTI" hidden="1">"c643"</definedName>
    <definedName name="IQ_INVEST_SECURITY_SUPPL" hidden="1">"c5511"</definedName>
    <definedName name="IQ_INVEST_UNCONSOLIDATED_SUBS_FFIEC" hidden="1">"c12834"</definedName>
    <definedName name="IQ_INVESTMENT_BANKING_BROKERAGE_FEES_FFIEC" hidden="1">"c13627"</definedName>
    <definedName name="IQ_INVESTMENT_BANKING_FEES_COMMISSIONS_FFIEC" hidden="1">"c13006"</definedName>
    <definedName name="IQ_INVESTMENT_BANKING_OTHER_FEES_FDIC" hidden="1">"c6666"</definedName>
    <definedName name="IQ_IPRD" hidden="1">"c644"</definedName>
    <definedName name="IQ_IPRD_SUPPLE" hidden="1">"c13813"</definedName>
    <definedName name="IQ_IRA_KEOGH_ACCOUNTS_FDIC" hidden="1">"c6496"</definedName>
    <definedName name="IQ_ISIN" hidden="1">"c12041"</definedName>
    <definedName name="IQ_ISM_INDEX" hidden="1">"c6902"</definedName>
    <definedName name="IQ_ISM_INDEX_APR" hidden="1">"c7562"</definedName>
    <definedName name="IQ_ISM_INDEX_APR_FC" hidden="1">"c8442"</definedName>
    <definedName name="IQ_ISM_INDEX_FC" hidden="1">"c7782"</definedName>
    <definedName name="IQ_ISM_INDEX_POP" hidden="1">"c7122"</definedName>
    <definedName name="IQ_ISM_INDEX_POP_FC" hidden="1">"c8002"</definedName>
    <definedName name="IQ_ISM_INDEX_YOY" hidden="1">"c7342"</definedName>
    <definedName name="IQ_ISM_INDEX_YOY_FC" hidden="1">"c8222"</definedName>
    <definedName name="IQ_ISM_SERVICES_APR_FC_UNUSED" hidden="1">"c8443"</definedName>
    <definedName name="IQ_ISM_SERVICES_APR_UNUSED" hidden="1">"c7563"</definedName>
    <definedName name="IQ_ISM_SERVICES_FC_UNUSED" hidden="1">"c7783"</definedName>
    <definedName name="IQ_ISM_SERVICES_INDEX" hidden="1">"c11862"</definedName>
    <definedName name="IQ_ISM_SERVICES_INDEX_APR" hidden="1">"c11865"</definedName>
    <definedName name="IQ_ISM_SERVICES_INDEX_POP" hidden="1">"c11863"</definedName>
    <definedName name="IQ_ISM_SERVICES_INDEX_YOY" hidden="1">"c11864"</definedName>
    <definedName name="IQ_ISM_SERVICES_POP_FC_UNUSED" hidden="1">"c8003"</definedName>
    <definedName name="IQ_ISM_SERVICES_POP_UNUSED" hidden="1">"c7123"</definedName>
    <definedName name="IQ_ISM_SERVICES_UNUSED" hidden="1">"c6903"</definedName>
    <definedName name="IQ_ISM_SERVICES_YOY_FC_UNUSED" hidden="1">"c8223"</definedName>
    <definedName name="IQ_ISM_SERVICES_YOY_UNUSED" hidden="1">"c7343"</definedName>
    <definedName name="IQ_ISS_DEBT_NET" hidden="1">"c751"</definedName>
    <definedName name="IQ_ISS_STOCK_NET" hidden="1">"c1601"</definedName>
    <definedName name="IQ_ISSUE_CURRENCY" hidden="1">"c2156"</definedName>
    <definedName name="IQ_ISSUE_NAME" hidden="1">"c2142"</definedName>
    <definedName name="IQ_ISSUED_GUARANTEED_US_FDIC" hidden="1">"c6404"</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KEY_DEV_COMPANY_ID" hidden="1">"c13830"</definedName>
    <definedName name="IQ_KEY_DEV_COMPANY_NAME" hidden="1">"c13829"</definedName>
    <definedName name="IQ_KEY_DEV_DATE" hidden="1">"c13763"</definedName>
    <definedName name="IQ_KEY_DEV_HEADLINE" hidden="1">"c13761"</definedName>
    <definedName name="IQ_KEY_DEV_ID" hidden="1">"c13760"</definedName>
    <definedName name="IQ_KEY_DEV_ID_INCL_SUBS" hidden="1">"c13832"</definedName>
    <definedName name="IQ_KEY_DEV_SITUATION" hidden="1">"c13762"</definedName>
    <definedName name="IQ_KEY_DEV_SOURCE" hidden="1">"c13765"</definedName>
    <definedName name="IQ_KEY_DEV_TIME" hidden="1">"c13833"</definedName>
    <definedName name="IQ_KEY_DEV_TRANSACTION_ID" hidden="1">"c13766"</definedName>
    <definedName name="IQ_KEY_DEV_TYPE" hidden="1">"c13764"</definedName>
    <definedName name="IQ_LAND" hidden="1">"c645"</definedName>
    <definedName name="IQ_LARGE_CAP_LABOR_COST_INDEX" hidden="1">"c6904"</definedName>
    <definedName name="IQ_LARGE_CAP_LABOR_COST_INDEX_APR" hidden="1">"c7564"</definedName>
    <definedName name="IQ_LARGE_CAP_LABOR_COST_INDEX_APR_FC" hidden="1">"c8444"</definedName>
    <definedName name="IQ_LARGE_CAP_LABOR_COST_INDEX_FC" hidden="1">"c7784"</definedName>
    <definedName name="IQ_LARGE_CAP_LABOR_COST_INDEX_POP" hidden="1">"c7124"</definedName>
    <definedName name="IQ_LARGE_CAP_LABOR_COST_INDEX_POP_FC" hidden="1">"c8004"</definedName>
    <definedName name="IQ_LARGE_CAP_LABOR_COST_INDEX_YOY" hidden="1">"c7344"</definedName>
    <definedName name="IQ_LARGE_CAP_LABOR_COST_INDEX_YOY_FC" hidden="1">"c8224"</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_MONTHLY_FACTOR" hidden="1">"c8971"</definedName>
    <definedName name="IQ_LATEST_MONTHLY_FACTOR_DATE" hidden="1">"c8972"</definedName>
    <definedName name="IQ_LATESTK" hidden="1">1000</definedName>
    <definedName name="IQ_LATESTQ" hidden="1">500</definedName>
    <definedName name="IQ_LEAD_UNDERWRITER" hidden="1">"c8957"</definedName>
    <definedName name="IQ_LEASE_FIN_RECEIVABLES_NON_US_CHARGE_OFFS_FFIEC" hidden="1">"c13631"</definedName>
    <definedName name="IQ_LEASE_FIN_RECEIVABLES_NON_US_RECOV_FFIEC" hidden="1">"c13635"</definedName>
    <definedName name="IQ_LEASE_FIN_RECEIVABLES_US_CHARGE_OFFS_FFIEC" hidden="1">"c13630"</definedName>
    <definedName name="IQ_LEASE_FIN_RECEIVABLES_US_RECOV_FFIEC" hidden="1">"c13634"</definedName>
    <definedName name="IQ_LEASE_FINANCE" hidden="1">"c5654"</definedName>
    <definedName name="IQ_LEASE_FINANCING_REC_DUE_30_89_FFIEC" hidden="1">"c13276"</definedName>
    <definedName name="IQ_LEASE_FINANCING_REC_DUE_90_FFIEC" hidden="1">"c13302"</definedName>
    <definedName name="IQ_LEASE_FINANCING_REC_NON_ACCRUAL_FFIEC" hidden="1">"c13328"</definedName>
    <definedName name="IQ_LEASE_FINANCING_RECEIVABLES_CHARGE_OFFS_FDIC" hidden="1">"c6602"</definedName>
    <definedName name="IQ_LEASE_FINANCING_RECEIVABLES_DOM_FFIEC" hidden="1">"c12915"</definedName>
    <definedName name="IQ_LEASE_FINANCING_RECEIVABLES_FDIC" hidden="1">"c6433"</definedName>
    <definedName name="IQ_LEASE_FINANCING_RECEIVABLES_NET_CHARGE_OFFS_FDIC" hidden="1">"c6640"</definedName>
    <definedName name="IQ_LEASE_FINANCING_RECEIVABLES_RECOVERIES_FDIC" hidden="1">"c6621"</definedName>
    <definedName name="IQ_LEASE_FINANCING_RECEIVABLES_TOTAL_LOANS_FOREIGN_FDIC" hidden="1">"c6449"</definedName>
    <definedName name="IQ_LEASE_RECEIVABLES_FOREIGN_FFIEC" hidden="1">"c13483"</definedName>
    <definedName name="IQ_LEASES_INDIVIDUALS_CHARGE_OFFS_FFIEC" hidden="1">"c13184"</definedName>
    <definedName name="IQ_LEASES_INDIVIDUALS_RECOV_FFIEC" hidden="1">"c13206"</definedName>
    <definedName name="IQ_LEASES_PERSONAL_EXP_DUE_30_89_FFIEC" hidden="1">"c13277"</definedName>
    <definedName name="IQ_LEASES_PERSONAL_EXP_DUE_90_FFIEC" hidden="1">"c13303"</definedName>
    <definedName name="IQ_LEASES_PERSONAL_EXP_NON_ACCRUAL_FFIEC" hidden="1">"c13329"</definedName>
    <definedName name="IQ_LEGAL_FEES_FFIEC" hidden="1">"c13052"</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 hidden="1">"c6229"</definedName>
    <definedName name="IQ_LEGAL_SETTLE_REIT" hidden="1">"c652"</definedName>
    <definedName name="IQ_LEGAL_SETTLE_SUPPLE" hidden="1">"c13815"</definedName>
    <definedName name="IQ_LEGAL_SETTLE_UTI" hidden="1">"c653"</definedName>
    <definedName name="IQ_LEVERAGE_RATIO" hidden="1">"c654"</definedName>
    <definedName name="IQ_LEVERED_FCF" hidden="1">"c1907"</definedName>
    <definedName name="IQ_LFCF_10YR_ANN_CAGR" hidden="1">"c6174"</definedName>
    <definedName name="IQ_LFCF_10YR_ANN_GROWTH" hidden="1">"c1942"</definedName>
    <definedName name="IQ_LFCF_1YR_ANN_GROWTH" hidden="1">"c1937"</definedName>
    <definedName name="IQ_LFCF_2YR_ANN_CAGR" hidden="1">"c6170"</definedName>
    <definedName name="IQ_LFCF_2YR_ANN_GROWTH" hidden="1">"c1938"</definedName>
    <definedName name="IQ_LFCF_3YR_ANN_CAGR" hidden="1">"c6171"</definedName>
    <definedName name="IQ_LFCF_3YR_ANN_GROWTH" hidden="1">"c1939"</definedName>
    <definedName name="IQ_LFCF_5YR_ANN_CAGR" hidden="1">"c6172"</definedName>
    <definedName name="IQ_LFCF_5YR_ANN_GROWTH" hidden="1">"c1940"</definedName>
    <definedName name="IQ_LFCF_7YR_ANN_CAGR" hidden="1">"c6173"</definedName>
    <definedName name="IQ_LFCF_7YR_ANN_GROWTH" hidden="1">"c1941"</definedName>
    <definedName name="IQ_LFCF_MARGIN" hidden="1">"c1961"</definedName>
    <definedName name="IQ_LH_STATUTORY_SURPLUS" hidden="1">"c2771"</definedName>
    <definedName name="IQ_LIAB_AP" hidden="1">"c8886"</definedName>
    <definedName name="IQ_LIAB_AP_ABS" hidden="1">"c8905"</definedName>
    <definedName name="IQ_LIAB_NAME_AP" hidden="1">"c8924"</definedName>
    <definedName name="IQ_LIAB_NAME_AP_ABS" hidden="1">"c8943"</definedName>
    <definedName name="IQ_LIABILITIES_FAIR_VALUE" hidden="1">"c13848"</definedName>
    <definedName name="IQ_LIABILITIES_LEVEL_1" hidden="1">"c13844"</definedName>
    <definedName name="IQ_LIABILITIES_LEVEL_2" hidden="1">"c13845"</definedName>
    <definedName name="IQ_LIABILITIES_LEVEL_3" hidden="1">"c13846"</definedName>
    <definedName name="IQ_LIABILITIES_NETTING_OTHER_ADJUSTMENTS" hidden="1">"c13847"</definedName>
    <definedName name="IQ_LIABILITY_ACCEPTANCES_OUT_FFIEC" hidden="1">"c12866"</definedName>
    <definedName name="IQ_LIABILITY_SHORT_POSITIONS_DOM_FFIEC" hidden="1">"c12941"</definedName>
    <definedName name="IQ_LICENSED_POPS" hidden="1">"c2123"</definedName>
    <definedName name="IQ_LIFE_EARNED" hidden="1">"c2739"</definedName>
    <definedName name="IQ_LIFE_INSURANCE_ASSETS_FDIC" hidden="1">"c6372"</definedName>
    <definedName name="IQ_LIFE_INSURANCE_ASSETS_FFIEC" hidden="1">"c12847"</definedName>
    <definedName name="IQ_LIFOR" hidden="1">"c655"</definedName>
    <definedName name="IQ_LIQUID_ASSETS_ASSETS_TOT_FFIEC" hidden="1">"c13439"</definedName>
    <definedName name="IQ_LIQUID_ASSETS_NONCORE_FUNDING_FFIEC" hidden="1">"c13339"</definedName>
    <definedName name="IQ_LIQUIDATION_VALUE_PREFERRED_CONVERT" hidden="1">"c13835"</definedName>
    <definedName name="IQ_LIQUIDATION_VALUE_PREFERRED_NON_REDEEM" hidden="1">"c13836"</definedName>
    <definedName name="IQ_LIQUIDATION_VALUE_PREFERRED_REDEEM" hidden="1">"c13837"</definedName>
    <definedName name="IQ_LL" hidden="1">"c656"</definedName>
    <definedName name="IQ_LOAN_ALLOW_GROSS_LOANS_FFIEC" hidden="1">"c13415"</definedName>
    <definedName name="IQ_LOAN_ALLOWANCE_GROSS_LOSSES_FFIEC" hidden="1">"c13352"</definedName>
    <definedName name="IQ_LOAN_ALLOWANCE_NET_LOANS_FFIEC" hidden="1">"c13472"</definedName>
    <definedName name="IQ_LOAN_ALLOWANCE_NONACCRUAL_ASSETS_FFIEC" hidden="1">"c13473"</definedName>
    <definedName name="IQ_LOAN_ALLOWANCE_PAST_DUE_NONACCRUAL_FFIEC" hidden="1">"c13474"</definedName>
    <definedName name="IQ_LOAN_COMMITMENTS_FAIR_VALUE_TOT_FFIEC" hidden="1">"c13216"</definedName>
    <definedName name="IQ_LOAN_COMMITMENTS_LEVEL_1_FFIEC" hidden="1">"c13224"</definedName>
    <definedName name="IQ_LOAN_COMMITMENTS_LEVEL_2_FFIEC" hidden="1">"c13232"</definedName>
    <definedName name="IQ_LOAN_COMMITMENTS_LEVEL_3_FFIEC" hidden="1">"c13240"</definedName>
    <definedName name="IQ_LOAN_COMMITMENTS_REVOLVING_FDIC" hidden="1">"c6524"</definedName>
    <definedName name="IQ_LOAN_LEASE_RECEIV" hidden="1">"c657"</definedName>
    <definedName name="IQ_LOAN_LOSS" hidden="1">"c656"</definedName>
    <definedName name="IQ_LOAN_LOSS_ALLOW_FDIC" hidden="1">"c6326"</definedName>
    <definedName name="IQ_LOAN_LOSS_ALLOWANCE_NON_PERF_ASSETS_FFIEC" hidden="1">"c13912"</definedName>
    <definedName name="IQ_LOAN_LOSS_ALLOWANCE_NONCURRENT_LOANS_FDIC" hidden="1">"c6740"</definedName>
    <definedName name="IQ_LOAN_LOSSES_AVERAGE_LOANS_FFIEC" hidden="1">"c13350"</definedName>
    <definedName name="IQ_LOAN_LOSSES_FDIC" hidden="1">"c6580"</definedName>
    <definedName name="IQ_LOAN_SERVICE_REV" hidden="1">"c658"</definedName>
    <definedName name="IQ_LOANS_AGRICULTURAL_PROD_LL_REC_FFIEC" hidden="1">"c12886"</definedName>
    <definedName name="IQ_LOANS_AND_LEASES_HELD_FDIC" hidden="1">"c6367"</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 hidden="1">"c6230"</definedName>
    <definedName name="IQ_LOANS_CF_REIT" hidden="1">"c664"</definedName>
    <definedName name="IQ_LOANS_CF_UTI" hidden="1">"c665"</definedName>
    <definedName name="IQ_LOANS_DEPOSITORY_INST_US_LL_REC_FFIEC" hidden="1">"c12884"</definedName>
    <definedName name="IQ_LOANS_DEPOSITORY_INSTITUTIONS_FDIC" hidden="1">"c6382"</definedName>
    <definedName name="IQ_LOANS_DOM_QUARTERLY_AVG_FFIEC" hidden="1">"c13084"</definedName>
    <definedName name="IQ_LOANS_FARMERS_CHARGE_OFFS_FFIEC" hidden="1">"c13177"</definedName>
    <definedName name="IQ_LOANS_FARMERS_RECOV_FFIEC" hidden="1">"c13199"</definedName>
    <definedName name="IQ_LOANS_FINANCE_AGRICULTURAL_DUE_30_89_FFIEC" hidden="1">"c13270"</definedName>
    <definedName name="IQ_LOANS_FINANCE_AGRICULTURAL_DUE_90_FFIEC" hidden="1">"c13296"</definedName>
    <definedName name="IQ_LOANS_FINANCE_AGRICULTURAL_NON_ACCRUAL_FFIEC" hidden="1">"c13322"</definedName>
    <definedName name="IQ_LOANS_FINANCE_AGRICULTURAL_PROD_LL_REC_DOM_FFIEC" hidden="1">"c12909"</definedName>
    <definedName name="IQ_LOANS_FOR_SALE" hidden="1">"c666"</definedName>
    <definedName name="IQ_LOANS_FOREIGN_GOV_CHARGE_OFFS_FFIEC" hidden="1">"c13182"</definedName>
    <definedName name="IQ_LOANS_FOREIGN_GOV_DUE_30_89_FFIEC" hidden="1">"c13274"</definedName>
    <definedName name="IQ_LOANS_FOREIGN_GOV_DUE_90_FFIEC" hidden="1">"c13300"</definedName>
    <definedName name="IQ_LOANS_FOREIGN_GOV_LL_REC_DOM_FFIEC" hidden="1">"c12912"</definedName>
    <definedName name="IQ_LOANS_FOREIGN_GOV_NON_ACCRUAL_FFIEC" hidden="1">"c13326"</definedName>
    <definedName name="IQ_LOANS_FOREIGN_GOV_RECOV_FFIEC" hidden="1">"c13204"</definedName>
    <definedName name="IQ_LOANS_FOREIGN_INST_CHARGE_OFFS_FFIEC" hidden="1">"c13176"</definedName>
    <definedName name="IQ_LOANS_FOREIGN_INST_RECOV_FFIEC" hidden="1">"c13198"</definedName>
    <definedName name="IQ_LOANS_FOREIGN_LL_REC_FFIEC" hidden="1">"c12885"</definedName>
    <definedName name="IQ_LOANS_GOV_GUARANTEED_DUE_30_89_FFIEC" hidden="1">"c13281"</definedName>
    <definedName name="IQ_LOANS_GOV_GUARANTEED_DUE_90_FFIEC" hidden="1">"c13307"</definedName>
    <definedName name="IQ_LOANS_GOV_GUARANTEED_EXCL_GNMA_DUE_30_89_FFIEC" hidden="1">"c13282"</definedName>
    <definedName name="IQ_LOANS_GOV_GUARANTEED_EXCL_GNMA_DUE_90_FFIEC" hidden="1">"c13308"</definedName>
    <definedName name="IQ_LOANS_GOV_GUARANTEED_EXCL_GNMA_NON_ACCRUAL_FFIEC" hidden="1">"c13333"</definedName>
    <definedName name="IQ_LOANS_GOV_GUARANTEED_NON_ACCRUAL_FFIEC" hidden="1">"c13332"</definedName>
    <definedName name="IQ_LOANS_HELD_FOREIGN_FDIC" hidden="1">"c6315"</definedName>
    <definedName name="IQ_LOANS_INDIVIDUALS_FOREIGN_FFIEC" hidden="1">"c13480"</definedName>
    <definedName name="IQ_LOANS_LEASES_ASSETS_TOT_FFIEC" hidden="1">"c13437"</definedName>
    <definedName name="IQ_LOANS_LEASES_FAIR_VALUE_TOT_FFIEC" hidden="1">"c13209"</definedName>
    <definedName name="IQ_LOANS_LEASES_FOREIGN_FDIC" hidden="1">"c6383"</definedName>
    <definedName name="IQ_LOANS_LEASES_GROSS_FDIC" hidden="1">"c6323"</definedName>
    <definedName name="IQ_LOANS_LEASES_GROSS_FOREIGN_FDIC" hidden="1">"c6384"</definedName>
    <definedName name="IQ_LOANS_LEASES_HELD_SALE_FFIEC" hidden="1">"c12808"</definedName>
    <definedName name="IQ_LOANS_LEASES_LEVEL_1_FFIEC" hidden="1">"c13217"</definedName>
    <definedName name="IQ_LOANS_LEASES_LEVEL_2_FFIEC" hidden="1">"c13225"</definedName>
    <definedName name="IQ_LOANS_LEASES_LEVEL_3_FFIEC" hidden="1">"c13233"</definedName>
    <definedName name="IQ_LOANS_LEASES_NET_FDIC" hidden="1">"c6327"</definedName>
    <definedName name="IQ_LOANS_LEASES_NET_UNEARNED_FDIC" hidden="1">"c6325"</definedName>
    <definedName name="IQ_LOANS_LEASES_NET_UNEARNED_INC_ALLOWANCE_FFIEC" hidden="1">"c12811"</definedName>
    <definedName name="IQ_LOANS_LEASES_NET_UNEARNED_INCOME_FFIEC" hidden="1">"c12809"</definedName>
    <definedName name="IQ_LOANS_LEASES_QUARTERLY_AVG_FFIEC" hidden="1">"c13081"</definedName>
    <definedName name="IQ_LOANS_LOC_ASSETS_TOT_FFIEC" hidden="1">"c13441"</definedName>
    <definedName name="IQ_LOANS_NOT_SECURED_RE_FDIC" hidden="1">"c6381"</definedName>
    <definedName name="IQ_LOANS_PAST_DUE" hidden="1">"c667"</definedName>
    <definedName name="IQ_LOANS_PURCHASING_CARRYING_SECURITIES_LL_REC_DOM_FFIEC" hidden="1">"c12913"</definedName>
    <definedName name="IQ_LOANS_RECEIV_CURRENT" hidden="1">"c668"</definedName>
    <definedName name="IQ_LOANS_RECEIV_LT" hidden="1">"c669"</definedName>
    <definedName name="IQ_LOANS_RECEIV_LT_UTI" hidden="1">"c670"</definedName>
    <definedName name="IQ_LOANS_SEC_RE_FOREIGN_CHARGE_OFFS_FFIEC" hidden="1">"c13174"</definedName>
    <definedName name="IQ_LOANS_SEC_RE_FOREIGN_RECOV_FFIEC" hidden="1">"c13196"</definedName>
    <definedName name="IQ_LOANS_SECURED_1_4_DOM_QUARTERLY_AVG_FFIEC" hidden="1">"c13082"</definedName>
    <definedName name="IQ_LOANS_SECURED_BY_RE_CHARGE_OFFS_FDIC" hidden="1">"c6588"</definedName>
    <definedName name="IQ_LOANS_SECURED_BY_RE_RECOVERIES_FDIC" hidden="1">"c6607"</definedName>
    <definedName name="IQ_LOANS_SECURED_CONSTRUCTION_TRADING_DOM_FFIEC" hidden="1">"c12925"</definedName>
    <definedName name="IQ_LOANS_SECURED_FARMLAND_TRADING_DOM_FFIEC" hidden="1">"c12926"</definedName>
    <definedName name="IQ_LOANS_SECURED_NON_US_FDIC" hidden="1">"c6380"</definedName>
    <definedName name="IQ_LOANS_SECURED_RE_DOM_QUARTERLY_AVG_FFIEC" hidden="1">"c13083"</definedName>
    <definedName name="IQ_LOANS_SECURED_RE_FFIEC" hidden="1">"c12820"</definedName>
    <definedName name="IQ_LOANS_SECURED_RE_LL_REC_FFIEC" hidden="1">"c12883"</definedName>
    <definedName name="IQ_LOANS_SECURED_RE_NET_CHARGE_OFFS_FDIC" hidden="1">"c6626"</definedName>
    <definedName name="IQ_LOANS_TO_DEPOSITORY_INSTITUTIONS_FOREIGN_FDIC" hidden="1">"c6453"</definedName>
    <definedName name="IQ_LOANS_TO_FOREIGN_GOVERNMENTS_FDIC" hidden="1">"c6448"</definedName>
    <definedName name="IQ_LOANS_TO_INDIVIDUALS_FOREIGN_FDIC" hidden="1">"c6452"</definedName>
    <definedName name="IQ_LOANS_US_INST_CHARGE_OFFS_FFIEC" hidden="1">"c13175"</definedName>
    <definedName name="IQ_LOANS_US_INST_RECOV_FFIEC" hidden="1">"c13197"</definedName>
    <definedName name="IQ_LONG_TERM_ASSETS_FDIC" hidden="1">"c6361"</definedName>
    <definedName name="IQ_LONG_TERM_DEBT" hidden="1">"c674"</definedName>
    <definedName name="IQ_LONG_TERM_DEBT_OVER_TOTAL_CAP" hidden="1">"c677"</definedName>
    <definedName name="IQ_LONG_TERM_GROWTH" hidden="1">"c671"</definedName>
    <definedName name="IQ_LONG_TERM_INV" hidden="1">"c697"</definedName>
    <definedName name="IQ_LOSS_ALLOWANCE_LOANS_FDIC" hidden="1">"c6739"</definedName>
    <definedName name="IQ_LOSS_AVAIL_SALE_EQUITY_SEC_T1_FFIEC" hidden="1">"c13132"</definedName>
    <definedName name="IQ_LOSS_LOSS_EXP" hidden="1">"c672"</definedName>
    <definedName name="IQ_LOSS_TO_NET_EARNED" hidden="1">"c2751"</definedName>
    <definedName name="IQ_LOW_TARGET_PRICE" hidden="1">"c1652"</definedName>
    <definedName name="IQ_LOW_TARGET_PRICE_CIQ" hidden="1">"c4660"</definedName>
    <definedName name="IQ_LOW_TARGET_PRICE_REUT" hidden="1">"c5318"</definedName>
    <definedName name="IQ_LOW_TARGET_PRICE_THOM" hidden="1">"c5097"</definedName>
    <definedName name="IQ_LOWPRICE" hidden="1">"c673"</definedName>
    <definedName name="IQ_LT_ASSETS_AP" hidden="1">"c8882"</definedName>
    <definedName name="IQ_LT_ASSETS_AP_ABS" hidden="1">"c8901"</definedName>
    <definedName name="IQ_LT_ASSETS_NAME_AP" hidden="1">"c8920"</definedName>
    <definedName name="IQ_LT_ASSETS_NAME_AP_ABS" hidden="1">"c8939"</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 hidden="1">"c6231"</definedName>
    <definedName name="IQ_LT_DEBT_ISSUED_REIT" hidden="1">"c686"</definedName>
    <definedName name="IQ_LT_DEBT_ISSUED_UTI" hidden="1">"c687"</definedName>
    <definedName name="IQ_LT_DEBT_MATURING_1YR_INT_SENSITIVITY_FFIEC" hidden="1">"c13097"</definedName>
    <definedName name="IQ_LT_DEBT_RE" hidden="1">"c6232"</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 hidden="1">"c6233"</definedName>
    <definedName name="IQ_LT_DEBT_REPAID_REIT" hidden="1">"c694"</definedName>
    <definedName name="IQ_LT_DEBT_REPAID_UTI" hidden="1">"c695"</definedName>
    <definedName name="IQ_LT_DEBT_REPRICE_ASSETS_TOT_FFIEC" hidden="1">"c13453"</definedName>
    <definedName name="IQ_LT_DEBT_REPRICING_WITHIN_1_YR_INT_SENSITIVITY_FFIEC" hidden="1">"c13095"</definedName>
    <definedName name="IQ_LT_DEBT_UTI" hidden="1">"c696"</definedName>
    <definedName name="IQ_LT_GROWTH_DET_EST" hidden="1">"c12060"</definedName>
    <definedName name="IQ_LT_GROWTH_DET_EST_DATE" hidden="1">"c12213"</definedName>
    <definedName name="IQ_LT_GROWTH_DET_EST_DATE_THOM" hidden="1">"c12240"</definedName>
    <definedName name="IQ_LT_GROWTH_DET_EST_INCL" hidden="1">"c12350"</definedName>
    <definedName name="IQ_LT_GROWTH_DET_EST_INCL_THOM" hidden="1">"c12372"</definedName>
    <definedName name="IQ_LT_GROWTH_DET_EST_ORIGIN" hidden="1">"c12725"</definedName>
    <definedName name="IQ_LT_GROWTH_DET_EST_ORIGIN_THOM" hidden="1">"c12610"</definedName>
    <definedName name="IQ_LT_GROWTH_DET_EST_THOM" hidden="1">"c12090"</definedName>
    <definedName name="IQ_LT_INVEST" hidden="1">"c697"</definedName>
    <definedName name="IQ_LT_INVEST_BR" hidden="1">"c698"</definedName>
    <definedName name="IQ_LT_INVEST_FIN" hidden="1">"c699"</definedName>
    <definedName name="IQ_LT_INVEST_RE" hidden="1">"c6234"</definedName>
    <definedName name="IQ_LT_INVEST_REIT" hidden="1">"c700"</definedName>
    <definedName name="IQ_LT_INVEST_UTI" hidden="1">"c701"</definedName>
    <definedName name="IQ_LT_LIAB_AP" hidden="1">"c8885"</definedName>
    <definedName name="IQ_LT_LIAB_AP_ABS" hidden="1">"c8904"</definedName>
    <definedName name="IQ_LT_LIAB_NAME_AP" hidden="1">"c8923"</definedName>
    <definedName name="IQ_LT_LIAB_NAME_AP_ABS" hidden="1">"c8942"</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REVENUE_OVER_EMPLOYEES" hidden="1">"c1304"</definedName>
    <definedName name="IQ_M1" hidden="1">"c6906"</definedName>
    <definedName name="IQ_M1_APR" hidden="1">"c7566"</definedName>
    <definedName name="IQ_M1_APR_FC" hidden="1">"c8446"</definedName>
    <definedName name="IQ_M1_FC" hidden="1">"c7786"</definedName>
    <definedName name="IQ_M1_POP" hidden="1">"c7126"</definedName>
    <definedName name="IQ_M1_POP_FC" hidden="1">"c8006"</definedName>
    <definedName name="IQ_M1_YOY" hidden="1">"c7346"</definedName>
    <definedName name="IQ_M1_YOY_FC" hidden="1">"c8226"</definedName>
    <definedName name="IQ_M2" hidden="1">"c6907"</definedName>
    <definedName name="IQ_M2_APR" hidden="1">"c7567"</definedName>
    <definedName name="IQ_M2_APR_FC" hidden="1">"c8447"</definedName>
    <definedName name="IQ_M2_FC" hidden="1">"c7787"</definedName>
    <definedName name="IQ_M2_POP" hidden="1">"c7127"</definedName>
    <definedName name="IQ_M2_POP_FC" hidden="1">"c8007"</definedName>
    <definedName name="IQ_M2_YOY" hidden="1">"c7347"</definedName>
    <definedName name="IQ_M2_YOY_FC" hidden="1">"c8227"</definedName>
    <definedName name="IQ_M3" hidden="1">"c6908"</definedName>
    <definedName name="IQ_M3_APR" hidden="1">"c7568"</definedName>
    <definedName name="IQ_M3_APR_FC" hidden="1">"c8448"</definedName>
    <definedName name="IQ_M3_FC" hidden="1">"c7788"</definedName>
    <definedName name="IQ_M3_POP" hidden="1">"c7128"</definedName>
    <definedName name="IQ_M3_POP_FC" hidden="1">"c8008"</definedName>
    <definedName name="IQ_M3_YOY" hidden="1">"c7348"</definedName>
    <definedName name="IQ_M3_YOY_FC" hidden="1">"c8228"</definedName>
    <definedName name="IQ_MACHINERY" hidden="1">"c711"</definedName>
    <definedName name="IQ_MAINT_CAPEX" hidden="1">"c2947"</definedName>
    <definedName name="IQ_MAINT_CAPEX_ACT_OR_EST" hidden="1">"c4458"</definedName>
    <definedName name="IQ_MAINT_CAPEX_ACT_OR_EST_CIQ" hidden="1">"c4987"</definedName>
    <definedName name="IQ_MAINT_CAPEX_EST" hidden="1">"c4457"</definedName>
    <definedName name="IQ_MAINT_CAPEX_HIGH_EST" hidden="1">"c4460"</definedName>
    <definedName name="IQ_MAINT_CAPEX_LOW_EST" hidden="1">"c4461"</definedName>
    <definedName name="IQ_MAINT_CAPEX_MEDIAN_EST" hidden="1">"c4462"</definedName>
    <definedName name="IQ_MAINT_CAPEX_NUM_EST" hidden="1">"c4463"</definedName>
    <definedName name="IQ_MAINT_CAPEX_STDDEV_EST" hidden="1">"c4464"</definedName>
    <definedName name="IQ_MAINT_REPAIR" hidden="1">"c2087"</definedName>
    <definedName name="IQ_MAKE_WHOLE_END_DATE" hidden="1">"c2493"</definedName>
    <definedName name="IQ_MAKE_WHOLE_SPREAD" hidden="1">"c2494"</definedName>
    <definedName name="IQ_MAKE_WHOLE_START_DATE" hidden="1">"c2492"</definedName>
    <definedName name="IQ_MAN_INVENTORIES" hidden="1">"c6913"</definedName>
    <definedName name="IQ_MAN_INVENTORIES_APR" hidden="1">"c7573"</definedName>
    <definedName name="IQ_MAN_INVENTORIES_APR_FC" hidden="1">"c8453"</definedName>
    <definedName name="IQ_MAN_INVENTORIES_FC" hidden="1">"c7793"</definedName>
    <definedName name="IQ_MAN_INVENTORIES_POP" hidden="1">"c7133"</definedName>
    <definedName name="IQ_MAN_INVENTORIES_POP_FC" hidden="1">"c8013"</definedName>
    <definedName name="IQ_MAN_INVENTORIES_YOY" hidden="1">"c7353"</definedName>
    <definedName name="IQ_MAN_INVENTORIES_YOY_FC" hidden="1">"c8233"</definedName>
    <definedName name="IQ_MAN_IS_RATIO" hidden="1">"c6912"</definedName>
    <definedName name="IQ_MAN_IS_RATIO_APR" hidden="1">"c7572"</definedName>
    <definedName name="IQ_MAN_IS_RATIO_APR_FC" hidden="1">"c8452"</definedName>
    <definedName name="IQ_MAN_IS_RATIO_FC" hidden="1">"c7792"</definedName>
    <definedName name="IQ_MAN_IS_RATIO_POP" hidden="1">"c7132"</definedName>
    <definedName name="IQ_MAN_IS_RATIO_POP_FC" hidden="1">"c8012"</definedName>
    <definedName name="IQ_MAN_IS_RATIO_YOY" hidden="1">"c7352"</definedName>
    <definedName name="IQ_MAN_IS_RATIO_YOY_FC" hidden="1">"c8232"</definedName>
    <definedName name="IQ_MAN_ORDERS" hidden="1">"c6914"</definedName>
    <definedName name="IQ_MAN_ORDERS_APR" hidden="1">"c7574"</definedName>
    <definedName name="IQ_MAN_ORDERS_APR_FC" hidden="1">"c8454"</definedName>
    <definedName name="IQ_MAN_ORDERS_FC" hidden="1">"c7794"</definedName>
    <definedName name="IQ_MAN_ORDERS_POP" hidden="1">"c7134"</definedName>
    <definedName name="IQ_MAN_ORDERS_POP_FC" hidden="1">"c8014"</definedName>
    <definedName name="IQ_MAN_ORDERS_YOY" hidden="1">"c7354"</definedName>
    <definedName name="IQ_MAN_ORDERS_YOY_FC" hidden="1">"c8234"</definedName>
    <definedName name="IQ_MAN_OUTPUT_HR" hidden="1">"c6915"</definedName>
    <definedName name="IQ_MAN_OUTPUT_HR_APR" hidden="1">"c7575"</definedName>
    <definedName name="IQ_MAN_OUTPUT_HR_APR_FC" hidden="1">"c8455"</definedName>
    <definedName name="IQ_MAN_OUTPUT_HR_FC" hidden="1">"c7795"</definedName>
    <definedName name="IQ_MAN_OUTPUT_HR_POP" hidden="1">"c7135"</definedName>
    <definedName name="IQ_MAN_OUTPUT_HR_POP_FC" hidden="1">"c8015"</definedName>
    <definedName name="IQ_MAN_OUTPUT_HR_YOY" hidden="1">"c7355"</definedName>
    <definedName name="IQ_MAN_OUTPUT_HR_YOY_FC" hidden="1">"c8235"</definedName>
    <definedName name="IQ_MAN_PAYROLLS" hidden="1">"c6916"</definedName>
    <definedName name="IQ_MAN_PAYROLLS_APR" hidden="1">"c7576"</definedName>
    <definedName name="IQ_MAN_PAYROLLS_APR_FC" hidden="1">"c8456"</definedName>
    <definedName name="IQ_MAN_PAYROLLS_FC" hidden="1">"c7796"</definedName>
    <definedName name="IQ_MAN_PAYROLLS_POP" hidden="1">"c7136"</definedName>
    <definedName name="IQ_MAN_PAYROLLS_POP_FC" hidden="1">"c8016"</definedName>
    <definedName name="IQ_MAN_PAYROLLS_YOY" hidden="1">"c7356"</definedName>
    <definedName name="IQ_MAN_PAYROLLS_YOY_FC" hidden="1">"c8236"</definedName>
    <definedName name="IQ_MAN_SHIPMENTS" hidden="1">"c6917"</definedName>
    <definedName name="IQ_MAN_SHIPMENTS_APR" hidden="1">"c7577"</definedName>
    <definedName name="IQ_MAN_SHIPMENTS_APR_FC" hidden="1">"c8457"</definedName>
    <definedName name="IQ_MAN_SHIPMENTS_FC" hidden="1">"c7797"</definedName>
    <definedName name="IQ_MAN_SHIPMENTS_POP" hidden="1">"c7137"</definedName>
    <definedName name="IQ_MAN_SHIPMENTS_POP_FC" hidden="1">"c8017"</definedName>
    <definedName name="IQ_MAN_SHIPMENTS_YOY" hidden="1">"c7357"</definedName>
    <definedName name="IQ_MAN_SHIPMENTS_YOY_FC" hidden="1">"c8237"</definedName>
    <definedName name="IQ_MAN_TOTAL_HR" hidden="1">"c6918"</definedName>
    <definedName name="IQ_MAN_TOTAL_HR_APR" hidden="1">"c7578"</definedName>
    <definedName name="IQ_MAN_TOTAL_HR_APR_FC" hidden="1">"c8458"</definedName>
    <definedName name="IQ_MAN_TOTAL_HR_FC" hidden="1">"c7798"</definedName>
    <definedName name="IQ_MAN_TOTAL_HR_POP" hidden="1">"c7138"</definedName>
    <definedName name="IQ_MAN_TOTAL_HR_POP_FC" hidden="1">"c8018"</definedName>
    <definedName name="IQ_MAN_TOTAL_HR_YOY" hidden="1">"c7358"</definedName>
    <definedName name="IQ_MAN_TOTAL_HR_YOY_FC" hidden="1">"c8238"</definedName>
    <definedName name="IQ_MAN_TRADE_INVENTORIES" hidden="1">"c6910"</definedName>
    <definedName name="IQ_MAN_TRADE_INVENTORIES_APR" hidden="1">"c7570"</definedName>
    <definedName name="IQ_MAN_TRADE_INVENTORIES_APR_FC" hidden="1">"c8450"</definedName>
    <definedName name="IQ_MAN_TRADE_INVENTORIES_FC" hidden="1">"c7790"</definedName>
    <definedName name="IQ_MAN_TRADE_INVENTORIES_POP" hidden="1">"c7130"</definedName>
    <definedName name="IQ_MAN_TRADE_INVENTORIES_POP_FC" hidden="1">"c8010"</definedName>
    <definedName name="IQ_MAN_TRADE_INVENTORIES_YOY" hidden="1">"c7350"</definedName>
    <definedName name="IQ_MAN_TRADE_INVENTORIES_YOY_FC" hidden="1">"c8230"</definedName>
    <definedName name="IQ_MAN_TRADE_IS_RATIO" hidden="1">"c6909"</definedName>
    <definedName name="IQ_MAN_TRADE_IS_RATIO_FC" hidden="1">"c7789"</definedName>
    <definedName name="IQ_MAN_TRADE_IS_RATIO_POP" hidden="1">"c7129"</definedName>
    <definedName name="IQ_MAN_TRADE_IS_RATIO_POP_FC" hidden="1">"c8009"</definedName>
    <definedName name="IQ_MAN_TRADE_IS_RATIO_YOY" hidden="1">"c7349"</definedName>
    <definedName name="IQ_MAN_TRADE_IS_RATIO_YOY_FC" hidden="1">"c8229"</definedName>
    <definedName name="IQ_MAN_TRADE_SALES" hidden="1">"c6911"</definedName>
    <definedName name="IQ_MAN_TRADE_SALES_APR" hidden="1">"c7571"</definedName>
    <definedName name="IQ_MAN_TRADE_SALES_APR_FC" hidden="1">"c8451"</definedName>
    <definedName name="IQ_MAN_TRADE_SALES_FC" hidden="1">"c7791"</definedName>
    <definedName name="IQ_MAN_TRADE_SALES_POP" hidden="1">"c7131"</definedName>
    <definedName name="IQ_MAN_TRADE_SALES_POP_FC" hidden="1">"c8011"</definedName>
    <definedName name="IQ_MAN_TRADE_SALES_YOY" hidden="1">"c7351"</definedName>
    <definedName name="IQ_MAN_TRADE_SALES_YOY_FC" hidden="1">"c8231"</definedName>
    <definedName name="IQ_MAN_WAGES" hidden="1">"c6919"</definedName>
    <definedName name="IQ_MAN_WAGES_APR" hidden="1">"c7579"</definedName>
    <definedName name="IQ_MAN_WAGES_APR_FC" hidden="1">"c8459"</definedName>
    <definedName name="IQ_MAN_WAGES_FC" hidden="1">"c7799"</definedName>
    <definedName name="IQ_MAN_WAGES_POP" hidden="1">"c7139"</definedName>
    <definedName name="IQ_MAN_WAGES_POP_FC" hidden="1">"c8019"</definedName>
    <definedName name="IQ_MAN_WAGES_YOY" hidden="1">"c7359"</definedName>
    <definedName name="IQ_MAN_WAGES_YOY_FC" hidden="1">"c8239"</definedName>
    <definedName name="IQ_MANAGED_PROP" hidden="1">"c8763"</definedName>
    <definedName name="IQ_MANAGED_SQ_FT" hidden="1">"c8779"</definedName>
    <definedName name="IQ_MANAGED_UNITS" hidden="1">"c8771"</definedName>
    <definedName name="IQ_MARGIN_ANNUAL_PREMIUM_EQUIVALENT_NEW_BUSINESS" hidden="1">"c9970"</definedName>
    <definedName name="IQ_MARGIN_PV_PREMIUMS_NEW_BUSINESS" hidden="1">"c9971"</definedName>
    <definedName name="IQ_MARKET_CAP_LFCF" hidden="1">"c2209"</definedName>
    <definedName name="IQ_MARKETCAP" hidden="1">"c712"</definedName>
    <definedName name="IQ_MARKETING" hidden="1">"c2239"</definedName>
    <definedName name="IQ_MATURITY_DATE" hidden="1">"c2146"</definedName>
    <definedName name="IQ_MATURITY_ONE_YEAR_LESS_FDIC" hidden="1">"c6425"</definedName>
    <definedName name="IQ_MBS_INVEST_SECURITIES_FFIEC" hidden="1">"c13460"</definedName>
    <definedName name="IQ_MBS_OTHER_ISSUED_FNMA_OTHERS_AVAIL_SALE_FFIEC" hidden="1">"c12799"</definedName>
    <definedName name="IQ_MBS_OTHER_ISSUED_FNMA_OTHERS_FFIEC" hidden="1">"c12785"</definedName>
    <definedName name="IQ_MBS_PASS_THROUGH_FNMA_AVAIL_SALE_FFIEC" hidden="1">"c12797"</definedName>
    <definedName name="IQ_MBS_PASS_THROUGH_FNMA_FFIEC" hidden="1">"c12783"</definedName>
    <definedName name="IQ_MBS_PASS_THROUGH_GNMA_AVAIL_SALE_FFIEC" hidden="1">"c12796"</definedName>
    <definedName name="IQ_MBS_PASS_THROUGH_GNMA_FFIEC" hidden="1">"c12782"</definedName>
    <definedName name="IQ_MBS_PASS_THROUGH_ISSUED_FNMA_GNMA_TRADING_DOM_FFIEC" hidden="1">"c12921"</definedName>
    <definedName name="IQ_MBS_PASS_THROUGH_OTHER_AVAIL_SALE_FFIEC" hidden="1">"c12798"</definedName>
    <definedName name="IQ_MBS_PASS_THROUGH_OTHER_FFIEC" hidden="1">"c12784"</definedName>
    <definedName name="IQ_MC_ASO_COVERED_LIVES" hidden="1">"c9918"</definedName>
    <definedName name="IQ_MC_ASO_MEMBERSHIP" hidden="1">"c9921"</definedName>
    <definedName name="IQ_MC_CLAIMS_RESERVES" hidden="1">"c9941"</definedName>
    <definedName name="IQ_MC_COMBINED_RATIO" hidden="1">"c9933"</definedName>
    <definedName name="IQ_MC_DAYS_CLAIMS_PAYABLE" hidden="1">"c9937"</definedName>
    <definedName name="IQ_MC_DAYS_CLAIMS_PAYABLE_EXCL_CAPITATION" hidden="1">"c9938"</definedName>
    <definedName name="IQ_MC_MEDICAL_COSTS_PMPM" hidden="1">"c9925"</definedName>
    <definedName name="IQ_MC_PARENT_CASH" hidden="1">"c9942"</definedName>
    <definedName name="IQ_MC_PREMIUMS_PMPM" hidden="1">"c9924"</definedName>
    <definedName name="IQ_MC_RATIO" hidden="1">"c2783"</definedName>
    <definedName name="IQ_MC_RECEIPT_CYCLE_TIME_DAYS" hidden="1">"c9939"</definedName>
    <definedName name="IQ_MC_RECEIPT_CYCLE_TIME_MONTHS" hidden="1">"c9940"</definedName>
    <definedName name="IQ_MC_RISK_COVERED_LIVES" hidden="1">"c9917"</definedName>
    <definedName name="IQ_MC_RISK_MEMBERSHIP" hidden="1">"c9920"</definedName>
    <definedName name="IQ_MC_SELLILNG_COSTS_RATIO" hidden="1">"c9928"</definedName>
    <definedName name="IQ_MC_SGA_PMPM" hidden="1">"c9926"</definedName>
    <definedName name="IQ_MC_STATUTORY_SURPLUS" hidden="1">"c2772"</definedName>
    <definedName name="IQ_MC_TOTAL_COVERED_LIVES" hidden="1">"c9919"</definedName>
    <definedName name="IQ_MC_TOTAL_MEMBERSHIP" hidden="1">"c9922"</definedName>
    <definedName name="IQ_MC_TOTAL_MEMBERSHIP_CAPITATION" hidden="1">"c9923"</definedName>
    <definedName name="IQ_MC_UNPROCESSED_CLAIMS_INVENTORY_DAYS" hidden="1">"c9936"</definedName>
    <definedName name="IQ_MC_UNPROCESSED_CLAIMS_INVENTORY_NUMBER" hidden="1">"c9934"</definedName>
    <definedName name="IQ_MC_UNPROCESSED_CLAIMS_INVENTORY_VALUE" hidden="1">"c9935"</definedName>
    <definedName name="IQ_MEASURED_ATTRIB_ORE_RESOURCES_ALUM" hidden="1">"c9237"</definedName>
    <definedName name="IQ_MEASURED_ATTRIB_ORE_RESOURCES_COP" hidden="1">"c9181"</definedName>
    <definedName name="IQ_MEASURED_ATTRIB_ORE_RESOURCES_DIAM" hidden="1">"c9661"</definedName>
    <definedName name="IQ_MEASURED_ATTRIB_ORE_RESOURCES_GOLD" hidden="1">"c9022"</definedName>
    <definedName name="IQ_MEASURED_ATTRIB_ORE_RESOURCES_IRON" hidden="1">"c9396"</definedName>
    <definedName name="IQ_MEASURED_ATTRIB_ORE_RESOURCES_LEAD" hidden="1">"c9449"</definedName>
    <definedName name="IQ_MEASURED_ATTRIB_ORE_RESOURCES_MANG" hidden="1">"c9502"</definedName>
    <definedName name="IQ_MEASURED_ATTRIB_ORE_RESOURCES_MOLYB" hidden="1">"c9714"</definedName>
    <definedName name="IQ_MEASURED_ATTRIB_ORE_RESOURCES_NICK" hidden="1">"c9290"</definedName>
    <definedName name="IQ_MEASURED_ATTRIB_ORE_RESOURCES_PLAT" hidden="1">"c9128"</definedName>
    <definedName name="IQ_MEASURED_ATTRIB_ORE_RESOURCES_SILVER" hidden="1">"c9075"</definedName>
    <definedName name="IQ_MEASURED_ATTRIB_ORE_RESOURCES_TITAN" hidden="1">"c9555"</definedName>
    <definedName name="IQ_MEASURED_ATTRIB_ORE_RESOURCES_URAN" hidden="1">"c9608"</definedName>
    <definedName name="IQ_MEASURED_ATTRIB_ORE_RESOURCES_ZINC" hidden="1">"c9343"</definedName>
    <definedName name="IQ_MEASURED_INDICATED_ATTRIB_ORE_RESOURCES_ALUM" hidden="1">"c9239"</definedName>
    <definedName name="IQ_MEASURED_INDICATED_ATTRIB_ORE_RESOURCES_COP" hidden="1">"c9183"</definedName>
    <definedName name="IQ_MEASURED_INDICATED_ATTRIB_ORE_RESOURCES_DIAM" hidden="1">"c9663"</definedName>
    <definedName name="IQ_MEASURED_INDICATED_ATTRIB_ORE_RESOURCES_GOLD" hidden="1">"c9024"</definedName>
    <definedName name="IQ_MEASURED_INDICATED_ATTRIB_ORE_RESOURCES_IRON" hidden="1">"c9398"</definedName>
    <definedName name="IQ_MEASURED_INDICATED_ATTRIB_ORE_RESOURCES_LEAD" hidden="1">"c9451"</definedName>
    <definedName name="IQ_MEASURED_INDICATED_ATTRIB_ORE_RESOURCES_MANG" hidden="1">"c9504"</definedName>
    <definedName name="IQ_MEASURED_INDICATED_ATTRIB_ORE_RESOURCES_MOLYB" hidden="1">"c9716"</definedName>
    <definedName name="IQ_MEASURED_INDICATED_ATTRIB_ORE_RESOURCES_NICK" hidden="1">"c9292"</definedName>
    <definedName name="IQ_MEASURED_INDICATED_ATTRIB_ORE_RESOURCES_PLAT" hidden="1">"c9130"</definedName>
    <definedName name="IQ_MEASURED_INDICATED_ATTRIB_ORE_RESOURCES_SILVER" hidden="1">"c9077"</definedName>
    <definedName name="IQ_MEASURED_INDICATED_ATTRIB_ORE_RESOURCES_TITAN" hidden="1">"c9557"</definedName>
    <definedName name="IQ_MEASURED_INDICATED_ATTRIB_ORE_RESOURCES_URAN" hidden="1">"c9610"</definedName>
    <definedName name="IQ_MEASURED_INDICATED_ATTRIB_ORE_RESOURCES_ZINC" hidden="1">"c9345"</definedName>
    <definedName name="IQ_MEASURED_INDICATED_ORE_RESOURCES_ALUM" hidden="1">"c9226"</definedName>
    <definedName name="IQ_MEASURED_INDICATED_ORE_RESOURCES_COP" hidden="1">"c9170"</definedName>
    <definedName name="IQ_MEASURED_INDICATED_ORE_RESOURCES_DIAM" hidden="1">"c9650"</definedName>
    <definedName name="IQ_MEASURED_INDICATED_ORE_RESOURCES_GOLD" hidden="1">"c9011"</definedName>
    <definedName name="IQ_MEASURED_INDICATED_ORE_RESOURCES_IRON" hidden="1">"c9385"</definedName>
    <definedName name="IQ_MEASURED_INDICATED_ORE_RESOURCES_LEAD" hidden="1">"c9438"</definedName>
    <definedName name="IQ_MEASURED_INDICATED_ORE_RESOURCES_MANG" hidden="1">"c9491"</definedName>
    <definedName name="IQ_MEASURED_INDICATED_ORE_RESOURCES_MOLYB" hidden="1">"c9703"</definedName>
    <definedName name="IQ_MEASURED_INDICATED_ORE_RESOURCES_NICK" hidden="1">"c9279"</definedName>
    <definedName name="IQ_MEASURED_INDICATED_ORE_RESOURCES_PLAT" hidden="1">"c9117"</definedName>
    <definedName name="IQ_MEASURED_INDICATED_ORE_RESOURCES_SILVER" hidden="1">"c9064"</definedName>
    <definedName name="IQ_MEASURED_INDICATED_ORE_RESOURCES_TITAN" hidden="1">"c9544"</definedName>
    <definedName name="IQ_MEASURED_INDICATED_ORE_RESOURCES_URAN" hidden="1">"c9597"</definedName>
    <definedName name="IQ_MEASURED_INDICATED_ORE_RESOURCES_ZINC" hidden="1">"c9332"</definedName>
    <definedName name="IQ_MEASURED_INDICATED_RECOV_RESOURCES_ALUM" hidden="1">"c9234"</definedName>
    <definedName name="IQ_MEASURED_INDICATED_RECOV_RESOURCES_COAL" hidden="1">"c9813"</definedName>
    <definedName name="IQ_MEASURED_INDICATED_RECOV_RESOURCES_COP" hidden="1">"c9178"</definedName>
    <definedName name="IQ_MEASURED_INDICATED_RECOV_RESOURCES_DIAM" hidden="1">"c9658"</definedName>
    <definedName name="IQ_MEASURED_INDICATED_RECOV_RESOURCES_GOLD" hidden="1">"c9019"</definedName>
    <definedName name="IQ_MEASURED_INDICATED_RECOV_RESOURCES_IRON" hidden="1">"c9393"</definedName>
    <definedName name="IQ_MEASURED_INDICATED_RECOV_RESOURCES_LEAD" hidden="1">"c9446"</definedName>
    <definedName name="IQ_MEASURED_INDICATED_RECOV_RESOURCES_MANG" hidden="1">"c9499"</definedName>
    <definedName name="IQ_MEASURED_INDICATED_RECOV_RESOURCES_MET_COAL" hidden="1">"c9753"</definedName>
    <definedName name="IQ_MEASURED_INDICATED_RECOV_RESOURCES_MOLYB" hidden="1">"c9711"</definedName>
    <definedName name="IQ_MEASURED_INDICATED_RECOV_RESOURCES_NICK" hidden="1">"c9287"</definedName>
    <definedName name="IQ_MEASURED_INDICATED_RECOV_RESOURCES_PLAT" hidden="1">"c9125"</definedName>
    <definedName name="IQ_MEASURED_INDICATED_RECOV_RESOURCES_SILVER" hidden="1">"c9072"</definedName>
    <definedName name="IQ_MEASURED_INDICATED_RECOV_RESOURCES_STEAM" hidden="1">"c9783"</definedName>
    <definedName name="IQ_MEASURED_INDICATED_RECOV_RESOURCES_TITAN" hidden="1">"c9552"</definedName>
    <definedName name="IQ_MEASURED_INDICATED_RECOV_RESOURCES_URAN" hidden="1">"c9605"</definedName>
    <definedName name="IQ_MEASURED_INDICATED_RECOV_RESOURCES_ZINC" hidden="1">"c9340"</definedName>
    <definedName name="IQ_MEASURED_INDICATED_RESOURCES_GRADE_ALUM" hidden="1">"c9227"</definedName>
    <definedName name="IQ_MEASURED_INDICATED_RESOURCES_GRADE_COP" hidden="1">"c9171"</definedName>
    <definedName name="IQ_MEASURED_INDICATED_RESOURCES_GRADE_DIAM" hidden="1">"c9651"</definedName>
    <definedName name="IQ_MEASURED_INDICATED_RESOURCES_GRADE_GOLD" hidden="1">"c9012"</definedName>
    <definedName name="IQ_MEASURED_INDICATED_RESOURCES_GRADE_IRON" hidden="1">"c9386"</definedName>
    <definedName name="IQ_MEASURED_INDICATED_RESOURCES_GRADE_LEAD" hidden="1">"c9439"</definedName>
    <definedName name="IQ_MEASURED_INDICATED_RESOURCES_GRADE_MANG" hidden="1">"c9492"</definedName>
    <definedName name="IQ_MEASURED_INDICATED_RESOURCES_GRADE_MOLYB" hidden="1">"c9704"</definedName>
    <definedName name="IQ_MEASURED_INDICATED_RESOURCES_GRADE_NICK" hidden="1">"c9280"</definedName>
    <definedName name="IQ_MEASURED_INDICATED_RESOURCES_GRADE_PLAT" hidden="1">"c9118"</definedName>
    <definedName name="IQ_MEASURED_INDICATED_RESOURCES_GRADE_SILVER" hidden="1">"c9065"</definedName>
    <definedName name="IQ_MEASURED_INDICATED_RESOURCES_GRADE_TITAN" hidden="1">"c9545"</definedName>
    <definedName name="IQ_MEASURED_INDICATED_RESOURCES_GRADE_URAN" hidden="1">"c9598"</definedName>
    <definedName name="IQ_MEASURED_INDICATED_RESOURCES_GRADE_ZINC" hidden="1">"c9333"</definedName>
    <definedName name="IQ_MEASURED_ORE_RESOURCES_ALUM" hidden="1">"c9222"</definedName>
    <definedName name="IQ_MEASURED_ORE_RESOURCES_COP" hidden="1">"c9166"</definedName>
    <definedName name="IQ_MEASURED_ORE_RESOURCES_DIAM" hidden="1">"c9646"</definedName>
    <definedName name="IQ_MEASURED_ORE_RESOURCES_GOLD" hidden="1">"c9007"</definedName>
    <definedName name="IQ_MEASURED_ORE_RESOURCES_IRON" hidden="1">"c9381"</definedName>
    <definedName name="IQ_MEASURED_ORE_RESOURCES_LEAD" hidden="1">"c9434"</definedName>
    <definedName name="IQ_MEASURED_ORE_RESOURCES_MANG" hidden="1">"c9487"</definedName>
    <definedName name="IQ_MEASURED_ORE_RESOURCES_MOLYB" hidden="1">"c9699"</definedName>
    <definedName name="IQ_MEASURED_ORE_RESOURCES_NICK" hidden="1">"c9275"</definedName>
    <definedName name="IQ_MEASURED_ORE_RESOURCES_PLAT" hidden="1">"c9113"</definedName>
    <definedName name="IQ_MEASURED_ORE_RESOURCES_SILVER" hidden="1">"c9060"</definedName>
    <definedName name="IQ_MEASURED_ORE_RESOURCES_TITAN" hidden="1">"c9540"</definedName>
    <definedName name="IQ_MEASURED_ORE_RESOURCES_URAN" hidden="1">"c9593"</definedName>
    <definedName name="IQ_MEASURED_ORE_RESOURCES_ZINC" hidden="1">"c9328"</definedName>
    <definedName name="IQ_MEASURED_RECOV_ATTRIB_RESOURCES_ALUM" hidden="1">"c9242"</definedName>
    <definedName name="IQ_MEASURED_RECOV_ATTRIB_RESOURCES_COAL" hidden="1">"c9816"</definedName>
    <definedName name="IQ_MEASURED_RECOV_ATTRIB_RESOURCES_COP" hidden="1">"c9186"</definedName>
    <definedName name="IQ_MEASURED_RECOV_ATTRIB_RESOURCES_DIAM" hidden="1">"c9666"</definedName>
    <definedName name="IQ_MEASURED_RECOV_ATTRIB_RESOURCES_GOLD" hidden="1">"c9027"</definedName>
    <definedName name="IQ_MEASURED_RECOV_ATTRIB_RESOURCES_IRON" hidden="1">"c9401"</definedName>
    <definedName name="IQ_MEASURED_RECOV_ATTRIB_RESOURCES_LEAD" hidden="1">"c9454"</definedName>
    <definedName name="IQ_MEASURED_RECOV_ATTRIB_RESOURCES_MANG" hidden="1">"c9507"</definedName>
    <definedName name="IQ_MEASURED_RECOV_ATTRIB_RESOURCES_MET_COAL" hidden="1">"c9756"</definedName>
    <definedName name="IQ_MEASURED_RECOV_ATTRIB_RESOURCES_MOLYB" hidden="1">"c9719"</definedName>
    <definedName name="IQ_MEASURED_RECOV_ATTRIB_RESOURCES_NICK" hidden="1">"c9295"</definedName>
    <definedName name="IQ_MEASURED_RECOV_ATTRIB_RESOURCES_PLAT" hidden="1">"c9133"</definedName>
    <definedName name="IQ_MEASURED_RECOV_ATTRIB_RESOURCES_SILVER" hidden="1">"c9080"</definedName>
    <definedName name="IQ_MEASURED_RECOV_ATTRIB_RESOURCES_STEAM" hidden="1">"c9786"</definedName>
    <definedName name="IQ_MEASURED_RECOV_ATTRIB_RESOURCES_TITAN" hidden="1">"c9560"</definedName>
    <definedName name="IQ_MEASURED_RECOV_ATTRIB_RESOURCES_URAN" hidden="1">"c9613"</definedName>
    <definedName name="IQ_MEASURED_RECOV_ATTRIB_RESOURCES_ZINC" hidden="1">"c9348"</definedName>
    <definedName name="IQ_MEASURED_RECOV_RESOURCES_ALUM" hidden="1">"c9232"</definedName>
    <definedName name="IQ_MEASURED_RECOV_RESOURCES_COAL" hidden="1">"c9811"</definedName>
    <definedName name="IQ_MEASURED_RECOV_RESOURCES_COP" hidden="1">"c9176"</definedName>
    <definedName name="IQ_MEASURED_RECOV_RESOURCES_DIAM" hidden="1">"c9656"</definedName>
    <definedName name="IQ_MEASURED_RECOV_RESOURCES_GOLD" hidden="1">"c9017"</definedName>
    <definedName name="IQ_MEASURED_RECOV_RESOURCES_IRON" hidden="1">"c9391"</definedName>
    <definedName name="IQ_MEASURED_RECOV_RESOURCES_LEAD" hidden="1">"c9444"</definedName>
    <definedName name="IQ_MEASURED_RECOV_RESOURCES_MANG" hidden="1">"c9497"</definedName>
    <definedName name="IQ_MEASURED_RECOV_RESOURCES_MET_COAL" hidden="1">"c9751"</definedName>
    <definedName name="IQ_MEASURED_RECOV_RESOURCES_MOLYB" hidden="1">"c9709"</definedName>
    <definedName name="IQ_MEASURED_RECOV_RESOURCES_NICK" hidden="1">"c9285"</definedName>
    <definedName name="IQ_MEASURED_RECOV_RESOURCES_PLAT" hidden="1">"c9123"</definedName>
    <definedName name="IQ_MEASURED_RECOV_RESOURCES_SILVER" hidden="1">"c9070"</definedName>
    <definedName name="IQ_MEASURED_RECOV_RESOURCES_STEAM" hidden="1">"c9781"</definedName>
    <definedName name="IQ_MEASURED_RECOV_RESOURCES_TITAN" hidden="1">"c9550"</definedName>
    <definedName name="IQ_MEASURED_RECOV_RESOURCES_URAN" hidden="1">"c9603"</definedName>
    <definedName name="IQ_MEASURED_RECOV_RESOURCES_ZINC" hidden="1">"c9338"</definedName>
    <definedName name="IQ_MEASURED_RESOURCES_CALORIFIC_VALUE_COAL" hidden="1">"c9806"</definedName>
    <definedName name="IQ_MEASURED_RESOURCES_CALORIFIC_VALUE_MET_COAL" hidden="1">"c9746"</definedName>
    <definedName name="IQ_MEASURED_RESOURCES_CALORIFIC_VALUE_STEAM" hidden="1">"c9776"</definedName>
    <definedName name="IQ_MEASURED_RESOURCES_GRADE_ALUM" hidden="1">"c9223"</definedName>
    <definedName name="IQ_MEASURED_RESOURCES_GRADE_COP" hidden="1">"c9167"</definedName>
    <definedName name="IQ_MEASURED_RESOURCES_GRADE_DIAM" hidden="1">"c9647"</definedName>
    <definedName name="IQ_MEASURED_RESOURCES_GRADE_GOLD" hidden="1">"c9008"</definedName>
    <definedName name="IQ_MEASURED_RESOURCES_GRADE_IRON" hidden="1">"c9382"</definedName>
    <definedName name="IQ_MEASURED_RESOURCES_GRADE_LEAD" hidden="1">"c9435"</definedName>
    <definedName name="IQ_MEASURED_RESOURCES_GRADE_MANG" hidden="1">"c9488"</definedName>
    <definedName name="IQ_MEASURED_RESOURCES_GRADE_MOLYB" hidden="1">"c9700"</definedName>
    <definedName name="IQ_MEASURED_RESOURCES_GRADE_NICK" hidden="1">"c9276"</definedName>
    <definedName name="IQ_MEASURED_RESOURCES_GRADE_PLAT" hidden="1">"c9114"</definedName>
    <definedName name="IQ_MEASURED_RESOURCES_GRADE_SILVER" hidden="1">"c9061"</definedName>
    <definedName name="IQ_MEASURED_RESOURCES_GRADE_TITAN" hidden="1">"c9541"</definedName>
    <definedName name="IQ_MEASURED_RESOURCES_GRADE_URAN" hidden="1">"c9594"</definedName>
    <definedName name="IQ_MEASURED_RESOURCES_GRADE_ZINC" hidden="1">"c9329"</definedName>
    <definedName name="IQ_MEDIAN_NEW_HOME_SALES_APR_FC_UNUSED" hidden="1">"c8460"</definedName>
    <definedName name="IQ_MEDIAN_NEW_HOME_SALES_APR_UNUSED" hidden="1">"c7580"</definedName>
    <definedName name="IQ_MEDIAN_NEW_HOME_SALES_FC_UNUSED" hidden="1">"c7800"</definedName>
    <definedName name="IQ_MEDIAN_NEW_HOME_SALES_POP_FC_UNUSED" hidden="1">"c8020"</definedName>
    <definedName name="IQ_MEDIAN_NEW_HOME_SALES_POP_UNUSED" hidden="1">"c7140"</definedName>
    <definedName name="IQ_MEDIAN_NEW_HOME_SALES_UNUSED" hidden="1">"c6920"</definedName>
    <definedName name="IQ_MEDIAN_NEW_HOME_SALES_YOY_FC_UNUSED" hidden="1">"c8240"</definedName>
    <definedName name="IQ_MEDIAN_NEW_HOME_SALES_YOY_UNUSED" hidden="1">"c7360"</definedName>
    <definedName name="IQ_MEDIAN_TARGET_PRICE" hidden="1">"c1650"</definedName>
    <definedName name="IQ_MEDIAN_TARGET_PRICE_CIQ" hidden="1">"c4658"</definedName>
    <definedName name="IQ_MEDIAN_TARGET_PRICE_REUT" hidden="1">"c5316"</definedName>
    <definedName name="IQ_MEDIAN_TARGET_PRICE_THOM" hidden="1">"c5095"</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 hidden="1">"c6235"</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 hidden="1">"c6236"</definedName>
    <definedName name="IQ_MERGER_RESTRUCTURE_REIT" hidden="1">"c724"</definedName>
    <definedName name="IQ_MERGER_RESTRUCTURE_UTI" hidden="1">"c725"</definedName>
    <definedName name="IQ_MERGER_SUPPLE" hidden="1">"c13810"</definedName>
    <definedName name="IQ_MERGER_UTI" hidden="1">"c726"</definedName>
    <definedName name="IQ_MI_RECOV_ATTRIB_RESOURCES_ALUM" hidden="1">"c9244"</definedName>
    <definedName name="IQ_MI_RECOV_ATTRIB_RESOURCES_COAL" hidden="1">"c9818"</definedName>
    <definedName name="IQ_MI_RECOV_ATTRIB_RESOURCES_COP" hidden="1">"c9188"</definedName>
    <definedName name="IQ_MI_RECOV_ATTRIB_RESOURCES_DIAM" hidden="1">"c9668"</definedName>
    <definedName name="IQ_MI_RECOV_ATTRIB_RESOURCES_GOLD" hidden="1">"c9029"</definedName>
    <definedName name="IQ_MI_RECOV_ATTRIB_RESOURCES_IRON" hidden="1">"c9403"</definedName>
    <definedName name="IQ_MI_RECOV_ATTRIB_RESOURCES_LEAD" hidden="1">"c9456"</definedName>
    <definedName name="IQ_MI_RECOV_ATTRIB_RESOURCES_MANG" hidden="1">"c9509"</definedName>
    <definedName name="IQ_MI_RECOV_ATTRIB_RESOURCES_MET_COAL" hidden="1">"c9758"</definedName>
    <definedName name="IQ_MI_RECOV_ATTRIB_RESOURCES_MOLYB" hidden="1">"c9721"</definedName>
    <definedName name="IQ_MI_RECOV_ATTRIB_RESOURCES_NICK" hidden="1">"c9297"</definedName>
    <definedName name="IQ_MI_RECOV_ATTRIB_RESOURCES_PLAT" hidden="1">"c9135"</definedName>
    <definedName name="IQ_MI_RECOV_ATTRIB_RESOURCES_SILVER" hidden="1">"c9082"</definedName>
    <definedName name="IQ_MI_RECOV_ATTRIB_RESOURCES_STEAM" hidden="1">"c9788"</definedName>
    <definedName name="IQ_MI_RECOV_ATTRIB_RESOURCES_TITAN" hidden="1">"c9562"</definedName>
    <definedName name="IQ_MI_RECOV_ATTRIB_RESOURCES_URAN" hidden="1">"c9615"</definedName>
    <definedName name="IQ_MI_RECOV_ATTRIB_RESOURCES_ZINC" hidden="1">"c9350"</definedName>
    <definedName name="IQ_MI_RESOURCES_CALORIFIC_VALUE_COAL" hidden="1">"c9808"</definedName>
    <definedName name="IQ_MI_RESOURCES_CALORIFIC_VALUE_MET_COAL" hidden="1">"c9748"</definedName>
    <definedName name="IQ_MI_RESOURCES_CALORIFIC_VALUE_STEAM" hidden="1">"c9778"</definedName>
    <definedName name="IQ_MINORITY_INT_AVG_ASSETS_FFIEC" hidden="1">"c13367"</definedName>
    <definedName name="IQ_MINORITY_INT_BS_FFIEC" hidden="1">"c12874"</definedName>
    <definedName name="IQ_MINORITY_INT_FFIEC" hidden="1">"c13031"</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 hidden="1">"c6237"</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CIQ" hidden="1">"c4041"</definedName>
    <definedName name="IQ_MKTCAP_TOTAL_REV_FWD_REUT" hidden="1">"c4048"</definedName>
    <definedName name="IQ_MKTCAP_TOTAL_REV_FWD_THOM" hidden="1">"c4055"</definedName>
    <definedName name="IQ_MM_ACCOUNT" hidden="1">"c743"</definedName>
    <definedName name="IQ_MM_ACCRETION_EXPENSE" hidden="1">"c9845"</definedName>
    <definedName name="IQ_MM_ARO_BEG" hidden="1">"c9842"</definedName>
    <definedName name="IQ_MM_ARO_TOTAL" hidden="1">"c9850"</definedName>
    <definedName name="IQ_MM_CURRENT_PORT_ARO" hidden="1">"c9851"</definedName>
    <definedName name="IQ_MM_DEVELOPED_ACREAGE" hidden="1">"c9832"</definedName>
    <definedName name="IQ_MM_DEVELOPED_SQ_KMS" hidden="1">"c9831"</definedName>
    <definedName name="IQ_MM_DEVELOPED_SQ_MILES" hidden="1">"c9833"</definedName>
    <definedName name="IQ_MM_EXPLORATION_EXPENDITURE_TOT" hidden="1">"c9840"</definedName>
    <definedName name="IQ_MM_FX_ADJUSTMENT" hidden="1">"c9847"</definedName>
    <definedName name="IQ_MM_LIABILITIES_INCURRED_ACQUIRED" hidden="1">"c9843"</definedName>
    <definedName name="IQ_MM_LIABILITIES_REL_SPIN_OFFS" hidden="1">"c9848"</definedName>
    <definedName name="IQ_MM_LIABILITIES_SETTLED_DISPOSED" hidden="1">"c9844"</definedName>
    <definedName name="IQ_MM_NON_CURRENT_PORT_ARO" hidden="1">"c9852"</definedName>
    <definedName name="IQ_MM_NUMBER_MINES" hidden="1">"c9839"</definedName>
    <definedName name="IQ_MM_OTHER_ADJUSTMENTS_ARO" hidden="1">"c9849"</definedName>
    <definedName name="IQ_MM_REMAINING_MINE_LIFE" hidden="1">"c9838"</definedName>
    <definedName name="IQ_MM_RESOURCES_INCL_EXCL_RESERVES" hidden="1">"c9841"</definedName>
    <definedName name="IQ_MM_REVISIONS_ESTIMATE" hidden="1">"c9846"</definedName>
    <definedName name="IQ_MM_STRIPPING_RATIO" hidden="1">"c9837"</definedName>
    <definedName name="IQ_MM_UNDEVELOPED_ACREAGE" hidden="1">"c9835"</definedName>
    <definedName name="IQ_MM_UNDEVELOPED_SQ_KMS" hidden="1">"c9834"</definedName>
    <definedName name="IQ_MM_UNDEVELOPED_SQ_MILES" hidden="1">"c9836"</definedName>
    <definedName name="IQ_MMDA_SAVINGS_TOT_DEPOSITS_FFIEC" hidden="1">"c13905"</definedName>
    <definedName name="IQ_MONEY_MARKET_ACCOUNTS_COMMERCIAL_BANK_SUBS_FFIEC" hidden="1">"c12947"</definedName>
    <definedName name="IQ_MONEY_MARKET_ACCOUNTS_OTHER_INSTITUTIONS_FFIEC" hidden="1">"c12952"</definedName>
    <definedName name="IQ_MONEY_MARKET_DEPOSIT_ACCOUNTS_FDIC" hidden="1">"c6553"</definedName>
    <definedName name="IQ_MONTH" hidden="1">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BACKED_SECURITIES_FDIC" hidden="1">"c6402"</definedName>
    <definedName name="IQ_MORTGAGE_SERV_RIGHTS" hidden="1">"c2242"</definedName>
    <definedName name="IQ_MORTGAGE_SERVICING_ASSETS_FFIEC" hidden="1">"c12838"</definedName>
    <definedName name="IQ_MORTGAGE_SERVICING_FDIC" hidden="1">"c6335"</definedName>
    <definedName name="IQ_MULTI_RES_PROPERTIES_TRADING_DOM_FFIEC" hidden="1">"c12930"</definedName>
    <definedName name="IQ_MULTIFAM_5_LOANS_TOT_LOANS_FFIEC" hidden="1">"c13869"</definedName>
    <definedName name="IQ_MULTIFAMILY_LOANS_GROSS_LOANS_FFIEC" hidden="1">"c13404"</definedName>
    <definedName name="IQ_MULTIFAMILY_LOANS_RISK_BASED_FFIEC" hidden="1">"c13425"</definedName>
    <definedName name="IQ_MULTIFAMILY_RESIDENTIAL_LOANS_FDIC" hidden="1">"c6311"</definedName>
    <definedName name="IQ_MUNICIPAL_INVEST_SECURITIES_FFIEC" hidden="1">"c13459"</definedName>
    <definedName name="IQ_NAPM_BUS_CONDITIONS" hidden="1">"c6921"</definedName>
    <definedName name="IQ_NAPM_BUS_CONDITIONS_APR" hidden="1">"c7581"</definedName>
    <definedName name="IQ_NAPM_BUS_CONDITIONS_APR_FC" hidden="1">"c8461"</definedName>
    <definedName name="IQ_NAPM_BUS_CONDITIONS_FC" hidden="1">"c7801"</definedName>
    <definedName name="IQ_NAPM_BUS_CONDITIONS_POP" hidden="1">"c7141"</definedName>
    <definedName name="IQ_NAPM_BUS_CONDITIONS_POP_FC" hidden="1">"c8021"</definedName>
    <definedName name="IQ_NAPM_BUS_CONDITIONS_YOY" hidden="1">"c7361"</definedName>
    <definedName name="IQ_NAPM_BUS_CONDITIONS_YOY_FC" hidden="1">"c8241"</definedName>
    <definedName name="IQ_NATIVE_COMPANY_NAME" hidden="1">"c13822"</definedName>
    <definedName name="IQ_NAV_ACT_OR_EST_THOM" hidden="1">"c5607"</definedName>
    <definedName name="IQ_NAV_DET_EST_CURRENCY_THOM" hidden="1">"c12490"</definedName>
    <definedName name="IQ_NAV_DET_EST_DATE_THOM" hidden="1">"c12241"</definedName>
    <definedName name="IQ_NAV_DET_EST_INCL_THOM" hidden="1">"c12373"</definedName>
    <definedName name="IQ_NAV_DET_EST_ORIGIN_THOM" hidden="1">"c12707"</definedName>
    <definedName name="IQ_NAV_DET_EST_THOM" hidden="1">"c12091"</definedName>
    <definedName name="IQ_NAV_EST" hidden="1">"c1751"</definedName>
    <definedName name="IQ_NAV_EST_THOM" hidden="1">"c5601"</definedName>
    <definedName name="IQ_NAV_HIGH_EST" hidden="1">"c1753"</definedName>
    <definedName name="IQ_NAV_HIGH_EST_THOM" hidden="1">"c5604"</definedName>
    <definedName name="IQ_NAV_LOW_EST" hidden="1">"c1754"</definedName>
    <definedName name="IQ_NAV_LOW_EST_THOM" hidden="1">"c5605"</definedName>
    <definedName name="IQ_NAV_MEDIAN_EST" hidden="1">"c1752"</definedName>
    <definedName name="IQ_NAV_MEDIAN_EST_THOM" hidden="1">"c5602"</definedName>
    <definedName name="IQ_NAV_NUM_EST" hidden="1">"c1755"</definedName>
    <definedName name="IQ_NAV_NUM_EST_THOM" hidden="1">"c5606"</definedName>
    <definedName name="IQ_NAV_SHARE_ACT_OR_EST" hidden="1">"c2225"</definedName>
    <definedName name="IQ_NAV_SHARE_DET_EST_ORIGIN" hidden="1">"c12585"</definedName>
    <definedName name="IQ_NAV_SHARE_DET_EST_ORIGIN_THOM" hidden="1">"c12611"</definedName>
    <definedName name="IQ_NAV_SHARE_EST" hidden="1">"c5609"</definedName>
    <definedName name="IQ_NAV_SHARE_HIGH_EST" hidden="1">"c5612"</definedName>
    <definedName name="IQ_NAV_SHARE_LOW_EST" hidden="1">"c5613"</definedName>
    <definedName name="IQ_NAV_SHARE_MEDIAN_EST" hidden="1">"c5610"</definedName>
    <definedName name="IQ_NAV_SHARE_NUM_EST" hidden="1">"c5614"</definedName>
    <definedName name="IQ_NAV_SHARE_STDDEV_EST" hidden="1">"c5611"</definedName>
    <definedName name="IQ_NAV_STDDEV_EST" hidden="1">"c1756"</definedName>
    <definedName name="IQ_NAV_STDDEV_EST_THOM" hidden="1">"c5603"</definedName>
    <definedName name="IQ_NCLS_CLOSED_END_1_4_FAM_LOANS_TOT_LOANS_FFIEC" hidden="1">"c13891"</definedName>
    <definedName name="IQ_NCLS_COMM_IND_LOANS_TOT_LOANS_FFIEC" hidden="1">"c13898"</definedName>
    <definedName name="IQ_NCLS_COMM_RE_FARM_LOANS_TOT_LOANS_FFIEC" hidden="1">"c13897"</definedName>
    <definedName name="IQ_NCLS_COMM_RE_NONFARM_NONRES_TOT_LOANS_FFIEC" hidden="1">"c13896"</definedName>
    <definedName name="IQ_NCLS_CONST_LAND_DEV_LOANS_TOT_LOANS_FFIEC" hidden="1">"c13890"</definedName>
    <definedName name="IQ_NCLS_CONSUMER_LOANS_TOT_LOANS_FFIEC" hidden="1">"c13899"</definedName>
    <definedName name="IQ_NCLS_FARM_LOANS_TOT_LOANS_FFIEC" hidden="1">"c13895"</definedName>
    <definedName name="IQ_NCLS_HOME_EQUITY_LOANS_TOT_LOANS_FFIEC" hidden="1">"c13892"</definedName>
    <definedName name="IQ_NCLS_MULTIFAM_5_LOANS_TOT_LOANS_FFIEC" hidden="1">"c13894"</definedName>
    <definedName name="IQ_NCLS_TOT_1_4_FAM_LOANS_TOT_LOANS_FFIEC" hidden="1">"c13893"</definedName>
    <definedName name="IQ_NCLS_TOT_LEASES_TOT_LOANS_FFIEC" hidden="1">"c13900"</definedName>
    <definedName name="IQ_NCLS_TOT_LOANS_TOT_LOANS_FFIEC" hidden="1">"c13901"</definedName>
    <definedName name="IQ_NCOS_CLOSED_END_1_4_FAM_LOANS_TOT_LOANS_FFIEC" hidden="1">"c13879"</definedName>
    <definedName name="IQ_NCOS_COMM_IND_LOANS_TOT_LOANS_FFIEC" hidden="1">"c13886"</definedName>
    <definedName name="IQ_NCOS_COMM_RE_FARM_LOANS_TOT_LOANS_FFIEC" hidden="1">"c13885"</definedName>
    <definedName name="IQ_NCOS_COMM_RE_NONFARM_NONRES_TOT_LOANS_FFIEC" hidden="1">"c13884"</definedName>
    <definedName name="IQ_NCOS_CONST_LAND_DEV_LOANS_TOT_LOANS_FFIEC" hidden="1">"c13878"</definedName>
    <definedName name="IQ_NCOS_CONSUMER_LOANS_TOT_LOANS_FFIEC" hidden="1">"c13887"</definedName>
    <definedName name="IQ_NCOS_FARM_LOANS_TOT_LOANS_FFIEC" hidden="1">"c13883"</definedName>
    <definedName name="IQ_NCOS_HOME_EQUITY_LOANS_TOT_LOANS_FFIEC" hidden="1">"c13880"</definedName>
    <definedName name="IQ_NCOS_MULTIFAM_5_LOANS_TOT_LOANS_FFIEC" hidden="1">"c13882"</definedName>
    <definedName name="IQ_NCOS_TOT_1_4_FAM_LOANS_TOT_LOANS_FFIEC" hidden="1">"c13881"</definedName>
    <definedName name="IQ_NCOS_TOT_LEASES_TOT_LOANS_FFIEC" hidden="1">"c13888"</definedName>
    <definedName name="IQ_NCOS_TOT_LOANS_TOT_LOANS_FFIEC" hidden="1">"c13889"</definedName>
    <definedName name="IQ_NEGATIVE_FAIR_VALUE_DERIVATIVES_BENEFICIARY_FFIEC" hidden="1">"c13124"</definedName>
    <definedName name="IQ_NEGATIVE_FAIR_VALUE_DERIVATIVES_GUARANTOR_FFIEC" hidden="1">"c13117"</definedName>
    <definedName name="IQ_NET_CHANGE" hidden="1">"c749"</definedName>
    <definedName name="IQ_NET_CHARGE_OFFS_FDIC" hidden="1">"c6641"</definedName>
    <definedName name="IQ_NET_CHARGE_OFFS_LOANS_FDIC" hidden="1">"c6751"</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ACT_OR_EST" hidden="1">"c3583"</definedName>
    <definedName name="IQ_NET_DEBT_ACT_OR_EST_THOM" hidden="1">"c5309"</definedName>
    <definedName name="IQ_NET_DEBT_DET_EST" hidden="1">"c12061"</definedName>
    <definedName name="IQ_NET_DEBT_DET_EST_CURRENCY" hidden="1">"c12468"</definedName>
    <definedName name="IQ_NET_DEBT_DET_EST_CURRENCY_THOM" hidden="1">"c12491"</definedName>
    <definedName name="IQ_NET_DEBT_DET_EST_DATE" hidden="1">"c12214"</definedName>
    <definedName name="IQ_NET_DEBT_DET_EST_DATE_THOM" hidden="1">"c12242"</definedName>
    <definedName name="IQ_NET_DEBT_DET_EST_INCL" hidden="1">"c12351"</definedName>
    <definedName name="IQ_NET_DEBT_DET_EST_INCL_THOM" hidden="1">"c12374"</definedName>
    <definedName name="IQ_NET_DEBT_DET_EST_ORIGIN" hidden="1">"c12586"</definedName>
    <definedName name="IQ_NET_DEBT_DET_EST_ORIGIN_THOM" hidden="1">"c12612"</definedName>
    <definedName name="IQ_NET_DEBT_DET_EST_THOM" hidden="1">"c12092"</definedName>
    <definedName name="IQ_NET_DEBT_EBITDA" hidden="1">"c750"</definedName>
    <definedName name="IQ_NET_DEBT_EBITDA_CAPEX" hidden="1">"c2949"</definedName>
    <definedName name="IQ_NET_DEBT_EST" hidden="1">"c3517"</definedName>
    <definedName name="IQ_NET_DEBT_EST_THOM" hidden="1">"c4027"</definedName>
    <definedName name="IQ_NET_DEBT_HIGH_EST" hidden="1">"c3518"</definedName>
    <definedName name="IQ_NET_DEBT_HIGH_EST_THOM" hidden="1">"c4029"</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 hidden="1">"c6238"</definedName>
    <definedName name="IQ_NET_DEBT_ISSUED_REIT" hidden="1">"c756"</definedName>
    <definedName name="IQ_NET_DEBT_ISSUED_UTI" hidden="1">"c757"</definedName>
    <definedName name="IQ_NET_DEBT_LOW_EST" hidden="1">"c3519"</definedName>
    <definedName name="IQ_NET_DEBT_LOW_EST_THOM" hidden="1">"c4030"</definedName>
    <definedName name="IQ_NET_DEBT_MEDIAN_EST" hidden="1">"c3520"</definedName>
    <definedName name="IQ_NET_DEBT_MEDIAN_EST_THOM" hidden="1">"c4028"</definedName>
    <definedName name="IQ_NET_DEBT_NUM_EST" hidden="1">"c3515"</definedName>
    <definedName name="IQ_NET_DEBT_NUM_EST_THOM" hidden="1">"c4031"</definedName>
    <definedName name="IQ_NET_DEBT_STDDEV_EST" hidden="1">"c3516"</definedName>
    <definedName name="IQ_NET_DEBT_STDDEV_EST_THOM" hidden="1">"c4032"</definedName>
    <definedName name="IQ_NET_EARNED" hidden="1">"c2734"</definedName>
    <definedName name="IQ_NET_FUNDS_PURCHASED_ASSETS_TOT_FFIEC" hidden="1">"c13448"</definedName>
    <definedName name="IQ_NET_INC" hidden="1">"c781"</definedName>
    <definedName name="IQ_NET_INC_BEFORE" hidden="1">"c344"</definedName>
    <definedName name="IQ_NET_INC_CF" hidden="1">"c793"</definedName>
    <definedName name="IQ_NET_INC_MARGIN" hidden="1">"c794"</definedName>
    <definedName name="IQ_NET_INCOME_FDIC" hidden="1">"c6587"</definedName>
    <definedName name="IQ_NET_INCOME_LH_FFIEC" hidden="1">"c13110"</definedName>
    <definedName name="IQ_NET_INCOME_PC_FFIEC" hidden="1">"c13103"</definedName>
    <definedName name="IQ_NET_INCOME_SHE_FFIEC" hidden="1">"c12960"</definedName>
    <definedName name="IQ_NET_INT_INC_10YR_ANN_CAGR" hidden="1">"c6100"</definedName>
    <definedName name="IQ_NET_INT_INC_10YR_ANN_GROWTH" hidden="1">"c758"</definedName>
    <definedName name="IQ_NET_INT_INC_1YR_ANN_GROWTH" hidden="1">"c759"</definedName>
    <definedName name="IQ_NET_INT_INC_2YR_ANN_CAGR" hidden="1">"c6101"</definedName>
    <definedName name="IQ_NET_INT_INC_2YR_ANN_GROWTH" hidden="1">"c760"</definedName>
    <definedName name="IQ_NET_INT_INC_3YR_ANN_CAGR" hidden="1">"c6102"</definedName>
    <definedName name="IQ_NET_INT_INC_3YR_ANN_GROWTH" hidden="1">"c761"</definedName>
    <definedName name="IQ_NET_INT_INC_5YR_ANN_CAGR" hidden="1">"c6103"</definedName>
    <definedName name="IQ_NET_INT_INC_5YR_ANN_GROWTH" hidden="1">"c762"</definedName>
    <definedName name="IQ_NET_INT_INC_7YR_ANN_CAGR" hidden="1">"c6104"</definedName>
    <definedName name="IQ_NET_INT_INC_7YR_ANN_GROWTH" hidden="1">"c763"</definedName>
    <definedName name="IQ_NET_INT_INC_AFTER_LL_BNK_SUBTOTAL_AP" hidden="1">"c8979"</definedName>
    <definedName name="IQ_NET_INT_INC_BNK" hidden="1">"c764"</definedName>
    <definedName name="IQ_NET_INT_INC_BNK_AP" hidden="1">"c8874"</definedName>
    <definedName name="IQ_NET_INT_INC_BNK_AP_ABS" hidden="1">"c8893"</definedName>
    <definedName name="IQ_NET_INT_INC_BNK_FDIC" hidden="1">"c6570"</definedName>
    <definedName name="IQ_NET_INT_INC_BNK_NAME_AP" hidden="1">"c8912"</definedName>
    <definedName name="IQ_NET_INT_INC_BNK_NAME_AP_ABS" hidden="1">"c8931"</definedName>
    <definedName name="IQ_NET_INT_INC_BNK_SUBTOTAL_AP" hidden="1">"c8978"</definedName>
    <definedName name="IQ_NET_INT_INC_BR" hidden="1">"c765"</definedName>
    <definedName name="IQ_NET_INT_INC_FIN" hidden="1">"c766"</definedName>
    <definedName name="IQ_NET_INT_INC_TOTAL_REV" hidden="1">"c767"</definedName>
    <definedName name="IQ_NET_INT_INCOME_FFIEC" hidden="1">"c13001"</definedName>
    <definedName name="IQ_NET_INT_INCOME_FTE_FFIEC" hidden="1">"c13036"</definedName>
    <definedName name="IQ_NET_INT_MARGIN" hidden="1">"c768"</definedName>
    <definedName name="IQ_NET_INTEREST_EXP" hidden="1">"c769"</definedName>
    <definedName name="IQ_NET_INTEREST_EXP_RE" hidden="1">"c6239"</definedName>
    <definedName name="IQ_NET_INTEREST_EXP_REIT" hidden="1">"c770"</definedName>
    <definedName name="IQ_NET_INTEREST_EXP_UTI" hidden="1">"c771"</definedName>
    <definedName name="IQ_NET_INTEREST_INC" hidden="1">"c764"</definedName>
    <definedName name="IQ_NET_INTEREST_INC_AFTER_LL" hidden="1">"c1604"</definedName>
    <definedName name="IQ_NET_INTEREST_MARGIN_FDIC" hidden="1">"c6726"</definedName>
    <definedName name="IQ_NET_LIFE_INS_IN_FORCE" hidden="1">"c2769"</definedName>
    <definedName name="IQ_NET_LOANS" hidden="1">"c772"</definedName>
    <definedName name="IQ_NET_LOANS_10YR_ANN_CAGR" hidden="1">"c6105"</definedName>
    <definedName name="IQ_NET_LOANS_10YR_ANN_GROWTH" hidden="1">"c773"</definedName>
    <definedName name="IQ_NET_LOANS_1YR_ANN_GROWTH" hidden="1">"c774"</definedName>
    <definedName name="IQ_NET_LOANS_2YR_ANN_CAGR" hidden="1">"c6106"</definedName>
    <definedName name="IQ_NET_LOANS_2YR_ANN_GROWTH" hidden="1">"c775"</definedName>
    <definedName name="IQ_NET_LOANS_3YR_ANN_CAGR" hidden="1">"c6107"</definedName>
    <definedName name="IQ_NET_LOANS_3YR_ANN_GROWTH" hidden="1">"c776"</definedName>
    <definedName name="IQ_NET_LOANS_5YR_ANN_CAGR" hidden="1">"c6108"</definedName>
    <definedName name="IQ_NET_LOANS_5YR_ANN_GROWTH" hidden="1">"c777"</definedName>
    <definedName name="IQ_NET_LOANS_7YR_ANN_CAGR" hidden="1">"c6109"</definedName>
    <definedName name="IQ_NET_LOANS_7YR_ANN_GROWTH" hidden="1">"c778"</definedName>
    <definedName name="IQ_NET_LOANS_CORE_DEPOSITS_FFIEC" hidden="1">"c13341"</definedName>
    <definedName name="IQ_NET_LOANS_DEPOSITS_FFIEC" hidden="1">"c13340"</definedName>
    <definedName name="IQ_NET_LOANS_EQUITY_FFIEC" hidden="1">"c13347"</definedName>
    <definedName name="IQ_NET_LOANS_LEASES_CORE_DEPOSITS_FDIC" hidden="1">"c6743"</definedName>
    <definedName name="IQ_NET_LOANS_LEASES_DEPOSITS_FDIC" hidden="1">"c6742"</definedName>
    <definedName name="IQ_NET_LOANS_TOTAL_DEPOSITS" hidden="1">"c779"</definedName>
    <definedName name="IQ_NET_OPERATING_INCOME_ASSETS_FDIC" hidden="1">"c6729"</definedName>
    <definedName name="IQ_NET_RENTAL_EXP_FN" hidden="1">"c780"</definedName>
    <definedName name="IQ_NET_SECURITIZATION_INCOME_FDIC" hidden="1">"c6669"</definedName>
    <definedName name="IQ_NET_SERVICING_FEES_FDIC" hidden="1">"c6668"</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WS" hidden="1">"c13743"</definedName>
    <definedName name="IQ_NEWS_DATE" hidden="1">"c13746"</definedName>
    <definedName name="IQ_NEWS_SOURCE" hidden="1">"c13745"</definedName>
    <definedName name="IQ_NEWS_TIME" hidden="1">"c13759"</definedName>
    <definedName name="IQ_NEWS_URL" hidden="1">"c13744"</definedName>
    <definedName name="IQ_NEXT_CALL_DATE" hidden="1">"c2198"</definedName>
    <definedName name="IQ_NEXT_CALL_PRICE" hidden="1">"c2199"</definedName>
    <definedName name="IQ_NEXT_EARNINGS_DATE" hidden="1">"c13592"</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EXT_YR_PROD_EST_MAX_ALUM" hidden="1">"c9251"</definedName>
    <definedName name="IQ_NEXT_YR_PROD_EST_MAX_CATHODE_COP" hidden="1">"c9198"</definedName>
    <definedName name="IQ_NEXT_YR_PROD_EST_MAX_COP" hidden="1">"c9196"</definedName>
    <definedName name="IQ_NEXT_YR_PROD_EST_MAX_DIAM" hidden="1">"c9675"</definedName>
    <definedName name="IQ_NEXT_YR_PROD_EST_MAX_GOLD" hidden="1">"c9036"</definedName>
    <definedName name="IQ_NEXT_YR_PROD_EST_MAX_IRON" hidden="1">"c9410"</definedName>
    <definedName name="IQ_NEXT_YR_PROD_EST_MAX_LEAD" hidden="1">"c9463"</definedName>
    <definedName name="IQ_NEXT_YR_PROD_EST_MAX_MANG" hidden="1">"c9516"</definedName>
    <definedName name="IQ_NEXT_YR_PROD_EST_MAX_MOLYB" hidden="1">"c9728"</definedName>
    <definedName name="IQ_NEXT_YR_PROD_EST_MAX_NICK" hidden="1">"c9304"</definedName>
    <definedName name="IQ_NEXT_YR_PROD_EST_MAX_PLAT" hidden="1">"c9142"</definedName>
    <definedName name="IQ_NEXT_YR_PROD_EST_MAX_SILVER" hidden="1">"c9089"</definedName>
    <definedName name="IQ_NEXT_YR_PROD_EST_MAX_TITAN" hidden="1">"c9569"</definedName>
    <definedName name="IQ_NEXT_YR_PROD_EST_MAX_URAN" hidden="1">"c9622"</definedName>
    <definedName name="IQ_NEXT_YR_PROD_EST_MAX_ZINC" hidden="1">"c9357"</definedName>
    <definedName name="IQ_NEXT_YR_PROD_EST_MIN_ALUM" hidden="1">"c9250"</definedName>
    <definedName name="IQ_NEXT_YR_PROD_EST_MIN_CATHODE_COP" hidden="1">"c9197"</definedName>
    <definedName name="IQ_NEXT_YR_PROD_EST_MIN_COP" hidden="1">"c9195"</definedName>
    <definedName name="IQ_NEXT_YR_PROD_EST_MIN_DIAM" hidden="1">"c9674"</definedName>
    <definedName name="IQ_NEXT_YR_PROD_EST_MIN_GOLD" hidden="1">"c9035"</definedName>
    <definedName name="IQ_NEXT_YR_PROD_EST_MIN_IRON" hidden="1">"c9409"</definedName>
    <definedName name="IQ_NEXT_YR_PROD_EST_MIN_LEAD" hidden="1">"c9462"</definedName>
    <definedName name="IQ_NEXT_YR_PROD_EST_MIN_MANG" hidden="1">"c9515"</definedName>
    <definedName name="IQ_NEXT_YR_PROD_EST_MIN_MOLYB" hidden="1">"c9727"</definedName>
    <definedName name="IQ_NEXT_YR_PROD_EST_MIN_NICK" hidden="1">"c9303"</definedName>
    <definedName name="IQ_NEXT_YR_PROD_EST_MIN_PLAT" hidden="1">"c9141"</definedName>
    <definedName name="IQ_NEXT_YR_PROD_EST_MIN_SILVER" hidden="1">"c9088"</definedName>
    <definedName name="IQ_NEXT_YR_PROD_EST_MIN_TITAN" hidden="1">"c9568"</definedName>
    <definedName name="IQ_NEXT_YR_PROD_EST_MIN_URAN" hidden="1">"c9621"</definedName>
    <definedName name="IQ_NEXT_YR_PROD_EST_MIN_ZINC" hidden="1">"c9356"</definedName>
    <definedName name="IQ_NI" hidden="1">"c781"</definedName>
    <definedName name="IQ_NI_10YR_ANN_CAGR" hidden="1">"c6110"</definedName>
    <definedName name="IQ_NI_10YR_ANN_GROWTH" hidden="1">"c782"</definedName>
    <definedName name="IQ_NI_1YR_ANN_GROWTH" hidden="1">"c783"</definedName>
    <definedName name="IQ_NI_2YR_ANN_CAGR" hidden="1">"c6111"</definedName>
    <definedName name="IQ_NI_2YR_ANN_GROWTH" hidden="1">"c784"</definedName>
    <definedName name="IQ_NI_3YR_ANN_CAGR" hidden="1">"c6112"</definedName>
    <definedName name="IQ_NI_3YR_ANN_GROWTH" hidden="1">"c785"</definedName>
    <definedName name="IQ_NI_5YR_ANN_CAGR" hidden="1">"c6113"</definedName>
    <definedName name="IQ_NI_5YR_ANN_GROWTH" hidden="1">"c786"</definedName>
    <definedName name="IQ_NI_7YR_ANN_CAGR" hidden="1">"c6114"</definedName>
    <definedName name="IQ_NI_7YR_ANN_GROWTH" hidden="1">"c787"</definedName>
    <definedName name="IQ_NI_ACT_OR_EST" hidden="1">"c2222"</definedName>
    <definedName name="IQ_NI_ACT_OR_EST_THOM" hidden="1">"c5306"</definedName>
    <definedName name="IQ_NI_AFTER_CAPITALIZED" hidden="1">"c788"</definedName>
    <definedName name="IQ_NI_AVAIL_EXCL" hidden="1">"c789"</definedName>
    <definedName name="IQ_NI_AVAIL_EXCL_MARGIN" hidden="1">"c790"</definedName>
    <definedName name="IQ_NI_AVAIL_INCL" hidden="1">"c791"</definedName>
    <definedName name="IQ_NI_AVAIL_SUBTOTAL_AP" hidden="1">"c8984"</definedName>
    <definedName name="IQ_NI_AVG_ASSETS_FFIEC" hidden="1">"c13370"</definedName>
    <definedName name="IQ_NI_BEFORE_CAPITALIZED" hidden="1">"c792"</definedName>
    <definedName name="IQ_NI_CF" hidden="1">"c793"</definedName>
    <definedName name="IQ_NI_CHARGES_AP" hidden="1">"c8879"</definedName>
    <definedName name="IQ_NI_CHARGES_AP_ABS" hidden="1">"c8898"</definedName>
    <definedName name="IQ_NI_CHARGES_NAME_AP" hidden="1">"c8917"</definedName>
    <definedName name="IQ_NI_CHARGES_NAME_AP_ABS" hidden="1">"c8936"</definedName>
    <definedName name="IQ_NI_DET_EST" hidden="1">"c12062"</definedName>
    <definedName name="IQ_NI_DET_EST_CURRENCY" hidden="1">"c12469"</definedName>
    <definedName name="IQ_NI_DET_EST_CURRENCY_THOM" hidden="1">"c12492"</definedName>
    <definedName name="IQ_NI_DET_EST_DATE" hidden="1">"c12215"</definedName>
    <definedName name="IQ_NI_DET_EST_DATE_THOM" hidden="1">"c12243"</definedName>
    <definedName name="IQ_NI_DET_EST_INCL" hidden="1">"c12352"</definedName>
    <definedName name="IQ_NI_DET_EST_INCL_THOM" hidden="1">"c12375"</definedName>
    <definedName name="IQ_NI_DET_EST_ORIGIN" hidden="1">"c12587"</definedName>
    <definedName name="IQ_NI_DET_EST_ORIGIN_THOM" hidden="1">"c12613"</definedName>
    <definedName name="IQ_NI_DET_EST_THOM" hidden="1">"c12093"</definedName>
    <definedName name="IQ_NI_EST" hidden="1">"c1716"</definedName>
    <definedName name="IQ_NI_EST_THOM" hidden="1">"c5126"</definedName>
    <definedName name="IQ_NI_FFIEC" hidden="1">"c13034"</definedName>
    <definedName name="IQ_NI_GW_DET_EST" hidden="1">"c12063"</definedName>
    <definedName name="IQ_NI_GW_DET_EST_CURRENCY" hidden="1">"c12470"</definedName>
    <definedName name="IQ_NI_GW_DET_EST_DATE" hidden="1">"c12216"</definedName>
    <definedName name="IQ_NI_GW_DET_EST_INCL" hidden="1">"c12353"</definedName>
    <definedName name="IQ_NI_GW_EST" hidden="1">"c1723"</definedName>
    <definedName name="IQ_NI_GW_HIGH_EST" hidden="1">"c1725"</definedName>
    <definedName name="IQ_NI_GW_LOW_EST" hidden="1">"c1726"</definedName>
    <definedName name="IQ_NI_GW_MEDIAN_EST" hidden="1">"c1724"</definedName>
    <definedName name="IQ_NI_GW_NUM_EST" hidden="1">"c1727"</definedName>
    <definedName name="IQ_NI_GW_STDDEV_EST" hidden="1">"c1728"</definedName>
    <definedName name="IQ_NI_HIGH_EST" hidden="1">"c1718"</definedName>
    <definedName name="IQ_NI_HIGH_EST_THOM" hidden="1">"c5128"</definedName>
    <definedName name="IQ_NI_LOW_EST" hidden="1">"c1719"</definedName>
    <definedName name="IQ_NI_LOW_EST_THOM" hidden="1">"c5129"</definedName>
    <definedName name="IQ_NI_MARGIN" hidden="1">"c794"</definedName>
    <definedName name="IQ_NI_MEDIAN_EST" hidden="1">"c1717"</definedName>
    <definedName name="IQ_NI_MEDIAN_EST_THOM" hidden="1">"c5127"</definedName>
    <definedName name="IQ_NI_NORM" hidden="1">"c1901"</definedName>
    <definedName name="IQ_NI_NORM_10YR_ANN_CAGR" hidden="1">"c6189"</definedName>
    <definedName name="IQ_NI_NORM_10YR_ANN_GROWTH" hidden="1">"c1960"</definedName>
    <definedName name="IQ_NI_NORM_1YR_ANN_GROWTH" hidden="1">"c1955"</definedName>
    <definedName name="IQ_NI_NORM_2YR_ANN_CAGR" hidden="1">"c6185"</definedName>
    <definedName name="IQ_NI_NORM_2YR_ANN_GROWTH" hidden="1">"c1956"</definedName>
    <definedName name="IQ_NI_NORM_3YR_ANN_CAGR" hidden="1">"c6186"</definedName>
    <definedName name="IQ_NI_NORM_3YR_ANN_GROWTH" hidden="1">"c1957"</definedName>
    <definedName name="IQ_NI_NORM_5YR_ANN_CAGR" hidden="1">"c6187"</definedName>
    <definedName name="IQ_NI_NORM_5YR_ANN_GROWTH" hidden="1">"c1958"</definedName>
    <definedName name="IQ_NI_NORM_7YR_ANN_CAGR" hidden="1">"c6188"</definedName>
    <definedName name="IQ_NI_NORM_7YR_ANN_GROWTH" hidden="1">"c1959"</definedName>
    <definedName name="IQ_NI_NORM_MARGIN" hidden="1">"c1964"</definedName>
    <definedName name="IQ_NI_NUM_EST" hidden="1">"c1720"</definedName>
    <definedName name="IQ_NI_NUM_EST_THOM" hidden="1">"c5130"</definedName>
    <definedName name="IQ_NI_REPORTED_DET_EST_ORIGIN" hidden="1">"c12588"</definedName>
    <definedName name="IQ_NI_REPORTED_EST" hidden="1">"c1730"</definedName>
    <definedName name="IQ_NI_REPORTED_HIGH_EST" hidden="1">"c1732"</definedName>
    <definedName name="IQ_NI_REPORTED_LOW_EST" hidden="1">"c1733"</definedName>
    <definedName name="IQ_NI_REPORTED_MEDIAN_EST" hidden="1">"c1731"</definedName>
    <definedName name="IQ_NI_REPORTED_NUM_EST" hidden="1">"c1734"</definedName>
    <definedName name="IQ_NI_REPORTED_STDDEV_EST" hidden="1">"c1735"</definedName>
    <definedName name="IQ_NI_SBC_ACT_OR_EST" hidden="1">"c4474"</definedName>
    <definedName name="IQ_NI_SBC_ACT_OR_EST_CIQ" hidden="1">"c5012"</definedName>
    <definedName name="IQ_NI_SBC_EST" hidden="1">"c4473"</definedName>
    <definedName name="IQ_NI_SBC_GW_ACT_OR_EST" hidden="1">"c4478"</definedName>
    <definedName name="IQ_NI_SBC_GW_ACT_OR_EST_CIQ" hidden="1">"c5016"</definedName>
    <definedName name="IQ_NI_SBC_GW_EST" hidden="1">"c4477"</definedName>
    <definedName name="IQ_NI_SBC_GW_HIGH_EST" hidden="1">"c4480"</definedName>
    <definedName name="IQ_NI_SBC_GW_LOW_EST" hidden="1">"c4481"</definedName>
    <definedName name="IQ_NI_SBC_GW_MEDIAN_EST" hidden="1">"c4482"</definedName>
    <definedName name="IQ_NI_SBC_GW_NUM_EST" hidden="1">"c4483"</definedName>
    <definedName name="IQ_NI_SBC_GW_STDDEV_EST" hidden="1">"c4484"</definedName>
    <definedName name="IQ_NI_SBC_HIGH_EST" hidden="1">"c4486"</definedName>
    <definedName name="IQ_NI_SBC_LOW_EST" hidden="1">"c4487"</definedName>
    <definedName name="IQ_NI_SBC_MEDIAN_EST" hidden="1">"c4488"</definedName>
    <definedName name="IQ_NI_SBC_NUM_EST" hidden="1">"c4489"</definedName>
    <definedName name="IQ_NI_SBC_STDDEV_EST" hidden="1">"c4490"</definedName>
    <definedName name="IQ_NI_SFAS" hidden="1">"c795"</definedName>
    <definedName name="IQ_NI_STDDEV_EST" hidden="1">"c1721"</definedName>
    <definedName name="IQ_NI_STDDEV_EST_THOM" hidden="1">"c5131"</definedName>
    <definedName name="IQ_NI_SUBTOTAL_AP" hidden="1">"c8983"</definedName>
    <definedName name="IQ_NLA_PCT_LEASED_CONSOL" hidden="1">"c8815"</definedName>
    <definedName name="IQ_NLA_PCT_LEASED_MANAGED" hidden="1">"c8817"</definedName>
    <definedName name="IQ_NLA_PCT_LEASED_OTHER" hidden="1">"c8818"</definedName>
    <definedName name="IQ_NLA_PCT_LEASED_TOTAL" hidden="1">"c8819"</definedName>
    <definedName name="IQ_NLA_PCT_LEASED_UNCONSOL" hidden="1">"c8816"</definedName>
    <definedName name="IQ_NLA_SQ_FT_CONSOL" hidden="1">"c8800"</definedName>
    <definedName name="IQ_NLA_SQ_FT_MANAGED" hidden="1">"c8802"</definedName>
    <definedName name="IQ_NLA_SQ_FT_OTHER" hidden="1">"c8803"</definedName>
    <definedName name="IQ_NLA_SQ_FT_TOTAL" hidden="1">"c8804"</definedName>
    <definedName name="IQ_NLA_SQ_FT_UNCONSOL" hidden="1">"c8801"</definedName>
    <definedName name="IQ_NLA_SQ_METER_CONSOL" hidden="1">"c8805"</definedName>
    <definedName name="IQ_NLA_SQ_METER_MANAGED" hidden="1">"c8807"</definedName>
    <definedName name="IQ_NLA_SQ_METER_OTHER" hidden="1">"c8808"</definedName>
    <definedName name="IQ_NLA_SQ_METER_TOTAL" hidden="1">"c8809"</definedName>
    <definedName name="IQ_NLA_SQ_METER_UNCONSOL" hidden="1">"c8806"</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_ALLOW_RECEIVABLES_FFIEC" hidden="1">"c13353"</definedName>
    <definedName name="IQ_NON_ACCRUAL_LOANS" hidden="1">"c796"</definedName>
    <definedName name="IQ_NON_CASH" hidden="1">"c797"</definedName>
    <definedName name="IQ_NON_CASH_ITEMS" hidden="1">"c797"</definedName>
    <definedName name="IQ_NON_CURRENT_LOANS_FFIEC" hidden="1">"c13860"</definedName>
    <definedName name="IQ_NON_FARM_NONRES_PROPERTIES_TRADING_DOM_FFIEC" hidden="1">"c12931"</definedName>
    <definedName name="IQ_NON_INS_EXP" hidden="1">"c798"</definedName>
    <definedName name="IQ_NON_INS_REV" hidden="1">"c799"</definedName>
    <definedName name="IQ_NON_INT_BAL_OTHER_INSTITUTIONS_FFIEC" hidden="1">"c12950"</definedName>
    <definedName name="IQ_NON_INT_BEAR_CD" hidden="1">"c800"</definedName>
    <definedName name="IQ_NON_INT_BEARING_DEPOSITS" hidden="1">"c800"</definedName>
    <definedName name="IQ_NON_INT_DEPOSITS_DOM_FFIEC" hidden="1">"c12851"</definedName>
    <definedName name="IQ_NON_INT_DEPOSITS_FOREIGN_FFIEC" hidden="1">"c12854"</definedName>
    <definedName name="IQ_NON_INT_EXP" hidden="1">"c801"</definedName>
    <definedName name="IQ_NON_INT_EXP_BNK_AP" hidden="1">"c8877"</definedName>
    <definedName name="IQ_NON_INT_EXP_BNK_AP_ABS" hidden="1">"c8896"</definedName>
    <definedName name="IQ_NON_INT_EXP_BNK_NAME_AP" hidden="1">"c8915"</definedName>
    <definedName name="IQ_NON_INT_EXP_BNK_NAME_AP_ABS" hidden="1">"c8934"</definedName>
    <definedName name="IQ_NON_INT_EXP_BNK_SUBTOTAL_AP" hidden="1">"c8981"</definedName>
    <definedName name="IQ_NON_INT_EXP_FDIC" hidden="1">"c6579"</definedName>
    <definedName name="IQ_NON_INT_EXPENSE_FFIEC" hidden="1">"c13028"</definedName>
    <definedName name="IQ_NON_INT_INC" hidden="1">"c802"</definedName>
    <definedName name="IQ_NON_INT_INC_10YR_ANN_CAGR" hidden="1">"c6115"</definedName>
    <definedName name="IQ_NON_INT_INC_10YR_ANN_GROWTH" hidden="1">"c803"</definedName>
    <definedName name="IQ_NON_INT_INC_1YR_ANN_GROWTH" hidden="1">"c804"</definedName>
    <definedName name="IQ_NON_INT_INC_2YR_ANN_CAGR" hidden="1">"c6116"</definedName>
    <definedName name="IQ_NON_INT_INC_2YR_ANN_GROWTH" hidden="1">"c805"</definedName>
    <definedName name="IQ_NON_INT_INC_3YR_ANN_CAGR" hidden="1">"c6117"</definedName>
    <definedName name="IQ_NON_INT_INC_3YR_ANN_GROWTH" hidden="1">"c806"</definedName>
    <definedName name="IQ_NON_INT_INC_5YR_ANN_CAGR" hidden="1">"c6118"</definedName>
    <definedName name="IQ_NON_INT_INC_5YR_ANN_GROWTH" hidden="1">"c807"</definedName>
    <definedName name="IQ_NON_INT_INC_7YR_ANN_CAGR" hidden="1">"c6119"</definedName>
    <definedName name="IQ_NON_INT_INC_7YR_ANN_GROWTH" hidden="1">"c808"</definedName>
    <definedName name="IQ_NON_INT_INC_AVG_ASSETS_FFIEC" hidden="1">"c13359"</definedName>
    <definedName name="IQ_NON_INT_INC_BNK_AP" hidden="1">"c8876"</definedName>
    <definedName name="IQ_NON_INT_INC_BNK_AP_ABS" hidden="1">"c8895"</definedName>
    <definedName name="IQ_NON_INT_INC_BNK_NAME_AP" hidden="1">"c8914"</definedName>
    <definedName name="IQ_NON_INT_INC_BNK_NAME_AP_ABS" hidden="1">"c8933"</definedName>
    <definedName name="IQ_NON_INT_INC_BNK_SUBTOTAL_AP" hidden="1">"c8980"</definedName>
    <definedName name="IQ_NON_INT_INC_FDIC" hidden="1">"c6575"</definedName>
    <definedName name="IQ_NON_INT_INC_OPERATING_INC_FFIEC" hidden="1">"c13382"</definedName>
    <definedName name="IQ_NON_INT_INCOME_FFIEC" hidden="1">"c13017"</definedName>
    <definedName name="IQ_NON_INTEREST_EXP" hidden="1">"c801"</definedName>
    <definedName name="IQ_NON_INTEREST_INC" hidden="1">"c802"</definedName>
    <definedName name="IQ_NON_OPER_EXP" hidden="1">"c809"</definedName>
    <definedName name="IQ_NON_OPER_INC" hidden="1">"c810"</definedName>
    <definedName name="IQ_NON_PERF_ASSETS_10YR_ANN_CAGR" hidden="1">"c6120"</definedName>
    <definedName name="IQ_NON_PERF_ASSETS_10YR_ANN_GROWTH" hidden="1">"c811"</definedName>
    <definedName name="IQ_NON_PERF_ASSETS_1YR_ANN_GROWTH" hidden="1">"c812"</definedName>
    <definedName name="IQ_NON_PERF_ASSETS_2YR_ANN_CAGR" hidden="1">"c6121"</definedName>
    <definedName name="IQ_NON_PERF_ASSETS_2YR_ANN_GROWTH" hidden="1">"c813"</definedName>
    <definedName name="IQ_NON_PERF_ASSETS_3YR_ANN_CAGR" hidden="1">"c6122"</definedName>
    <definedName name="IQ_NON_PERF_ASSETS_3YR_ANN_GROWTH" hidden="1">"c814"</definedName>
    <definedName name="IQ_NON_PERF_ASSETS_5YR_ANN_CAGR" hidden="1">"c6123"</definedName>
    <definedName name="IQ_NON_PERF_ASSETS_5YR_ANN_GROWTH" hidden="1">"c815"</definedName>
    <definedName name="IQ_NON_PERF_ASSETS_7YR_ANN_CAGR" hidden="1">"c6124"</definedName>
    <definedName name="IQ_NON_PERF_ASSETS_7YR_ANN_GROWTH" hidden="1">"c816"</definedName>
    <definedName name="IQ_NON_PERF_ASSETS_TOTAL_ASSETS" hidden="1">"c817"</definedName>
    <definedName name="IQ_NON_PERF_LOANS_10YR_ANN_CAGR" hidden="1">"c6125"</definedName>
    <definedName name="IQ_NON_PERF_LOANS_10YR_ANN_GROWTH" hidden="1">"c818"</definedName>
    <definedName name="IQ_NON_PERF_LOANS_1YR_ANN_GROWTH" hidden="1">"c819"</definedName>
    <definedName name="IQ_NON_PERF_LOANS_2YR_ANN_CAGR" hidden="1">"c6126"</definedName>
    <definedName name="IQ_NON_PERF_LOANS_2YR_ANN_GROWTH" hidden="1">"c820"</definedName>
    <definedName name="IQ_NON_PERF_LOANS_3YR_ANN_CAGR" hidden="1">"c6127"</definedName>
    <definedName name="IQ_NON_PERF_LOANS_3YR_ANN_GROWTH" hidden="1">"c821"</definedName>
    <definedName name="IQ_NON_PERF_LOANS_5YR_ANN_CAGR" hidden="1">"c6128"</definedName>
    <definedName name="IQ_NON_PERF_LOANS_5YR_ANN_GROWTH" hidden="1">"c822"</definedName>
    <definedName name="IQ_NON_PERF_LOANS_7YR_ANN_CAGR" hidden="1">"c6129"</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ASSETS_FFIEC" hidden="1">"c13859"</definedName>
    <definedName name="IQ_NON_PERFORMING_LOANS" hidden="1">"c827"</definedName>
    <definedName name="IQ_NON_PERFORMING_LOANS_FFIEC" hidden="1">"c13861"</definedName>
    <definedName name="IQ_NON_US_ADDRESS_LEASE_FIN_REC_FFIEC" hidden="1">"c13625"</definedName>
    <definedName name="IQ_NON_US_ADDRESSEES_TOTAL_LOANS_FOREIGN_FDIC" hidden="1">"c6443"</definedName>
    <definedName name="IQ_NON_US_CHARGE_OFFS_AND_RECOVERIES_FDIC" hidden="1">"c6650"</definedName>
    <definedName name="IQ_NON_US_CHARGE_OFFS_FDIC" hidden="1">"c6648"</definedName>
    <definedName name="IQ_NON_US_COMMERCIAL_INDUSTRIAL_CHARGE_OFFS_FDIC" hidden="1">"c6651"</definedName>
    <definedName name="IQ_NON_US_NET_LOANS_FDIC" hidden="1">"c6376"</definedName>
    <definedName name="IQ_NON_US_RECOVERIES_FDIC" hidden="1">"c6649"</definedName>
    <definedName name="IQ_NONCASH_INCOME_AMORT_CLOSED_END_LOANS_FFIEC" hidden="1">"c13078"</definedName>
    <definedName name="IQ_NONCASH_PENSION_EXP" hidden="1">"c3000"</definedName>
    <definedName name="IQ_NONCORE_ASSETS_TOT_FFIEC" hidden="1">"c13443"</definedName>
    <definedName name="IQ_NONCURRENT_LOANS_1_4_FAMILY_FDIC" hidden="1">"c6770"</definedName>
    <definedName name="IQ_NONCURRENT_LOANS_COMMERCIAL_INDUSTRIAL_FDIC" hidden="1">"c6773"</definedName>
    <definedName name="IQ_NONCURRENT_LOANS_COMMERCIAL_RE_FDIC" hidden="1">"c6768"</definedName>
    <definedName name="IQ_NONCURRENT_LOANS_COMMERCIAL_RE_NOT_SECURED_FDIC" hidden="1">"c6778"</definedName>
    <definedName name="IQ_NONCURRENT_LOANS_CONSTRUCTION_LAND_DEV_FDIC" hidden="1">"c6767"</definedName>
    <definedName name="IQ_NONCURRENT_LOANS_CREDIT_CARD_FDIC" hidden="1">"c6775"</definedName>
    <definedName name="IQ_NONCURRENT_LOANS_GUARANTEED_FDIC" hidden="1">"c6358"</definedName>
    <definedName name="IQ_NONCURRENT_LOANS_HOME_EQUITY_FDIC" hidden="1">"c6771"</definedName>
    <definedName name="IQ_NONCURRENT_LOANS_INDIVIDUALS_FDIC" hidden="1">"c6774"</definedName>
    <definedName name="IQ_NONCURRENT_LOANS_LEASES_FDIC" hidden="1">"c6357"</definedName>
    <definedName name="IQ_NONCURRENT_LOANS_MULTIFAMILY_FDIC" hidden="1">"c6769"</definedName>
    <definedName name="IQ_NONCURRENT_LOANS_OTHER_FAMILY_FDIC" hidden="1">"c6772"</definedName>
    <definedName name="IQ_NONCURRENT_LOANS_OTHER_INDIVIDUAL_FDIC" hidden="1">"c6776"</definedName>
    <definedName name="IQ_NONCURRENT_LOANS_OTHER_LOANS_FDIC" hidden="1">"c6777"</definedName>
    <definedName name="IQ_NONCURRENT_LOANS_RE_FDIC" hidden="1">"c6766"</definedName>
    <definedName name="IQ_NONCURRENT_LOANS_TOTAL_LOANS_FDIC" hidden="1">"c6765"</definedName>
    <definedName name="IQ_NONCURRENT_OREO_ASSETS_FDIC" hidden="1">"c6741"</definedName>
    <definedName name="IQ_NONDEF_CAPITAL_GOODS_ORDERS" hidden="1">"c6932"</definedName>
    <definedName name="IQ_NONDEF_CAPITAL_GOODS_ORDERS_APR" hidden="1">"c7592"</definedName>
    <definedName name="IQ_NONDEF_CAPITAL_GOODS_ORDERS_APR_FC" hidden="1">"c8472"</definedName>
    <definedName name="IQ_NONDEF_CAPITAL_GOODS_ORDERS_FC" hidden="1">"c7812"</definedName>
    <definedName name="IQ_NONDEF_CAPITAL_GOODS_ORDERS_POP" hidden="1">"c7152"</definedName>
    <definedName name="IQ_NONDEF_CAPITAL_GOODS_ORDERS_POP_FC" hidden="1">"c8032"</definedName>
    <definedName name="IQ_NONDEF_CAPITAL_GOODS_ORDERS_YOY" hidden="1">"c7372"</definedName>
    <definedName name="IQ_NONDEF_CAPITAL_GOODS_ORDERS_YOY_FC" hidden="1">"c8252"</definedName>
    <definedName name="IQ_NONDEF_CAPITAL_GOODS_SHIPMENTS" hidden="1">"c6933"</definedName>
    <definedName name="IQ_NONDEF_CAPITAL_GOODS_SHIPMENTS_APR" hidden="1">"c7593"</definedName>
    <definedName name="IQ_NONDEF_CAPITAL_GOODS_SHIPMENTS_APR_FC" hidden="1">"c8473"</definedName>
    <definedName name="IQ_NONDEF_CAPITAL_GOODS_SHIPMENTS_FC" hidden="1">"c7813"</definedName>
    <definedName name="IQ_NONDEF_CAPITAL_GOODS_SHIPMENTS_POP" hidden="1">"c7153"</definedName>
    <definedName name="IQ_NONDEF_CAPITAL_GOODS_SHIPMENTS_POP_FC" hidden="1">"c8033"</definedName>
    <definedName name="IQ_NONDEF_CAPITAL_GOODS_SHIPMENTS_YOY" hidden="1">"c7373"</definedName>
    <definedName name="IQ_NONDEF_CAPITAL_GOODS_SHIPMENTS_YOY_FC" hidden="1">"c8253"</definedName>
    <definedName name="IQ_NONDEF_SPENDING_SAAR" hidden="1">"c6934"</definedName>
    <definedName name="IQ_NONDEF_SPENDING_SAAR_APR" hidden="1">"c7594"</definedName>
    <definedName name="IQ_NONDEF_SPENDING_SAAR_APR_FC" hidden="1">"c8474"</definedName>
    <definedName name="IQ_NONDEF_SPENDING_SAAR_FC" hidden="1">"c7814"</definedName>
    <definedName name="IQ_NONDEF_SPENDING_SAAR_POP" hidden="1">"c7154"</definedName>
    <definedName name="IQ_NONDEF_SPENDING_SAAR_POP_FC" hidden="1">"c8034"</definedName>
    <definedName name="IQ_NONDEF_SPENDING_SAAR_YOY" hidden="1">"c7374"</definedName>
    <definedName name="IQ_NONDEF_SPENDING_SAAR_YOY_FC" hidden="1">"c8254"</definedName>
    <definedName name="IQ_NONFARM_EMP_HRS_PCT_CHANGE" hidden="1">"c6935"</definedName>
    <definedName name="IQ_NONFARM_EMP_HRS_PCT_CHANGE_FC" hidden="1">"c7815"</definedName>
    <definedName name="IQ_NONFARM_EMP_HRS_PCT_CHANGE_POP" hidden="1">"c7155"</definedName>
    <definedName name="IQ_NONFARM_EMP_HRS_PCT_CHANGE_POP_FC" hidden="1">"c8035"</definedName>
    <definedName name="IQ_NONFARM_EMP_HRS_PCT_CHANGE_YOY" hidden="1">"c7375"</definedName>
    <definedName name="IQ_NONFARM_EMP_HRS_PCT_CHANGE_YOY_FC" hidden="1">"c8255"</definedName>
    <definedName name="IQ_NONFARM_NONRES_GROSS_LOANS_FFIEC" hidden="1">"c13405"</definedName>
    <definedName name="IQ_NONFARM_NONRES_LL_REC_DOM_FFIEC" hidden="1">"c13626"</definedName>
    <definedName name="IQ_NONFARM_NONRES_RISK_BASED_FFIEC" hidden="1">"c13426"</definedName>
    <definedName name="IQ_NONFARM_OUTPUT_PER_HR" hidden="1">"c6936"</definedName>
    <definedName name="IQ_NONFARM_OUTPUT_PER_HR_APR" hidden="1">"c7596"</definedName>
    <definedName name="IQ_NONFARM_OUTPUT_PER_HR_APR_FC" hidden="1">"c8476"</definedName>
    <definedName name="IQ_NONFARM_OUTPUT_PER_HR_FC" hidden="1">"c7816"</definedName>
    <definedName name="IQ_NONFARM_OUTPUT_PER_HR_POP" hidden="1">"c7156"</definedName>
    <definedName name="IQ_NONFARM_OUTPUT_PER_HR_POP_FC" hidden="1">"c8036"</definedName>
    <definedName name="IQ_NONFARM_OUTPUT_PER_HR_YOY" hidden="1">"c7376"</definedName>
    <definedName name="IQ_NONFARM_OUTPUT_PER_HR_YOY_FC" hidden="1">"c8256"</definedName>
    <definedName name="IQ_NONFARM_PAYROLLS" hidden="1">"c6926"</definedName>
    <definedName name="IQ_NONFARM_PAYROLLS_APR" hidden="1">"c7586"</definedName>
    <definedName name="IQ_NONFARM_PAYROLLS_APR_FC" hidden="1">"c8466"</definedName>
    <definedName name="IQ_NONFARM_PAYROLLS_FC" hidden="1">"c7806"</definedName>
    <definedName name="IQ_NONFARM_PAYROLLS_POP" hidden="1">"c7146"</definedName>
    <definedName name="IQ_NONFARM_PAYROLLS_POP_FC" hidden="1">"c8026"</definedName>
    <definedName name="IQ_NONFARM_PAYROLLS_YOY" hidden="1">"c7366"</definedName>
    <definedName name="IQ_NONFARM_PAYROLLS_YOY_FC" hidden="1">"c8246"</definedName>
    <definedName name="IQ_NONFARM_TOTAL_HR_INDEX" hidden="1">"c6937"</definedName>
    <definedName name="IQ_NONFARM_TOTAL_HR_INDEX_APR" hidden="1">"c7597"</definedName>
    <definedName name="IQ_NONFARM_TOTAL_HR_INDEX_APR_FC" hidden="1">"c8477"</definedName>
    <definedName name="IQ_NONFARM_TOTAL_HR_INDEX_FC" hidden="1">"c7817"</definedName>
    <definedName name="IQ_NONFARM_TOTAL_HR_INDEX_POP" hidden="1">"c7157"</definedName>
    <definedName name="IQ_NONFARM_TOTAL_HR_INDEX_POP_FC" hidden="1">"c8037"</definedName>
    <definedName name="IQ_NONFARM_TOTAL_HR_INDEX_YOY" hidden="1">"c7377"</definedName>
    <definedName name="IQ_NONFARM_TOTAL_HR_INDEX_YOY_FC" hidden="1">"c8257"</definedName>
    <definedName name="IQ_NONFARM_WAGES" hidden="1">"c6938"</definedName>
    <definedName name="IQ_NONFARM_WAGES_APR" hidden="1">"c7598"</definedName>
    <definedName name="IQ_NONFARM_WAGES_APR_FC" hidden="1">"c8478"</definedName>
    <definedName name="IQ_NONFARM_WAGES_FC" hidden="1">"c7818"</definedName>
    <definedName name="IQ_NONFARM_WAGES_INDEX" hidden="1">"c6939"</definedName>
    <definedName name="IQ_NONFARM_WAGES_INDEX_APR" hidden="1">"c7599"</definedName>
    <definedName name="IQ_NONFARM_WAGES_INDEX_APR_FC" hidden="1">"c8479"</definedName>
    <definedName name="IQ_NONFARM_WAGES_INDEX_FC" hidden="1">"c7819"</definedName>
    <definedName name="IQ_NONFARM_WAGES_INDEX_POP" hidden="1">"c7159"</definedName>
    <definedName name="IQ_NONFARM_WAGES_INDEX_POP_FC" hidden="1">"c8039"</definedName>
    <definedName name="IQ_NONFARM_WAGES_INDEX_YOY" hidden="1">"c7379"</definedName>
    <definedName name="IQ_NONFARM_WAGES_INDEX_YOY_FC" hidden="1">"c8259"</definedName>
    <definedName name="IQ_NONFARM_WAGES_POP" hidden="1">"c7158"</definedName>
    <definedName name="IQ_NONFARM_WAGES_POP_FC" hidden="1">"c8038"</definedName>
    <definedName name="IQ_NONFARM_WAGES_YOY" hidden="1">"c7378"</definedName>
    <definedName name="IQ_NONFARM_WAGES_YOY_FC" hidden="1">"c8258"</definedName>
    <definedName name="IQ_NONINTEREST_BEARING_BALANCES_FDIC" hidden="1">"c6394"</definedName>
    <definedName name="IQ_NONINTEREST_BEARING_CASH_FFIEC" hidden="1">"c12774"</definedName>
    <definedName name="IQ_NONINTEREST_BEARING_DEPOSITS_DOMESTIC_FDIC" hidden="1">"c6477"</definedName>
    <definedName name="IQ_NONINTEREST_BEARING_DEPOSITS_FOREIGN_FDIC" hidden="1">"c6484"</definedName>
    <definedName name="IQ_NONINTEREST_EXPENSE_EARNING_ASSETS_FDIC" hidden="1">"c6728"</definedName>
    <definedName name="IQ_NONINTEREST_INCOME_EARNING_ASSETS_FDIC" hidden="1">"c6727"</definedName>
    <definedName name="IQ_NONMORTGAGE_SERVICING_FDIC" hidden="1">"c6336"</definedName>
    <definedName name="IQ_NONQUALIFYING_PREFERRED_T1_FFIEC" hidden="1">"c13134"</definedName>
    <definedName name="IQ_NONRECOURSE_DEBT" hidden="1">"c2550"</definedName>
    <definedName name="IQ_NONRECOURSE_DEBT_PCT" hidden="1">"c2551"</definedName>
    <definedName name="IQ_NONRES_FIXED_INVEST" hidden="1">"c6931"</definedName>
    <definedName name="IQ_NONRES_FIXED_INVEST_APR" hidden="1">"c7591"</definedName>
    <definedName name="IQ_NONRES_FIXED_INVEST_POP" hidden="1">"c7151"</definedName>
    <definedName name="IQ_NONRES_FIXED_INVEST_PRIV_APR_FC_UNUSED" hidden="1">"c8468"</definedName>
    <definedName name="IQ_NONRES_FIXED_INVEST_PRIV_APR_UNUSED" hidden="1">"c7588"</definedName>
    <definedName name="IQ_NONRES_FIXED_INVEST_PRIV_FC_UNUSED" hidden="1">"c7808"</definedName>
    <definedName name="IQ_NONRES_FIXED_INVEST_PRIV_POP_FC_UNUSED" hidden="1">"c8028"</definedName>
    <definedName name="IQ_NONRES_FIXED_INVEST_PRIV_POP_UNUSED" hidden="1">"c7148"</definedName>
    <definedName name="IQ_NONRES_FIXED_INVEST_PRIV_REAL" hidden="1">"c6989"</definedName>
    <definedName name="IQ_NONRES_FIXED_INVEST_PRIV_REAL_APR" hidden="1">"c7649"</definedName>
    <definedName name="IQ_NONRES_FIXED_INVEST_PRIV_REAL_APR_FC" hidden="1">"c8529"</definedName>
    <definedName name="IQ_NONRES_FIXED_INVEST_PRIV_REAL_FC" hidden="1">"c7869"</definedName>
    <definedName name="IQ_NONRES_FIXED_INVEST_PRIV_REAL_POP" hidden="1">"c7209"</definedName>
    <definedName name="IQ_NONRES_FIXED_INVEST_PRIV_REAL_POP_FC" hidden="1">"c8089"</definedName>
    <definedName name="IQ_NONRES_FIXED_INVEST_PRIV_REAL_SAAR" hidden="1">"c6990"</definedName>
    <definedName name="IQ_NONRES_FIXED_INVEST_PRIV_REAL_SAAR_APR" hidden="1">"c7650"</definedName>
    <definedName name="IQ_NONRES_FIXED_INVEST_PRIV_REAL_SAAR_APR_FC" hidden="1">"c8530"</definedName>
    <definedName name="IQ_NONRES_FIXED_INVEST_PRIV_REAL_SAAR_FC" hidden="1">"c7870"</definedName>
    <definedName name="IQ_NONRES_FIXED_INVEST_PRIV_REAL_SAAR_POP" hidden="1">"c7210"</definedName>
    <definedName name="IQ_NONRES_FIXED_INVEST_PRIV_REAL_SAAR_POP_FC" hidden="1">"c8090"</definedName>
    <definedName name="IQ_NONRES_FIXED_INVEST_PRIV_REAL_SAAR_USD_APR_FC" hidden="1">"c11981"</definedName>
    <definedName name="IQ_NONRES_FIXED_INVEST_PRIV_REAL_SAAR_USD_FC" hidden="1">"c11978"</definedName>
    <definedName name="IQ_NONRES_FIXED_INVEST_PRIV_REAL_SAAR_USD_POP_FC" hidden="1">"c11979"</definedName>
    <definedName name="IQ_NONRES_FIXED_INVEST_PRIV_REAL_SAAR_USD_YOY_FC" hidden="1">"c11980"</definedName>
    <definedName name="IQ_NONRES_FIXED_INVEST_PRIV_REAL_SAAR_YOY" hidden="1">"c7430"</definedName>
    <definedName name="IQ_NONRES_FIXED_INVEST_PRIV_REAL_SAAR_YOY_FC" hidden="1">"c8310"</definedName>
    <definedName name="IQ_NONRES_FIXED_INVEST_PRIV_REAL_USD_APR_FC" hidden="1">"c11977"</definedName>
    <definedName name="IQ_NONRES_FIXED_INVEST_PRIV_REAL_USD_FC" hidden="1">"c11974"</definedName>
    <definedName name="IQ_NONRES_FIXED_INVEST_PRIV_REAL_USD_POP_FC" hidden="1">"c11975"</definedName>
    <definedName name="IQ_NONRES_FIXED_INVEST_PRIV_REAL_USD_YOY_FC" hidden="1">"c11976"</definedName>
    <definedName name="IQ_NONRES_FIXED_INVEST_PRIV_REAL_YOY" hidden="1">"c7429"</definedName>
    <definedName name="IQ_NONRES_FIXED_INVEST_PRIV_REAL_YOY_FC" hidden="1">"c8309"</definedName>
    <definedName name="IQ_NONRES_FIXED_INVEST_PRIV_SAAR" hidden="1">"c6929"</definedName>
    <definedName name="IQ_NONRES_FIXED_INVEST_PRIV_SAAR_APR" hidden="1">"c7589"</definedName>
    <definedName name="IQ_NONRES_FIXED_INVEST_PRIV_SAAR_APR_FC" hidden="1">"c8469"</definedName>
    <definedName name="IQ_NONRES_FIXED_INVEST_PRIV_SAAR_FC" hidden="1">"c7809"</definedName>
    <definedName name="IQ_NONRES_FIXED_INVEST_PRIV_SAAR_POP" hidden="1">"c7149"</definedName>
    <definedName name="IQ_NONRES_FIXED_INVEST_PRIV_SAAR_POP_FC" hidden="1">"c8029"</definedName>
    <definedName name="IQ_NONRES_FIXED_INVEST_PRIV_SAAR_USD_APR_FC" hidden="1">"c11877"</definedName>
    <definedName name="IQ_NONRES_FIXED_INVEST_PRIV_SAAR_USD_FC" hidden="1">"c11874"</definedName>
    <definedName name="IQ_NONRES_FIXED_INVEST_PRIV_SAAR_USD_POP_FC" hidden="1">"c11875"</definedName>
    <definedName name="IQ_NONRES_FIXED_INVEST_PRIV_SAAR_USD_YOY_FC" hidden="1">"c11876"</definedName>
    <definedName name="IQ_NONRES_FIXED_INVEST_PRIV_SAAR_YOY" hidden="1">"c7369"</definedName>
    <definedName name="IQ_NONRES_FIXED_INVEST_PRIV_SAAR_YOY_FC" hidden="1">"c8249"</definedName>
    <definedName name="IQ_NONRES_FIXED_INVEST_PRIV_UNUSED" hidden="1">"c6928"</definedName>
    <definedName name="IQ_NONRES_FIXED_INVEST_PRIV_USD_APR_FC" hidden="1">"c11873"</definedName>
    <definedName name="IQ_NONRES_FIXED_INVEST_PRIV_USD_FC" hidden="1">"c11870"</definedName>
    <definedName name="IQ_NONRES_FIXED_INVEST_PRIV_USD_POP_FC" hidden="1">"c11871"</definedName>
    <definedName name="IQ_NONRES_FIXED_INVEST_PRIV_USD_YOY_FC" hidden="1">"c11872"</definedName>
    <definedName name="IQ_NONRES_FIXED_INVEST_PRIV_YOY_FC_UNUSED" hidden="1">"c8248"</definedName>
    <definedName name="IQ_NONRES_FIXED_INVEST_PRIV_YOY_UNUSED" hidden="1">"c7368"</definedName>
    <definedName name="IQ_NONRES_FIXED_INVEST_REAL" hidden="1">"c6993"</definedName>
    <definedName name="IQ_NONRES_FIXED_INVEST_REAL_APR" hidden="1">"c7653"</definedName>
    <definedName name="IQ_NONRES_FIXED_INVEST_REAL_POP" hidden="1">"c7213"</definedName>
    <definedName name="IQ_NONRES_FIXED_INVEST_REAL_SAAR" hidden="1">"c6987"</definedName>
    <definedName name="IQ_NONRES_FIXED_INVEST_REAL_SAAR_APR" hidden="1">"c7647"</definedName>
    <definedName name="IQ_NONRES_FIXED_INVEST_REAL_SAAR_APR_FC" hidden="1">"c8527"</definedName>
    <definedName name="IQ_NONRES_FIXED_INVEST_REAL_SAAR_FC" hidden="1">"c7867"</definedName>
    <definedName name="IQ_NONRES_FIXED_INVEST_REAL_SAAR_POP" hidden="1">"c7207"</definedName>
    <definedName name="IQ_NONRES_FIXED_INVEST_REAL_SAAR_POP_FC" hidden="1">"c8087"</definedName>
    <definedName name="IQ_NONRES_FIXED_INVEST_REAL_SAAR_YOY" hidden="1">"c7427"</definedName>
    <definedName name="IQ_NONRES_FIXED_INVEST_REAL_SAAR_YOY_FC" hidden="1">"c8307"</definedName>
    <definedName name="IQ_NONRES_FIXED_INVEST_REAL_USD_APR_FC" hidden="1">"c11973"</definedName>
    <definedName name="IQ_NONRES_FIXED_INVEST_REAL_USD_FC" hidden="1">"c11970"</definedName>
    <definedName name="IQ_NONRES_FIXED_INVEST_REAL_USD_POP_FC" hidden="1">"c11971"</definedName>
    <definedName name="IQ_NONRES_FIXED_INVEST_REAL_USD_YOY_FC" hidden="1">"c11972"</definedName>
    <definedName name="IQ_NONRES_FIXED_INVEST_REAL_YOY" hidden="1">"c7433"</definedName>
    <definedName name="IQ_NONRES_FIXED_INVEST_STRUCT" hidden="1">"c6930"</definedName>
    <definedName name="IQ_NONRES_FIXED_INVEST_STRUCT_APR" hidden="1">"c7590"</definedName>
    <definedName name="IQ_NONRES_FIXED_INVEST_STRUCT_APR_FC" hidden="1">"c8470"</definedName>
    <definedName name="IQ_NONRES_FIXED_INVEST_STRUCT_FC" hidden="1">"c7810"</definedName>
    <definedName name="IQ_NONRES_FIXED_INVEST_STRUCT_POP" hidden="1">"c7150"</definedName>
    <definedName name="IQ_NONRES_FIXED_INVEST_STRUCT_POP_FC" hidden="1">"c8030"</definedName>
    <definedName name="IQ_NONRES_FIXED_INVEST_STRUCT_REAL" hidden="1">"c6992"</definedName>
    <definedName name="IQ_NONRES_FIXED_INVEST_STRUCT_REAL_APR" hidden="1">"c7652"</definedName>
    <definedName name="IQ_NONRES_FIXED_INVEST_STRUCT_REAL_APR_FC" hidden="1">"c8532"</definedName>
    <definedName name="IQ_NONRES_FIXED_INVEST_STRUCT_REAL_FC" hidden="1">"c7872"</definedName>
    <definedName name="IQ_NONRES_FIXED_INVEST_STRUCT_REAL_POP" hidden="1">"c7212"</definedName>
    <definedName name="IQ_NONRES_FIXED_INVEST_STRUCT_REAL_POP_FC" hidden="1">"c8092"</definedName>
    <definedName name="IQ_NONRES_FIXED_INVEST_STRUCT_REAL_SAAR" hidden="1">"c6991"</definedName>
    <definedName name="IQ_NONRES_FIXED_INVEST_STRUCT_REAL_SAAR_APR" hidden="1">"c7651"</definedName>
    <definedName name="IQ_NONRES_FIXED_INVEST_STRUCT_REAL_SAAR_APR_FC" hidden="1">"c8531"</definedName>
    <definedName name="IQ_NONRES_FIXED_INVEST_STRUCT_REAL_SAAR_FC" hidden="1">"c7871"</definedName>
    <definedName name="IQ_NONRES_FIXED_INVEST_STRUCT_REAL_SAAR_POP" hidden="1">"c7211"</definedName>
    <definedName name="IQ_NONRES_FIXED_INVEST_STRUCT_REAL_SAAR_POP_FC" hidden="1">"c8091"</definedName>
    <definedName name="IQ_NONRES_FIXED_INVEST_STRUCT_REAL_SAAR_YOY" hidden="1">"c7431"</definedName>
    <definedName name="IQ_NONRES_FIXED_INVEST_STRUCT_REAL_SAAR_YOY_FC" hidden="1">"c8311"</definedName>
    <definedName name="IQ_NONRES_FIXED_INVEST_STRUCT_REAL_USD_APR_FC" hidden="1">"c11985"</definedName>
    <definedName name="IQ_NONRES_FIXED_INVEST_STRUCT_REAL_USD_FC" hidden="1">"c11982"</definedName>
    <definedName name="IQ_NONRES_FIXED_INVEST_STRUCT_REAL_USD_POP_FC" hidden="1">"c11983"</definedName>
    <definedName name="IQ_NONRES_FIXED_INVEST_STRUCT_REAL_USD_YOY_FC" hidden="1">"c11984"</definedName>
    <definedName name="IQ_NONRES_FIXED_INVEST_STRUCT_REAL_YOY" hidden="1">"c7432"</definedName>
    <definedName name="IQ_NONRES_FIXED_INVEST_STRUCT_REAL_YOY_FC" hidden="1">"c8312"</definedName>
    <definedName name="IQ_NONRES_FIXED_INVEST_STRUCT_USD_APR_FC" hidden="1">"c11881"</definedName>
    <definedName name="IQ_NONRES_FIXED_INVEST_STRUCT_USD_FC" hidden="1">"c11878"</definedName>
    <definedName name="IQ_NONRES_FIXED_INVEST_STRUCT_USD_POP_FC" hidden="1">"c11879"</definedName>
    <definedName name="IQ_NONRES_FIXED_INVEST_STRUCT_USD_YOY_FC" hidden="1">"c11880"</definedName>
    <definedName name="IQ_NONRES_FIXED_INVEST_STRUCT_YOY" hidden="1">"c7370"</definedName>
    <definedName name="IQ_NONRES_FIXED_INVEST_STRUCT_YOY_FC" hidden="1">"c8250"</definedName>
    <definedName name="IQ_NONRES_FIXED_INVEST_USD_APR_FC" hidden="1">"c11869"</definedName>
    <definedName name="IQ_NONRES_FIXED_INVEST_USD_FC" hidden="1">"c11866"</definedName>
    <definedName name="IQ_NONRES_FIXED_INVEST_USD_POP_FC" hidden="1">"c11867"</definedName>
    <definedName name="IQ_NONRES_FIXED_INVEST_USD_YOY_FC" hidden="1">"c11868"</definedName>
    <definedName name="IQ_NONRES_FIXED_INVEST_YOY" hidden="1">"c7371"</definedName>
    <definedName name="IQ_NONTRADING_SECURITIES_FAIR_VALUE_TOT_FFIEC" hidden="1">"c13211"</definedName>
    <definedName name="IQ_NONTRADING_SECURITIES_LEVEL_1_FFIEC" hidden="1">"c13219"</definedName>
    <definedName name="IQ_NONTRADING_SECURITIES_LEVEL_2_FFIEC" hidden="1">"c13227"</definedName>
    <definedName name="IQ_NONTRADING_SECURITIES_LEVEL_3_FFIEC" hidden="1">"c13235"</definedName>
    <definedName name="IQ_NONTRANSACTION_ACCOUNTS_FDIC" hidden="1">"c6552"</definedName>
    <definedName name="IQ_NONUTIL_REV" hidden="1">"c2089"</definedName>
    <definedName name="IQ_NORM_EPS_ACT_OR_EST" hidden="1">"c2249"</definedName>
    <definedName name="IQ_NORM_EPS_ACT_OR_EST_CIQ" hidden="1">"c5069"</definedName>
    <definedName name="IQ_NORMAL_INC_AFTER" hidden="1">"c1605"</definedName>
    <definedName name="IQ_NORMAL_INC_AVAIL" hidden="1">"c1606"</definedName>
    <definedName name="IQ_NORMAL_INC_BEFORE" hidden="1">"c1607"</definedName>
    <definedName name="IQ_NOTES_PAY" hidden="1">"c1176"</definedName>
    <definedName name="IQ_NOTIONAL_AMOUNT_CREDIT_DERIVATIVES_FDIC" hidden="1">"c6507"</definedName>
    <definedName name="IQ_NOTIONAL_AMT_DERIVATIVES_BENEFICIARY_FFIEC" hidden="1">"c13118"</definedName>
    <definedName name="IQ_NOTIONAL_AMT_DERIVATIVES_GUARANTOR_FFIEC" hidden="1">"c13111"</definedName>
    <definedName name="IQ_NOTIONAL_VALUE_EXCHANGE_SWAPS_FDIC" hidden="1">"c6516"</definedName>
    <definedName name="IQ_NOTIONAL_VALUE_OTHER_SWAPS_FDIC" hidden="1">"c6521"</definedName>
    <definedName name="IQ_NOTIONAL_VALUE_RATE_SWAPS_FDIC" hidden="1">"c6511"</definedName>
    <definedName name="IQ_NOW_ACCOUNT" hidden="1">"c828"</definedName>
    <definedName name="IQ_NOW_ATS_ACCOUNTS_COMMERCIAL_BANK_SUBS_FFIEC" hidden="1">"c12946"</definedName>
    <definedName name="IQ_NOW_ATS_ACCOUNTS_OTHER_INSTITUTIONS_FFIEC" hidden="1">"c12951"</definedName>
    <definedName name="IQ_NOW_OTHER_TRANS_ACCTS_TOT_DEPOSITS_FFIEC" hidden="1">"c13903"</definedName>
    <definedName name="IQ_NPPE" hidden="1">"c829"</definedName>
    <definedName name="IQ_NPPE_10YR_ANN_CAGR" hidden="1">"c6130"</definedName>
    <definedName name="IQ_NPPE_10YR_ANN_GROWTH" hidden="1">"c830"</definedName>
    <definedName name="IQ_NPPE_1YR_ANN_GROWTH" hidden="1">"c831"</definedName>
    <definedName name="IQ_NPPE_2YR_ANN_CAGR" hidden="1">"c6131"</definedName>
    <definedName name="IQ_NPPE_2YR_ANN_GROWTH" hidden="1">"c832"</definedName>
    <definedName name="IQ_NPPE_3YR_ANN_CAGR" hidden="1">"c6132"</definedName>
    <definedName name="IQ_NPPE_3YR_ANN_GROWTH" hidden="1">"c833"</definedName>
    <definedName name="IQ_NPPE_5YR_ANN_CAGR" hidden="1">"c6133"</definedName>
    <definedName name="IQ_NPPE_5YR_ANN_GROWTH" hidden="1">"c834"</definedName>
    <definedName name="IQ_NPPE_7YR_ANN_CAGR" hidden="1">"c6134"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_CONTRIBUTORS" hidden="1">"c13739"</definedName>
    <definedName name="IQ_NUMBER_ADRHOLDERS" hidden="1">"c1970"</definedName>
    <definedName name="IQ_NUMBER_DAYS" hidden="1">"c1904"</definedName>
    <definedName name="IQ_NUMBER_DEPOSITS_LESS_THAN_100K_FDIC" hidden="1">"c6495"</definedName>
    <definedName name="IQ_NUMBER_DEPOSITS_MORE_THAN_100K_FDIC" hidden="1">"c6493"</definedName>
    <definedName name="IQ_NUMBER_MINES_ALUM" hidden="1">"c9248"</definedName>
    <definedName name="IQ_NUMBER_MINES_COAL" hidden="1">"c9822"</definedName>
    <definedName name="IQ_NUMBER_MINES_COP" hidden="1">"c9193"</definedName>
    <definedName name="IQ_NUMBER_MINES_DIAM" hidden="1">"c9672"</definedName>
    <definedName name="IQ_NUMBER_MINES_GOLD" hidden="1">"c9033"</definedName>
    <definedName name="IQ_NUMBER_MINES_IRON" hidden="1">"c9407"</definedName>
    <definedName name="IQ_NUMBER_MINES_LEAD" hidden="1">"c9460"</definedName>
    <definedName name="IQ_NUMBER_MINES_MANG" hidden="1">"c9513"</definedName>
    <definedName name="IQ_NUMBER_MINES_MOLYB" hidden="1">"c9725"</definedName>
    <definedName name="IQ_NUMBER_MINES_NICK" hidden="1">"c9301"</definedName>
    <definedName name="IQ_NUMBER_MINES_PLAT" hidden="1">"c9139"</definedName>
    <definedName name="IQ_NUMBER_MINES_SILVER" hidden="1">"c9086"</definedName>
    <definedName name="IQ_NUMBER_MINES_TITAN" hidden="1">"c9566"</definedName>
    <definedName name="IQ_NUMBER_MINES_URAN" hidden="1">"c9619"</definedName>
    <definedName name="IQ_NUMBER_MINES_ZINC" hidden="1">"c9354"</definedName>
    <definedName name="IQ_NUMBER_SHAREHOLDERS" hidden="1">"c1967"</definedName>
    <definedName name="IQ_NUMBER_SHAREHOLDERS_CLASSA" hidden="1">"c1968"</definedName>
    <definedName name="IQ_NUMBER_SHAREHOLDERS_OTHER" hidden="1">"c1969"</definedName>
    <definedName name="IQ_OBLIGATIONS_OF_STATES_TOTAL_LOANS_FOREIGN_FDIC" hidden="1">"c6447"</definedName>
    <definedName name="IQ_OBLIGATIONS_STATES_FDIC" hidden="1">"c6431"</definedName>
    <definedName name="IQ_OCCUPANCY_CONSOL" hidden="1">"c8840"</definedName>
    <definedName name="IQ_OCCUPANCY_EXP_AVG_ASSETS_FFIEC" hidden="1">"c13372"</definedName>
    <definedName name="IQ_OCCUPANCY_EXP_OPERATING_INC_FFIEC" hidden="1">"c13380"</definedName>
    <definedName name="IQ_OCCUPANCY_MANAGED" hidden="1">"c8842"</definedName>
    <definedName name="IQ_OCCUPANCY_OTHER" hidden="1">"c8843"</definedName>
    <definedName name="IQ_OCCUPANCY_SAME_PROP" hidden="1">"c8845"</definedName>
    <definedName name="IQ_OCCUPANCY_TOTAL" hidden="1">"c8844"</definedName>
    <definedName name="IQ_OCCUPANCY_UNCONSOL" hidden="1">"c8841"</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GAS_EQUIV_PRODUCTION_MMCFE" hidden="1">"c10061"</definedName>
    <definedName name="IQ_OG_AVG_DAILY_OIL_EQUIV_PRODUCTION_KBOE" hidden="1">"c10060"</definedName>
    <definedName name="IQ_OG_AVG_DAILY_PROD_GAS" hidden="1">"c2910"</definedName>
    <definedName name="IQ_OG_AVG_DAILY_PROD_NGL" hidden="1">"c2911"</definedName>
    <definedName name="IQ_OG_AVG_DAILY_PROD_OIL" hidden="1">"c2909"</definedName>
    <definedName name="IQ_OG_AVG_DAILY_PRODUCTION_GAS_MMCM" hidden="1">"c10059"</definedName>
    <definedName name="IQ_OG_AVG_DAILY_SALES_VOL_EQ_INC_GAS" hidden="1">"c5797"</definedName>
    <definedName name="IQ_OG_AVG_DAILY_SALES_VOL_EQ_INC_NGL" hidden="1">"c5798"</definedName>
    <definedName name="IQ_OG_AVG_DAILY_SALES_VOL_EQ_INC_OIL" hidden="1">"c5796"</definedName>
    <definedName name="IQ_OG_AVG_GAS_PRICE_CBM_HEDGED" hidden="1">"c10054"</definedName>
    <definedName name="IQ_OG_AVG_GAS_PRICE_CBM_UNHEDGED" hidden="1">"c10055"</definedName>
    <definedName name="IQ_OG_AVG_PRODUCTION_COST_BBL" hidden="1">"c10062"</definedName>
    <definedName name="IQ_OG_AVG_PRODUCTION_COST_BOE" hidden="1">"c10064"</definedName>
    <definedName name="IQ_OG_AVG_PRODUCTION_COST_MCF" hidden="1">"c10063"</definedName>
    <definedName name="IQ_OG_AVG_PRODUCTION_COST_MCFE" hidden="1">"c10065"</definedName>
    <definedName name="IQ_OG_CLOSE_BALANCE_GAS" hidden="1">"c2049"</definedName>
    <definedName name="IQ_OG_CLOSE_BALANCE_NGL" hidden="1">"c2920"</definedName>
    <definedName name="IQ_OG_CLOSE_BALANCE_OIL" hidden="1">"c2037"</definedName>
    <definedName name="IQ_OG_DAILY_PRDUCTION_GROWTH_GAS" hidden="1">"c12732"</definedName>
    <definedName name="IQ_OG_DAILY_PRDUCTION_GROWTH_GAS_EQUIVALENT" hidden="1">"c12733"</definedName>
    <definedName name="IQ_OG_DAILY_PRDUCTION_GROWTH_NGL" hidden="1">"c12734"</definedName>
    <definedName name="IQ_OG_DAILY_PRDUCTION_GROWTH_OIL" hidden="1">"c12735"</definedName>
    <definedName name="IQ_OG_DAILY_PRDUCTION_GROWTH_OIL_EQUIVALENT" hidden="1">"c12736"</definedName>
    <definedName name="IQ_OG_DAILY_PRODUCTION_GROWTH_GAS" hidden="1">"c10073"</definedName>
    <definedName name="IQ_OG_DAILY_PRODUCTION_GROWTH_GAS_EQUIVALENT" hidden="1">"c10076"</definedName>
    <definedName name="IQ_OG_DAILY_PRODUCTION_GROWTH_NGL" hidden="1">"c10074"</definedName>
    <definedName name="IQ_OG_DAILY_PRODUCTION_GROWTH_OIL" hidden="1">"c10072"</definedName>
    <definedName name="IQ_OG_DAILY_PRODUCTION_GROWTH_OIL_EQUIVALENT" hidden="1">"c10075"</definedName>
    <definedName name="IQ_OG_DCF_BEFORE_TAXES" hidden="1">"c2023"</definedName>
    <definedName name="IQ_OG_DCF_BEFORE_TAXES_GAS" hidden="1">"c2025"</definedName>
    <definedName name="IQ_OG_DCF_BEFORE_TAXES_OIL" hidden="1">"c2024"</definedName>
    <definedName name="IQ_OG_DEVELOPED_ACRE_GROSS_EQ_INC" hidden="1">"c5802"</definedName>
    <definedName name="IQ_OG_DEVELOPED_ACRE_NET_EQ_INC" hidden="1">"c5803"</definedName>
    <definedName name="IQ_OG_DEVELOPED_RESERVES_GAS" hidden="1">"c2053"</definedName>
    <definedName name="IQ_OG_DEVELOPED_RESERVES_GAS_BCM" hidden="1">"c10045"</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AFFILIATES_RESERVES_GAS_BCM" hidden="1">"c10047"</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PLORATION_DEVELOPMENT_COST" hidden="1">"c10081"</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GROSS_DEVELOPED_AREA_SQ_KM" hidden="1">"c10079"</definedName>
    <definedName name="IQ_OG_GROSS_DEVELOPMENT_DRY_WELLS_DRILLED" hidden="1">"c10098"</definedName>
    <definedName name="IQ_OG_GROSS_DEVELOPMENT_PRODUCTIVE_WELLS_DRILLED" hidden="1">"c10097"</definedName>
    <definedName name="IQ_OG_GROSS_DEVELOPMENT_TOTAL_WELLS_DRILLED" hidden="1">"c10099"</definedName>
    <definedName name="IQ_OG_GROSS_EXPLORATORY_DRY_WELLS_DRILLED" hidden="1">"c10095"</definedName>
    <definedName name="IQ_OG_GROSS_EXPLORATORY_PRODUCTIVE_WELLS_DRILLED" hidden="1">"c10094"</definedName>
    <definedName name="IQ_OG_GROSS_EXPLORATORY_TOTAL_WELLS_DRILLED" hidden="1">"c10096"</definedName>
    <definedName name="IQ_OG_GROSS_OPERATED_WELLS" hidden="1">"c10092"</definedName>
    <definedName name="IQ_OG_GROSS_PRODUCTIVE_WELLS_GAS" hidden="1">"c10087"</definedName>
    <definedName name="IQ_OG_GROSS_PRODUCTIVE_WELLS_OIL" hidden="1">"c10086"</definedName>
    <definedName name="IQ_OG_GROSS_PRODUCTIVE_WELLS_TOTAL" hidden="1">"c10088"</definedName>
    <definedName name="IQ_OG_GROSS_TOTAL_WELLS_DRILLED" hidden="1">"c10100"</definedName>
    <definedName name="IQ_OG_GROSS_UNDEVELOPED_AREA_SQ_KM" hidden="1">"c10077"</definedName>
    <definedName name="IQ_OG_GROSS_WELLS_DRILLING" hidden="1">"c10108"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DEVELOPED_AREA_SQ_KM" hidden="1">"c10080"</definedName>
    <definedName name="IQ_OG_NET_DEVELOPMENT_DRY_WELLS_DRILLED" hidden="1">"c10105"</definedName>
    <definedName name="IQ_OG_NET_DEVELOPMENT_PRODUCTIVE_WELLS_DRILLED" hidden="1">"c10104"</definedName>
    <definedName name="IQ_OG_NET_DEVELOPMENT_TOTAL_WELLS_DRILLED" hidden="1">"c10106"</definedName>
    <definedName name="IQ_OG_NET_EXPLORATORY_DRY_WELLS_DRILLED" hidden="1">"c10102"</definedName>
    <definedName name="IQ_OG_NET_EXPLORATORY_PRODUCTIVE_WELLS_DRILLED" hidden="1">"c10101"</definedName>
    <definedName name="IQ_OG_NET_EXPLORATORY_TOTAL_WELLS_DRILLED" hidden="1">"c10103"</definedName>
    <definedName name="IQ_OG_NET_FUTURE_CASH_FLOWS" hidden="1">"c1996"</definedName>
    <definedName name="IQ_OG_NET_FUTURE_CASH_FLOWS_GAS" hidden="1">"c2016"</definedName>
    <definedName name="IQ_OG_NET_FUTURE_CASH_FLOWS_OIL" hidden="1">"c2006"</definedName>
    <definedName name="IQ_OG_NET_OPERATED_WELLS" hidden="1">"c10093"</definedName>
    <definedName name="IQ_OG_NET_PRODUCTIVE_WELLS_GAS" hidden="1">"c10090"</definedName>
    <definedName name="IQ_OG_NET_PRODUCTIVE_WELLS_OIL" hidden="1">"c10089"</definedName>
    <definedName name="IQ_OG_NET_PRODUCTIVE_WELLS_TOTAL" hidden="1">"c10091"</definedName>
    <definedName name="IQ_OG_NET_TOTAL_WELLS_DRILLED" hidden="1">"c10107"</definedName>
    <definedName name="IQ_OG_NET_UNDEVELOPED_AREA_SQ_KM" hidden="1">"c10078"</definedName>
    <definedName name="IQ_OG_NET_WELLS_DRILLING" hidden="1">"c10109"</definedName>
    <definedName name="IQ_OG_NUMBER_WELLS_NEW" hidden="1">"c10085"</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DUCTION_GROWTH_GAS" hidden="1">"c12737"</definedName>
    <definedName name="IQ_OG_PRDUCTION_GROWTH_GAS_EQUIVALENT" hidden="1">"c12738"</definedName>
    <definedName name="IQ_OG_PRDUCTION_GROWTH_NGL" hidden="1">"c12739"</definedName>
    <definedName name="IQ_OG_PRDUCTION_GROWTH_OIL" hidden="1">"c12740"</definedName>
    <definedName name="IQ_OG_PRDUCTION_GROWTH_OIL_EQUIVALENT" hidden="1">"c12741"</definedName>
    <definedName name="IQ_OG_PRDUCTION_GROWTH_TOAL" hidden="1">"c12742"</definedName>
    <definedName name="IQ_OG_PRODUCTION_GAS" hidden="1">"c2047"</definedName>
    <definedName name="IQ_OG_PRODUCTION_GROWTH_GAS" hidden="1">"c10067"</definedName>
    <definedName name="IQ_OG_PRODUCTION_GROWTH_GAS_EQUIVALENT" hidden="1">"c10070"</definedName>
    <definedName name="IQ_OG_PRODUCTION_GROWTH_NGL" hidden="1">"c10068"</definedName>
    <definedName name="IQ_OG_PRODUCTION_GROWTH_OIL" hidden="1">"c10066"</definedName>
    <definedName name="IQ_OG_PRODUCTION_GROWTH_OIL_EQUIVALENT" hidden="1">"c10069"</definedName>
    <definedName name="IQ_OG_PRODUCTION_GROWTH_TOTAL" hidden="1">"c10071"</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SERVE_REPLACEMENT_RATIO" hidden="1">"c5799"</definedName>
    <definedName name="IQ_OG_REVISIONS_GAS" hidden="1">"c2042"</definedName>
    <definedName name="IQ_OG_REVISIONS_NGL" hidden="1">"c2913"</definedName>
    <definedName name="IQ_OG_REVISIONS_OIL" hidden="1">"c2030"</definedName>
    <definedName name="IQ_OG_RIGS_NON_OPERATED" hidden="1">"c10083"</definedName>
    <definedName name="IQ_OG_RIGS_OPERATED" hidden="1">"c10082"</definedName>
    <definedName name="IQ_OG_RIGS_TOTAL" hidden="1">"c10084"</definedName>
    <definedName name="IQ_OG_SALES_IN_PLACE_GAS" hidden="1">"c2046"</definedName>
    <definedName name="IQ_OG_SALES_IN_PLACE_NGL" hidden="1">"c2917"</definedName>
    <definedName name="IQ_OG_SALES_IN_PLACE_OIL" hidden="1">"c2034"</definedName>
    <definedName name="IQ_OG_SALES_VOL_EQ_INC_GAS" hidden="1">"c5794"</definedName>
    <definedName name="IQ_OG_SALES_VOL_EQ_INC_NGL" hidden="1">"c5795"</definedName>
    <definedName name="IQ_OG_SALES_VOL_EQ_INC_OIL" hidden="1">"c5793"</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EQUIV_PRODUCTION_BCFE" hidden="1">"c10058"</definedName>
    <definedName name="IQ_OG_TOTAL_GAS_PRODUCTION" hidden="1">"c2060"</definedName>
    <definedName name="IQ_OG_TOTAL_LIQUID_GAS_PRODUCTION" hidden="1">"c2235"</definedName>
    <definedName name="IQ_OG_TOTAL_OIL_EQUIV_PRODUCTION_MMBOE" hidden="1">"c10057"</definedName>
    <definedName name="IQ_OG_TOTAL_OIL_PRODUCTION" hidden="1">"c2059"</definedName>
    <definedName name="IQ_OG_TOTAL_POSSIBLE_RESERVES_GAS_BCF" hidden="1">"c10050"</definedName>
    <definedName name="IQ_OG_TOTAL_POSSIBLE_RESERVES_GAS_BCM" hidden="1">"c10051"</definedName>
    <definedName name="IQ_OG_TOTAL_POSSIBLE_RESERVES_OIL_MMBBLS" hidden="1">"c10053"</definedName>
    <definedName name="IQ_OG_TOTAL_PROBABLE_RESERVES_GAS_BCF" hidden="1">"c10048"</definedName>
    <definedName name="IQ_OG_TOTAL_PROBABLE_RESERVES_GAS_BCM" hidden="1">"c10049"</definedName>
    <definedName name="IQ_OG_TOTAL_PROBABLE_RESERVES_OIL_MMBBLS" hidden="1">"c10052"</definedName>
    <definedName name="IQ_OG_TOTAL_PRODUCTION_GAS_BCM" hidden="1">"c10056"</definedName>
    <definedName name="IQ_OG_TOTAL_PROVED_RESERVES_GAS_BCM" hidden="1">"c10046"</definedName>
    <definedName name="IQ_OG_UNDEVELOPED_ACRE_GROSS_EQ_INC" hidden="1">"c5800"</definedName>
    <definedName name="IQ_OG_UNDEVELOPED_ACRE_NET_EQ_INC" hidden="1">"c5801"</definedName>
    <definedName name="IQ_OG_UNDEVELOPED_RESERVES_GAS" hidden="1">"c2051"</definedName>
    <definedName name="IQ_OG_UNDEVELOPED_RESERVES_GAS_BCM" hidden="1">"c10044"</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CT_NEXT" hidden="1">"c5774"</definedName>
    <definedName name="IQ_OPEB_ACT_NEXT_DOM" hidden="1">"c5772"</definedName>
    <definedName name="IQ_OPEB_ACT_NEXT_FOREIGN" hidden="1">"c5773"</definedName>
    <definedName name="IQ_OPEB_AMT_RECOG_NEXT" hidden="1">"c5783"</definedName>
    <definedName name="IQ_OPEB_AMT_RECOG_NEXT_DOM" hidden="1">"c5781"</definedName>
    <definedName name="IQ_OPEB_AMT_RECOG_NEXT_FOREIGN" hidden="1">"c5782"</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CI_ACT" hidden="1">"c5759"</definedName>
    <definedName name="IQ_OPEB_CI_ACT_DOM" hidden="1">"c5757"</definedName>
    <definedName name="IQ_OPEB_CI_ACT_FOREIGN" hidden="1">"c5758"</definedName>
    <definedName name="IQ_OPEB_CI_NET_AMT_RECOG" hidden="1">"c5771"</definedName>
    <definedName name="IQ_OPEB_CI_NET_AMT_RECOG_DOM" hidden="1">"c5769"</definedName>
    <definedName name="IQ_OPEB_CI_NET_AMT_RECOG_FOREIGN" hidden="1">"c5770"</definedName>
    <definedName name="IQ_OPEB_CI_OTHER_MISC_ADJ" hidden="1">"c5768"</definedName>
    <definedName name="IQ_OPEB_CI_OTHER_MISC_ADJ_DOM" hidden="1">"c5766"</definedName>
    <definedName name="IQ_OPEB_CI_OTHER_MISC_ADJ_FOREIGN" hidden="1">"c5767"</definedName>
    <definedName name="IQ_OPEB_CI_PRIOR_SERVICE" hidden="1">"c5762"</definedName>
    <definedName name="IQ_OPEB_CI_PRIOR_SERVICE_DOM" hidden="1">"c5760"</definedName>
    <definedName name="IQ_OPEB_CI_PRIOR_SERVICE_FOREIGN" hidden="1">"c5761"</definedName>
    <definedName name="IQ_OPEB_CI_TRANSITION" hidden="1">"c5765"</definedName>
    <definedName name="IQ_OPEB_CI_TRANSITION_DOM" hidden="1">"c5763"</definedName>
    <definedName name="IQ_OPEB_CI_TRANSITION_FOREIGN" hidden="1">"c5764"</definedName>
    <definedName name="IQ_OPEB_CL" hidden="1">"c5789"</definedName>
    <definedName name="IQ_OPEB_CL_DOM" hidden="1">"c5787"</definedName>
    <definedName name="IQ_OPEB_CL_FOREIGN" hidden="1">"c5788"</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LT_ASSETS" hidden="1">"c5786"</definedName>
    <definedName name="IQ_OPEB_LT_ASSETS_DOM" hidden="1">"c5784"</definedName>
    <definedName name="IQ_OPEB_LT_ASSETS_FOREIGN" hidden="1">"c5785"</definedName>
    <definedName name="IQ_OPEB_LT_LIAB" hidden="1">"c5792"</definedName>
    <definedName name="IQ_OPEB_LT_LIAB_DOM" hidden="1">"c5790"</definedName>
    <definedName name="IQ_OPEB_LT_LIAB_FOREIGN" hidden="1">"c5791"</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PRIOR_SERVICE_NEXT" hidden="1">"c5777"</definedName>
    <definedName name="IQ_OPEB_PRIOR_SERVICE_NEXT_DOM" hidden="1">"c5775"</definedName>
    <definedName name="IQ_OPEB_PRIOR_SERVICE_NEXT_FOREIGN" hidden="1">"c5776"</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TRANSITION_NEXT" hidden="1">"c5780"</definedName>
    <definedName name="IQ_OPEB_TRANSITION_NEXT_DOM" hidden="1">"c5778"</definedName>
    <definedName name="IQ_OPEB_TRANSITION_NEXT_FOREIGN" hidden="1">"c5779"</definedName>
    <definedName name="IQ_OPEB_UNRECOG_PRIOR" hidden="1">"c3320"</definedName>
    <definedName name="IQ_OPEB_UNRECOG_PRIOR_DOM" hidden="1">"c3318"</definedName>
    <definedName name="IQ_OPEB_UNRECOG_PRIOR_FOREIGN" hidden="1">"c3319"</definedName>
    <definedName name="IQ_OPENPRICE" hidden="1">"c848"</definedName>
    <definedName name="IQ_OPER_INC" hidden="1">"c849"</definedName>
    <definedName name="IQ_OPER_INC_ACT_OR_EST" hidden="1">"c2220"</definedName>
    <definedName name="IQ_OPER_INC_ACT_OR_EST_THOM" hidden="1">"c5304"</definedName>
    <definedName name="IQ_OPER_INC_BR" hidden="1">"c850"</definedName>
    <definedName name="IQ_OPER_INC_DET_EST" hidden="1">"c12064"</definedName>
    <definedName name="IQ_OPER_INC_DET_EST_CURRENCY" hidden="1">"c12471"</definedName>
    <definedName name="IQ_OPER_INC_DET_EST_CURRENCY_THOM" hidden="1">"c12494"</definedName>
    <definedName name="IQ_OPER_INC_DET_EST_DATE" hidden="1">"c12217"</definedName>
    <definedName name="IQ_OPER_INC_DET_EST_DATE_THOM" hidden="1">"c12245"</definedName>
    <definedName name="IQ_OPER_INC_DET_EST_INCL" hidden="1">"c12354"</definedName>
    <definedName name="IQ_OPER_INC_DET_EST_INCL_THOM" hidden="1">"c12377"</definedName>
    <definedName name="IQ_OPER_INC_DET_EST_ORIGIN" hidden="1">"c12589"</definedName>
    <definedName name="IQ_OPER_INC_DET_EST_ORIGIN_THOM" hidden="1">"c12615"</definedName>
    <definedName name="IQ_OPER_INC_DET_EST_THOM" hidden="1">"c12095"</definedName>
    <definedName name="IQ_OPER_INC_EST" hidden="1">"c1688"</definedName>
    <definedName name="IQ_OPER_INC_EST_THOM" hidden="1">"c5112"</definedName>
    <definedName name="IQ_OPER_INC_FIN" hidden="1">"c851"</definedName>
    <definedName name="IQ_OPER_INC_HIGH_EST" hidden="1">"c1690"</definedName>
    <definedName name="IQ_OPER_INC_HIGH_EST_THOM" hidden="1">"c5114"</definedName>
    <definedName name="IQ_OPER_INC_INS" hidden="1">"c852"</definedName>
    <definedName name="IQ_OPER_INC_LOW_EST" hidden="1">"c1691"</definedName>
    <definedName name="IQ_OPER_INC_LOW_EST_THOM" hidden="1">"c5115"</definedName>
    <definedName name="IQ_OPER_INC_MARGIN" hidden="1">"c362"</definedName>
    <definedName name="IQ_OPER_INC_MEDIAN_EST" hidden="1">"c1689"</definedName>
    <definedName name="IQ_OPER_INC_MEDIAN_EST_THOM" hidden="1">"c5113"</definedName>
    <definedName name="IQ_OPER_INC_NUM_EST" hidden="1">"c1692"</definedName>
    <definedName name="IQ_OPER_INC_NUM_EST_THOM" hidden="1">"c5116"</definedName>
    <definedName name="IQ_OPER_INC_RE" hidden="1">"c6240"</definedName>
    <definedName name="IQ_OPER_INC_REIT" hidden="1">"c853"</definedName>
    <definedName name="IQ_OPER_INC_STDDEV_EST" hidden="1">"c1693"</definedName>
    <definedName name="IQ_OPER_INC_STDDEV_EST_THOM" hidden="1">"c5117"</definedName>
    <definedName name="IQ_OPER_INC_UTI" hidden="1">"c854"</definedName>
    <definedName name="IQ_OPERATING_EXP_AVG_ASSETS_FFIEC" hidden="1">"c13373"</definedName>
    <definedName name="IQ_OPERATING_INC_AVG_ASSETS_FFIEC" hidden="1">"c13368"</definedName>
    <definedName name="IQ_OPERATING_INC_TE_AVG_ASSETS_FFIEC" hidden="1">"c13360"</definedName>
    <definedName name="IQ_OPERATIONS_EXP" hidden="1">"c855"</definedName>
    <definedName name="IQ_OPTIONS_BEG_OS" hidden="1">"c1572"</definedName>
    <definedName name="IQ_OPTIONS_CANCELLED" hidden="1">"c856"</definedName>
    <definedName name="IQ_OPTIONS_END_OS" hidden="1">"c1573"</definedName>
    <definedName name="IQ_OPTIONS_EXERCISABLE_END_OS" hidden="1">"c5804"</definedName>
    <definedName name="IQ_OPTIONS_EXERCISED" hidden="1">"c2116"</definedName>
    <definedName name="IQ_OPTIONS_GRANTED" hidden="1">"c2673"</definedName>
    <definedName name="IQ_OPTIONS_ISSUED" hidden="1">"c857"</definedName>
    <definedName name="IQ_OPTIONS_STRIKE_PRICE_BEG_OS" hidden="1">"c5805"</definedName>
    <definedName name="IQ_OPTIONS_STRIKE_PRICE_CANCELLED" hidden="1">"c5807"</definedName>
    <definedName name="IQ_OPTIONS_STRIKE_PRICE_EXERCISABLE" hidden="1">"c5808"</definedName>
    <definedName name="IQ_OPTIONS_STRIKE_PRICE_EXERCISED" hidden="1">"c5806"</definedName>
    <definedName name="IQ_OPTIONS_STRIKE_PRICE_GRANTED" hidden="1">"c2678"</definedName>
    <definedName name="IQ_OPTIONS_STRIKE_PRICE_OS" hidden="1">"c2677"</definedName>
    <definedName name="IQ_ORDER_BACKLOG" hidden="1">"c2090"</definedName>
    <definedName name="IQ_OREO_1_4_RESIDENTIAL_FDIC" hidden="1">"c6454"</definedName>
    <definedName name="IQ_OREO_COMMERCIAL_RE_FDIC" hidden="1">"c6456"</definedName>
    <definedName name="IQ_OREO_CONSTRUCTION_DEVELOPMENT_FDIC" hidden="1">"c6457"</definedName>
    <definedName name="IQ_OREO_FARMLAND_FDIC" hidden="1">"c6458"</definedName>
    <definedName name="IQ_OREO_FFIEC" hidden="1">"c12831"</definedName>
    <definedName name="IQ_OREO_FOREIGN_FDIC" hidden="1">"c6460"</definedName>
    <definedName name="IQ_OREO_MULTI_FAMILY_RESIDENTIAL_FDIC" hidden="1">"c6455"</definedName>
    <definedName name="IQ_OREO_OTHER_FFIEC" hidden="1">"c12833"</definedName>
    <definedName name="IQ_OTHER_ADDITIONS_T1_FFIEC" hidden="1">"c13142"</definedName>
    <definedName name="IQ_OTHER_ADDITIONS_T2_FFIEC" hidden="1">"c13148"</definedName>
    <definedName name="IQ_OTHER_ADJUST_GROSS_LOANS" hidden="1">"c859"</definedName>
    <definedName name="IQ_OTHER_ADJUSTMENTS_COVERED" hidden="1">"c9961"</definedName>
    <definedName name="IQ_OTHER_ADJUSTMENTS_FFIEC" hidden="1">"c12972"</definedName>
    <definedName name="IQ_OTHER_ADJUSTMENTS_GROUP" hidden="1">"c9947"</definedName>
    <definedName name="IQ_OTHER_AMORT" hidden="1">"c5563"</definedName>
    <definedName name="IQ_OTHER_AMORT_BNK" hidden="1">"c5565"</definedName>
    <definedName name="IQ_OTHER_AMORT_BR" hidden="1">"c5566"</definedName>
    <definedName name="IQ_OTHER_AMORT_FIN" hidden="1">"c5567"</definedName>
    <definedName name="IQ_OTHER_AMORT_INS" hidden="1">"c5568"</definedName>
    <definedName name="IQ_OTHER_AMORT_RE" hidden="1">"c6287"</definedName>
    <definedName name="IQ_OTHER_AMORT_REIT" hidden="1">"c5569"</definedName>
    <definedName name="IQ_OTHER_AMORT_UTI" hidden="1">"c5570"</definedName>
    <definedName name="IQ_OTHER_ASSETS" hidden="1">"c860"</definedName>
    <definedName name="IQ_OTHER_ASSETS_BNK" hidden="1">"c861"</definedName>
    <definedName name="IQ_OTHER_ASSETS_BR" hidden="1">"c862"</definedName>
    <definedName name="IQ_OTHER_ASSETS_FDIC" hidden="1">"c6338"</definedName>
    <definedName name="IQ_OTHER_ASSETS_FFIEC" hidden="1">"c12848"</definedName>
    <definedName name="IQ_OTHER_ASSETS_FIN" hidden="1">"c863"</definedName>
    <definedName name="IQ_OTHER_ASSETS_INS" hidden="1">"c864"</definedName>
    <definedName name="IQ_OTHER_ASSETS_RE" hidden="1">"c6241"</definedName>
    <definedName name="IQ_OTHER_ASSETS_REIT" hidden="1">"c865"</definedName>
    <definedName name="IQ_OTHER_ASSETS_SERV_RIGHTS" hidden="1">"c2243"</definedName>
    <definedName name="IQ_OTHER_ASSETS_TOTAL_FFIEC" hidden="1">"c12841"</definedName>
    <definedName name="IQ_OTHER_ASSETS_UTI" hidden="1">"c866"</definedName>
    <definedName name="IQ_OTHER_BEARING_LIAB" hidden="1">"c1608"</definedName>
    <definedName name="IQ_OTHER_BEDS" hidden="1">"c8784"</definedName>
    <definedName name="IQ_OTHER_BENEFITS_OBLIGATION" hidden="1">"c867"</definedName>
    <definedName name="IQ_OTHER_BORROWED_FUNDS_FDIC" hidden="1">"c6345"</definedName>
    <definedName name="IQ_OTHER_BORROWED_MONEY_FFIEC" hidden="1">"c12862"</definedName>
    <definedName name="IQ_OTHER_BORROWED_MONEY_LT_FFIEC" hidden="1">"c12865"</definedName>
    <definedName name="IQ_OTHER_BORROWED_MONEY_ST_FFIEC" hidden="1">"c12864"</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 hidden="1">"c6242"</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INS" hidden="1">"c6021"</definedName>
    <definedName name="IQ_OTHER_CL_SUPPL_RE" hidden="1">"c6243"</definedName>
    <definedName name="IQ_OTHER_CL_SUPPL_REIT" hidden="1">"c882"</definedName>
    <definedName name="IQ_OTHER_CL_SUPPL_UTI" hidden="1">"c883"</definedName>
    <definedName name="IQ_OTHER_CL_UTI" hidden="1">"c884"</definedName>
    <definedName name="IQ_OTHER_COMPREHENSIVE_INCOME_FDIC" hidden="1">"c6503"</definedName>
    <definedName name="IQ_OTHER_COMPREHENSIVE_INCOME_FFIEC" hidden="1">"c12970"</definedName>
    <definedName name="IQ_OTHER_CONSTRUCTION_GROSS_LOANS_FFIEC" hidden="1">"c13403"</definedName>
    <definedName name="IQ_OTHER_CONSTRUCTION_LOANS_DUE_30_89_FFIEC" hidden="1">"c13258"</definedName>
    <definedName name="IQ_OTHER_CONSTRUCTION_LOANS_DUE_90_FFIEC" hidden="1">"c13286"</definedName>
    <definedName name="IQ_OTHER_CONSTRUCTION_LOANS_NON_ACCRUAL_FFIEC" hidden="1">"c13312"</definedName>
    <definedName name="IQ_OTHER_CONSTRUCTION_LOANS_UNUSED_FFIEC" hidden="1">"c13245"</definedName>
    <definedName name="IQ_OTHER_CONSTRUCTION_RISK_BASED_FFIEC" hidden="1">"c13424"</definedName>
    <definedName name="IQ_OTHER_CONSUMER_LL_REC_FFIEC" hidden="1">"c12891"</definedName>
    <definedName name="IQ_OTHER_CONSUMER_LOANS_FFIEC" hidden="1">"c12824"</definedName>
    <definedName name="IQ_OTHER_CONSUMER_LOANS_TRADING_DOM_FFIEC" hidden="1">"c12935"</definedName>
    <definedName name="IQ_OTHER_CURRENT_ASSETS" hidden="1">"c868"</definedName>
    <definedName name="IQ_OTHER_CURRENT_LIAB" hidden="1">"c877"</definedName>
    <definedName name="IQ_OTHER_DEBT" hidden="1">"c2507"</definedName>
    <definedName name="IQ_OTHER_DEBT_PCT" hidden="1">"c2508"</definedName>
    <definedName name="IQ_OTHER_DEBT_SEC_DOM_AVAIL_SALE_FFIEC" hidden="1">"c12803"</definedName>
    <definedName name="IQ_OTHER_DEBT_SEC_FOREIGN_AVAIL_SALE_FFIEC" hidden="1">"c12804"</definedName>
    <definedName name="IQ_OTHER_DEBT_SEC_INVEST_SECURITIES_FFIEC" hidden="1">"c13462"</definedName>
    <definedName name="IQ_OTHER_DEBT_SEC_TRADING_DOM_FFIEC" hidden="1">"c12924"</definedName>
    <definedName name="IQ_OTHER_DEBT_SEC_TRADING_FFIEC" hidden="1">"c12819"</definedName>
    <definedName name="IQ_OTHER_DEBT_SECURITIES_DOM_FFIEC" hidden="1">"c12789"</definedName>
    <definedName name="IQ_OTHER_DEBT_SECURITIES_FOREIGN_FFIEC" hidden="1">"c12790"</definedName>
    <definedName name="IQ_OTHER_DEDUCTIONS_LEVERAGE_RATIO_FFIEC" hidden="1">"c13158"</definedName>
    <definedName name="IQ_OTHER_DEP" hidden="1">"c885"</definedName>
    <definedName name="IQ_OTHER_DEPOSITORY_INSTITUTIONS_LOANS_FDIC" hidden="1">"c6436"</definedName>
    <definedName name="IQ_OTHER_DEPOSITORY_INSTITUTIONS_TOTAL_LOANS_FOREIGN_FDIC" hidden="1">"c6442"</definedName>
    <definedName name="IQ_OTHER_DEPOSITS_FFIEC" hidden="1">"c12994"</definedName>
    <definedName name="IQ_OTHER_DERIVATIVES_BENEFICIARY_FFIEC" hidden="1">"c13122"</definedName>
    <definedName name="IQ_OTHER_DERIVATIVES_GUARANTOR_FFIEC" hidden="1">"c13115"</definedName>
    <definedName name="IQ_OTHER_DOMESTIC_DEBT_SECURITIES_FDIC" hidden="1">"c6302"</definedName>
    <definedName name="IQ_OTHER_EARNING" hidden="1">"c1609"</definedName>
    <definedName name="IQ_OTHER_EQUITY" hidden="1">"c886"</definedName>
    <definedName name="IQ_OTHER_EQUITY_BNK" hidden="1">"c887"</definedName>
    <definedName name="IQ_OTHER_EQUITY_BR" hidden="1">"c888"</definedName>
    <definedName name="IQ_OTHER_EQUITY_CAPITAL_COMPS_FFIEC" hidden="1">"c12880"</definedName>
    <definedName name="IQ_OTHER_EQUITY_FFIEC" hidden="1">"c12879"</definedName>
    <definedName name="IQ_OTHER_EQUITY_FIN" hidden="1">"c889"</definedName>
    <definedName name="IQ_OTHER_EQUITY_INS" hidden="1">"c890"</definedName>
    <definedName name="IQ_OTHER_EQUITY_RE" hidden="1">"c6244"</definedName>
    <definedName name="IQ_OTHER_EQUITY_REIT" hidden="1">"c891"</definedName>
    <definedName name="IQ_OTHER_EQUITY_UTI" hidden="1">"c892"</definedName>
    <definedName name="IQ_OTHER_EXP_OPERATING_INC_FFIEC" hidden="1">"c13381"</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 hidden="1">"c6245"</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 hidden="1">"c6246"</definedName>
    <definedName name="IQ_OTHER_FINANCE_ACT_SUPPL_REIT" hidden="1">"c904"</definedName>
    <definedName name="IQ_OTHER_FINANCE_ACT_SUPPL_UTI" hidden="1">"c905"</definedName>
    <definedName name="IQ_OTHER_FINANCE_ACT_UTI" hidden="1">"c906"</definedName>
    <definedName name="IQ_OTHER_FOREIGN_LOANS_FOREIGN_FFIEC" hidden="1">"c13482"</definedName>
    <definedName name="IQ_OTHER_INSURANCE_FEES_FDIC" hidden="1">"c6672"</definedName>
    <definedName name="IQ_OTHER_INSURANCE_PREMIUMS_FFIEC" hidden="1">"c13071"</definedName>
    <definedName name="IQ_OTHER_INT_EXPENSE_FFIEC" hidden="1">"c12999"</definedName>
    <definedName name="IQ_OTHER_INT_INCOME_FFIEC" hidden="1">"c12988"</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 hidden="1">"c6247"</definedName>
    <definedName name="IQ_OTHER_INTAN_REIT" hidden="1">"c912"</definedName>
    <definedName name="IQ_OTHER_INTAN_UTI" hidden="1">"c913"</definedName>
    <definedName name="IQ_OTHER_INTANGIBLE_ASSETS_FFIEC" hidden="1">"c12837"</definedName>
    <definedName name="IQ_OTHER_INTANGIBLE_ASSETS_TOT_FFIEC" hidden="1">"c12840"</definedName>
    <definedName name="IQ_OTHER_INTANGIBLE_FDIC" hidden="1">"c6337"</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 hidden="1">"c6248"</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 hidden="1">"c6249"</definedName>
    <definedName name="IQ_OTHER_INVEST_ACT_SUPPL_REIT" hidden="1">"c927"</definedName>
    <definedName name="IQ_OTHER_INVEST_ACT_SUPPL_UTI" hidden="1">"c928"</definedName>
    <definedName name="IQ_OTHER_INVEST_ACT_UTI" hidden="1">"c929"</definedName>
    <definedName name="IQ_OTHER_INVESTING" hidden="1">"c916"</definedName>
    <definedName name="IQ_OTHER_LEASES_DUE_30_89_FFIEC" hidden="1">"c13278"</definedName>
    <definedName name="IQ_OTHER_LEASES_DUE_90_FFIEC" hidden="1">"c13304"</definedName>
    <definedName name="IQ_OTHER_LEASES_LL_REC_FFIEC" hidden="1">"c12896"</definedName>
    <definedName name="IQ_OTHER_LEASES_NON_ACCRUAL_FFIEC" hidden="1">"c13330"</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 hidden="1">"c6250"</definedName>
    <definedName name="IQ_OTHER_LIAB_LT_REIT" hidden="1">"c940"</definedName>
    <definedName name="IQ_OTHER_LIAB_LT_UTI" hidden="1">"c941"</definedName>
    <definedName name="IQ_OTHER_LIAB_RE" hidden="1">"c6251"</definedName>
    <definedName name="IQ_OTHER_LIAB_REIT" hidden="1">"c942"</definedName>
    <definedName name="IQ_OTHER_LIAB_UTI" hidden="1">"c943"</definedName>
    <definedName name="IQ_OTHER_LIAB_WRITTEN" hidden="1">"c944"</definedName>
    <definedName name="IQ_OTHER_LIABILITIES_FDIC" hidden="1">"c6347"</definedName>
    <definedName name="IQ_OTHER_LIABILITIES_FFIEC" hidden="1">"c12872"</definedName>
    <definedName name="IQ_OTHER_LIABILITIES_TOTAL_FFIEC" hidden="1">"c12869"</definedName>
    <definedName name="IQ_OTHER_LL_REC_FFIEC" hidden="1">"c12894"</definedName>
    <definedName name="IQ_OTHER_LOANS" hidden="1">"c945"</definedName>
    <definedName name="IQ_OTHER_LOANS_CHARGE_OFFS_FDIC" hidden="1">"c6601"</definedName>
    <definedName name="IQ_OTHER_LOANS_DUE_30_89_FFIEC" hidden="1">"c13275"</definedName>
    <definedName name="IQ_OTHER_LOANS_DUE_90_FFIEC" hidden="1">"c13301"</definedName>
    <definedName name="IQ_OTHER_LOANS_FFIEC" hidden="1">"c12825"</definedName>
    <definedName name="IQ_OTHER_LOANS_FOREIGN_FDIC" hidden="1">"c6446"</definedName>
    <definedName name="IQ_OTHER_LOANS_GROSS_LOANS_FFIEC" hidden="1">"c13414"</definedName>
    <definedName name="IQ_OTHER_LOANS_INDIVIDUALS_CHARGE_OFFS_FFIEC" hidden="1">"c13181"</definedName>
    <definedName name="IQ_OTHER_LOANS_INDIVIDUALS_DUE_30_89_FFIEC" hidden="1">"c13273"</definedName>
    <definedName name="IQ_OTHER_LOANS_INDIVIDUALS_DUE_90_FFIEC" hidden="1">"c13299"</definedName>
    <definedName name="IQ_OTHER_LOANS_INDIVIDUALS_NON_ACCRUAL_FFIEC" hidden="1">"c13325"</definedName>
    <definedName name="IQ_OTHER_LOANS_INDIVIDUALS_RECOV_FFIEC" hidden="1">"c13203"</definedName>
    <definedName name="IQ_OTHER_LOANS_LEASES_FDIC" hidden="1">"c6322"</definedName>
    <definedName name="IQ_OTHER_LOANS_LL_REC_DOM_FFIEC" hidden="1">"c12914"</definedName>
    <definedName name="IQ_OTHER_LOANS_NET_CHARGE_OFFS_FDIC" hidden="1">"c6639"</definedName>
    <definedName name="IQ_OTHER_LOANS_NON_ACCRUAL_FFIEC" hidden="1">"c13327"</definedName>
    <definedName name="IQ_OTHER_LOANS_RECOVERIES_FDIC" hidden="1">"c6620"</definedName>
    <definedName name="IQ_OTHER_LOANS_RISK_BASED_FFIEC" hidden="1">"c13435"</definedName>
    <definedName name="IQ_OTHER_LOANS_TOTAL_FDIC" hidden="1">"c6432"</definedName>
    <definedName name="IQ_OTHER_LOANS_TRADING_DOM_FFIEC" hidden="1">"c12936"</definedName>
    <definedName name="IQ_OTHER_LONG_TERM" hidden="1">"c946"</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 hidden="1">"c6252"</definedName>
    <definedName name="IQ_OTHER_LT_ASSETS_REIT" hidden="1">"c951"</definedName>
    <definedName name="IQ_OTHER_LT_ASSETS_UTI" hidden="1">"c952"</definedName>
    <definedName name="IQ_OTHER_MBS_AVAIL_SALE_FFIEC" hidden="1">"c12801"</definedName>
    <definedName name="IQ_OTHER_MBS_FFIEC" hidden="1">"c12787"</definedName>
    <definedName name="IQ_OTHER_MBS_ISSUED_FNMA_GNMA_TRADING_DOM_FFIEC" hidden="1">"c12922"</definedName>
    <definedName name="IQ_OTHER_MBS_ISSUED_FNMA_GNMA_TRADING_FFIEC" hidden="1">"c12817"</definedName>
    <definedName name="IQ_OTHER_MBS_TRADING_DOM_FFIEC" hidden="1">"c12923"</definedName>
    <definedName name="IQ_OTHER_MBS_TRADING_FFIEC" hidden="1">"c12818"</definedName>
    <definedName name="IQ_OTHER_NET" hidden="1">"c959"</definedName>
    <definedName name="IQ_OTHER_NON_INT_ALLOCATIONS_FFIEC" hidden="1">"c13065"</definedName>
    <definedName name="IQ_OTHER_NON_INT_EXP" hidden="1">"c953"</definedName>
    <definedName name="IQ_OTHER_NON_INT_EXP_FDIC" hidden="1">"c6578"</definedName>
    <definedName name="IQ_OTHER_NON_INT_EXP_FFIEC" hidden="1">"c13027"</definedName>
    <definedName name="IQ_OTHER_NON_INT_EXP_TOTAL" hidden="1">"c954"</definedName>
    <definedName name="IQ_OTHER_NON_INT_EXPENSE_FDIC" hidden="1">"c6679"</definedName>
    <definedName name="IQ_OTHER_NON_INT_INC" hidden="1">"c955"</definedName>
    <definedName name="IQ_OTHER_NON_INT_INC_FDIC" hidden="1">"c6676"</definedName>
    <definedName name="IQ_OTHER_NON_INT_INC_OPERATING_INC_FFIEC" hidden="1">"c13392"</definedName>
    <definedName name="IQ_OTHER_NON_INT_INCOME_FFIEC" hidden="1">"c13016"</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 hidden="1">"c6253"</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 hidden="1">"c6254"</definedName>
    <definedName name="IQ_OTHER_NON_OPER_EXP_SUPPL_REIT" hidden="1">"c965"</definedName>
    <definedName name="IQ_OTHER_NON_OPER_EXP_SUPPL_UTI" hidden="1">"c966"</definedName>
    <definedName name="IQ_OTHER_NON_OPER_EXP_UTI" hidden="1">"c967"</definedName>
    <definedName name="IQ_OTHER_NONFARM_NONRES_GROSS_LOANS_FFIEC" hidden="1">"c13407"</definedName>
    <definedName name="IQ_OTHER_NONFARM_NONRES_LL_REC_DOM_FFIEC" hidden="1">"c12907"</definedName>
    <definedName name="IQ_OTHER_NONFARM_NONRES_RISK_BASED_FFIEC" hidden="1">"c13428"</definedName>
    <definedName name="IQ_OTHER_OFF_BS_ITEMS_FFIEC" hidden="1">"c13126"</definedName>
    <definedName name="IQ_OTHER_OFF_BS_LIAB_FDIC" hidden="1">"c6533"</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 hidden="1">"c6255"</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 hidden="1">"c6256"</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 hidden="1">"c6257"</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 hidden="1">"c6258"</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ABLE_END_OS" hidden="1">"c5814"</definedName>
    <definedName name="IQ_OTHER_OPTIONS_EXERCISED" hidden="1">"c2688"</definedName>
    <definedName name="IQ_OTHER_OPTIONS_GRANTED" hidden="1">"c2687"</definedName>
    <definedName name="IQ_OTHER_OPTIONS_STRIKE_PRICE_BEG_OS" hidden="1">"c5815"</definedName>
    <definedName name="IQ_OTHER_OPTIONS_STRIKE_PRICE_CANCELLED" hidden="1">"c5817"</definedName>
    <definedName name="IQ_OTHER_OPTIONS_STRIKE_PRICE_EXERCISABLE" hidden="1">"c5818"</definedName>
    <definedName name="IQ_OTHER_OPTIONS_STRIKE_PRICE_EXERCISED" hidden="1">"c5816"</definedName>
    <definedName name="IQ_OTHER_OPTIONS_STRIKE_PRICE_OS" hidden="1">"c2691"</definedName>
    <definedName name="IQ_OTHER_OUTSTANDING_BS_DATE" hidden="1">"c1972"</definedName>
    <definedName name="IQ_OTHER_OUTSTANDING_FILING_DATE" hidden="1">"c1974"</definedName>
    <definedName name="IQ_OTHER_OVER_TOTAL" hidden="1">"c13770"</definedName>
    <definedName name="IQ_OTHER_PC_WRITTEN" hidden="1">"c1006"</definedName>
    <definedName name="IQ_OTHER_PROP" hidden="1">"c8764"</definedName>
    <definedName name="IQ_OTHER_RE_OWNED_FDIC" hidden="1">"c6330"</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 hidden="1">"c6259"</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 hidden="1">"c6260"</definedName>
    <definedName name="IQ_OTHER_REV_SUPPL_REIT" hidden="1">"c1019"</definedName>
    <definedName name="IQ_OTHER_REV_SUPPL_UTI" hidden="1">"c1020"</definedName>
    <definedName name="IQ_OTHER_REV_UTI" hidden="1">"c1021"</definedName>
    <definedName name="IQ_OTHER_REVENUE" hidden="1">"c1010"</definedName>
    <definedName name="IQ_OTHER_REVOL_CREDIT_CONSUMER_LOANS_FFIEC" hidden="1">"c12823"</definedName>
    <definedName name="IQ_OTHER_REVOLVING_CREDIT_LL_REC_FFIEC" hidden="1">"c12890"</definedName>
    <definedName name="IQ_OTHER_REVOLVING_CREDIT_LOANS_TRADING_DOM_FFIEC" hidden="1">"c12934"</definedName>
    <definedName name="IQ_OTHER_ROOMS" hidden="1">"c8788"</definedName>
    <definedName name="IQ_OTHER_SAVINGS_DEPOSITS_FDIC" hidden="1">"c6554"</definedName>
    <definedName name="IQ_OTHER_SQ_FT" hidden="1">"c8780"</definedName>
    <definedName name="IQ_OTHER_STRIKE_PRICE_GRANTED" hidden="1">"c2692"</definedName>
    <definedName name="IQ_OTHER_TAX_EQUIVALENT_ADJUSTMENTS_FFIEC" hidden="1">"c13855"</definedName>
    <definedName name="IQ_OTHER_TRADING_ASSETS_FFIEC" hidden="1">"c12826"</definedName>
    <definedName name="IQ_OTHER_TRADING_ASSETS_TOTAL_FFIEC" hidden="1">"c12937"</definedName>
    <definedName name="IQ_OTHER_TRADING_LIABILITIES_FFIEC" hidden="1">"c12860"</definedName>
    <definedName name="IQ_OTHER_TRANSACTIONS_FDIC" hidden="1">"c6504"</definedName>
    <definedName name="IQ_OTHER_UNDRAWN" hidden="1">"c2522"</definedName>
    <definedName name="IQ_OTHER_UNITS" hidden="1">"c8772"</definedName>
    <definedName name="IQ_OTHER_UNUSED_COMMITMENTS_FDIC" hidden="1">"c6530"</definedName>
    <definedName name="IQ_OTHER_UNUSED_FFIEC" hidden="1">"c13248"</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 hidden="1">"c6282"</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 hidden="1">"c6281"</definedName>
    <definedName name="IQ_OTHER_UNUSUAL_SUPPL_REIT" hidden="1">"c1499"</definedName>
    <definedName name="IQ_OTHER_UNUSUAL_SUPPL_UTI" hidden="1">"c1500"</definedName>
    <definedName name="IQ_OTHER_UNUSUAL_SUPPLE" hidden="1">"c13816"</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"c1022"</definedName>
    <definedName name="IQ_OUTSTANDING_FILING_DATE" hidden="1">"c1023"</definedName>
    <definedName name="IQ_OVER_FIFETEEN_YEAR_MORTGAGE_PASS_THROUGHS_FDIC" hidden="1">"c6416"</definedName>
    <definedName name="IQ_OVER_FIFTEEN_YEAR_FIXED_AND_FLOATING_RATE_FDIC" hidden="1">"c6424"</definedName>
    <definedName name="IQ_OVER_THREE_YEARS_FDIC" hidden="1">"c6418"</definedName>
    <definedName name="IQ_OVERHEAD_EXP_AVG_ASSETS_FFIEC" hidden="1">"c13361"</definedName>
    <definedName name="IQ_OVERHEAD_EXP_REV_FFIEC" hidden="1">"c13494"</definedName>
    <definedName name="IQ_OVERHEAD_NON_INT_INC_AVG_ASSETS_FFIEC" hidden="1">"c13374"</definedName>
    <definedName name="IQ_OVERHEAD_NON_INT_OPERATING_INC_FFIEC" hidden="1">"c13393"</definedName>
    <definedName name="IQ_OVERHEAD_OPERATING_INC_FFIEC" hidden="1">"c13378"</definedName>
    <definedName name="IQ_OWNER_OCCUPIED_GROSS_LOANS_FFIEC" hidden="1">"c13406"</definedName>
    <definedName name="IQ_OWNER_OCCUPIED_LOANS_RISK_BASED_FFIEC" hidden="1">"c13427"</definedName>
    <definedName name="IQ_OWNER_OCCUPIED_NONFARM_NONRES_LL_REC_DOM_FFIEC" hidden="1">"c12906"</definedName>
    <definedName name="IQ_OWNERSHIP" hidden="1">"c2160"</definedName>
    <definedName name="IQ_PART_TIME" hidden="1">"c1024"</definedName>
    <definedName name="IQ_PARTICIPATION_POOLS_RESIDENTIAL_MORTGAGES_FDIC" hidden="1">"c6403"</definedName>
    <definedName name="IQ_PARTICIPATIONS_ACCEPTANCES_FFIEC" hidden="1">"c13254"</definedName>
    <definedName name="IQ_PARTNERSHIP_INC_RE" hidden="1">"c12039"</definedName>
    <definedName name="IQ_PASS_THROUGH_FNMA_GNMA_TRADING_FFIEC" hidden="1">"c12816"</definedName>
    <definedName name="IQ_PAST_DUE_30_1_4_FAMILY_LOANS_FDIC" hidden="1">"c6693"</definedName>
    <definedName name="IQ_PAST_DUE_30_AUTO_LOANS_FDIC" hidden="1">"c6687"</definedName>
    <definedName name="IQ_PAST_DUE_30_CL_LOANS_FDIC" hidden="1">"c6688"</definedName>
    <definedName name="IQ_PAST_DUE_30_CREDIT_CARDS_RECEIVABLES_FDIC" hidden="1">"c6690"</definedName>
    <definedName name="IQ_PAST_DUE_30_HOME_EQUITY_LINES_FDIC" hidden="1">"c6691"</definedName>
    <definedName name="IQ_PAST_DUE_30_OTHER_CONSUMER_LOANS_FDIC" hidden="1">"c6689"</definedName>
    <definedName name="IQ_PAST_DUE_30_OTHER_LOANS_FDIC" hidden="1">"c6692"</definedName>
    <definedName name="IQ_PAST_DUE_90_1_4_FAMILY_LOANS_FDIC" hidden="1">"c6700"</definedName>
    <definedName name="IQ_PAST_DUE_90_AUTO_LOANS_FDIC" hidden="1">"c6694"</definedName>
    <definedName name="IQ_PAST_DUE_90_CL_LOANS_FDIC" hidden="1">"c6695"</definedName>
    <definedName name="IQ_PAST_DUE_90_CREDIT_CARDS_RECEIVABLES_FDIC" hidden="1">"c6697"</definedName>
    <definedName name="IQ_PAST_DUE_90_HOME_EQUITY_LINES_FDIC" hidden="1">"c6698"</definedName>
    <definedName name="IQ_PAST_DUE_90_OTHER_CONSUMER_LOANS_FDIC" hidden="1">"c6696"</definedName>
    <definedName name="IQ_PAST_DUE_90_OTHER_LOANS_FDIC" hidden="1">"c6699"</definedName>
    <definedName name="IQ_PAST_DUE_ALLOW_GROSS_LOANS_FFIEC" hidden="1">"c13416"</definedName>
    <definedName name="IQ_PAY_ACCRUED" hidden="1">"c8"</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CIQ" hidden="1">"c4042"</definedName>
    <definedName name="IQ_PE_EXCL_FWD_REUT" hidden="1">"c4049"</definedName>
    <definedName name="IQ_PE_EXCL_FWD_THOM" hidden="1">"c4056"</definedName>
    <definedName name="IQ_PE_NORMALIZED" hidden="1">"c2207"</definedName>
    <definedName name="IQ_PE_RATIO" hidden="1">"c1610"</definedName>
    <definedName name="IQ_PEG_FWD" hidden="1">"c1863"</definedName>
    <definedName name="IQ_PEG_FWD_CIQ" hidden="1">"c4045"</definedName>
    <definedName name="IQ_PEG_FWD_REUT" hidden="1">"c4052"</definedName>
    <definedName name="IQ_PEG_FWD_THOM" hidden="1">"c4059"</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CT_NEXT" hidden="1">"c5738"</definedName>
    <definedName name="IQ_PENSION_ACT_NEXT_DOM" hidden="1">"c5736"</definedName>
    <definedName name="IQ_PENSION_ACT_NEXT_FOREIGN" hidden="1">"c5737"</definedName>
    <definedName name="IQ_PENSION_AMT_RECOG_NEXT_DOM" hidden="1">"c5745"</definedName>
    <definedName name="IQ_PENSION_AMT_RECOG_NEXT_FOREIGN" hidden="1">"c5746"</definedName>
    <definedName name="IQ_PENSION_AMT_RECOG_PERIOD" hidden="1">"c5747"</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I_ACT" hidden="1">"c5723"</definedName>
    <definedName name="IQ_PENSION_CI_ACT_DOM" hidden="1">"c5721"</definedName>
    <definedName name="IQ_PENSION_CI_ACT_FOREIGN" hidden="1">"c5722"</definedName>
    <definedName name="IQ_PENSION_CI_NET_AMT_RECOG" hidden="1">"c5735"</definedName>
    <definedName name="IQ_PENSION_CI_NET_AMT_RECOG_DOM" hidden="1">"c5733"</definedName>
    <definedName name="IQ_PENSION_CI_NET_AMT_RECOG_FOREIGN" hidden="1">"c5734"</definedName>
    <definedName name="IQ_PENSION_CI_OTHER_MISC_ADJ" hidden="1">"c5732"</definedName>
    <definedName name="IQ_PENSION_CI_OTHER_MISC_ADJ_DOM" hidden="1">"c5730"</definedName>
    <definedName name="IQ_PENSION_CI_OTHER_MISC_ADJ_FOREIGN" hidden="1">"c5731"</definedName>
    <definedName name="IQ_PENSION_CI_PRIOR_SERVICE" hidden="1">"c5726"</definedName>
    <definedName name="IQ_PENSION_CI_PRIOR_SERVICE_DOM" hidden="1">"c5724"</definedName>
    <definedName name="IQ_PENSION_CI_PRIOR_SERVICE_FOREIGN" hidden="1">"c5725"</definedName>
    <definedName name="IQ_PENSION_CI_TRANSITION" hidden="1">"c5729"</definedName>
    <definedName name="IQ_PENSION_CI_TRANSITION_DOM" hidden="1">"c5727"</definedName>
    <definedName name="IQ_PENSION_CI_TRANSITION_FOREIGN" hidden="1">"c5728"</definedName>
    <definedName name="IQ_PENSION_CL" hidden="1">"c5753"</definedName>
    <definedName name="IQ_PENSION_CL_DOM" hidden="1">"c5751"</definedName>
    <definedName name="IQ_PENSION_CL_FOREIGN" hidden="1">"c5752"</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LT_ASSETS" hidden="1">"c5750"</definedName>
    <definedName name="IQ_PENSION_LT_ASSETS_DOM" hidden="1">"c5748"</definedName>
    <definedName name="IQ_PENSION_LT_ASSETS_FOREIGN" hidden="1">"c5749"</definedName>
    <definedName name="IQ_PENSION_LT_LIAB" hidden="1">"c5756"</definedName>
    <definedName name="IQ_PENSION_LT_LIAB_DOM" hidden="1">"c5754"</definedName>
    <definedName name="IQ_PENSION_LT_LIAB_FOREIGN" hidden="1">"c5755"</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IOR_SERVICE_NEXT" hidden="1">"c5741"</definedName>
    <definedName name="IQ_PENSION_PRIOR_SERVICE_NEXT_DOM" hidden="1">"c5739"</definedName>
    <definedName name="IQ_PENSION_PRIOR_SERVICE_NEXT_FOREIGN" hidden="1">"c5740"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TRANSITION_NEXT" hidden="1">"c5744"</definedName>
    <definedName name="IQ_PENSION_TRANSITION_NEXT_DOM" hidden="1">"c5742"</definedName>
    <definedName name="IQ_PENSION_TRANSITION_NEXT_FOREIGN" hidden="1">"c5743"</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CENT_CHANGE_EST_5YR_GROWTH_RATE_12MONTHS" hidden="1">"c1852"</definedName>
    <definedName name="IQ_PERCENT_CHANGE_EST_5YR_GROWTH_RATE_12MONTHS_CIQ" hidden="1">"c3790"</definedName>
    <definedName name="IQ_PERCENT_CHANGE_EST_5YR_GROWTH_RATE_12MONTHS_THOM" hidden="1">"c5269"</definedName>
    <definedName name="IQ_PERCENT_CHANGE_EST_5YR_GROWTH_RATE_18MONTHS" hidden="1">"c1853"</definedName>
    <definedName name="IQ_PERCENT_CHANGE_EST_5YR_GROWTH_RATE_18MONTHS_CIQ" hidden="1">"c3791"</definedName>
    <definedName name="IQ_PERCENT_CHANGE_EST_5YR_GROWTH_RATE_18MONTHS_THOM" hidden="1">"c5270"</definedName>
    <definedName name="IQ_PERCENT_CHANGE_EST_5YR_GROWTH_RATE_3MONTHS" hidden="1">"c1849"</definedName>
    <definedName name="IQ_PERCENT_CHANGE_EST_5YR_GROWTH_RATE_3MONTHS_CIQ" hidden="1">"c3787"</definedName>
    <definedName name="IQ_PERCENT_CHANGE_EST_5YR_GROWTH_RATE_3MONTHS_THOM" hidden="1">"c5266"</definedName>
    <definedName name="IQ_PERCENT_CHANGE_EST_5YR_GROWTH_RATE_6MONTHS" hidden="1">"c1850"</definedName>
    <definedName name="IQ_PERCENT_CHANGE_EST_5YR_GROWTH_RATE_6MONTHS_CIQ" hidden="1">"c3788"</definedName>
    <definedName name="IQ_PERCENT_CHANGE_EST_5YR_GROWTH_RATE_6MONTHS_THOM" hidden="1">"c5267"</definedName>
    <definedName name="IQ_PERCENT_CHANGE_EST_5YR_GROWTH_RATE_9MONTHS" hidden="1">"c1851"</definedName>
    <definedName name="IQ_PERCENT_CHANGE_EST_5YR_GROWTH_RATE_9MONTHS_CIQ" hidden="1">"c3789"</definedName>
    <definedName name="IQ_PERCENT_CHANGE_EST_5YR_GROWTH_RATE_9MONTHS_THOM" hidden="1">"c5268"</definedName>
    <definedName name="IQ_PERCENT_CHANGE_EST_5YR_GROWTH_RATE_DAY" hidden="1">"c1846"</definedName>
    <definedName name="IQ_PERCENT_CHANGE_EST_5YR_GROWTH_RATE_DAY_CIQ" hidden="1">"c3785"</definedName>
    <definedName name="IQ_PERCENT_CHANGE_EST_5YR_GROWTH_RATE_DAY_THOM" hidden="1">"c5264"</definedName>
    <definedName name="IQ_PERCENT_CHANGE_EST_5YR_GROWTH_RATE_MONTH" hidden="1">"c1848"</definedName>
    <definedName name="IQ_PERCENT_CHANGE_EST_5YR_GROWTH_RATE_MONTH_CIQ" hidden="1">"c3786"</definedName>
    <definedName name="IQ_PERCENT_CHANGE_EST_5YR_GROWTH_RATE_MONTH_THOM" hidden="1">"c5265"</definedName>
    <definedName name="IQ_PERCENT_CHANGE_EST_5YR_GROWTH_RATE_WEEK" hidden="1">"c1847"</definedName>
    <definedName name="IQ_PERCENT_CHANGE_EST_5YR_GROWTH_RATE_WEEK_CIQ" hidden="1">"c3797"</definedName>
    <definedName name="IQ_PERCENT_CHANGE_EST_5YR_GROWTH_RATE_WEEK_THOM" hidden="1">"c5277"</definedName>
    <definedName name="IQ_PERCENT_CHANGE_EST_CFPS_12MONTHS" hidden="1">"c1812"</definedName>
    <definedName name="IQ_PERCENT_CHANGE_EST_CFPS_12MONTHS_THOM" hidden="1">"c5234"</definedName>
    <definedName name="IQ_PERCENT_CHANGE_EST_CFPS_18MONTHS" hidden="1">"c1813"</definedName>
    <definedName name="IQ_PERCENT_CHANGE_EST_CFPS_18MONTHS_THOM" hidden="1">"c5235"</definedName>
    <definedName name="IQ_PERCENT_CHANGE_EST_CFPS_3MONTHS" hidden="1">"c1809"</definedName>
    <definedName name="IQ_PERCENT_CHANGE_EST_CFPS_3MONTHS_THOM" hidden="1">"c5231"</definedName>
    <definedName name="IQ_PERCENT_CHANGE_EST_CFPS_6MONTHS" hidden="1">"c1810"</definedName>
    <definedName name="IQ_PERCENT_CHANGE_EST_CFPS_6MONTHS_THOM" hidden="1">"c5232"</definedName>
    <definedName name="IQ_PERCENT_CHANGE_EST_CFPS_9MONTHS" hidden="1">"c1811"</definedName>
    <definedName name="IQ_PERCENT_CHANGE_EST_CFPS_9MONTHS_THOM" hidden="1">"c5233"</definedName>
    <definedName name="IQ_PERCENT_CHANGE_EST_CFPS_DAY" hidden="1">"c1806"</definedName>
    <definedName name="IQ_PERCENT_CHANGE_EST_CFPS_DAY_THOM" hidden="1">"c5229"</definedName>
    <definedName name="IQ_PERCENT_CHANGE_EST_CFPS_MONTH" hidden="1">"c1808"</definedName>
    <definedName name="IQ_PERCENT_CHANGE_EST_CFPS_MONTH_THOM" hidden="1">"c5230"</definedName>
    <definedName name="IQ_PERCENT_CHANGE_EST_CFPS_WEEK" hidden="1">"c1807"</definedName>
    <definedName name="IQ_PERCENT_CHANGE_EST_CFPS_WEEK_THOM" hidden="1">"c5272"</definedName>
    <definedName name="IQ_PERCENT_CHANGE_EST_DPS_12MONTHS" hidden="1">"c1820"</definedName>
    <definedName name="IQ_PERCENT_CHANGE_EST_DPS_12MONTHS_THOM" hidden="1">"c5241"</definedName>
    <definedName name="IQ_PERCENT_CHANGE_EST_DPS_18MONTHS" hidden="1">"c1821"</definedName>
    <definedName name="IQ_PERCENT_CHANGE_EST_DPS_18MONTHS_THOM" hidden="1">"c5242"</definedName>
    <definedName name="IQ_PERCENT_CHANGE_EST_DPS_3MONTHS" hidden="1">"c1817"</definedName>
    <definedName name="IQ_PERCENT_CHANGE_EST_DPS_3MONTHS_THOM" hidden="1">"c5238"</definedName>
    <definedName name="IQ_PERCENT_CHANGE_EST_DPS_6MONTHS" hidden="1">"c1818"</definedName>
    <definedName name="IQ_PERCENT_CHANGE_EST_DPS_6MONTHS_THOM" hidden="1">"c5239"</definedName>
    <definedName name="IQ_PERCENT_CHANGE_EST_DPS_9MONTHS" hidden="1">"c1819"</definedName>
    <definedName name="IQ_PERCENT_CHANGE_EST_DPS_9MONTHS_THOM" hidden="1">"c5240"</definedName>
    <definedName name="IQ_PERCENT_CHANGE_EST_DPS_DAY" hidden="1">"c1814"</definedName>
    <definedName name="IQ_PERCENT_CHANGE_EST_DPS_DAY_THOM" hidden="1">"c5236"</definedName>
    <definedName name="IQ_PERCENT_CHANGE_EST_DPS_MONTH" hidden="1">"c1816"</definedName>
    <definedName name="IQ_PERCENT_CHANGE_EST_DPS_MONTH_THOM" hidden="1">"c5237"</definedName>
    <definedName name="IQ_PERCENT_CHANGE_EST_DPS_WEEK" hidden="1">"c1815"</definedName>
    <definedName name="IQ_PERCENT_CHANGE_EST_DPS_WEEK_THOM" hidden="1">"c5273"</definedName>
    <definedName name="IQ_PERCENT_CHANGE_EST_EBITDA_12MONTHS" hidden="1">"c1804"</definedName>
    <definedName name="IQ_PERCENT_CHANGE_EST_EBITDA_12MONTHS_CIQ" hidden="1">"c3748"</definedName>
    <definedName name="IQ_PERCENT_CHANGE_EST_EBITDA_12MONTHS_THOM" hidden="1">"c5227"</definedName>
    <definedName name="IQ_PERCENT_CHANGE_EST_EBITDA_18MONTHS" hidden="1">"c1805"</definedName>
    <definedName name="IQ_PERCENT_CHANGE_EST_EBITDA_18MONTHS_CIQ" hidden="1">"c3749"</definedName>
    <definedName name="IQ_PERCENT_CHANGE_EST_EBITDA_18MONTHS_THOM" hidden="1">"c5228"</definedName>
    <definedName name="IQ_PERCENT_CHANGE_EST_EBITDA_3MONTHS" hidden="1">"c1801"</definedName>
    <definedName name="IQ_PERCENT_CHANGE_EST_EBITDA_3MONTHS_CIQ" hidden="1">"c3745"</definedName>
    <definedName name="IQ_PERCENT_CHANGE_EST_EBITDA_3MONTHS_THOM" hidden="1">"c5224"</definedName>
    <definedName name="IQ_PERCENT_CHANGE_EST_EBITDA_6MONTHS" hidden="1">"c1802"</definedName>
    <definedName name="IQ_PERCENT_CHANGE_EST_EBITDA_6MONTHS_CIQ" hidden="1">"c3746"</definedName>
    <definedName name="IQ_PERCENT_CHANGE_EST_EBITDA_6MONTHS_THOM" hidden="1">"c5225"</definedName>
    <definedName name="IQ_PERCENT_CHANGE_EST_EBITDA_9MONTHS" hidden="1">"c1803"</definedName>
    <definedName name="IQ_PERCENT_CHANGE_EST_EBITDA_9MONTHS_CIQ" hidden="1">"c3747"</definedName>
    <definedName name="IQ_PERCENT_CHANGE_EST_EBITDA_9MONTHS_THOM" hidden="1">"c5226"</definedName>
    <definedName name="IQ_PERCENT_CHANGE_EST_EBITDA_DAY" hidden="1">"c1798"</definedName>
    <definedName name="IQ_PERCENT_CHANGE_EST_EBITDA_DAY_CIQ" hidden="1">"c3743"</definedName>
    <definedName name="IQ_PERCENT_CHANGE_EST_EBITDA_DAY_THOM" hidden="1">"c5222"</definedName>
    <definedName name="IQ_PERCENT_CHANGE_EST_EBITDA_MONTH" hidden="1">"c1800"</definedName>
    <definedName name="IQ_PERCENT_CHANGE_EST_EBITDA_MONTH_CIQ" hidden="1">"c3744"</definedName>
    <definedName name="IQ_PERCENT_CHANGE_EST_EBITDA_MONTH_THOM" hidden="1">"c5223"</definedName>
    <definedName name="IQ_PERCENT_CHANGE_EST_EBITDA_WEEK" hidden="1">"c1799"</definedName>
    <definedName name="IQ_PERCENT_CHANGE_EST_EBITDA_WEEK_CIQ" hidden="1">"c3792"</definedName>
    <definedName name="IQ_PERCENT_CHANGE_EST_EBITDA_WEEK_THOM" hidden="1">"c5271"</definedName>
    <definedName name="IQ_PERCENT_CHANGE_EST_EPS_12MONTHS" hidden="1">"c1788"</definedName>
    <definedName name="IQ_PERCENT_CHANGE_EST_EPS_12MONTHS_CIQ" hidden="1">"c3733"</definedName>
    <definedName name="IQ_PERCENT_CHANGE_EST_EPS_12MONTHS_THOM" hidden="1">"c5212"</definedName>
    <definedName name="IQ_PERCENT_CHANGE_EST_EPS_18MONTHS" hidden="1">"c1789"</definedName>
    <definedName name="IQ_PERCENT_CHANGE_EST_EPS_18MONTHS_CIQ" hidden="1">"c3734"</definedName>
    <definedName name="IQ_PERCENT_CHANGE_EST_EPS_18MONTHS_THOM" hidden="1">"c5213"</definedName>
    <definedName name="IQ_PERCENT_CHANGE_EST_EPS_3MONTHS" hidden="1">"c1785"</definedName>
    <definedName name="IQ_PERCENT_CHANGE_EST_EPS_3MONTHS_CIQ" hidden="1">"c3730"</definedName>
    <definedName name="IQ_PERCENT_CHANGE_EST_EPS_3MONTHS_THOM" hidden="1">"c5209"</definedName>
    <definedName name="IQ_PERCENT_CHANGE_EST_EPS_6MONTHS" hidden="1">"c1786"</definedName>
    <definedName name="IQ_PERCENT_CHANGE_EST_EPS_6MONTHS_CIQ" hidden="1">"c3731"</definedName>
    <definedName name="IQ_PERCENT_CHANGE_EST_EPS_6MONTHS_THOM" hidden="1">"c5210"</definedName>
    <definedName name="IQ_PERCENT_CHANGE_EST_EPS_9MONTHS" hidden="1">"c1787"</definedName>
    <definedName name="IQ_PERCENT_CHANGE_EST_EPS_9MONTHS_CIQ" hidden="1">"c3732"</definedName>
    <definedName name="IQ_PERCENT_CHANGE_EST_EPS_9MONTHS_THOM" hidden="1">"c5211"</definedName>
    <definedName name="IQ_PERCENT_CHANGE_EST_EPS_DAY" hidden="1">"c1782"</definedName>
    <definedName name="IQ_PERCENT_CHANGE_EST_EPS_DAY_CIQ" hidden="1">"c3727"</definedName>
    <definedName name="IQ_PERCENT_CHANGE_EST_EPS_DAY_THOM" hidden="1">"c5206"</definedName>
    <definedName name="IQ_PERCENT_CHANGE_EST_EPS_MONTH" hidden="1">"c1784"</definedName>
    <definedName name="IQ_PERCENT_CHANGE_EST_EPS_MONTH_CIQ" hidden="1">"c3729"</definedName>
    <definedName name="IQ_PERCENT_CHANGE_EST_EPS_MONTH_THOM" hidden="1">"c5208"</definedName>
    <definedName name="IQ_PERCENT_CHANGE_EST_EPS_WEEK" hidden="1">"c1783"</definedName>
    <definedName name="IQ_PERCENT_CHANGE_EST_EPS_WEEK_CIQ" hidden="1">"c3728"</definedName>
    <definedName name="IQ_PERCENT_CHANGE_EST_EPS_WEEK_THOM" hidden="1">"c5207"</definedName>
    <definedName name="IQ_PERCENT_CHANGE_EST_FFO_SHARE_12MONTHS" hidden="1">"c1828"</definedName>
    <definedName name="IQ_PERCENT_CHANGE_EST_FFO_SHARE_12MONTHS_THOM" hidden="1">"c5248"</definedName>
    <definedName name="IQ_PERCENT_CHANGE_EST_FFO_SHARE_18MONTHS" hidden="1">"c1829"</definedName>
    <definedName name="IQ_PERCENT_CHANGE_EST_FFO_SHARE_18MONTHS_THOM" hidden="1">"c5249"</definedName>
    <definedName name="IQ_PERCENT_CHANGE_EST_FFO_SHARE_3MONTHS" hidden="1">"c1825"</definedName>
    <definedName name="IQ_PERCENT_CHANGE_EST_FFO_SHARE_3MONTHS_THOM" hidden="1">"c5245"</definedName>
    <definedName name="IQ_PERCENT_CHANGE_EST_FFO_SHARE_6MONTHS" hidden="1">"c1826"</definedName>
    <definedName name="IQ_PERCENT_CHANGE_EST_FFO_SHARE_6MONTHS_THOM" hidden="1">"c5246"</definedName>
    <definedName name="IQ_PERCENT_CHANGE_EST_FFO_SHARE_9MONTHS" hidden="1">"c1827"</definedName>
    <definedName name="IQ_PERCENT_CHANGE_EST_FFO_SHARE_9MONTHS_THOM" hidden="1">"c5247"</definedName>
    <definedName name="IQ_PERCENT_CHANGE_EST_FFO_SHARE_DAY" hidden="1">"c1822"</definedName>
    <definedName name="IQ_PERCENT_CHANGE_EST_FFO_SHARE_DAY_THOM" hidden="1">"c5243"</definedName>
    <definedName name="IQ_PERCENT_CHANGE_EST_FFO_SHARE_MONTH" hidden="1">"c1824"</definedName>
    <definedName name="IQ_PERCENT_CHANGE_EST_FFO_SHARE_MONTH_THOM" hidden="1">"c5244"</definedName>
    <definedName name="IQ_PERCENT_CHANGE_EST_FFO_SHARE_WEEK" hidden="1">"c1823"</definedName>
    <definedName name="IQ_PERCENT_CHANGE_EST_FFO_SHARE_WEEK_THOM" hidden="1">"c5274"</definedName>
    <definedName name="IQ_PERCENT_CHANGE_EST_PRICE_TARGET_12MONTHS" hidden="1">"c1844"</definedName>
    <definedName name="IQ_PERCENT_CHANGE_EST_PRICE_TARGET_12MONTHS_CIQ" hidden="1">"c3783"</definedName>
    <definedName name="IQ_PERCENT_CHANGE_EST_PRICE_TARGET_12MONTHS_THOM" hidden="1">"c5262"</definedName>
    <definedName name="IQ_PERCENT_CHANGE_EST_PRICE_TARGET_18MONTHS" hidden="1">"c1845"</definedName>
    <definedName name="IQ_PERCENT_CHANGE_EST_PRICE_TARGET_18MONTHS_CIQ" hidden="1">"c3784"</definedName>
    <definedName name="IQ_PERCENT_CHANGE_EST_PRICE_TARGET_18MONTHS_THOM" hidden="1">"c5263"</definedName>
    <definedName name="IQ_PERCENT_CHANGE_EST_PRICE_TARGET_3MONTHS" hidden="1">"c1841"</definedName>
    <definedName name="IQ_PERCENT_CHANGE_EST_PRICE_TARGET_3MONTHS_CIQ" hidden="1">"c3780"</definedName>
    <definedName name="IQ_PERCENT_CHANGE_EST_PRICE_TARGET_3MONTHS_THOM" hidden="1">"c5259"</definedName>
    <definedName name="IQ_PERCENT_CHANGE_EST_PRICE_TARGET_6MONTHS" hidden="1">"c1842"</definedName>
    <definedName name="IQ_PERCENT_CHANGE_EST_PRICE_TARGET_6MONTHS_CIQ" hidden="1">"c3781"</definedName>
    <definedName name="IQ_PERCENT_CHANGE_EST_PRICE_TARGET_6MONTHS_THOM" hidden="1">"c5260"</definedName>
    <definedName name="IQ_PERCENT_CHANGE_EST_PRICE_TARGET_9MONTHS" hidden="1">"c1843"</definedName>
    <definedName name="IQ_PERCENT_CHANGE_EST_PRICE_TARGET_9MONTHS_CIQ" hidden="1">"c3782"</definedName>
    <definedName name="IQ_PERCENT_CHANGE_EST_PRICE_TARGET_9MONTHS_THOM" hidden="1">"c5261"</definedName>
    <definedName name="IQ_PERCENT_CHANGE_EST_PRICE_TARGET_DAY" hidden="1">"c1838"</definedName>
    <definedName name="IQ_PERCENT_CHANGE_EST_PRICE_TARGET_DAY_CIQ" hidden="1">"c3778"</definedName>
    <definedName name="IQ_PERCENT_CHANGE_EST_PRICE_TARGET_DAY_THOM" hidden="1">"c5257"</definedName>
    <definedName name="IQ_PERCENT_CHANGE_EST_PRICE_TARGET_MONTH" hidden="1">"c1840"</definedName>
    <definedName name="IQ_PERCENT_CHANGE_EST_PRICE_TARGET_MONTH_CIQ" hidden="1">"c3779"</definedName>
    <definedName name="IQ_PERCENT_CHANGE_EST_PRICE_TARGET_MONTH_THOM" hidden="1">"c5258"</definedName>
    <definedName name="IQ_PERCENT_CHANGE_EST_PRICE_TARGET_WEEK" hidden="1">"c1839"</definedName>
    <definedName name="IQ_PERCENT_CHANGE_EST_PRICE_TARGET_WEEK_CIQ" hidden="1">"c3798"</definedName>
    <definedName name="IQ_PERCENT_CHANGE_EST_PRICE_TARGET_WEEK_THOM" hidden="1">"c5276"</definedName>
    <definedName name="IQ_PERCENT_CHANGE_EST_RECO_12MONTHS" hidden="1">"c1836"</definedName>
    <definedName name="IQ_PERCENT_CHANGE_EST_RECO_12MONTHS_CIQ" hidden="1">"c3776"</definedName>
    <definedName name="IQ_PERCENT_CHANGE_EST_RECO_12MONTHS_THOM" hidden="1">"c5255"</definedName>
    <definedName name="IQ_PERCENT_CHANGE_EST_RECO_18MONTHS" hidden="1">"c1837"</definedName>
    <definedName name="IQ_PERCENT_CHANGE_EST_RECO_18MONTHS_CIQ" hidden="1">"c3777"</definedName>
    <definedName name="IQ_PERCENT_CHANGE_EST_RECO_18MONTHS_THOM" hidden="1">"c5256"</definedName>
    <definedName name="IQ_PERCENT_CHANGE_EST_RECO_3MONTHS" hidden="1">"c1833"</definedName>
    <definedName name="IQ_PERCENT_CHANGE_EST_RECO_3MONTHS_CIQ" hidden="1">"c3773"</definedName>
    <definedName name="IQ_PERCENT_CHANGE_EST_RECO_3MONTHS_THOM" hidden="1">"c5252"</definedName>
    <definedName name="IQ_PERCENT_CHANGE_EST_RECO_6MONTHS" hidden="1">"c1834"</definedName>
    <definedName name="IQ_PERCENT_CHANGE_EST_RECO_6MONTHS_CIQ" hidden="1">"c3774"</definedName>
    <definedName name="IQ_PERCENT_CHANGE_EST_RECO_6MONTHS_THOM" hidden="1">"c5253"</definedName>
    <definedName name="IQ_PERCENT_CHANGE_EST_RECO_9MONTHS" hidden="1">"c1835"</definedName>
    <definedName name="IQ_PERCENT_CHANGE_EST_RECO_9MONTHS_CIQ" hidden="1">"c3775"</definedName>
    <definedName name="IQ_PERCENT_CHANGE_EST_RECO_9MONTHS_THOM" hidden="1">"c5254"</definedName>
    <definedName name="IQ_PERCENT_CHANGE_EST_RECO_DAY" hidden="1">"c1830"</definedName>
    <definedName name="IQ_PERCENT_CHANGE_EST_RECO_DAY_CIQ" hidden="1">"c3771"</definedName>
    <definedName name="IQ_PERCENT_CHANGE_EST_RECO_DAY_THOM" hidden="1">"c5250"</definedName>
    <definedName name="IQ_PERCENT_CHANGE_EST_RECO_MONTH" hidden="1">"c1832"</definedName>
    <definedName name="IQ_PERCENT_CHANGE_EST_RECO_MONTH_CIQ" hidden="1">"c3772"</definedName>
    <definedName name="IQ_PERCENT_CHANGE_EST_RECO_MONTH_THOM" hidden="1">"c5251"</definedName>
    <definedName name="IQ_PERCENT_CHANGE_EST_RECO_WEEK" hidden="1">"c1831"</definedName>
    <definedName name="IQ_PERCENT_CHANGE_EST_RECO_WEEK_CIQ" hidden="1">"c3796"</definedName>
    <definedName name="IQ_PERCENT_CHANGE_EST_RECO_WEEK_THOM" hidden="1">"c5275"</definedName>
    <definedName name="IQ_PERCENT_CHANGE_EST_REV_12MONTHS" hidden="1">"c1796"</definedName>
    <definedName name="IQ_PERCENT_CHANGE_EST_REV_12MONTHS_CIQ" hidden="1">"c3741"</definedName>
    <definedName name="IQ_PERCENT_CHANGE_EST_REV_12MONTHS_THOM" hidden="1">"c5220"</definedName>
    <definedName name="IQ_PERCENT_CHANGE_EST_REV_18MONTHS" hidden="1">"c1797"</definedName>
    <definedName name="IQ_PERCENT_CHANGE_EST_REV_18MONTHS_CIQ" hidden="1">"c3742"</definedName>
    <definedName name="IQ_PERCENT_CHANGE_EST_REV_18MONTHS_THOM" hidden="1">"c5221"</definedName>
    <definedName name="IQ_PERCENT_CHANGE_EST_REV_3MONTHS" hidden="1">"c1793"</definedName>
    <definedName name="IQ_PERCENT_CHANGE_EST_REV_3MONTHS_CIQ" hidden="1">"c3738"</definedName>
    <definedName name="IQ_PERCENT_CHANGE_EST_REV_3MONTHS_THOM" hidden="1">"c5217"</definedName>
    <definedName name="IQ_PERCENT_CHANGE_EST_REV_6MONTHS" hidden="1">"c1794"</definedName>
    <definedName name="IQ_PERCENT_CHANGE_EST_REV_6MONTHS_CIQ" hidden="1">"c3739"</definedName>
    <definedName name="IQ_PERCENT_CHANGE_EST_REV_6MONTHS_THOM" hidden="1">"c5218"</definedName>
    <definedName name="IQ_PERCENT_CHANGE_EST_REV_9MONTHS" hidden="1">"c1795"</definedName>
    <definedName name="IQ_PERCENT_CHANGE_EST_REV_9MONTHS_CIQ" hidden="1">"c3740"</definedName>
    <definedName name="IQ_PERCENT_CHANGE_EST_REV_9MONTHS_THOM" hidden="1">"c5219"</definedName>
    <definedName name="IQ_PERCENT_CHANGE_EST_REV_DAY" hidden="1">"c1790"</definedName>
    <definedName name="IQ_PERCENT_CHANGE_EST_REV_DAY_CIQ" hidden="1">"c3735"</definedName>
    <definedName name="IQ_PERCENT_CHANGE_EST_REV_DAY_THOM" hidden="1">"c5214"</definedName>
    <definedName name="IQ_PERCENT_CHANGE_EST_REV_MONTH" hidden="1">"c1792"</definedName>
    <definedName name="IQ_PERCENT_CHANGE_EST_REV_MONTH_CIQ" hidden="1">"c3737"</definedName>
    <definedName name="IQ_PERCENT_CHANGE_EST_REV_MONTH_THOM" hidden="1">"c5216"</definedName>
    <definedName name="IQ_PERCENT_CHANGE_EST_REV_WEEK" hidden="1">"c1791"</definedName>
    <definedName name="IQ_PERCENT_CHANGE_EST_REV_WEEK_CIQ" hidden="1">"c3736"</definedName>
    <definedName name="IQ_PERCENT_CHANGE_EST_REV_WEEK_THOM" hidden="1">"c5215"</definedName>
    <definedName name="IQ_PERCENT_INSURED_FDIC" hidden="1">"c6374"</definedName>
    <definedName name="IQ_PERFORMANCE_LOC_FOREIGN_GUARANTEES_FFIEC" hidden="1">"c13251"</definedName>
    <definedName name="IQ_PERIODDATE" hidden="1">"c1034"</definedName>
    <definedName name="IQ_PERIODDATE_AP" hidden="1">"c11745"</definedName>
    <definedName name="IQ_PERIODDATE_BS" hidden="1">"c1032"</definedName>
    <definedName name="IQ_PERIODDATE_CF" hidden="1">"c1033"</definedName>
    <definedName name="IQ_PERIODDATE_FDIC" hidden="1">"c13646"</definedName>
    <definedName name="IQ_PERIODDATE_FFIEC" hidden="1">"c13645"</definedName>
    <definedName name="IQ_PERIODDATE_IS" hidden="1">"c1034"</definedName>
    <definedName name="IQ_PERIODLENGTH_AP" hidden="1">"c11746"</definedName>
    <definedName name="IQ_PERIODLENGTH_CF" hidden="1">"c1502"</definedName>
    <definedName name="IQ_PERIODLENGTH_IS" hidden="1">"c1503"</definedName>
    <definedName name="IQ_PERSONAL_CONSUMER_SPENDING_DURABLE" hidden="1">"c6942"</definedName>
    <definedName name="IQ_PERSONAL_CONSUMER_SPENDING_DURABLE_APR" hidden="1">"c7602"</definedName>
    <definedName name="IQ_PERSONAL_CONSUMER_SPENDING_DURABLE_APR_FC" hidden="1">"c8482"</definedName>
    <definedName name="IQ_PERSONAL_CONSUMER_SPENDING_DURABLE_FC" hidden="1">"c7822"</definedName>
    <definedName name="IQ_PERSONAL_CONSUMER_SPENDING_DURABLE_POP" hidden="1">"c7162"</definedName>
    <definedName name="IQ_PERSONAL_CONSUMER_SPENDING_DURABLE_POP_FC" hidden="1">"c8042"</definedName>
    <definedName name="IQ_PERSONAL_CONSUMER_SPENDING_DURABLE_YOY" hidden="1">"c7382"</definedName>
    <definedName name="IQ_PERSONAL_CONSUMER_SPENDING_DURABLE_YOY_FC" hidden="1">"c8262"</definedName>
    <definedName name="IQ_PERSONAL_CONSUMER_SPENDING_NONDURABLE" hidden="1">"c6940"</definedName>
    <definedName name="IQ_PERSONAL_CONSUMER_SPENDING_NONDURABLE_APR" hidden="1">"c7600"</definedName>
    <definedName name="IQ_PERSONAL_CONSUMER_SPENDING_NONDURABLE_APR_FC" hidden="1">"c8480"</definedName>
    <definedName name="IQ_PERSONAL_CONSUMER_SPENDING_NONDURABLE_FC" hidden="1">"c7820"</definedName>
    <definedName name="IQ_PERSONAL_CONSUMER_SPENDING_NONDURABLE_POP" hidden="1">"c7160"</definedName>
    <definedName name="IQ_PERSONAL_CONSUMER_SPENDING_NONDURABLE_POP_FC" hidden="1">"c8040"</definedName>
    <definedName name="IQ_PERSONAL_CONSUMER_SPENDING_NONDURABLE_YOY" hidden="1">"c7380"</definedName>
    <definedName name="IQ_PERSONAL_CONSUMER_SPENDING_NONDURABLE_YOY_FC" hidden="1">"c8260"</definedName>
    <definedName name="IQ_PERSONAL_CONSUMER_SPENDING_REAL" hidden="1">"c6994"</definedName>
    <definedName name="IQ_PERSONAL_CONSUMER_SPENDING_REAL_APR" hidden="1">"c7654"</definedName>
    <definedName name="IQ_PERSONAL_CONSUMER_SPENDING_REAL_APR_FC" hidden="1">"c8534"</definedName>
    <definedName name="IQ_PERSONAL_CONSUMER_SPENDING_REAL_FC" hidden="1">"c7874"</definedName>
    <definedName name="IQ_PERSONAL_CONSUMER_SPENDING_REAL_POP" hidden="1">"c7214"</definedName>
    <definedName name="IQ_PERSONAL_CONSUMER_SPENDING_REAL_POP_FC" hidden="1">"c8094"</definedName>
    <definedName name="IQ_PERSONAL_CONSUMER_SPENDING_REAL_YOY" hidden="1">"c7434"</definedName>
    <definedName name="IQ_PERSONAL_CONSUMER_SPENDING_REAL_YOY_FC" hidden="1">"c8314"</definedName>
    <definedName name="IQ_PERSONAL_CONSUMER_SPENDING_SERVICES" hidden="1">"c6941"</definedName>
    <definedName name="IQ_PERSONAL_CONSUMER_SPENDING_SERVICES_APR" hidden="1">"c7601"</definedName>
    <definedName name="IQ_PERSONAL_CONSUMER_SPENDING_SERVICES_APR_FC" hidden="1">"c8481"</definedName>
    <definedName name="IQ_PERSONAL_CONSUMER_SPENDING_SERVICES_FC" hidden="1">"c7821"</definedName>
    <definedName name="IQ_PERSONAL_CONSUMER_SPENDING_SERVICES_POP" hidden="1">"c7161"</definedName>
    <definedName name="IQ_PERSONAL_CONSUMER_SPENDING_SERVICES_POP_FC" hidden="1">"c8041"</definedName>
    <definedName name="IQ_PERSONAL_CONSUMER_SPENDING_SERVICES_YOY" hidden="1">"c7381"</definedName>
    <definedName name="IQ_PERSONAL_CONSUMER_SPENDING_SERVICES_YOY_FC" hidden="1">"c8261"</definedName>
    <definedName name="IQ_PERSONAL_INCOME" hidden="1">"c6943"</definedName>
    <definedName name="IQ_PERSONAL_INCOME_APR" hidden="1">"c7603"</definedName>
    <definedName name="IQ_PERSONAL_INCOME_APR_FC" hidden="1">"c8483"</definedName>
    <definedName name="IQ_PERSONAL_INCOME_FC" hidden="1">"c7823"</definedName>
    <definedName name="IQ_PERSONAL_INCOME_POP" hidden="1">"c7163"</definedName>
    <definedName name="IQ_PERSONAL_INCOME_POP_FC" hidden="1">"c8043"</definedName>
    <definedName name="IQ_PERSONAL_INCOME_SAAR" hidden="1">"c6944"</definedName>
    <definedName name="IQ_PERSONAL_INCOME_SAAR_APR" hidden="1">"c7604"</definedName>
    <definedName name="IQ_PERSONAL_INCOME_SAAR_APR_FC" hidden="1">"c8484"</definedName>
    <definedName name="IQ_PERSONAL_INCOME_SAAR_FC" hidden="1">"c7824"</definedName>
    <definedName name="IQ_PERSONAL_INCOME_SAAR_POP" hidden="1">"c7164"</definedName>
    <definedName name="IQ_PERSONAL_INCOME_SAAR_POP_FC" hidden="1">"c8044"</definedName>
    <definedName name="IQ_PERSONAL_INCOME_SAAR_YOY" hidden="1">"c7384"</definedName>
    <definedName name="IQ_PERSONAL_INCOME_SAAR_YOY_FC" hidden="1">"c8264"</definedName>
    <definedName name="IQ_PERSONAL_INCOME_USD_APR_FC" hidden="1">"c11885"</definedName>
    <definedName name="IQ_PERSONAL_INCOME_USD_FC" hidden="1">"c11882"</definedName>
    <definedName name="IQ_PERSONAL_INCOME_USD_POP_FC" hidden="1">"c11883"</definedName>
    <definedName name="IQ_PERSONAL_INCOME_USD_YOY_FC" hidden="1">"c11884"</definedName>
    <definedName name="IQ_PERSONAL_INCOME_YOY" hidden="1">"c7383"</definedName>
    <definedName name="IQ_PERSONAL_INCOME_YOY_FC" hidden="1">"c8263"</definedName>
    <definedName name="IQ_PERSONNEL_EXP_AVG_ASSETS_FFIEC" hidden="1">"c13371"</definedName>
    <definedName name="IQ_PERSONNEL_EXP_OPERATING_INC_FFIEC" hidden="1">"c13379"</definedName>
    <definedName name="IQ_PERTYPE" hidden="1">"c1611"</definedName>
    <definedName name="IQ_PHARMBIO_NUMBER_LICENSED_PATENT_APP" hidden="1">"c10018"</definedName>
    <definedName name="IQ_PHARMBIO_NUMBER_LICENSED_PATENTS" hidden="1">"c10017"</definedName>
    <definedName name="IQ_PHARMBIO_NUMBER_PATENTS" hidden="1">"c10015"</definedName>
    <definedName name="IQ_PHARMBIO_NUMBER_PROD__APPROVED_DURING_PERIOD" hidden="1">"c12750"</definedName>
    <definedName name="IQ_PHARMBIO_NUMBER_PROD__CLINICAL_DEV" hidden="1">"c12745"</definedName>
    <definedName name="IQ_PHARMBIO_NUMBER_PROD__LAUNCHED_DURING_PERIOD" hidden="1">"c12751"</definedName>
    <definedName name="IQ_PHARMBIO_NUMBER_PROD__PHASE_I" hidden="1">"c12746"</definedName>
    <definedName name="IQ_PHARMBIO_NUMBER_PROD__PHASE_II" hidden="1">"c12747"</definedName>
    <definedName name="IQ_PHARMBIO_NUMBER_PROD__PHASE_III" hidden="1">"c12748"</definedName>
    <definedName name="IQ_PHARMBIO_NUMBER_PROD__PRE_CLINICAL_TRIALS" hidden="1">"c12744"</definedName>
    <definedName name="IQ_PHARMBIO_NUMBER_PROD__PRE_REGISTRATION" hidden="1">"c12749"</definedName>
    <definedName name="IQ_PHARMBIO_NUMBER_PROD__RESEARCH_DEV" hidden="1">"c12743"</definedName>
    <definedName name="IQ_PHARMBIO_NUMBER_PROD_APPROVED_DURING_PERIOD" hidden="1">"c10027"</definedName>
    <definedName name="IQ_PHARMBIO_NUMBER_PROD_CLINICAL_DEV" hidden="1">"c10022"</definedName>
    <definedName name="IQ_PHARMBIO_NUMBER_PROD_DISCOVERY_RESEARCH" hidden="1">"c10019"</definedName>
    <definedName name="IQ_PHARMBIO_NUMBER_PROD_LAUNCHED_DURING_PERIOD" hidden="1">"c10028"</definedName>
    <definedName name="IQ_PHARMBIO_NUMBER_PROD_PHASE_I" hidden="1">"c10023"</definedName>
    <definedName name="IQ_PHARMBIO_NUMBER_PROD_PHASE_II" hidden="1">"c10024"</definedName>
    <definedName name="IQ_PHARMBIO_NUMBER_PROD_PHASE_III" hidden="1">"c10025"</definedName>
    <definedName name="IQ_PHARMBIO_NUMBER_PROD_PRE_CLINICAL_TRIALS" hidden="1">"c10021"</definedName>
    <definedName name="IQ_PHARMBIO_NUMBER_PROD_PRE_REGISTRATION" hidden="1">"c10026"</definedName>
    <definedName name="IQ_PHARMBIO_NUMBER_PROD_RESEARCH_DEV" hidden="1">"c10020"</definedName>
    <definedName name="IQ_PHARMBIO_PATENT_APP" hidden="1">"c10016"</definedName>
    <definedName name="IQ_PHILADELPHIA_FED_DIFFUSION_INDEX" hidden="1">"c6945"</definedName>
    <definedName name="IQ_PHILADELPHIA_FED_DIFFUSION_INDEX_APR" hidden="1">"c7605"</definedName>
    <definedName name="IQ_PHILADELPHIA_FED_DIFFUSION_INDEX_APR_FC" hidden="1">"c8485"</definedName>
    <definedName name="IQ_PHILADELPHIA_FED_DIFFUSION_INDEX_FC" hidden="1">"c7825"</definedName>
    <definedName name="IQ_PHILADELPHIA_FED_DIFFUSION_INDEX_POP" hidden="1">"c7165"</definedName>
    <definedName name="IQ_PHILADELPHIA_FED_DIFFUSION_INDEX_POP_FC" hidden="1">"c8045"</definedName>
    <definedName name="IQ_PHILADELPHIA_FED_DIFFUSION_INDEX_YOY" hidden="1">"c7385"</definedName>
    <definedName name="IQ_PHILADELPHIA_FED_DIFFUSION_INDEX_YOY_FC" hidden="1">"c8265"</definedName>
    <definedName name="IQ_PLEDGED_SEC_INVEST_SECURITIES_FFIEC" hidden="1">"c13467"</definedName>
    <definedName name="IQ_PLEDGED_SECURITIES_FDIC" hidden="1">"c6401"</definedName>
    <definedName name="IQ_PLL" hidden="1">"c2114"</definedName>
    <definedName name="IQ_PMAC_DIFFUSION_INDEX" hidden="1">"c6946"</definedName>
    <definedName name="IQ_PMAC_DIFFUSION_INDEX_APR" hidden="1">"c7606"</definedName>
    <definedName name="IQ_PMAC_DIFFUSION_INDEX_APR_FC" hidden="1">"c8486"</definedName>
    <definedName name="IQ_PMAC_DIFFUSION_INDEX_FC" hidden="1">"c7826"</definedName>
    <definedName name="IQ_PMAC_DIFFUSION_INDEX_POP" hidden="1">"c7166"</definedName>
    <definedName name="IQ_PMAC_DIFFUSION_INDEX_POP_FC" hidden="1">"c8046"</definedName>
    <definedName name="IQ_PMAC_DIFFUSION_INDEX_YOY" hidden="1">"c7386"</definedName>
    <definedName name="IQ_PMAC_DIFFUSION_INDEX_YOY_FC" hidden="1">"c8266"</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LICYHOLDER_BENEFITS_LH_FFIEC" hidden="1">"c13107"</definedName>
    <definedName name="IQ_POOL_AMT_ORIGINAL" hidden="1">"c8970"</definedName>
    <definedName name="IQ_POOL_NAME" hidden="1">"c8967"</definedName>
    <definedName name="IQ_POOL_NUMBER" hidden="1">"c8968"</definedName>
    <definedName name="IQ_POOL_TYPE" hidden="1">"c8969"</definedName>
    <definedName name="IQ_POSITIVE_FAIR_VALUE_DERIVATIVES_BENEFICIARY_FFIEC" hidden="1">"c13123"</definedName>
    <definedName name="IQ_POSITIVE_FAIR_VALUE_DERIVATIVES_GUARANTOR_FFIEC" hidden="1">"c13116"</definedName>
    <definedName name="IQ_POST_RETIRE_EXP" hidden="1">"c1039"</definedName>
    <definedName name="IQ_POSTAGE_FFIEC" hidden="1">"c13051"</definedName>
    <definedName name="IQ_POSTPAID_CHURN" hidden="1">"c2121"</definedName>
    <definedName name="IQ_POSTPAID_SUBS" hidden="1">"c2118"</definedName>
    <definedName name="IQ_POTENTIAL_UPSIDE" hidden="1">"c1855"</definedName>
    <definedName name="IQ_POTENTIAL_UPSIDE_CIQ" hidden="1">"c3799"</definedName>
    <definedName name="IQ_POTENTIAL_UPSIDE_THOM" hidden="1">"c5279"</definedName>
    <definedName name="IQ_PP_ATTRIB_ORE_RESERVES_ALUM" hidden="1">"c9218"</definedName>
    <definedName name="IQ_PP_ATTRIB_ORE_RESERVES_COP" hidden="1">"c9162"</definedName>
    <definedName name="IQ_PP_ATTRIB_ORE_RESERVES_DIAM" hidden="1">"c9642"</definedName>
    <definedName name="IQ_PP_ATTRIB_ORE_RESERVES_GOLD" hidden="1">"c9003"</definedName>
    <definedName name="IQ_PP_ATTRIB_ORE_RESERVES_IRON" hidden="1">"c9377"</definedName>
    <definedName name="IQ_PP_ATTRIB_ORE_RESERVES_LEAD" hidden="1">"c9430"</definedName>
    <definedName name="IQ_PP_ATTRIB_ORE_RESERVES_MANG" hidden="1">"c9483"</definedName>
    <definedName name="IQ_PP_ATTRIB_ORE_RESERVES_MOLYB" hidden="1">"c9695"</definedName>
    <definedName name="IQ_PP_ATTRIB_ORE_RESERVES_NICK" hidden="1">"c9271"</definedName>
    <definedName name="IQ_PP_ATTRIB_ORE_RESERVES_PLAT" hidden="1">"c9109"</definedName>
    <definedName name="IQ_PP_ATTRIB_ORE_RESERVES_SILVER" hidden="1">"c9056"</definedName>
    <definedName name="IQ_PP_ATTRIB_ORE_RESERVES_TITAN" hidden="1">"c9536"</definedName>
    <definedName name="IQ_PP_ATTRIB_ORE_RESERVES_URAN" hidden="1">"c9589"</definedName>
    <definedName name="IQ_PP_ATTRIB_ORE_RESERVES_ZINC" hidden="1">"c9324"</definedName>
    <definedName name="IQ_PP_ORE_RESERVES_ALUM" hidden="1">"c9211"</definedName>
    <definedName name="IQ_PP_ORE_RESERVES_COP" hidden="1">"c9155"</definedName>
    <definedName name="IQ_PP_ORE_RESERVES_DIAM" hidden="1">"c9635"</definedName>
    <definedName name="IQ_PP_ORE_RESERVES_GOLD" hidden="1">"c8996"</definedName>
    <definedName name="IQ_PP_ORE_RESERVES_IRON" hidden="1">"c9370"</definedName>
    <definedName name="IQ_PP_ORE_RESERVES_LEAD" hidden="1">"c9423"</definedName>
    <definedName name="IQ_PP_ORE_RESERVES_MANG" hidden="1">"c9476"</definedName>
    <definedName name="IQ_PP_ORE_RESERVES_MOLYB" hidden="1">"c9688"</definedName>
    <definedName name="IQ_PP_ORE_RESERVES_NICK" hidden="1">"c9264"</definedName>
    <definedName name="IQ_PP_ORE_RESERVES_PLAT" hidden="1">"c9102"</definedName>
    <definedName name="IQ_PP_ORE_RESERVES_SILVER" hidden="1">"c9049"</definedName>
    <definedName name="IQ_PP_ORE_RESERVES_TITAN" hidden="1">"c9529"</definedName>
    <definedName name="IQ_PP_ORE_RESERVES_URAN" hidden="1">"c9582"</definedName>
    <definedName name="IQ_PP_ORE_RESERVES_ZINC" hidden="1">"c9317"</definedName>
    <definedName name="IQ_PP_RECOV_ATTRIB_RESERVES_ALUM" hidden="1">"c9221"</definedName>
    <definedName name="IQ_PP_RECOV_ATTRIB_RESERVES_COAL" hidden="1">"c9805"</definedName>
    <definedName name="IQ_PP_RECOV_ATTRIB_RESERVES_COP" hidden="1">"c9165"</definedName>
    <definedName name="IQ_PP_RECOV_ATTRIB_RESERVES_DIAM" hidden="1">"c9645"</definedName>
    <definedName name="IQ_PP_RECOV_ATTRIB_RESERVES_GOLD" hidden="1">"c9006"</definedName>
    <definedName name="IQ_PP_RECOV_ATTRIB_RESERVES_IRON" hidden="1">"c9380"</definedName>
    <definedName name="IQ_PP_RECOV_ATTRIB_RESERVES_LEAD" hidden="1">"c9433"</definedName>
    <definedName name="IQ_PP_RECOV_ATTRIB_RESERVES_MANG" hidden="1">"c9486"</definedName>
    <definedName name="IQ_PP_RECOV_ATTRIB_RESERVES_MET_COAL" hidden="1">"c9745"</definedName>
    <definedName name="IQ_PP_RECOV_ATTRIB_RESERVES_MOLYB" hidden="1">"c9698"</definedName>
    <definedName name="IQ_PP_RECOV_ATTRIB_RESERVES_NICK" hidden="1">"c9274"</definedName>
    <definedName name="IQ_PP_RECOV_ATTRIB_RESERVES_PLAT" hidden="1">"c9112"</definedName>
    <definedName name="IQ_PP_RECOV_ATTRIB_RESERVES_SILVER" hidden="1">"c9059"</definedName>
    <definedName name="IQ_PP_RECOV_ATTRIB_RESERVES_STEAM" hidden="1">"c9775"</definedName>
    <definedName name="IQ_PP_RECOV_ATTRIB_RESERVES_TITAN" hidden="1">"c9539"</definedName>
    <definedName name="IQ_PP_RECOV_ATTRIB_RESERVES_URAN" hidden="1">"c9592"</definedName>
    <definedName name="IQ_PP_RECOV_ATTRIB_RESERVES_ZINC" hidden="1">"c9327"</definedName>
    <definedName name="IQ_PP_RECOV_RESERVES_ALUM" hidden="1">"c9215"</definedName>
    <definedName name="IQ_PP_RECOV_RESERVES_COAL" hidden="1">"c9802"</definedName>
    <definedName name="IQ_PP_RECOV_RESERVES_COP" hidden="1">"c9159"</definedName>
    <definedName name="IQ_PP_RECOV_RESERVES_DIAM" hidden="1">"c9639"</definedName>
    <definedName name="IQ_PP_RECOV_RESERVES_GOLD" hidden="1">"c9000"</definedName>
    <definedName name="IQ_PP_RECOV_RESERVES_IRON" hidden="1">"c9374"</definedName>
    <definedName name="IQ_PP_RECOV_RESERVES_LEAD" hidden="1">"c9427"</definedName>
    <definedName name="IQ_PP_RECOV_RESERVES_MANG" hidden="1">"c9480"</definedName>
    <definedName name="IQ_PP_RECOV_RESERVES_MET_COAL" hidden="1">"c9742"</definedName>
    <definedName name="IQ_PP_RECOV_RESERVES_MOLYB" hidden="1">"c9692"</definedName>
    <definedName name="IQ_PP_RECOV_RESERVES_NICK" hidden="1">"c9268"</definedName>
    <definedName name="IQ_PP_RECOV_RESERVES_PLAT" hidden="1">"c9106"</definedName>
    <definedName name="IQ_PP_RECOV_RESERVES_SILVER" hidden="1">"c9053"</definedName>
    <definedName name="IQ_PP_RECOV_RESERVES_STEAM" hidden="1">"c9772"</definedName>
    <definedName name="IQ_PP_RECOV_RESERVES_TITAN" hidden="1">"c9533"</definedName>
    <definedName name="IQ_PP_RECOV_RESERVES_URAN" hidden="1">"c9586"</definedName>
    <definedName name="IQ_PP_RECOV_RESERVES_ZINC" hidden="1">"c9321"</definedName>
    <definedName name="IQ_PP_RESERVES_CALORIFIC_VALUE_COAL" hidden="1">"c9799"</definedName>
    <definedName name="IQ_PP_RESERVES_CALORIFIC_VALUE_MET_COAL" hidden="1">"c9739"</definedName>
    <definedName name="IQ_PP_RESERVES_CALORIFIC_VALUE_STEAM" hidden="1">"c9769"</definedName>
    <definedName name="IQ_PP_RESERVES_GRADE_ALUM" hidden="1">"c9212"</definedName>
    <definedName name="IQ_PP_RESERVES_GRADE_COP" hidden="1">"c9156"</definedName>
    <definedName name="IQ_PP_RESERVES_GRADE_DIAM" hidden="1">"c9636"</definedName>
    <definedName name="IQ_PP_RESERVES_GRADE_GOLD" hidden="1">"c8997"</definedName>
    <definedName name="IQ_PP_RESERVES_GRADE_IRON" hidden="1">"c9371"</definedName>
    <definedName name="IQ_PP_RESERVES_GRADE_LEAD" hidden="1">"c9424"</definedName>
    <definedName name="IQ_PP_RESERVES_GRADE_MANG" hidden="1">"c9477"</definedName>
    <definedName name="IQ_PP_RESERVES_GRADE_MOLYB" hidden="1">"c9689"</definedName>
    <definedName name="IQ_PP_RESERVES_GRADE_NICK" hidden="1">"c9265"</definedName>
    <definedName name="IQ_PP_RESERVES_GRADE_PLAT" hidden="1">"c9103"</definedName>
    <definedName name="IQ_PP_RESERVES_GRADE_SILVER" hidden="1">"c9050"</definedName>
    <definedName name="IQ_PP_RESERVES_GRADE_TITAN" hidden="1">"c9530"</definedName>
    <definedName name="IQ_PP_RESERVES_GRADE_URAN" hidden="1">"c9583"</definedName>
    <definedName name="IQ_PP_RESERVES_GRADE_ZINC" hidden="1">"c9318"</definedName>
    <definedName name="IQ_PPI" hidden="1">"c6810"</definedName>
    <definedName name="IQ_PPI_APR" hidden="1">"c7470"</definedName>
    <definedName name="IQ_PPI_APR_FC" hidden="1">"c8350"</definedName>
    <definedName name="IQ_PPI_CORE" hidden="1">"c6840"</definedName>
    <definedName name="IQ_PPI_CORE_APR" hidden="1">"c7500"</definedName>
    <definedName name="IQ_PPI_CORE_APR_FC" hidden="1">"c8380"</definedName>
    <definedName name="IQ_PPI_CORE_FC" hidden="1">"c7720"</definedName>
    <definedName name="IQ_PPI_CORE_POP" hidden="1">"c7060"</definedName>
    <definedName name="IQ_PPI_CORE_POP_FC" hidden="1">"c7940"</definedName>
    <definedName name="IQ_PPI_CORE_YOY" hidden="1">"c7280"</definedName>
    <definedName name="IQ_PPI_CORE_YOY_FC" hidden="1">"c8160"</definedName>
    <definedName name="IQ_PPI_FC" hidden="1">"c7690"</definedName>
    <definedName name="IQ_PPI_POP" hidden="1">"c7030"</definedName>
    <definedName name="IQ_PPI_POP_FC" hidden="1">"c7910"</definedName>
    <definedName name="IQ_PPI_YOY" hidden="1">"c7250"</definedName>
    <definedName name="IQ_PPI_YOY_FC" hidden="1">"c8130"</definedName>
    <definedName name="IQ_PRE_OPEN_COST" hidden="1">"c1040"</definedName>
    <definedName name="IQ_PRE_TAX_ACT_OR_EST" hidden="1">"c2221"</definedName>
    <definedName name="IQ_PRE_TAX_ACT_OR_EST_THOM" hidden="1">"c5305"</definedName>
    <definedName name="IQ_PRE_TAX_INCOME_FDIC" hidden="1">"c6581"</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 hidden="1">"c6261"</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 hidden="1">"c6262"</definedName>
    <definedName name="IQ_PREF_OTHER_REIT" hidden="1">"c1058"</definedName>
    <definedName name="IQ_PREF_OTHER_UTI" hidden="1">"c6022"</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 hidden="1">"c6263"</definedName>
    <definedName name="IQ_PREF_REP_REIT" hidden="1">"c1065"</definedName>
    <definedName name="IQ_PREF_REP_UTI" hidden="1">"c1066"</definedName>
    <definedName name="IQ_PREF_STOCK" hidden="1">"c1052"</definedName>
    <definedName name="IQ_PREF_STOCK_FFIEC" hidden="1">"c12875"</definedName>
    <definedName name="IQ_PREF_TOT" hidden="1">"c1044"</definedName>
    <definedName name="IQ_PREFERRED_FDIC" hidden="1">"c6349"</definedName>
    <definedName name="IQ_PREFERRED_LIST" hidden="1">"c13506"</definedName>
    <definedName name="IQ_PREMISES_EQUIPMENT_FDIC" hidden="1">"c6577"</definedName>
    <definedName name="IQ_PREMISES_FIXED_ASSETS_CAP_LEASES_FFIEC" hidden="1">"c12830"</definedName>
    <definedName name="IQ_PREMIUM_INSURANCE_CREDIT_FFIEC" hidden="1">"c13070"</definedName>
    <definedName name="IQ_PREMIUMS_ANNUITY_REV" hidden="1">"c1067"</definedName>
    <definedName name="IQ_PREPAID_CHURN" hidden="1">"c2120"</definedName>
    <definedName name="IQ_PREPAID_EXP" hidden="1">"c1068"</definedName>
    <definedName name="IQ_PREPAID_EXPEN" hidden="1">"c1068"</definedName>
    <definedName name="IQ_PREPAID_SUBS" hidden="1">"c2117"</definedName>
    <definedName name="IQ_PRETAX_GW_INC_EST" hidden="1">"c1702"</definedName>
    <definedName name="IQ_PRETAX_GW_INC_HIGH_EST" hidden="1">"c1704"</definedName>
    <definedName name="IQ_PRETAX_GW_INC_LOW_EST" hidden="1">"c1705"</definedName>
    <definedName name="IQ_PRETAX_GW_INC_MEDIAN_EST" hidden="1">"c1703"</definedName>
    <definedName name="IQ_PRETAX_GW_INC_NUM_EST" hidden="1">"c1706"</definedName>
    <definedName name="IQ_PRETAX_GW_INC_STDDEV_EST" hidden="1">"c1707"</definedName>
    <definedName name="IQ_PRETAX_INC_DET_EST" hidden="1">"c12055"</definedName>
    <definedName name="IQ_PRETAX_INC_DET_EST_CURRENCY" hidden="1">"c12462"</definedName>
    <definedName name="IQ_PRETAX_INC_DET_EST_CURRENCY_THOM" hidden="1">"c12483"</definedName>
    <definedName name="IQ_PRETAX_INC_DET_EST_DATE" hidden="1">"c12208"</definedName>
    <definedName name="IQ_PRETAX_INC_DET_EST_DATE_THOM" hidden="1">"c12234"</definedName>
    <definedName name="IQ_PRETAX_INC_DET_EST_INCL" hidden="1">"c12345"</definedName>
    <definedName name="IQ_PRETAX_INC_DET_EST_INCL_THOM" hidden="1">"c12366"</definedName>
    <definedName name="IQ_PRETAX_INC_DET_EST_ORIGIN" hidden="1">"c12771"</definedName>
    <definedName name="IQ_PRETAX_INC_DET_EST_ORIGIN_THOM" hidden="1">"c12604"</definedName>
    <definedName name="IQ_PRETAX_INC_DET_EST_THOM" hidden="1">"c12084"</definedName>
    <definedName name="IQ_PRETAX_INC_EST" hidden="1">"c1695"</definedName>
    <definedName name="IQ_PRETAX_INC_EST_THOM" hidden="1">"c5119"</definedName>
    <definedName name="IQ_PRETAX_INC_HIGH_EST" hidden="1">"c1697"</definedName>
    <definedName name="IQ_PRETAX_INC_HIGH_EST_THOM" hidden="1">"c5121"</definedName>
    <definedName name="IQ_PRETAX_INC_LOW_EST" hidden="1">"c1698"</definedName>
    <definedName name="IQ_PRETAX_INC_LOW_EST_THOM" hidden="1">"c5122"</definedName>
    <definedName name="IQ_PRETAX_INC_MEDIAN_EST" hidden="1">"c1696"</definedName>
    <definedName name="IQ_PRETAX_INC_MEDIAN_EST_THOM" hidden="1">"c5120"</definedName>
    <definedName name="IQ_PRETAX_INC_NUM_EST" hidden="1">"c1699"</definedName>
    <definedName name="IQ_PRETAX_INC_NUM_EST_THOM" hidden="1">"c5123"</definedName>
    <definedName name="IQ_PRETAX_INC_STDDEV_EST" hidden="1">"c1700"</definedName>
    <definedName name="IQ_PRETAX_INC_STDDEV_EST_THOM" hidden="1">"c5124"</definedName>
    <definedName name="IQ_PRETAX_OPERATING_INC_AVG_ASSETS_FFIEC" hidden="1">"c13365"</definedName>
    <definedName name="IQ_PRETAX_REPORT_INC_EST" hidden="1">"c1709"</definedName>
    <definedName name="IQ_PRETAX_REPORT_INC_HIGH_EST" hidden="1">"c1711"</definedName>
    <definedName name="IQ_PRETAX_REPORT_INC_LOW_EST" hidden="1">"c1712"</definedName>
    <definedName name="IQ_PRETAX_REPORT_INC_MEDIAN_EST" hidden="1">"c1710"</definedName>
    <definedName name="IQ_PRETAX_REPORT_INC_NUM_EST" hidden="1">"c1713"</definedName>
    <definedName name="IQ_PRETAX_REPORT_INC_STDDEV_EST" hidden="1">"c1714"</definedName>
    <definedName name="IQ_PRETAX_RETURN_ASSETS_FDIC" hidden="1">"c6731"</definedName>
    <definedName name="IQ_PREV_MONTHLY_FACTOR" hidden="1">"c8973"</definedName>
    <definedName name="IQ_PREV_MONTHLY_FACTOR_DATE" hidden="1">"c8974"</definedName>
    <definedName name="IQ_PRICE_CFPS_FWD" hidden="1">"c2237"</definedName>
    <definedName name="IQ_PRICE_CFPS_FWD_THOM" hidden="1">"c4060"</definedName>
    <definedName name="IQ_PRICE_OVER_BVPS" hidden="1">"c1026"</definedName>
    <definedName name="IQ_PRICE_OVER_LTM_EPS" hidden="1">"c1029"</definedName>
    <definedName name="IQ_PRICE_PAID_FARM_INDEX" hidden="1">"c6948"</definedName>
    <definedName name="IQ_PRICE_PAID_FARM_INDEX_APR" hidden="1">"c7608"</definedName>
    <definedName name="IQ_PRICE_PAID_FARM_INDEX_APR_FC" hidden="1">"c8488"</definedName>
    <definedName name="IQ_PRICE_PAID_FARM_INDEX_FC" hidden="1">"c7828"</definedName>
    <definedName name="IQ_PRICE_PAID_FARM_INDEX_POP" hidden="1">"c7168"</definedName>
    <definedName name="IQ_PRICE_PAID_FARM_INDEX_POP_FC" hidden="1">"c8048"</definedName>
    <definedName name="IQ_PRICE_PAID_FARM_INDEX_YOY" hidden="1">"c7388"</definedName>
    <definedName name="IQ_PRICE_PAID_FARM_INDEX_YOY_FC" hidden="1">"c8268"</definedName>
    <definedName name="IQ_PRICE_TARGET" hidden="1">"c82"</definedName>
    <definedName name="IQ_PRICE_TARGET_BOTTOM_UP" hidden="1">"c5486"</definedName>
    <definedName name="IQ_PRICE_TARGET_BOTTOM_UP_CIQ" hidden="1">"c12023"</definedName>
    <definedName name="IQ_PRICE_TARGET_CIQ" hidden="1">"c3613"</definedName>
    <definedName name="IQ_PRICE_TARGET_REUT" hidden="1">"c3631"</definedName>
    <definedName name="IQ_PRICE_TARGET_THOM" hidden="1">"c3649"</definedName>
    <definedName name="IQ_PRICE_VOLATILITY_EST" hidden="1">"c4492"</definedName>
    <definedName name="IQ_PRICE_VOLATILITY_HIGH" hidden="1">"c4493"</definedName>
    <definedName name="IQ_PRICE_VOLATILITY_LOW" hidden="1">"c4494"</definedName>
    <definedName name="IQ_PRICE_VOLATILITY_MEDIAN" hidden="1">"c4495"</definedName>
    <definedName name="IQ_PRICE_VOLATILITY_NUM" hidden="1">"c4496"</definedName>
    <definedName name="IQ_PRICE_VOLATILITY_STDDEV" hidden="1">"c4497"</definedName>
    <definedName name="IQ_PRICEDATE" hidden="1">"c1069"</definedName>
    <definedName name="IQ_PRICING_DATE" hidden="1">"c1613"</definedName>
    <definedName name="IQ_PRIMARY_EPS_TYPE" hidden="1">"c4498"</definedName>
    <definedName name="IQ_PRIMARY_INDUSTRY" hidden="1">"c1070"</definedName>
    <definedName name="IQ_PRINCIPAL_AMT" hidden="1">"c2157"</definedName>
    <definedName name="IQ_PRIVATE_CONST_TOTAL_APR_FC_UNUSED" hidden="1">"c8559"</definedName>
    <definedName name="IQ_PRIVATE_CONST_TOTAL_APR_UNUSED" hidden="1">"c7679"</definedName>
    <definedName name="IQ_PRIVATE_CONST_TOTAL_FC_UNUSED" hidden="1">"c7899"</definedName>
    <definedName name="IQ_PRIVATE_CONST_TOTAL_POP_FC_UNUSED" hidden="1">"c8119"</definedName>
    <definedName name="IQ_PRIVATE_CONST_TOTAL_POP_UNUSED" hidden="1">"c7239"</definedName>
    <definedName name="IQ_PRIVATE_CONST_TOTAL_UNUSED" hidden="1">"c7019"</definedName>
    <definedName name="IQ_PRIVATE_CONST_TOTAL_YOY_FC_UNUSED" hidden="1">"c8339"</definedName>
    <definedName name="IQ_PRIVATE_CONST_TOTAL_YOY_UNUSED" hidden="1">"c7459"</definedName>
    <definedName name="IQ_PRIVATE_FIXED_INVEST_TOTAL" hidden="1">"c12006"</definedName>
    <definedName name="IQ_PRIVATE_FIXED_INVEST_TOTAL_APR" hidden="1">"c12009"</definedName>
    <definedName name="IQ_PRIVATE_FIXED_INVEST_TOTAL_POP" hidden="1">"c12007"</definedName>
    <definedName name="IQ_PRIVATE_FIXED_INVEST_TOTAL_YOY" hidden="1">"c12008"</definedName>
    <definedName name="IQ_PRIVATE_NONRES_CONST_IMPROV" hidden="1">"c6949"</definedName>
    <definedName name="IQ_PRIVATE_NONRES_CONST_IMPROV_APR" hidden="1">"c7609"</definedName>
    <definedName name="IQ_PRIVATE_NONRES_CONST_IMPROV_APR_FC" hidden="1">"c8489"</definedName>
    <definedName name="IQ_PRIVATE_NONRES_CONST_IMPROV_FC" hidden="1">"c7829"</definedName>
    <definedName name="IQ_PRIVATE_NONRES_CONST_IMPROV_POP" hidden="1">"c7169"</definedName>
    <definedName name="IQ_PRIVATE_NONRES_CONST_IMPROV_POP_FC" hidden="1">"c8049"</definedName>
    <definedName name="IQ_PRIVATE_NONRES_CONST_IMPROV_YOY" hidden="1">"c7389"</definedName>
    <definedName name="IQ_PRIVATE_NONRES_CONST_IMPROV_YOY_FC" hidden="1">"c8269"</definedName>
    <definedName name="IQ_PRIVATE_RES_CONST_IMPROV" hidden="1">"c6950"</definedName>
    <definedName name="IQ_PRIVATE_RES_CONST_IMPROV_APR" hidden="1">"c7610"</definedName>
    <definedName name="IQ_PRIVATE_RES_CONST_IMPROV_APR_FC" hidden="1">"c8490"</definedName>
    <definedName name="IQ_PRIVATE_RES_CONST_IMPROV_FC" hidden="1">"c7830"</definedName>
    <definedName name="IQ_PRIVATE_RES_CONST_IMPROV_POP" hidden="1">"c7170"</definedName>
    <definedName name="IQ_PRIVATE_RES_CONST_IMPROV_POP_FC" hidden="1">"c8050"</definedName>
    <definedName name="IQ_PRIVATE_RES_CONST_IMPROV_YOY" hidden="1">"c7390"</definedName>
    <definedName name="IQ_PRIVATE_RES_CONST_IMPROV_YOY_FC" hidden="1">"c8270"</definedName>
    <definedName name="IQ_PRIVATE_RES_CONST_REAL_APR_FC_UNUSED" hidden="1">"c8535"</definedName>
    <definedName name="IQ_PRIVATE_RES_CONST_REAL_APR_UNUSED" hidden="1">"c7655"</definedName>
    <definedName name="IQ_PRIVATE_RES_CONST_REAL_FC_UNUSED" hidden="1">"c7875"</definedName>
    <definedName name="IQ_PRIVATE_RES_CONST_REAL_POP_FC_UNUSED" hidden="1">"c8095"</definedName>
    <definedName name="IQ_PRIVATE_RES_CONST_REAL_POP_UNUSED" hidden="1">"c7215"</definedName>
    <definedName name="IQ_PRIVATE_RES_CONST_REAL_UNUSED" hidden="1">"c6995"</definedName>
    <definedName name="IQ_PRIVATE_RES_CONST_REAL_YOY_FC_UNUSED" hidden="1">"c8315"</definedName>
    <definedName name="IQ_PRIVATE_RES_CONST_REAL_YOY_UNUSED" hidden="1">"c7435"</definedName>
    <definedName name="IQ_PRIVATE_RES_FIXED_INVEST_REAL" hidden="1">"c11986"</definedName>
    <definedName name="IQ_PRIVATE_RES_FIXED_INVEST_REAL_APR" hidden="1">"c11989"</definedName>
    <definedName name="IQ_PRIVATE_RES_FIXED_INVEST_REAL_POP" hidden="1">"c11987"</definedName>
    <definedName name="IQ_PRIVATE_RES_FIXED_INVEST_REAL_YOY" hidden="1">"c11988"</definedName>
    <definedName name="IQ_PRIVATELY_ISSUED_MORTGAGE_BACKED_SECURITIES_FDIC" hidden="1">"c6407"</definedName>
    <definedName name="IQ_PRIVATELY_ISSUED_MORTGAGE_PASS_THROUGHS_FDIC" hidden="1">"c6405"</definedName>
    <definedName name="IQ_PRO_FORMA_BASIC_EPS" hidden="1">"c1614"</definedName>
    <definedName name="IQ_PRO_FORMA_DILUT_EPS" hidden="1">"c1615"</definedName>
    <definedName name="IQ_PRO_FORMA_NET_INC" hidden="1">"c795"</definedName>
    <definedName name="IQ_PROBABLE_ATTRIB_ORE_RESERVES_ALUM" hidden="1">"c9217"</definedName>
    <definedName name="IQ_PROBABLE_ATTRIB_ORE_RESERVES_COP" hidden="1">"c9161"</definedName>
    <definedName name="IQ_PROBABLE_ATTRIB_ORE_RESERVES_DIAM" hidden="1">"c9641"</definedName>
    <definedName name="IQ_PROBABLE_ATTRIB_ORE_RESERVES_GOLD" hidden="1">"c9002"</definedName>
    <definedName name="IQ_PROBABLE_ATTRIB_ORE_RESERVES_IRON" hidden="1">"c9376"</definedName>
    <definedName name="IQ_PROBABLE_ATTRIB_ORE_RESERVES_LEAD" hidden="1">"c9429"</definedName>
    <definedName name="IQ_PROBABLE_ATTRIB_ORE_RESERVES_MANG" hidden="1">"c9482"</definedName>
    <definedName name="IQ_PROBABLE_ATTRIB_ORE_RESERVES_MOLYB" hidden="1">"c9694"</definedName>
    <definedName name="IQ_PROBABLE_ATTRIB_ORE_RESERVES_NICK" hidden="1">"c9270"</definedName>
    <definedName name="IQ_PROBABLE_ATTRIB_ORE_RESERVES_PLAT" hidden="1">"c9108"</definedName>
    <definedName name="IQ_PROBABLE_ATTRIB_ORE_RESERVES_SILVER" hidden="1">"c9055"</definedName>
    <definedName name="IQ_PROBABLE_ATTRIB_ORE_RESERVES_TITAN" hidden="1">"c9535"</definedName>
    <definedName name="IQ_PROBABLE_ATTRIB_ORE_RESERVES_URAN" hidden="1">"c9588"</definedName>
    <definedName name="IQ_PROBABLE_ATTRIB_ORE_RESERVES_ZINC" hidden="1">"c9323"</definedName>
    <definedName name="IQ_PROBABLE_ORE_RESERVES_ALUM" hidden="1">"c9209"</definedName>
    <definedName name="IQ_PROBABLE_ORE_RESERVES_COP" hidden="1">"c9153"</definedName>
    <definedName name="IQ_PROBABLE_ORE_RESERVES_DIAM" hidden="1">"c9633"</definedName>
    <definedName name="IQ_PROBABLE_ORE_RESERVES_GOLD" hidden="1">"c8994"</definedName>
    <definedName name="IQ_PROBABLE_ORE_RESERVES_IRON" hidden="1">"c9368"</definedName>
    <definedName name="IQ_PROBABLE_ORE_RESERVES_LEAD" hidden="1">"c9421"</definedName>
    <definedName name="IQ_PROBABLE_ORE_RESERVES_MANG" hidden="1">"c9474"</definedName>
    <definedName name="IQ_PROBABLE_ORE_RESERVES_MOLYB" hidden="1">"c9686"</definedName>
    <definedName name="IQ_PROBABLE_ORE_RESERVES_NICK" hidden="1">"c9262"</definedName>
    <definedName name="IQ_PROBABLE_ORE_RESERVES_PLAT" hidden="1">"c9100"</definedName>
    <definedName name="IQ_PROBABLE_ORE_RESERVES_SILVER" hidden="1">"c9047"</definedName>
    <definedName name="IQ_PROBABLE_ORE_RESERVES_TITAN" hidden="1">"c9527"</definedName>
    <definedName name="IQ_PROBABLE_ORE_RESERVES_URAN" hidden="1">"c9580"</definedName>
    <definedName name="IQ_PROBABLE_ORE_RESERVES_ZINC" hidden="1">"c9315"</definedName>
    <definedName name="IQ_PROBABLE_RECOV_ATTRIB_RESERVES_ALUM" hidden="1">"c9220"</definedName>
    <definedName name="IQ_PROBABLE_RECOV_ATTRIB_RESERVES_COAL" hidden="1">"c9804"</definedName>
    <definedName name="IQ_PROBABLE_RECOV_ATTRIB_RESERVES_COP" hidden="1">"c9164"</definedName>
    <definedName name="IQ_PROBABLE_RECOV_ATTRIB_RESERVES_DIAM" hidden="1">"c9644"</definedName>
    <definedName name="IQ_PROBABLE_RECOV_ATTRIB_RESERVES_GOLD" hidden="1">"c9005"</definedName>
    <definedName name="IQ_PROBABLE_RECOV_ATTRIB_RESERVES_IRON" hidden="1">"c9379"</definedName>
    <definedName name="IQ_PROBABLE_RECOV_ATTRIB_RESERVES_LEAD" hidden="1">"c9432"</definedName>
    <definedName name="IQ_PROBABLE_RECOV_ATTRIB_RESERVES_MANG" hidden="1">"c9485"</definedName>
    <definedName name="IQ_PROBABLE_RECOV_ATTRIB_RESERVES_MET_COAL" hidden="1">"c9744"</definedName>
    <definedName name="IQ_PROBABLE_RECOV_ATTRIB_RESERVES_MOLYB" hidden="1">"c9697"</definedName>
    <definedName name="IQ_PROBABLE_RECOV_ATTRIB_RESERVES_NICK" hidden="1">"c9273"</definedName>
    <definedName name="IQ_PROBABLE_RECOV_ATTRIB_RESERVES_PLAT" hidden="1">"c9111"</definedName>
    <definedName name="IQ_PROBABLE_RECOV_ATTRIB_RESERVES_SILVER" hidden="1">"c9058"</definedName>
    <definedName name="IQ_PROBABLE_RECOV_ATTRIB_RESERVES_STEAM" hidden="1">"c9774"</definedName>
    <definedName name="IQ_PROBABLE_RECOV_ATTRIB_RESERVES_TITAN" hidden="1">"c9538"</definedName>
    <definedName name="IQ_PROBABLE_RECOV_ATTRIB_RESERVES_URAN" hidden="1">"c9591"</definedName>
    <definedName name="IQ_PROBABLE_RECOV_ATTRIB_RESERVES_ZINC" hidden="1">"c9326"</definedName>
    <definedName name="IQ_PROBABLE_RECOV_RESERVES_ALUM" hidden="1">"c9214"</definedName>
    <definedName name="IQ_PROBABLE_RECOV_RESERVES_COAL" hidden="1">"c9801"</definedName>
    <definedName name="IQ_PROBABLE_RECOV_RESERVES_COP" hidden="1">"c9158"</definedName>
    <definedName name="IQ_PROBABLE_RECOV_RESERVES_DIAM" hidden="1">"c9638"</definedName>
    <definedName name="IQ_PROBABLE_RECOV_RESERVES_GOLD" hidden="1">"c8999"</definedName>
    <definedName name="IQ_PROBABLE_RECOV_RESERVES_IRON" hidden="1">"c9373"</definedName>
    <definedName name="IQ_PROBABLE_RECOV_RESERVES_LEAD" hidden="1">"c9426"</definedName>
    <definedName name="IQ_PROBABLE_RECOV_RESERVES_MANG" hidden="1">"c9479"</definedName>
    <definedName name="IQ_PROBABLE_RECOV_RESERVES_MET_COAL" hidden="1">"c9741"</definedName>
    <definedName name="IQ_PROBABLE_RECOV_RESERVES_MOLYB" hidden="1">"c9691"</definedName>
    <definedName name="IQ_PROBABLE_RECOV_RESERVES_NICK" hidden="1">"c9267"</definedName>
    <definedName name="IQ_PROBABLE_RECOV_RESERVES_PLAT" hidden="1">"c9105"</definedName>
    <definedName name="IQ_PROBABLE_RECOV_RESERVES_SILVER" hidden="1">"c9052"</definedName>
    <definedName name="IQ_PROBABLE_RECOV_RESERVES_STEAM" hidden="1">"c9771"</definedName>
    <definedName name="IQ_PROBABLE_RECOV_RESERVES_TITAN" hidden="1">"c9532"</definedName>
    <definedName name="IQ_PROBABLE_RECOV_RESERVES_URAN" hidden="1">"c9585"</definedName>
    <definedName name="IQ_PROBABLE_RECOV_RESERVES_ZINC" hidden="1">"c9320"</definedName>
    <definedName name="IQ_PROBABLE_RESERVES_CALORIFIC_VALUE_COAL" hidden="1">"c9798"</definedName>
    <definedName name="IQ_PROBABLE_RESERVES_CALORIFIC_VALUE_MET_COAL" hidden="1">"c9738"</definedName>
    <definedName name="IQ_PROBABLE_RESERVES_CALORIFIC_VALUE_STEAM" hidden="1">"c9768"</definedName>
    <definedName name="IQ_PROBABLE_RESERVES_GRADE_ALUM" hidden="1">"c9210"</definedName>
    <definedName name="IQ_PROBABLE_RESERVES_GRADE_COP" hidden="1">"c9154"</definedName>
    <definedName name="IQ_PROBABLE_RESERVES_GRADE_DIAM" hidden="1">"c9634"</definedName>
    <definedName name="IQ_PROBABLE_RESERVES_GRADE_GOLD" hidden="1">"c8995"</definedName>
    <definedName name="IQ_PROBABLE_RESERVES_GRADE_IRON" hidden="1">"c9369"</definedName>
    <definedName name="IQ_PROBABLE_RESERVES_GRADE_LEAD" hidden="1">"c9422"</definedName>
    <definedName name="IQ_PROBABLE_RESERVES_GRADE_MANG" hidden="1">"c9475"</definedName>
    <definedName name="IQ_PROBABLE_RESERVES_GRADE_MOLYB" hidden="1">"c9687"</definedName>
    <definedName name="IQ_PROBABLE_RESERVES_GRADE_NICK" hidden="1">"c9263"</definedName>
    <definedName name="IQ_PROBABLE_RESERVES_GRADE_PLAT" hidden="1">"c9101"</definedName>
    <definedName name="IQ_PROBABLE_RESERVES_GRADE_SILVER" hidden="1">"c9048"</definedName>
    <definedName name="IQ_PROBABLE_RESERVES_GRADE_TITAN" hidden="1">"c9528"</definedName>
    <definedName name="IQ_PROBABLE_RESERVES_GRADE_URAN" hidden="1">"c9581"</definedName>
    <definedName name="IQ_PROBABLE_RESERVES_GRADE_ZINC" hidden="1">"c9316"</definedName>
    <definedName name="IQ_PRODUCTION_COST_ALUM" hidden="1">"c9253"</definedName>
    <definedName name="IQ_PRODUCTION_COST_COAL" hidden="1">"c9826"</definedName>
    <definedName name="IQ_PRODUCTION_COST_COP" hidden="1">"c9200"</definedName>
    <definedName name="IQ_PRODUCTION_COST_DIAM" hidden="1">"c9677"</definedName>
    <definedName name="IQ_PRODUCTION_COST_GOLD" hidden="1">"c9038"</definedName>
    <definedName name="IQ_PRODUCTION_COST_IRON" hidden="1">"c9412"</definedName>
    <definedName name="IQ_PRODUCTION_COST_LEAD" hidden="1">"c9465"</definedName>
    <definedName name="IQ_PRODUCTION_COST_MANG" hidden="1">"c9518"</definedName>
    <definedName name="IQ_PRODUCTION_COST_MET_COAL" hidden="1">"c9763"</definedName>
    <definedName name="IQ_PRODUCTION_COST_MOLYB" hidden="1">"c9730"</definedName>
    <definedName name="IQ_PRODUCTION_COST_NICK" hidden="1">"c9306"</definedName>
    <definedName name="IQ_PRODUCTION_COST_PLAT" hidden="1">"c9144"</definedName>
    <definedName name="IQ_PRODUCTION_COST_SILVER" hidden="1">"c9091"</definedName>
    <definedName name="IQ_PRODUCTION_COST_STEAM" hidden="1">"c9793"</definedName>
    <definedName name="IQ_PRODUCTION_COST_TITAN" hidden="1">"c9571"</definedName>
    <definedName name="IQ_PRODUCTION_COST_URAN" hidden="1">"c9624"</definedName>
    <definedName name="IQ_PRODUCTION_COST_ZINC" hidden="1">"c9359"</definedName>
    <definedName name="IQ_PROFESSIONAL" hidden="1">"c1071"</definedName>
    <definedName name="IQ_PROFESSIONAL_ID" hidden="1">"c13755"</definedName>
    <definedName name="IQ_PROFESSIONAL_TITLE" hidden="1">"c1072"</definedName>
    <definedName name="IQ_PROFIT_AFTER_COST_CAPITAL_NEW_BUSINESS" hidden="1">"c9969"</definedName>
    <definedName name="IQ_PROFIT_BEFORE_COST_CAPITAL_NEW_BUSINESS" hidden="1">"c9967"</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"c518"</definedName>
    <definedName name="IQ_PROPERTY_MGMT_FEE" hidden="1">"c1074"</definedName>
    <definedName name="IQ_PROPERTY_NET" hidden="1">"c829"</definedName>
    <definedName name="IQ_PROV_BAD_DEBTS" hidden="1">"c1075"</definedName>
    <definedName name="IQ_PROV_BAD_DEBTS_CF" hidden="1">"c1076"</definedName>
    <definedName name="IQ_PROVED_ATTRIB_ORE_RESERVES_ALUM" hidden="1">"c9216"</definedName>
    <definedName name="IQ_PROVED_ATTRIB_ORE_RESERVES_COP" hidden="1">"c9160"</definedName>
    <definedName name="IQ_PROVED_ATTRIB_ORE_RESERVES_DIAM" hidden="1">"c9640"</definedName>
    <definedName name="IQ_PROVED_ATTRIB_ORE_RESERVES_GOLD" hidden="1">"c9001"</definedName>
    <definedName name="IQ_PROVED_ATTRIB_ORE_RESERVES_IRON" hidden="1">"c9375"</definedName>
    <definedName name="IQ_PROVED_ATTRIB_ORE_RESERVES_LEAD" hidden="1">"c9428"</definedName>
    <definedName name="IQ_PROVED_ATTRIB_ORE_RESERVES_MANG" hidden="1">"c9481"</definedName>
    <definedName name="IQ_PROVED_ATTRIB_ORE_RESERVES_MOLYB" hidden="1">"c9693"</definedName>
    <definedName name="IQ_PROVED_ATTRIB_ORE_RESERVES_NICK" hidden="1">"c9269"</definedName>
    <definedName name="IQ_PROVED_ATTRIB_ORE_RESERVES_PLAT" hidden="1">"c9107"</definedName>
    <definedName name="IQ_PROVED_ATTRIB_ORE_RESERVES_SILVER" hidden="1">"c9054"</definedName>
    <definedName name="IQ_PROVED_ATTRIB_ORE_RESERVES_TITAN" hidden="1">"c9534"</definedName>
    <definedName name="IQ_PROVED_ATTRIB_ORE_RESERVES_URAN" hidden="1">"c9587"</definedName>
    <definedName name="IQ_PROVED_ATTRIB_ORE_RESERVES_ZINC" hidden="1">"c9322"</definedName>
    <definedName name="IQ_PROVED_ORE_RESERVES_ALUM" hidden="1">"c9207"</definedName>
    <definedName name="IQ_PROVED_ORE_RESERVES_COP" hidden="1">"c9151"</definedName>
    <definedName name="IQ_PROVED_ORE_RESERVES_DIAM" hidden="1">"c9631"</definedName>
    <definedName name="IQ_PROVED_ORE_RESERVES_GOLD" hidden="1">"c8992"</definedName>
    <definedName name="IQ_PROVED_ORE_RESERVES_IRON" hidden="1">"c9366"</definedName>
    <definedName name="IQ_PROVED_ORE_RESERVES_LEAD" hidden="1">"c9419"</definedName>
    <definedName name="IQ_PROVED_ORE_RESERVES_MANG" hidden="1">"c9472"</definedName>
    <definedName name="IQ_PROVED_ORE_RESERVES_MOLYB" hidden="1">"c9684"</definedName>
    <definedName name="IQ_PROVED_ORE_RESERVES_NICK" hidden="1">"c9260"</definedName>
    <definedName name="IQ_PROVED_ORE_RESERVES_PLAT" hidden="1">"c9098"</definedName>
    <definedName name="IQ_PROVED_ORE_RESERVES_SILVER" hidden="1">"c9045"</definedName>
    <definedName name="IQ_PROVED_ORE_RESERVES_TITAN" hidden="1">"c9525"</definedName>
    <definedName name="IQ_PROVED_ORE_RESERVES_URAN" hidden="1">"c9578"</definedName>
    <definedName name="IQ_PROVED_ORE_RESERVES_ZINC" hidden="1">"c9313"</definedName>
    <definedName name="IQ_PROVED_RECOV_ATTRIB_RESERVES_ALUM" hidden="1">"c9219"</definedName>
    <definedName name="IQ_PROVED_RECOV_ATTRIB_RESERVES_COAL" hidden="1">"c9803"</definedName>
    <definedName name="IQ_PROVED_RECOV_ATTRIB_RESERVES_COP" hidden="1">"c9163"</definedName>
    <definedName name="IQ_PROVED_RECOV_ATTRIB_RESERVES_DIAM" hidden="1">"c9643"</definedName>
    <definedName name="IQ_PROVED_RECOV_ATTRIB_RESERVES_GOLD" hidden="1">"c9004"</definedName>
    <definedName name="IQ_PROVED_RECOV_ATTRIB_RESERVES_IRON" hidden="1">"c9378"</definedName>
    <definedName name="IQ_PROVED_RECOV_ATTRIB_RESERVES_LEAD" hidden="1">"c9431"</definedName>
    <definedName name="IQ_PROVED_RECOV_ATTRIB_RESERVES_MANG" hidden="1">"c9484"</definedName>
    <definedName name="IQ_PROVED_RECOV_ATTRIB_RESERVES_MET_COAL" hidden="1">"c9743"</definedName>
    <definedName name="IQ_PROVED_RECOV_ATTRIB_RESERVES_MOLYB" hidden="1">"c9696"</definedName>
    <definedName name="IQ_PROVED_RECOV_ATTRIB_RESERVES_NICK" hidden="1">"c9272"</definedName>
    <definedName name="IQ_PROVED_RECOV_ATTRIB_RESERVES_PLAT" hidden="1">"c9110"</definedName>
    <definedName name="IQ_PROVED_RECOV_ATTRIB_RESERVES_SILVER" hidden="1">"c9057"</definedName>
    <definedName name="IQ_PROVED_RECOV_ATTRIB_RESERVES_STEAM" hidden="1">"c9773"</definedName>
    <definedName name="IQ_PROVED_RECOV_ATTRIB_RESERVES_TITAN" hidden="1">"c9537"</definedName>
    <definedName name="IQ_PROVED_RECOV_ATTRIB_RESERVES_URAN" hidden="1">"c9590"</definedName>
    <definedName name="IQ_PROVED_RECOV_ATTRIB_RESERVES_ZINC" hidden="1">"c9325"</definedName>
    <definedName name="IQ_PROVED_RECOV_RESERVES_ALUM" hidden="1">"c9213"</definedName>
    <definedName name="IQ_PROVED_RECOV_RESERVES_COAL" hidden="1">"c9800"</definedName>
    <definedName name="IQ_PROVED_RECOV_RESERVES_COP" hidden="1">"c9157"</definedName>
    <definedName name="IQ_PROVED_RECOV_RESERVES_DIAM" hidden="1">"c9637"</definedName>
    <definedName name="IQ_PROVED_RECOV_RESERVES_GOLD" hidden="1">"c8998"</definedName>
    <definedName name="IQ_PROVED_RECOV_RESERVES_IRON" hidden="1">"c9372"</definedName>
    <definedName name="IQ_PROVED_RECOV_RESERVES_LEAD" hidden="1">"c9425"</definedName>
    <definedName name="IQ_PROVED_RECOV_RESERVES_MANG" hidden="1">"c9478"</definedName>
    <definedName name="IQ_PROVED_RECOV_RESERVES_MET_COAL" hidden="1">"c9740"</definedName>
    <definedName name="IQ_PROVED_RECOV_RESERVES_MOLYB" hidden="1">"c9690"</definedName>
    <definedName name="IQ_PROVED_RECOV_RESERVES_NICK" hidden="1">"c9266"</definedName>
    <definedName name="IQ_PROVED_RECOV_RESERVES_PLAT" hidden="1">"c9104"</definedName>
    <definedName name="IQ_PROVED_RECOV_RESERVES_SILVER" hidden="1">"c9051"</definedName>
    <definedName name="IQ_PROVED_RECOV_RESERVES_STEAM" hidden="1">"c9770"</definedName>
    <definedName name="IQ_PROVED_RECOV_RESERVES_TITAN" hidden="1">"c9531"</definedName>
    <definedName name="IQ_PROVED_RECOV_RESERVES_URAN" hidden="1">"c9584"</definedName>
    <definedName name="IQ_PROVED_RECOV_RESERVES_ZINC" hidden="1">"c9319"</definedName>
    <definedName name="IQ_PROVED_RESERVES_CALORIFIC_VALUE_COAL" hidden="1">"c9797"</definedName>
    <definedName name="IQ_PROVED_RESERVES_CALORIFIC_VALUE_MET_COAL" hidden="1">"c9737"</definedName>
    <definedName name="IQ_PROVED_RESERVES_CALORIFIC_VALUE_STEAM" hidden="1">"c9767"</definedName>
    <definedName name="IQ_PROVED_RESERVES_GRADE_ALUM" hidden="1">"c9208"</definedName>
    <definedName name="IQ_PROVED_RESERVES_GRADE_COP" hidden="1">"c9152"</definedName>
    <definedName name="IQ_PROVED_RESERVES_GRADE_DIAM" hidden="1">"c9632"</definedName>
    <definedName name="IQ_PROVED_RESERVES_GRADE_GOLD" hidden="1">"c8993"</definedName>
    <definedName name="IQ_PROVED_RESERVES_GRADE_IRON" hidden="1">"c9367"</definedName>
    <definedName name="IQ_PROVED_RESERVES_GRADE_LEAD" hidden="1">"c9420"</definedName>
    <definedName name="IQ_PROVED_RESERVES_GRADE_MANG" hidden="1">"c9473"</definedName>
    <definedName name="IQ_PROVED_RESERVES_GRADE_MOLYB" hidden="1">"c9685"</definedName>
    <definedName name="IQ_PROVED_RESERVES_GRADE_NICK" hidden="1">"c9261"</definedName>
    <definedName name="IQ_PROVED_RESERVES_GRADE_PLAT" hidden="1">"c9099"</definedName>
    <definedName name="IQ_PROVED_RESERVES_GRADE_SILVER" hidden="1">"c9046"</definedName>
    <definedName name="IQ_PROVED_RESERVES_GRADE_TITAN" hidden="1">"c9526"</definedName>
    <definedName name="IQ_PROVED_RESERVES_GRADE_URAN" hidden="1">"c9579"</definedName>
    <definedName name="IQ_PROVED_RESERVES_GRADE_ZINC" hidden="1">"c9314"</definedName>
    <definedName name="IQ_PROVISION_10YR_ANN_CAGR" hidden="1">"c6135"</definedName>
    <definedName name="IQ_PROVISION_10YR_ANN_GROWTH" hidden="1">"c1077"</definedName>
    <definedName name="IQ_PROVISION_1YR_ANN_GROWTH" hidden="1">"c1078"</definedName>
    <definedName name="IQ_PROVISION_2YR_ANN_CAGR" hidden="1">"c6136"</definedName>
    <definedName name="IQ_PROVISION_2YR_ANN_GROWTH" hidden="1">"c1079"</definedName>
    <definedName name="IQ_PROVISION_3YR_ANN_CAGR" hidden="1">"c6137"</definedName>
    <definedName name="IQ_PROVISION_3YR_ANN_GROWTH" hidden="1">"c1080"</definedName>
    <definedName name="IQ_PROVISION_5YR_ANN_CAGR" hidden="1">"c6138"</definedName>
    <definedName name="IQ_PROVISION_5YR_ANN_GROWTH" hidden="1">"c1081"</definedName>
    <definedName name="IQ_PROVISION_7YR_ANN_CAGR" hidden="1">"c6139"</definedName>
    <definedName name="IQ_PROVISION_7YR_ANN_GROWTH" hidden="1">"c1082"</definedName>
    <definedName name="IQ_PROVISION_CHARGE_OFFS" hidden="1">"c1083"</definedName>
    <definedName name="IQ_PROVISION_LL_FFIEC" hidden="1">"c13019"</definedName>
    <definedName name="IQ_PROVISION_LOSSES_AVG_ASSETS_FFIEC" hidden="1">"c13362"</definedName>
    <definedName name="IQ_PROVISION_LOSSES_AVG_LOANS_FFIEC" hidden="1">"c13470"</definedName>
    <definedName name="IQ_PROVISION_LOSSES_NET_LOSSES_FFIEC" hidden="1">"c13471"</definedName>
    <definedName name="IQ_PTBV" hidden="1">"c1084"</definedName>
    <definedName name="IQ_PTBV_AVG" hidden="1">"c1085"</definedName>
    <definedName name="IQ_PURCHASE_FOREIGN_CURRENCIES_FDIC" hidden="1">"c6513"</definedName>
    <definedName name="IQ_PURCHASE_TREASURY_FFIEC" hidden="1">"c12966"</definedName>
    <definedName name="IQ_PURCHASED_CREDIT_RELS_SERVICING_ASSETS_FFIEC" hidden="1">"c12839"</definedName>
    <definedName name="IQ_PURCHASED_OPTION_CONTRACTS_FDIC" hidden="1">"c6510"</definedName>
    <definedName name="IQ_PURCHASED_OPTION_CONTRACTS_FX_RISK_FDIC" hidden="1">"c6515"</definedName>
    <definedName name="IQ_PURCHASED_OPTION_CONTRACTS_NON_FX_IR_FDIC" hidden="1">"c6520"</definedName>
    <definedName name="IQ_PURCHASES_EQUIP_NONRES_SAAR_APR_FC_UNUSED" hidden="1">"c8491"</definedName>
    <definedName name="IQ_PURCHASES_EQUIP_NONRES_SAAR_APR_UNUSED" hidden="1">"c7611"</definedName>
    <definedName name="IQ_PURCHASES_EQUIP_NONRES_SAAR_FC_UNUSED" hidden="1">"c7831"</definedName>
    <definedName name="IQ_PURCHASES_EQUIP_NONRES_SAAR_POP_FC_UNUSED" hidden="1">"c8051"</definedName>
    <definedName name="IQ_PURCHASES_EQUIP_NONRES_SAAR_POP_UNUSED" hidden="1">"c7171"</definedName>
    <definedName name="IQ_PURCHASES_EQUIP_NONRES_SAAR_UNUSED" hidden="1">"c6951"</definedName>
    <definedName name="IQ_PURCHASES_EQUIP_NONRES_SAAR_YOY_FC_UNUSED" hidden="1">"c8271"</definedName>
    <definedName name="IQ_PURCHASES_EQUIP_NONRES_SAAR_YOY_UNUSED" hidden="1">"c7391"</definedName>
    <definedName name="IQ_PURCHASING_SECURITIES_LL_REC_FFIEC" hidden="1">"c12893"</definedName>
    <definedName name="IQ_PUT_DATE_SCHEDULE" hidden="1">"c2483"</definedName>
    <definedName name="IQ_PUT_NOTIFICATION" hidden="1">"c2485"</definedName>
    <definedName name="IQ_PUT_PRICE_SCHEDULE" hidden="1">"c2484"</definedName>
    <definedName name="IQ_PV_PREMIUMS_NEW_BUSINESS" hidden="1">"c9973"</definedName>
    <definedName name="IQ_QUALIFYING_MINORITY_INT_T1_FFIEC" hidden="1">"c13135"</definedName>
    <definedName name="IQ_QUALIFYING_SUB_DEBT_REDEEM_PREF_T2_FFIEC" hidden="1">"c13144"</definedName>
    <definedName name="IQ_QUALIFYING_TRUST_PREFERRED_T1_FFIEC" hidden="1">"c13136"</definedName>
    <definedName name="IQ_QUICK_COMP" hidden="1">"c13750"</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_1_4_RISK_BASED_FFIEC" hidden="1">"c13418"</definedName>
    <definedName name="IQ_RE_ACQ_SATISFACTION_DEBTS_FFIEC" hidden="1">"c12832"</definedName>
    <definedName name="IQ_RE_DEPR_AMORT" hidden="1">"c8750"</definedName>
    <definedName name="IQ_RE_FARMLAND_GROSS_LOANS_FFIEC" hidden="1">"c13408"</definedName>
    <definedName name="IQ_RE_FARMLAND_RISK_BASED_FFIEC" hidden="1">"c13429"</definedName>
    <definedName name="IQ_RE_FCCR" hidden="1">"c8858"</definedName>
    <definedName name="IQ_RE_FCCR_CONT_OPS" hidden="1">"c8859"</definedName>
    <definedName name="IQ_RE_FCCR_INCL_DISC_OPS" hidden="1">"c8860"</definedName>
    <definedName name="IQ_RE_FCCR_INCL_PREF_DIV" hidden="1">"c8861"</definedName>
    <definedName name="IQ_RE_FCCR_INCL_PREF_DIV_CONT_OPS" hidden="1">"c8862"</definedName>
    <definedName name="IQ_RE_FCCR_INCL_PREF_DIV_INCL_DISC_OPS" hidden="1">"c8863"</definedName>
    <definedName name="IQ_RE_FIXED_CHARGES" hidden="1">"c8856"</definedName>
    <definedName name="IQ_RE_FIXED_CHARGES_INCL_PREF_DIV" hidden="1">"c8857"</definedName>
    <definedName name="IQ_RE_FORECLOSURE_FDIC" hidden="1">"c6332"</definedName>
    <definedName name="IQ_RE_FOREIGN_FFIEC" hidden="1">"c13479"</definedName>
    <definedName name="IQ_RE_GAIN_LOSS_SALE_ASSETS" hidden="1">"c8751"</definedName>
    <definedName name="IQ_RE_INVEST_FDIC" hidden="1">"c6331"</definedName>
    <definedName name="IQ_RE_LOANS_1_4_GROSS_LOANS_FFIEC" hidden="1">"c13397"</definedName>
    <definedName name="IQ_RE_LOANS_DOMESTIC_CHARGE_OFFS_FDIC" hidden="1">"c6589"</definedName>
    <definedName name="IQ_RE_LOANS_DOMESTIC_FDIC" hidden="1">"c6309"</definedName>
    <definedName name="IQ_RE_LOANS_DOMESTIC_NET_CHARGE_OFFS_FDIC" hidden="1">"c6627"</definedName>
    <definedName name="IQ_RE_LOANS_DOMESTIC_RECOVERIES_FDIC" hidden="1">"c6608"</definedName>
    <definedName name="IQ_RE_LOANS_FDIC" hidden="1">"c6308"</definedName>
    <definedName name="IQ_RE_LOANS_FOREIGN_CHARGE_OFFS_FDIC" hidden="1">"c6595"</definedName>
    <definedName name="IQ_RE_LOANS_FOREIGN_NET_CHARGE_OFFS_FDIC" hidden="1">"c6633"</definedName>
    <definedName name="IQ_RE_LOANS_FOREIGN_RECOVERIES_FDIC" hidden="1">"c6614"</definedName>
    <definedName name="IQ_RE_LOANS_GROSS_LOANS_FFIEC" hidden="1">"c13396"</definedName>
    <definedName name="IQ_RE_MAINT_CAPEX" hidden="1">"c8755"</definedName>
    <definedName name="IQ_RE_MINORITY_INTEREST" hidden="1">"c8752"</definedName>
    <definedName name="IQ_RE_NET_INCOME" hidden="1">"c8749"</definedName>
    <definedName name="IQ_RE_NOI" hidden="1">"c8864"</definedName>
    <definedName name="IQ_RE_NOI_GROWTH_SAME_PROP" hidden="1">"c8866"</definedName>
    <definedName name="IQ_RE_NOI_SAME_PROP" hidden="1">"c8865"</definedName>
    <definedName name="IQ_RE_OTHER_ITEMS" hidden="1">"c8753"</definedName>
    <definedName name="IQ_RE_RISK_BASED_FFIEC" hidden="1">"c13417"</definedName>
    <definedName name="IQ_REAL_ESTATE" hidden="1">"c1093"</definedName>
    <definedName name="IQ_REAL_ESTATE_ASSETS" hidden="1">"c1094"</definedName>
    <definedName name="IQ_REALIZED_GAINS_AVAIL_SALE_SEC_FFIEC" hidden="1">"c13022"</definedName>
    <definedName name="IQ_REALIZED_GAINS_HELD_MATURITY_SEC_FFIEC" hidden="1">"c13021"</definedName>
    <definedName name="IQ_REALIZED_GAINS_SEC_TOT_FFIEC" hidden="1">"c13517"</definedName>
    <definedName name="IQ_RECOVERIES_1_4_FAMILY_LOANS_FDIC" hidden="1">"c6707"</definedName>
    <definedName name="IQ_RECOVERIES_AUTO_LOANS_FDIC" hidden="1">"c6701"</definedName>
    <definedName name="IQ_RECOVERIES_AVG_LOANS_FFIEC" hidden="1">"c13476"</definedName>
    <definedName name="IQ_RECOVERIES_CL_LOANS_FDIC" hidden="1">"c6702"</definedName>
    <definedName name="IQ_RECOVERIES_CREDIT_CARDS_RECEIVABLES_FDIC" hidden="1">"c6704"</definedName>
    <definedName name="IQ_RECOVERIES_HOME_EQUITY_LINES_FDIC" hidden="1">"c6705"</definedName>
    <definedName name="IQ_RECOVERIES_OTHER_CONSUMER_LOANS_FDIC" hidden="1">"c6703"</definedName>
    <definedName name="IQ_RECOVERIES_OTHER_LOANS_FDIC" hidden="1">"c6706"</definedName>
    <definedName name="IQ_RECURRING_PROFIT_ACT_OR_EST" hidden="1">"c4507"</definedName>
    <definedName name="IQ_RECURRING_PROFIT_ACT_OR_EST_CIQ" hidden="1">"c5045"</definedName>
    <definedName name="IQ_RECURRING_PROFIT_EST" hidden="1">"c4499"</definedName>
    <definedName name="IQ_RECURRING_PROFIT_HIGH_EST" hidden="1">"c4501"</definedName>
    <definedName name="IQ_RECURRING_PROFIT_LOW_EST" hidden="1">"c4502"</definedName>
    <definedName name="IQ_RECURRING_PROFIT_MEDIAN_EST" hidden="1">"c4503"</definedName>
    <definedName name="IQ_RECURRING_PROFIT_NUM_EST" hidden="1">"c4504"</definedName>
    <definedName name="IQ_RECURRING_PROFIT_SHARE_ACT_OR_EST" hidden="1">"c4508"</definedName>
    <definedName name="IQ_RECURRING_PROFIT_SHARE_ACT_OR_EST_CIQ" hidden="1">"c5046"</definedName>
    <definedName name="IQ_RECURRING_PROFIT_SHARE_EST" hidden="1">"c4506"</definedName>
    <definedName name="IQ_RECURRING_PROFIT_SHARE_HIGH_EST" hidden="1">"c4510"</definedName>
    <definedName name="IQ_RECURRING_PROFIT_SHARE_LOW_EST" hidden="1">"c4511"</definedName>
    <definedName name="IQ_RECURRING_PROFIT_SHARE_MEDIAN_EST" hidden="1">"c4512"</definedName>
    <definedName name="IQ_RECURRING_PROFIT_SHARE_NUM_EST" hidden="1">"c4513"</definedName>
    <definedName name="IQ_RECURRING_PROFIT_SHARE_STDDEV_EST" hidden="1">"c4514"</definedName>
    <definedName name="IQ_RECURRING_PROFIT_STDDEV_EST" hidden="1">"c4516"</definedName>
    <definedName name="IQ_REDEEM_PREF_STOCK" hidden="1">"c1059"</definedName>
    <definedName name="IQ_REF_ENTITY" hidden="1">"c6033"</definedName>
    <definedName name="IQ_REF_ENTITY_CIQID" hidden="1">"c6024"</definedName>
    <definedName name="IQ_REF_ENTITY_TICKER" hidden="1">"c6023"</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INSURANCE_RECOVERABLE_ASSETS_LH_FFIEC" hidden="1">"c13104"</definedName>
    <definedName name="IQ_REINSURANCE_RECOVERABLE_ASSETS_PC_FFIEC" hidden="1">"c13098"</definedName>
    <definedName name="IQ_RELATED_PLANS_FDIC" hidden="1">"c6320"</definedName>
    <definedName name="IQ_RENT_OTHER_INC_FROM_OREO_FFIEC" hidden="1">"c13043"</definedName>
    <definedName name="IQ_RENT_PER_SQ_FT_AVG_CONSOL" hidden="1">"c8846"</definedName>
    <definedName name="IQ_RENT_PER_SQ_FT_AVG_MANAGED" hidden="1">"c8848"</definedName>
    <definedName name="IQ_RENT_PER_SQ_FT_AVG_OTHER" hidden="1">"c8849"</definedName>
    <definedName name="IQ_RENT_PER_SQ_FT_AVG_TOTAL" hidden="1">"c8850"</definedName>
    <definedName name="IQ_RENT_PER_SQ_FT_AVG_UNCONSOL" hidden="1">"c8847"</definedName>
    <definedName name="IQ_RENT_PER_SQ_METER_AVG_CONSOL" hidden="1">"c8851"</definedName>
    <definedName name="IQ_RENT_PER_SQ_METER_AVG_MANAGED" hidden="1">"c8853"</definedName>
    <definedName name="IQ_RENT_PER_SQ_METER_AVG_OTHER" hidden="1">"c8854"</definedName>
    <definedName name="IQ_RENT_PER_SQ_METER_AVG_TOTAL" hidden="1">"c8855"</definedName>
    <definedName name="IQ_RENT_PER_SQ_METER_AVG_UNCONSOL" hidden="1">"c8852"</definedName>
    <definedName name="IQ_RENT_SAFE_DEPOSIT_FFIEC" hidden="1">"c13044"</definedName>
    <definedName name="IQ_RENTAL_REV" hidden="1">"c1101"</definedName>
    <definedName name="IQ_REPRICEABLE_EARNING_ASSETS_INT_SENSITIVITY_FFIEC" hidden="1">"c13093"</definedName>
    <definedName name="IQ_REPRICEABLE_INT_DEPOSITS_INT_SENSITIVITY_FFIEC" hidden="1">"c13094"</definedName>
    <definedName name="IQ_REPURCHASED_REBOOKED_GNMA_DUE_30_89_FFIEC" hidden="1">"c13283"</definedName>
    <definedName name="IQ_REPURCHASED_REBOOKED_GNMA_DUE_90_FFIEC" hidden="1">"c13309"</definedName>
    <definedName name="IQ_REPURCHASED_REBOOKED_GNMA_NON_ACCRUAL_FFIEC" hidden="1">"c13334"</definedName>
    <definedName name="IQ_RES_CONST_REAL_APR_FC_UNUSED" hidden="1">"c8536"</definedName>
    <definedName name="IQ_RES_CONST_REAL_APR_UNUSED" hidden="1">"c7656"</definedName>
    <definedName name="IQ_RES_CONST_REAL_FC_UNUSED" hidden="1">"c7876"</definedName>
    <definedName name="IQ_RES_CONST_REAL_POP_FC_UNUSED" hidden="1">"c8096"</definedName>
    <definedName name="IQ_RES_CONST_REAL_POP_UNUSED" hidden="1">"c7216"</definedName>
    <definedName name="IQ_RES_CONST_REAL_SAAR_APR_FC_UNUSED" hidden="1">"c8537"</definedName>
    <definedName name="IQ_RES_CONST_REAL_SAAR_APR_UNUSED" hidden="1">"c7657"</definedName>
    <definedName name="IQ_RES_CONST_REAL_SAAR_FC_UNUSED" hidden="1">"c7877"</definedName>
    <definedName name="IQ_RES_CONST_REAL_SAAR_POP_FC_UNUSED" hidden="1">"c8097"</definedName>
    <definedName name="IQ_RES_CONST_REAL_SAAR_POP_UNUSED" hidden="1">"c7217"</definedName>
    <definedName name="IQ_RES_CONST_REAL_SAAR_UNUSED" hidden="1">"c6997"</definedName>
    <definedName name="IQ_RES_CONST_REAL_SAAR_YOY_FC_UNUSED" hidden="1">"c8317"</definedName>
    <definedName name="IQ_RES_CONST_REAL_SAAR_YOY_UNUSED" hidden="1">"c7437"</definedName>
    <definedName name="IQ_RES_CONST_REAL_UNUSED" hidden="1">"c6996"</definedName>
    <definedName name="IQ_RES_CONST_REAL_YOY_FC_UNUSED" hidden="1">"c8316"</definedName>
    <definedName name="IQ_RES_CONST_REAL_YOY_UNUSED" hidden="1">"c7436"</definedName>
    <definedName name="IQ_RES_CONST_SAAR_APR_FC_UNUSED" hidden="1">"c8540"</definedName>
    <definedName name="IQ_RES_CONST_SAAR_APR_UNUSED" hidden="1">"c7660"</definedName>
    <definedName name="IQ_RES_CONST_SAAR_FC_UNUSED" hidden="1">"c7880"</definedName>
    <definedName name="IQ_RES_CONST_SAAR_POP_FC_UNUSED" hidden="1">"c8100"</definedName>
    <definedName name="IQ_RES_CONST_SAAR_POP_UNUSED" hidden="1">"c7220"</definedName>
    <definedName name="IQ_RES_CONST_SAAR_UNUSED" hidden="1">"c7000"</definedName>
    <definedName name="IQ_RES_CONST_SAAR_YOY_FC_UNUSED" hidden="1">"c8320"</definedName>
    <definedName name="IQ_RES_CONST_SAAR_YOY_UNUSED" hidden="1">"c7440"</definedName>
    <definedName name="IQ_RES_FIXED_INVEST" hidden="1">"c7001"</definedName>
    <definedName name="IQ_RES_FIXED_INVEST_APR" hidden="1">"c7661"</definedName>
    <definedName name="IQ_RES_FIXED_INVEST_APR_FC" hidden="1">"c8541"</definedName>
    <definedName name="IQ_RES_FIXED_INVEST_FC" hidden="1">"c7881"</definedName>
    <definedName name="IQ_RES_FIXED_INVEST_POP" hidden="1">"c7221"</definedName>
    <definedName name="IQ_RES_FIXED_INVEST_POP_FC" hidden="1">"c8101"</definedName>
    <definedName name="IQ_RES_FIXED_INVEST_REAL" hidden="1">"c6998"</definedName>
    <definedName name="IQ_RES_FIXED_INVEST_REAL_APR" hidden="1">"c7658"</definedName>
    <definedName name="IQ_RES_FIXED_INVEST_REAL_APR_FC" hidden="1">"c8538"</definedName>
    <definedName name="IQ_RES_FIXED_INVEST_REAL_FC" hidden="1">"c7878"</definedName>
    <definedName name="IQ_RES_FIXED_INVEST_REAL_POP" hidden="1">"c7218"</definedName>
    <definedName name="IQ_RES_FIXED_INVEST_REAL_POP_FC" hidden="1">"c8098"</definedName>
    <definedName name="IQ_RES_FIXED_INVEST_REAL_YOY" hidden="1">"c7438"</definedName>
    <definedName name="IQ_RES_FIXED_INVEST_REAL_YOY_FC" hidden="1">"c8318"</definedName>
    <definedName name="IQ_RES_FIXED_INVEST_SAAR" hidden="1">"c11994"</definedName>
    <definedName name="IQ_RES_FIXED_INVEST_SAAR_APR" hidden="1">"c11997"</definedName>
    <definedName name="IQ_RES_FIXED_INVEST_SAAR_POP" hidden="1">"c11995"</definedName>
    <definedName name="IQ_RES_FIXED_INVEST_SAAR_REAL" hidden="1">"c11990"</definedName>
    <definedName name="IQ_RES_FIXED_INVEST_SAAR_REAL_APR" hidden="1">"c11993"</definedName>
    <definedName name="IQ_RES_FIXED_INVEST_SAAR_REAL_POP" hidden="1">"c11991"</definedName>
    <definedName name="IQ_RES_FIXED_INVEST_SAAR_REAL_YOY" hidden="1">"c11992"</definedName>
    <definedName name="IQ_RES_FIXED_INVEST_SAAR_YOY" hidden="1">"c11996"</definedName>
    <definedName name="IQ_RES_FIXED_INVEST_YOY" hidden="1">"c7441"</definedName>
    <definedName name="IQ_RES_FIXED_INVEST_YOY_FC" hidden="1">"c8321"</definedName>
    <definedName name="IQ_RESEARCH_DEV" hidden="1">"c1090"</definedName>
    <definedName name="IQ_RESIDENTIAL_LOANS" hidden="1">"c1102"</definedName>
    <definedName name="IQ_REST_ACQUIRED_AFFILIATED_OTHER_RESTAURANTS" hidden="1">"c9873"</definedName>
    <definedName name="IQ_REST_ACQUIRED_FRANCHISE_RESTAURANTS" hidden="1">"c9867"</definedName>
    <definedName name="IQ_REST_ACQUIRED_OWNED_RESTAURANTS" hidden="1">"c9861"</definedName>
    <definedName name="IQ_REST_ACQUIRED_RESTAURANTS" hidden="1">"c9855"</definedName>
    <definedName name="IQ_REST_AFFILIATED_OTHER_RESTAURANTS_BEG" hidden="1">"c9871"</definedName>
    <definedName name="IQ_REST_AVG_VALUE_TRANSACTION" hidden="1">"c9887"</definedName>
    <definedName name="IQ_REST_AVG_VALUE_TRANSACTION_GROWTH" hidden="1">"c9888"</definedName>
    <definedName name="IQ_REST_AVG_WEEKLY_SALES" hidden="1">"c9879"</definedName>
    <definedName name="IQ_REST_AVG_WEEKLY_SALES_FRANCHISE" hidden="1">"c9877"</definedName>
    <definedName name="IQ_REST_AVG_WEEKLY_SALES_OWNED" hidden="1">"c9878"</definedName>
    <definedName name="IQ_REST_CLOSED_AFFILIATED_OTHER_RESTAURANTS" hidden="1">"c9874"</definedName>
    <definedName name="IQ_REST_CLOSED_FRANCHISE_RESTAURANTS" hidden="1">"c9868"</definedName>
    <definedName name="IQ_REST_CLOSED_OWNED_RESTAURANTS" hidden="1">"c9862"</definedName>
    <definedName name="IQ_REST_CLOSED_RESTAURANTS" hidden="1">"c9856"</definedName>
    <definedName name="IQ_REST_FRANCHISE_RESTAURANTS_BEG" hidden="1">"c9865"</definedName>
    <definedName name="IQ_REST_GUEST_COUNT_GROWTH" hidden="1">"c9889"</definedName>
    <definedName name="IQ_REST_OPENED_AFFILIATED_OTHER_RESTAURANTS" hidden="1">"c9872"</definedName>
    <definedName name="IQ_REST_OPENED_FRANCHISE_RESTAURANTS" hidden="1">"c9866"</definedName>
    <definedName name="IQ_REST_OPENED_OWNED_RESTAURANTS" hidden="1">"c9860"</definedName>
    <definedName name="IQ_REST_OPENED_RESTAURANTS" hidden="1">"c9854"</definedName>
    <definedName name="IQ_REST_OPERATING_MARGIN" hidden="1">"c9886"</definedName>
    <definedName name="IQ_REST_OWNED_RESTAURANTS_BEG" hidden="1">"c9859"</definedName>
    <definedName name="IQ_REST_RESTAURANTS_BEG" hidden="1">"c9853"</definedName>
    <definedName name="IQ_REST_SAME_RESTAURANT_SALES" hidden="1">"c9885"</definedName>
    <definedName name="IQ_REST_SAME_RESTAURANT_SALES_FRANCHISE" hidden="1">"c9883"</definedName>
    <definedName name="IQ_REST_SAME_RESTAURANT_SALES_GROWTH" hidden="1">"c9882"</definedName>
    <definedName name="IQ_REST_SAME_RESTAURANT_SALES_GROWTH_FRANCHISE" hidden="1">"c9880"</definedName>
    <definedName name="IQ_REST_SAME_RESTAURANT_SALES_GROWTH_OWNED" hidden="1">"c9881"</definedName>
    <definedName name="IQ_REST_SAME_RESTAURANT_SALES_OWNED" hidden="1">"c9884"</definedName>
    <definedName name="IQ_REST_SOLD_AFFILIATED_OTHER_RESTAURANTS" hidden="1">"c9875"</definedName>
    <definedName name="IQ_REST_SOLD_FRANCHISE_RESTAURANTS" hidden="1">"c9869"</definedName>
    <definedName name="IQ_REST_SOLD_OWNED_RESTAURANTS" hidden="1">"c9863"</definedName>
    <definedName name="IQ_REST_SOLD_RESTAURANTS" hidden="1">"c9857"</definedName>
    <definedName name="IQ_REST_TOTAL_AFFILIATED_OTHER_RESTAURANTS" hidden="1">"c9876"</definedName>
    <definedName name="IQ_REST_TOTAL_FRANCHISE_RESTAURANTS" hidden="1">"c9870"</definedName>
    <definedName name="IQ_REST_TOTAL_OWNED_RESTAURANTS" hidden="1">"c9864"</definedName>
    <definedName name="IQ_REST_TOTAL_RESTAURANTS" hidden="1">"c9858"</definedName>
    <definedName name="IQ_RESTATEMENT_BS" hidden="1">"c1643"</definedName>
    <definedName name="IQ_RESTATEMENT_CF" hidden="1">"c1644"</definedName>
    <definedName name="IQ_RESTATEMENT_IS" hidden="1">"c1642"</definedName>
    <definedName name="IQ_RESTATEMENTS_FFIEC" hidden="1">"c12958"</definedName>
    <definedName name="IQ_RESTATEMENTS_NET_FDIC" hidden="1">"c6500"</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ICTED_CASH_NON_CURRENT" hidden="1">"c6192"</definedName>
    <definedName name="IQ_RESTRICTED_CASH_TOTAL" hidden="1">"c6193"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 hidden="1">"c6264"</definedName>
    <definedName name="IQ_RESTRUCTURE_REIT" hidden="1">"c1110"</definedName>
    <definedName name="IQ_RESTRUCTURE_SUPPLE" hidden="1">"c13809"</definedName>
    <definedName name="IQ_RESTRUCTURE_UTI" hidden="1">"c1111"</definedName>
    <definedName name="IQ_RESTRUCTURED_LOANS" hidden="1">"c1112"</definedName>
    <definedName name="IQ_RESTRUCTURED_LOANS_1_4_RESIDENTIAL_FDIC" hidden="1">"c6378"</definedName>
    <definedName name="IQ_RESTRUCTURED_LOANS_LEASES_FDIC" hidden="1">"c6377"</definedName>
    <definedName name="IQ_RESTRUCTURED_LOANS_NON_1_4_FDIC" hidden="1">"c6379"</definedName>
    <definedName name="IQ_RETAIL_ACQUIRED_AFFILIATED_OTHER_STORES" hidden="1">"c9892"</definedName>
    <definedName name="IQ_RETAIL_ACQUIRED_FRANCHISE_STORES" hidden="1">"c2903"</definedName>
    <definedName name="IQ_RETAIL_ACQUIRED_OWNED_STORES" hidden="1">"c2895"</definedName>
    <definedName name="IQ_RETAIL_ACQUIRED_STORES" hidden="1">"c2887"</definedName>
    <definedName name="IQ_RETAIL_AFFILIATED_OTHER_STORES_BEG" hidden="1">"c9890"</definedName>
    <definedName name="IQ_RETAIL_AVG_SQ_METERS_GROSS" hidden="1">"c9908"</definedName>
    <definedName name="IQ_RETAIL_AVG_SQ_METERS_NET" hidden="1">"c9907"</definedName>
    <definedName name="IQ_RETAIL_AVG_STORE_SIZE_GROSS" hidden="1">"c2066"</definedName>
    <definedName name="IQ_RETAIL_AVG_STORE_SIZE_NET" hidden="1">"c2067"</definedName>
    <definedName name="IQ_RETAIL_AVG_VALUE_TRANSACTION" hidden="1">"c9915"</definedName>
    <definedName name="IQ_RETAIL_AVG_VALUE_TRANSACTION_GROWTH" hidden="1">"c9916"</definedName>
    <definedName name="IQ_RETAIL_AVG_WK_SALES" hidden="1">"c2891"</definedName>
    <definedName name="IQ_RETAIL_AVG_WK_SALES_FRANCHISE" hidden="1">"c2899"</definedName>
    <definedName name="IQ_RETAIL_AVG_WK_SALES_OWNED" hidden="1">"c2907"</definedName>
    <definedName name="IQ_RETAIL_CLOSED_AFFILIATED_OTHER_STORES" hidden="1">"c9893"</definedName>
    <definedName name="IQ_RETAIL_CLOSED_FRANCHISE_STORES" hidden="1">"c2896"</definedName>
    <definedName name="IQ_RETAIL_CLOSED_OWNED_STORES" hidden="1">"c2904"</definedName>
    <definedName name="IQ_RETAIL_CLOSED_STORES" hidden="1">"c2063"</definedName>
    <definedName name="IQ_RETAIL_DEPOSITS_FDIC" hidden="1">"c6488"</definedName>
    <definedName name="IQ_RETAIL_FRANCHISE_STORES_BEG" hidden="1">"c2893"</definedName>
    <definedName name="IQ_RETAIL_GROSS_MARGIN" hidden="1">"c9899"</definedName>
    <definedName name="IQ_RETAIL_IS_RATIO" hidden="1">"c7002"</definedName>
    <definedName name="IQ_RETAIL_IS_RATIO_FC" hidden="1">"c7882"</definedName>
    <definedName name="IQ_RETAIL_IS_RATIO_POP" hidden="1">"c7222"</definedName>
    <definedName name="IQ_RETAIL_IS_RATIO_POP_FC" hidden="1">"c8102"</definedName>
    <definedName name="IQ_RETAIL_IS_RATIO_YOY" hidden="1">"c7442"</definedName>
    <definedName name="IQ_RETAIL_IS_RATIO_YOY_FC" hidden="1">"c8322"</definedName>
    <definedName name="IQ_RETAIL_MERCHANDISE_MARGIN" hidden="1">"c9901"</definedName>
    <definedName name="IQ_RETAIL_OPENED_AFFILIATED_OTHER_STORES" hidden="1">"c9891"</definedName>
    <definedName name="IQ_RETAIL_OPENED_FRANCHISE_STORES" hidden="1">"c2894"</definedName>
    <definedName name="IQ_RETAIL_OPENED_OWNED_STORES" hidden="1">"c2902"</definedName>
    <definedName name="IQ_RETAIL_OPENED_STORES" hidden="1">"c2062"</definedName>
    <definedName name="IQ_RETAIL_OPERATING_MARGIN" hidden="1">"c9900"</definedName>
    <definedName name="IQ_RETAIL_OWNED_STORES_BEG" hidden="1">"c2901"</definedName>
    <definedName name="IQ_RETAIL_SALES" hidden="1">"c7003"</definedName>
    <definedName name="IQ_RETAIL_SALES_APR" hidden="1">"c7663"</definedName>
    <definedName name="IQ_RETAIL_SALES_APR_FC" hidden="1">"c8543"</definedName>
    <definedName name="IQ_RETAIL_SALES_CATALOG" hidden="1">"c9903"</definedName>
    <definedName name="IQ_RETAIL_SALES_FC" hidden="1">"c7883"</definedName>
    <definedName name="IQ_RETAIL_SALES_FOOD" hidden="1">"c7004"</definedName>
    <definedName name="IQ_RETAIL_SALES_FOOD_APR" hidden="1">"c7664"</definedName>
    <definedName name="IQ_RETAIL_SALES_FOOD_APR_FC" hidden="1">"c8544"</definedName>
    <definedName name="IQ_RETAIL_SALES_FOOD_EXCL_VEHICLE" hidden="1">"c7005"</definedName>
    <definedName name="IQ_RETAIL_SALES_FOOD_EXCL_VEHICLE_APR" hidden="1">"c7665"</definedName>
    <definedName name="IQ_RETAIL_SALES_FOOD_EXCL_VEHICLE_APR_FC" hidden="1">"c8545"</definedName>
    <definedName name="IQ_RETAIL_SALES_FOOD_EXCL_VEHICLE_FC" hidden="1">"c7885"</definedName>
    <definedName name="IQ_RETAIL_SALES_FOOD_EXCL_VEHICLE_POP" hidden="1">"c7225"</definedName>
    <definedName name="IQ_RETAIL_SALES_FOOD_EXCL_VEHICLE_POP_FC" hidden="1">"c8105"</definedName>
    <definedName name="IQ_RETAIL_SALES_FOOD_EXCL_VEHICLE_YOY" hidden="1">"c7445"</definedName>
    <definedName name="IQ_RETAIL_SALES_FOOD_EXCL_VEHICLE_YOY_FC" hidden="1">"c8325"</definedName>
    <definedName name="IQ_RETAIL_SALES_FOOD_FC" hidden="1">"c7884"</definedName>
    <definedName name="IQ_RETAIL_SALES_FOOD_POP" hidden="1">"c7224"</definedName>
    <definedName name="IQ_RETAIL_SALES_FOOD_POP_FC" hidden="1">"c8104"</definedName>
    <definedName name="IQ_RETAIL_SALES_FOOD_YOY" hidden="1">"c7444"</definedName>
    <definedName name="IQ_RETAIL_SALES_FOOD_YOY_FC" hidden="1">"c8324"</definedName>
    <definedName name="IQ_RETAIL_SALES_ONLINE" hidden="1">"c9904"</definedName>
    <definedName name="IQ_RETAIL_SALES_POP" hidden="1">"c7223"</definedName>
    <definedName name="IQ_RETAIL_SALES_POP_FC" hidden="1">"c8103"</definedName>
    <definedName name="IQ_RETAIL_SALES_RETAIL" hidden="1">"c9902"</definedName>
    <definedName name="IQ_RETAIL_SALES_SAAR" hidden="1">"c7009"</definedName>
    <definedName name="IQ_RETAIL_SALES_SAAR_APR" hidden="1">"c7669"</definedName>
    <definedName name="IQ_RETAIL_SALES_SAAR_APR_FC" hidden="1">"c8549"</definedName>
    <definedName name="IQ_RETAIL_SALES_SAAR_FC" hidden="1">"c7889"</definedName>
    <definedName name="IQ_RETAIL_SALES_SAAR_POP" hidden="1">"c7229"</definedName>
    <definedName name="IQ_RETAIL_SALES_SAAR_POP_FC" hidden="1">"c8109"</definedName>
    <definedName name="IQ_RETAIL_SALES_SAAR_YOY" hidden="1">"c7449"</definedName>
    <definedName name="IQ_RETAIL_SALES_SAAR_YOY_FC" hidden="1">"c8329"</definedName>
    <definedName name="IQ_RETAIL_SALES_SQ_METER_COMPARABLE_GROSS" hidden="1">"c9914"</definedName>
    <definedName name="IQ_RETAIL_SALES_SQ_METER_COMPARABLE_NET" hidden="1">"c9913"</definedName>
    <definedName name="IQ_RETAIL_SALES_SQ_METER_GROSS" hidden="1">"c9910"</definedName>
    <definedName name="IQ_RETAIL_SALES_SQ_METER_NET" hidden="1">"c9909"</definedName>
    <definedName name="IQ_RETAIL_SALES_SQ_METER_OWNED_GROSS" hidden="1">"c9912"</definedName>
    <definedName name="IQ_RETAIL_SALES_SQ_METER_OWNED_NET" hidden="1">"c9911"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ALES_VALUE_INDEX" hidden="1">"c7006"</definedName>
    <definedName name="IQ_RETAIL_SALES_VALUE_INDEX_APR" hidden="1">"c7666"</definedName>
    <definedName name="IQ_RETAIL_SALES_VALUE_INDEX_APR_FC" hidden="1">"c8546"</definedName>
    <definedName name="IQ_RETAIL_SALES_VALUE_INDEX_FC" hidden="1">"c7886"</definedName>
    <definedName name="IQ_RETAIL_SALES_VALUE_INDEX_POP" hidden="1">"c7226"</definedName>
    <definedName name="IQ_RETAIL_SALES_VALUE_INDEX_POP_FC" hidden="1">"c8106"</definedName>
    <definedName name="IQ_RETAIL_SALES_VALUE_INDEX_YOY" hidden="1">"c7446"</definedName>
    <definedName name="IQ_RETAIL_SALES_VALUE_INDEX_YOY_FC" hidden="1">"c8326"</definedName>
    <definedName name="IQ_RETAIL_SALES_VOL_INDEX" hidden="1">"c7007"</definedName>
    <definedName name="IQ_RETAIL_SALES_VOL_INDEX_APR" hidden="1">"c7667"</definedName>
    <definedName name="IQ_RETAIL_SALES_VOL_INDEX_APR_FC" hidden="1">"c8547"</definedName>
    <definedName name="IQ_RETAIL_SALES_VOL_INDEX_EXCL_MOTOR" hidden="1">"c7008"</definedName>
    <definedName name="IQ_RETAIL_SALES_VOL_INDEX_EXCL_MOTOR_APR" hidden="1">"c7668"</definedName>
    <definedName name="IQ_RETAIL_SALES_VOL_INDEX_EXCL_MOTOR_APR_FC" hidden="1">"c8548"</definedName>
    <definedName name="IQ_RETAIL_SALES_VOL_INDEX_EXCL_MOTOR_FC" hidden="1">"c7888"</definedName>
    <definedName name="IQ_RETAIL_SALES_VOL_INDEX_EXCL_MOTOR_POP" hidden="1">"c7228"</definedName>
    <definedName name="IQ_RETAIL_SALES_VOL_INDEX_EXCL_MOTOR_POP_FC" hidden="1">"c8108"</definedName>
    <definedName name="IQ_RETAIL_SALES_VOL_INDEX_EXCL_MOTOR_YOY" hidden="1">"c7448"</definedName>
    <definedName name="IQ_RETAIL_SALES_VOL_INDEX_EXCL_MOTOR_YOY_FC" hidden="1">"c8328"</definedName>
    <definedName name="IQ_RETAIL_SALES_VOL_INDEX_FC" hidden="1">"c7887"</definedName>
    <definedName name="IQ_RETAIL_SALES_VOL_INDEX_POP" hidden="1">"c7227"</definedName>
    <definedName name="IQ_RETAIL_SALES_VOL_INDEX_POP_FC" hidden="1">"c8107"</definedName>
    <definedName name="IQ_RETAIL_SALES_VOL_INDEX_YOY" hidden="1">"c7447"</definedName>
    <definedName name="IQ_RETAIL_SALES_VOL_INDEX_YOY_FC" hidden="1">"c8327"</definedName>
    <definedName name="IQ_RETAIL_SALES_YOY" hidden="1">"c7443"</definedName>
    <definedName name="IQ_RETAIL_SALES_YOY_FC" hidden="1">"c8323"</definedName>
    <definedName name="IQ_RETAIL_SAME_STORE_SALES" hidden="1">"c9898"</definedName>
    <definedName name="IQ_RETAIL_SAME_STORE_SALES_FRANCHISE" hidden="1">"c9896"</definedName>
    <definedName name="IQ_RETAIL_SAME_STORE_SALES_OWNED" hidden="1">"c9897"</definedName>
    <definedName name="IQ_RETAIL_SOLD_AFFILIATED_OTHER_STORES" hidden="1">"c9894"</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AFFILIATED_OTHER_STORES" hidden="1">"c9895"</definedName>
    <definedName name="IQ_RETAIL_TOTAL_FRANCHISE_STORES" hidden="1">"c2898"</definedName>
    <definedName name="IQ_RETAIL_TOTAL_OWNED_STORES" hidden="1">"c2906"</definedName>
    <definedName name="IQ_RETAIL_TOTAL_SQ_METERS_GROSS" hidden="1">"c9906"</definedName>
    <definedName name="IQ_RETAIL_TOTAL_SQ_METERS_NET" hidden="1">"c9905"</definedName>
    <definedName name="IQ_RETAIL_TOTAL_STORES" hidden="1">"c2061"</definedName>
    <definedName name="IQ_RETAINED_EARN" hidden="1">"c1092"</definedName>
    <definedName name="IQ_RETAINED_EARNINGS_AVERAGE_EQUITY_FDIC" hidden="1">"c6733"</definedName>
    <definedName name="IQ_RETAINED_EARNINGS_EQUITY_FFIEC" hidden="1">"c13348"</definedName>
    <definedName name="IQ_RETAINED_EARNINGS_FFIEC" hidden="1">"c12878"</definedName>
    <definedName name="IQ_RETURN_ASSETS" hidden="1">"c1113"</definedName>
    <definedName name="IQ_RETURN_ASSETS_ACT_OR_EST" hidden="1">"c3585"</definedName>
    <definedName name="IQ_RETURN_ASSETS_ACT_OR_EST_THOM" hidden="1">"c5310"</definedName>
    <definedName name="IQ_RETURN_ASSETS_BANK" hidden="1">"c1114"</definedName>
    <definedName name="IQ_RETURN_ASSETS_BROK" hidden="1">"c1115"</definedName>
    <definedName name="IQ_RETURN_ASSETS_DET_EST" hidden="1">"c12066"</definedName>
    <definedName name="IQ_RETURN_ASSETS_DET_EST_DATE" hidden="1">"c12219"</definedName>
    <definedName name="IQ_RETURN_ASSETS_DET_EST_DATE_THOM" hidden="1">"c12247"</definedName>
    <definedName name="IQ_RETURN_ASSETS_DET_EST_INCL" hidden="1">"c12356"</definedName>
    <definedName name="IQ_RETURN_ASSETS_DET_EST_INCL_THOM" hidden="1">"c12379"</definedName>
    <definedName name="IQ_RETURN_ASSETS_DET_EST_ORIGIN" hidden="1">"c12591"</definedName>
    <definedName name="IQ_RETURN_ASSETS_DET_EST_ORIGIN_THOM" hidden="1">"c12617"</definedName>
    <definedName name="IQ_RETURN_ASSETS_DET_EST_THOM" hidden="1">"c12097"</definedName>
    <definedName name="IQ_RETURN_ASSETS_EST" hidden="1">"c3529"</definedName>
    <definedName name="IQ_RETURN_ASSETS_EST_THOM" hidden="1">"c4034"</definedName>
    <definedName name="IQ_RETURN_ASSETS_FDIC" hidden="1">"c6730"</definedName>
    <definedName name="IQ_RETURN_ASSETS_FS" hidden="1">"c1116"</definedName>
    <definedName name="IQ_RETURN_ASSETS_HIGH_EST" hidden="1">"c3530"</definedName>
    <definedName name="IQ_RETURN_ASSETS_HIGH_EST_THOM" hidden="1">"c4036"</definedName>
    <definedName name="IQ_RETURN_ASSETS_LOW_EST" hidden="1">"c3531"</definedName>
    <definedName name="IQ_RETURN_ASSETS_LOW_EST_THOM" hidden="1">"c4037"</definedName>
    <definedName name="IQ_RETURN_ASSETS_MEDIAN_EST" hidden="1">"c3532"</definedName>
    <definedName name="IQ_RETURN_ASSETS_MEDIAN_EST_THOM" hidden="1">"c4035"</definedName>
    <definedName name="IQ_RETURN_ASSETS_NUM_EST" hidden="1">"c3527"</definedName>
    <definedName name="IQ_RETURN_ASSETS_NUM_EST_THOM" hidden="1">"c4038"</definedName>
    <definedName name="IQ_RETURN_ASSETS_STDDEV_EST" hidden="1">"c3528"</definedName>
    <definedName name="IQ_RETURN_ASSETS_STDDEV_EST_THOM" hidden="1">"c4039"</definedName>
    <definedName name="IQ_RETURN_CAPITAL" hidden="1">"c1117"</definedName>
    <definedName name="IQ_RETURN_COMMON_EQUITY" hidden="1">"c13838"</definedName>
    <definedName name="IQ_RETURN_EMBEDDED_VALUE" hidden="1">"c9974"</definedName>
    <definedName name="IQ_RETURN_EQUITY" hidden="1">"c1118"</definedName>
    <definedName name="IQ_RETURN_EQUITY_ACT_OR_EST" hidden="1">"c3586"</definedName>
    <definedName name="IQ_RETURN_EQUITY_ACT_OR_EST_THOM" hidden="1">"c5311"</definedName>
    <definedName name="IQ_RETURN_EQUITY_BANK" hidden="1">"c1119"</definedName>
    <definedName name="IQ_RETURN_EQUITY_BROK" hidden="1">"c1120"</definedName>
    <definedName name="IQ_RETURN_EQUITY_DET_EST" hidden="1">"c12067"</definedName>
    <definedName name="IQ_RETURN_EQUITY_DET_EST_DATE" hidden="1">"c12220"</definedName>
    <definedName name="IQ_RETURN_EQUITY_DET_EST_DATE_THOM" hidden="1">"c12248"</definedName>
    <definedName name="IQ_RETURN_EQUITY_DET_EST_INCL" hidden="1">"c12357"</definedName>
    <definedName name="IQ_RETURN_EQUITY_DET_EST_INCL_THOM" hidden="1">"c12380"</definedName>
    <definedName name="IQ_RETURN_EQUITY_DET_EST_ORIGIN" hidden="1">"c12592"</definedName>
    <definedName name="IQ_RETURN_EQUITY_DET_EST_ORIGIN_THOM" hidden="1">"c12618"</definedName>
    <definedName name="IQ_RETURN_EQUITY_DET_EST_THOM" hidden="1">"c12098"</definedName>
    <definedName name="IQ_RETURN_EQUITY_EST" hidden="1">"c3535"</definedName>
    <definedName name="IQ_RETURN_EQUITY_EST_THOM" hidden="1">"c5479"</definedName>
    <definedName name="IQ_RETURN_EQUITY_FDIC" hidden="1">"c6732"</definedName>
    <definedName name="IQ_RETURN_EQUITY_FS" hidden="1">"c1121"</definedName>
    <definedName name="IQ_RETURN_EQUITY_HIGH_EST" hidden="1">"c3536"</definedName>
    <definedName name="IQ_RETURN_EQUITY_HIGH_EST_THOM" hidden="1">"c5283"</definedName>
    <definedName name="IQ_RETURN_EQUITY_LOW_EST" hidden="1">"c3537"</definedName>
    <definedName name="IQ_RETURN_EQUITY_LOW_EST_THOM" hidden="1">"c5284"</definedName>
    <definedName name="IQ_RETURN_EQUITY_MEDIAN_EST" hidden="1">"c3538"</definedName>
    <definedName name="IQ_RETURN_EQUITY_MEDIAN_EST_THOM" hidden="1">"c5282"</definedName>
    <definedName name="IQ_RETURN_EQUITY_NUM_EST" hidden="1">"c3533"</definedName>
    <definedName name="IQ_RETURN_EQUITY_NUM_EST_THOM" hidden="1">"c5285"</definedName>
    <definedName name="IQ_RETURN_EQUITY_STDDEV_EST" hidden="1">"c3534"</definedName>
    <definedName name="IQ_RETURN_EQUITY_STDDEV_EST_THOM" hidden="1">"c5286"</definedName>
    <definedName name="IQ_RETURN_INVESTMENT" hidden="1">"c1117"</definedName>
    <definedName name="IQ_REV" hidden="1">"c1122"</definedName>
    <definedName name="IQ_REV_AP" hidden="1">"c8873"</definedName>
    <definedName name="IQ_REV_AP_ABS" hidden="1">"c8892"</definedName>
    <definedName name="IQ_REV_BEFORE_LL" hidden="1">"c1123"</definedName>
    <definedName name="IQ_REV_DET_EST" hidden="1">"c12065"</definedName>
    <definedName name="IQ_REV_DET_EST_CURRENCY" hidden="1">"c12472"</definedName>
    <definedName name="IQ_REV_DET_EST_CURRENCY_THOM" hidden="1">"c12495"</definedName>
    <definedName name="IQ_REV_DET_EST_DATE" hidden="1">"c12218"</definedName>
    <definedName name="IQ_REV_DET_EST_DATE_THOM" hidden="1">"c12246"</definedName>
    <definedName name="IQ_REV_DET_EST_INCL" hidden="1">"c12355"</definedName>
    <definedName name="IQ_REV_DET_EST_INCL_THOM" hidden="1">"c12378"</definedName>
    <definedName name="IQ_REV_DET_EST_ORIGIN" hidden="1">"c12590"</definedName>
    <definedName name="IQ_REV_DET_EST_ORIGIN_THOM" hidden="1">"c12616"</definedName>
    <definedName name="IQ_REV_DET_EST_THOM" hidden="1">"c12096"</definedName>
    <definedName name="IQ_REV_NAME_AP" hidden="1">"c8911"</definedName>
    <definedName name="IQ_REV_NAME_AP_ABS" hidden="1">"c8930"</definedName>
    <definedName name="IQ_REV_STDDEV_EST" hidden="1">"c1124"</definedName>
    <definedName name="IQ_REV_STDDEV_EST_CIQ" hidden="1">"c3621"</definedName>
    <definedName name="IQ_REV_STDDEV_EST_REUT" hidden="1">"c3639"</definedName>
    <definedName name="IQ_REV_STDDEV_EST_THOM" hidden="1">"c3657"</definedName>
    <definedName name="IQ_REV_UTI" hidden="1">"c1125"</definedName>
    <definedName name="IQ_REVALUATION_GAINS_DERIVATIVE_DOM_FFIEC" hidden="1">"c12828"</definedName>
    <definedName name="IQ_REVALUATION_GAINS_DERIVATIVE_FOREIGN_FFIEC" hidden="1">"c12829"</definedName>
    <definedName name="IQ_REVALUATION_GAINS_FDIC" hidden="1">"c6428"</definedName>
    <definedName name="IQ_REVALUATION_LOSSES_FDIC" hidden="1">"c6429"</definedName>
    <definedName name="IQ_REVENUE" hidden="1">"c1122"</definedName>
    <definedName name="IQ_REVENUE_ACT_OR_EST" hidden="1">"c2214"</definedName>
    <definedName name="IQ_REVENUE_ACT_OR_EST_CIQ" hidden="1">"c5059"</definedName>
    <definedName name="IQ_REVENUE_ACT_OR_EST_THOM" hidden="1">"c5299"</definedName>
    <definedName name="IQ_REVENUE_BEFORE_LL_FFIEC" hidden="1">"c13018"</definedName>
    <definedName name="IQ_REVENUE_EST" hidden="1">"c1126"</definedName>
    <definedName name="IQ_REVENUE_EST_BOTTOM_UP" hidden="1">"c5488"</definedName>
    <definedName name="IQ_REVENUE_EST_BOTTOM_UP_CIQ" hidden="1">"c12025"</definedName>
    <definedName name="IQ_REVENUE_EST_CIQ" hidden="1">"c3616"</definedName>
    <definedName name="IQ_REVENUE_EST_REUT" hidden="1">"c3634"</definedName>
    <definedName name="IQ_REVENUE_EST_THOM" hidden="1">"c3652"</definedName>
    <definedName name="IQ_REVENUE_HIGH_EST" hidden="1">"c1127"</definedName>
    <definedName name="IQ_REVENUE_HIGH_EST_CIQ" hidden="1">"c3618"</definedName>
    <definedName name="IQ_REVENUE_HIGH_EST_REUT" hidden="1">"c3636"</definedName>
    <definedName name="IQ_REVENUE_HIGH_EST_THOM" hidden="1">"c3654"</definedName>
    <definedName name="IQ_REVENUE_LOW_EST" hidden="1">"c1128"</definedName>
    <definedName name="IQ_REVENUE_LOW_EST_CIQ" hidden="1">"c3619"</definedName>
    <definedName name="IQ_REVENUE_LOW_EST_REUT" hidden="1">"c3637"</definedName>
    <definedName name="IQ_REVENUE_LOW_EST_THOM" hidden="1">"c3655"</definedName>
    <definedName name="IQ_REVENUE_MEDIAN_EST" hidden="1">"c1662"</definedName>
    <definedName name="IQ_REVENUE_MEDIAN_EST_CIQ" hidden="1">"c3617"</definedName>
    <definedName name="IQ_REVENUE_MEDIAN_EST_REUT" hidden="1">"c3635"</definedName>
    <definedName name="IQ_REVENUE_MEDIAN_EST_THOM" hidden="1">"c3653"</definedName>
    <definedName name="IQ_REVENUE_NUM_EST" hidden="1">"c1129"</definedName>
    <definedName name="IQ_REVENUE_NUM_EST_CIQ" hidden="1">"c3620"</definedName>
    <definedName name="IQ_REVENUE_NUM_EST_REUT" hidden="1">"c3638"</definedName>
    <definedName name="IQ_REVENUE_NUM_EST_THOM" hidden="1">"c3656"</definedName>
    <definedName name="IQ_REVISION_DATE_" hidden="1">39244.4711574074</definedName>
    <definedName name="IQ_REVOLV_OPEN_SECURED_1_4_LL_REC_DOM_FFIEC" hidden="1">"c12902"</definedName>
    <definedName name="IQ_REVOLVING_HOME_EQUITY_LINES_UNUSED_FFIEC" hidden="1">"c13241"</definedName>
    <definedName name="IQ_REVOLVING_LOANS_GROSS_LOANS_FFIEC" hidden="1">"c13398"</definedName>
    <definedName name="IQ_REVOLVING_LOANS_RISK_BASED_FFIEC" hidden="1">"c13419"</definedName>
    <definedName name="IQ_REVOLVING_LOANS_SEC_1_4_DOM_CHARGE_OFFS_FFIEC" hidden="1">"c13168"</definedName>
    <definedName name="IQ_REVOLVING_LOANS_SEC_1_4_DOM_RECOV_FFIEC" hidden="1">"c13190"</definedName>
    <definedName name="IQ_REVOLVING_OPEN_END_1_4_TRADING_DOM_FFIEC" hidden="1">"c12927"</definedName>
    <definedName name="IQ_REVOLVING_SECURED_1_4_DUE_30_89_FFIEC" hidden="1">"c13260"</definedName>
    <definedName name="IQ_REVOLVING_SECURED_1_4_DUE_90_FFIEC" hidden="1">"c13288"</definedName>
    <definedName name="IQ_RISK_ADJ_BANK_ASSETS" hidden="1">"c2670"</definedName>
    <definedName name="IQ_RISK_WEIGHTED_ASSETS_FDIC" hidden="1">"c6370"</definedName>
    <definedName name="IQ_RSI" hidden="1">"c12704"</definedName>
    <definedName name="IQ_RSI_ADJ" hidden="1">"c12705"</definedName>
    <definedName name="IQ_SALARIED_WORKFORCE" hidden="1">"c7010"</definedName>
    <definedName name="IQ_SALARIED_WORKFORCE_APR" hidden="1">"c7670"</definedName>
    <definedName name="IQ_SALARIED_WORKFORCE_APR_FC" hidden="1">"c8550"</definedName>
    <definedName name="IQ_SALARIED_WORKFORCE_FC" hidden="1">"c7890"</definedName>
    <definedName name="IQ_SALARIED_WORKFORCE_POP" hidden="1">"c7230"</definedName>
    <definedName name="IQ_SALARIED_WORKFORCE_POP_FC" hidden="1">"c8110"</definedName>
    <definedName name="IQ_SALARIED_WORKFORCE_YOY" hidden="1">"c7450"</definedName>
    <definedName name="IQ_SALARIED_WORKFORCE_YOY_FC" hidden="1">"c8330"</definedName>
    <definedName name="IQ_SALARIES_EMPLOYEE_BENEFITS_FFIEC" hidden="1">"c13023"</definedName>
    <definedName name="IQ_SALARY" hidden="1">"c1130"</definedName>
    <definedName name="IQ_SALARY_FDIC" hidden="1">"c6576"</definedName>
    <definedName name="IQ_SALE_COMMON_GROSS_FFIEC" hidden="1">"c12963"</definedName>
    <definedName name="IQ_SALE_CONVERSION_RETIREMENT_STOCK_FDIC" hidden="1">"c6661"</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 hidden="1">"c6284"</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PREF_FFIEC" hidden="1">"c12961"</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_TREASURY_FFIEC" hidden="1">"c12965"</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AVINGS_RATE_DISP_INC_PCT" hidden="1">"c7011"</definedName>
    <definedName name="IQ_SAVINGS_RATE_DISP_INC_PCT_FC" hidden="1">"c7891"</definedName>
    <definedName name="IQ_SAVINGS_RATE_DISP_INC_PCT_POP" hidden="1">"c7231"</definedName>
    <definedName name="IQ_SAVINGS_RATE_DISP_INC_PCT_POP_FC" hidden="1">"c8111"</definedName>
    <definedName name="IQ_SAVINGS_RATE_DISP_INC_PCT_YOY" hidden="1">"c7451"</definedName>
    <definedName name="IQ_SAVINGS_RATE_DISP_INC_PCT_YOY_FC" hidden="1">"c8331"</definedName>
    <definedName name="IQ_SAVINGS_RATE_GDP_PCT" hidden="1">"c7012"</definedName>
    <definedName name="IQ_SAVINGS_RATE_GDP_PCT_FC" hidden="1">"c7892"</definedName>
    <definedName name="IQ_SAVINGS_RATE_GDP_PCT_POP" hidden="1">"c7232"</definedName>
    <definedName name="IQ_SAVINGS_RATE_GDP_PCT_POP_FC" hidden="1">"c8112"</definedName>
    <definedName name="IQ_SAVINGS_RATE_GDP_PCT_YOY" hidden="1">"c7452"</definedName>
    <definedName name="IQ_SAVINGS_RATE_GDP_PCT_YOY_FC" hidden="1">"c8332"</definedName>
    <definedName name="IQ_SAVINGS_RATE_PERSONAL_INC_PCT" hidden="1">"c7013"</definedName>
    <definedName name="IQ_SAVINGS_RATE_PERSONAL_INC_PCT_FC" hidden="1">"c7893"</definedName>
    <definedName name="IQ_SAVINGS_RATE_PERSONAL_INC_PCT_POP" hidden="1">"c7233"</definedName>
    <definedName name="IQ_SAVINGS_RATE_PERSONAL_INC_PCT_POP_FC" hidden="1">"c8113"</definedName>
    <definedName name="IQ_SAVINGS_RATE_PERSONAL_INC_PCT_YOY" hidden="1">"c7453"</definedName>
    <definedName name="IQ_SAVINGS_RATE_PERSONAL_INC_PCT_YOY_FC" hidden="1">"c8333"</definedName>
    <definedName name="IQ_SBC_EXPENSE_FFIEC" hidden="1">"c13077"</definedName>
    <definedName name="IQ_SEC_1_4_CONSTRUCTION_DOM_CHARGE_OFFS_FFIEC" hidden="1">"c13165"</definedName>
    <definedName name="IQ_SEC_1_4_CONSTRUCTION_DOM_RECOV_FFIEC" hidden="1">"c13187"</definedName>
    <definedName name="IQ_SEC_BORROWED_OFF_BS_FFIEC" hidden="1">"c13127"</definedName>
    <definedName name="IQ_SEC_FARMLAND_DOM_CHARGE_OFFS_FFIEC" hidden="1">"c13167"</definedName>
    <definedName name="IQ_SEC_FARMLAND_DOM_RECOV_FFIEC" hidden="1">"c13189"</definedName>
    <definedName name="IQ_SEC_FUNDS_PURCHASED_ASSETS_TOT_FFIEC" hidden="1">"c13447"</definedName>
    <definedName name="IQ_SEC_ISSUED_US_AVAIL_SALE_FFIEC" hidden="1">"c12795"</definedName>
    <definedName name="IQ_SEC_ISSUED_US_TRADING_DOM_FFIEC" hidden="1">"c12920"</definedName>
    <definedName name="IQ_SEC_ISSUED_US_TRADING_FFIEC" hidden="1">"c12815"</definedName>
    <definedName name="IQ_SEC_MULTIFAM_DOM_CHARGE_OFFS_FFIEC" hidden="1">"c13171"</definedName>
    <definedName name="IQ_SEC_MULTIFAM_DOM_DUE_30_89_FFIEC" hidden="1">"c13263"</definedName>
    <definedName name="IQ_SEC_MULTIFAM_DOM_DUE_90_FFIEC" hidden="1">"c13291"</definedName>
    <definedName name="IQ_SEC_MULTIFAM_DOM_NON_ACCRUAL_FFIEC" hidden="1">"c13317"</definedName>
    <definedName name="IQ_SEC_MULTIFAM_DOM_RECOV_FFIEC" hidden="1">"c13193"</definedName>
    <definedName name="IQ_SEC_NONFARM_NONRES_CHARGE_OFFS_FFIEC" hidden="1">"c13629"</definedName>
    <definedName name="IQ_SEC_NONFARM_NONRES_DOM_OFFICES_DUE_30_89_FFIEC" hidden="1">"c13264"</definedName>
    <definedName name="IQ_SEC_NONFARM_NONRES_DOM_OFFICES_DUE_90_FFIEC" hidden="1">"c13292"</definedName>
    <definedName name="IQ_SEC_NONFARM_NONRES_DOM_OFFICES_NON_ACCRUAL_FFIEC" hidden="1">"c13318"</definedName>
    <definedName name="IQ_SEC_NONFARM_NONRES_RECOV_FFIEC" hidden="1">"c13633"</definedName>
    <definedName name="IQ_SEC_OTHER_CONSTRUCTION_DOM_CHARGE_OFFS_FFIEC" hidden="1">"c13166"</definedName>
    <definedName name="IQ_SEC_OTHER_CONSTRUCTION_DOM_RECOV_FFIEC" hidden="1">"c13188"</definedName>
    <definedName name="IQ_SEC_OTHER_NONFARM_NONRES_CHARGE_OFFS_FFIEC" hidden="1">"c13173"</definedName>
    <definedName name="IQ_SEC_OTHER_NONFARM_NONRES_DUE_30_89_FFIEC" hidden="1">"c13266"</definedName>
    <definedName name="IQ_SEC_OTHER_NONFARM_NONRES_DUE_90_FFIEC" hidden="1">"c13637"</definedName>
    <definedName name="IQ_SEC_OTHER_NONFARM_NONRES_RECOV_FFIEC" hidden="1">"c13195"</definedName>
    <definedName name="IQ_SEC_OWNER_NONFARM_NONRES_CHARGE_OFFS_FFIEC" hidden="1">"c13172"</definedName>
    <definedName name="IQ_SEC_OWNER_NONFARM_NONRES_DUE_30_89_FFIEC" hidden="1">"c13265"</definedName>
    <definedName name="IQ_SEC_OWNER_NONFARM_NONRES_DUE_90_FFIEC" hidden="1">"c13636"</definedName>
    <definedName name="IQ_SEC_OWNER_NONFARM_NONRES_RECOV_FFIEC" hidden="1">"c13194"</definedName>
    <definedName name="IQ_SEC_PURCHASED_RESELL" hidden="1">"c5513"</definedName>
    <definedName name="IQ_SEC_PURCHASED_RESELL_FFIEC" hidden="1">"c12807"</definedName>
    <definedName name="IQ_SEC_RE_FOREIGN_DUE_30_89_FFIEC" hidden="1">"c13267"</definedName>
    <definedName name="IQ_SEC_RE_FOREIGN_DUE_90_FFIEC" hidden="1">"c13293"</definedName>
    <definedName name="IQ_SEC_RE_FOREIGN_NON_ACCRUAL_FFIEC" hidden="1">"c13319"</definedName>
    <definedName name="IQ_SEC_SOLD_REPURCHASE_FFIEC" hidden="1">"c12857"</definedName>
    <definedName name="IQ_SECUR_RECEIV" hidden="1">"c1151"</definedName>
    <definedName name="IQ_SECURED_1_4_FAMILY_RESIDENTIAL_CHARGE_OFFS_FDIC" hidden="1">"c6590"</definedName>
    <definedName name="IQ_SECURED_1_4_FAMILY_RESIDENTIAL_NET_CHARGE_OFFS_FDIC" hidden="1">"c6628"</definedName>
    <definedName name="IQ_SECURED_1_4_FAMILY_RESIDENTIAL_RECOVERIES_FDIC" hidden="1">"c6609"</definedName>
    <definedName name="IQ_SECURED_DEBT" hidden="1">"c2546"</definedName>
    <definedName name="IQ_SECURED_DEBT_PCT" hidden="1">"c2547"</definedName>
    <definedName name="IQ_SECURED_FARMLAND_CHARGE_OFFS_FDIC" hidden="1">"c6593"</definedName>
    <definedName name="IQ_SECURED_FARMLAND_DOM_DUE_30_89_FFIEC" hidden="1">"c13259"</definedName>
    <definedName name="IQ_SECURED_FARMLAND_DOM_DUE_90_FFIEC" hidden="1">"c13287"</definedName>
    <definedName name="IQ_SECURED_FARMLAND_DOM_NON_ACCRUAL_FFIEC" hidden="1">"c13313"</definedName>
    <definedName name="IQ_SECURED_FARMLAND_LL_REC_DOM_FFIEC" hidden="1">"c12901"</definedName>
    <definedName name="IQ_SECURED_FARMLAND_NET_CHARGE_OFFS_FDIC" hidden="1">"c6631"</definedName>
    <definedName name="IQ_SECURED_FARMLAND_RECOVERIES_FDIC" hidden="1">"c6612"</definedName>
    <definedName name="IQ_SECURED_MULTI_RES_LL_REC_DOM_FFIEC" hidden="1">"c12905"</definedName>
    <definedName name="IQ_SECURED_MULTIFAMILY_RESIDENTIAL_CHARGE_OFFS_FDIC" hidden="1">"c6591"</definedName>
    <definedName name="IQ_SECURED_MULTIFAMILY_RESIDENTIAL_NET_CHARGE_OFFS_FDIC" hidden="1">"c6629"</definedName>
    <definedName name="IQ_SECURED_MULTIFAMILY_RESIDENTIAL_RECOVERIES_FDIC" hidden="1">"c6610"</definedName>
    <definedName name="IQ_SECURED_NONFARM_NONRESIDENTIAL_CHARGE_OFFS_FDIC" hidden="1">"c6592"</definedName>
    <definedName name="IQ_SECURED_NONFARM_NONRESIDENTIAL_NET_CHARGE_OFFS_FDIC" hidden="1">"c6630"</definedName>
    <definedName name="IQ_SECURED_NONFARM_NONRESIDENTIAL_RECOVERIES_FDIC" hidden="1">"c6611"</definedName>
    <definedName name="IQ_SECURITIES_GAINS_FDIC" hidden="1">"c6584"</definedName>
    <definedName name="IQ_SECURITIES_HELD_MATURITY_FFIEC" hidden="1">"c12777"</definedName>
    <definedName name="IQ_SECURITIES_ISSUED_STATES_FDIC" hidden="1">"c6300"</definedName>
    <definedName name="IQ_SECURITIES_ISSUED_US_FFIEC" hidden="1">"c12781"</definedName>
    <definedName name="IQ_SECURITIES_LENT_FDIC" hidden="1">"c6532"</definedName>
    <definedName name="IQ_SECURITIES_LENT_FFIEC" hidden="1">"c13255"</definedName>
    <definedName name="IQ_SECURITIES_QUARTERLY_AVG_FFIEC" hidden="1">"c13079"</definedName>
    <definedName name="IQ_SECURITIES_UNDERWRITING_FDIC" hidden="1">"c6529"</definedName>
    <definedName name="IQ_SECURITIES_UNDERWRITING_UNUSED_FFIEC" hidden="1">"c13247"</definedName>
    <definedName name="IQ_SECURITIZATION_INC_OPERATING_INC_FFIEC" hidden="1">"c13390"</definedName>
    <definedName name="IQ_SECURITIZATION_INCOME_FFIEC" hidden="1">"c13012"</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DOL" hidden="1">"c12042"</definedName>
    <definedName name="IQ_SELECTED_FOREIGN_ASSETS_FFIEC" hidden="1">"c13485"</definedName>
    <definedName name="IQ_SEMI_BACKLOG" hidden="1">"c10005"</definedName>
    <definedName name="IQ_SEMI_BACKLOG_AVG_PRICE" hidden="1">"c10006"</definedName>
    <definedName name="IQ_SEMI_BACKLOG_VALUE" hidden="1">"c10007"</definedName>
    <definedName name="IQ_SEMI_BOOK_TO_BILL_RATIO" hidden="1">"c10008"</definedName>
    <definedName name="IQ_SEMI_ORDER_AVG_PRICE" hidden="1">"c10002"</definedName>
    <definedName name="IQ_SEMI_ORDER_VALUE" hidden="1">"c10003"</definedName>
    <definedName name="IQ_SEMI_ORDER_VALUE_CHANGE" hidden="1">"c10004"</definedName>
    <definedName name="IQ_SEMI_ORDERS" hidden="1">"c10001"</definedName>
    <definedName name="IQ_SEMI_WARRANTY_RES_ACQ" hidden="1">"c10011"</definedName>
    <definedName name="IQ_SEMI_WARRANTY_RES_BEG" hidden="1">"c10009"</definedName>
    <definedName name="IQ_SEMI_WARRANTY_RES_END" hidden="1">"c10014"</definedName>
    <definedName name="IQ_SEMI_WARRANTY_RES_ISS" hidden="1">"c10010"</definedName>
    <definedName name="IQ_SEMI_WARRANTY_RES_OTHER" hidden="1">"c10013"</definedName>
    <definedName name="IQ_SEMI_WARRANTY_RES_PAY" hidden="1">"c10012"</definedName>
    <definedName name="IQ_SEP_ACCOUNT_ASSETS_LH_FFIEC" hidden="1">"c13105"</definedName>
    <definedName name="IQ_SEPARATE_ACCOUNT_LIAB_LH_FFIEC" hidden="1">"c13108"</definedName>
    <definedName name="IQ_SEPARATE_ACCT_ASSETS" hidden="1">"c1155"</definedName>
    <definedName name="IQ_SEPARATE_ACCT_LIAB" hidden="1">"c1156"</definedName>
    <definedName name="IQ_SERV_CHARGE_DEPOSITS" hidden="1">"c1157"</definedName>
    <definedName name="IQ_SERVICE_CHARGES_DEPOSIT_ACCOUNTS_DOM_FFIEC" hidden="1">"c13003"</definedName>
    <definedName name="IQ_SERVICE_CHARGES_FDIC" hidden="1">"c6572"</definedName>
    <definedName name="IQ_SERVICE_CHARGES_OPERATING_INC_FFIEC" hidden="1">"c13384"</definedName>
    <definedName name="IQ_SERVICE_FEE" hidden="1">"c8951"</definedName>
    <definedName name="IQ_SERVICING_FEES_FFIEC" hidden="1">"c13011"</definedName>
    <definedName name="IQ_SERVICING_FEES_OPERATING_INC_FFIEC" hidden="1">"c13389"</definedName>
    <definedName name="IQ_SGA" hidden="1">"c1158"</definedName>
    <definedName name="IQ_SGA_BNK" hidden="1">"c1159"</definedName>
    <definedName name="IQ_SGA_INS" hidden="1">"c1160"</definedName>
    <definedName name="IQ_SGA_MARGIN" hidden="1">"c1898"</definedName>
    <definedName name="IQ_SGA_RE" hidden="1">"c6265"</definedName>
    <definedName name="IQ_SGA_REIT" hidden="1">"c1161"</definedName>
    <definedName name="IQ_SGA_SUPPL" hidden="1">"c1162"</definedName>
    <definedName name="IQ_SGA_UTI" hidden="1">"c1163"</definedName>
    <definedName name="IQ_SHAREOUTSTANDING" hidden="1">"c83"</definedName>
    <definedName name="IQ_SHARES_PER_DR" hidden="1">"c204"</definedName>
    <definedName name="IQ_SHARES_PURCHASED_AVERAGE_PRICE" hidden="1">"c5821"</definedName>
    <definedName name="IQ_SHARES_PURCHASED_QUARTER" hidden="1">"c5820"</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POSITIONS_FFIEC" hidden="1">"c12859"</definedName>
    <definedName name="IQ_SHORT_TERM_INVEST" hidden="1">"c1197"</definedName>
    <definedName name="IQ_SMALL_INT_BEAR_CD" hidden="1">"c1166"</definedName>
    <definedName name="IQ_SOC_SEC_RECEIPTS_SAAR_USD_APR_FC" hidden="1">"c12005"</definedName>
    <definedName name="IQ_SOC_SEC_RECEIPTS_SAAR_USD_FC" hidden="1">"c12002"</definedName>
    <definedName name="IQ_SOC_SEC_RECEIPTS_SAAR_USD_POP_FC" hidden="1">"c12003"</definedName>
    <definedName name="IQ_SOC_SEC_RECEIPTS_SAAR_USD_YOY_FC" hidden="1">"c12004"</definedName>
    <definedName name="IQ_SOC_SEC_RECEIPTS_USD_APR_FC" hidden="1">"c12001"</definedName>
    <definedName name="IQ_SOC_SEC_RECEIPTS_USD_FC" hidden="1">"c11998"</definedName>
    <definedName name="IQ_SOC_SEC_RECEIPTS_USD_POP_FC" hidden="1">"c11999"</definedName>
    <definedName name="IQ_SOC_SEC_RECEIPTS_USD_YOY_FC" hidden="1">"c12000"</definedName>
    <definedName name="IQ_SOCIAL_SEC_RECEIPTS" hidden="1">"c7015"</definedName>
    <definedName name="IQ_SOCIAL_SEC_RECEIPTS_APR" hidden="1">"c7675"</definedName>
    <definedName name="IQ_SOCIAL_SEC_RECEIPTS_APR_FC" hidden="1">"c8555"</definedName>
    <definedName name="IQ_SOCIAL_SEC_RECEIPTS_FC" hidden="1">"c7895"</definedName>
    <definedName name="IQ_SOCIAL_SEC_RECEIPTS_POP" hidden="1">"c7235"</definedName>
    <definedName name="IQ_SOCIAL_SEC_RECEIPTS_POP_FC" hidden="1">"c8115"</definedName>
    <definedName name="IQ_SOCIAL_SEC_RECEIPTS_SAAR" hidden="1">"c7016"</definedName>
    <definedName name="IQ_SOCIAL_SEC_RECEIPTS_SAAR_APR" hidden="1">"c7676"</definedName>
    <definedName name="IQ_SOCIAL_SEC_RECEIPTS_SAAR_APR_FC" hidden="1">"c8556"</definedName>
    <definedName name="IQ_SOCIAL_SEC_RECEIPTS_SAAR_FC" hidden="1">"c7896"</definedName>
    <definedName name="IQ_SOCIAL_SEC_RECEIPTS_SAAR_POP" hidden="1">"c7236"</definedName>
    <definedName name="IQ_SOCIAL_SEC_RECEIPTS_SAAR_POP_FC" hidden="1">"c8116"</definedName>
    <definedName name="IQ_SOCIAL_SEC_RECEIPTS_SAAR_YOY" hidden="1">"c7456"</definedName>
    <definedName name="IQ_SOCIAL_SEC_RECEIPTS_SAAR_YOY_FC" hidden="1">"c8336"</definedName>
    <definedName name="IQ_SOCIAL_SEC_RECEIPTS_YOY" hidden="1">"c7455"</definedName>
    <definedName name="IQ_SOCIAL_SEC_RECEIPTS_YOY_FC" hidden="1">"c8335"</definedName>
    <definedName name="IQ_SOFTWARE" hidden="1">"c1167"</definedName>
    <definedName name="IQ_SOURCE" hidden="1">"c1168"</definedName>
    <definedName name="IQ_SP" hidden="1">"c2171"</definedName>
    <definedName name="IQ_SP_BANK" hidden="1">"c2637"</definedName>
    <definedName name="IQ_SP_BANK_ACTION" hidden="1">"c2636"</definedName>
    <definedName name="IQ_SP_BANK_DATE" hidden="1">"c2635"</definedName>
    <definedName name="IQ_SP_DATE" hidden="1">"c2172"</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NSR_ACTION_LT" hidden="1">"c13616"</definedName>
    <definedName name="IQ_SP_ISSUE_NSR_ACTION_ST" hidden="1">"c13622"</definedName>
    <definedName name="IQ_SP_ISSUE_NSR_DATE_LT" hidden="1">"c13615"</definedName>
    <definedName name="IQ_SP_ISSUE_NSR_DATE_ST" hidden="1">"c13621"</definedName>
    <definedName name="IQ_SP_ISSUE_NSR_LT" hidden="1">"c13614"</definedName>
    <definedName name="IQ_SP_ISSUE_NSR_ST" hidden="1">"c13620"</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NSR_ACTION_LT" hidden="1">"c13613"</definedName>
    <definedName name="IQ_SP_NSR_ACTION_ST" hidden="1">"c13619"</definedName>
    <definedName name="IQ_SP_NSR_DATE_LT" hidden="1">"c13612"</definedName>
    <definedName name="IQ_SP_NSR_DATE_ST" hidden="1">"c13618"</definedName>
    <definedName name="IQ_SP_NSR_LT" hidden="1">"c13611"</definedName>
    <definedName name="IQ_SP_NSR_ST" hidden="1">"c13617"</definedName>
    <definedName name="IQ_SP_OUTLOOK_WATCH" hidden="1">"c2639"</definedName>
    <definedName name="IQ_SP_OUTLOOK_WATCH_DATE" hidden="1">"c2638"</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 hidden="1">"c6266"</definedName>
    <definedName name="IQ_SPECIAL_DIV_CF_REIT" hidden="1">"c1174"</definedName>
    <definedName name="IQ_SPECIAL_DIV_CF_UTI" hidden="1">"c1175"</definedName>
    <definedName name="IQ_SPECIAL_DIV_SHARE" hidden="1">"c3007"</definedName>
    <definedName name="IQ_SQ_FT_LEASED_GROSS_CONSOL" hidden="1">"c8820"</definedName>
    <definedName name="IQ_SQ_FT_LEASED_GROSS_MANAGED" hidden="1">"c8822"</definedName>
    <definedName name="IQ_SQ_FT_LEASED_GROSS_OTHER" hidden="1">"c8823"</definedName>
    <definedName name="IQ_SQ_FT_LEASED_GROSS_TOTAL" hidden="1">"c8824"</definedName>
    <definedName name="IQ_SQ_FT_LEASED_GROSS_UNCONSOL" hidden="1">"c8821"</definedName>
    <definedName name="IQ_SQ_FT_LEASED_NET_CONSOL" hidden="1">"c8825"</definedName>
    <definedName name="IQ_SQ_FT_LEASED_NET_MANAGED" hidden="1">"c8827"</definedName>
    <definedName name="IQ_SQ_FT_LEASED_NET_OTHER" hidden="1">"c8828"</definedName>
    <definedName name="IQ_SQ_FT_LEASED_NET_TOTAL" hidden="1">"c8829"</definedName>
    <definedName name="IQ_SQ_FT_LEASED_NET_UNCONSOL" hidden="1">"c8826"</definedName>
    <definedName name="IQ_SQ_METER_LEASED_GROSS_CONSOL" hidden="1">"c8830"</definedName>
    <definedName name="IQ_SQ_METER_LEASED_GROSS_MANAGED" hidden="1">"c8832"</definedName>
    <definedName name="IQ_SQ_METER_LEASED_GROSS_OTHER" hidden="1">"c8833"</definedName>
    <definedName name="IQ_SQ_METER_LEASED_GROSS_TOTAL" hidden="1">"c8834"</definedName>
    <definedName name="IQ_SQ_METER_LEASED_GROSS_UNCONSOL" hidden="1">"c8831"</definedName>
    <definedName name="IQ_SQ_METER_LEASED_NET_CONSOL" hidden="1">"c8835"</definedName>
    <definedName name="IQ_SQ_METER_LEASED_NET_MANAGED" hidden="1">"c8837"</definedName>
    <definedName name="IQ_SQ_METER_LEASED_NET_OTHER" hidden="1">"c8838"</definedName>
    <definedName name="IQ_SQ_METER_LEASED_NET_TOTAL" hidden="1">"c8839"</definedName>
    <definedName name="IQ_SQ_METER_LEASED_NET_UNCONSOL" hidden="1">"c8836"</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 hidden="1">"c6267"</definedName>
    <definedName name="IQ_ST_DEBT_ISSUED_REIT" hidden="1">"c1186"</definedName>
    <definedName name="IQ_ST_DEBT_ISSUED_UTI" hidden="1">"c1187"</definedName>
    <definedName name="IQ_ST_DEBT_PCT" hidden="1">"c2539"</definedName>
    <definedName name="IQ_ST_DEBT_RE" hidden="1">"c6268"</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 hidden="1">"c6269"</definedName>
    <definedName name="IQ_ST_DEBT_REPAID_REIT" hidden="1">"c1194"</definedName>
    <definedName name="IQ_ST_DEBT_REPAID_UTI" hidden="1">"c1195"</definedName>
    <definedName name="IQ_ST_DEBT_UTI" hidden="1">"c1196"</definedName>
    <definedName name="IQ_ST_FHLB_DEBT" hidden="1">"c5658"</definedName>
    <definedName name="IQ_ST_INVEST" hidden="1">"c1197"</definedName>
    <definedName name="IQ_ST_INVEST_ASSETS_TOT_FFIEC" hidden="1">"c13438"</definedName>
    <definedName name="IQ_ST_INVEST_ST_NONCORE_FUNDING_FFIEC" hidden="1">"c13338"</definedName>
    <definedName name="IQ_ST_INVEST_UTI" hidden="1">"c1198"</definedName>
    <definedName name="IQ_ST_NOTE_RECEIV" hidden="1">"c1199"</definedName>
    <definedName name="IQ_STAND_REC_DET_EST" hidden="1">"c12069"</definedName>
    <definedName name="IQ_STAND_REC_DET_EST_DATE" hidden="1">"c12222"</definedName>
    <definedName name="IQ_STAND_REC_DET_EST_DATE_THOM" hidden="1">"c12250"</definedName>
    <definedName name="IQ_STAND_REC_DET_EST_ORIGIN" hidden="1">"c12594"</definedName>
    <definedName name="IQ_STAND_REC_DET_EST_ORIGIN_THOM" hidden="1">"c12620"</definedName>
    <definedName name="IQ_STAND_REC_DET_EST_THOM" hidden="1">"c12100"</definedName>
    <definedName name="IQ_STAND_REC_NUM_DET_EST" hidden="1">"c12068"</definedName>
    <definedName name="IQ_STAND_REC_NUM_DET_EST_DATE" hidden="1">"c12221"</definedName>
    <definedName name="IQ_STAND_REC_NUM_DET_EST_DATE_THOM" hidden="1">"c12249"</definedName>
    <definedName name="IQ_STAND_REC_NUM_DET_EST_ORIGIN" hidden="1">"c12593"</definedName>
    <definedName name="IQ_STAND_REC_NUM_DET_EST_ORIGIN_THOM" hidden="1">"c12619"</definedName>
    <definedName name="IQ_STAND_REC_NUM_DET_EST_THOM" hidden="1">"c12099"</definedName>
    <definedName name="IQ_STATE" hidden="1">"c1200"</definedName>
    <definedName name="IQ_STATE_LOCAL_SPENDING_SAAR" hidden="1">"c7017"</definedName>
    <definedName name="IQ_STATE_LOCAL_SPENDING_SAAR_APR" hidden="1">"c7677"</definedName>
    <definedName name="IQ_STATE_LOCAL_SPENDING_SAAR_APR_FC" hidden="1">"c8557"</definedName>
    <definedName name="IQ_STATE_LOCAL_SPENDING_SAAR_FC" hidden="1">"c7897"</definedName>
    <definedName name="IQ_STATE_LOCAL_SPENDING_SAAR_POP" hidden="1">"c7237"</definedName>
    <definedName name="IQ_STATE_LOCAL_SPENDING_SAAR_POP_FC" hidden="1">"c8117"</definedName>
    <definedName name="IQ_STATE_LOCAL_SPENDING_SAAR_YOY" hidden="1">"c7457"</definedName>
    <definedName name="IQ_STATE_LOCAL_SPENDING_SAAR_YOY_FC" hidden="1">"c8337"</definedName>
    <definedName name="IQ_STATES_NONTRANSACTION_ACCOUNTS_FDIC" hidden="1">"c6547"</definedName>
    <definedName name="IQ_STATES_TOTAL_DEPOSITS_FDIC" hidden="1">"c6473"</definedName>
    <definedName name="IQ_STATES_TRANSACTION_ACCOUNTS_FDIC" hidden="1">"c6539"</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"c3512"</definedName>
    <definedName name="IQ_STOCK_BASED_COMP_PRETAX" hidden="1">"c3510"</definedName>
    <definedName name="IQ_STOCK_BASED_COMP_TAX" hidden="1">"c3511"</definedName>
    <definedName name="IQ_STOCK_BASED_EST" hidden="1">"c4520"</definedName>
    <definedName name="IQ_STOCK_BASED_EXPLORE_DRILL" hidden="1">"c13851"</definedName>
    <definedName name="IQ_STOCK_BASED_GA" hidden="1">"c2993"</definedName>
    <definedName name="IQ_STOCK_BASED_HIGH_EST" hidden="1">"c4521"</definedName>
    <definedName name="IQ_STOCK_BASED_LOW_EST" hidden="1">"c4522"</definedName>
    <definedName name="IQ_STOCK_BASED_MEDIAN_EST" hidden="1">"c4523"</definedName>
    <definedName name="IQ_STOCK_BASED_NUM_EST" hidden="1">"c4524"</definedName>
    <definedName name="IQ_STOCK_BASED_OTHER" hidden="1">"c2995"</definedName>
    <definedName name="IQ_STOCK_BASED_RD" hidden="1">"c2991"</definedName>
    <definedName name="IQ_STOCK_BASED_SGA" hidden="1">"c2994"</definedName>
    <definedName name="IQ_STOCK_BASED_SM" hidden="1">"c2992"</definedName>
    <definedName name="IQ_STOCK_BASED_STDDEV_EST" hidden="1">"c4525"</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ATEGY_NOTE" hidden="1">"c6791"</definedName>
    <definedName name="IQ_STRIKE_PRICE_ISSUED" hidden="1">"c1645"</definedName>
    <definedName name="IQ_STRIKE_PRICE_OS" hidden="1">"c1646"</definedName>
    <definedName name="IQ_STRIPS_RECEIVABLE_MORTGAGE_LOANS_FFIEC" hidden="1">"c12844"</definedName>
    <definedName name="IQ_STRIPS_RECEIVABLE_OTHER_FFIEC" hidden="1">"c12845"</definedName>
    <definedName name="IQ_STRUCT_FIN_CLASS" hidden="1">"c8950"</definedName>
    <definedName name="IQ_STRUCT_FIN_SERIES" hidden="1">"c8956"</definedName>
    <definedName name="IQ_STRUCTURED_NOTES_INVEST_SECURITIES_FFIEC" hidden="1">"c13468"</definedName>
    <definedName name="IQ_STRUCTURING_NOTES_TIER_1_FFIEC" hidden="1">"c13344"</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FDIC" hidden="1">"c6346"</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UB_NOTES_DEBENTURES_FFIEC" hidden="1">"c12867"</definedName>
    <definedName name="IQ_SUB_NOTES_PAYABLE_UNCONSOLIDATED_TRUSTS_FFIEC" hidden="1">"c12868"</definedName>
    <definedName name="IQ_SUPPLIES_FFIEC" hidden="1">"c13050"</definedName>
    <definedName name="IQ_SURPLUS_FDIC" hidden="1">"c6351"</definedName>
    <definedName name="IQ_SURPLUS_FFIEC" hidden="1">"c12877"</definedName>
    <definedName name="IQ_SVA" hidden="1">"c1214"</definedName>
    <definedName name="IQ_TANGIBLE_ASSETS_FFIEC" hidden="1">"c13916"</definedName>
    <definedName name="IQ_TANGIBLE_COMMON_EQUITY_FFIEC" hidden="1">"c13914"</definedName>
    <definedName name="IQ_TANGIBLE_EQUITY_ASSETS_FFIEC" hidden="1">"c13346"</definedName>
    <definedName name="IQ_TANGIBLE_EQUITY_FFIEC" hidden="1">"c13915"</definedName>
    <definedName name="IQ_TANGIBLE_TIER_1_LEVERAGE_FFIEC" hidden="1">"c13345"</definedName>
    <definedName name="IQ_TARGET_PRICE_DET_EST" hidden="1">"c12070"</definedName>
    <definedName name="IQ_TARGET_PRICE_DET_EST_CURRENCY" hidden="1">"c12475"</definedName>
    <definedName name="IQ_TARGET_PRICE_DET_EST_CURRENCY_THOM" hidden="1">"c12498"</definedName>
    <definedName name="IQ_TARGET_PRICE_DET_EST_DATE" hidden="1">"c12223"</definedName>
    <definedName name="IQ_TARGET_PRICE_DET_EST_DATE_THOM" hidden="1">"c12251"</definedName>
    <definedName name="IQ_TARGET_PRICE_DET_EST_INCL" hidden="1">"c12358"</definedName>
    <definedName name="IQ_TARGET_PRICE_DET_EST_INCL_THOM" hidden="1">"c12381"</definedName>
    <definedName name="IQ_TARGET_PRICE_DET_EST_ORIGIN" hidden="1">"c12729"</definedName>
    <definedName name="IQ_TARGET_PRICE_DET_EST_ORIGIN_THOM" hidden="1">"c12621"</definedName>
    <definedName name="IQ_TARGET_PRICE_DET_EST_THOM" hidden="1">"c12101"</definedName>
    <definedName name="IQ_TARGET_PRICE_NUM" hidden="1">"c1653"</definedName>
    <definedName name="IQ_TARGET_PRICE_NUM_CIQ" hidden="1">"c4661"</definedName>
    <definedName name="IQ_TARGET_PRICE_NUM_REUT" hidden="1">"c5319"</definedName>
    <definedName name="IQ_TARGET_PRICE_NUM_THOM" hidden="1">"c5098"</definedName>
    <definedName name="IQ_TARGET_PRICE_STDDEV" hidden="1">"c1654"</definedName>
    <definedName name="IQ_TARGET_PRICE_STDDEV_CIQ" hidden="1">"c4662"</definedName>
    <definedName name="IQ_TARGET_PRICE_STDDEV_REUT" hidden="1">"c5320"</definedName>
    <definedName name="IQ_TARGET_PRICE_STDDEV_THOM" hidden="1">"c5099"</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AX_EQUIVALENT_ADJUSTMENTS_FFIEC" hidden="1">"c13854"</definedName>
    <definedName name="IQ_TAX_OTHER_EXP_AP" hidden="1">"c8878"</definedName>
    <definedName name="IQ_TAX_OTHER_EXP_AP_ABS" hidden="1">"c8897"</definedName>
    <definedName name="IQ_TAX_OTHER_EXP_NAME_AP" hidden="1">"c8916"</definedName>
    <definedName name="IQ_TAX_OTHER_EXP_NAME_AP_ABS" hidden="1">"c8935"</definedName>
    <definedName name="IQ_TAXES_ADJ_NOI_FFIEC" hidden="1">"c13395"</definedName>
    <definedName name="IQ_TAXES_NOI_FFIEC" hidden="1">"c13394"</definedName>
    <definedName name="IQ_TAXES_TE_AVG_ASSETS_FFIEC" hidden="1">"c13366"</definedName>
    <definedName name="IQ_TBV" hidden="1">"c1906"</definedName>
    <definedName name="IQ_TBV_10YR_ANN_CAGR" hidden="1">"c6169"</definedName>
    <definedName name="IQ_TBV_10YR_ANN_GROWTH" hidden="1">"c1936"</definedName>
    <definedName name="IQ_TBV_1YR_ANN_GROWTH" hidden="1">"c1931"</definedName>
    <definedName name="IQ_TBV_2YR_ANN_CAGR" hidden="1">"c6165"</definedName>
    <definedName name="IQ_TBV_2YR_ANN_GROWTH" hidden="1">"c1932"</definedName>
    <definedName name="IQ_TBV_3YR_ANN_CAGR" hidden="1">"c6166"</definedName>
    <definedName name="IQ_TBV_3YR_ANN_GROWTH" hidden="1">"c1933"</definedName>
    <definedName name="IQ_TBV_5YR_ANN_CAGR" hidden="1">"c6167"</definedName>
    <definedName name="IQ_TBV_5YR_ANN_GROWTH" hidden="1">"c1934"</definedName>
    <definedName name="IQ_TBV_7YR_ANN_CAGR" hidden="1">"c6168"</definedName>
    <definedName name="IQ_TBV_7YR_ANN_GROWTH" hidden="1">"c1935"</definedName>
    <definedName name="IQ_TBV_EXCL_FFIEC" hidden="1">"c13516"</definedName>
    <definedName name="IQ_TBV_SHARE" hidden="1">"c1217"</definedName>
    <definedName name="IQ_TELECOM_FFIEC" hidden="1">"c13057"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DET_EST_CURRENCY_THOM" hidden="1">"c12499"</definedName>
    <definedName name="IQ_TEV_DET_EST_DATE_THOM" hidden="1">"c12252"</definedName>
    <definedName name="IQ_TEV_DET_EST_INCL_THOM" hidden="1">"c12382"</definedName>
    <definedName name="IQ_TEV_DET_EST_ORIGIN_THOM" hidden="1">"c12709"</definedName>
    <definedName name="IQ_TEV_DET_EST_THOM" hidden="1">"c12102"</definedName>
    <definedName name="IQ_TEV_EBIT" hidden="1">"c1220"</definedName>
    <definedName name="IQ_TEV_EBIT_AVG" hidden="1">"c1221"</definedName>
    <definedName name="IQ_TEV_EBIT_FWD" hidden="1">"c2238"</definedName>
    <definedName name="IQ_TEV_EBIT_FWD_THOM" hidden="1">"c4061"</definedName>
    <definedName name="IQ_TEV_EBITDA" hidden="1">"c1222"</definedName>
    <definedName name="IQ_TEV_EBITDA_AVG" hidden="1">"c1223"</definedName>
    <definedName name="IQ_TEV_EBITDA_FWD" hidden="1">"c1224"</definedName>
    <definedName name="IQ_TEV_EBITDA_FWD_CIQ" hidden="1">"c4043"</definedName>
    <definedName name="IQ_TEV_EBITDA_FWD_REUT" hidden="1">"c4050"</definedName>
    <definedName name="IQ_TEV_EBITDA_FWD_THOM" hidden="1">"c4057"</definedName>
    <definedName name="IQ_TEV_EMPLOYEE_AVG" hidden="1">"c1225"</definedName>
    <definedName name="IQ_TEV_EST" hidden="1">"c4526"</definedName>
    <definedName name="IQ_TEV_EST_THOM" hidden="1">"c5529"</definedName>
    <definedName name="IQ_TEV_HIGH_EST" hidden="1">"c4527"</definedName>
    <definedName name="IQ_TEV_HIGH_EST_THOM" hidden="1">"c5530"</definedName>
    <definedName name="IQ_TEV_LOW_EST" hidden="1">"c4528"</definedName>
    <definedName name="IQ_TEV_LOW_EST_THOM" hidden="1">"c5531"</definedName>
    <definedName name="IQ_TEV_MEDIAN_EST" hidden="1">"c4529"</definedName>
    <definedName name="IQ_TEV_MEDIAN_EST_THOM" hidden="1">"c5532"</definedName>
    <definedName name="IQ_TEV_NUM_EST" hidden="1">"c4530"</definedName>
    <definedName name="IQ_TEV_NUM_EST_THOM" hidden="1">"c5533"</definedName>
    <definedName name="IQ_TEV_STDDEV_EST" hidden="1">"c4531"</definedName>
    <definedName name="IQ_TEV_STDDEV_EST_THOM" hidden="1">"c5534"</definedName>
    <definedName name="IQ_TEV_TOTAL_REV" hidden="1">"c1226"</definedName>
    <definedName name="IQ_TEV_TOTAL_REV_AVG" hidden="1">"c1227"</definedName>
    <definedName name="IQ_TEV_TOTAL_REV_FWD" hidden="1">"c1228"</definedName>
    <definedName name="IQ_TEV_TOTAL_REV_FWD_CIQ" hidden="1">"c4044"</definedName>
    <definedName name="IQ_TEV_TOTAL_REV_FWD_REUT" hidden="1">"c4051"</definedName>
    <definedName name="IQ_TEV_TOTAL_REV_FWD_THOM" hidden="1">"c4058"</definedName>
    <definedName name="IQ_TEV_UFCF" hidden="1">"c2208"</definedName>
    <definedName name="IQ_THREE_MONTHS_FIXED_AND_FLOATING_FDIC" hidden="1">"c6419"</definedName>
    <definedName name="IQ_THREE_MONTHS_MORTGAGE_PASS_THROUGHS_FDIC" hidden="1">"c6411"</definedName>
    <definedName name="IQ_THREE_YEAR_FIXED_AND_FLOATING_RATE_FDIC" hidden="1">"c6421"</definedName>
    <definedName name="IQ_THREE_YEAR_MORTGAGE_PASS_THROUGHS_FDIC" hidden="1">"c6413"</definedName>
    <definedName name="IQ_THREE_YEARS_LESS_FDIC" hidden="1">"c6417"</definedName>
    <definedName name="IQ_TIER_1_CAPITAL_BEFORE_CHARGES_T1_FFIEC" hidden="1">"c13139"</definedName>
    <definedName name="IQ_TIER_1_CAPITAL_FFIEC" hidden="1">"c13143"</definedName>
    <definedName name="IQ_TIER_1_LEVERAGE_RATIO_FFIEC" hidden="1">"c13160"</definedName>
    <definedName name="IQ_TIER_1_RISK_BASED_CAPITAL_RATIO_FDIC" hidden="1">"c6746"</definedName>
    <definedName name="IQ_TIER_1_RISK_BASED_CAPITAL_RATIO_FFIEC" hidden="1">"c13161"</definedName>
    <definedName name="IQ_TIER_2_CAPITAL_FFIEC" hidden="1">"c13149"</definedName>
    <definedName name="IQ_TIER_3_CAPITAL_ALLOCATED_MARKET_RISK_FFIEC" hidden="1">"c13151"</definedName>
    <definedName name="IQ_TIER_ONE_CAPITAL" hidden="1">"c2667"</definedName>
    <definedName name="IQ_TIER_ONE_FDIC" hidden="1">"c6369"</definedName>
    <definedName name="IQ_TIER_ONE_RATIO" hidden="1">"c1229"</definedName>
    <definedName name="IQ_TIER_TWO_CAPITAL" hidden="1">"c2669"</definedName>
    <definedName name="IQ_TIME_DEP" hidden="1">"c1230"</definedName>
    <definedName name="IQ_TIME_DEPOSITS_LESS_100K_OTHER_INSTITUTIONS_FFIEC" hidden="1">"c12953"</definedName>
    <definedName name="IQ_TIME_DEPOSITS_LESS_100K_TOT_DEPOSITS_FFIEC" hidden="1">"c13907"</definedName>
    <definedName name="IQ_TIME_DEPOSITS_LESS_THAN_100K_FDIC" hidden="1">"c6465"</definedName>
    <definedName name="IQ_TIME_DEPOSITS_MORE_100K_OTHER_INSTITUTIONS_FFIEC" hidden="1">"c12954"</definedName>
    <definedName name="IQ_TIME_DEPOSITS_MORE_100K_TOT_DEPOSITS_FFIEC" hidden="1">"c13906"</definedName>
    <definedName name="IQ_TIME_DEPOSITS_MORE_THAN_100K_FDIC" hidden="1">"c6470"</definedName>
    <definedName name="IQ_TODAY" hidden="1">0</definedName>
    <definedName name="IQ_TOT_1_4_FAM_LOANS_TOT_LOANS_FFIEC" hidden="1">"c13868"</definedName>
    <definedName name="IQ_TOT_ADJ_INC" hidden="1">"c1616"</definedName>
    <definedName name="IQ_TOT_LEASES_TOT_LOANS_FFIEC" hidden="1">"c13876"</definedName>
    <definedName name="IQ_TOT_NON_RE_LOANS_TOT_LOANS_FFIEC" hidden="1">"c13877"</definedName>
    <definedName name="IQ_TOT_NONTRANS_ACCTS_TOT_DEPOSITS_FFIEC" hidden="1">"c13909"</definedName>
    <definedName name="IQ_TOT_RE_LOANS_TOT_LOANS_FFIEC" hidden="1">"c13873"</definedName>
    <definedName name="IQ_TOT_TIME_DEPOSITS_TOT_DEPOSITS_FFIEC" hidden="1">"c13908"</definedName>
    <definedName name="IQ_TOTAL_AR_BR" hidden="1">"c1231"</definedName>
    <definedName name="IQ_TOTAL_AR_RE" hidden="1">"c6270"</definedName>
    <definedName name="IQ_TOTAL_AR_REIT" hidden="1">"c1232"</definedName>
    <definedName name="IQ_TOTAL_AR_UTI" hidden="1">"c1233"</definedName>
    <definedName name="IQ_TOTAL_ASSETS" hidden="1">"c1234"</definedName>
    <definedName name="IQ_TOTAL_ASSETS_10YR_ANN_CAGR" hidden="1">"c6140"</definedName>
    <definedName name="IQ_TOTAL_ASSETS_10YR_ANN_GROWTH" hidden="1">"c1235"</definedName>
    <definedName name="IQ_TOTAL_ASSETS_1YR_ANN_GROWTH" hidden="1">"c1236"</definedName>
    <definedName name="IQ_TOTAL_ASSETS_2YR_ANN_CAGR" hidden="1">"c6141"</definedName>
    <definedName name="IQ_TOTAL_ASSETS_2YR_ANN_GROWTH" hidden="1">"c1237"</definedName>
    <definedName name="IQ_TOTAL_ASSETS_3YR_ANN_CAGR" hidden="1">"c6142"</definedName>
    <definedName name="IQ_TOTAL_ASSETS_3YR_ANN_GROWTH" hidden="1">"c1238"</definedName>
    <definedName name="IQ_TOTAL_ASSETS_5YR_ANN_CAGR" hidden="1">"c6143"</definedName>
    <definedName name="IQ_TOTAL_ASSETS_5YR_ANN_GROWTH" hidden="1">"c1239"</definedName>
    <definedName name="IQ_TOTAL_ASSETS_7YR_ANN_CAGR" hidden="1">"c6144"</definedName>
    <definedName name="IQ_TOTAL_ASSETS_7YR_ANN_GROWTH" hidden="1">"c1240"</definedName>
    <definedName name="IQ_TOTAL_ASSETS_BNK_SUBTOTAL_AP" hidden="1">"c13644"</definedName>
    <definedName name="IQ_TOTAL_ASSETS_FDIC" hidden="1">"c6339"</definedName>
    <definedName name="IQ_TOTAL_ASSETS_FFIEC" hidden="1">"c12849"</definedName>
    <definedName name="IQ_TOTAL_ASSETS_LH_FFIEC" hidden="1">"c13106"</definedName>
    <definedName name="IQ_TOTAL_ASSETS_PC_FFIEC" hidden="1">"c13099"</definedName>
    <definedName name="IQ_TOTAL_ASSETS_SUBTOTAL_AP" hidden="1">"c8985"</definedName>
    <definedName name="IQ_TOTAL_ATTRIB_ORE_RESOURCES_ALUM" hidden="1">"c9241"</definedName>
    <definedName name="IQ_TOTAL_ATTRIB_ORE_RESOURCES_COP" hidden="1">"c9185"</definedName>
    <definedName name="IQ_TOTAL_ATTRIB_ORE_RESOURCES_DIAM" hidden="1">"c9665"</definedName>
    <definedName name="IQ_TOTAL_ATTRIB_ORE_RESOURCES_GOLD" hidden="1">"c9026"</definedName>
    <definedName name="IQ_TOTAL_ATTRIB_ORE_RESOURCES_IRON" hidden="1">"c9400"</definedName>
    <definedName name="IQ_TOTAL_ATTRIB_ORE_RESOURCES_LEAD" hidden="1">"c9453"</definedName>
    <definedName name="IQ_TOTAL_ATTRIB_ORE_RESOURCES_MANG" hidden="1">"c9506"</definedName>
    <definedName name="IQ_TOTAL_ATTRIB_ORE_RESOURCES_MOLYB" hidden="1">"c9718"</definedName>
    <definedName name="IQ_TOTAL_ATTRIB_ORE_RESOURCES_NICK" hidden="1">"c9294"</definedName>
    <definedName name="IQ_TOTAL_ATTRIB_ORE_RESOURCES_PLAT" hidden="1">"c9132"</definedName>
    <definedName name="IQ_TOTAL_ATTRIB_ORE_RESOURCES_SILVER" hidden="1">"c9079"</definedName>
    <definedName name="IQ_TOTAL_ATTRIB_ORE_RESOURCES_TITAN" hidden="1">"c9559"</definedName>
    <definedName name="IQ_TOTAL_ATTRIB_ORE_RESOURCES_URAN" hidden="1">"c9612"</definedName>
    <definedName name="IQ_TOTAL_ATTRIB_ORE_RESOURCES_ZINC" hidden="1">"c9347"</definedName>
    <definedName name="IQ_TOTAL_AVG_CE_TOTAL_AVG_ASSETS" hidden="1">"c1241"</definedName>
    <definedName name="IQ_TOTAL_AVG_EQUITY_TOTAL_AVG_ASSETS" hidden="1">"c1242"</definedName>
    <definedName name="IQ_TOTAL_BANK_CAPITAL" hidden="1">"c2668"</definedName>
    <definedName name="IQ_TOTAL_BEDS" hidden="1">"c8785"</definedName>
    <definedName name="IQ_TOTAL_CA" hidden="1">"c1243"</definedName>
    <definedName name="IQ_TOTAL_CA_SUBTOTAL_AP" hidden="1">"c8986"</definedName>
    <definedName name="IQ_TOTAL_CAP" hidden="1">"c1507"</definedName>
    <definedName name="IQ_TOTAL_CAPITAL_RATIO" hidden="1">"c1244"</definedName>
    <definedName name="IQ_TOTAL_CASH_DIVID" hidden="1">"c1266"</definedName>
    <definedName name="IQ_TOTAL_CASH_FINAN" hidden="1">"c119"</definedName>
    <definedName name="IQ_TOTAL_CASH_INVEST" hidden="1">"c121"</definedName>
    <definedName name="IQ_TOTAL_CASH_OPER" hidden="1">"c122"</definedName>
    <definedName name="IQ_TOTAL_CHARGE_OFFS_FDIC" hidden="1">"c6603"</definedName>
    <definedName name="IQ_TOTAL_CHURN" hidden="1">"c2122"</definedName>
    <definedName name="IQ_TOTAL_CL" hidden="1">"c1245"</definedName>
    <definedName name="IQ_TOTAL_CL_SUBTOTAL_AP" hidden="1">"c8987"</definedName>
    <definedName name="IQ_TOTAL_COAL_PRODUCTION_COAL" hidden="1">"c9824"</definedName>
    <definedName name="IQ_TOTAL_COMMON" hidden="1">"c1022"</definedName>
    <definedName name="IQ_TOTAL_COMMON_EQUITY" hidden="1">"c1246"</definedName>
    <definedName name="IQ_TOTAL_COMMON_EQUITY_FFIEC" hidden="1">"c13913"</definedName>
    <definedName name="IQ_TOTAL_COMMON_EQUITY_TOTAL_ASSETS_FFIEC" hidden="1">"c13864"</definedName>
    <definedName name="IQ_TOTAL_COMMON_SHARES_OUT_FFIEC" hidden="1">"c12955"</definedName>
    <definedName name="IQ_TOTAL_CONSTRUCTION_LL_REC_DOM_FFIEC" hidden="1">"c13515"</definedName>
    <definedName name="IQ_TOTAL_CURRENT_ASSETS" hidden="1">"c1243"</definedName>
    <definedName name="IQ_TOTAL_CURRENT_LIAB" hidden="1">"c1245"</definedName>
    <definedName name="IQ_TOTAL_DEBT" hidden="1">"c1247"</definedName>
    <definedName name="IQ_TOTAL_DEBT_CAPITAL" hidden="1">"c1248"</definedName>
    <definedName name="IQ_TOTAL_DEBT_CURRENT" hidden="1">"c6190"</definedName>
    <definedName name="IQ_TOTAL_DEBT_EBITDA" hidden="1">"c1249"</definedName>
    <definedName name="IQ_TOTAL_DEBT_EBITDA_CAPEX" hidden="1">"c2948"</definedName>
    <definedName name="IQ_TOTAL_DEBT_EQUITY" hidden="1">"c1250"</definedName>
    <definedName name="IQ_TOTAL_DEBT_EST" hidden="1">"c4532"</definedName>
    <definedName name="IQ_TOTAL_DEBT_EXCL_FIN" hidden="1">"c2937"</definedName>
    <definedName name="IQ_TOTAL_DEBT_HIGH_EST" hidden="1">"c4534"</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 hidden="1">"c6271"</definedName>
    <definedName name="IQ_TOTAL_DEBT_ISSUED_REIT" hidden="1">"c1255"</definedName>
    <definedName name="IQ_TOTAL_DEBT_ISSUED_UTI" hidden="1">"c1256"</definedName>
    <definedName name="IQ_TOTAL_DEBT_ISSUES_INS" hidden="1">"c1257"</definedName>
    <definedName name="IQ_TOTAL_DEBT_LOW_EST" hidden="1">"c4535"</definedName>
    <definedName name="IQ_TOTAL_DEBT_MEDIAN_EST" hidden="1">"c4536"</definedName>
    <definedName name="IQ_TOTAL_DEBT_NON_CURRENT" hidden="1">"c6191"</definedName>
    <definedName name="IQ_TOTAL_DEBT_NUM_EST" hidden="1">"c4537"</definedName>
    <definedName name="IQ_TOTAL_DEBT_OVER_EBITDA" hidden="1">"c1249"</definedName>
    <definedName name="IQ_TOTAL_DEBT_OVER_TOTAL_BV" hidden="1">"c1250"</definedName>
    <definedName name="IQ_TOTAL_DEBT_OVER_TOTAL_CAP" hidden="1">"c1248"</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 hidden="1">"c6272"</definedName>
    <definedName name="IQ_TOTAL_DEBT_REPAID_REIT" hidden="1">"c1263"</definedName>
    <definedName name="IQ_TOTAL_DEBT_REPAID_UTI" hidden="1">"c1264"</definedName>
    <definedName name="IQ_TOTAL_DEBT_SECURITIES_FDIC" hidden="1">"c6410"</definedName>
    <definedName name="IQ_TOTAL_DEBT_STDDEV_EST" hidden="1">"c4538"</definedName>
    <definedName name="IQ_TOTAL_DEPOSITS" hidden="1">"c1265"</definedName>
    <definedName name="IQ_TOTAL_DEPOSITS_FDIC" hidden="1">"c6342"</definedName>
    <definedName name="IQ_TOTAL_DEPOSITS_FFIEC" hidden="1">"c13623"</definedName>
    <definedName name="IQ_TOTAL_DIV_PAID_CF" hidden="1">"c1266"</definedName>
    <definedName name="IQ_TOTAL_EMPLOYEE" hidden="1">"c1522"</definedName>
    <definedName name="IQ_TOTAL_EMPLOYEES" hidden="1">"c1522"</definedName>
    <definedName name="IQ_TOTAL_EMPLOYEES_FDIC" hidden="1">"c6355"</definedName>
    <definedName name="IQ_TOTAL_EQUITY" hidden="1">"c1267"</definedName>
    <definedName name="IQ_TOTAL_EQUITY_10YR_ANN_CAGR" hidden="1">"c6145"</definedName>
    <definedName name="IQ_TOTAL_EQUITY_10YR_ANN_GROWTH" hidden="1">"c1268"</definedName>
    <definedName name="IQ_TOTAL_EQUITY_1YR_ANN_GROWTH" hidden="1">"c1269"</definedName>
    <definedName name="IQ_TOTAL_EQUITY_2YR_ANN_CAGR" hidden="1">"c6146"</definedName>
    <definedName name="IQ_TOTAL_EQUITY_2YR_ANN_GROWTH" hidden="1">"c1270"</definedName>
    <definedName name="IQ_TOTAL_EQUITY_3YR_ANN_CAGR" hidden="1">"c6147"</definedName>
    <definedName name="IQ_TOTAL_EQUITY_3YR_ANN_GROWTH" hidden="1">"c1271"</definedName>
    <definedName name="IQ_TOTAL_EQUITY_5YR_ANN_CAGR" hidden="1">"c6148"</definedName>
    <definedName name="IQ_TOTAL_EQUITY_5YR_ANN_GROWTH" hidden="1">"c1272"</definedName>
    <definedName name="IQ_TOTAL_EQUITY_7YR_ANN_CAGR" hidden="1">"c6149"</definedName>
    <definedName name="IQ_TOTAL_EQUITY_7YR_ANN_GROWTH" hidden="1">"c1273"</definedName>
    <definedName name="IQ_TOTAL_EQUITY_ALLOWANCE_TOTAL_LOANS" hidden="1">"c1274"</definedName>
    <definedName name="IQ_TOTAL_EQUITY_CAPITAL_T1_FFIEC" hidden="1">"c13130"</definedName>
    <definedName name="IQ_TOTAL_EQUITY_FFIEC" hidden="1">"c12881"</definedName>
    <definedName name="IQ_TOTAL_EQUITY_LH_FFIEC" hidden="1">"c13109"</definedName>
    <definedName name="IQ_TOTAL_EQUITY_PC_FFIEC" hidden="1">"c13102"</definedName>
    <definedName name="IQ_TOTAL_EQUITY_SUBTOTAL_AP" hidden="1">"c8989"</definedName>
    <definedName name="IQ_TOTAL_EQUITY_TOTAL_ASSETS_FFIEC" hidden="1">"c13863"</definedName>
    <definedName name="IQ_TOTAL_INT_EXPENSE_FFIEC" hidden="1">"c13000"</definedName>
    <definedName name="IQ_TOTAL_INT_INCOME_FFIEC" hidden="1">"c12989"</definedName>
    <definedName name="IQ_TOTAL_INTEREST_EXP" hidden="1">"c591"</definedName>
    <definedName name="IQ_TOTAL_INVENTORY" hidden="1">"c622"</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EQUITY_FDIC" hidden="1">"c6354"</definedName>
    <definedName name="IQ_TOTAL_LIAB_EQUITY_SUBTOTAL_AP" hidden="1">"c8988"</definedName>
    <definedName name="IQ_TOTAL_LIAB_FIN" hidden="1">"c1280"</definedName>
    <definedName name="IQ_TOTAL_LIAB_INS" hidden="1">"c1281"</definedName>
    <definedName name="IQ_TOTAL_LIAB_RE" hidden="1">"c6273"</definedName>
    <definedName name="IQ_TOTAL_LIAB_REIT" hidden="1">"c1282"</definedName>
    <definedName name="IQ_TOTAL_LIAB_SHAREHOLD" hidden="1">"c1279"</definedName>
    <definedName name="IQ_TOTAL_LIAB_TOTAL_ASSETS" hidden="1">"c1283"</definedName>
    <definedName name="IQ_TOTAL_LIABILITIES_EQUITY_FFIEC" hidden="1">"c12882"</definedName>
    <definedName name="IQ_TOTAL_LIABILITIES_FDIC" hidden="1">"c6348"</definedName>
    <definedName name="IQ_TOTAL_LIABILITIES_FFIEC" hidden="1">"c12873"</definedName>
    <definedName name="IQ_TOTAL_LL_REC_DOM_FFIEC" hidden="1">"c12917"</definedName>
    <definedName name="IQ_TOTAL_LL_REC_FFIEC" hidden="1">"c12898"</definedName>
    <definedName name="IQ_TOTAL_LOANS" hidden="1">"c5653"</definedName>
    <definedName name="IQ_TOTAL_LOANS_LEASES_CHARGE_OFFS_FFIEC" hidden="1">"c13186"</definedName>
    <definedName name="IQ_TOTAL_LOANS_LEASES_DUE_30_89_FFIEC" hidden="1">"c13280"</definedName>
    <definedName name="IQ_TOTAL_LOANS_LEASES_DUE_90_FFIEC" hidden="1">"c13306"</definedName>
    <definedName name="IQ_TOTAL_LOANS_LEASES_NON_ACCRUAL_FFIEC" hidden="1">"c13757"</definedName>
    <definedName name="IQ_TOTAL_LOANS_LEASES_RECOV_FFIEC" hidden="1">"c13208"</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 hidden="1">"c6274"</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ABLE_END_OS" hidden="1">"c5819"</definedName>
    <definedName name="IQ_TOTAL_OPTIONS_EXERCISED" hidden="1">"c2695"</definedName>
    <definedName name="IQ_TOTAL_OPTIONS_GRANTED" hidden="1">"c2694"</definedName>
    <definedName name="IQ_TOTAL_ORE_RESOURCES_ALUM" hidden="1">"c9230"</definedName>
    <definedName name="IQ_TOTAL_ORE_RESOURCES_COP" hidden="1">"c9174"</definedName>
    <definedName name="IQ_TOTAL_ORE_RESOURCES_DIAM" hidden="1">"c9654"</definedName>
    <definedName name="IQ_TOTAL_ORE_RESOURCES_GOLD" hidden="1">"c9015"</definedName>
    <definedName name="IQ_TOTAL_ORE_RESOURCES_IRON" hidden="1">"c9389"</definedName>
    <definedName name="IQ_TOTAL_ORE_RESOURCES_LEAD" hidden="1">"c9442"</definedName>
    <definedName name="IQ_TOTAL_ORE_RESOURCES_MANG" hidden="1">"c9495"</definedName>
    <definedName name="IQ_TOTAL_ORE_RESOURCES_MOLYB" hidden="1">"c9707"</definedName>
    <definedName name="IQ_TOTAL_ORE_RESOURCES_NICK" hidden="1">"c9283"</definedName>
    <definedName name="IQ_TOTAL_ORE_RESOURCES_PLAT" hidden="1">"c9121"</definedName>
    <definedName name="IQ_TOTAL_ORE_RESOURCES_SILVER" hidden="1">"c9068"</definedName>
    <definedName name="IQ_TOTAL_ORE_RESOURCES_TITAN" hidden="1">"c9548"</definedName>
    <definedName name="IQ_TOTAL_ORE_RESOURCES_URAN" hidden="1">"c9601"</definedName>
    <definedName name="IQ_TOTAL_ORE_RESOURCES_ZINC" hidden="1">"c9336"</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ENSION_OBLIGATION" hidden="1">"c1292"</definedName>
    <definedName name="IQ_TOTAL_PRINCIPAL" hidden="1">"c2509"</definedName>
    <definedName name="IQ_TOTAL_PRINCIPAL_PCT" hidden="1">"c2510"</definedName>
    <definedName name="IQ_TOTAL_PROP" hidden="1">"c8765"</definedName>
    <definedName name="IQ_TOTAL_PROVED_RESERVES_NGL" hidden="1">"c2924"</definedName>
    <definedName name="IQ_TOTAL_PROVED_RESERVES_OIL" hidden="1">"c2040"</definedName>
    <definedName name="IQ_TOTAL_RECEIV" hidden="1">"c1293"</definedName>
    <definedName name="IQ_TOTAL_RECOV_ATTRIB_RESOURCES_ALUM" hidden="1">"c9246"</definedName>
    <definedName name="IQ_TOTAL_RECOV_ATTRIB_RESOURCES_COAL" hidden="1">"c9820"</definedName>
    <definedName name="IQ_TOTAL_RECOV_ATTRIB_RESOURCES_COP" hidden="1">"c9190"</definedName>
    <definedName name="IQ_TOTAL_RECOV_ATTRIB_RESOURCES_DIAM" hidden="1">"c9670"</definedName>
    <definedName name="IQ_TOTAL_RECOV_ATTRIB_RESOURCES_GOLD" hidden="1">"c9031"</definedName>
    <definedName name="IQ_TOTAL_RECOV_ATTRIB_RESOURCES_IRON" hidden="1">"c9405"</definedName>
    <definedName name="IQ_TOTAL_RECOV_ATTRIB_RESOURCES_LEAD" hidden="1">"c9458"</definedName>
    <definedName name="IQ_TOTAL_RECOV_ATTRIB_RESOURCES_MANG" hidden="1">"c9511"</definedName>
    <definedName name="IQ_TOTAL_RECOV_ATTRIB_RESOURCES_MET_COAL" hidden="1">"c9760"</definedName>
    <definedName name="IQ_TOTAL_RECOV_ATTRIB_RESOURCES_MOLYB" hidden="1">"c9723"</definedName>
    <definedName name="IQ_TOTAL_RECOV_ATTRIB_RESOURCES_NICK" hidden="1">"c9299"</definedName>
    <definedName name="IQ_TOTAL_RECOV_ATTRIB_RESOURCES_PLAT" hidden="1">"c9137"</definedName>
    <definedName name="IQ_TOTAL_RECOV_ATTRIB_RESOURCES_SILVER" hidden="1">"c9084"</definedName>
    <definedName name="IQ_TOTAL_RECOV_ATTRIB_RESOURCES_STEAM" hidden="1">"c9790"</definedName>
    <definedName name="IQ_TOTAL_RECOV_ATTRIB_RESOURCES_TITAN" hidden="1">"c9564"</definedName>
    <definedName name="IQ_TOTAL_RECOV_ATTRIB_RESOURCES_URAN" hidden="1">"c9617"</definedName>
    <definedName name="IQ_TOTAL_RECOV_ATTRIB_RESOURCES_ZINC" hidden="1">"c9352"</definedName>
    <definedName name="IQ_TOTAL_RECOV_RESOURCES_ALUM" hidden="1">"c9236"</definedName>
    <definedName name="IQ_TOTAL_RECOV_RESOURCES_COAL" hidden="1">"c9815"</definedName>
    <definedName name="IQ_TOTAL_RECOV_RESOURCES_COP" hidden="1">"c9180"</definedName>
    <definedName name="IQ_TOTAL_RECOV_RESOURCES_DIAM" hidden="1">"c9660"</definedName>
    <definedName name="IQ_TOTAL_RECOV_RESOURCES_GOLD" hidden="1">"c9021"</definedName>
    <definedName name="IQ_TOTAL_RECOV_RESOURCES_IRON" hidden="1">"c9395"</definedName>
    <definedName name="IQ_TOTAL_RECOV_RESOURCES_LEAD" hidden="1">"c9448"</definedName>
    <definedName name="IQ_TOTAL_RECOV_RESOURCES_MANG" hidden="1">"c9501"</definedName>
    <definedName name="IQ_TOTAL_RECOV_RESOURCES_MET_COAL" hidden="1">"c9755"</definedName>
    <definedName name="IQ_TOTAL_RECOV_RESOURCES_MOLYB" hidden="1">"c9713"</definedName>
    <definedName name="IQ_TOTAL_RECOV_RESOURCES_NICK" hidden="1">"c9289"</definedName>
    <definedName name="IQ_TOTAL_RECOV_RESOURCES_PLAT" hidden="1">"c9127"</definedName>
    <definedName name="IQ_TOTAL_RECOV_RESOURCES_SILVER" hidden="1">"c9074"</definedName>
    <definedName name="IQ_TOTAL_RECOV_RESOURCES_STEAM" hidden="1">"c9785"</definedName>
    <definedName name="IQ_TOTAL_RECOV_RESOURCES_TITAN" hidden="1">"c9554"</definedName>
    <definedName name="IQ_TOTAL_RECOV_RESOURCES_URAN" hidden="1">"c9607"</definedName>
    <definedName name="IQ_TOTAL_RECOV_RESOURCES_ZINC" hidden="1">"c9342"</definedName>
    <definedName name="IQ_TOTAL_RECOVERIES_FDIC" hidden="1">"c6622"</definedName>
    <definedName name="IQ_TOTAL_RESOURCES_CALORIFIC_VALUE_COAL" hidden="1">"c9810"</definedName>
    <definedName name="IQ_TOTAL_RESOURCES_CALORIFIC_VALUE_MET_COAL" hidden="1">"c9750"</definedName>
    <definedName name="IQ_TOTAL_RESOURCES_CALORIFIC_VALUE_STEAM" hidden="1">"c9780"</definedName>
    <definedName name="IQ_TOTAL_RESOURCES_GRADE_ALUM" hidden="1">"c9231"</definedName>
    <definedName name="IQ_TOTAL_RESOURCES_GRADE_COP" hidden="1">"c9175"</definedName>
    <definedName name="IQ_TOTAL_RESOURCES_GRADE_DIAM" hidden="1">"c9655"</definedName>
    <definedName name="IQ_TOTAL_RESOURCES_GRADE_GOLD" hidden="1">"c9016"</definedName>
    <definedName name="IQ_TOTAL_RESOURCES_GRADE_IRON" hidden="1">"c9390"</definedName>
    <definedName name="IQ_TOTAL_RESOURCES_GRADE_LEAD" hidden="1">"c9443"</definedName>
    <definedName name="IQ_TOTAL_RESOURCES_GRADE_MANG" hidden="1">"c9496"</definedName>
    <definedName name="IQ_TOTAL_RESOURCES_GRADE_MOLYB" hidden="1">"c9708"</definedName>
    <definedName name="IQ_TOTAL_RESOURCES_GRADE_NICK" hidden="1">"c9284"</definedName>
    <definedName name="IQ_TOTAL_RESOURCES_GRADE_PLAT" hidden="1">"c9122"</definedName>
    <definedName name="IQ_TOTAL_RESOURCES_GRADE_SILVER" hidden="1">"c9069"</definedName>
    <definedName name="IQ_TOTAL_RESOURCES_GRADE_TITAN" hidden="1">"c9549"</definedName>
    <definedName name="IQ_TOTAL_RESOURCES_GRADE_URAN" hidden="1">"c9602"</definedName>
    <definedName name="IQ_TOTAL_RESOURCES_GRADE_ZINC" hidden="1">"c9337"</definedName>
    <definedName name="IQ_TOTAL_RETURN_SWAPS_DERIVATIVES_BENEFICIARY_FFIEC" hidden="1">"c13120"</definedName>
    <definedName name="IQ_TOTAL_RETURN_SWAPS_DERIVATIVES_GUARANTOR_FFIEC" hidden="1">"c13113"</definedName>
    <definedName name="IQ_TOTAL_REV" hidden="1">"c1294"</definedName>
    <definedName name="IQ_TOTAL_REV_10YR_ANN_CAGR" hidden="1">"c6150"</definedName>
    <definedName name="IQ_TOTAL_REV_10YR_ANN_GROWTH" hidden="1">"c1295"</definedName>
    <definedName name="IQ_TOTAL_REV_1YR_ANN_GROWTH" hidden="1">"c1296"</definedName>
    <definedName name="IQ_TOTAL_REV_2YR_ANN_CAGR" hidden="1">"c6151"</definedName>
    <definedName name="IQ_TOTAL_REV_2YR_ANN_GROWTH" hidden="1">"c1297"</definedName>
    <definedName name="IQ_TOTAL_REV_3YR_ANN_CAGR" hidden="1">"c6152"</definedName>
    <definedName name="IQ_TOTAL_REV_3YR_ANN_GROWTH" hidden="1">"c1298"</definedName>
    <definedName name="IQ_TOTAL_REV_5YR_ANN_CAGR" hidden="1">"c6153"</definedName>
    <definedName name="IQ_TOTAL_REV_5YR_ANN_GROWTH" hidden="1">"c1299"</definedName>
    <definedName name="IQ_TOTAL_REV_7YR_ANN_CAGR" hidden="1">"c6154"</definedName>
    <definedName name="IQ_TOTAL_REV_7YR_ANN_GROWTH" hidden="1">"c1300"</definedName>
    <definedName name="IQ_TOTAL_REV_AS_REPORTED" hidden="1">"c1301"</definedName>
    <definedName name="IQ_TOTAL_REV_BNK" hidden="1">"c1302"</definedName>
    <definedName name="IQ_TOTAL_REV_BNK_FDIC" hidden="1">"c6786"</definedName>
    <definedName name="IQ_TOTAL_REV_BR" hidden="1">"c1303"</definedName>
    <definedName name="IQ_TOTAL_REV_EMPLOYEE" hidden="1">"c1304"</definedName>
    <definedName name="IQ_TOTAL_REV_FIN" hidden="1">"c1305"</definedName>
    <definedName name="IQ_TOTAL_REV_INS" hidden="1">"c1306"</definedName>
    <definedName name="IQ_TOTAL_REV_RE" hidden="1">"c6275"</definedName>
    <definedName name="IQ_TOTAL_REV_REIT" hidden="1">"c1307"</definedName>
    <definedName name="IQ_TOTAL_REV_SHARE" hidden="1">"c1912"</definedName>
    <definedName name="IQ_TOTAL_REV_SUBTOTAL_AP" hidden="1">"c8975"</definedName>
    <definedName name="IQ_TOTAL_REV_UTI" hidden="1">"c1308"</definedName>
    <definedName name="IQ_TOTAL_REVENUE" hidden="1">"c1294"</definedName>
    <definedName name="IQ_TOTAL_REVENUE_FFIEC" hidden="1">"c13020"</definedName>
    <definedName name="IQ_TOTAL_RISK_BASED_CAPITAL_FFIEC" hidden="1">"c13153"</definedName>
    <definedName name="IQ_TOTAL_RISK_BASED_CAPITAL_RATIO_FDIC" hidden="1">"c6747"</definedName>
    <definedName name="IQ_TOTAL_RISK_BASED_CAPITAL_RATIO_FFIEC" hidden="1">"c13162"</definedName>
    <definedName name="IQ_TOTAL_RISK_WEIGHTED_ASSETS_FFIEC" hidden="1">"c13858"</definedName>
    <definedName name="IQ_TOTAL_ROOMS" hidden="1">"c8789"</definedName>
    <definedName name="IQ_TOTAL_SECURITIES_FDIC" hidden="1">"c6306"</definedName>
    <definedName name="IQ_TOTAL_SPECIAL" hidden="1">"c1618"</definedName>
    <definedName name="IQ_TOTAL_SQ_FT" hidden="1">"c8781"</definedName>
    <definedName name="IQ_TOTAL_ST_BORROW" hidden="1">"c1177"</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TIME_DEPOSITS_FDIC" hidden="1">"c6497"</definedName>
    <definedName name="IQ_TOTAL_TIME_SAVINGS_DEPOSITS_FDIC" hidden="1">"c6498"</definedName>
    <definedName name="IQ_TOTAL_TRADING_ASSETS_FFIEC" hidden="1">"c12939"</definedName>
    <definedName name="IQ_TOTAL_TRADING_LIAB_DOM_FFIEC" hidden="1">"c12944"</definedName>
    <definedName name="IQ_TOTAL_UNITS" hidden="1">"c8773"</definedName>
    <definedName name="IQ_TOTAL_UNUSED_COMMITMENTS_FDIC" hidden="1">"c6536"</definedName>
    <definedName name="IQ_TOTAL_UNUSUAL" hidden="1">"c1508"</definedName>
    <definedName name="IQ_TOTAL_UNUSUAL_BNK" hidden="1">"c5516"</definedName>
    <definedName name="IQ_TOTAL_UNUSUAL_BR" hidden="1">"c5517"</definedName>
    <definedName name="IQ_TOTAL_UNUSUAL_FIN" hidden="1">"c5518"</definedName>
    <definedName name="IQ_TOTAL_UNUSUAL_INS" hidden="1">"c5519"</definedName>
    <definedName name="IQ_TOTAL_UNUSUAL_RE" hidden="1">"c6286"</definedName>
    <definedName name="IQ_TOTAL_UNUSUAL_REIT" hidden="1">"c5520"</definedName>
    <definedName name="IQ_TOTAL_UNUSUAL_SUPPLE" hidden="1">"c13817"</definedName>
    <definedName name="IQ_TOTAL_UNUSUAL_UTI" hidden="1">"c5521"</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_TERM_FEE" hidden="1">"c13638"</definedName>
    <definedName name="IQ_TR_BUY_TERM_FEE_PCT" hidden="1">"c13639"</definedName>
    <definedName name="IQ_TR_BUYBACK_TO_CLOSE" hidden="1">"c13919"</definedName>
    <definedName name="IQ_TR_BUYBACK_TO_HIGH" hidden="1">"c13917"</definedName>
    <definedName name="IQ_TR_BUYBACK_TO_LOW" hidden="1">"c13918"</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PPROACH" hidden="1">"c12706"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GISTRATION_FEES" hidden="1">"c2274"</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_TERM_FEE" hidden="1">"c2298"</definedName>
    <definedName name="IQ_TR_SELL_TERM_FEE_PCT" hidden="1">"c2297"</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DA" hidden="1">"c2334"</definedName>
    <definedName name="IQ_TR_TARGET_EBITDA_EQ_INC" hidden="1">"c3608"</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"c40"</definedName>
    <definedName name="IQ_TRADE_PRINCIPAL" hidden="1">"c1309"</definedName>
    <definedName name="IQ_TRADING_ACCOUNT_GAINS_FEES_FDIC" hidden="1">"c6573"</definedName>
    <definedName name="IQ_TRADING_ASSETS" hidden="1">"c1310"</definedName>
    <definedName name="IQ_TRADING_ASSETS_FAIR_VALUE_TOT_FFIEC" hidden="1">"c13210"</definedName>
    <definedName name="IQ_TRADING_ASSETS_FDIC" hidden="1">"c6328"</definedName>
    <definedName name="IQ_TRADING_ASSETS_FFIEC" hidden="1">"c12812"</definedName>
    <definedName name="IQ_TRADING_ASSETS_FOREIGN_FFIEC" hidden="1">"c12940"</definedName>
    <definedName name="IQ_TRADING_ASSETS_LEVEL_1_FFIEC" hidden="1">"c13218"</definedName>
    <definedName name="IQ_TRADING_ASSETS_LEVEL_2_FFIEC" hidden="1">"c13226"</definedName>
    <definedName name="IQ_TRADING_ASSETS_LEVEL_3_FFIEC" hidden="1">"c13234"</definedName>
    <definedName name="IQ_TRADING_ASSETS_QUARTERLY_AVG_FFIEC" hidden="1">"c13085"</definedName>
    <definedName name="IQ_TRADING_CURRENCY" hidden="1">"c2212"</definedName>
    <definedName name="IQ_TRADING_ITEM_CIQID" hidden="1">"c8949"</definedName>
    <definedName name="IQ_TRADING_LIABILITIES_FAIR_VALUE_TOT_FFIEC" hidden="1">"c13214"</definedName>
    <definedName name="IQ_TRADING_LIABILITIES_FDIC" hidden="1">"c6344"</definedName>
    <definedName name="IQ_TRADING_LIABILITIES_FFIEC" hidden="1">"c12858"</definedName>
    <definedName name="IQ_TRADING_LIABILITIES_LEVEL_1_FFIEC" hidden="1">"c13222"</definedName>
    <definedName name="IQ_TRADING_LIABILITIES_LEVEL_2_FFIEC" hidden="1">"c13230"</definedName>
    <definedName name="IQ_TRADING_LIABILITIES_LEVEL_3_FFIEC" hidden="1">"c13238"</definedName>
    <definedName name="IQ_TRADING_REV_OPERATING_INC_FFIEC" hidden="1">"c13385"</definedName>
    <definedName name="IQ_TRADING_REVENUE_FFIEC" hidden="1">"c13004"</definedName>
    <definedName name="IQ_TRANS_ACCTS_TOT_DEPOSITS_FFIEC" hidden="1">"c13904"</definedName>
    <definedName name="IQ_TRANSACTION_ACCOUNTS_FDIC" hidden="1">"c6544"</definedName>
    <definedName name="IQ_TREASURY" hidden="1">"c1311"</definedName>
    <definedName name="IQ_TREASURY_INVEST_SECURITIES_FFIEC" hidden="1">"c13457"</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 hidden="1">"c6276"</definedName>
    <definedName name="IQ_TREASURY_OTHER_EQUITY_REIT" hidden="1">"c1317"</definedName>
    <definedName name="IQ_TREASURY_OTHER_EQUITY_UTI" hidden="1">"c1318"</definedName>
    <definedName name="IQ_TREASURY_STOCK" hidden="1">"c1311"</definedName>
    <definedName name="IQ_TREASURY_STOCK_TRANSACTIONS_FDIC" hidden="1">"c6501"</definedName>
    <definedName name="IQ_TRUCK_ASSEMBLIES" hidden="1">"c7021"</definedName>
    <definedName name="IQ_TRUCK_ASSEMBLIES_APR" hidden="1">"c7681"</definedName>
    <definedName name="IQ_TRUCK_ASSEMBLIES_APR_FC" hidden="1">"c8561"</definedName>
    <definedName name="IQ_TRUCK_ASSEMBLIES_FC" hidden="1">"c7901"</definedName>
    <definedName name="IQ_TRUCK_ASSEMBLIES_POP" hidden="1">"c7241"</definedName>
    <definedName name="IQ_TRUCK_ASSEMBLIES_POP_FC" hidden="1">"c8121"</definedName>
    <definedName name="IQ_TRUCK_ASSEMBLIES_YOY" hidden="1">"c7461"</definedName>
    <definedName name="IQ_TRUCK_ASSEMBLIES_YOY_FC" hidden="1">"c8341"</definedName>
    <definedName name="IQ_TRUST_INC" hidden="1">"c1319"</definedName>
    <definedName name="IQ_TRUST_PREF" hidden="1">"c1320"</definedName>
    <definedName name="IQ_TRUST_PREFERRED" hidden="1">"c3029"</definedName>
    <definedName name="IQ_TRUST_PREFERRED_PCT" hidden="1">"c3030"</definedName>
    <definedName name="IQ_TRUSTEE" hidden="1">"c8959"</definedName>
    <definedName name="IQ_TWELVE_MONTHS_FIXED_AND_FLOATING_FDIC" hidden="1">"c6420"</definedName>
    <definedName name="IQ_TWELVE_MONTHS_MORTGAGE_PASS_THROUGHS_FDIC" hidden="1">"c6412"</definedName>
    <definedName name="IQ_UFCF_10YR_ANN_CAGR" hidden="1">"c6179"</definedName>
    <definedName name="IQ_UFCF_10YR_ANN_GROWTH" hidden="1">"c1948"</definedName>
    <definedName name="IQ_UFCF_1YR_ANN_GROWTH" hidden="1">"c1943"</definedName>
    <definedName name="IQ_UFCF_2YR_ANN_CAGR" hidden="1">"c6175"</definedName>
    <definedName name="IQ_UFCF_2YR_ANN_GROWTH" hidden="1">"c1944"</definedName>
    <definedName name="IQ_UFCF_3YR_ANN_CAGR" hidden="1">"c6176"</definedName>
    <definedName name="IQ_UFCF_3YR_ANN_GROWTH" hidden="1">"c1945"</definedName>
    <definedName name="IQ_UFCF_5YR_ANN_CAGR" hidden="1">"c6177"</definedName>
    <definedName name="IQ_UFCF_5YR_ANN_GROWTH" hidden="1">"c1946"</definedName>
    <definedName name="IQ_UFCF_7YR_ANN_CAGR" hidden="1">"c6178"</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CONSOL_BEDS" hidden="1">"c8783"</definedName>
    <definedName name="IQ_UNCONSOL_PROP" hidden="1">"c8762"</definedName>
    <definedName name="IQ_UNCONSOL_ROOMS" hidden="1">"c8787"</definedName>
    <definedName name="IQ_UNCONSOL_SQ_FT" hidden="1">"c8778"</definedName>
    <definedName name="IQ_UNCONSOL_UNITS" hidden="1">"c8770"</definedName>
    <definedName name="IQ_UNDERWRITER" hidden="1">"c8958"</definedName>
    <definedName name="IQ_UNDERWRITING_PROFIT" hidden="1">"c9975"</definedName>
    <definedName name="IQ_UNDIVIDED_PROFITS_FDIC" hidden="1">"c6352"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 hidden="1">"c6277"</definedName>
    <definedName name="IQ_UNEARN_REV_CURRENT_REIT" hidden="1">"c1327"</definedName>
    <definedName name="IQ_UNEARN_REV_CURRENT_UTI" hidden="1">"c1328"</definedName>
    <definedName name="IQ_UNEARN_REV_LT" hidden="1">"c1329"</definedName>
    <definedName name="IQ_UNEARNED_INCOME_FDIC" hidden="1">"c6324"</definedName>
    <definedName name="IQ_UNEARNED_INCOME_FOREIGN_FDIC" hidden="1">"c6385"</definedName>
    <definedName name="IQ_UNEARNED_INCOME_LL_REC_DOM_FFIEC" hidden="1">"c12916"</definedName>
    <definedName name="IQ_UNEARNED_INCOME_LL_REC_FFIEC" hidden="1">"c12897"</definedName>
    <definedName name="IQ_UNEARNED_PREMIUMS_PC_FFIEC" hidden="1">"c13101"</definedName>
    <definedName name="IQ_UNEMPLOYMENT_RATE" hidden="1">"c7023"</definedName>
    <definedName name="IQ_UNEMPLOYMENT_RATE_FC" hidden="1">"c7903"</definedName>
    <definedName name="IQ_UNEMPLOYMENT_RATE_POP" hidden="1">"c7243"</definedName>
    <definedName name="IQ_UNEMPLOYMENT_RATE_POP_FC" hidden="1">"c8123"</definedName>
    <definedName name="IQ_UNEMPLOYMENT_RATE_YOY" hidden="1">"c7463"</definedName>
    <definedName name="IQ_UNEMPLOYMENT_RATE_YOY_FC" hidden="1">"c8343"</definedName>
    <definedName name="IQ_UNIT_LABOR_COST_INDEX" hidden="1">"c7025"</definedName>
    <definedName name="IQ_UNIT_LABOR_COST_INDEX_APR" hidden="1">"c7685"</definedName>
    <definedName name="IQ_UNIT_LABOR_COST_INDEX_APR_FC" hidden="1">"c8565"</definedName>
    <definedName name="IQ_UNIT_LABOR_COST_INDEX_FC" hidden="1">"c7905"</definedName>
    <definedName name="IQ_UNIT_LABOR_COST_INDEX_PCT_CHANGE" hidden="1">"c7024"</definedName>
    <definedName name="IQ_UNIT_LABOR_COST_INDEX_PCT_CHANGE_FC" hidden="1">"c7904"</definedName>
    <definedName name="IQ_UNIT_LABOR_COST_INDEX_PCT_CHANGE_POP" hidden="1">"c7244"</definedName>
    <definedName name="IQ_UNIT_LABOR_COST_INDEX_PCT_CHANGE_POP_FC" hidden="1">"c8124"</definedName>
    <definedName name="IQ_UNIT_LABOR_COST_INDEX_PCT_CHANGE_YOY" hidden="1">"c7464"</definedName>
    <definedName name="IQ_UNIT_LABOR_COST_INDEX_PCT_CHANGE_YOY_FC" hidden="1">"c8344"</definedName>
    <definedName name="IQ_UNIT_LABOR_COST_INDEX_POP" hidden="1">"c7245"</definedName>
    <definedName name="IQ_UNIT_LABOR_COST_INDEX_POP_FC" hidden="1">"c8125"</definedName>
    <definedName name="IQ_UNIT_LABOR_COST_INDEX_YOY" hidden="1">"c7465"</definedName>
    <definedName name="IQ_UNIT_LABOR_COST_INDEX_YOY_FC" hidden="1">"c8345"</definedName>
    <definedName name="IQ_UNLEVERED_FCF" hidden="1">"c1908"</definedName>
    <definedName name="IQ_UNPAID_CLAIMS" hidden="1">"c1330"</definedName>
    <definedName name="IQ_UNPROFITABLE_INSTITUTIONS_FDIC" hidden="1">"c6722"</definedName>
    <definedName name="IQ_UNREALIZED_GAIN" hidden="1">"c1619"</definedName>
    <definedName name="IQ_UNSECURED_COMMITMENTS_COMMERCIAL_RE_UNUSED_FFIEC" hidden="1">"c13246"</definedName>
    <definedName name="IQ_UNSECURED_DEBT" hidden="1">"c2548"</definedName>
    <definedName name="IQ_UNSECURED_DEBT_PCT" hidden="1">"c2549"</definedName>
    <definedName name="IQ_UNUSED_LOAN_COMMITMENTS_FDIC" hidden="1">"c6368"</definedName>
    <definedName name="IQ_UNUSUAL_EXP" hidden="1">"c1456"</definedName>
    <definedName name="IQ_US_ADDRESS_LEASE_FIN_REC_FFIEC" hidden="1">"c13624"</definedName>
    <definedName name="IQ_US_AGENCY_OBLIG_FFIEC" hidden="1">"c12779"</definedName>
    <definedName name="IQ_US_AGENCY_OBLIG_TRADING_DOM_FFIEC" hidden="1">"c12919"</definedName>
    <definedName name="IQ_US_AGENCY_OBLIG_TRADING_FFIEC" hidden="1">"c12814"</definedName>
    <definedName name="IQ_US_AGENCY_OBLIGATIONS_AVAIL_SALE_FFIEC" hidden="1">"c12793"</definedName>
    <definedName name="IQ_US_BRANCHES_FOREIGN_BANK_LOANS_FDIC" hidden="1">"c6435"</definedName>
    <definedName name="IQ_US_BRANCHES_FOREIGN_BANKS_FDIC" hidden="1">"c6390"</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S_GOV_AGENCIES_FDIC" hidden="1">"c6395"</definedName>
    <definedName name="IQ_US_GOV_DEPOSITS_FDIC" hidden="1">"c6483"</definedName>
    <definedName name="IQ_US_GOV_ENTERPRISES_FDIC" hidden="1">"c6396"</definedName>
    <definedName name="IQ_US_GOV_NONCURRENT_LOANS_TOTAL_NONCURRENT_FDIC" hidden="1">"c6779"</definedName>
    <definedName name="IQ_US_GOV_NONTRANSACTION_ACCOUNTS_FDIC" hidden="1">"c6546"</definedName>
    <definedName name="IQ_US_GOV_OBLIGATIONS_FDIC" hidden="1">"c6299"</definedName>
    <definedName name="IQ_US_GOV_SECURITIES_FDIC" hidden="1">"c6297"</definedName>
    <definedName name="IQ_US_GOV_TOTAL_DEPOSITS_FDIC" hidden="1">"c6472"</definedName>
    <definedName name="IQ_US_GOV_TRANSACTION_ACCOUNTS_FDIC" hidden="1">"c6538"</definedName>
    <definedName name="IQ_US_INST_DUE_30_89_FFIEC" hidden="1">"c13268"</definedName>
    <definedName name="IQ_US_INST_DUE_90_FFIEC" hidden="1">"c13294"</definedName>
    <definedName name="IQ_US_INST_NON_ACCRUAL_FFIEC" hidden="1">"c13320"</definedName>
    <definedName name="IQ_US_SPONSORED_AGENCY_OBLIG_AVAIL_SALE_FFIEC" hidden="1">"c12794"</definedName>
    <definedName name="IQ_US_SPONSORED_AGENCY_OBLIG_FFIEC" hidden="1">"c12780"</definedName>
    <definedName name="IQ_US_TREASURY_SEC_AVAIL_SALE_FFIEC" hidden="1">"c12792"</definedName>
    <definedName name="IQ_US_TREASURY_SEC_TRADING_DOM_FFIEC" hidden="1">"c12918"</definedName>
    <definedName name="IQ_US_TREASURY_SEC_TRADING_FFIEC" hidden="1">"c12813"</definedName>
    <definedName name="IQ_US_TREASURY_SECURITIES_FDIC" hidden="1">"c6298"</definedName>
    <definedName name="IQ_US_TREASURY_SECURITIES_FFIEC" hidden="1">"c12778"</definedName>
    <definedName name="IQ_UTIL_PPE_NET" hidden="1">"c1620"</definedName>
    <definedName name="IQ_UTIL_REV" hidden="1">"c2091"</definedName>
    <definedName name="IQ_UV_PENSION_LIAB" hidden="1">"c1332"</definedName>
    <definedName name="IQ_VALUATION_ALLOWANCES_FDIC" hidden="1">"c6400"</definedName>
    <definedName name="IQ_VALUE_TRADED" hidden="1">"c1519"</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ARIABLE_RATE_PREFERREDS_INT_SENSITIVITY_FFIEC" hidden="1">"c13096"</definedName>
    <definedName name="IQ_VC_REV_OPERATING_INC_FFIEC" hidden="1">"c13388"</definedName>
    <definedName name="IQ_VC_REVENUE_FDIC" hidden="1">"c6667"</definedName>
    <definedName name="IQ_VEHICLE_ASSEMBLIES_LIGHT" hidden="1">"c6905"</definedName>
    <definedName name="IQ_VEHICLE_ASSEMBLIES_LIGHT_APR" hidden="1">"c7565"</definedName>
    <definedName name="IQ_VEHICLE_ASSEMBLIES_LIGHT_APR_FC" hidden="1">"c8445"</definedName>
    <definedName name="IQ_VEHICLE_ASSEMBLIES_LIGHT_FC" hidden="1">"c7785"</definedName>
    <definedName name="IQ_VEHICLE_ASSEMBLIES_LIGHT_NEW" hidden="1">"c6925"</definedName>
    <definedName name="IQ_VEHICLE_ASSEMBLIES_LIGHT_NEW_APR" hidden="1">"c7585"</definedName>
    <definedName name="IQ_VEHICLE_ASSEMBLIES_LIGHT_NEW_APR_FC" hidden="1">"c8465"</definedName>
    <definedName name="IQ_VEHICLE_ASSEMBLIES_LIGHT_NEW_FC" hidden="1">"c7805"</definedName>
    <definedName name="IQ_VEHICLE_ASSEMBLIES_LIGHT_NEW_POP" hidden="1">"c7145"</definedName>
    <definedName name="IQ_VEHICLE_ASSEMBLIES_LIGHT_NEW_POP_FC" hidden="1">"c8025"</definedName>
    <definedName name="IQ_VEHICLE_ASSEMBLIES_LIGHT_NEW_YOY" hidden="1">"c7365"</definedName>
    <definedName name="IQ_VEHICLE_ASSEMBLIES_LIGHT_NEW_YOY_FC" hidden="1">"c8245"</definedName>
    <definedName name="IQ_VEHICLE_ASSEMBLIES_LIGHT_POP" hidden="1">"c7125"</definedName>
    <definedName name="IQ_VEHICLE_ASSEMBLIES_LIGHT_POP_FC" hidden="1">"c8005"</definedName>
    <definedName name="IQ_VEHICLE_ASSEMBLIES_LIGHT_YOY" hidden="1">"c7345"</definedName>
    <definedName name="IQ_VEHICLE_ASSEMBLIES_LIGHT_YOY_FC" hidden="1">"c8225"</definedName>
    <definedName name="IQ_VEHICLE_ASSEMBLIES_TOTAL" hidden="1">"c7020"</definedName>
    <definedName name="IQ_VEHICLE_ASSEMBLIES_TOTAL_APR" hidden="1">"c7680"</definedName>
    <definedName name="IQ_VEHICLE_ASSEMBLIES_TOTAL_APR_FC" hidden="1">"c8560"</definedName>
    <definedName name="IQ_VEHICLE_ASSEMBLIES_TOTAL_FC" hidden="1">"c7900"</definedName>
    <definedName name="IQ_VEHICLE_ASSEMBLIES_TOTAL_POP" hidden="1">"c7240"</definedName>
    <definedName name="IQ_VEHICLE_ASSEMBLIES_TOTAL_POP_FC" hidden="1">"c8120"</definedName>
    <definedName name="IQ_VEHICLE_ASSEMBLIES_TOTAL_YOY" hidden="1">"c7460"</definedName>
    <definedName name="IQ_VEHICLE_ASSEMBLIES_TOTAL_YOY_FC" hidden="1">"c8340"</definedName>
    <definedName name="IQ_VENTURE_CAPITAL_REVENUE_FFIEC" hidden="1">"c13010"</definedName>
    <definedName name="IQ_VIF_AFTER_COST_CAPITAL_COVERED" hidden="1">"c9966"</definedName>
    <definedName name="IQ_VIF_AFTER_COST_CAPITAL_GROUP" hidden="1">"c9952"</definedName>
    <definedName name="IQ_VIF_BEFORE_COST_CAPITAL_COVERED" hidden="1">"c9964"</definedName>
    <definedName name="IQ_VIF_BEFORE_COST_CAPITAL_GROUP" hidden="1">"c9950"</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ATILE_LIABILITIES_FDIC" hidden="1">"c6364"</definedName>
    <definedName name="IQ_VOLUME" hidden="1">"c1333"</definedName>
    <definedName name="IQ_VWAP" hidden="1">"c13514"</definedName>
    <definedName name="IQ_WAC_CURRENT" hidden="1">"c8961"</definedName>
    <definedName name="IQ_WAC_ORIGINAL" hidden="1">"c8953"</definedName>
    <definedName name="IQ_WAM_CURRENT" hidden="1">"c8962"</definedName>
    <definedName name="IQ_WAM_ORIGINAL" hidden="1">"c8952"</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EK" hidden="1">50000</definedName>
    <definedName name="IQ_WEIGHTED_AVG_PRICE" hidden="1">"c1334"</definedName>
    <definedName name="IQ_WHOLESALE_INVENTORIES" hidden="1">"c7027"</definedName>
    <definedName name="IQ_WHOLESALE_INVENTORIES_APR" hidden="1">"c7687"</definedName>
    <definedName name="IQ_WHOLESALE_INVENTORIES_APR_FC" hidden="1">"c8567"</definedName>
    <definedName name="IQ_WHOLESALE_INVENTORIES_FC" hidden="1">"c7907"</definedName>
    <definedName name="IQ_WHOLESALE_INVENTORIES_POP" hidden="1">"c7247"</definedName>
    <definedName name="IQ_WHOLESALE_INVENTORIES_POP_FC" hidden="1">"c8127"</definedName>
    <definedName name="IQ_WHOLESALE_INVENTORIES_YOY" hidden="1">"c7467"</definedName>
    <definedName name="IQ_WHOLESALE_INVENTORIES_YOY_FC" hidden="1">"c8347"</definedName>
    <definedName name="IQ_WHOLESALE_IS_RATIO" hidden="1">"c7026"</definedName>
    <definedName name="IQ_WHOLESALE_IS_RATIO_FC" hidden="1">"c7906"</definedName>
    <definedName name="IQ_WHOLESALE_IS_RATIO_POP" hidden="1">"c7246"</definedName>
    <definedName name="IQ_WHOLESALE_IS_RATIO_POP_FC" hidden="1">"c8126"</definedName>
    <definedName name="IQ_WHOLESALE_IS_RATIO_YOY" hidden="1">"c7466"</definedName>
    <definedName name="IQ_WHOLESALE_IS_RATIO_YOY_FC" hidden="1">"c8346"</definedName>
    <definedName name="IQ_WHOLESALE_SALES" hidden="1">"c7028"</definedName>
    <definedName name="IQ_WHOLESALE_SALES_APR" hidden="1">"c7688"</definedName>
    <definedName name="IQ_WHOLESALE_SALES_APR_FC" hidden="1">"c8568"</definedName>
    <definedName name="IQ_WHOLESALE_SALES_FC" hidden="1">"c7908"</definedName>
    <definedName name="IQ_WHOLESALE_SALES_INDEX" hidden="1">"c7029"</definedName>
    <definedName name="IQ_WHOLESALE_SALES_INDEX_APR" hidden="1">"c7689"</definedName>
    <definedName name="IQ_WHOLESALE_SALES_INDEX_APR_FC" hidden="1">"c8569"</definedName>
    <definedName name="IQ_WHOLESALE_SALES_INDEX_FC" hidden="1">"c7909"</definedName>
    <definedName name="IQ_WHOLESALE_SALES_INDEX_POP" hidden="1">"c7249"</definedName>
    <definedName name="IQ_WHOLESALE_SALES_INDEX_POP_FC" hidden="1">"c8129"</definedName>
    <definedName name="IQ_WHOLESALE_SALES_INDEX_YOY" hidden="1">"c7469"</definedName>
    <definedName name="IQ_WHOLESALE_SALES_INDEX_YOY_FC" hidden="1">"c8349"</definedName>
    <definedName name="IQ_WHOLESALE_SALES_POP" hidden="1">"c7248"</definedName>
    <definedName name="IQ_WHOLESALE_SALES_POP_FC" hidden="1">"c8128"</definedName>
    <definedName name="IQ_WHOLESALE_SALES_YOY" hidden="1">"c7468"</definedName>
    <definedName name="IQ_WHOLESALE_SALES_YOY_FC" hidden="1">"c8348"</definedName>
    <definedName name="IQ_WIP_INV" hidden="1">"c1335"</definedName>
    <definedName name="IQ_WORKING_CAP" hidden="1">"c3494"</definedName>
    <definedName name="IQ_WORKMEN_WRITTEN" hidden="1">"c1336"</definedName>
    <definedName name="IQ_WRITTEN_OPTION_CONTRACTS_FDIC" hidden="1">"c6509"</definedName>
    <definedName name="IQ_WRITTEN_OPTION_CONTRACTS_FX_RISK_FDIC" hidden="1">"c6514"</definedName>
    <definedName name="IQ_WRITTEN_OPTION_CONTRACTS_NON_FX_IR_FDIC" hidden="1">"c6519"</definedName>
    <definedName name="IQ_XDIV_DATE" hidden="1">"c2203"</definedName>
    <definedName name="IQ_YEAR_FOUNDED" hidden="1">"c6793"</definedName>
    <definedName name="IQ_YEARHIGH" hidden="1">"c1337"</definedName>
    <definedName name="IQ_YEARHIGH_DATE" hidden="1">"c2250"</definedName>
    <definedName name="IQ_YEARLOW" hidden="1">"c1338"</definedName>
    <definedName name="IQ_YEARLOW_DATE" hidden="1">"c2251"</definedName>
    <definedName name="IQ_YIELD_FED_FUNDS_SOLD_FFIEC" hidden="1">"c13487"</definedName>
    <definedName name="IQ_YIELD_TRADING_ASSETS_FFIEC" hidden="1">"c13488"</definedName>
    <definedName name="IQ_YTD" hidden="1">3000</definedName>
    <definedName name="IQ_YTW" hidden="1">"c2163"</definedName>
    <definedName name="IQ_YTW_DATE" hidden="1">"c2164"</definedName>
    <definedName name="IQ_YTW_DATE_TYPE" hidden="1">"c2165"</definedName>
    <definedName name="IQ_Z_SCORE" hidden="1">"c1339"</definedName>
    <definedName name="Italy">[13]Fitbit_Model!$B$11</definedName>
    <definedName name="Japan">[13]Fitbit_Model!$B$21</definedName>
    <definedName name="KeepVersions" localSheetId="8">IndexInformation!$B$8</definedName>
    <definedName name="Korea">[13]Fitbit_Model!$B$18</definedName>
    <definedName name="LanguageCode">IndexInformation!$B$38</definedName>
    <definedName name="LastCell" localSheetId="0">ImportantDisclosures!$A$22</definedName>
    <definedName name="LastDate" localSheetId="4">Report '[37]Report Summary'!$C$4</definedName>
    <definedName name="LastDate" localSheetId="5">Report '[37]Report Summary'!$C$4</definedName>
    <definedName name="LastDate" localSheetId="7">Report '[37]Report Summary'!$C$4</definedName>
    <definedName name="LastDate">Report '[37]Report Summary'!$C$4</definedName>
    <definedName name="LatestFiledQ">[23]summary!$J$11</definedName>
    <definedName name="LatestRpQ">[23]summary!$J$10</definedName>
    <definedName name="limcount" hidden="1">1</definedName>
    <definedName name="Linking_12">'Pro Forma P&amp;L'!$B$5:$CA$136</definedName>
    <definedName name="Linking_13">RevBuild!$B$4:$CM$133</definedName>
    <definedName name="Linking_14">RevBuild!$B$4:$CA$133</definedName>
    <definedName name="Linking_15">'P&amp;L'!$B$5:$BU$71</definedName>
    <definedName name="Linking_16">RevBuild!$B$4:$BU$347</definedName>
    <definedName name="Linking_17">'P&amp;L'!$B$5:$CG$71</definedName>
    <definedName name="Linking_18">CC_gro!$B$141:$AQ$154</definedName>
    <definedName name="Linking_19">CC_gro!$B$158:$AQ$163</definedName>
    <definedName name="Linking_2">'P&amp;L'!$A$5:$BO$71</definedName>
    <definedName name="Linking_22">'[26]XRAY-SIRO '!$A$2:$AC$77</definedName>
    <definedName name="Linking_23">'P&amp;L'!$B$5:$CA$71</definedName>
    <definedName name="Linking_26">CC_gro!$B$3:$AU$48</definedName>
    <definedName name="Linking_27">'P&amp;L'!$B$3:$CG$71</definedName>
    <definedName name="Linking_28">RevBuild!$B$3:$CM$133</definedName>
    <definedName name="Linking_29">RevBuild!$B$3:$CG$133</definedName>
    <definedName name="Linking_3">457.3067</definedName>
    <definedName name="Linking_30">RevBuild!$B$4:$BU$133</definedName>
    <definedName name="Linking_32">CC_gro!$B$142:$AU$154</definedName>
    <definedName name="Linking_33">CC_gro!$B$4:$AY$48</definedName>
    <definedName name="Linking_35">RevBuild!$B$3:$CG$134</definedName>
    <definedName name="Linking_36">RevBuild!$B$4:$CG$134</definedName>
    <definedName name="Linking_37">CC_gro!$B$158:$AU$163</definedName>
    <definedName name="Linking_38">CC_gro!$B$141:$AV$154</definedName>
    <definedName name="Linking_39">CC_gro!$B$141:$AU$154</definedName>
    <definedName name="Linking_40">CC_gro!$B$3:$AY$23</definedName>
    <definedName name="Linking_41">CC_gro!$B$142:$AX$155</definedName>
    <definedName name="Linking_42">CC_gro!$B$4:$AY$23</definedName>
    <definedName name="Linking_45">CC_gro!$B$4:$AU$23</definedName>
    <definedName name="Linking_46">CC_gro!$B$141:$AV$155</definedName>
    <definedName name="Linking_50">CC_gro!$B$3:$AY$20</definedName>
    <definedName name="Linking_51">CC_gro!$B$4:$AY$20</definedName>
    <definedName name="Linking_52">CC_gro!$B$3:$AY$24</definedName>
    <definedName name="Linking_59">CC_gro!$B$141:$AW$155</definedName>
    <definedName name="Linking_60">CC_gro!$B$167:$AW$178</definedName>
    <definedName name="Linking_62">CC_gro!$B$3:$BC$26</definedName>
    <definedName name="Linking_63">CC_gro!$B$141:$AY$155</definedName>
    <definedName name="Linking_66">CC_gro!$B$4:$AY$21</definedName>
    <definedName name="Linking_67">CC_gro!$B$4:$AY$26</definedName>
    <definedName name="Linking_68">CC_gro!$B$141:$AX$155</definedName>
    <definedName name="Linking_Range_1">'P&amp;L'!$B$3:$AQ$71</definedName>
    <definedName name="Linking_Range_21">'P&amp;L'!$B$3:$AX$71</definedName>
    <definedName name="Linking_Range_28">'P&amp;L'!$B$3:$AW$71</definedName>
    <definedName name="Linking_Range_33">'P&amp;L'!$B$3:$BC$71</definedName>
    <definedName name="Linking_Range_43">'P&amp;L'!$B$3:$BI$71</definedName>
    <definedName name="Linking_Range_46">'P&amp;L'!$B$5:$BI$37</definedName>
    <definedName name="Linking_Range_51">'P&amp;L'!$B$5:$BO$71</definedName>
    <definedName name="Linking_Range_52">'P&amp;L'!$B$5:$BO$37</definedName>
    <definedName name="Linking_Range_55">RevBuild!$B$4:$BO$135</definedName>
    <definedName name="Linking_Range_60" localSheetId="4">'BalSht '!$B$5:$BO$55</definedName>
    <definedName name="Linking_Range_61">RevBuild!$B$1:$BO$135</definedName>
    <definedName name="Linking_Range_63">'Pro Forma P&amp;L'!$B$5:$BO$136</definedName>
    <definedName name="Linking_Range_64">CC_gro!$B$142:$AP$154</definedName>
    <definedName name="Linking_Range_65">CC_gro!$B$142:$AW$154</definedName>
    <definedName name="Linking_Range_66">RevBuild!$B$4:$BO$75</definedName>
    <definedName name="Linking_Range_67">'BalSht '!$B$5:$BO$88</definedName>
    <definedName name="MacroVersion" localSheetId="8">IndexInformation!$B$1</definedName>
    <definedName name="Malaysia">[13]Fitbit_Model!$B$16</definedName>
    <definedName name="millerpp">'[38]PMB AccDil Input'!$T$26</definedName>
    <definedName name="misc_val">[36]QTRLY!$HM$99:'[36]QTRLY'!$IU$100</definedName>
    <definedName name="ModelPrice" localSheetId="0">ImportantDisclosures!$A$14</definedName>
    <definedName name="MonitorRow">1</definedName>
    <definedName name="mticker">'[39]fd shares'!$F$7</definedName>
    <definedName name="mult">[40]Calc!$D$5</definedName>
    <definedName name="Multiplier" localSheetId="8">IndexInformation!$B$35</definedName>
    <definedName name="multSecurities_L">[41]MultipleSecurities!$A$2:$A$17</definedName>
    <definedName name="n">[31]Inputs!$B$3</definedName>
    <definedName name="NAME">[42]INPUT!$A$13:$B$30</definedName>
    <definedName name="nbvc">{"Client Name or Project Name"}</definedName>
    <definedName name="nbvcsdf" hidden="1">{"comp1",#N/A,FALSE,"COMPS";"footnotes",#N/A,FALSE,"COMPS"}</definedName>
    <definedName name="NetIncome" localSheetId="6">{"Client Name or Project Name"}</definedName>
    <definedName name="NetIncome">{"Client Name or Project Name"}</definedName>
    <definedName name="NEW_GW_LIFE">'[43]Trans Assump'!$J$29</definedName>
    <definedName name="NEW_GW_TAX">'[43]Trans Assump'!$J$28</definedName>
    <definedName name="newDCF" localSheetId="6">{"Client Name or Project Name"}</definedName>
    <definedName name="newDCF">{"Client Name or Project Name"}</definedName>
    <definedName name="newname10" hidden="1">{"comp1",#N/A,FALSE,"COMPS";"footnotes",#N/A,FALSE,"COMPS"}</definedName>
    <definedName name="newname11" hidden="1">{#N/A,#N/A,TRUE,"Pro Forma";#N/A,#N/A,TRUE,"PF_Bal";#N/A,#N/A,TRUE,"PF_INC";#N/A,#N/A,TRUE,"CBE";#N/A,#N/A,TRUE,"SWK"}</definedName>
    <definedName name="newname12" hidden="1">{"comp1",#N/A,FALSE,"COMPS";"footnotes",#N/A,FALSE,"COMPS"}</definedName>
    <definedName name="newname13" hidden="1">{#N/A,#N/A,FALSE,"Calc";#N/A,#N/A,FALSE,"Sensitivity";#N/A,#N/A,FALSE,"LT Earn.Dil.";#N/A,#N/A,FALSE,"Dil. AVP"}</definedName>
    <definedName name="newname14" localSheetId="6">{9}</definedName>
    <definedName name="newname14">{9}</definedName>
    <definedName name="newname15" hidden="1">{#N/A,#N/A,TRUE,"Pro Forma";#N/A,#N/A,TRUE,"PF_Bal";#N/A,#N/A,TRUE,"PF_INC";#N/A,#N/A,TRUE,"CBE";#N/A,#N/A,TRUE,"SWK"}</definedName>
    <definedName name="newname17" hidden="1">{"comp1",#N/A,FALSE,"COMPS";"footnotes",#N/A,FALSE,"COMPS"}</definedName>
    <definedName name="newname18" localSheetId="6">{9}</definedName>
    <definedName name="newname18">{9}</definedName>
    <definedName name="newname19" localSheetId="6">{9}</definedName>
    <definedName name="newname19">{9}</definedName>
    <definedName name="newname20" localSheetId="6">{"Client Name or Project Name"}</definedName>
    <definedName name="newname20">{"Client Name or Project Name"}</definedName>
    <definedName name="newname21" hidden="1">{"assumption cash",#N/A,TRUE,"Merger";"has gets cash",#N/A,TRUE,"Merger";"accretion dilution",#N/A,TRUE,"Merger";"comparison credit stats",#N/A,TRUE,"Merger";"pf credit stats",#N/A,TRUE,"Merger";"pf sheets",#N/A,TRUE,"Merger"}</definedName>
    <definedName name="newname22" localSheetId="6">{9}</definedName>
    <definedName name="newname22">{9}</definedName>
    <definedName name="newname23" localSheetId="6" hidden="1">{"'Breakup 01 Euro'!$A$3:$I$30"}</definedName>
    <definedName name="newname23" hidden="1">{"'Breakup 01 Euro'!$A$3:$I$30"}</definedName>
    <definedName name="newname24" hidden="1">{"casespecific",#N/A,FALSE,"Assumptions"}</definedName>
    <definedName name="newname25" hidden="1">39244.4711574074</definedName>
    <definedName name="newname26" localSheetId="6">{"Client Name or Project Name"}</definedName>
    <definedName name="newname26">{"Client Name or Project Name"}</definedName>
    <definedName name="newname28" localSheetId="6">{"Client Name or Project Name"}</definedName>
    <definedName name="newname28">{"Client Name or Project Name"}</definedName>
    <definedName name="newname29" localSheetId="6">{"Client Name or Project Name"}</definedName>
    <definedName name="newname29">{"Client Name or Project Name"}</definedName>
    <definedName name="newname30" localSheetId="6">{"Client Name or Project Name"}</definedName>
    <definedName name="newname30">{"Client Name or Project Name"}</definedName>
    <definedName name="newname31" localSheetId="6">{126}</definedName>
    <definedName name="newname31">{126}</definedName>
    <definedName name="newname32" localSheetId="6">{1}</definedName>
    <definedName name="newname32">{1}</definedName>
    <definedName name="newname33" localSheetId="6">{0}</definedName>
    <definedName name="newname33">{0}</definedName>
    <definedName name="newname34" localSheetId="6">{126}</definedName>
    <definedName name="newname34">{126}</definedName>
    <definedName name="newname35" localSheetId="6">{"Client Name or Project Name"}</definedName>
    <definedName name="newname35">{"Client Name or Project Name"}</definedName>
    <definedName name="newname36" localSheetId="6">{"Client Name or Project Name"}</definedName>
    <definedName name="newname36">{"Client Name or Project Name"}</definedName>
    <definedName name="newname37" localSheetId="6">{"Client Name or Project Name"}</definedName>
    <definedName name="newname37">{"Client Name or Project Name"}</definedName>
    <definedName name="newname38" localSheetId="6">{"Client Name or Project Name"}</definedName>
    <definedName name="newname38">{"Client Name or Project Name"}</definedName>
    <definedName name="newname39" localSheetId="6">{"Client Name or Project Name"}</definedName>
    <definedName name="newname39">{"Client Name or Project Name"}</definedName>
    <definedName name="newname40" localSheetId="6">{"Client Name or Project Name"}</definedName>
    <definedName name="newname40">{"Client Name or Project Name"}</definedName>
    <definedName name="newname41" localSheetId="6">{"Client Name or Project Name"}</definedName>
    <definedName name="newname41">{"Client Name or Project Name"}</definedName>
    <definedName name="newname42" localSheetId="6">{"Client Name or Project Name"}</definedName>
    <definedName name="newname42">{"Client Name or Project Name"}</definedName>
    <definedName name="newname43" localSheetId="6">{"Client Name or Project Name"}</definedName>
    <definedName name="newname43">{"Client Name or Project Name"}</definedName>
    <definedName name="newname44" hidden="1">{"Client is",#N/A,FALSE,"Client"}</definedName>
    <definedName name="newname45" hidden="1">{TRUE,TRUE,-1.25,-15.5,456.75,279.75,FALSE,FALSE,TRUE,TRUE,0,1,18,1,199,6,3,4,TRUE,TRUE,3,TRUE,1,TRUE,100,"Swvu.cash.","ACwvu.cash.",1,FALSE,FALSE,0.511811023622047,0.511811023622047,0.511811023622047,0.511811023622047,1,"","",FALSE,FALSE,FALSE,FALSE,1,#N/A,1,1,#DIV/0!,FALSE,"Rwvu.cash.",#N/A,FALSE,FALSE}</definedName>
    <definedName name="newname46" hidden="1">{TRUE,TRUE,-1.25,-15.5,456.75,279.75,FALSE,FALSE,TRUE,TRUE,0,1,21,1,127,6,3,4,TRUE,TRUE,3,TRUE,1,TRUE,100,"Swvu.profits.","ACwvu.profits.",1,FALSE,FALSE,0.511811023622047,0.511811023622047,0.511811023622047,0.511811023622047,1,"","",FALSE,FALSE,FALSE,FALSE,1,#N/A,1,1,#DIV/0!,FALSE,"Rwvu.profits.",#N/A,FALSE,FALSE}</definedName>
    <definedName name="newname47" hidden="1">{TRUE,TRUE,-1.25,-15.5,456.75,279.75,FALSE,FALSE,TRUE,TRUE,0,1,8,1,4,6,3,4,TRUE,TRUE,3,TRUE,1,TRUE,100,"Swvu.turnover.","ACwvu.turnover.",1,FALSE,FALSE,0.511811023622047,0.511811023622047,0.511811023622047,0.511811023622047,1,"","",FALSE,FALSE,FALSE,FALSE,1,#N/A,1,1,#DIV/0!,FALSE,"Rwvu.turnover.",#N/A,FALSE,FALSE}</definedName>
    <definedName name="newProjectName" localSheetId="6">{"Client Name or Project Name"}</definedName>
    <definedName name="newProjectName">{"Client Name or Project Name"}</definedName>
    <definedName name="NewProjName" localSheetId="6">{"Client Name or Project Name"}</definedName>
    <definedName name="NewProjName">{"Client Name or Project Name"}</definedName>
    <definedName name="newstone" localSheetId="6">{"Client Name or Project Name"}</definedName>
    <definedName name="newstone">{"Client Name or Project Name"}</definedName>
    <definedName name="NextYearEPS" localSheetId="8">IndexInformation!$B$13</definedName>
    <definedName name="NextYearTotalRevenue" localSheetId="8">IndexInformation!$B$12</definedName>
    <definedName name="NextYearTotalRevenueActual" localSheetId="8">IndexInformation!$B$33</definedName>
    <definedName name="nfnhjsfnhsfns" hidden="1">{0,#N/A,FALSE,0;0,#N/A,FALSE,0}</definedName>
    <definedName name="nghmg" hidden="1">{0,#N/A,FALSE,0;0,#N/A,FALSE,0}</definedName>
    <definedName name="ni">{"Client Name or Project Name"}</definedName>
    <definedName name="nmnmm" hidden="1">{#N/A,#N/A,FALSE,"Index";"Stmts_Qtrs",#N/A,FALSE,"Summary";"Stmts_24 mo",#N/A,FALSE,"Summary";"Summary_24",#N/A,FALSE,"Revenue";"Month_24",#N/A,FALSE,"Engineering";"Month_24",#N/A,FALSE,"Marketing";"Month_24",#N/A,FALSE,"G &amp; A";"Month_24",#N/A,FALSE,"Manufacturing"}</definedName>
    <definedName name="nmnmm1" hidden="1">{#N/A,#N/A,FALSE,"Index";"Stmts_Qtrs",#N/A,FALSE,"Summary";"Stmts_24 mo",#N/A,FALSE,"Summary";"Summary_24",#N/A,FALSE,"Revenue";"Month_24",#N/A,FALSE,"Engineering";"Month_24",#N/A,FALSE,"Marketing";"Month_24",#N/A,FALSE,"G &amp; A";"Month_24",#N/A,FALSE,"Manufacturing"}</definedName>
    <definedName name="NO_YEARS2">'[44]DCF Inputs'!$H$19</definedName>
    <definedName name="NoIdeaWhatToDo" localSheetId="6">{"Client Name or Project Name"}</definedName>
    <definedName name="NoIdeaWhatToDo">{"Client Name or Project Name"}</definedName>
    <definedName name="num" localSheetId="6">{126}</definedName>
    <definedName name="num">{126}</definedName>
    <definedName name="NumCUSIP" localSheetId="6">{1}</definedName>
    <definedName name="NumCUSIP">{1}</definedName>
    <definedName name="NumCUSIPMissing" localSheetId="6">{0}</definedName>
    <definedName name="NumCUSIPMissing">{0}</definedName>
    <definedName name="NumInst" localSheetId="6">{126}</definedName>
    <definedName name="NumInst">{126}</definedName>
    <definedName name="NVCURR">[45]I!$B$1:$U$51</definedName>
    <definedName name="nyt">'[46]Control Page'!$C$7</definedName>
    <definedName name="ObjectType">IndexInformation!$B$37</definedName>
    <definedName name="offer">[20]Trans!$C$17</definedName>
    <definedName name="Offset_Ht">[13]Fitbit_Model!$C$25</definedName>
    <definedName name="Offset_Spacer">[13]Fitbit_Model!$C$26</definedName>
    <definedName name="oldlscase">[47]Control!$E$33</definedName>
    <definedName name="otherdate">'[39]fd shares'!$L$9</definedName>
    <definedName name="over_15_years">0.1</definedName>
    <definedName name="P">'[39]fd shares'!$K$14</definedName>
    <definedName name="PANA" localSheetId="9">ModPubIndex!$A$11</definedName>
    <definedName name="PathName" localSheetId="8">IndexInformation!$B$25</definedName>
    <definedName name="percentcash">'[48]Merger Inputs'!$H$32</definedName>
    <definedName name="PF_BS">'[12]Pro Forma BS'!$A$2:$Q$41</definedName>
    <definedName name="PF_BS_Proj">'[12]ProForma Financials'!$A$123:$K$162</definedName>
    <definedName name="PF_CF">'[12]ProForma Financials'!$A$67:$K$120</definedName>
    <definedName name="pfma_shares">[35]Calcs!$O$46</definedName>
    <definedName name="pfshares">[20]Calcs!$G$45</definedName>
    <definedName name="PHIGH">'[39]fd shares'!$K$10</definedName>
    <definedName name="Philippines">[13]Fitbit_Model!$B$14</definedName>
    <definedName name="PLOW">'[39]fd shares'!$K$11</definedName>
    <definedName name="poiuy">{9}</definedName>
    <definedName name="pooling">[35]transinputs!$T$35</definedName>
    <definedName name="PPP" localSheetId="6">{"Client Name or Project Name"}</definedName>
    <definedName name="PPP">{"Client Name or Project Name"}</definedName>
    <definedName name="Premium1">[49]AD!$T$18</definedName>
    <definedName name="price_acquiror">[50]Inputs!$L$31</definedName>
    <definedName name="price_sw">[51]LBO!$Y$8</definedName>
    <definedName name="PRICE2">'[52]Hist Inputs'!$G$41</definedName>
    <definedName name="PrimaryShares">[53]Earnings!$P$50</definedName>
    <definedName name="_xlnm.Print_Area" localSheetId="2">RevBuild!$A$1:$CN$352</definedName>
    <definedName name="_xlnm.Print_Area">"Formula removed, name can be deleted."</definedName>
    <definedName name="Print_DCF" localSheetId="4">[54]!Print_DCF</definedName>
    <definedName name="Print_DCF" localSheetId="5">[54]!Print_DCF</definedName>
    <definedName name="Print_DCF" localSheetId="7">[54]!Print_DCF</definedName>
    <definedName name="Print_DCF">[54]!Print_DCF</definedName>
    <definedName name="Print_HardRock" localSheetId="4">[55]!Print_HardRock</definedName>
    <definedName name="Print_HardRock" localSheetId="5">[55]!Print_HardRock</definedName>
    <definedName name="Print_HardRock" localSheetId="7">[55]!Print_HardRock</definedName>
    <definedName name="Print_HardRock">[55]!Print_HardRock</definedName>
    <definedName name="Print_ibt" localSheetId="4">[56]!Print_ibt</definedName>
    <definedName name="Print_ibt" localSheetId="5">[56]!Print_ibt</definedName>
    <definedName name="Print_ibt" localSheetId="7">[56]!Print_ibt</definedName>
    <definedName name="Print_ibt">[56]!Print_ibt</definedName>
    <definedName name="Print_image" localSheetId="4">[56]!Print_image</definedName>
    <definedName name="Print_image" localSheetId="5">[56]!Print_image</definedName>
    <definedName name="Print_image" localSheetId="7">[56]!Print_image</definedName>
    <definedName name="Print_image">[56]!Print_image</definedName>
    <definedName name="_xlnm.Print_Titles">"Formula removed, name can be deleted."</definedName>
    <definedName name="Print_valmat" localSheetId="4">[56]!Print_valmat</definedName>
    <definedName name="Print_valmat" localSheetId="5">[56]!Print_valmat</definedName>
    <definedName name="Print_valmat" localSheetId="7">[56]!Print_valmat</definedName>
    <definedName name="Print_valmat">[56]!Print_valmat</definedName>
    <definedName name="Print_Valmax" localSheetId="4">[57]!Print_Valmax</definedName>
    <definedName name="Print_Valmax" localSheetId="5">[57]!Print_Valmax</definedName>
    <definedName name="Print_Valmax" localSheetId="7">[57]!Print_Valmax</definedName>
    <definedName name="Print_Valmax">[57]!Print_Valmax</definedName>
    <definedName name="print1" hidden="1">{#N/A,#N/A,FALSE,"Index";"Stmts_Qtrs",#N/A,FALSE,"Summary";"Stmts_24 mo",#N/A,FALSE,"Summary";"Summary_24",#N/A,FALSE,"Revenue";"Month_24",#N/A,FALSE,"Engineering";"Month_24",#N/A,FALSE,"Marketing";"Month_24",#N/A,FALSE,"G &amp; A";"Month_24",#N/A,FALSE,"Manufacturing"}</definedName>
    <definedName name="PrintModelReports" localSheetId="4">[58]!PrintModelReports</definedName>
    <definedName name="PrintModelReports" localSheetId="5">[58]!PrintModelReports</definedName>
    <definedName name="PrintModelReports" localSheetId="7">[58]!PrintModelReports</definedName>
    <definedName name="PrintModelReports">[58]!PrintModelReports</definedName>
    <definedName name="PrintPreviewModelReports" localSheetId="4">[58]!PrintPreviewModelReports</definedName>
    <definedName name="PrintPreviewModelReports" localSheetId="5">[58]!PrintPreviewModelReports</definedName>
    <definedName name="PrintPreviewModelReports" localSheetId="7">[58]!PrintPreviewModelReports</definedName>
    <definedName name="PrintPreviewModelReports">[58]!PrintPreviewModelReports</definedName>
    <definedName name="PROCEEDS">'[34]Hist Inputs'!$G$39</definedName>
    <definedName name="PROCEEDS2">'[52]Hist Inputs'!$G$39</definedName>
    <definedName name="PRODUCT" localSheetId="9">ModPubIndex!$A$6</definedName>
    <definedName name="proforma_taxrate">'[11]Assumptions &amp; Cases'!$F$13</definedName>
    <definedName name="project">[20]Trans!$I$23</definedName>
    <definedName name="ProjectName" localSheetId="6">{"Client Name or Project Name"}</definedName>
    <definedName name="ProjectName">{"Client Name or Project Name"}</definedName>
    <definedName name="ProjectName_Options" localSheetId="6">{"Client Name or Project Name"}</definedName>
    <definedName name="ProjectName_Options">{"Client Name or Project Name"}</definedName>
    <definedName name="ProjectName2" localSheetId="6">{"Client Name or Project Name"}</definedName>
    <definedName name="ProjectName2">{"Client Name or Project Name"}</definedName>
    <definedName name="projectnamez" localSheetId="6">{"Client Name or Project Name"}</definedName>
    <definedName name="projectnamez">{"Client Name or Project Name"}</definedName>
    <definedName name="PSYM" localSheetId="9">ModPubIndex!$A$4</definedName>
    <definedName name="PUB_FileID" hidden="1">"L10003787.xls"</definedName>
    <definedName name="PUB_UserID" hidden="1">"MAYERX"</definedName>
    <definedName name="PublishDate" localSheetId="8">IndexInformation!$B$2</definedName>
    <definedName name="qqq" localSheetId="6">{9}</definedName>
    <definedName name="qqq">{9}</definedName>
    <definedName name="qweqwerqwer">{"Client Name or Project Name"}</definedName>
    <definedName name="qwergfasd">{9}</definedName>
    <definedName name="r_fd_shares">'[39]fd shares'!$H$11</definedName>
    <definedName name="Rating" localSheetId="8">IndexInformation!$B$9</definedName>
    <definedName name="RatingsDefined" localSheetId="0">ImportantDisclosures!$A$21</definedName>
    <definedName name="RatingsDefs" localSheetId="0">ImportantDisclosures!#REF!</definedName>
    <definedName name="receive">[59]Sheet3!$T$13</definedName>
    <definedName name="RegACDisclosure" localSheetId="0">ImportantDisclosures!#REF!</definedName>
    <definedName name="rentper">[9]Switches!$AE$8</definedName>
    <definedName name="rentx">[60]Switches!$D$53</definedName>
    <definedName name="RepairedName0157" hidden="1">"iQShowAnnual"</definedName>
    <definedName name="RepairedName0514" hidden="1">"iQShowAnnual"</definedName>
    <definedName name="RepairedName0679" hidden="1">"iQShowAnnual"</definedName>
    <definedName name="RepairedName1535" hidden="1">"iQShowAnnual"</definedName>
    <definedName name="Repurchase">[61]Assumptions!$C$20</definedName>
    <definedName name="ResearchTopic" localSheetId="8">IndexInformation!$B$4</definedName>
    <definedName name="REVERSE_SWITCH">[62]Transinputs!$AC$20</definedName>
    <definedName name="RIC" localSheetId="8">IndexInformation!$B$21</definedName>
    <definedName name="rticker">'[39]fd shares'!$H$7</definedName>
    <definedName name="run_no">'[63]Trans Assump'!$C$19</definedName>
    <definedName name="Sdebt1">[64]Inputs!$AC$59</definedName>
    <definedName name="Sdebt2">[64]Inputs!$AC$60</definedName>
    <definedName name="Sdebt3">[64]Inputs!$AC$61</definedName>
    <definedName name="sdf">{"Client Name or Project Name"}</definedName>
    <definedName name="sdfsdfg" hidden="1">{#N/A,#N/A,TRUE,"Pro Forma";#N/A,#N/A,TRUE,"PF_Bal";#N/A,#N/A,TRUE,"PF_INC";#N/A,#N/A,TRUE,"CBE";#N/A,#N/A,TRUE,"SWK"}</definedName>
    <definedName name="SecondROI" localSheetId="6">{"Client Name or Project Name"}</definedName>
    <definedName name="SecondROI">{"Client Name or Project Name"}</definedName>
    <definedName name="SECSettlement" localSheetId="0">ImportantDisclosures!#REF!</definedName>
    <definedName name="SEDOL" localSheetId="8">IndexInformation!$B$22</definedName>
    <definedName name="sellman">[65]Assump!$P$6</definedName>
    <definedName name="sencount" hidden="1">2</definedName>
    <definedName name="sgfgwer">{9}</definedName>
    <definedName name="sghdfsdfg">{9}</definedName>
    <definedName name="SharePrice">[66]Summary!$K$10</definedName>
    <definedName name="Singapore">[13]Fitbit_Model!$B$19</definedName>
    <definedName name="SourceDefined" localSheetId="0">ImportantDisclosures!$A$19</definedName>
    <definedName name="Space">"          "</definedName>
    <definedName name="Spaces">"      "</definedName>
    <definedName name="Spain">[13]Fitbit_Model!$B$10</definedName>
    <definedName name="Ssyn">[64]Inputs!$AA$95</definedName>
    <definedName name="stage">[67]Assumptions!$E$51:$E$60</definedName>
    <definedName name="Stand1" localSheetId="6">{"Client Name or Project Name"}</definedName>
    <definedName name="Stand1">{"Client Name or Project Name"}</definedName>
    <definedName name="state" localSheetId="6">{"Client Name or Project Name"}</definedName>
    <definedName name="state">{"Client Name or Project Name"}</definedName>
    <definedName name="States" localSheetId="6">{"Client Name or Project Name"}</definedName>
    <definedName name="States">{"Client Name or Project Name"}</definedName>
    <definedName name="stock">[61]Assumptions!$C$15</definedName>
    <definedName name="StockRating" localSheetId="0">ImportantDisclosures!$A$11</definedName>
    <definedName name="SubjectCode" localSheetId="8">IndexInformation!$B$6</definedName>
    <definedName name="SubmitterUserId">IndexInformation!$B$39</definedName>
    <definedName name="SUPPRESSED" localSheetId="9">ModPubIndex!$A$13</definedName>
    <definedName name="SYNERGY_2">[22]Trans_Inputs!$J$41</definedName>
    <definedName name="SYNERGY_4">[22]Trans_Inputs!$N$41</definedName>
    <definedName name="synergy_value">[35]Main_value!$Q$16</definedName>
    <definedName name="SYNON">'[34]DCF Inputs'!$O$20</definedName>
    <definedName name="Table_16">"GENEYE"</definedName>
    <definedName name="Taiwan">[13]Fitbit_Model!$B$17</definedName>
    <definedName name="Tar">[68]Inputs!$K$9</definedName>
    <definedName name="tar_ownership">'[69]Merger Inputs'!$L$21</definedName>
    <definedName name="tar_price">[11]Selections!$J$11</definedName>
    <definedName name="Targ52High">[70]Input!$K$63</definedName>
    <definedName name="Targ52Low">[70]Input!$K$64</definedName>
    <definedName name="TargCalEPS1">[70]Input!$K$68</definedName>
    <definedName name="TargCalEPS3">[70]Input!$K$70</definedName>
    <definedName name="target_name">[10]Inputs!$B$3</definedName>
    <definedName name="TARGET_SHPRICE">[22]Target_Sum!$Q$22</definedName>
    <definedName name="TargetName">'[53]Control Page'!$C$5</definedName>
    <definedName name="TargetPrice" localSheetId="0">ImportantDisclosures!$A$15</definedName>
    <definedName name="tarname">'[20]Company Inputs'!$C$3</definedName>
    <definedName name="TAROPTIONS">[71]inputs!$AF$49</definedName>
    <definedName name="tarprice">'[20]Company Inputs'!$C$41</definedName>
    <definedName name="tarshares">'[20]Company Inputs'!$C$43</definedName>
    <definedName name="TARSHS">[72]Target!$P$23</definedName>
    <definedName name="tax">'[20]Company Inputs'!$B$39</definedName>
    <definedName name="TemplateRegion">IndexInformation!$B$36</definedName>
    <definedName name="Thailand">[13]Fitbit_Model!$B$20</definedName>
    <definedName name="Ticker" localSheetId="0">ImportantDisclosures!$A$10</definedName>
    <definedName name="ticker">OFFSET('[73]Exclusion List'!$A$1,1,0,COUNTA('[73]Exclusion List'!$A$1:$A$65536)-1,1)</definedName>
    <definedName name="TickerRegion">IndexInformation!$B$41</definedName>
    <definedName name="Tickers" localSheetId="8">IndexInformation!$B$19</definedName>
    <definedName name="twtrqr" hidden="1">{#N/A,#N/A,FALSE,"Calc";#N/A,#N/A,FALSE,"Sensitivity";#N/A,#N/A,FALSE,"LT Earn.Dil.";#N/A,#N/A,FALSE,"Dil. AVP"}</definedName>
    <definedName name="tygreghdh" hidden="1">{"casespecific",#N/A,FALSE,"Assumptions"}</definedName>
    <definedName name="UK">[13]Fitbit_Model!$B$7</definedName>
    <definedName name="Update_This" localSheetId="4">[30]!Update_This</definedName>
    <definedName name="Update_This" localSheetId="5">[30]!Update_This</definedName>
    <definedName name="Update_This" localSheetId="7">[30]!Update_This</definedName>
    <definedName name="Update_This">[30]!Update_This</definedName>
    <definedName name="UpdateReason" localSheetId="8">IndexInformation!$B$17</definedName>
    <definedName name="US">[13]Fitbit_Model!$B$6</definedName>
    <definedName name="USRegDisclosures" localSheetId="0">ImportantDisclosures!#REF!</definedName>
    <definedName name="Validation">"MAM"</definedName>
    <definedName name="Version">"June 29, 2004"</definedName>
    <definedName name="WeeksLead">[13]Fitbit_Model!$C$29</definedName>
    <definedName name="WeeksOut">[13]Fitbit_Model!$C$24</definedName>
    <definedName name="wertwertwert" hidden="1">{"assumption cash",#N/A,TRUE,"Merger";"has gets cash",#N/A,TRUE,"Merger";"accretion dilution",#N/A,TRUE,"Merger";"comparison credit stats",#N/A,TRUE,"Merger";"pf credit stats",#N/A,TRUE,"Merger";"pf sheets",#N/A,TRUE,"Merger"}</definedName>
    <definedName name="wrn.Complete."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Executive._.Summary." hidden="1">{#N/A,#N/A,FALSE,"ES Cover";#N/A,#N/A,FALSE,"ES Index ";#N/A,#N/A,FALSE,"ES 2-1-1  Net Eff Mbrs 2001";#N/A,#N/A,FALSE,"ES 2-1-2  Net Eff  Mbrs 2000";#N/A,#N/A,FALSE,"ES 2-2 Mbr Sales Plan vs Proj";#N/A,#N/A,FALSE,"ES 3_Top 5 IFP States Carriers";#N/A,#N/A,FALSE,"ES 4 Top 5 SBG States Carriers";#N/A,#N/A,FALSE,"ES 5 New Top Bottom 5 Summary";#N/A,#N/A,FALSE,"ES 6 Daily Avg";#N/A,#N/A,FALSE,"ES 7  Vol Graph";#N/A,#N/A,FALSE,"ES 8  ClosRatio by Carr";#N/A,#N/A,FALSE,"ES 9  ClosRatio by State";#N/A,#N/A,FALSE,"ES 10  Apps Ret CA OofS";#N/A,#N/A,FALSE,"ES 11 CLosRatioStateCarr Mont";#N/A,#N/A,FALSE,"ES 12  CarrierPerStateNov";#N/A,#N/A,FALSE,"ES 13 CarrierPerStateYTD";#N/A,#N/A,FALSE,"ES 14 Analytics";#N/A,#N/A,FALSE,"ES 15 Total Calls Graph";#N/A,#N/A,FALSE,"ES 16 Within 30 Sec ";#N/A,#N/A,FALSE,"ES 17 Emails";#N/A,#N/A,FALSE,"ES 18 Chat Graph"}</definedName>
    <definedName name="wrn.Graphs." hidden="1">{#N/A,#N/A,FALSE,"1-1 Vol Graph";#N/A,#N/A,FALSE,"1-2 Approve App Graph";#N/A,#N/A,FALSE,"6-1 Email Graph";#N/A,#N/A,FALSE,"6-2 Chat Graph";#N/A,#N/A,FALSE,"6-3 Abandoned Graph";#N/A,#N/A,FALSE,"6-4 30sec Graph";#N/A,#N/A,FALSE,"6_5TotalCalls"}</definedName>
    <definedName name="wrn.Industry.xls." hidden="1">{#N/A,#N/A,FALSE,"Earnings";#N/A,#N/A,FALSE,"Overview";#N/A,#N/A,FALSE,"Summary";#N/A,#N/A,FALSE,"Summary II";#N/A,#N/A,FALSE,"R&amp;D";#N/A,#N/A,FALSE,"R&amp;D Forecast";#N/A,#N/A,FALSE,"Tax Adj";#N/A,#N/A,FALSE,"Goodwill";#N/A,#N/A,FALSE,"FX ";#N/A,#N/A,FALSE,"Consolidation";#N/A,#N/A,FALSE,"Provisions"}</definedName>
    <definedName name="wrn.NOVARTIS._.MODELS." hidden="1">{"QTRINC",#N/A,FALSE,"US FORMAT - P&amp;L";"MARGIN",#N/A,FALSE,"US FORMAT-MARGIN";"SALES1",#N/A,FALSE,"US FORMAT - SALES";"SALES2",#N/A,FALSE,"US FORMAT - SALES";"SALES3",#N/A,FALSE,"US FORMAT - SALES";"SALES4",#N/A,FALSE,"US FORMAT - SALES";"SALES5",#N/A,FALSE,"US FORMAT - SALES"}</definedName>
    <definedName name="wrn.Print._.24." hidden="1">{#N/A,#N/A,FALSE,"Index";"Stmts_Qtrs",#N/A,FALSE,"Summary";"Stmts_24 mo",#N/A,FALSE,"Summary";"Summary_24",#N/A,FALSE,"Revenue";"Month_24",#N/A,FALSE,"Engineering";"Month_24",#N/A,FALSE,"Marketing";"Month_24",#N/A,FALSE,"G &amp; A";"Month_24",#N/A,FALSE,"Manufacturing"}</definedName>
    <definedName name="wrn.Print._.All._.Pages." hidden="1">{"LBO Summary",#N/A,FALSE,"Summary";"Income Statement",#N/A,FALSE,"Model";"Cash Flow",#N/A,FALSE,"Model";"Balance Sheet",#N/A,FALSE,"Model";"Working Capital",#N/A,FALSE,"Model";"Pro Forma Balance Sheets",#N/A,FALSE,"PFBS";"Debt Balances",#N/A,FALSE,"Model";"Fee Schedules",#N/A,FALSE,"Model"}</definedName>
    <definedName name="wrn.Reg._.Printer." hidden="1">{#N/A,#N/A,FALSE,"1-3-0 Sales Summary_Volume";#N/A,#N/A,FALSE,"1-3-1 Mon Appr Chgs";#N/A,#N/A,FALSE,"1-3-3 4 Sent to Carrier";#N/A,#N/A,FALSE,"1-3-5 6 Submitted";#N/A,#N/A,FALSE,"1-3-7, 8  ClosRatio by Carr";#N/A,#N/A,FALSE,"1-3-9 % Sub Sent to Carrl";#N/A,#N/A,FALSE,"1-4 Sales Summary_Lag";#N/A,#N/A,FALSE,"1-4-1 Apps Ret CA OofS";#N/A,#N/A,FALSE,"2-1 ClosRatio by State";#N/A,#N/A,FALSE,"2-2 ClosRatio by Carrier";#N/A,#N/A,FALSE,"2-3-1 CLosRatioStateCarr YTD";#N/A,#N/A,FALSE,"2-3-2 CLosRatioStateCarr June";#N/A,#N/A,FALSE,"2-4 ClosRatioStatCarrier99";#N/A,#N/A,FALSE,"2-5#CarrierPerState00";#N/A,#N/A,FALSE,"2-6#CarrierPerState99";#N/A,#N/A,FALSE,"2-7 StateClosRatio";#N/A,#N/A,FALSE,"2-8 CarrierClosRatio";#N/A,#N/A,FALSE,"3  Sales and Persistency";#N/A,#N/A,FALSE,"4-1 Summary Lag Report";#N/A,#N/A,FALSE,"4-2 Detail Lag Report";#N/A,#N/A,FALSE,"4-3 Lag Analysis";#N/A,#N/A,FALSE,"5-1 SBG"}</definedName>
    <definedName name="wvu.cash." hidden="1">{TRUE,TRUE,-1.25,-15.5,456.75,279.75,FALSE,FALSE,TRUE,TRUE,0,1,18,1,199,6,3,4,TRUE,TRUE,3,TRUE,1,TRUE,100,"Swvu.cash.","ACwvu.cash.",1,FALSE,FALSE,0.511811023622047,0.511811023622047,0.511811023622047,0.511811023622047,1,"","",FALSE,FALSE,FALSE,FALSE,1,#N/A,1,1,#DIV/0!,FALSE,"Rwvu.cash.",#N/A,FALSE,FALSE}</definedName>
    <definedName name="wvu.profits." hidden="1">{TRUE,TRUE,-1.25,-15.5,456.75,279.75,FALSE,FALSE,TRUE,TRUE,0,1,21,1,127,6,3,4,TRUE,TRUE,3,TRUE,1,TRUE,100,"Swvu.profits.","ACwvu.profits.",1,FALSE,FALSE,0.511811023622047,0.511811023622047,0.511811023622047,0.511811023622047,1,"","",FALSE,FALSE,FALSE,FALSE,1,#N/A,1,1,#DIV/0!,FALSE,"Rwvu.profits.",#N/A,FALSE,FALSE}</definedName>
    <definedName name="wvu.turnover." hidden="1">{TRUE,TRUE,-1.25,-15.5,456.75,279.75,FALSE,FALSE,TRUE,TRUE,0,1,8,1,4,6,3,4,TRUE,TRUE,3,TRUE,1,TRUE,100,"Swvu.turnover.","ACwvu.turnover.",1,FALSE,FALSE,0.511811023622047,0.511811023622047,0.511811023622047,0.511811023622047,1,"","",FALSE,FALSE,FALSE,FALSE,1,#N/A,1,1,#DIV/0!,FALSE,"Rwvu.turnover.",#N/A,FALSE,FALSE}</definedName>
    <definedName name="wwetr">{9}</definedName>
    <definedName name="ytrewq" hidden="1">{"'Breakup 01 Euro'!$A$3:$I$30"}</definedName>
    <definedName name="z_cash">'[74]Balance Sheet'!$B$8:$CA$8</definedName>
    <definedName name="z_lt_debt">'[74]Balance Sheet'!$B$47:$CA$47</definedName>
    <definedName name="z_qbs_2c05">'[74]Balance Sheet'!$AH$6:$AH$245</definedName>
    <definedName name="z_st_debt">'[74]Balance Sheet'!$B$36:$CA$36</definedName>
  </definedNames>
  <calcPr calcId="145621"/>
</workbook>
</file>

<file path=xl/calcChain.xml><?xml version="1.0" encoding="utf-8"?>
<calcChain xmlns="http://schemas.openxmlformats.org/spreadsheetml/2006/main">
  <c r="CD146" i="107" l="1"/>
  <c r="CE146" i="107" s="1"/>
  <c r="CF146" i="107" l="1"/>
  <c r="CG146" i="107" s="1"/>
  <c r="BO144" i="3"/>
  <c r="BO143" i="3"/>
  <c r="BO142" i="3"/>
  <c r="BO141" i="3"/>
  <c r="BO136" i="3"/>
  <c r="BN144" i="3"/>
  <c r="BN143" i="3"/>
  <c r="BN142" i="3"/>
  <c r="BN141" i="3"/>
  <c r="BN136" i="3"/>
  <c r="BN66" i="107" l="1"/>
  <c r="BO132" i="107" l="1"/>
  <c r="BO100" i="106"/>
  <c r="BO98" i="106"/>
  <c r="BO96" i="106"/>
  <c r="BO103" i="106" s="1"/>
  <c r="BO105" i="106" l="1"/>
  <c r="BO97" i="106"/>
  <c r="BO99" i="106"/>
  <c r="BO101" i="106"/>
  <c r="BN96" i="29"/>
  <c r="BN34" i="29"/>
  <c r="BN32" i="29"/>
  <c r="BO154" i="107"/>
  <c r="BN154" i="107"/>
  <c r="BO153" i="107"/>
  <c r="BN153" i="107"/>
  <c r="BO152" i="107"/>
  <c r="BN152" i="107"/>
  <c r="BO151" i="107"/>
  <c r="BN151" i="107"/>
  <c r="BN144" i="107"/>
  <c r="BN143" i="107" s="1"/>
  <c r="BM132" i="107"/>
  <c r="BO128" i="107"/>
  <c r="BQ128" i="107"/>
  <c r="BO133" i="107"/>
  <c r="BO134" i="107" s="1"/>
  <c r="BO131" i="107"/>
  <c r="BO130" i="107"/>
  <c r="BO129" i="107"/>
  <c r="BN132" i="107"/>
  <c r="BN170" i="106"/>
  <c r="BO170" i="106"/>
  <c r="BN171" i="106"/>
  <c r="BO171" i="106"/>
  <c r="BN172" i="106"/>
  <c r="BO172" i="106"/>
  <c r="BN163" i="106"/>
  <c r="BN162" i="106"/>
  <c r="BO158" i="106"/>
  <c r="BO154" i="106"/>
  <c r="BN158" i="106"/>
  <c r="BN154" i="106"/>
  <c r="BO147" i="106"/>
  <c r="BN150" i="106"/>
  <c r="BN151" i="106" s="1"/>
  <c r="BN148" i="106"/>
  <c r="BO148" i="106" s="1"/>
  <c r="BN147" i="106"/>
  <c r="BO140" i="106"/>
  <c r="BO138" i="106"/>
  <c r="BN143" i="106"/>
  <c r="BN144" i="106" s="1"/>
  <c r="BN140" i="106"/>
  <c r="BN139" i="106"/>
  <c r="BN142" i="106" s="1"/>
  <c r="BO142" i="106" s="1"/>
  <c r="BN138" i="106"/>
  <c r="BN141" i="106" s="1"/>
  <c r="BO134" i="106"/>
  <c r="BO129" i="106"/>
  <c r="BO130" i="106" s="1"/>
  <c r="BO128" i="106"/>
  <c r="BN134" i="106"/>
  <c r="BN129" i="106"/>
  <c r="BN130" i="106" s="1"/>
  <c r="BN128" i="106"/>
  <c r="BO125" i="106"/>
  <c r="BO123" i="106"/>
  <c r="BO121" i="106"/>
  <c r="BO120" i="106"/>
  <c r="BN124" i="106"/>
  <c r="BO124" i="106" s="1"/>
  <c r="BN121" i="106"/>
  <c r="BN122" i="106" s="1"/>
  <c r="BN120" i="106"/>
  <c r="BN126" i="106" s="1"/>
  <c r="BN132" i="106" s="1"/>
  <c r="BN131" i="106" s="1"/>
  <c r="BO131" i="106" s="1"/>
  <c r="BO132" i="106" s="1"/>
  <c r="BO114" i="106"/>
  <c r="BO115" i="106" s="1"/>
  <c r="BO112" i="106"/>
  <c r="BO111" i="106"/>
  <c r="BO109" i="106"/>
  <c r="BO108" i="106"/>
  <c r="BN114" i="106"/>
  <c r="BN115" i="106" s="1"/>
  <c r="BN112" i="106"/>
  <c r="BN111" i="106"/>
  <c r="BN110" i="106"/>
  <c r="BN109" i="106"/>
  <c r="BN108" i="106"/>
  <c r="BN103" i="106"/>
  <c r="BN99" i="106" s="1"/>
  <c r="BO87" i="106"/>
  <c r="BO86" i="106"/>
  <c r="BO85" i="106"/>
  <c r="BN87" i="106"/>
  <c r="BN86" i="106"/>
  <c r="BN85" i="106"/>
  <c r="BN31" i="106"/>
  <c r="BN15" i="106"/>
  <c r="BN56" i="107"/>
  <c r="BN48" i="107"/>
  <c r="BN50" i="107"/>
  <c r="BN49" i="107"/>
  <c r="BN47" i="107"/>
  <c r="BN45" i="107"/>
  <c r="BN46" i="107"/>
  <c r="BN44" i="107"/>
  <c r="BN43" i="107"/>
  <c r="BN52" i="107"/>
  <c r="BN38" i="107"/>
  <c r="BN37" i="107"/>
  <c r="BN36" i="107"/>
  <c r="BN35" i="107"/>
  <c r="BN34" i="107"/>
  <c r="BN32" i="107"/>
  <c r="BN31" i="107"/>
  <c r="BN33" i="107"/>
  <c r="BN17" i="107"/>
  <c r="BN26" i="107"/>
  <c r="BN25" i="107"/>
  <c r="BN24" i="107"/>
  <c r="BN23" i="107"/>
  <c r="BN22" i="107"/>
  <c r="BN21" i="107"/>
  <c r="BN20" i="107"/>
  <c r="BN19" i="107"/>
  <c r="BN15" i="107"/>
  <c r="BN14" i="107"/>
  <c r="BN13" i="107"/>
  <c r="BN12" i="107"/>
  <c r="BN11" i="107"/>
  <c r="BN9" i="107"/>
  <c r="BN113" i="106" l="1"/>
  <c r="BO126" i="106"/>
  <c r="BO139" i="106"/>
  <c r="BO143" i="106" s="1"/>
  <c r="BO144" i="106" s="1"/>
  <c r="BO135" i="106"/>
  <c r="BN135" i="106"/>
  <c r="BN149" i="106"/>
  <c r="BO149" i="106" s="1"/>
  <c r="BO150" i="106" s="1"/>
  <c r="BO151" i="106" s="1"/>
  <c r="BO141" i="106"/>
  <c r="BN97" i="106"/>
  <c r="BN101" i="106"/>
  <c r="BN105" i="106"/>
  <c r="BQ42" i="51" l="1"/>
  <c r="BS66" i="51" l="1"/>
  <c r="BX94" i="51" l="1"/>
  <c r="BY94" i="51" s="1"/>
  <c r="BZ94" i="51" s="1"/>
  <c r="BW83" i="51"/>
  <c r="CC83" i="51" s="1"/>
  <c r="CI83" i="51" s="1"/>
  <c r="CI50" i="51" l="1"/>
  <c r="CI59" i="51"/>
  <c r="CC59" i="51"/>
  <c r="BZ50" i="51"/>
  <c r="BX50" i="51"/>
  <c r="BW50" i="51"/>
  <c r="BW59" i="51"/>
  <c r="AN6" i="112" l="1"/>
  <c r="AN13" i="112"/>
  <c r="AO6" i="112"/>
  <c r="AP6" i="112"/>
  <c r="AQ6" i="112"/>
  <c r="AP7" i="112"/>
  <c r="AO13" i="112"/>
  <c r="AP13" i="112"/>
  <c r="AQ13" i="112"/>
  <c r="BT158" i="3" l="1"/>
  <c r="BS158" i="3"/>
  <c r="AU175" i="112"/>
  <c r="AT175" i="112"/>
  <c r="BW122" i="106" l="1"/>
  <c r="CE70" i="29"/>
  <c r="CF70" i="29" s="1"/>
  <c r="CD70" i="29"/>
  <c r="BX70" i="29"/>
  <c r="BY70" i="29" s="1"/>
  <c r="BZ70" i="29" s="1"/>
  <c r="BN101" i="29"/>
  <c r="BU146" i="107"/>
  <c r="BQ12" i="51"/>
  <c r="BQ158" i="3" l="1"/>
  <c r="AR175" i="112"/>
  <c r="BR42" i="51" l="1"/>
  <c r="BR12" i="51" s="1"/>
  <c r="BR158" i="3" l="1"/>
  <c r="AS175" i="112"/>
  <c r="CJ47" i="51" l="1"/>
  <c r="CJ50" i="51" s="1"/>
  <c r="CJ56" i="51"/>
  <c r="BN102" i="51"/>
  <c r="BO97" i="51"/>
  <c r="BO102" i="51" s="1"/>
  <c r="BN93" i="51"/>
  <c r="BN91" i="51"/>
  <c r="BO84" i="51"/>
  <c r="BN80" i="51"/>
  <c r="BL13" i="51"/>
  <c r="BK13" i="51"/>
  <c r="BM13" i="51"/>
  <c r="BN60" i="51"/>
  <c r="BN49" i="51"/>
  <c r="BN37" i="51"/>
  <c r="BN59" i="51"/>
  <c r="BN55" i="51"/>
  <c r="BN57" i="51" s="1"/>
  <c r="BN13" i="51"/>
  <c r="BN41" i="51"/>
  <c r="BN42" i="51"/>
  <c r="AP175" i="112" s="1"/>
  <c r="BK12" i="51"/>
  <c r="BM16" i="51"/>
  <c r="BL16" i="51"/>
  <c r="BK16" i="51"/>
  <c r="BN20" i="51"/>
  <c r="BH12" i="51"/>
  <c r="BG12" i="51"/>
  <c r="BG13" i="51"/>
  <c r="BF12" i="51"/>
  <c r="BF13" i="51" s="1"/>
  <c r="BL9" i="51"/>
  <c r="BK9" i="51"/>
  <c r="BE12" i="51"/>
  <c r="AY8" i="51"/>
  <c r="AZ8" i="51"/>
  <c r="BA8" i="51"/>
  <c r="BB8" i="51"/>
  <c r="BH13" i="51" s="1"/>
  <c r="BI8" i="51"/>
  <c r="BE11" i="51"/>
  <c r="BF11" i="51"/>
  <c r="BG11" i="51"/>
  <c r="BH11" i="51"/>
  <c r="BE13" i="51"/>
  <c r="AN11" i="112" s="1"/>
  <c r="AY15" i="51"/>
  <c r="AZ15" i="51"/>
  <c r="BA15" i="51"/>
  <c r="BB15" i="51"/>
  <c r="BI15" i="51"/>
  <c r="BE18" i="51"/>
  <c r="BF18" i="51"/>
  <c r="BG18" i="51"/>
  <c r="BH18" i="51"/>
  <c r="BF20" i="51"/>
  <c r="BG20" i="51"/>
  <c r="BH20" i="51"/>
  <c r="BE20" i="51"/>
  <c r="AN12" i="112" s="1"/>
  <c r="BL34" i="51"/>
  <c r="BK34" i="51"/>
  <c r="BH34" i="51"/>
  <c r="BG34" i="51"/>
  <c r="BF34" i="51"/>
  <c r="BE34" i="51"/>
  <c r="BB34" i="51"/>
  <c r="BF33" i="51"/>
  <c r="BE33" i="51"/>
  <c r="BB33" i="51"/>
  <c r="BA33" i="51"/>
  <c r="BA34" i="51" s="1"/>
  <c r="AZ33" i="51"/>
  <c r="AZ34" i="51" s="1"/>
  <c r="AY33" i="51"/>
  <c r="AY34" i="51" s="1"/>
  <c r="BL32" i="51"/>
  <c r="BK32" i="51"/>
  <c r="BB32" i="51"/>
  <c r="BA32" i="51"/>
  <c r="AZ32" i="51"/>
  <c r="AY32" i="51"/>
  <c r="BH30" i="51"/>
  <c r="BH32" i="51" s="1"/>
  <c r="BG30" i="51"/>
  <c r="BG32" i="51" s="1"/>
  <c r="BF30" i="51"/>
  <c r="BF32" i="51" s="1"/>
  <c r="BE30" i="51"/>
  <c r="BI29" i="51"/>
  <c r="BC29" i="51"/>
  <c r="AV29" i="51"/>
  <c r="AU29" i="51"/>
  <c r="AT29" i="51"/>
  <c r="AS29" i="51"/>
  <c r="BK27" i="51"/>
  <c r="BH27" i="51"/>
  <c r="BB27" i="51"/>
  <c r="BA27" i="51"/>
  <c r="AZ27" i="51"/>
  <c r="AY27" i="51"/>
  <c r="BK26" i="51"/>
  <c r="BL25" i="51"/>
  <c r="BK25" i="51"/>
  <c r="BB25" i="51"/>
  <c r="BA25" i="51"/>
  <c r="AZ25" i="51"/>
  <c r="AY25" i="51"/>
  <c r="BH23" i="51"/>
  <c r="BH26" i="51" s="1"/>
  <c r="BG23" i="51"/>
  <c r="BG26" i="51" s="1"/>
  <c r="BE23" i="51"/>
  <c r="BE26" i="51" s="1"/>
  <c r="BF22" i="51"/>
  <c r="BI22" i="51" s="1"/>
  <c r="BC22" i="51"/>
  <c r="BI27" i="51" s="1"/>
  <c r="AV22" i="51"/>
  <c r="AU22" i="51"/>
  <c r="AT22" i="51"/>
  <c r="AS22" i="51"/>
  <c r="BN76" i="3"/>
  <c r="BO36" i="3"/>
  <c r="BO30" i="3"/>
  <c r="BO28" i="3"/>
  <c r="BO27" i="3"/>
  <c r="BO22" i="3"/>
  <c r="BO14" i="3"/>
  <c r="BO13" i="3"/>
  <c r="BO11" i="3"/>
  <c r="BN10" i="3"/>
  <c r="BO9" i="3"/>
  <c r="BO8" i="3"/>
  <c r="BO162" i="106" l="1"/>
  <c r="BO122" i="106"/>
  <c r="BN99" i="51"/>
  <c r="AW29" i="51"/>
  <c r="BC30" i="51" s="1"/>
  <c r="CK56" i="51"/>
  <c r="CJ59" i="51"/>
  <c r="AP173" i="112"/>
  <c r="BI23" i="51"/>
  <c r="BN43" i="51"/>
  <c r="BC34" i="51"/>
  <c r="AW22" i="51"/>
  <c r="BC27" i="51" s="1"/>
  <c r="BC33" i="51"/>
  <c r="BI24" i="51"/>
  <c r="BI25" i="51"/>
  <c r="BN61" i="51"/>
  <c r="BC15" i="51"/>
  <c r="BI17" i="51" s="1"/>
  <c r="BC8" i="51"/>
  <c r="BI13" i="51" s="1"/>
  <c r="BO18" i="3"/>
  <c r="BL27" i="51"/>
  <c r="BE32" i="51"/>
  <c r="BF23" i="51"/>
  <c r="BF26" i="51" s="1"/>
  <c r="BI26" i="51" s="1"/>
  <c r="BO163" i="106" l="1"/>
  <c r="CL56" i="51"/>
  <c r="CL59" i="51" s="1"/>
  <c r="CK59" i="51"/>
  <c r="BC32" i="51"/>
  <c r="BC31" i="51"/>
  <c r="BC24" i="51"/>
  <c r="BC23" i="51"/>
  <c r="BC26" i="51"/>
  <c r="BC25" i="51"/>
  <c r="BI10" i="51"/>
  <c r="BI11" i="51"/>
  <c r="BI20" i="51"/>
  <c r="BI16" i="51"/>
  <c r="BI18" i="51"/>
  <c r="BI19" i="51"/>
  <c r="BI9" i="51"/>
  <c r="BI12" i="51"/>
  <c r="CG160" i="3" l="1"/>
  <c r="AY149" i="112" s="1"/>
  <c r="CG158" i="3"/>
  <c r="AY148" i="112" s="1"/>
  <c r="CG156" i="3"/>
  <c r="AY147" i="112" s="1"/>
  <c r="BS151" i="51" l="1"/>
  <c r="BT151" i="51" s="1"/>
  <c r="BG169" i="51"/>
  <c r="BM169" i="51"/>
  <c r="BM174" i="51" s="1"/>
  <c r="BG171" i="51"/>
  <c r="BM171" i="51"/>
  <c r="BG173" i="51"/>
  <c r="BM173" i="51"/>
  <c r="BE175" i="51"/>
  <c r="BF175" i="51"/>
  <c r="BG175" i="51"/>
  <c r="BK175" i="51"/>
  <c r="BL175" i="51"/>
  <c r="BM175" i="51"/>
  <c r="BG163" i="51"/>
  <c r="BM163" i="51"/>
  <c r="BM176" i="51" l="1"/>
  <c r="BK174" i="51"/>
  <c r="BK176" i="51" s="1"/>
  <c r="BG174" i="51"/>
  <c r="BE174" i="51" s="1"/>
  <c r="BE176" i="51" s="1"/>
  <c r="BL174" i="51"/>
  <c r="BL176" i="51" s="1"/>
  <c r="BL160" i="51"/>
  <c r="BK160" i="51"/>
  <c r="BH160" i="51"/>
  <c r="BG160" i="51"/>
  <c r="BL153" i="51"/>
  <c r="BK153" i="51"/>
  <c r="BH153" i="51"/>
  <c r="BG153" i="51"/>
  <c r="BL146" i="51"/>
  <c r="BH145" i="51"/>
  <c r="BG145" i="51"/>
  <c r="BF145" i="51"/>
  <c r="BE145" i="51"/>
  <c r="BM147" i="51"/>
  <c r="BF174" i="51" l="1"/>
  <c r="BF170" i="51" s="1"/>
  <c r="BG176" i="51"/>
  <c r="BL170" i="51"/>
  <c r="BL172" i="51"/>
  <c r="BL168" i="51"/>
  <c r="BW161" i="51"/>
  <c r="BT161" i="51"/>
  <c r="BS161" i="51"/>
  <c r="BR161" i="51"/>
  <c r="BQ161" i="51"/>
  <c r="BN161" i="51"/>
  <c r="BM161" i="51"/>
  <c r="BX161" i="51"/>
  <c r="BX157" i="51"/>
  <c r="BW157" i="51"/>
  <c r="BT157" i="51"/>
  <c r="BS157" i="51"/>
  <c r="BS156" i="51" s="1"/>
  <c r="BR157" i="51"/>
  <c r="BQ157" i="51"/>
  <c r="BN157" i="51"/>
  <c r="BM157" i="51"/>
  <c r="BW154" i="51"/>
  <c r="BT154" i="51"/>
  <c r="BS154" i="51"/>
  <c r="BR154" i="51"/>
  <c r="BQ154" i="51"/>
  <c r="BN154" i="51"/>
  <c r="BM154" i="51"/>
  <c r="BX151" i="51"/>
  <c r="BY151" i="51" s="1"/>
  <c r="BW150" i="51"/>
  <c r="BT150" i="51"/>
  <c r="BS150" i="51"/>
  <c r="BS149" i="51" s="1"/>
  <c r="BR150" i="51"/>
  <c r="BQ150" i="51"/>
  <c r="BN150" i="51"/>
  <c r="BM150" i="51"/>
  <c r="BN146" i="51"/>
  <c r="CL145" i="51"/>
  <c r="CK145" i="51"/>
  <c r="CJ145" i="51"/>
  <c r="CI145" i="51"/>
  <c r="CF145" i="51"/>
  <c r="CE145" i="51"/>
  <c r="CD145" i="51"/>
  <c r="CC145" i="51"/>
  <c r="BZ145" i="51"/>
  <c r="BY145" i="51"/>
  <c r="BX145" i="51"/>
  <c r="BW145" i="51"/>
  <c r="BT145" i="51"/>
  <c r="BS145" i="51"/>
  <c r="BR145" i="51"/>
  <c r="BQ145" i="51"/>
  <c r="BN145" i="51"/>
  <c r="BM143" i="51"/>
  <c r="BM145" i="51" s="1"/>
  <c r="BF176" i="51" l="1"/>
  <c r="BF168" i="51"/>
  <c r="BE168" i="51" s="1"/>
  <c r="BF172" i="51"/>
  <c r="BE172" i="51" s="1"/>
  <c r="BK172" i="51"/>
  <c r="BK170" i="51"/>
  <c r="BK168" i="51"/>
  <c r="BE170" i="51"/>
  <c r="BY161" i="51"/>
  <c r="BM159" i="51"/>
  <c r="BM152" i="51"/>
  <c r="BY157" i="51"/>
  <c r="BY150" i="51"/>
  <c r="BY149" i="51" s="1"/>
  <c r="BY154" i="51"/>
  <c r="BZ151" i="51"/>
  <c r="BX154" i="51"/>
  <c r="BX150" i="51"/>
  <c r="BY156" i="51" l="1"/>
  <c r="BZ161" i="51"/>
  <c r="BZ157" i="51"/>
  <c r="BZ150" i="51"/>
  <c r="BZ154" i="51"/>
  <c r="CC151" i="51"/>
  <c r="CC161" i="51" l="1"/>
  <c r="CC157" i="51"/>
  <c r="CC154" i="51"/>
  <c r="CD151" i="51"/>
  <c r="CC150" i="51"/>
  <c r="CD161" i="51" l="1"/>
  <c r="CD157" i="51"/>
  <c r="CD154" i="51"/>
  <c r="CE151" i="51"/>
  <c r="CD150" i="51"/>
  <c r="CE157" i="51" l="1"/>
  <c r="CE161" i="51"/>
  <c r="CF151" i="51"/>
  <c r="CE150" i="51"/>
  <c r="CE154" i="51"/>
  <c r="CF157" i="51" l="1"/>
  <c r="CF161" i="51"/>
  <c r="CE156" i="51"/>
  <c r="CF150" i="51"/>
  <c r="CF154" i="51"/>
  <c r="CI151" i="51"/>
  <c r="CE149" i="51"/>
  <c r="CI161" i="51" l="1"/>
  <c r="CI157" i="51"/>
  <c r="CI150" i="51"/>
  <c r="CI154" i="51"/>
  <c r="CJ151" i="51"/>
  <c r="CJ161" i="51" l="1"/>
  <c r="CJ157" i="51"/>
  <c r="CJ150" i="51"/>
  <c r="CJ154" i="51"/>
  <c r="CK151" i="51"/>
  <c r="CK157" i="51" l="1"/>
  <c r="CK161" i="51"/>
  <c r="CK154" i="51"/>
  <c r="CL151" i="51"/>
  <c r="CK150" i="51"/>
  <c r="CK149" i="51" s="1"/>
  <c r="CK156" i="51" l="1"/>
  <c r="CL157" i="51"/>
  <c r="CL161" i="51"/>
  <c r="CL154" i="51"/>
  <c r="CL150" i="51"/>
  <c r="BM21" i="3" l="1"/>
  <c r="BM101" i="29"/>
  <c r="BM34" i="29"/>
  <c r="BM35" i="29" s="1"/>
  <c r="BM36" i="29" s="1"/>
  <c r="BM32" i="29"/>
  <c r="BM33" i="29" s="1"/>
  <c r="BM150" i="106"/>
  <c r="BM151" i="106" s="1"/>
  <c r="BM143" i="106"/>
  <c r="BM144" i="106" s="1"/>
  <c r="BM134" i="106"/>
  <c r="BM103" i="106" l="1"/>
  <c r="BM105" i="106" s="1"/>
  <c r="BM93" i="106"/>
  <c r="BM92" i="106"/>
  <c r="BM91" i="106"/>
  <c r="BM68" i="106"/>
  <c r="BM57" i="106"/>
  <c r="BM58" i="106" s="1"/>
  <c r="BM59" i="106" s="1"/>
  <c r="BM123" i="3"/>
  <c r="BM144" i="3" s="1"/>
  <c r="BM99" i="106" l="1"/>
  <c r="BM97" i="106"/>
  <c r="BM101" i="106"/>
  <c r="CD102" i="29"/>
  <c r="CE102" i="29" s="1"/>
  <c r="CF102" i="29" s="1"/>
  <c r="BX102" i="29"/>
  <c r="BY102" i="29" s="1"/>
  <c r="BZ102" i="29" s="1"/>
  <c r="BR102" i="29"/>
  <c r="BS102" i="29" s="1"/>
  <c r="BT102" i="29" s="1"/>
  <c r="BL182" i="106" l="1"/>
  <c r="BK182" i="106"/>
  <c r="BH182" i="106"/>
  <c r="BG182" i="106"/>
  <c r="BF182" i="106"/>
  <c r="BE182" i="106"/>
  <c r="BB182" i="106"/>
  <c r="BA182" i="106"/>
  <c r="AZ182" i="106"/>
  <c r="AY182" i="106"/>
  <c r="AV182" i="106"/>
  <c r="AU182" i="106"/>
  <c r="AT182" i="106"/>
  <c r="AS182" i="106"/>
  <c r="AP182" i="106"/>
  <c r="AO182" i="106"/>
  <c r="AN182" i="106"/>
  <c r="AM182" i="106"/>
  <c r="AJ182" i="106"/>
  <c r="AI182" i="106"/>
  <c r="AH182" i="106"/>
  <c r="AG182" i="106"/>
  <c r="AD182" i="106"/>
  <c r="AC182" i="106"/>
  <c r="AB182" i="106"/>
  <c r="AA182" i="106"/>
  <c r="X182" i="106"/>
  <c r="W182" i="106"/>
  <c r="V182" i="106"/>
  <c r="U182" i="106"/>
  <c r="R182" i="106"/>
  <c r="Q182" i="106"/>
  <c r="P182" i="106"/>
  <c r="O182" i="106"/>
  <c r="BL181" i="106"/>
  <c r="BK181" i="106"/>
  <c r="BH181" i="106"/>
  <c r="BG181" i="106"/>
  <c r="BF181" i="106"/>
  <c r="BE181" i="106"/>
  <c r="BB181" i="106"/>
  <c r="BA181" i="106"/>
  <c r="AZ181" i="106"/>
  <c r="AY181" i="106"/>
  <c r="AV181" i="106"/>
  <c r="AU181" i="106"/>
  <c r="AT181" i="106"/>
  <c r="AS181" i="106"/>
  <c r="AP181" i="106"/>
  <c r="AO181" i="106"/>
  <c r="AN181" i="106"/>
  <c r="AM181" i="106"/>
  <c r="AJ181" i="106"/>
  <c r="AI181" i="106"/>
  <c r="AH181" i="106"/>
  <c r="AG181" i="106"/>
  <c r="AD181" i="106"/>
  <c r="AC181" i="106"/>
  <c r="AB181" i="106"/>
  <c r="AA181" i="106"/>
  <c r="X181" i="106"/>
  <c r="W181" i="106"/>
  <c r="V181" i="106"/>
  <c r="U181" i="106"/>
  <c r="R181" i="106"/>
  <c r="Q181" i="106"/>
  <c r="P181" i="106"/>
  <c r="O181" i="106"/>
  <c r="BL180" i="106"/>
  <c r="BK180" i="106"/>
  <c r="BH180" i="106"/>
  <c r="BG180" i="106"/>
  <c r="BF180" i="106"/>
  <c r="BE180" i="106"/>
  <c r="BB180" i="106"/>
  <c r="BA180" i="106"/>
  <c r="AZ180" i="106"/>
  <c r="AY180" i="106"/>
  <c r="BL176" i="106"/>
  <c r="BK176" i="106"/>
  <c r="BH176" i="106"/>
  <c r="BG176" i="106"/>
  <c r="BF176" i="106"/>
  <c r="BB176" i="106"/>
  <c r="BA176" i="106"/>
  <c r="AZ176" i="106"/>
  <c r="AY176" i="106"/>
  <c r="AV176" i="106"/>
  <c r="AU176" i="106"/>
  <c r="AT176" i="106"/>
  <c r="AS176" i="106"/>
  <c r="AP176" i="106"/>
  <c r="AO176" i="106"/>
  <c r="AN176" i="106"/>
  <c r="AM176" i="106"/>
  <c r="AJ176" i="106"/>
  <c r="AI176" i="106"/>
  <c r="AH176" i="106"/>
  <c r="AG176" i="106"/>
  <c r="AD176" i="106"/>
  <c r="AC176" i="106"/>
  <c r="AB176" i="106"/>
  <c r="AA176" i="106"/>
  <c r="X176" i="106"/>
  <c r="W176" i="106"/>
  <c r="V176" i="106"/>
  <c r="U176" i="106"/>
  <c r="R176" i="106"/>
  <c r="Q176" i="106"/>
  <c r="P176" i="106"/>
  <c r="O176" i="106"/>
  <c r="BL175" i="106"/>
  <c r="BK175" i="106"/>
  <c r="BH175" i="106"/>
  <c r="BG175" i="106"/>
  <c r="BF175" i="106"/>
  <c r="BE175" i="106"/>
  <c r="BB175" i="106"/>
  <c r="BA175" i="106"/>
  <c r="AZ175" i="106"/>
  <c r="AY175" i="106"/>
  <c r="AV175" i="106"/>
  <c r="AU175" i="106"/>
  <c r="AT175" i="106"/>
  <c r="AS175" i="106"/>
  <c r="AP175" i="106"/>
  <c r="AO175" i="106"/>
  <c r="AN175" i="106"/>
  <c r="AM175" i="106"/>
  <c r="AJ175" i="106"/>
  <c r="AI175" i="106"/>
  <c r="AH175" i="106"/>
  <c r="AG175" i="106"/>
  <c r="AD175" i="106"/>
  <c r="AC175" i="106"/>
  <c r="AB175" i="106"/>
  <c r="AA175" i="106"/>
  <c r="X175" i="106"/>
  <c r="W175" i="106"/>
  <c r="V175" i="106"/>
  <c r="U175" i="106"/>
  <c r="R175" i="106"/>
  <c r="Q175" i="106"/>
  <c r="P175" i="106"/>
  <c r="O175" i="106"/>
  <c r="BL172" i="106"/>
  <c r="BK172" i="106"/>
  <c r="BH172" i="106"/>
  <c r="BG172" i="106"/>
  <c r="BF172" i="106"/>
  <c r="BE172" i="106"/>
  <c r="BB172" i="106"/>
  <c r="BA172" i="106"/>
  <c r="AZ172" i="106"/>
  <c r="AY172" i="106"/>
  <c r="AV172" i="106"/>
  <c r="AU172" i="106"/>
  <c r="AT172" i="106"/>
  <c r="AS172" i="106"/>
  <c r="AP172" i="106"/>
  <c r="AO172" i="106"/>
  <c r="AN172" i="106"/>
  <c r="AM172" i="106"/>
  <c r="AJ172" i="106"/>
  <c r="AI172" i="106"/>
  <c r="AH172" i="106"/>
  <c r="AG172" i="106"/>
  <c r="AD172" i="106"/>
  <c r="AC172" i="106"/>
  <c r="AB172" i="106"/>
  <c r="AA172" i="106"/>
  <c r="X172" i="106"/>
  <c r="W172" i="106"/>
  <c r="V172" i="106"/>
  <c r="U172" i="106"/>
  <c r="R172" i="106"/>
  <c r="Q172" i="106"/>
  <c r="P172" i="106"/>
  <c r="O172" i="106"/>
  <c r="BL171" i="106"/>
  <c r="BK171" i="106"/>
  <c r="BH171" i="106"/>
  <c r="BG171" i="106"/>
  <c r="BF171" i="106"/>
  <c r="BE171" i="106"/>
  <c r="BB171" i="106"/>
  <c r="BA171" i="106"/>
  <c r="AZ171" i="106"/>
  <c r="AY171" i="106"/>
  <c r="AV171" i="106"/>
  <c r="AU171" i="106"/>
  <c r="AT171" i="106"/>
  <c r="AS171" i="106"/>
  <c r="AP171" i="106"/>
  <c r="AO171" i="106"/>
  <c r="AN171" i="106"/>
  <c r="AM171" i="106"/>
  <c r="AJ171" i="106"/>
  <c r="AI171" i="106"/>
  <c r="AH171" i="106"/>
  <c r="AG171" i="106"/>
  <c r="AD171" i="106"/>
  <c r="AC171" i="106"/>
  <c r="AB171" i="106"/>
  <c r="AA171" i="106"/>
  <c r="X171" i="106"/>
  <c r="W171" i="106"/>
  <c r="V171" i="106"/>
  <c r="U171" i="106"/>
  <c r="R171" i="106"/>
  <c r="Q171" i="106"/>
  <c r="P171" i="106"/>
  <c r="O171" i="106"/>
  <c r="BL170" i="106"/>
  <c r="BK170" i="106"/>
  <c r="BH170" i="106"/>
  <c r="BG170" i="106"/>
  <c r="BF170" i="106"/>
  <c r="BE170" i="106"/>
  <c r="BB170" i="106"/>
  <c r="BA170" i="106"/>
  <c r="AZ170" i="106"/>
  <c r="AY170" i="106"/>
  <c r="AV170" i="106"/>
  <c r="AU170" i="106"/>
  <c r="AT170" i="106"/>
  <c r="AS170" i="106"/>
  <c r="AP170" i="106"/>
  <c r="AO170" i="106"/>
  <c r="AN170" i="106"/>
  <c r="AM170" i="106"/>
  <c r="AJ170" i="106"/>
  <c r="AI170" i="106"/>
  <c r="AH170" i="106"/>
  <c r="AG170" i="106"/>
  <c r="AD170" i="106"/>
  <c r="AC170" i="106"/>
  <c r="AB170" i="106"/>
  <c r="AA170" i="106"/>
  <c r="X170" i="106"/>
  <c r="W170" i="106"/>
  <c r="V170" i="106"/>
  <c r="U170" i="106"/>
  <c r="R170" i="106"/>
  <c r="Q170" i="106"/>
  <c r="P170" i="106"/>
  <c r="O170" i="106"/>
  <c r="L182" i="106"/>
  <c r="K182" i="106"/>
  <c r="J182" i="106"/>
  <c r="I182" i="106"/>
  <c r="L181" i="106"/>
  <c r="K181" i="106"/>
  <c r="J181" i="106"/>
  <c r="I181" i="106"/>
  <c r="L176" i="106"/>
  <c r="K176" i="106"/>
  <c r="J176" i="106"/>
  <c r="I176" i="106"/>
  <c r="L175" i="106"/>
  <c r="K175" i="106"/>
  <c r="J175" i="106"/>
  <c r="I175" i="106"/>
  <c r="L172" i="106"/>
  <c r="K172" i="106"/>
  <c r="J172" i="106"/>
  <c r="I172" i="106"/>
  <c r="L171" i="106"/>
  <c r="K171" i="106"/>
  <c r="J171" i="106"/>
  <c r="I171" i="106"/>
  <c r="L170" i="106"/>
  <c r="K170" i="106"/>
  <c r="J170" i="106"/>
  <c r="I170" i="106"/>
  <c r="F182" i="106"/>
  <c r="E182" i="106"/>
  <c r="D182" i="106"/>
  <c r="F181" i="106"/>
  <c r="E181" i="106"/>
  <c r="D181" i="106"/>
  <c r="F176" i="106"/>
  <c r="E176" i="106"/>
  <c r="D176" i="106"/>
  <c r="F175" i="106"/>
  <c r="E175" i="106"/>
  <c r="D175" i="106"/>
  <c r="F172" i="106"/>
  <c r="E172" i="106"/>
  <c r="D172" i="106"/>
  <c r="F171" i="106"/>
  <c r="E171" i="106"/>
  <c r="D171" i="106"/>
  <c r="F170" i="106"/>
  <c r="E170" i="106"/>
  <c r="D170" i="106"/>
  <c r="C182" i="106"/>
  <c r="C181" i="106"/>
  <c r="C176" i="106"/>
  <c r="C175" i="106"/>
  <c r="C172" i="106"/>
  <c r="C171" i="106"/>
  <c r="C170" i="106"/>
  <c r="BQ164" i="106"/>
  <c r="BB164" i="106"/>
  <c r="BM163" i="106"/>
  <c r="BL163" i="106"/>
  <c r="BK163" i="106"/>
  <c r="BH163" i="106"/>
  <c r="BG163" i="106"/>
  <c r="BF163" i="106"/>
  <c r="BE163" i="106"/>
  <c r="BA163" i="106"/>
  <c r="AZ163" i="106"/>
  <c r="AT163" i="106"/>
  <c r="AS163" i="106"/>
  <c r="AP163" i="106"/>
  <c r="AO163" i="106"/>
  <c r="AN163" i="106"/>
  <c r="AM163" i="106"/>
  <c r="BM162" i="106"/>
  <c r="BL162" i="106"/>
  <c r="BK162" i="106"/>
  <c r="BH162" i="106"/>
  <c r="BF162" i="106"/>
  <c r="BE162" i="106"/>
  <c r="BB162" i="106"/>
  <c r="BA162" i="106"/>
  <c r="AZ162" i="106"/>
  <c r="AY162" i="106"/>
  <c r="AV162" i="106"/>
  <c r="AU162" i="106"/>
  <c r="AT162" i="106"/>
  <c r="AS162" i="106"/>
  <c r="AP162" i="106"/>
  <c r="AO162" i="106"/>
  <c r="AN162" i="106"/>
  <c r="AM162" i="106"/>
  <c r="AJ162" i="106"/>
  <c r="AI162" i="106"/>
  <c r="AH162" i="106"/>
  <c r="AG162" i="106"/>
  <c r="AD162" i="106"/>
  <c r="AC162" i="106"/>
  <c r="AB162" i="106"/>
  <c r="AA162" i="106"/>
  <c r="X162" i="106"/>
  <c r="W162" i="106"/>
  <c r="V162" i="106"/>
  <c r="U162" i="106"/>
  <c r="R162" i="106"/>
  <c r="Q162" i="106"/>
  <c r="P162" i="106"/>
  <c r="O162" i="106"/>
  <c r="L162" i="106"/>
  <c r="K162" i="106"/>
  <c r="J162" i="106"/>
  <c r="I162" i="106"/>
  <c r="F162" i="106"/>
  <c r="E162" i="106"/>
  <c r="D162" i="106"/>
  <c r="C162" i="106"/>
  <c r="CC94" i="51" l="1"/>
  <c r="CD94" i="51"/>
  <c r="CJ94" i="51" l="1"/>
  <c r="CI94" i="51"/>
  <c r="BM9" i="51" l="1"/>
  <c r="BM11" i="51" s="1"/>
  <c r="CI41" i="51"/>
  <c r="CC41" i="51"/>
  <c r="BM60" i="51"/>
  <c r="BL60" i="51"/>
  <c r="BK60" i="51"/>
  <c r="BM51" i="51"/>
  <c r="BK51" i="51"/>
  <c r="BM42" i="51"/>
  <c r="AO175" i="112" s="1"/>
  <c r="BM20" i="51"/>
  <c r="BM18" i="51"/>
  <c r="BM102" i="51"/>
  <c r="BM93" i="51"/>
  <c r="BM91" i="51"/>
  <c r="BM80" i="51"/>
  <c r="BM63" i="51"/>
  <c r="BM59" i="51"/>
  <c r="BM55" i="51"/>
  <c r="BM50" i="51"/>
  <c r="BM46" i="51"/>
  <c r="BM37" i="51"/>
  <c r="BM76" i="3"/>
  <c r="BM27" i="3"/>
  <c r="BM18" i="3"/>
  <c r="BM13" i="3"/>
  <c r="BM11" i="3"/>
  <c r="BM9" i="3"/>
  <c r="BM8" i="3"/>
  <c r="BM164" i="51" l="1"/>
  <c r="BS71" i="51"/>
  <c r="BM52" i="51"/>
  <c r="BM99" i="51"/>
  <c r="BM61" i="51"/>
  <c r="BM65" i="51"/>
  <c r="BM92" i="51" s="1"/>
  <c r="BM10" i="3"/>
  <c r="BM98" i="51" l="1"/>
  <c r="BM94" i="51"/>
  <c r="BM96" i="51" s="1"/>
  <c r="AX176" i="112" l="1"/>
  <c r="AX175" i="112"/>
  <c r="AX174" i="112"/>
  <c r="AX173" i="112"/>
  <c r="AW173" i="112"/>
  <c r="AW174" i="112"/>
  <c r="AW175" i="112"/>
  <c r="AW176" i="112"/>
  <c r="AR173" i="112"/>
  <c r="AS173" i="112"/>
  <c r="AT173" i="112"/>
  <c r="AU173" i="112"/>
  <c r="AR174" i="112"/>
  <c r="AS174" i="112"/>
  <c r="AT174" i="112"/>
  <c r="AU174" i="112"/>
  <c r="AV175" i="112"/>
  <c r="AV176" i="112"/>
  <c r="AV174" i="112" l="1"/>
  <c r="AV173" i="112"/>
  <c r="AS147" i="112"/>
  <c r="AT147" i="112"/>
  <c r="AU147" i="112"/>
  <c r="AV147" i="112"/>
  <c r="AS148" i="112"/>
  <c r="AT148" i="112"/>
  <c r="AU148" i="112"/>
  <c r="AV148" i="112"/>
  <c r="AS149" i="112"/>
  <c r="AT149" i="112"/>
  <c r="AU149" i="112"/>
  <c r="AV149" i="112"/>
  <c r="AP176" i="112"/>
  <c r="AO176" i="112"/>
  <c r="AN176" i="112"/>
  <c r="AM176" i="112"/>
  <c r="AN175" i="112"/>
  <c r="AM175" i="112"/>
  <c r="AQ174" i="112"/>
  <c r="AQ176" i="112" l="1"/>
  <c r="AQ175" i="112"/>
  <c r="BX17" i="51" l="1"/>
  <c r="BY17" i="51" s="1"/>
  <c r="BZ17" i="51" s="1"/>
  <c r="CC17" i="51" s="1"/>
  <c r="CD17" i="51" s="1"/>
  <c r="CE17" i="51" s="1"/>
  <c r="CF17" i="51" s="1"/>
  <c r="CI17" i="51" s="1"/>
  <c r="CJ17" i="51" l="1"/>
  <c r="CK17" i="51" s="1"/>
  <c r="CL17" i="51" s="1"/>
  <c r="CL16" i="51" s="1"/>
  <c r="CI20" i="51"/>
  <c r="CF20" i="51"/>
  <c r="CE20" i="51"/>
  <c r="CD20" i="51"/>
  <c r="CC20" i="51"/>
  <c r="BZ20" i="51"/>
  <c r="BC12" i="112" s="1"/>
  <c r="BY20" i="51"/>
  <c r="BB12" i="112" s="1"/>
  <c r="BX20" i="51"/>
  <c r="BA12" i="112" s="1"/>
  <c r="BW20" i="51"/>
  <c r="AZ12" i="112" s="1"/>
  <c r="CI16" i="51"/>
  <c r="CF16" i="51"/>
  <c r="CE16" i="51"/>
  <c r="CD16" i="51"/>
  <c r="CC16" i="51"/>
  <c r="BZ16" i="51"/>
  <c r="BY16" i="51"/>
  <c r="BX16" i="51"/>
  <c r="BW16" i="51"/>
  <c r="BR20" i="51"/>
  <c r="AW12" i="112" s="1"/>
  <c r="BQ20" i="51"/>
  <c r="BT20" i="51"/>
  <c r="AY12" i="112" s="1"/>
  <c r="BS20" i="51"/>
  <c r="AX12" i="112" s="1"/>
  <c r="AV12" i="112" l="1"/>
  <c r="BA24" i="112"/>
  <c r="AZ24" i="112"/>
  <c r="BB24" i="112"/>
  <c r="AX24" i="112"/>
  <c r="BC24" i="112"/>
  <c r="AU12" i="112"/>
  <c r="CL20" i="51"/>
  <c r="AT12" i="112"/>
  <c r="CJ16" i="51"/>
  <c r="CK16" i="51"/>
  <c r="CJ20" i="51"/>
  <c r="CK20" i="51"/>
  <c r="AY24" i="112" l="1"/>
  <c r="BK16" i="3"/>
  <c r="BE16" i="3"/>
  <c r="BA16" i="3"/>
  <c r="AZ16" i="3"/>
  <c r="AS16" i="3"/>
  <c r="AM16" i="3"/>
  <c r="BX83" i="51" l="1"/>
  <c r="CD83" i="51" s="1"/>
  <c r="CJ83" i="51" s="1"/>
  <c r="BS83" i="51" l="1"/>
  <c r="BY83" i="51" s="1"/>
  <c r="CE83" i="51" s="1"/>
  <c r="CK83" i="51" s="1"/>
  <c r="CE94" i="51" l="1"/>
  <c r="CK94" i="51" s="1"/>
  <c r="BT83" i="51"/>
  <c r="BZ83" i="51" s="1"/>
  <c r="CF83" i="51" s="1"/>
  <c r="CL83" i="51" s="1"/>
  <c r="CF94" i="51" l="1"/>
  <c r="CL94" i="51" s="1"/>
  <c r="B1" i="106" l="1"/>
  <c r="B1" i="107" s="1"/>
  <c r="BC9" i="106"/>
  <c r="BC180" i="106" s="1"/>
  <c r="BI9" i="106"/>
  <c r="BI180" i="106" s="1"/>
  <c r="G10" i="106"/>
  <c r="G181" i="106" s="1"/>
  <c r="M10" i="106"/>
  <c r="M181" i="106" s="1"/>
  <c r="S10" i="106"/>
  <c r="S181" i="106" s="1"/>
  <c r="Y10" i="106"/>
  <c r="Y181" i="106" s="1"/>
  <c r="AE10" i="106"/>
  <c r="AE181" i="106" s="1"/>
  <c r="AK10" i="106"/>
  <c r="AK181" i="106" s="1"/>
  <c r="AQ10" i="106"/>
  <c r="AQ181" i="106" s="1"/>
  <c r="AW10" i="106"/>
  <c r="AW181" i="106" s="1"/>
  <c r="BC10" i="106"/>
  <c r="BC181" i="106" s="1"/>
  <c r="BI10" i="106"/>
  <c r="BI181" i="106" s="1"/>
  <c r="G11" i="106"/>
  <c r="M11" i="106"/>
  <c r="S11" i="106"/>
  <c r="Y11" i="106"/>
  <c r="AE11" i="106"/>
  <c r="AK11" i="106"/>
  <c r="AQ11" i="106"/>
  <c r="AW11" i="106"/>
  <c r="BC11" i="106"/>
  <c r="BI11" i="106"/>
  <c r="G12" i="106"/>
  <c r="M12" i="106"/>
  <c r="S12" i="106"/>
  <c r="Y12" i="106"/>
  <c r="AE12" i="106"/>
  <c r="AK12" i="106"/>
  <c r="AQ12" i="106"/>
  <c r="AW12" i="106"/>
  <c r="BC12" i="106"/>
  <c r="BI12" i="106"/>
  <c r="G13" i="106"/>
  <c r="M13" i="106"/>
  <c r="S13" i="106"/>
  <c r="Y13" i="106"/>
  <c r="AE13" i="106"/>
  <c r="AK13" i="106"/>
  <c r="AQ13" i="106"/>
  <c r="AW13" i="106"/>
  <c r="BC13" i="106"/>
  <c r="BI13" i="106"/>
  <c r="BN92" i="106"/>
  <c r="BR92" i="106"/>
  <c r="BS92" i="106" s="1"/>
  <c r="BW92" i="106"/>
  <c r="AY15" i="106"/>
  <c r="AZ15" i="106"/>
  <c r="BA15" i="106"/>
  <c r="BA22" i="106" s="1"/>
  <c r="BB15" i="106"/>
  <c r="BE15" i="106"/>
  <c r="BF15" i="106"/>
  <c r="BF22" i="106" s="1"/>
  <c r="BG15" i="106"/>
  <c r="BH15" i="106"/>
  <c r="BH22" i="106" s="1"/>
  <c r="BK15" i="106"/>
  <c r="BL15" i="106"/>
  <c r="G17" i="106"/>
  <c r="G134" i="106" s="1"/>
  <c r="M17" i="106"/>
  <c r="S17" i="106"/>
  <c r="S134" i="106" s="1"/>
  <c r="Y17" i="106"/>
  <c r="AE17" i="106"/>
  <c r="AE134" i="106" s="1"/>
  <c r="AK17" i="106"/>
  <c r="AK134" i="106" s="1"/>
  <c r="AQ17" i="106"/>
  <c r="AQ134" i="106" s="1"/>
  <c r="AW17" i="106"/>
  <c r="BC17" i="106"/>
  <c r="BC134" i="106" s="1"/>
  <c r="BI17" i="106"/>
  <c r="AA120" i="106"/>
  <c r="AE120" i="106" s="1"/>
  <c r="AA121" i="106"/>
  <c r="AA122" i="106" s="1"/>
  <c r="AA154" i="106"/>
  <c r="AA148" i="106" s="1"/>
  <c r="AC121" i="106"/>
  <c r="AC122" i="106" s="1"/>
  <c r="AC154" i="106"/>
  <c r="AC139" i="106" s="1"/>
  <c r="AG121" i="106"/>
  <c r="AG122" i="106" s="1"/>
  <c r="AG154" i="106"/>
  <c r="AG124" i="106" s="1"/>
  <c r="AI154" i="106"/>
  <c r="AI139" i="106" s="1"/>
  <c r="AJ154" i="106"/>
  <c r="AJ124" i="106" s="1"/>
  <c r="AM121" i="106"/>
  <c r="AM122" i="106" s="1"/>
  <c r="AM154" i="106"/>
  <c r="AM124" i="106" s="1"/>
  <c r="AS121" i="106"/>
  <c r="AS122" i="106" s="1"/>
  <c r="AS154" i="106"/>
  <c r="AS153" i="107" s="1"/>
  <c r="AY121" i="106"/>
  <c r="AZ121" i="106"/>
  <c r="AZ122" i="106" s="1"/>
  <c r="BA121" i="106"/>
  <c r="AY154" i="106"/>
  <c r="AY124" i="106" s="1"/>
  <c r="AZ154" i="106"/>
  <c r="AZ152" i="107" s="1"/>
  <c r="BC125" i="106"/>
  <c r="BC123" i="106"/>
  <c r="BE121" i="106"/>
  <c r="BE154" i="106"/>
  <c r="BE124" i="106" s="1"/>
  <c r="BI125" i="106"/>
  <c r="BI123" i="106"/>
  <c r="BK121" i="106"/>
  <c r="BK122" i="106" s="1"/>
  <c r="BR122" i="106" s="1"/>
  <c r="BK154" i="106"/>
  <c r="BK154" i="107" s="1"/>
  <c r="BL134" i="106"/>
  <c r="BQ154" i="106"/>
  <c r="BQ154" i="107" s="1"/>
  <c r="BQ123" i="106"/>
  <c r="AV134" i="106"/>
  <c r="AY129" i="106"/>
  <c r="AZ129" i="106"/>
  <c r="BA129" i="106"/>
  <c r="BB129" i="106"/>
  <c r="AY134" i="106"/>
  <c r="AZ134" i="106"/>
  <c r="BA134" i="106"/>
  <c r="BB134" i="106"/>
  <c r="BE129" i="106"/>
  <c r="BE134" i="106"/>
  <c r="BF134" i="106"/>
  <c r="BG134" i="106"/>
  <c r="BH134" i="106"/>
  <c r="BK129" i="106"/>
  <c r="BK134" i="106"/>
  <c r="BR154" i="106"/>
  <c r="BR153" i="107" s="1"/>
  <c r="BR123" i="106"/>
  <c r="BX123" i="106" s="1"/>
  <c r="CD123" i="106" s="1"/>
  <c r="BR130" i="106"/>
  <c r="BS154" i="106"/>
  <c r="BS139" i="106" s="1"/>
  <c r="BT154" i="106"/>
  <c r="BT124" i="106" s="1"/>
  <c r="BT123" i="106"/>
  <c r="BZ123" i="106" s="1"/>
  <c r="CF123" i="106" s="1"/>
  <c r="BU125" i="106"/>
  <c r="BW154" i="106"/>
  <c r="BW154" i="107" s="1"/>
  <c r="BU131" i="106"/>
  <c r="BW130" i="106"/>
  <c r="CC130" i="106" s="1"/>
  <c r="BX122" i="106"/>
  <c r="BY122" i="106" s="1"/>
  <c r="BZ122" i="106" s="1"/>
  <c r="CC122" i="106" s="1"/>
  <c r="CD122" i="106" s="1"/>
  <c r="CE122" i="106" s="1"/>
  <c r="CF122" i="106" s="1"/>
  <c r="BX154" i="106"/>
  <c r="BX153" i="107" s="1"/>
  <c r="BY154" i="106"/>
  <c r="BY153" i="107" s="1"/>
  <c r="BZ154" i="106"/>
  <c r="BZ148" i="106" s="1"/>
  <c r="CA125" i="106"/>
  <c r="CC154" i="106"/>
  <c r="CC124" i="106" s="1"/>
  <c r="CA131" i="106"/>
  <c r="CD154" i="106"/>
  <c r="CD124" i="106" s="1"/>
  <c r="CE154" i="106"/>
  <c r="CE152" i="107" s="1"/>
  <c r="CF154" i="106"/>
  <c r="CF154" i="107" s="1"/>
  <c r="G18" i="106"/>
  <c r="M18" i="106"/>
  <c r="S18" i="106"/>
  <c r="Y18" i="106"/>
  <c r="AE18" i="106"/>
  <c r="AK18" i="106"/>
  <c r="AQ18" i="106"/>
  <c r="AW18" i="106"/>
  <c r="BC18" i="106"/>
  <c r="BI18" i="106"/>
  <c r="BL143" i="106"/>
  <c r="BM138" i="106" s="1"/>
  <c r="BK143" i="106"/>
  <c r="G138" i="106"/>
  <c r="C154" i="106"/>
  <c r="C139" i="106" s="1"/>
  <c r="C140" i="106"/>
  <c r="C141" i="106" s="1"/>
  <c r="C143" i="106"/>
  <c r="D143" i="106"/>
  <c r="D138" i="106"/>
  <c r="E143" i="106"/>
  <c r="F143" i="106"/>
  <c r="F144" i="106" s="1"/>
  <c r="I154" i="106"/>
  <c r="I139" i="106" s="1"/>
  <c r="I140" i="106"/>
  <c r="I143" i="106"/>
  <c r="J143" i="106"/>
  <c r="K143" i="106"/>
  <c r="K144" i="106" s="1"/>
  <c r="L143" i="106"/>
  <c r="O154" i="106"/>
  <c r="O154" i="107" s="1"/>
  <c r="O140" i="106"/>
  <c r="O143" i="106"/>
  <c r="O144" i="106" s="1"/>
  <c r="P143" i="106"/>
  <c r="Q138" i="106" s="1"/>
  <c r="Q143" i="106"/>
  <c r="Q144" i="106" s="1"/>
  <c r="R143" i="106"/>
  <c r="U154" i="106"/>
  <c r="U124" i="106" s="1"/>
  <c r="U140" i="106"/>
  <c r="U143" i="106"/>
  <c r="V138" i="106" s="1"/>
  <c r="V143" i="106"/>
  <c r="V144" i="106" s="1"/>
  <c r="W143" i="106"/>
  <c r="W144" i="106" s="1"/>
  <c r="X143" i="106"/>
  <c r="AA140" i="106"/>
  <c r="AC140" i="106"/>
  <c r="AA143" i="106"/>
  <c r="AB143" i="106"/>
  <c r="AB138" i="106"/>
  <c r="AC143" i="106"/>
  <c r="AC144" i="106" s="1"/>
  <c r="AD143" i="106"/>
  <c r="AD144" i="106" s="1"/>
  <c r="AG143" i="106"/>
  <c r="AH138" i="106" s="1"/>
  <c r="AH143" i="106"/>
  <c r="AI138" i="106" s="1"/>
  <c r="AI143" i="106"/>
  <c r="AJ143" i="106"/>
  <c r="AJ138" i="106"/>
  <c r="AM143" i="106"/>
  <c r="AN143" i="106"/>
  <c r="AO138" i="106" s="1"/>
  <c r="AO143" i="106"/>
  <c r="AO144" i="106" s="1"/>
  <c r="AP143" i="106"/>
  <c r="AS143" i="106"/>
  <c r="AS144" i="106" s="1"/>
  <c r="AT143" i="106"/>
  <c r="AU143" i="106"/>
  <c r="AU144" i="106" s="1"/>
  <c r="AV143" i="106"/>
  <c r="BA154" i="106"/>
  <c r="BA152" i="107" s="1"/>
  <c r="AY140" i="106"/>
  <c r="AZ140" i="106"/>
  <c r="BA140" i="106"/>
  <c r="BB140" i="106"/>
  <c r="AY143" i="106"/>
  <c r="AZ143" i="106"/>
  <c r="BA138" i="106" s="1"/>
  <c r="BA143" i="106"/>
  <c r="BA144" i="106" s="1"/>
  <c r="BB143" i="106"/>
  <c r="BB144" i="106" s="1"/>
  <c r="BE139" i="106"/>
  <c r="BE143" i="106"/>
  <c r="BE144" i="106" s="1"/>
  <c r="BF143" i="106"/>
  <c r="BG138" i="106" s="1"/>
  <c r="BG143" i="106"/>
  <c r="BH143" i="106"/>
  <c r="BQ142" i="106"/>
  <c r="BR141" i="106"/>
  <c r="BS141" i="106" s="1"/>
  <c r="BT141" i="106" s="1"/>
  <c r="BR142" i="106"/>
  <c r="BS142" i="106"/>
  <c r="BT139" i="106"/>
  <c r="BT142" i="106"/>
  <c r="BW142" i="106"/>
  <c r="BX141" i="106"/>
  <c r="BY141" i="106" s="1"/>
  <c r="BZ141" i="106" s="1"/>
  <c r="BX142" i="106"/>
  <c r="BY142" i="106"/>
  <c r="BZ142" i="106"/>
  <c r="CC142" i="106"/>
  <c r="CD141" i="106"/>
  <c r="CE141" i="106" s="1"/>
  <c r="CF141" i="106" s="1"/>
  <c r="CD142" i="106"/>
  <c r="CE142" i="106"/>
  <c r="CF142" i="106"/>
  <c r="G19" i="106"/>
  <c r="G182" i="106" s="1"/>
  <c r="M19" i="106"/>
  <c r="M182" i="106" s="1"/>
  <c r="S19" i="106"/>
  <c r="S182" i="106" s="1"/>
  <c r="Y19" i="106"/>
  <c r="Y182" i="106" s="1"/>
  <c r="AE19" i="106"/>
  <c r="AE182" i="106" s="1"/>
  <c r="AK19" i="106"/>
  <c r="AK182" i="106" s="1"/>
  <c r="AQ19" i="106"/>
  <c r="AQ182" i="106" s="1"/>
  <c r="AW19" i="106"/>
  <c r="AW182" i="106" s="1"/>
  <c r="BC19" i="106"/>
  <c r="BC182" i="106" s="1"/>
  <c r="BI19" i="106"/>
  <c r="BI182" i="106" s="1"/>
  <c r="BL150" i="106"/>
  <c r="BM147" i="106" s="1"/>
  <c r="G147" i="106"/>
  <c r="C148" i="106"/>
  <c r="C150" i="106"/>
  <c r="C151" i="106" s="1"/>
  <c r="D150" i="106"/>
  <c r="E147" i="106" s="1"/>
  <c r="E150" i="106"/>
  <c r="F147" i="106" s="1"/>
  <c r="F150" i="106"/>
  <c r="F151" i="106" s="1"/>
  <c r="I150" i="106"/>
  <c r="I151" i="106" s="1"/>
  <c r="J150" i="106"/>
  <c r="K147" i="106" s="1"/>
  <c r="K150" i="106"/>
  <c r="L150" i="106"/>
  <c r="O150" i="106"/>
  <c r="P150" i="106"/>
  <c r="Q147" i="106" s="1"/>
  <c r="P147" i="106"/>
  <c r="Q150" i="106"/>
  <c r="Q151" i="106" s="1"/>
  <c r="R150" i="106"/>
  <c r="U150" i="106"/>
  <c r="V150" i="106"/>
  <c r="V151" i="106" s="1"/>
  <c r="W150" i="106"/>
  <c r="W151" i="106" s="1"/>
  <c r="X150" i="106"/>
  <c r="X147" i="106"/>
  <c r="AA150" i="106"/>
  <c r="AB147" i="106" s="1"/>
  <c r="AB150" i="106"/>
  <c r="AB151" i="106" s="1"/>
  <c r="AC150" i="106"/>
  <c r="AD147" i="106" s="1"/>
  <c r="AC147" i="106"/>
  <c r="AD150" i="106"/>
  <c r="AD151" i="106" s="1"/>
  <c r="AG150" i="106"/>
  <c r="AG151" i="106" s="1"/>
  <c r="AH150" i="106"/>
  <c r="AI147" i="106" s="1"/>
  <c r="AH147" i="106"/>
  <c r="AI150" i="106"/>
  <c r="AI151" i="106" s="1"/>
  <c r="AJ150" i="106"/>
  <c r="AJ151" i="106" s="1"/>
  <c r="AM150" i="106"/>
  <c r="AN147" i="106" s="1"/>
  <c r="AN150" i="106"/>
  <c r="AN151" i="106" s="1"/>
  <c r="AO150" i="106"/>
  <c r="AP147" i="106" s="1"/>
  <c r="AP150" i="106"/>
  <c r="AP151" i="106" s="1"/>
  <c r="AS150" i="106"/>
  <c r="AT147" i="106" s="1"/>
  <c r="AT150" i="106"/>
  <c r="AU150" i="106"/>
  <c r="AV147" i="106" s="1"/>
  <c r="AV150" i="106"/>
  <c r="AV151" i="106" s="1"/>
  <c r="AY150" i="106"/>
  <c r="AZ147" i="106" s="1"/>
  <c r="AZ150" i="106"/>
  <c r="BA147" i="106" s="1"/>
  <c r="BA150" i="106"/>
  <c r="BB147" i="106" s="1"/>
  <c r="BB150" i="106"/>
  <c r="BB151" i="106" s="1"/>
  <c r="BE150" i="106"/>
  <c r="BF147" i="106" s="1"/>
  <c r="BF150" i="106"/>
  <c r="BF151" i="106" s="1"/>
  <c r="BG150" i="106"/>
  <c r="BH147" i="106" s="1"/>
  <c r="BH150" i="106"/>
  <c r="BK150" i="106"/>
  <c r="BL147" i="106" s="1"/>
  <c r="BU149" i="106"/>
  <c r="CA149" i="106"/>
  <c r="G20" i="106"/>
  <c r="M20" i="106"/>
  <c r="S20" i="106"/>
  <c r="Y20" i="106"/>
  <c r="AE20" i="106"/>
  <c r="AK20" i="106"/>
  <c r="AQ20" i="106"/>
  <c r="AS20" i="106"/>
  <c r="AT20" i="106"/>
  <c r="AU20" i="106"/>
  <c r="AV20" i="106"/>
  <c r="BC20" i="106"/>
  <c r="BI20" i="106"/>
  <c r="BB22" i="106"/>
  <c r="G26" i="106"/>
  <c r="M26" i="106"/>
  <c r="S26" i="106"/>
  <c r="Y26" i="106"/>
  <c r="AE26" i="106"/>
  <c r="AK26" i="106"/>
  <c r="AQ26" i="106"/>
  <c r="AW26" i="106"/>
  <c r="BC26" i="106"/>
  <c r="BI26" i="106"/>
  <c r="G27" i="106"/>
  <c r="M27" i="106"/>
  <c r="S27" i="106"/>
  <c r="Y27" i="106"/>
  <c r="AE27" i="106"/>
  <c r="AK27" i="106"/>
  <c r="AQ27" i="106"/>
  <c r="AW27" i="106"/>
  <c r="BC27" i="106"/>
  <c r="BI27" i="106"/>
  <c r="BL93" i="106"/>
  <c r="BN93" i="106" s="1"/>
  <c r="G28" i="106"/>
  <c r="M28" i="106"/>
  <c r="S28" i="106"/>
  <c r="Y28" i="106"/>
  <c r="AE28" i="106"/>
  <c r="AK28" i="106"/>
  <c r="AQ28" i="106"/>
  <c r="AW28" i="106"/>
  <c r="AW31" i="106" s="1"/>
  <c r="BC28" i="106"/>
  <c r="BI28" i="106"/>
  <c r="BO28" i="106"/>
  <c r="G29" i="106"/>
  <c r="M29" i="106"/>
  <c r="S29" i="106"/>
  <c r="Y29" i="106"/>
  <c r="AE29" i="106"/>
  <c r="AK29" i="106"/>
  <c r="AQ29" i="106"/>
  <c r="AW29" i="106"/>
  <c r="BC29" i="106"/>
  <c r="BI29" i="106"/>
  <c r="C31" i="106"/>
  <c r="C37" i="106" s="1"/>
  <c r="D31" i="106"/>
  <c r="D37" i="106" s="1"/>
  <c r="E31" i="106"/>
  <c r="E37" i="106" s="1"/>
  <c r="F31" i="106"/>
  <c r="F37" i="106" s="1"/>
  <c r="I31" i="106"/>
  <c r="I37" i="106" s="1"/>
  <c r="J31" i="106"/>
  <c r="K31" i="106"/>
  <c r="L31" i="106"/>
  <c r="L37" i="106" s="1"/>
  <c r="O31" i="106"/>
  <c r="O37" i="106" s="1"/>
  <c r="P31" i="106"/>
  <c r="P37" i="106" s="1"/>
  <c r="Q31" i="106"/>
  <c r="Q37" i="106" s="1"/>
  <c r="R31" i="106"/>
  <c r="R37" i="106" s="1"/>
  <c r="U31" i="106"/>
  <c r="V31" i="106"/>
  <c r="V37" i="106" s="1"/>
  <c r="W31" i="106"/>
  <c r="W37" i="106" s="1"/>
  <c r="X31" i="106"/>
  <c r="AA31" i="106"/>
  <c r="AA37" i="106" s="1"/>
  <c r="AB31" i="106"/>
  <c r="AB37" i="106" s="1"/>
  <c r="AC31" i="106"/>
  <c r="AC37" i="106" s="1"/>
  <c r="AD31" i="106"/>
  <c r="AG31" i="106"/>
  <c r="AG37" i="106" s="1"/>
  <c r="AH31" i="106"/>
  <c r="AH37" i="106" s="1"/>
  <c r="AI31" i="106"/>
  <c r="AJ31" i="106"/>
  <c r="AJ37" i="106" s="1"/>
  <c r="AM31" i="106"/>
  <c r="AM37" i="106" s="1"/>
  <c r="AN31" i="106"/>
  <c r="AN37" i="106" s="1"/>
  <c r="AO31" i="106"/>
  <c r="AO37" i="106" s="1"/>
  <c r="AP31" i="106"/>
  <c r="AS31" i="106"/>
  <c r="AS37" i="106" s="1"/>
  <c r="AT31" i="106"/>
  <c r="AT37" i="106" s="1"/>
  <c r="AU31" i="106"/>
  <c r="AU37" i="106" s="1"/>
  <c r="AV31" i="106"/>
  <c r="AY31" i="106"/>
  <c r="AZ31" i="106"/>
  <c r="BA31" i="106"/>
  <c r="BB31" i="106"/>
  <c r="BB74" i="106" s="1"/>
  <c r="BE31" i="106"/>
  <c r="BE37" i="106" s="1"/>
  <c r="BF31" i="106"/>
  <c r="BG31" i="106"/>
  <c r="BH31" i="106"/>
  <c r="BK31" i="106"/>
  <c r="BL31" i="106"/>
  <c r="BL74" i="106" s="1"/>
  <c r="G33" i="106"/>
  <c r="M33" i="106"/>
  <c r="S33" i="106"/>
  <c r="Y33" i="106"/>
  <c r="AE33" i="106"/>
  <c r="AK33" i="106"/>
  <c r="AK170" i="106" s="1"/>
  <c r="AQ33" i="106"/>
  <c r="AW33" i="106"/>
  <c r="AW170" i="106" s="1"/>
  <c r="BC33" i="106"/>
  <c r="BI33" i="106"/>
  <c r="G34" i="106"/>
  <c r="G171" i="106" s="1"/>
  <c r="M34" i="106"/>
  <c r="M171" i="106" s="1"/>
  <c r="S34" i="106"/>
  <c r="S171" i="106" s="1"/>
  <c r="Y34" i="106"/>
  <c r="Y171" i="106" s="1"/>
  <c r="AE34" i="106"/>
  <c r="AE171" i="106" s="1"/>
  <c r="AK34" i="106"/>
  <c r="AK171" i="106" s="1"/>
  <c r="AQ34" i="106"/>
  <c r="AQ171" i="106" s="1"/>
  <c r="AW34" i="106"/>
  <c r="AW171" i="106" s="1"/>
  <c r="BC34" i="106"/>
  <c r="BC171" i="106" s="1"/>
  <c r="BI34" i="106"/>
  <c r="BI171" i="106" s="1"/>
  <c r="BM171" i="106"/>
  <c r="G35" i="106"/>
  <c r="G172" i="106" s="1"/>
  <c r="M35" i="106"/>
  <c r="M172" i="106" s="1"/>
  <c r="S35" i="106"/>
  <c r="S172" i="106" s="1"/>
  <c r="Y35" i="106"/>
  <c r="Y172" i="106" s="1"/>
  <c r="AE35" i="106"/>
  <c r="AE172" i="106" s="1"/>
  <c r="AK35" i="106"/>
  <c r="AK172" i="106" s="1"/>
  <c r="AQ35" i="106"/>
  <c r="AQ172" i="106" s="1"/>
  <c r="AW35" i="106"/>
  <c r="BC35" i="106"/>
  <c r="BC172" i="106" s="1"/>
  <c r="BI35" i="106"/>
  <c r="BI172" i="106" s="1"/>
  <c r="J37" i="106"/>
  <c r="K37" i="106"/>
  <c r="X37" i="106"/>
  <c r="AI37" i="106"/>
  <c r="AP37" i="106"/>
  <c r="AV37" i="106"/>
  <c r="BA37" i="106"/>
  <c r="G40" i="106"/>
  <c r="G176" i="106" s="1"/>
  <c r="M40" i="106"/>
  <c r="M176" i="106" s="1"/>
  <c r="S40" i="106"/>
  <c r="S176" i="106" s="1"/>
  <c r="Y40" i="106"/>
  <c r="Y176" i="106" s="1"/>
  <c r="AE40" i="106"/>
  <c r="AE176" i="106" s="1"/>
  <c r="AK40" i="106"/>
  <c r="AK176" i="106" s="1"/>
  <c r="AQ40" i="106"/>
  <c r="AQ176" i="106" s="1"/>
  <c r="AW40" i="106"/>
  <c r="AW176" i="106" s="1"/>
  <c r="BC40" i="106"/>
  <c r="BI40" i="106"/>
  <c r="BI176" i="106" s="1"/>
  <c r="BM176" i="106"/>
  <c r="G41" i="106"/>
  <c r="M41" i="106"/>
  <c r="S41" i="106"/>
  <c r="Y41" i="106"/>
  <c r="AE41" i="106"/>
  <c r="AK41" i="106"/>
  <c r="AQ41" i="106"/>
  <c r="AW41" i="106"/>
  <c r="BC41" i="106"/>
  <c r="BI41" i="106"/>
  <c r="G42" i="106"/>
  <c r="M42" i="106"/>
  <c r="S42" i="106"/>
  <c r="Y42" i="106"/>
  <c r="AE42" i="106"/>
  <c r="AK42" i="106"/>
  <c r="AQ42" i="106"/>
  <c r="AW42" i="106"/>
  <c r="BC42" i="106"/>
  <c r="BI42" i="106"/>
  <c r="G43" i="106"/>
  <c r="M43" i="106"/>
  <c r="S43" i="106"/>
  <c r="Y43" i="106"/>
  <c r="AE43" i="106"/>
  <c r="AK43" i="106"/>
  <c r="AQ43" i="106"/>
  <c r="AW43" i="106"/>
  <c r="BC43" i="106"/>
  <c r="BI43" i="106"/>
  <c r="G44" i="106"/>
  <c r="M44" i="106"/>
  <c r="S44" i="106"/>
  <c r="Y44" i="106"/>
  <c r="AE44" i="106"/>
  <c r="AK44" i="106"/>
  <c r="AQ44" i="106"/>
  <c r="AW44" i="106"/>
  <c r="BC44" i="106"/>
  <c r="BI44" i="106"/>
  <c r="G45" i="106"/>
  <c r="M45" i="106"/>
  <c r="S45" i="106"/>
  <c r="Y45" i="106"/>
  <c r="AE45" i="106"/>
  <c r="AK45" i="106"/>
  <c r="AQ45" i="106"/>
  <c r="AW45" i="106"/>
  <c r="BC45" i="106"/>
  <c r="BI45" i="106"/>
  <c r="C46" i="106"/>
  <c r="C177" i="106" s="1"/>
  <c r="D46" i="106"/>
  <c r="E46" i="106"/>
  <c r="F46" i="106"/>
  <c r="I46" i="106"/>
  <c r="I114" i="106" s="1"/>
  <c r="J46" i="106"/>
  <c r="J177" i="106" s="1"/>
  <c r="K46" i="106"/>
  <c r="K114" i="106" s="1"/>
  <c r="L46" i="106"/>
  <c r="O46" i="106"/>
  <c r="O177" i="106" s="1"/>
  <c r="P46" i="106"/>
  <c r="Q46" i="106"/>
  <c r="Q177" i="106" s="1"/>
  <c r="R46" i="106"/>
  <c r="U46" i="106"/>
  <c r="U177" i="106" s="1"/>
  <c r="V46" i="106"/>
  <c r="V114" i="106" s="1"/>
  <c r="V115" i="106" s="1"/>
  <c r="W46" i="106"/>
  <c r="W114" i="106" s="1"/>
  <c r="X46" i="106"/>
  <c r="AA46" i="106"/>
  <c r="AA177" i="106" s="1"/>
  <c r="AB46" i="106"/>
  <c r="AC46" i="106"/>
  <c r="AD46" i="106"/>
  <c r="AG46" i="106"/>
  <c r="AG114" i="106" s="1"/>
  <c r="AH46" i="106"/>
  <c r="AI46" i="106"/>
  <c r="AI114" i="106" s="1"/>
  <c r="AJ46" i="106"/>
  <c r="AM46" i="106"/>
  <c r="AM114" i="106" s="1"/>
  <c r="AN108" i="106" s="1"/>
  <c r="AN46" i="106"/>
  <c r="AN177" i="106" s="1"/>
  <c r="AO46" i="106"/>
  <c r="AP46" i="106"/>
  <c r="AP177" i="106" s="1"/>
  <c r="AS46" i="106"/>
  <c r="AS114" i="106" s="1"/>
  <c r="AS115" i="106" s="1"/>
  <c r="AT46" i="106"/>
  <c r="AU46" i="106"/>
  <c r="AU114" i="106" s="1"/>
  <c r="AV46" i="106"/>
  <c r="AY46" i="106"/>
  <c r="AZ46" i="106"/>
  <c r="BA46" i="106"/>
  <c r="BA177" i="106" s="1"/>
  <c r="BB46" i="106"/>
  <c r="BF46" i="106"/>
  <c r="BG46" i="106"/>
  <c r="BH46" i="106"/>
  <c r="BK46" i="106"/>
  <c r="BK177" i="106" s="1"/>
  <c r="BL46" i="106"/>
  <c r="G48" i="106"/>
  <c r="G175" i="106" s="1"/>
  <c r="M48" i="106"/>
  <c r="M175" i="106" s="1"/>
  <c r="S48" i="106"/>
  <c r="S175" i="106" s="1"/>
  <c r="Y48" i="106"/>
  <c r="Y175" i="106" s="1"/>
  <c r="AE48" i="106"/>
  <c r="AE175" i="106" s="1"/>
  <c r="AK48" i="106"/>
  <c r="AK175" i="106" s="1"/>
  <c r="AQ48" i="106"/>
  <c r="AQ175" i="106" s="1"/>
  <c r="AW48" i="106"/>
  <c r="AW175" i="106" s="1"/>
  <c r="BC48" i="106"/>
  <c r="BC175" i="106" s="1"/>
  <c r="BI48" i="106"/>
  <c r="BI175" i="106" s="1"/>
  <c r="E50" i="106"/>
  <c r="AP50" i="106"/>
  <c r="H54" i="106"/>
  <c r="N54" i="106"/>
  <c r="T54" i="106"/>
  <c r="Z54" i="106"/>
  <c r="AF54" i="106"/>
  <c r="AL54" i="106"/>
  <c r="AR54" i="106"/>
  <c r="AX54" i="106"/>
  <c r="BP54" i="106"/>
  <c r="CB54" i="106"/>
  <c r="C57" i="106"/>
  <c r="D57" i="106"/>
  <c r="E57" i="106"/>
  <c r="F57" i="106"/>
  <c r="I57" i="106"/>
  <c r="J57" i="106"/>
  <c r="K57" i="106"/>
  <c r="L57" i="106"/>
  <c r="O57" i="106"/>
  <c r="P57" i="106"/>
  <c r="Q57" i="106"/>
  <c r="R57" i="106"/>
  <c r="U57" i="106"/>
  <c r="V57" i="106"/>
  <c r="W57" i="106"/>
  <c r="X57" i="106"/>
  <c r="AA57" i="106"/>
  <c r="AB57" i="106"/>
  <c r="AC57" i="106"/>
  <c r="AD57" i="106"/>
  <c r="AG57" i="106"/>
  <c r="AH57" i="106"/>
  <c r="AI57" i="106"/>
  <c r="AJ57" i="106"/>
  <c r="AM57" i="106"/>
  <c r="AN57" i="106"/>
  <c r="AO57" i="106"/>
  <c r="AP57" i="106"/>
  <c r="AS57" i="106"/>
  <c r="AT57" i="106"/>
  <c r="AU57" i="106"/>
  <c r="AV57" i="106"/>
  <c r="AY57" i="106"/>
  <c r="AY58" i="106" s="1"/>
  <c r="AY59" i="106" s="1"/>
  <c r="AZ57" i="106"/>
  <c r="AZ58" i="106" s="1"/>
  <c r="AZ59" i="106" s="1"/>
  <c r="BA57" i="106"/>
  <c r="BA58" i="106" s="1"/>
  <c r="BB57" i="106"/>
  <c r="BB58" i="106" s="1"/>
  <c r="BE57" i="106"/>
  <c r="BF57" i="106"/>
  <c r="BG57" i="106"/>
  <c r="BH57" i="106"/>
  <c r="BK57" i="106"/>
  <c r="BL57" i="106"/>
  <c r="AM68" i="106"/>
  <c r="AN68" i="106"/>
  <c r="AO68" i="106"/>
  <c r="AS68" i="106"/>
  <c r="AT68" i="106"/>
  <c r="AZ68" i="106"/>
  <c r="BE68" i="106"/>
  <c r="BF68" i="106"/>
  <c r="BG68" i="106"/>
  <c r="BH68" i="106"/>
  <c r="BA74" i="106"/>
  <c r="BE74" i="106"/>
  <c r="BA75" i="106"/>
  <c r="BE75" i="106"/>
  <c r="AY91" i="106"/>
  <c r="AZ91" i="106"/>
  <c r="BA91" i="106"/>
  <c r="BB91" i="106"/>
  <c r="BE91" i="106"/>
  <c r="BF91" i="106"/>
  <c r="BG91" i="106"/>
  <c r="BH91" i="106"/>
  <c r="BI91" i="106"/>
  <c r="BK91" i="106"/>
  <c r="BL91" i="106"/>
  <c r="C92" i="106"/>
  <c r="D92" i="106"/>
  <c r="E92" i="106"/>
  <c r="F92" i="106"/>
  <c r="I92" i="106"/>
  <c r="J92" i="106"/>
  <c r="K92" i="106"/>
  <c r="L92" i="106"/>
  <c r="O92" i="106"/>
  <c r="P92" i="106"/>
  <c r="Q92" i="106"/>
  <c r="R92" i="106"/>
  <c r="U92" i="106"/>
  <c r="V92" i="106"/>
  <c r="W92" i="106"/>
  <c r="X92" i="106"/>
  <c r="AA92" i="106"/>
  <c r="AB92" i="106"/>
  <c r="AC92" i="106"/>
  <c r="AD92" i="106"/>
  <c r="AG92" i="106"/>
  <c r="AH92" i="106"/>
  <c r="AI92" i="106"/>
  <c r="AJ92" i="106"/>
  <c r="AM92" i="106"/>
  <c r="AN92" i="106"/>
  <c r="AO92" i="106"/>
  <c r="AP92" i="106"/>
  <c r="AS92" i="106"/>
  <c r="AT92" i="106"/>
  <c r="AU92" i="106"/>
  <c r="AV92" i="106"/>
  <c r="AY92" i="106"/>
  <c r="AZ92" i="106"/>
  <c r="BA92" i="106"/>
  <c r="BB92" i="106"/>
  <c r="BE92" i="106"/>
  <c r="BF92" i="106"/>
  <c r="BH92" i="106"/>
  <c r="BK92" i="106"/>
  <c r="BL92" i="106"/>
  <c r="C93" i="106"/>
  <c r="D93" i="106"/>
  <c r="E93" i="106"/>
  <c r="F93" i="106"/>
  <c r="I93" i="106"/>
  <c r="J93" i="106"/>
  <c r="K93" i="106"/>
  <c r="L93" i="106"/>
  <c r="O93" i="106"/>
  <c r="P93" i="106"/>
  <c r="Q93" i="106"/>
  <c r="R93" i="106"/>
  <c r="U93" i="106"/>
  <c r="V93" i="106"/>
  <c r="W93" i="106"/>
  <c r="X93" i="106"/>
  <c r="AA93" i="106"/>
  <c r="AB93" i="106"/>
  <c r="AC93" i="106"/>
  <c r="AD93" i="106"/>
  <c r="AG93" i="106"/>
  <c r="AH93" i="106"/>
  <c r="AI93" i="106"/>
  <c r="AJ93" i="106"/>
  <c r="AM93" i="106"/>
  <c r="AN93" i="106"/>
  <c r="AO93" i="106"/>
  <c r="AP93" i="106"/>
  <c r="AS93" i="106"/>
  <c r="AT93" i="106"/>
  <c r="AU93" i="106"/>
  <c r="AV93" i="106"/>
  <c r="AY93" i="106"/>
  <c r="AZ93" i="106"/>
  <c r="BA93" i="106"/>
  <c r="BB93" i="106"/>
  <c r="BE93" i="106"/>
  <c r="BF93" i="106"/>
  <c r="BG93" i="106"/>
  <c r="BH93" i="106"/>
  <c r="BK93" i="106"/>
  <c r="G96" i="106"/>
  <c r="M96" i="106"/>
  <c r="S96" i="106"/>
  <c r="Y96" i="106"/>
  <c r="AE96" i="106"/>
  <c r="AK96" i="106"/>
  <c r="AQ96" i="106"/>
  <c r="AW96" i="106"/>
  <c r="BC96" i="106"/>
  <c r="BI96" i="106"/>
  <c r="C103" i="106"/>
  <c r="C101" i="106" s="1"/>
  <c r="D103" i="106"/>
  <c r="D99" i="106" s="1"/>
  <c r="E103" i="106"/>
  <c r="E97" i="106" s="1"/>
  <c r="F103" i="106"/>
  <c r="G98" i="106"/>
  <c r="G100" i="106"/>
  <c r="I103" i="106"/>
  <c r="I97" i="106" s="1"/>
  <c r="J103" i="106"/>
  <c r="J105" i="106" s="1"/>
  <c r="K103" i="106"/>
  <c r="K97" i="106" s="1"/>
  <c r="L103" i="106"/>
  <c r="M98" i="106"/>
  <c r="M100" i="106"/>
  <c r="O103" i="106"/>
  <c r="O105" i="106" s="1"/>
  <c r="P103" i="106"/>
  <c r="P105" i="106" s="1"/>
  <c r="Q103" i="106"/>
  <c r="Q105" i="106" s="1"/>
  <c r="R103" i="106"/>
  <c r="R105" i="106" s="1"/>
  <c r="S98" i="106"/>
  <c r="S100" i="106"/>
  <c r="U103" i="106"/>
  <c r="U97" i="106" s="1"/>
  <c r="V103" i="106"/>
  <c r="W103" i="106"/>
  <c r="W97" i="106" s="1"/>
  <c r="X103" i="106"/>
  <c r="Y98" i="106"/>
  <c r="Y100" i="106"/>
  <c r="AA103" i="106"/>
  <c r="AA97" i="106" s="1"/>
  <c r="AB103" i="106"/>
  <c r="AC103" i="106"/>
  <c r="AC97" i="106" s="1"/>
  <c r="AD103" i="106"/>
  <c r="AD97" i="106" s="1"/>
  <c r="AE98" i="106"/>
  <c r="AE100" i="106"/>
  <c r="AG103" i="106"/>
  <c r="AG99" i="106" s="1"/>
  <c r="AH103" i="106"/>
  <c r="AH99" i="106" s="1"/>
  <c r="AI103" i="106"/>
  <c r="AJ103" i="106"/>
  <c r="AK98" i="106"/>
  <c r="AK100" i="106"/>
  <c r="AM103" i="106"/>
  <c r="AN103" i="106"/>
  <c r="AO103" i="106"/>
  <c r="AO97" i="106" s="1"/>
  <c r="AP103" i="106"/>
  <c r="AP99" i="106" s="1"/>
  <c r="AQ98" i="106"/>
  <c r="AQ100" i="106"/>
  <c r="AS103" i="106"/>
  <c r="AS97" i="106" s="1"/>
  <c r="AT103" i="106"/>
  <c r="AU103" i="106"/>
  <c r="AU99" i="106" s="1"/>
  <c r="AV103" i="106"/>
  <c r="AV105" i="106" s="1"/>
  <c r="AW98" i="106"/>
  <c r="AW100" i="106"/>
  <c r="AY103" i="106"/>
  <c r="AY97" i="106" s="1"/>
  <c r="AZ103" i="106"/>
  <c r="AZ99" i="106" s="1"/>
  <c r="BA103" i="106"/>
  <c r="BB103" i="106"/>
  <c r="BB99" i="106" s="1"/>
  <c r="BC98" i="106"/>
  <c r="BC100" i="106"/>
  <c r="BE103" i="106"/>
  <c r="BF103" i="106"/>
  <c r="BG103" i="106"/>
  <c r="BH103" i="106"/>
  <c r="BH101" i="106" s="1"/>
  <c r="BI98" i="106"/>
  <c r="BI100" i="106"/>
  <c r="BK103" i="106"/>
  <c r="BL103" i="106"/>
  <c r="BL105" i="106" s="1"/>
  <c r="F99" i="106"/>
  <c r="I99" i="106"/>
  <c r="W99" i="106"/>
  <c r="AA99" i="106"/>
  <c r="AC99" i="106"/>
  <c r="E101" i="106"/>
  <c r="W101" i="106"/>
  <c r="AA101" i="106"/>
  <c r="AG101" i="106"/>
  <c r="AU101" i="106"/>
  <c r="W105" i="106"/>
  <c r="AH105" i="106"/>
  <c r="AS105" i="106"/>
  <c r="G108" i="106"/>
  <c r="P114" i="106"/>
  <c r="AC114" i="106"/>
  <c r="AH114" i="106"/>
  <c r="AI108" i="106" s="1"/>
  <c r="AO114" i="106"/>
  <c r="AZ114" i="106"/>
  <c r="BA108" i="106" s="1"/>
  <c r="BG114" i="106"/>
  <c r="C109" i="106"/>
  <c r="D109" i="106"/>
  <c r="E109" i="106"/>
  <c r="F109" i="106"/>
  <c r="I109" i="106"/>
  <c r="J109" i="106"/>
  <c r="K109" i="106"/>
  <c r="L109" i="106"/>
  <c r="O109" i="106"/>
  <c r="P109" i="106"/>
  <c r="Q109" i="106"/>
  <c r="R109" i="106"/>
  <c r="U109" i="106"/>
  <c r="V109" i="106"/>
  <c r="W109" i="106"/>
  <c r="X109" i="106"/>
  <c r="AA109" i="106"/>
  <c r="AB109" i="106"/>
  <c r="AC109" i="106"/>
  <c r="AD109" i="106"/>
  <c r="AG109" i="106"/>
  <c r="AH109" i="106"/>
  <c r="AI109" i="106"/>
  <c r="AJ109" i="106"/>
  <c r="AM109" i="106"/>
  <c r="AN109" i="106"/>
  <c r="AO109" i="106"/>
  <c r="AP109" i="106"/>
  <c r="AS109" i="106"/>
  <c r="AT109" i="106"/>
  <c r="AU109" i="106"/>
  <c r="AV109" i="106"/>
  <c r="AY109" i="106"/>
  <c r="AZ109" i="106"/>
  <c r="BA109" i="106"/>
  <c r="BB109" i="106"/>
  <c r="BE109" i="106"/>
  <c r="BF109" i="106"/>
  <c r="BG109" i="106"/>
  <c r="BH109" i="106"/>
  <c r="BK109" i="106"/>
  <c r="BL109" i="106"/>
  <c r="AC110" i="106"/>
  <c r="AD110" i="106"/>
  <c r="AG110" i="106"/>
  <c r="AH110" i="106"/>
  <c r="AJ110" i="106"/>
  <c r="AM110" i="106"/>
  <c r="AN110" i="106"/>
  <c r="AO110" i="106"/>
  <c r="AP110" i="106"/>
  <c r="AS110" i="106"/>
  <c r="AT110" i="106"/>
  <c r="AU110" i="106"/>
  <c r="AV110" i="106"/>
  <c r="AY110" i="106"/>
  <c r="AZ110" i="106"/>
  <c r="BA110" i="106"/>
  <c r="BB110" i="106"/>
  <c r="BE110" i="106"/>
  <c r="BF110" i="106"/>
  <c r="BG110" i="106"/>
  <c r="BH110" i="106"/>
  <c r="BK110" i="106"/>
  <c r="BL110" i="106"/>
  <c r="C111" i="106"/>
  <c r="I111" i="106"/>
  <c r="O111" i="106"/>
  <c r="U111" i="106"/>
  <c r="AA111" i="106"/>
  <c r="AC111" i="106"/>
  <c r="AG111" i="106"/>
  <c r="AM111" i="106"/>
  <c r="AS111" i="106"/>
  <c r="AY111" i="106"/>
  <c r="AZ111" i="106"/>
  <c r="BA111" i="106"/>
  <c r="BB111" i="106"/>
  <c r="BE111" i="106"/>
  <c r="BK111" i="106"/>
  <c r="C112" i="106"/>
  <c r="D112" i="106"/>
  <c r="E112" i="106"/>
  <c r="F112" i="106"/>
  <c r="I112" i="106"/>
  <c r="J112" i="106"/>
  <c r="K112" i="106"/>
  <c r="L112" i="106"/>
  <c r="O112" i="106"/>
  <c r="P112" i="106"/>
  <c r="Q112" i="106"/>
  <c r="R112" i="106"/>
  <c r="U112" i="106"/>
  <c r="V112" i="106"/>
  <c r="W112" i="106"/>
  <c r="X112" i="106"/>
  <c r="AA112" i="106"/>
  <c r="AB112" i="106"/>
  <c r="AC112" i="106"/>
  <c r="AD112" i="106"/>
  <c r="AG112" i="106"/>
  <c r="AH112" i="106"/>
  <c r="AI112" i="106"/>
  <c r="AJ112" i="106"/>
  <c r="AM112" i="106"/>
  <c r="AN112" i="106"/>
  <c r="AO112" i="106"/>
  <c r="AP112" i="106"/>
  <c r="AS112" i="106"/>
  <c r="AT112" i="106"/>
  <c r="AU112" i="106"/>
  <c r="AV112" i="106"/>
  <c r="AY112" i="106"/>
  <c r="AZ112" i="106"/>
  <c r="BA112" i="106"/>
  <c r="BB112" i="106"/>
  <c r="BE112" i="106"/>
  <c r="BF112" i="106"/>
  <c r="BG112" i="106"/>
  <c r="BH112" i="106"/>
  <c r="BK112" i="106"/>
  <c r="BL112" i="106"/>
  <c r="F114" i="106"/>
  <c r="F115" i="106" s="1"/>
  <c r="R114" i="106"/>
  <c r="R115" i="106" s="1"/>
  <c r="AD114" i="106"/>
  <c r="AD115" i="106" s="1"/>
  <c r="AP114" i="106"/>
  <c r="AP115" i="106" s="1"/>
  <c r="BB114" i="106"/>
  <c r="BB115" i="106" s="1"/>
  <c r="C121" i="106"/>
  <c r="C124" i="106"/>
  <c r="G120" i="106"/>
  <c r="I120" i="106"/>
  <c r="M120" i="106" s="1"/>
  <c r="I121" i="106"/>
  <c r="O120" i="106"/>
  <c r="O121" i="106"/>
  <c r="O122" i="106" s="1"/>
  <c r="U120" i="106"/>
  <c r="Y120" i="106" s="1"/>
  <c r="U121" i="106"/>
  <c r="U122" i="106" s="1"/>
  <c r="I122" i="106"/>
  <c r="AY122" i="106"/>
  <c r="BA122" i="106"/>
  <c r="BE122" i="106"/>
  <c r="G123" i="106"/>
  <c r="M123" i="106"/>
  <c r="S123" i="106"/>
  <c r="Y123" i="106"/>
  <c r="AE123" i="106"/>
  <c r="AK123" i="106"/>
  <c r="AQ123" i="106"/>
  <c r="AW123" i="106"/>
  <c r="AE125" i="106"/>
  <c r="AK125" i="106"/>
  <c r="AQ125" i="106"/>
  <c r="AW125" i="106"/>
  <c r="CG125" i="106"/>
  <c r="C134" i="106"/>
  <c r="D134" i="106"/>
  <c r="E134" i="106"/>
  <c r="G128" i="106"/>
  <c r="I128" i="106"/>
  <c r="M128" i="106" s="1"/>
  <c r="I134" i="106"/>
  <c r="J134" i="106"/>
  <c r="K134" i="106"/>
  <c r="O128" i="106"/>
  <c r="S128" i="106" s="1"/>
  <c r="O134" i="106"/>
  <c r="P134" i="106"/>
  <c r="Q134" i="106"/>
  <c r="U128" i="106"/>
  <c r="Y128" i="106" s="1"/>
  <c r="U134" i="106"/>
  <c r="V134" i="106"/>
  <c r="W134" i="106"/>
  <c r="AA128" i="106"/>
  <c r="AE128" i="106" s="1"/>
  <c r="AA134" i="106"/>
  <c r="AB134" i="106"/>
  <c r="AC134" i="106"/>
  <c r="AD134" i="106"/>
  <c r="AG134" i="106"/>
  <c r="AH134" i="106"/>
  <c r="AI134" i="106"/>
  <c r="AJ134" i="106"/>
  <c r="AM134" i="106"/>
  <c r="AN134" i="106"/>
  <c r="AO134" i="106"/>
  <c r="AP134" i="106"/>
  <c r="AS134" i="106"/>
  <c r="AT134" i="106"/>
  <c r="AU134" i="106"/>
  <c r="C129" i="106"/>
  <c r="I129" i="106"/>
  <c r="O129" i="106"/>
  <c r="U129" i="106"/>
  <c r="AA129" i="106"/>
  <c r="AC129" i="106"/>
  <c r="AG129" i="106"/>
  <c r="AM129" i="106"/>
  <c r="AS129" i="106"/>
  <c r="CG131" i="106"/>
  <c r="F134" i="106"/>
  <c r="F135" i="106" s="1"/>
  <c r="L134" i="106"/>
  <c r="L135" i="106" s="1"/>
  <c r="M134" i="106"/>
  <c r="R134" i="106"/>
  <c r="R135" i="106" s="1"/>
  <c r="X134" i="106"/>
  <c r="X135" i="106" s="1"/>
  <c r="Y134" i="106"/>
  <c r="AW134" i="106"/>
  <c r="BI134" i="106"/>
  <c r="C144" i="106"/>
  <c r="D144" i="106"/>
  <c r="J144" i="106"/>
  <c r="L144" i="106"/>
  <c r="P144" i="106"/>
  <c r="R144" i="106"/>
  <c r="X144" i="106"/>
  <c r="AA144" i="106"/>
  <c r="AB144" i="106"/>
  <c r="AG144" i="106"/>
  <c r="AH144" i="106"/>
  <c r="AI144" i="106"/>
  <c r="AJ144" i="106"/>
  <c r="AP144" i="106"/>
  <c r="AT144" i="106"/>
  <c r="AV144" i="106"/>
  <c r="AY144" i="106"/>
  <c r="AZ144" i="106"/>
  <c r="BF144" i="106"/>
  <c r="BG144" i="106"/>
  <c r="BH144" i="106"/>
  <c r="CG149" i="106"/>
  <c r="D151" i="106"/>
  <c r="E151" i="106"/>
  <c r="K151" i="106"/>
  <c r="L151" i="106"/>
  <c r="O151" i="106"/>
  <c r="P151" i="106"/>
  <c r="R151" i="106"/>
  <c r="X151" i="106"/>
  <c r="AH151" i="106"/>
  <c r="AO151" i="106"/>
  <c r="AU151" i="106"/>
  <c r="AY151" i="106"/>
  <c r="AZ151" i="106"/>
  <c r="BA151" i="106"/>
  <c r="BH151" i="106"/>
  <c r="BK151" i="106"/>
  <c r="BL151" i="106"/>
  <c r="C158" i="106"/>
  <c r="D158" i="106"/>
  <c r="E158" i="106"/>
  <c r="F158" i="106"/>
  <c r="G158" i="106"/>
  <c r="I158" i="106"/>
  <c r="J158" i="106"/>
  <c r="K158" i="106"/>
  <c r="L158" i="106"/>
  <c r="M158" i="106"/>
  <c r="O158" i="106"/>
  <c r="P158" i="106"/>
  <c r="Q158" i="106"/>
  <c r="R158" i="106"/>
  <c r="S158" i="106"/>
  <c r="U158" i="106"/>
  <c r="V158" i="106"/>
  <c r="W158" i="106"/>
  <c r="X158" i="106"/>
  <c r="Y158" i="106"/>
  <c r="AA158" i="106"/>
  <c r="AB158" i="106"/>
  <c r="AC158" i="106"/>
  <c r="AD158" i="106"/>
  <c r="AE158" i="106"/>
  <c r="AG158" i="106"/>
  <c r="AH158" i="106"/>
  <c r="AI158" i="106"/>
  <c r="AJ158" i="106"/>
  <c r="AK158" i="106"/>
  <c r="AM158" i="106"/>
  <c r="AN158" i="106"/>
  <c r="AO158" i="106"/>
  <c r="AP158" i="106"/>
  <c r="AQ158" i="106"/>
  <c r="AS158" i="106"/>
  <c r="AT158" i="106"/>
  <c r="AU158" i="106"/>
  <c r="AV158" i="106"/>
  <c r="AW158" i="106"/>
  <c r="AY158" i="106"/>
  <c r="AZ158" i="106"/>
  <c r="BA158" i="106"/>
  <c r="BB158" i="106"/>
  <c r="BC158" i="106"/>
  <c r="BE158" i="106"/>
  <c r="BF158" i="106"/>
  <c r="BG158" i="106"/>
  <c r="BH158" i="106"/>
  <c r="BI158" i="106"/>
  <c r="BK158" i="106"/>
  <c r="BL158" i="106"/>
  <c r="BM158" i="106"/>
  <c r="BQ158" i="106"/>
  <c r="BR158" i="106"/>
  <c r="BS158" i="106"/>
  <c r="BT158" i="106"/>
  <c r="BU158" i="106"/>
  <c r="BW158" i="106"/>
  <c r="BX158" i="106"/>
  <c r="BY158" i="106"/>
  <c r="BZ158" i="106"/>
  <c r="CA158" i="106"/>
  <c r="CC158" i="106"/>
  <c r="CD158" i="106"/>
  <c r="CE158" i="106"/>
  <c r="CF158" i="106"/>
  <c r="CG158" i="106"/>
  <c r="C5" i="107"/>
  <c r="I5" i="107"/>
  <c r="O5" i="107"/>
  <c r="U5" i="107"/>
  <c r="AA5" i="107"/>
  <c r="AG5" i="107"/>
  <c r="AM5" i="107"/>
  <c r="AS5" i="107"/>
  <c r="AY5" i="107"/>
  <c r="BE5" i="107"/>
  <c r="BK5" i="107"/>
  <c r="BQ5" i="107"/>
  <c r="BW5" i="107"/>
  <c r="CC5" i="107"/>
  <c r="C6" i="107"/>
  <c r="D6" i="107"/>
  <c r="E6" i="107"/>
  <c r="F6" i="107"/>
  <c r="G6" i="107"/>
  <c r="I6" i="107"/>
  <c r="J6" i="107"/>
  <c r="K6" i="107"/>
  <c r="L6" i="107"/>
  <c r="M6" i="107"/>
  <c r="O6" i="107"/>
  <c r="P6" i="107"/>
  <c r="Q6" i="107"/>
  <c r="R6" i="107"/>
  <c r="S6" i="107"/>
  <c r="U6" i="107"/>
  <c r="V6" i="107"/>
  <c r="W6" i="107"/>
  <c r="X6" i="107"/>
  <c r="Y6" i="107"/>
  <c r="AA6" i="107"/>
  <c r="AB6" i="107"/>
  <c r="AC6" i="107"/>
  <c r="AD6" i="107"/>
  <c r="AE6" i="107"/>
  <c r="AG6" i="107"/>
  <c r="AH6" i="107"/>
  <c r="AI6" i="107"/>
  <c r="AJ6" i="107"/>
  <c r="AK6" i="107"/>
  <c r="AM6" i="107"/>
  <c r="AN6" i="107"/>
  <c r="AO6" i="107"/>
  <c r="AP6" i="107"/>
  <c r="AQ6" i="107"/>
  <c r="AS6" i="107"/>
  <c r="AT6" i="107"/>
  <c r="AU6" i="107"/>
  <c r="AV6" i="107"/>
  <c r="AW6" i="107"/>
  <c r="AY6" i="107"/>
  <c r="AZ6" i="107"/>
  <c r="BA6" i="107"/>
  <c r="BC6" i="107"/>
  <c r="BE6" i="107"/>
  <c r="BF6" i="107"/>
  <c r="BG6" i="107"/>
  <c r="BH6" i="107"/>
  <c r="BI6" i="107"/>
  <c r="BK6" i="107"/>
  <c r="BL6" i="107"/>
  <c r="BM6" i="107"/>
  <c r="BN6" i="107"/>
  <c r="BO6" i="107"/>
  <c r="BQ6" i="107"/>
  <c r="BR6" i="107"/>
  <c r="BS6" i="107"/>
  <c r="BT6" i="107"/>
  <c r="BU6" i="107"/>
  <c r="BW6" i="107"/>
  <c r="BX6" i="107"/>
  <c r="BY6" i="107"/>
  <c r="BZ6" i="107"/>
  <c r="CA6" i="107"/>
  <c r="CC6" i="107"/>
  <c r="CD6" i="107"/>
  <c r="CE6" i="107"/>
  <c r="CF6" i="107"/>
  <c r="CG6" i="107"/>
  <c r="D9" i="107"/>
  <c r="E9" i="107" s="1"/>
  <c r="F9" i="107" s="1"/>
  <c r="J9" i="107"/>
  <c r="K9" i="107" s="1"/>
  <c r="L9" i="107" s="1"/>
  <c r="P9" i="107"/>
  <c r="Q9" i="107" s="1"/>
  <c r="V9" i="107"/>
  <c r="W9" i="107" s="1"/>
  <c r="X9" i="107" s="1"/>
  <c r="AB9" i="107"/>
  <c r="AC9" i="107" s="1"/>
  <c r="AD9" i="107" s="1"/>
  <c r="AH9" i="107"/>
  <c r="AI9" i="107" s="1"/>
  <c r="AJ9" i="107" s="1"/>
  <c r="AN9" i="107"/>
  <c r="AO9" i="107" s="1"/>
  <c r="AP9" i="107" s="1"/>
  <c r="AT9" i="107"/>
  <c r="BC9" i="107"/>
  <c r="BF9" i="107"/>
  <c r="BL9" i="107"/>
  <c r="BM9" i="107" s="1"/>
  <c r="D11" i="107"/>
  <c r="E11" i="107" s="1"/>
  <c r="E129" i="106" s="1"/>
  <c r="J11" i="107"/>
  <c r="J129" i="106" s="1"/>
  <c r="P11" i="107"/>
  <c r="Q11" i="107" s="1"/>
  <c r="Q129" i="106" s="1"/>
  <c r="V11" i="107"/>
  <c r="W11" i="107" s="1"/>
  <c r="W129" i="106" s="1"/>
  <c r="AB11" i="107"/>
  <c r="AD11" i="107" s="1"/>
  <c r="AH11" i="107"/>
  <c r="AI11" i="107" s="1"/>
  <c r="AN11" i="107"/>
  <c r="AN16" i="3" s="1"/>
  <c r="AT11" i="107"/>
  <c r="AT16" i="3" s="1"/>
  <c r="BC11" i="107"/>
  <c r="BF11" i="107"/>
  <c r="BG11" i="107" s="1"/>
  <c r="BG16" i="3" s="1"/>
  <c r="BL11" i="107"/>
  <c r="BM11" i="107" s="1"/>
  <c r="BM129" i="106" s="1"/>
  <c r="D12" i="107"/>
  <c r="J12" i="107"/>
  <c r="J140" i="106" s="1"/>
  <c r="P12" i="107"/>
  <c r="V12" i="107"/>
  <c r="V140" i="106" s="1"/>
  <c r="AB12" i="107"/>
  <c r="AG12" i="107"/>
  <c r="AG140" i="106" s="1"/>
  <c r="AH12" i="107"/>
  <c r="AM12" i="107"/>
  <c r="AM140" i="106" s="1"/>
  <c r="AS12" i="107"/>
  <c r="AT12" i="107"/>
  <c r="AT140" i="106" s="1"/>
  <c r="BC12" i="107"/>
  <c r="BE12" i="107"/>
  <c r="BK12" i="107"/>
  <c r="BK140" i="106" s="1"/>
  <c r="D13" i="107"/>
  <c r="J13" i="107"/>
  <c r="K13" i="107" s="1"/>
  <c r="L13" i="107" s="1"/>
  <c r="M13" i="107" s="1"/>
  <c r="P13" i="107"/>
  <c r="V13" i="107"/>
  <c r="W13" i="107" s="1"/>
  <c r="AB13" i="107"/>
  <c r="AH13" i="107"/>
  <c r="AN13" i="107"/>
  <c r="AO13" i="107" s="1"/>
  <c r="AP13" i="107" s="1"/>
  <c r="AT13" i="107"/>
  <c r="BC13" i="107"/>
  <c r="BF13" i="107"/>
  <c r="BL13" i="107"/>
  <c r="BM13" i="107" s="1"/>
  <c r="D14" i="107"/>
  <c r="E14" i="107" s="1"/>
  <c r="E160" i="107" s="1"/>
  <c r="J14" i="107"/>
  <c r="J160" i="107" s="1"/>
  <c r="P14" i="107"/>
  <c r="Q14" i="107" s="1"/>
  <c r="Q160" i="107" s="1"/>
  <c r="V14" i="107"/>
  <c r="V160" i="107" s="1"/>
  <c r="AB14" i="107"/>
  <c r="AD14" i="107" s="1"/>
  <c r="AD160" i="107" s="1"/>
  <c r="AH14" i="107"/>
  <c r="AI14" i="107" s="1"/>
  <c r="AJ14" i="107" s="1"/>
  <c r="AN14" i="107"/>
  <c r="AO14" i="107" s="1"/>
  <c r="AT14" i="107"/>
  <c r="AU14" i="107" s="1"/>
  <c r="AU160" i="107" s="1"/>
  <c r="BC14" i="107"/>
  <c r="BF14" i="107"/>
  <c r="BG14" i="107" s="1"/>
  <c r="BL14" i="107"/>
  <c r="BM14" i="107" s="1"/>
  <c r="D15" i="107"/>
  <c r="E15" i="107" s="1"/>
  <c r="J15" i="107"/>
  <c r="K15" i="107" s="1"/>
  <c r="P15" i="107"/>
  <c r="V15" i="107"/>
  <c r="W15" i="107" s="1"/>
  <c r="AB15" i="107"/>
  <c r="AD15" i="107" s="1"/>
  <c r="AE15" i="107" s="1"/>
  <c r="AH15" i="107"/>
  <c r="AI15" i="107" s="1"/>
  <c r="AJ15" i="107" s="1"/>
  <c r="AN15" i="107"/>
  <c r="AT15" i="107"/>
  <c r="AU15" i="107" s="1"/>
  <c r="AV15" i="107" s="1"/>
  <c r="BC15" i="107"/>
  <c r="BF15" i="107"/>
  <c r="BG15" i="107" s="1"/>
  <c r="BL15" i="107"/>
  <c r="BU15" i="107"/>
  <c r="CA15" i="107"/>
  <c r="CG15" i="107"/>
  <c r="D16" i="107"/>
  <c r="E16" i="107" s="1"/>
  <c r="J16" i="107"/>
  <c r="P16" i="107"/>
  <c r="V16" i="107"/>
  <c r="AB16" i="107"/>
  <c r="AD16" i="107" s="1"/>
  <c r="AH16" i="107"/>
  <c r="AI16" i="107" s="1"/>
  <c r="AJ16" i="107" s="1"/>
  <c r="AN16" i="107"/>
  <c r="AT16" i="107"/>
  <c r="AU16" i="107" s="1"/>
  <c r="BC16" i="107"/>
  <c r="BI16" i="107"/>
  <c r="BL16" i="107"/>
  <c r="BR16" i="107"/>
  <c r="BS16" i="107" s="1"/>
  <c r="BC17" i="107"/>
  <c r="BE17" i="107"/>
  <c r="BK17" i="107"/>
  <c r="BU17" i="107"/>
  <c r="CA17" i="107"/>
  <c r="CG17" i="107"/>
  <c r="C19" i="107"/>
  <c r="D20" i="107"/>
  <c r="E20" i="107" s="1"/>
  <c r="D21" i="107"/>
  <c r="E21" i="107" s="1"/>
  <c r="D22" i="107"/>
  <c r="E22" i="107" s="1"/>
  <c r="F22" i="107" s="1"/>
  <c r="G22" i="107" s="1"/>
  <c r="D23" i="107"/>
  <c r="E23" i="107" s="1"/>
  <c r="D24" i="107"/>
  <c r="D25" i="107"/>
  <c r="E25" i="107" s="1"/>
  <c r="I19" i="107"/>
  <c r="I28" i="107" s="1"/>
  <c r="I66" i="107" s="1"/>
  <c r="I87" i="106" s="1"/>
  <c r="J20" i="107"/>
  <c r="K20" i="107" s="1"/>
  <c r="J21" i="107"/>
  <c r="K21" i="107" s="1"/>
  <c r="L21" i="107" s="1"/>
  <c r="M21" i="107" s="1"/>
  <c r="J22" i="107"/>
  <c r="J23" i="107"/>
  <c r="J24" i="107"/>
  <c r="J25" i="107"/>
  <c r="O19" i="107"/>
  <c r="P20" i="107"/>
  <c r="P21" i="107"/>
  <c r="Q21" i="107" s="1"/>
  <c r="P22" i="107"/>
  <c r="P23" i="107"/>
  <c r="Q23" i="107" s="1"/>
  <c r="P24" i="107"/>
  <c r="Q24" i="107" s="1"/>
  <c r="R24" i="107" s="1"/>
  <c r="S24" i="107" s="1"/>
  <c r="P25" i="107"/>
  <c r="U19" i="107"/>
  <c r="V20" i="107"/>
  <c r="V21" i="107"/>
  <c r="W21" i="107" s="1"/>
  <c r="V22" i="107"/>
  <c r="W22" i="107" s="1"/>
  <c r="X22" i="107" s="1"/>
  <c r="V23" i="107"/>
  <c r="W23" i="107" s="1"/>
  <c r="V24" i="107"/>
  <c r="W24" i="107" s="1"/>
  <c r="V25" i="107"/>
  <c r="AA19" i="107"/>
  <c r="AA28" i="107" s="1"/>
  <c r="AA86" i="106" s="1"/>
  <c r="AB20" i="107"/>
  <c r="AD20" i="107" s="1"/>
  <c r="AB21" i="107"/>
  <c r="AD21" i="107" s="1"/>
  <c r="AB22" i="107"/>
  <c r="AD22" i="107" s="1"/>
  <c r="AE22" i="107" s="1"/>
  <c r="AB23" i="107"/>
  <c r="AB24" i="107"/>
  <c r="AD24" i="107" s="1"/>
  <c r="AE24" i="107" s="1"/>
  <c r="AB25" i="107"/>
  <c r="AC19" i="107"/>
  <c r="AG19" i="107"/>
  <c r="AH20" i="107"/>
  <c r="AI20" i="107" s="1"/>
  <c r="AJ20" i="107" s="1"/>
  <c r="AH21" i="107"/>
  <c r="AH22" i="107"/>
  <c r="AI22" i="107" s="1"/>
  <c r="AH23" i="107"/>
  <c r="AI23" i="107" s="1"/>
  <c r="AJ23" i="107" s="1"/>
  <c r="AK23" i="107" s="1"/>
  <c r="AH24" i="107"/>
  <c r="AI24" i="107" s="1"/>
  <c r="AJ24" i="107" s="1"/>
  <c r="AH25" i="107"/>
  <c r="AI25" i="107"/>
  <c r="AJ25" i="107" s="1"/>
  <c r="AM19" i="107"/>
  <c r="AN20" i="107"/>
  <c r="AO20" i="107" s="1"/>
  <c r="AN21" i="107"/>
  <c r="AO21" i="107" s="1"/>
  <c r="AP21" i="107" s="1"/>
  <c r="AN22" i="107"/>
  <c r="AO22" i="107" s="1"/>
  <c r="AP22" i="107" s="1"/>
  <c r="AN23" i="107"/>
  <c r="AN24" i="107"/>
  <c r="AO24" i="107" s="1"/>
  <c r="AP24" i="107" s="1"/>
  <c r="AN25" i="107"/>
  <c r="AO25" i="107" s="1"/>
  <c r="AQ24" i="107"/>
  <c r="AS19" i="107"/>
  <c r="AS28" i="107" s="1"/>
  <c r="AS86" i="106" s="1"/>
  <c r="AT20" i="107"/>
  <c r="AU20" i="107" s="1"/>
  <c r="AT21" i="107"/>
  <c r="AU21" i="107" s="1"/>
  <c r="AT22" i="107"/>
  <c r="AT23" i="107"/>
  <c r="AU23" i="107" s="1"/>
  <c r="AT24" i="107"/>
  <c r="AT25" i="107"/>
  <c r="AU25" i="107" s="1"/>
  <c r="AV25" i="107" s="1"/>
  <c r="AY19" i="107"/>
  <c r="AY28" i="107" s="1"/>
  <c r="AY86" i="106" s="1"/>
  <c r="AZ19" i="107"/>
  <c r="AZ28" i="107" s="1"/>
  <c r="BA19" i="107"/>
  <c r="BA28" i="107" s="1"/>
  <c r="BA86" i="106" s="1"/>
  <c r="BB19" i="107"/>
  <c r="BB28" i="107" s="1"/>
  <c r="BB86" i="106" s="1"/>
  <c r="BC20" i="107"/>
  <c r="BC21" i="107"/>
  <c r="BC22" i="107"/>
  <c r="BC23" i="107"/>
  <c r="BC24" i="107"/>
  <c r="BC25" i="107"/>
  <c r="BE19" i="107"/>
  <c r="BE28" i="107" s="1"/>
  <c r="BE66" i="107" s="1"/>
  <c r="BE87" i="106" s="1"/>
  <c r="BF20" i="107"/>
  <c r="BG20" i="107" s="1"/>
  <c r="BF21" i="107"/>
  <c r="BG21" i="107" s="1"/>
  <c r="BF22" i="107"/>
  <c r="BF23" i="107"/>
  <c r="BG23" i="107" s="1"/>
  <c r="BF24" i="107"/>
  <c r="BG24" i="107" s="1"/>
  <c r="BH24" i="107" s="1"/>
  <c r="BF25" i="107"/>
  <c r="BK19" i="107"/>
  <c r="BL20" i="107"/>
  <c r="BM20" i="107" s="1"/>
  <c r="BL21" i="107"/>
  <c r="BM21" i="107" s="1"/>
  <c r="BL22" i="107"/>
  <c r="BM22" i="107" s="1"/>
  <c r="BL23" i="107"/>
  <c r="BM23" i="107" s="1"/>
  <c r="BL24" i="107"/>
  <c r="BM24" i="107" s="1"/>
  <c r="BL25" i="107"/>
  <c r="BM25" i="107" s="1"/>
  <c r="C26" i="107"/>
  <c r="J26" i="107"/>
  <c r="P26" i="107"/>
  <c r="Q26" i="107" s="1"/>
  <c r="V26" i="107"/>
  <c r="AB26" i="107"/>
  <c r="AD26" i="107" s="1"/>
  <c r="AG26" i="107"/>
  <c r="AH26" i="107" s="1"/>
  <c r="AM26" i="107"/>
  <c r="AN26" i="107" s="1"/>
  <c r="AS26" i="107"/>
  <c r="AT26" i="107"/>
  <c r="AU26" i="107" s="1"/>
  <c r="AV26" i="107" s="1"/>
  <c r="BC26" i="107"/>
  <c r="BE26" i="107"/>
  <c r="BF26" i="107"/>
  <c r="BK26" i="107"/>
  <c r="BU26" i="107"/>
  <c r="CA26" i="107"/>
  <c r="CG26" i="107"/>
  <c r="O28" i="107"/>
  <c r="O86" i="106" s="1"/>
  <c r="U28" i="107"/>
  <c r="U86" i="106" s="1"/>
  <c r="D31" i="107"/>
  <c r="J31" i="107"/>
  <c r="K31" i="107" s="1"/>
  <c r="K121" i="106" s="1"/>
  <c r="K122" i="106" s="1"/>
  <c r="P31" i="107"/>
  <c r="P121" i="106" s="1"/>
  <c r="P122" i="106" s="1"/>
  <c r="V31" i="107"/>
  <c r="AB31" i="107"/>
  <c r="AB121" i="106" s="1"/>
  <c r="AB122" i="106" s="1"/>
  <c r="AH31" i="107"/>
  <c r="AH121" i="106" s="1"/>
  <c r="AH122" i="106" s="1"/>
  <c r="AN31" i="107"/>
  <c r="AT31" i="107"/>
  <c r="AT121" i="106" s="1"/>
  <c r="AT122" i="106" s="1"/>
  <c r="BB31" i="107"/>
  <c r="BF31" i="107"/>
  <c r="BL31" i="107"/>
  <c r="D32" i="107"/>
  <c r="E32" i="107" s="1"/>
  <c r="J32" i="107"/>
  <c r="K32" i="107" s="1"/>
  <c r="K154" i="106" s="1"/>
  <c r="K153" i="107" s="1"/>
  <c r="P32" i="107"/>
  <c r="V32" i="107"/>
  <c r="AB32" i="107"/>
  <c r="AB154" i="106" s="1"/>
  <c r="AB153" i="107" s="1"/>
  <c r="AH32" i="107"/>
  <c r="AN32" i="107"/>
  <c r="AT32" i="107"/>
  <c r="AT154" i="106" s="1"/>
  <c r="BB32" i="107"/>
  <c r="BF32" i="107"/>
  <c r="BL32" i="107"/>
  <c r="BM32" i="107" s="1"/>
  <c r="BM154" i="106" s="1"/>
  <c r="BU32" i="107"/>
  <c r="BU154" i="106" s="1"/>
  <c r="BU154" i="107" s="1"/>
  <c r="CA32" i="107"/>
  <c r="CA154" i="106" s="1"/>
  <c r="CA153" i="107" s="1"/>
  <c r="CG32" i="107"/>
  <c r="BC33" i="107"/>
  <c r="BF33" i="107"/>
  <c r="BG33" i="107" s="1"/>
  <c r="BL33" i="107"/>
  <c r="BU33" i="107"/>
  <c r="CA33" i="107"/>
  <c r="CG33" i="107"/>
  <c r="C34" i="107"/>
  <c r="J34" i="107"/>
  <c r="P34" i="107"/>
  <c r="Y34" i="107"/>
  <c r="AB34" i="107"/>
  <c r="AD34" i="107" s="1"/>
  <c r="AH34" i="107"/>
  <c r="AK34" i="107" s="1"/>
  <c r="AN34" i="107"/>
  <c r="AO34" i="107" s="1"/>
  <c r="AT34" i="107"/>
  <c r="AU34" i="107" s="1"/>
  <c r="AV34" i="107" s="1"/>
  <c r="BC34" i="107"/>
  <c r="BF34" i="107"/>
  <c r="BG34" i="107" s="1"/>
  <c r="BL34" i="107"/>
  <c r="BU34" i="107"/>
  <c r="CA34" i="107"/>
  <c r="CG34" i="107"/>
  <c r="D35" i="107"/>
  <c r="J35" i="107"/>
  <c r="K35" i="107" s="1"/>
  <c r="P35" i="107"/>
  <c r="V35" i="107"/>
  <c r="W35" i="107" s="1"/>
  <c r="AB35" i="107"/>
  <c r="AH35" i="107"/>
  <c r="AN35" i="107"/>
  <c r="AO35" i="107" s="1"/>
  <c r="AP35" i="107" s="1"/>
  <c r="AT35" i="107"/>
  <c r="BB35" i="107"/>
  <c r="BC35" i="107" s="1"/>
  <c r="BF35" i="107"/>
  <c r="BL35" i="107"/>
  <c r="BU35" i="107"/>
  <c r="CA35" i="107"/>
  <c r="CG35" i="107"/>
  <c r="D36" i="107"/>
  <c r="E36" i="107" s="1"/>
  <c r="J36" i="107"/>
  <c r="P36" i="107"/>
  <c r="Q36" i="107" s="1"/>
  <c r="V36" i="107"/>
  <c r="AB36" i="107"/>
  <c r="AH36" i="107"/>
  <c r="AN36" i="107"/>
  <c r="AT36" i="107"/>
  <c r="BB36" i="107"/>
  <c r="BF36" i="107"/>
  <c r="BL36" i="107"/>
  <c r="BU36" i="107"/>
  <c r="CA36" i="107"/>
  <c r="CG36" i="107"/>
  <c r="BC37" i="107"/>
  <c r="BF37" i="107"/>
  <c r="BG37" i="107" s="1"/>
  <c r="BL37" i="107"/>
  <c r="BU37" i="107"/>
  <c r="CA37" i="107"/>
  <c r="CG37" i="107"/>
  <c r="G38" i="107"/>
  <c r="M38" i="107"/>
  <c r="S38" i="107"/>
  <c r="X38" i="107"/>
  <c r="Y38" i="107" s="1"/>
  <c r="AB38" i="107"/>
  <c r="AH38" i="107"/>
  <c r="AN38" i="107"/>
  <c r="AS38" i="107"/>
  <c r="AS40" i="107" s="1"/>
  <c r="BB38" i="107"/>
  <c r="BC38" i="107" s="1"/>
  <c r="BE38" i="107"/>
  <c r="BF38" i="107"/>
  <c r="BL38" i="107"/>
  <c r="BU38" i="107"/>
  <c r="CA38" i="107"/>
  <c r="CG38" i="107"/>
  <c r="I40" i="107"/>
  <c r="O40" i="107"/>
  <c r="U40" i="107"/>
  <c r="AA40" i="107"/>
  <c r="AC40" i="107"/>
  <c r="AG40" i="107"/>
  <c r="AM40" i="107"/>
  <c r="AY40" i="107"/>
  <c r="AZ40" i="107"/>
  <c r="BA40" i="107"/>
  <c r="BE40" i="107"/>
  <c r="BK40" i="107"/>
  <c r="D43" i="107"/>
  <c r="J43" i="107"/>
  <c r="K43" i="107" s="1"/>
  <c r="P43" i="107"/>
  <c r="Q43" i="107" s="1"/>
  <c r="V43" i="107"/>
  <c r="W43" i="107" s="1"/>
  <c r="AB43" i="107"/>
  <c r="AD43" i="107" s="1"/>
  <c r="AH43" i="107"/>
  <c r="AI43" i="107" s="1"/>
  <c r="AN43" i="107"/>
  <c r="AT43" i="107"/>
  <c r="AU43" i="107" s="1"/>
  <c r="BC43" i="107"/>
  <c r="BF43" i="107"/>
  <c r="BG43" i="107" s="1"/>
  <c r="BL43" i="107"/>
  <c r="BM43" i="107" s="1"/>
  <c r="D44" i="107"/>
  <c r="D144" i="107" s="1"/>
  <c r="J44" i="107"/>
  <c r="J144" i="107" s="1"/>
  <c r="P44" i="107"/>
  <c r="P144" i="107" s="1"/>
  <c r="V44" i="107"/>
  <c r="W44" i="107" s="1"/>
  <c r="W144" i="107" s="1"/>
  <c r="AB44" i="107"/>
  <c r="AB144" i="107" s="1"/>
  <c r="AH44" i="107"/>
  <c r="AH144" i="107" s="1"/>
  <c r="AN44" i="107"/>
  <c r="AO44" i="107" s="1"/>
  <c r="AO144" i="107" s="1"/>
  <c r="AT44" i="107"/>
  <c r="AU44" i="107" s="1"/>
  <c r="AY44" i="107"/>
  <c r="BC44" i="107"/>
  <c r="BF44" i="107"/>
  <c r="BL44" i="107"/>
  <c r="BM44" i="107" s="1"/>
  <c r="BL146" i="107"/>
  <c r="BM146" i="107" s="1"/>
  <c r="BQ144" i="107"/>
  <c r="BQ44" i="107" s="1"/>
  <c r="BW144" i="107"/>
  <c r="BW44" i="107" s="1"/>
  <c r="BX146" i="107"/>
  <c r="CC144" i="107"/>
  <c r="CC44" i="107" s="1"/>
  <c r="CD144" i="107"/>
  <c r="CD44" i="107" s="1"/>
  <c r="CE144" i="107"/>
  <c r="CE44" i="107" s="1"/>
  <c r="CF144" i="107"/>
  <c r="CF44" i="107" s="1"/>
  <c r="D45" i="107"/>
  <c r="J45" i="107"/>
  <c r="P45" i="107"/>
  <c r="Q45" i="107" s="1"/>
  <c r="V45" i="107"/>
  <c r="AB45" i="107"/>
  <c r="AH45" i="107"/>
  <c r="AN45" i="107"/>
  <c r="AN111" i="106" s="1"/>
  <c r="AT45" i="107"/>
  <c r="AT111" i="106" s="1"/>
  <c r="BC45" i="107"/>
  <c r="BC111" i="106" s="1"/>
  <c r="BF45" i="107"/>
  <c r="BF111" i="106" s="1"/>
  <c r="BL45" i="107"/>
  <c r="BL74" i="107" s="1"/>
  <c r="BR74" i="107" s="1"/>
  <c r="BK74" i="107"/>
  <c r="BQ74" i="107" s="1"/>
  <c r="BW74" i="107" s="1"/>
  <c r="AB46" i="107"/>
  <c r="AH46" i="107"/>
  <c r="AI46" i="107" s="1"/>
  <c r="AJ46" i="107" s="1"/>
  <c r="AN46" i="107"/>
  <c r="AT46" i="107"/>
  <c r="AU46" i="107" s="1"/>
  <c r="AV46" i="107" s="1"/>
  <c r="AW46" i="107" s="1"/>
  <c r="BC46" i="107"/>
  <c r="BF46" i="107"/>
  <c r="BL46" i="107"/>
  <c r="BU46" i="107"/>
  <c r="CA46" i="107"/>
  <c r="CG46" i="107"/>
  <c r="AD47" i="107"/>
  <c r="AE47" i="107"/>
  <c r="AK47" i="107"/>
  <c r="AN47" i="107"/>
  <c r="AT47" i="107"/>
  <c r="BC47" i="107"/>
  <c r="BF47" i="107"/>
  <c r="BL47" i="107"/>
  <c r="BU47" i="107"/>
  <c r="CA47" i="107"/>
  <c r="CG47" i="107"/>
  <c r="D48" i="107"/>
  <c r="J48" i="107"/>
  <c r="P48" i="107"/>
  <c r="V48" i="107"/>
  <c r="W48" i="107" s="1"/>
  <c r="X48" i="107" s="1"/>
  <c r="Y48" i="107" s="1"/>
  <c r="AB48" i="107"/>
  <c r="AD48" i="107" s="1"/>
  <c r="AH48" i="107"/>
  <c r="AI48" i="107" s="1"/>
  <c r="AN48" i="107"/>
  <c r="AT48" i="107"/>
  <c r="BC48" i="107"/>
  <c r="BF48" i="107"/>
  <c r="BL48" i="107"/>
  <c r="BM48" i="107" s="1"/>
  <c r="D49" i="107"/>
  <c r="J49" i="107"/>
  <c r="P49" i="107"/>
  <c r="V49" i="107"/>
  <c r="AB49" i="107"/>
  <c r="AD49" i="107" s="1"/>
  <c r="AH49" i="107"/>
  <c r="AK49" i="107" s="1"/>
  <c r="AN49" i="107"/>
  <c r="AO49" i="107" s="1"/>
  <c r="AP49" i="107" s="1"/>
  <c r="AT49" i="107"/>
  <c r="AU49" i="107" s="1"/>
  <c r="BC49" i="107"/>
  <c r="BF49" i="107"/>
  <c r="BG49" i="107" s="1"/>
  <c r="BL49" i="107"/>
  <c r="BM49" i="107" s="1"/>
  <c r="D50" i="107"/>
  <c r="E50" i="107" s="1"/>
  <c r="E140" i="107" s="1"/>
  <c r="J50" i="107"/>
  <c r="J140" i="107" s="1"/>
  <c r="P50" i="107"/>
  <c r="Q50" i="107" s="1"/>
  <c r="R50" i="107" s="1"/>
  <c r="R140" i="107" s="1"/>
  <c r="V50" i="107"/>
  <c r="V140" i="107" s="1"/>
  <c r="AB50" i="107"/>
  <c r="AD50" i="107" s="1"/>
  <c r="AE50" i="107" s="1"/>
  <c r="AE140" i="107" s="1"/>
  <c r="AH50" i="107"/>
  <c r="AH140" i="107" s="1"/>
  <c r="AN50" i="107"/>
  <c r="AO50" i="107" s="1"/>
  <c r="AP50" i="107" s="1"/>
  <c r="AP140" i="107" s="1"/>
  <c r="AT50" i="107"/>
  <c r="BC50" i="107"/>
  <c r="BF50" i="107"/>
  <c r="BG50" i="107" s="1"/>
  <c r="BH50" i="107" s="1"/>
  <c r="BL50" i="107"/>
  <c r="BM50" i="107" s="1"/>
  <c r="BE128" i="107"/>
  <c r="BE130" i="107" s="1"/>
  <c r="AY107" i="107"/>
  <c r="AY129" i="107" s="1"/>
  <c r="BE129" i="107" s="1"/>
  <c r="BK129" i="107" s="1"/>
  <c r="AT107" i="107"/>
  <c r="AZ107" i="107" s="1"/>
  <c r="AZ129" i="107" s="1"/>
  <c r="BF129" i="107" s="1"/>
  <c r="BL129" i="107" s="1"/>
  <c r="BR129" i="107" s="1"/>
  <c r="BX129" i="107" s="1"/>
  <c r="CD129" i="107" s="1"/>
  <c r="W88" i="107"/>
  <c r="X81" i="107" s="1"/>
  <c r="AW83" i="107"/>
  <c r="AW86" i="107"/>
  <c r="AW87" i="107"/>
  <c r="BA140" i="107"/>
  <c r="C110" i="107"/>
  <c r="D106" i="107" s="1"/>
  <c r="D107" i="107"/>
  <c r="D108" i="107"/>
  <c r="E108" i="107" s="1"/>
  <c r="F108" i="107" s="1"/>
  <c r="D109" i="107"/>
  <c r="E109" i="107" s="1"/>
  <c r="J107" i="107"/>
  <c r="K107" i="107" s="1"/>
  <c r="J108" i="107"/>
  <c r="K108" i="107" s="1"/>
  <c r="J109" i="107"/>
  <c r="P107" i="107"/>
  <c r="Q107" i="107" s="1"/>
  <c r="Q116" i="107" s="1"/>
  <c r="P108" i="107"/>
  <c r="Q108" i="107" s="1"/>
  <c r="P109" i="107"/>
  <c r="V107" i="107"/>
  <c r="W107" i="107" s="1"/>
  <c r="V108" i="107"/>
  <c r="V109" i="107"/>
  <c r="AB107" i="107"/>
  <c r="AC107" i="107" s="1"/>
  <c r="AD107" i="107" s="1"/>
  <c r="AE107" i="107" s="1"/>
  <c r="AB108" i="107"/>
  <c r="AC108" i="107" s="1"/>
  <c r="AD108" i="107" s="1"/>
  <c r="AA109" i="107"/>
  <c r="AB109" i="107" s="1"/>
  <c r="AH107" i="107"/>
  <c r="AI107" i="107" s="1"/>
  <c r="AH108" i="107"/>
  <c r="AG109" i="107"/>
  <c r="AH109" i="107"/>
  <c r="AI109" i="107" s="1"/>
  <c r="AN107" i="107"/>
  <c r="AO107" i="107" s="1"/>
  <c r="AN108" i="107"/>
  <c r="AM109" i="107"/>
  <c r="AN109" i="107"/>
  <c r="AO109" i="107" s="1"/>
  <c r="AP109" i="107" s="1"/>
  <c r="AT108" i="107"/>
  <c r="AU108" i="107" s="1"/>
  <c r="AV108" i="107" s="1"/>
  <c r="AV130" i="107" s="1"/>
  <c r="AS109" i="107"/>
  <c r="BT133" i="107"/>
  <c r="BZ133" i="107" s="1"/>
  <c r="CF133" i="107" s="1"/>
  <c r="AY140" i="107"/>
  <c r="BF133" i="107"/>
  <c r="BL133" i="107" s="1"/>
  <c r="BR133" i="107" s="1"/>
  <c r="BX133" i="107" s="1"/>
  <c r="CD133" i="107" s="1"/>
  <c r="D51" i="107"/>
  <c r="E51" i="107" s="1"/>
  <c r="J51" i="107"/>
  <c r="P51" i="107"/>
  <c r="V51" i="107"/>
  <c r="W51" i="107" s="1"/>
  <c r="X51" i="107" s="1"/>
  <c r="AB51" i="107"/>
  <c r="AD51" i="107" s="1"/>
  <c r="AE51" i="107" s="1"/>
  <c r="AH51" i="107"/>
  <c r="AN51" i="107"/>
  <c r="AO51" i="107" s="1"/>
  <c r="AP51" i="107" s="1"/>
  <c r="AT51" i="107"/>
  <c r="BC51" i="107"/>
  <c r="BI51" i="107"/>
  <c r="BL51" i="107"/>
  <c r="BU51" i="107"/>
  <c r="CA51" i="107"/>
  <c r="CG51" i="107"/>
  <c r="AD52" i="107"/>
  <c r="AE52" i="107" s="1"/>
  <c r="AH52" i="107"/>
  <c r="AI52" i="107" s="1"/>
  <c r="AJ52" i="107" s="1"/>
  <c r="AK52" i="107" s="1"/>
  <c r="AM52" i="107"/>
  <c r="AM54" i="107" s="1"/>
  <c r="AN52" i="107"/>
  <c r="AO52" i="107" s="1"/>
  <c r="AP52" i="107" s="1"/>
  <c r="AT52" i="107"/>
  <c r="BC52" i="107"/>
  <c r="BF52" i="107"/>
  <c r="BG52" i="107" s="1"/>
  <c r="BL52" i="107"/>
  <c r="BU52" i="107"/>
  <c r="CA52" i="107"/>
  <c r="CG52" i="107"/>
  <c r="C54" i="107"/>
  <c r="I54" i="107"/>
  <c r="O54" i="107"/>
  <c r="U54" i="107"/>
  <c r="AA54" i="107"/>
  <c r="AC54" i="107"/>
  <c r="AG54" i="107"/>
  <c r="AS54" i="107"/>
  <c r="AY54" i="107"/>
  <c r="AZ54" i="107"/>
  <c r="BA54" i="107"/>
  <c r="BB54" i="107"/>
  <c r="BE54" i="107"/>
  <c r="BK54" i="107"/>
  <c r="D56" i="107"/>
  <c r="E56" i="107" s="1"/>
  <c r="J56" i="107"/>
  <c r="P56" i="107"/>
  <c r="V56" i="107"/>
  <c r="W56" i="107" s="1"/>
  <c r="AB56" i="107"/>
  <c r="AH56" i="107"/>
  <c r="AI56" i="107" s="1"/>
  <c r="AN56" i="107"/>
  <c r="AT56" i="107"/>
  <c r="AU56" i="107" s="1"/>
  <c r="BC56" i="107"/>
  <c r="BF56" i="107"/>
  <c r="BG56" i="107" s="1"/>
  <c r="BH56" i="107" s="1"/>
  <c r="BL56" i="107"/>
  <c r="BU56" i="107"/>
  <c r="CA56" i="107"/>
  <c r="CG56" i="107"/>
  <c r="G60" i="107"/>
  <c r="G61" i="107"/>
  <c r="M61" i="107"/>
  <c r="S61" i="107"/>
  <c r="Y61" i="107"/>
  <c r="AE61" i="107"/>
  <c r="AK61" i="107"/>
  <c r="AQ61" i="107"/>
  <c r="AW61" i="107"/>
  <c r="BC61" i="107"/>
  <c r="BF61" i="107"/>
  <c r="BG61" i="107" s="1"/>
  <c r="BL61" i="107"/>
  <c r="BU61" i="107"/>
  <c r="CA61" i="107"/>
  <c r="CG61" i="107"/>
  <c r="AY66" i="107"/>
  <c r="AY87" i="106" s="1"/>
  <c r="BA66" i="107"/>
  <c r="G74" i="107"/>
  <c r="AD75" i="107"/>
  <c r="AG75" i="107"/>
  <c r="AK74" i="107"/>
  <c r="AQ74" i="107"/>
  <c r="AZ75" i="107"/>
  <c r="BE74" i="107"/>
  <c r="K75" i="107"/>
  <c r="L75" i="107"/>
  <c r="P75" i="107"/>
  <c r="V75" i="107"/>
  <c r="AH75" i="107"/>
  <c r="AO75" i="107"/>
  <c r="AS75" i="107"/>
  <c r="AU75" i="107"/>
  <c r="AV81" i="107"/>
  <c r="AV92" i="107" s="1"/>
  <c r="AE83" i="107"/>
  <c r="AK83" i="107"/>
  <c r="AQ83" i="107"/>
  <c r="AE86" i="107"/>
  <c r="AK86" i="107"/>
  <c r="AQ86" i="107"/>
  <c r="AE87" i="107"/>
  <c r="AK87" i="107"/>
  <c r="AQ87" i="107"/>
  <c r="E88" i="107"/>
  <c r="K88" i="107"/>
  <c r="Q88" i="107"/>
  <c r="X89" i="107"/>
  <c r="Y89" i="107" s="1"/>
  <c r="AA89" i="107" s="1"/>
  <c r="G96" i="107"/>
  <c r="M96" i="107"/>
  <c r="S96" i="107"/>
  <c r="Y96" i="107"/>
  <c r="AE96" i="107"/>
  <c r="AK96" i="107"/>
  <c r="AQ96" i="107"/>
  <c r="AW96" i="107"/>
  <c r="G99" i="107"/>
  <c r="G100" i="107"/>
  <c r="G106" i="107"/>
  <c r="AE111" i="107"/>
  <c r="AK111" i="107"/>
  <c r="AQ111" i="107"/>
  <c r="AW111" i="107"/>
  <c r="AY111" i="107"/>
  <c r="AZ111" i="107"/>
  <c r="BA111" i="107"/>
  <c r="BB111" i="107"/>
  <c r="I112" i="107"/>
  <c r="J112" i="107"/>
  <c r="K112" i="107"/>
  <c r="L112" i="107"/>
  <c r="M112" i="107"/>
  <c r="O112" i="107"/>
  <c r="P112" i="107"/>
  <c r="Q112" i="107"/>
  <c r="R112" i="107"/>
  <c r="S112" i="107"/>
  <c r="U112" i="107"/>
  <c r="V112" i="107"/>
  <c r="W112" i="107"/>
  <c r="X112" i="107"/>
  <c r="Y112" i="107"/>
  <c r="AA112" i="107"/>
  <c r="AB112" i="107"/>
  <c r="AC112" i="107"/>
  <c r="AD112" i="107"/>
  <c r="AG112" i="107"/>
  <c r="AH112" i="107"/>
  <c r="AI112" i="107"/>
  <c r="AJ112" i="107"/>
  <c r="AM112" i="107"/>
  <c r="AN112" i="107"/>
  <c r="AO112" i="107"/>
  <c r="AP112" i="107"/>
  <c r="AS112" i="107"/>
  <c r="AT112" i="107"/>
  <c r="AU112" i="107"/>
  <c r="AV112" i="107"/>
  <c r="C114" i="107"/>
  <c r="C115" i="107"/>
  <c r="I116" i="107"/>
  <c r="O116" i="107"/>
  <c r="U116" i="107"/>
  <c r="AA116" i="107"/>
  <c r="AG116" i="107"/>
  <c r="AM116" i="107"/>
  <c r="AN116" i="107"/>
  <c r="AS116" i="107"/>
  <c r="G118" i="107"/>
  <c r="M118" i="107"/>
  <c r="S118" i="107"/>
  <c r="Y118" i="107"/>
  <c r="AE118" i="107"/>
  <c r="AK118" i="107"/>
  <c r="AQ118" i="107"/>
  <c r="AW118" i="107"/>
  <c r="AS140" i="107"/>
  <c r="AT140" i="107"/>
  <c r="C140" i="107"/>
  <c r="D140" i="107"/>
  <c r="I140" i="107"/>
  <c r="O140" i="107"/>
  <c r="P140" i="107"/>
  <c r="U140" i="107"/>
  <c r="AA140" i="107"/>
  <c r="AC140" i="107"/>
  <c r="AG140" i="107"/>
  <c r="AM140" i="107"/>
  <c r="AZ140" i="107"/>
  <c r="BF143" i="107"/>
  <c r="BG143" i="107" s="1"/>
  <c r="BE144" i="107"/>
  <c r="BE146" i="107" s="1"/>
  <c r="BL143" i="107"/>
  <c r="BM143" i="107" s="1"/>
  <c r="BT148" i="107"/>
  <c r="BZ148" i="107" s="1"/>
  <c r="C144" i="107"/>
  <c r="I144" i="107"/>
  <c r="O144" i="107"/>
  <c r="U144" i="107"/>
  <c r="AA144" i="107"/>
  <c r="AC144" i="107"/>
  <c r="AG144" i="107"/>
  <c r="AM144" i="107"/>
  <c r="AN144" i="107"/>
  <c r="AS144" i="107"/>
  <c r="AY144" i="107"/>
  <c r="AZ144" i="107"/>
  <c r="BA144" i="107"/>
  <c r="BB144" i="107"/>
  <c r="BL144" i="107"/>
  <c r="BM144" i="107" s="1"/>
  <c r="BI145" i="107"/>
  <c r="BO145" i="107"/>
  <c r="BU145" i="107"/>
  <c r="CA145" i="107"/>
  <c r="CG145" i="107"/>
  <c r="BF148" i="107"/>
  <c r="BF146" i="107" s="1"/>
  <c r="BI147" i="107"/>
  <c r="BO147" i="107"/>
  <c r="BU147" i="107"/>
  <c r="CA147" i="107"/>
  <c r="CG147" i="107"/>
  <c r="AE148" i="107"/>
  <c r="AE149" i="107" s="1"/>
  <c r="AK148" i="107"/>
  <c r="AQ148" i="107"/>
  <c r="AQ149" i="107" s="1"/>
  <c r="AW148" i="107"/>
  <c r="BC148" i="107"/>
  <c r="BG148" i="107"/>
  <c r="BK148" i="107"/>
  <c r="BK149" i="107" s="1"/>
  <c r="I149" i="107"/>
  <c r="J149" i="107"/>
  <c r="K149" i="107"/>
  <c r="L149" i="107"/>
  <c r="M149" i="107"/>
  <c r="O149" i="107"/>
  <c r="P149" i="107"/>
  <c r="Q149" i="107"/>
  <c r="R149" i="107"/>
  <c r="S149" i="107"/>
  <c r="U149" i="107"/>
  <c r="V149" i="107"/>
  <c r="W149" i="107"/>
  <c r="X149" i="107"/>
  <c r="Y149" i="107"/>
  <c r="AA149" i="107"/>
  <c r="AB149" i="107"/>
  <c r="AC149" i="107"/>
  <c r="AD149" i="107"/>
  <c r="AG149" i="107"/>
  <c r="AH149" i="107"/>
  <c r="AI149" i="107"/>
  <c r="AJ149" i="107"/>
  <c r="AM149" i="107"/>
  <c r="AN149" i="107"/>
  <c r="AO149" i="107"/>
  <c r="AP149" i="107"/>
  <c r="AS149" i="107"/>
  <c r="AT149" i="107"/>
  <c r="AU149" i="107"/>
  <c r="AV149" i="107"/>
  <c r="BE149" i="107"/>
  <c r="BH149" i="107"/>
  <c r="BN149" i="107"/>
  <c r="BX149" i="107"/>
  <c r="CD149" i="107"/>
  <c r="C151" i="107"/>
  <c r="D151" i="107"/>
  <c r="E151" i="107"/>
  <c r="F151" i="107"/>
  <c r="G151" i="107"/>
  <c r="I151" i="107"/>
  <c r="J151" i="107"/>
  <c r="K151" i="107"/>
  <c r="L151" i="107"/>
  <c r="M151" i="107"/>
  <c r="O151" i="107"/>
  <c r="P151" i="107"/>
  <c r="Q151" i="107"/>
  <c r="R151" i="107"/>
  <c r="S151" i="107"/>
  <c r="U151" i="107"/>
  <c r="V151" i="107"/>
  <c r="W151" i="107"/>
  <c r="X151" i="107"/>
  <c r="Y151" i="107"/>
  <c r="AA151" i="107"/>
  <c r="AB151" i="107"/>
  <c r="AC151" i="107"/>
  <c r="AD151" i="107"/>
  <c r="AE151" i="107"/>
  <c r="AG151" i="107"/>
  <c r="AH151" i="107"/>
  <c r="AI151" i="107"/>
  <c r="AJ151" i="107"/>
  <c r="AK151" i="107"/>
  <c r="AM151" i="107"/>
  <c r="AN151" i="107"/>
  <c r="AO151" i="107"/>
  <c r="AP151" i="107"/>
  <c r="AQ151" i="107"/>
  <c r="AS151" i="107"/>
  <c r="AT151" i="107"/>
  <c r="AU151" i="107"/>
  <c r="AV151" i="107"/>
  <c r="AW151" i="107"/>
  <c r="AY151" i="107"/>
  <c r="AZ151" i="107"/>
  <c r="BA151" i="107"/>
  <c r="BB151" i="107"/>
  <c r="BC151" i="107"/>
  <c r="BE151" i="107"/>
  <c r="BF151" i="107"/>
  <c r="BG151" i="107"/>
  <c r="BH151" i="107"/>
  <c r="BI151" i="107"/>
  <c r="BK151" i="107"/>
  <c r="BL151" i="107"/>
  <c r="BM151" i="107"/>
  <c r="BQ151" i="107"/>
  <c r="BR151" i="107"/>
  <c r="BS151" i="107"/>
  <c r="BT151" i="107"/>
  <c r="BU151" i="107"/>
  <c r="BW151" i="107"/>
  <c r="BX151" i="107"/>
  <c r="BY151" i="107"/>
  <c r="BZ151" i="107"/>
  <c r="CA151" i="107"/>
  <c r="CC151" i="107"/>
  <c r="CD151" i="107"/>
  <c r="CE151" i="107"/>
  <c r="CF151" i="107"/>
  <c r="CG151" i="107"/>
  <c r="C152" i="107"/>
  <c r="AG152" i="107"/>
  <c r="AI152" i="107"/>
  <c r="AJ152" i="107"/>
  <c r="AT152" i="107"/>
  <c r="AY152" i="107"/>
  <c r="BT152" i="107"/>
  <c r="C153" i="107"/>
  <c r="AG153" i="107"/>
  <c r="AT153" i="107"/>
  <c r="BE153" i="107"/>
  <c r="BT153" i="107"/>
  <c r="C154" i="107"/>
  <c r="AT154" i="107"/>
  <c r="AY154" i="107"/>
  <c r="BE154" i="107"/>
  <c r="BX154" i="107"/>
  <c r="C157" i="107"/>
  <c r="D157" i="107"/>
  <c r="E157" i="107"/>
  <c r="F157" i="107"/>
  <c r="I157" i="107"/>
  <c r="J157" i="107"/>
  <c r="K157" i="107"/>
  <c r="L157" i="107"/>
  <c r="O157" i="107"/>
  <c r="P157" i="107"/>
  <c r="Q157" i="107"/>
  <c r="R157" i="107"/>
  <c r="U157" i="107"/>
  <c r="V157" i="107"/>
  <c r="W157" i="107"/>
  <c r="X157" i="107"/>
  <c r="AA157" i="107"/>
  <c r="AB157" i="107"/>
  <c r="AC157" i="107"/>
  <c r="AD157" i="107"/>
  <c r="C158" i="107"/>
  <c r="D158" i="107"/>
  <c r="E158" i="107"/>
  <c r="F158" i="107"/>
  <c r="I158" i="107"/>
  <c r="J158" i="107"/>
  <c r="K158" i="107"/>
  <c r="L158" i="107"/>
  <c r="O158" i="107"/>
  <c r="P158" i="107"/>
  <c r="Q158" i="107"/>
  <c r="R158" i="107"/>
  <c r="U158" i="107"/>
  <c r="V158" i="107"/>
  <c r="W158" i="107"/>
  <c r="X158" i="107"/>
  <c r="AA158" i="107"/>
  <c r="AB158" i="107"/>
  <c r="AC158" i="107"/>
  <c r="AD158" i="107"/>
  <c r="AG158" i="107"/>
  <c r="AH158" i="107"/>
  <c r="AI158" i="107"/>
  <c r="AJ158" i="107"/>
  <c r="AM158" i="107"/>
  <c r="AN158" i="107"/>
  <c r="AO158" i="107"/>
  <c r="AP158" i="107"/>
  <c r="AS158" i="107"/>
  <c r="AT158" i="107"/>
  <c r="AU158" i="107"/>
  <c r="AV158" i="107"/>
  <c r="AY158" i="107"/>
  <c r="AZ158" i="107"/>
  <c r="BA158" i="107"/>
  <c r="BB158" i="107"/>
  <c r="BE158" i="107"/>
  <c r="BF158" i="107"/>
  <c r="BG158" i="107"/>
  <c r="BH158" i="107"/>
  <c r="BK158" i="107"/>
  <c r="BL158" i="107"/>
  <c r="C160" i="107"/>
  <c r="I160" i="107"/>
  <c r="O160" i="107"/>
  <c r="U160" i="107"/>
  <c r="AA160" i="107"/>
  <c r="AC160" i="107"/>
  <c r="AG160" i="107"/>
  <c r="AJ160" i="107"/>
  <c r="AM160" i="107"/>
  <c r="AN160" i="107"/>
  <c r="AS160" i="107"/>
  <c r="AY160" i="107"/>
  <c r="AZ160" i="107"/>
  <c r="BA160" i="107"/>
  <c r="AA105" i="106" l="1"/>
  <c r="AN144" i="106"/>
  <c r="I101" i="106"/>
  <c r="Y170" i="106"/>
  <c r="D147" i="106"/>
  <c r="BH76" i="106"/>
  <c r="R101" i="106"/>
  <c r="BE151" i="106"/>
  <c r="AC151" i="106"/>
  <c r="J151" i="106"/>
  <c r="I105" i="106"/>
  <c r="BL73" i="106"/>
  <c r="AA114" i="106"/>
  <c r="AB108" i="106" s="1"/>
  <c r="AM151" i="106"/>
  <c r="M170" i="106"/>
  <c r="BF138" i="106"/>
  <c r="U144" i="106"/>
  <c r="AO101" i="106"/>
  <c r="AJ154" i="107"/>
  <c r="CD148" i="106"/>
  <c r="BA58" i="107"/>
  <c r="BA85" i="106" s="1"/>
  <c r="CD152" i="107"/>
  <c r="X23" i="107"/>
  <c r="Y23" i="107" s="1"/>
  <c r="CD153" i="107"/>
  <c r="BX152" i="107"/>
  <c r="K152" i="107"/>
  <c r="CD139" i="106"/>
  <c r="CD154" i="107"/>
  <c r="BU152" i="107"/>
  <c r="BB66" i="107"/>
  <c r="K154" i="107"/>
  <c r="BE58" i="107"/>
  <c r="BE85" i="106" s="1"/>
  <c r="U114" i="106"/>
  <c r="BB73" i="106"/>
  <c r="O50" i="106"/>
  <c r="O52" i="106" s="1"/>
  <c r="O70" i="106" s="1"/>
  <c r="BB37" i="106"/>
  <c r="BB52" i="106" s="1"/>
  <c r="BG151" i="106"/>
  <c r="AS151" i="106"/>
  <c r="AA151" i="106"/>
  <c r="O114" i="106"/>
  <c r="C114" i="106"/>
  <c r="D108" i="106" s="1"/>
  <c r="AZ101" i="106"/>
  <c r="BB76" i="106"/>
  <c r="M57" i="106"/>
  <c r="AA50" i="106"/>
  <c r="C50" i="106"/>
  <c r="C52" i="106" s="1"/>
  <c r="C70" i="106" s="1"/>
  <c r="V141" i="106"/>
  <c r="BF58" i="106"/>
  <c r="U50" i="106"/>
  <c r="AA159" i="107"/>
  <c r="AA161" i="107" s="1"/>
  <c r="O159" i="107"/>
  <c r="O161" i="107" s="1"/>
  <c r="C159" i="107"/>
  <c r="C161" i="107" s="1"/>
  <c r="W159" i="107"/>
  <c r="K159" i="107"/>
  <c r="BM124" i="106"/>
  <c r="BM148" i="106"/>
  <c r="BM149" i="106" s="1"/>
  <c r="BM139" i="106"/>
  <c r="BT154" i="107"/>
  <c r="AZ154" i="107"/>
  <c r="AG154" i="107"/>
  <c r="BK153" i="107"/>
  <c r="AY153" i="107"/>
  <c r="AJ153" i="107"/>
  <c r="O153" i="107"/>
  <c r="BY152" i="107"/>
  <c r="BE152" i="107"/>
  <c r="U152" i="107"/>
  <c r="AK149" i="107"/>
  <c r="CG144" i="107"/>
  <c r="AD140" i="107"/>
  <c r="Q140" i="107"/>
  <c r="BH52" i="107"/>
  <c r="BI52" i="107" s="1"/>
  <c r="L32" i="107"/>
  <c r="L154" i="106" s="1"/>
  <c r="L154" i="107" s="1"/>
  <c r="BG31" i="107"/>
  <c r="Q31" i="107"/>
  <c r="Q121" i="106" s="1"/>
  <c r="Q122" i="106" s="1"/>
  <c r="BT148" i="106"/>
  <c r="AM148" i="106"/>
  <c r="AG148" i="106"/>
  <c r="AG139" i="106"/>
  <c r="BK124" i="106"/>
  <c r="AQ46" i="106"/>
  <c r="AQ50" i="106" s="1"/>
  <c r="BC57" i="106"/>
  <c r="G57" i="106"/>
  <c r="BK73" i="106"/>
  <c r="AI116" i="107"/>
  <c r="AQ112" i="107"/>
  <c r="BM61" i="107"/>
  <c r="BO61" i="107" s="1"/>
  <c r="BM56" i="107"/>
  <c r="BQ44" i="106" s="1"/>
  <c r="BR44" i="106" s="1"/>
  <c r="BS44" i="106" s="1"/>
  <c r="BT44" i="106" s="1"/>
  <c r="BT112" i="106" s="1"/>
  <c r="BM47" i="107"/>
  <c r="BO47" i="107" s="1"/>
  <c r="BL111" i="106"/>
  <c r="BM45" i="107"/>
  <c r="BM74" i="107" s="1"/>
  <c r="BM37" i="107"/>
  <c r="BO37" i="107" s="1"/>
  <c r="BM36" i="107"/>
  <c r="BO36" i="107" s="1"/>
  <c r="BM34" i="107"/>
  <c r="BM181" i="106" s="1"/>
  <c r="U139" i="106"/>
  <c r="BM52" i="107"/>
  <c r="BO52" i="107" s="1"/>
  <c r="BM51" i="107"/>
  <c r="BO51" i="107" s="1"/>
  <c r="F109" i="107"/>
  <c r="G109" i="107" s="1"/>
  <c r="BM46" i="107"/>
  <c r="BO46" i="107" s="1"/>
  <c r="AI44" i="107"/>
  <c r="AI144" i="107" s="1"/>
  <c r="BM38" i="107"/>
  <c r="BO38" i="107" s="1"/>
  <c r="BG38" i="107"/>
  <c r="BH38" i="107" s="1"/>
  <c r="BM35" i="107"/>
  <c r="BO35" i="107" s="1"/>
  <c r="BO33" i="107"/>
  <c r="BM33" i="107"/>
  <c r="BL40" i="107"/>
  <c r="BM31" i="107"/>
  <c r="BM121" i="106" s="1"/>
  <c r="BM122" i="106" s="1"/>
  <c r="BM16" i="107"/>
  <c r="BO16" i="107" s="1"/>
  <c r="BM15" i="107"/>
  <c r="BO15" i="107" s="1"/>
  <c r="BL50" i="106"/>
  <c r="BL177" i="106"/>
  <c r="BL114" i="106"/>
  <c r="BM108" i="106" s="1"/>
  <c r="BH50" i="106"/>
  <c r="BH177" i="106"/>
  <c r="BH114" i="106"/>
  <c r="BF177" i="106"/>
  <c r="BF50" i="106"/>
  <c r="BF114" i="106"/>
  <c r="BG108" i="106" s="1"/>
  <c r="BA184" i="106"/>
  <c r="BA183" i="106"/>
  <c r="AY50" i="106"/>
  <c r="AY177" i="106"/>
  <c r="AY114" i="106"/>
  <c r="AY115" i="106" s="1"/>
  <c r="AW37" i="106"/>
  <c r="AW172" i="106"/>
  <c r="BI57" i="106"/>
  <c r="BI170" i="106"/>
  <c r="BF37" i="106"/>
  <c r="BF74" i="106"/>
  <c r="AZ37" i="106"/>
  <c r="AZ73" i="106"/>
  <c r="AZ74" i="106"/>
  <c r="BL144" i="106"/>
  <c r="BG22" i="106"/>
  <c r="BG76" i="106"/>
  <c r="BE22" i="106"/>
  <c r="BE73" i="106"/>
  <c r="BE76" i="106"/>
  <c r="AY22" i="106"/>
  <c r="AY76" i="106"/>
  <c r="AM115" i="106"/>
  <c r="AV108" i="106"/>
  <c r="AU115" i="106"/>
  <c r="AT97" i="106"/>
  <c r="AT105" i="106"/>
  <c r="AP97" i="106"/>
  <c r="AP105" i="106"/>
  <c r="F97" i="106"/>
  <c r="F105" i="106"/>
  <c r="BF76" i="106"/>
  <c r="BF75" i="106"/>
  <c r="BB75" i="106"/>
  <c r="AZ75" i="106"/>
  <c r="BF73" i="106"/>
  <c r="BK58" i="106"/>
  <c r="BK59" i="106" s="1"/>
  <c r="BG58" i="106"/>
  <c r="BE58" i="106"/>
  <c r="BE59" i="106" s="1"/>
  <c r="AV50" i="106"/>
  <c r="AV52" i="106" s="1"/>
  <c r="AV70" i="106" s="1"/>
  <c r="AV177" i="106"/>
  <c r="AV114" i="106"/>
  <c r="AV115" i="106" s="1"/>
  <c r="AT50" i="106"/>
  <c r="AT52" i="106" s="1"/>
  <c r="AT177" i="106"/>
  <c r="AT114" i="106"/>
  <c r="AT115" i="106" s="1"/>
  <c r="AJ50" i="106"/>
  <c r="AJ52" i="106" s="1"/>
  <c r="AJ70" i="106" s="1"/>
  <c r="AJ177" i="106"/>
  <c r="AJ114" i="106"/>
  <c r="AJ115" i="106" s="1"/>
  <c r="AH50" i="106"/>
  <c r="AH52" i="106" s="1"/>
  <c r="AH177" i="106"/>
  <c r="AD50" i="106"/>
  <c r="AD177" i="106"/>
  <c r="AB50" i="106"/>
  <c r="AB52" i="106" s="1"/>
  <c r="AB177" i="106"/>
  <c r="AB114" i="106"/>
  <c r="AC108" i="106" s="1"/>
  <c r="AC113" i="106" s="1"/>
  <c r="X50" i="106"/>
  <c r="X52" i="106" s="1"/>
  <c r="X70" i="106" s="1"/>
  <c r="X177" i="106"/>
  <c r="X114" i="106"/>
  <c r="X115" i="106" s="1"/>
  <c r="V50" i="106"/>
  <c r="V177" i="106"/>
  <c r="R50" i="106"/>
  <c r="R177" i="106"/>
  <c r="P50" i="106"/>
  <c r="P52" i="106" s="1"/>
  <c r="P70" i="106" s="1"/>
  <c r="P177" i="106"/>
  <c r="L50" i="106"/>
  <c r="L52" i="106" s="1"/>
  <c r="L70" i="106" s="1"/>
  <c r="L177" i="106"/>
  <c r="L114" i="106"/>
  <c r="L115" i="106" s="1"/>
  <c r="F50" i="106"/>
  <c r="F177" i="106"/>
  <c r="D177" i="106"/>
  <c r="D50" i="106"/>
  <c r="D52" i="106" s="1"/>
  <c r="D70" i="106" s="1"/>
  <c r="D114" i="106"/>
  <c r="D115" i="106" s="1"/>
  <c r="AQ114" i="106"/>
  <c r="AW108" i="106" s="1"/>
  <c r="AW46" i="106"/>
  <c r="AW177" i="106" s="1"/>
  <c r="BE40" i="106"/>
  <c r="BC176" i="106"/>
  <c r="AU147" i="106"/>
  <c r="AT151" i="106"/>
  <c r="V147" i="106"/>
  <c r="U151" i="106"/>
  <c r="AN138" i="106"/>
  <c r="AM144" i="106"/>
  <c r="J138" i="106"/>
  <c r="J141" i="106" s="1"/>
  <c r="I144" i="106"/>
  <c r="F138" i="106"/>
  <c r="E144" i="106"/>
  <c r="BC91" i="106"/>
  <c r="BH58" i="106"/>
  <c r="BH59" i="106" s="1"/>
  <c r="BK183" i="106"/>
  <c r="BK184" i="106"/>
  <c r="BG50" i="106"/>
  <c r="BG177" i="106"/>
  <c r="BB50" i="106"/>
  <c r="BB177" i="106"/>
  <c r="AZ50" i="106"/>
  <c r="AZ52" i="106" s="1"/>
  <c r="AZ177" i="106"/>
  <c r="AU50" i="106"/>
  <c r="AU52" i="106" s="1"/>
  <c r="AU177" i="106"/>
  <c r="AS50" i="106"/>
  <c r="AS52" i="106" s="1"/>
  <c r="AS70" i="106" s="1"/>
  <c r="AS177" i="106"/>
  <c r="AO50" i="106"/>
  <c r="AO177" i="106"/>
  <c r="AM50" i="106"/>
  <c r="AM52" i="106" s="1"/>
  <c r="AM70" i="106" s="1"/>
  <c r="AM177" i="106"/>
  <c r="AI50" i="106"/>
  <c r="AI52" i="106" s="1"/>
  <c r="AI70" i="106" s="1"/>
  <c r="AI177" i="106"/>
  <c r="AG50" i="106"/>
  <c r="AG52" i="106" s="1"/>
  <c r="AG70" i="106" s="1"/>
  <c r="AG177" i="106"/>
  <c r="AC50" i="106"/>
  <c r="AC177" i="106"/>
  <c r="W50" i="106"/>
  <c r="W52" i="106" s="1"/>
  <c r="W177" i="106"/>
  <c r="K50" i="106"/>
  <c r="K52" i="106" s="1"/>
  <c r="K70" i="106" s="1"/>
  <c r="K177" i="106"/>
  <c r="I50" i="106"/>
  <c r="I52" i="106" s="1"/>
  <c r="I177" i="106"/>
  <c r="E114" i="106"/>
  <c r="E177" i="106"/>
  <c r="BC170" i="106"/>
  <c r="AQ57" i="106"/>
  <c r="AQ170" i="106"/>
  <c r="AE170" i="106"/>
  <c r="S170" i="106"/>
  <c r="G170" i="106"/>
  <c r="BA141" i="106"/>
  <c r="BM175" i="106"/>
  <c r="BM172" i="106"/>
  <c r="AB159" i="107"/>
  <c r="D159" i="107"/>
  <c r="BA154" i="107"/>
  <c r="I154" i="107"/>
  <c r="I152" i="107"/>
  <c r="BA153" i="107"/>
  <c r="I153" i="107"/>
  <c r="CA154" i="107"/>
  <c r="BR152" i="107"/>
  <c r="BQ112" i="106"/>
  <c r="BR148" i="106"/>
  <c r="AB152" i="107"/>
  <c r="I124" i="106"/>
  <c r="I126" i="106" s="1"/>
  <c r="I148" i="106"/>
  <c r="CA152" i="107"/>
  <c r="AA152" i="107"/>
  <c r="BU153" i="107"/>
  <c r="AM153" i="107"/>
  <c r="BQ152" i="107"/>
  <c r="CG142" i="106"/>
  <c r="BS154" i="107"/>
  <c r="AB154" i="107"/>
  <c r="BM153" i="107"/>
  <c r="AI153" i="107"/>
  <c r="BZ152" i="107"/>
  <c r="AK112" i="107"/>
  <c r="W116" i="107"/>
  <c r="G108" i="107"/>
  <c r="G114" i="107" s="1"/>
  <c r="J116" i="107"/>
  <c r="P116" i="107"/>
  <c r="D110" i="107"/>
  <c r="E106" i="107" s="1"/>
  <c r="E114" i="107" s="1"/>
  <c r="BQ143" i="107"/>
  <c r="AZ86" i="106"/>
  <c r="AZ66" i="107"/>
  <c r="P160" i="107"/>
  <c r="CF153" i="107"/>
  <c r="BZ154" i="107"/>
  <c r="AM152" i="107"/>
  <c r="AB140" i="107"/>
  <c r="AB116" i="107"/>
  <c r="AH160" i="107"/>
  <c r="BY154" i="107"/>
  <c r="AS154" i="107"/>
  <c r="U154" i="107"/>
  <c r="CC153" i="107"/>
  <c r="BS153" i="107"/>
  <c r="AZ153" i="107"/>
  <c r="AC153" i="107"/>
  <c r="CF152" i="107"/>
  <c r="BW152" i="107"/>
  <c r="BK152" i="107"/>
  <c r="L152" i="107"/>
  <c r="O58" i="107"/>
  <c r="O85" i="106" s="1"/>
  <c r="E107" i="107"/>
  <c r="F107" i="107" s="1"/>
  <c r="G107" i="107" s="1"/>
  <c r="BI50" i="107"/>
  <c r="BE86" i="106"/>
  <c r="BR112" i="106"/>
  <c r="BA148" i="106"/>
  <c r="BA149" i="106" s="1"/>
  <c r="U148" i="106"/>
  <c r="BK139" i="106"/>
  <c r="BA139" i="106"/>
  <c r="BA142" i="106" s="1"/>
  <c r="AA139" i="106"/>
  <c r="BL121" i="106"/>
  <c r="BL122" i="106" s="1"/>
  <c r="BW153" i="107"/>
  <c r="AK20" i="107"/>
  <c r="BR154" i="107"/>
  <c r="AS148" i="106"/>
  <c r="BM152" i="107"/>
  <c r="D115" i="107"/>
  <c r="AM154" i="107"/>
  <c r="AZ58" i="107"/>
  <c r="AZ85" i="106" s="1"/>
  <c r="BZ153" i="107"/>
  <c r="BQ153" i="107"/>
  <c r="AA153" i="107"/>
  <c r="AT144" i="107"/>
  <c r="CD143" i="107"/>
  <c r="U66" i="107"/>
  <c r="L108" i="107"/>
  <c r="M108" i="107" s="1"/>
  <c r="AI148" i="106"/>
  <c r="AI149" i="106" s="1"/>
  <c r="AC148" i="106"/>
  <c r="AC149" i="106" s="1"/>
  <c r="AM139" i="106"/>
  <c r="CC154" i="107"/>
  <c r="AC154" i="107"/>
  <c r="BG121" i="106"/>
  <c r="AS152" i="107"/>
  <c r="O124" i="106"/>
  <c r="O126" i="106" s="1"/>
  <c r="AA154" i="107"/>
  <c r="O152" i="107"/>
  <c r="AV93" i="107"/>
  <c r="BM154" i="107"/>
  <c r="AV88" i="107"/>
  <c r="AC29" i="107"/>
  <c r="AT160" i="107"/>
  <c r="D160" i="107"/>
  <c r="AI154" i="107"/>
  <c r="U153" i="107"/>
  <c r="CC152" i="107"/>
  <c r="BS152" i="107"/>
  <c r="AC152" i="107"/>
  <c r="V144" i="107"/>
  <c r="BW148" i="107"/>
  <c r="BW143" i="107" s="1"/>
  <c r="O66" i="107"/>
  <c r="O87" i="106" s="1"/>
  <c r="AC28" i="107"/>
  <c r="AC86" i="106" s="1"/>
  <c r="K11" i="107"/>
  <c r="K129" i="106" s="1"/>
  <c r="BM112" i="106"/>
  <c r="AT108" i="106"/>
  <c r="BH99" i="106"/>
  <c r="AK103" i="106"/>
  <c r="AK97" i="106" s="1"/>
  <c r="AP14" i="107"/>
  <c r="AP160" i="107" s="1"/>
  <c r="AO160" i="107"/>
  <c r="F56" i="107"/>
  <c r="G56" i="107" s="1"/>
  <c r="BC54" i="107"/>
  <c r="AY58" i="107"/>
  <c r="AY85" i="106" s="1"/>
  <c r="BH37" i="107"/>
  <c r="BI37" i="107" s="1"/>
  <c r="AW34" i="107"/>
  <c r="AK24" i="107"/>
  <c r="AU12" i="107"/>
  <c r="AU140" i="106" s="1"/>
  <c r="CG154" i="106"/>
  <c r="CG154" i="107" s="1"/>
  <c r="AT129" i="106"/>
  <c r="V129" i="106"/>
  <c r="J154" i="106"/>
  <c r="J124" i="106" s="1"/>
  <c r="AI124" i="106"/>
  <c r="AC124" i="106"/>
  <c r="AA124" i="106"/>
  <c r="AA126" i="106" s="1"/>
  <c r="BL148" i="107"/>
  <c r="BM148" i="107" s="1"/>
  <c r="AH116" i="107"/>
  <c r="AQ49" i="107"/>
  <c r="P19" i="107"/>
  <c r="P28" i="107" s="1"/>
  <c r="BL129" i="106"/>
  <c r="BL16" i="3"/>
  <c r="BF129" i="106"/>
  <c r="BF16" i="3"/>
  <c r="D129" i="106"/>
  <c r="J121" i="106"/>
  <c r="J122" i="106" s="1"/>
  <c r="BC140" i="106"/>
  <c r="M112" i="106"/>
  <c r="AE109" i="106"/>
  <c r="S109" i="106"/>
  <c r="M46" i="106"/>
  <c r="M177" i="106" s="1"/>
  <c r="AO52" i="106"/>
  <c r="AO70" i="106" s="1"/>
  <c r="Y57" i="106"/>
  <c r="BQ28" i="106"/>
  <c r="S120" i="106"/>
  <c r="G103" i="106"/>
  <c r="G105" i="106" s="1"/>
  <c r="S46" i="106"/>
  <c r="S50" i="106" s="1"/>
  <c r="AP52" i="106"/>
  <c r="AP70" i="106" s="1"/>
  <c r="AE57" i="106"/>
  <c r="AK31" i="106"/>
  <c r="AC159" i="107"/>
  <c r="AC161" i="107" s="1"/>
  <c r="U159" i="107"/>
  <c r="U161" i="107" s="1"/>
  <c r="Q159" i="107"/>
  <c r="Q161" i="107" s="1"/>
  <c r="E159" i="107"/>
  <c r="E161" i="107" s="1"/>
  <c r="AD159" i="107"/>
  <c r="AD161" i="107" s="1"/>
  <c r="V159" i="107"/>
  <c r="V161" i="107" s="1"/>
  <c r="R159" i="107"/>
  <c r="J159" i="107"/>
  <c r="J161" i="107" s="1"/>
  <c r="F159" i="107"/>
  <c r="I159" i="107"/>
  <c r="I161" i="107" s="1"/>
  <c r="P159" i="107"/>
  <c r="X159" i="107"/>
  <c r="L159" i="107"/>
  <c r="BQ93" i="106"/>
  <c r="BR93" i="106" s="1"/>
  <c r="BS122" i="106"/>
  <c r="BT122" i="106" s="1"/>
  <c r="AB89" i="107"/>
  <c r="AC89" i="107" s="1"/>
  <c r="AD89" i="107" s="1"/>
  <c r="AV44" i="107"/>
  <c r="AV144" i="107" s="1"/>
  <c r="AU144" i="107"/>
  <c r="K36" i="107"/>
  <c r="L36" i="107" s="1"/>
  <c r="AP108" i="106"/>
  <c r="AO115" i="106"/>
  <c r="AS66" i="107"/>
  <c r="Q111" i="106"/>
  <c r="AE34" i="107"/>
  <c r="P154" i="106"/>
  <c r="P139" i="106" s="1"/>
  <c r="Q32" i="107"/>
  <c r="W31" i="107"/>
  <c r="V121" i="106"/>
  <c r="V122" i="106" s="1"/>
  <c r="CE139" i="106"/>
  <c r="CE148" i="106"/>
  <c r="CE124" i="106"/>
  <c r="AI160" i="107"/>
  <c r="AT116" i="107"/>
  <c r="BF74" i="107"/>
  <c r="BI56" i="107"/>
  <c r="AA58" i="107"/>
  <c r="AA85" i="106" s="1"/>
  <c r="W109" i="107"/>
  <c r="X109" i="107" s="1"/>
  <c r="Y109" i="107" s="1"/>
  <c r="E110" i="107"/>
  <c r="F106" i="107" s="1"/>
  <c r="F114" i="107" s="1"/>
  <c r="AU107" i="107"/>
  <c r="R45" i="107"/>
  <c r="R111" i="106" s="1"/>
  <c r="P111" i="106"/>
  <c r="BG44" i="107"/>
  <c r="BG144" i="107" s="1"/>
  <c r="BB154" i="106"/>
  <c r="BC32" i="107"/>
  <c r="BC154" i="106" s="1"/>
  <c r="L139" i="106"/>
  <c r="L148" i="106"/>
  <c r="L124" i="106"/>
  <c r="BF121" i="106"/>
  <c r="AB140" i="106"/>
  <c r="AD12" i="107"/>
  <c r="AD140" i="106" s="1"/>
  <c r="AU9" i="107"/>
  <c r="AV9" i="107" s="1"/>
  <c r="BL138" i="106"/>
  <c r="BK144" i="106"/>
  <c r="CE153" i="107"/>
  <c r="AN140" i="107"/>
  <c r="AI75" i="107"/>
  <c r="AN75" i="107"/>
  <c r="J75" i="107"/>
  <c r="I67" i="107"/>
  <c r="AA66" i="107"/>
  <c r="L107" i="107"/>
  <c r="W50" i="107"/>
  <c r="W140" i="107" s="1"/>
  <c r="E43" i="107"/>
  <c r="F43" i="107" s="1"/>
  <c r="G43" i="107" s="1"/>
  <c r="D54" i="107"/>
  <c r="AD36" i="107"/>
  <c r="AE36" i="107" s="1"/>
  <c r="AT148" i="106"/>
  <c r="AT149" i="106" s="1"/>
  <c r="AT139" i="106"/>
  <c r="AT124" i="106"/>
  <c r="AW26" i="107"/>
  <c r="R21" i="107"/>
  <c r="S21" i="107" s="1"/>
  <c r="AE11" i="107"/>
  <c r="AD129" i="106"/>
  <c r="AB129" i="106"/>
  <c r="C130" i="106"/>
  <c r="AY101" i="106"/>
  <c r="AY67" i="107"/>
  <c r="V111" i="106"/>
  <c r="W45" i="107"/>
  <c r="W111" i="106" s="1"/>
  <c r="BO146" i="107"/>
  <c r="R43" i="107"/>
  <c r="S43" i="107" s="1"/>
  <c r="AO11" i="107"/>
  <c r="AO16" i="3" s="1"/>
  <c r="AN129" i="106"/>
  <c r="BC111" i="107"/>
  <c r="BC112" i="107" s="1"/>
  <c r="AG115" i="106"/>
  <c r="AH108" i="106"/>
  <c r="CE154" i="107"/>
  <c r="BQ149" i="107"/>
  <c r="BF144" i="107"/>
  <c r="BH144" i="107" s="1"/>
  <c r="BH143" i="107" s="1"/>
  <c r="BI143" i="107" s="1"/>
  <c r="AE112" i="107"/>
  <c r="AW112" i="107"/>
  <c r="BB67" i="107"/>
  <c r="BB87" i="106"/>
  <c r="O67" i="107"/>
  <c r="R108" i="107"/>
  <c r="S108" i="107" s="1"/>
  <c r="E49" i="107"/>
  <c r="F49" i="107" s="1"/>
  <c r="AK48" i="107"/>
  <c r="AI45" i="107"/>
  <c r="AH111" i="106"/>
  <c r="X44" i="107"/>
  <c r="X144" i="107" s="1"/>
  <c r="W36" i="107"/>
  <c r="X36" i="107" s="1"/>
  <c r="D34" i="107"/>
  <c r="E34" i="107" s="1"/>
  <c r="F34" i="107" s="1"/>
  <c r="AK32" i="107"/>
  <c r="AK154" i="106" s="1"/>
  <c r="AH154" i="106"/>
  <c r="E31" i="107"/>
  <c r="E121" i="106" s="1"/>
  <c r="E122" i="106" s="1"/>
  <c r="D121" i="106"/>
  <c r="D122" i="106" s="1"/>
  <c r="AO23" i="107"/>
  <c r="AP23" i="107" s="1"/>
  <c r="BG129" i="106"/>
  <c r="BH11" i="107"/>
  <c r="C122" i="106"/>
  <c r="V97" i="106"/>
  <c r="V99" i="106"/>
  <c r="V101" i="106"/>
  <c r="V105" i="106"/>
  <c r="G115" i="107"/>
  <c r="AH54" i="107"/>
  <c r="AO140" i="107"/>
  <c r="AO116" i="107"/>
  <c r="J111" i="106"/>
  <c r="K45" i="107"/>
  <c r="K111" i="106" s="1"/>
  <c r="AO15" i="107"/>
  <c r="AP15" i="107" s="1"/>
  <c r="L153" i="107"/>
  <c r="BC144" i="107"/>
  <c r="D114" i="107"/>
  <c r="AY75" i="107"/>
  <c r="BA67" i="107"/>
  <c r="BA87" i="106"/>
  <c r="BH49" i="107"/>
  <c r="BI49" i="107" s="1"/>
  <c r="AB111" i="106"/>
  <c r="AD45" i="107"/>
  <c r="AD111" i="106" s="1"/>
  <c r="D111" i="106"/>
  <c r="E45" i="107"/>
  <c r="E111" i="106" s="1"/>
  <c r="V40" i="107"/>
  <c r="AV21" i="107"/>
  <c r="AW21" i="107" s="1"/>
  <c r="P129" i="106"/>
  <c r="R11" i="107"/>
  <c r="AK9" i="107"/>
  <c r="BF97" i="106"/>
  <c r="BF99" i="106"/>
  <c r="BF105" i="106"/>
  <c r="BF101" i="106"/>
  <c r="AY105" i="106"/>
  <c r="AY99" i="106"/>
  <c r="AI97" i="106"/>
  <c r="AI105" i="106"/>
  <c r="AB105" i="106"/>
  <c r="AB99" i="106"/>
  <c r="AI12" i="107"/>
  <c r="AI140" i="106" s="1"/>
  <c r="AI141" i="106" s="1"/>
  <c r="AH140" i="106"/>
  <c r="AH141" i="106" s="1"/>
  <c r="AP75" i="107"/>
  <c r="Y51" i="107"/>
  <c r="AD44" i="107"/>
  <c r="AD144" i="107" s="1"/>
  <c r="AQ35" i="107"/>
  <c r="K34" i="107"/>
  <c r="L34" i="107" s="1"/>
  <c r="AN154" i="106"/>
  <c r="AO32" i="107"/>
  <c r="F32" i="107"/>
  <c r="F154" i="106" s="1"/>
  <c r="E154" i="106"/>
  <c r="AB160" i="107"/>
  <c r="AW149" i="107"/>
  <c r="AM75" i="107"/>
  <c r="BE67" i="107"/>
  <c r="AZ67" i="107"/>
  <c r="AZ87" i="106"/>
  <c r="F51" i="107"/>
  <c r="G51" i="107" s="1"/>
  <c r="BG45" i="107"/>
  <c r="BH45" i="107" s="1"/>
  <c r="BH111" i="106" s="1"/>
  <c r="V154" i="106"/>
  <c r="W32" i="107"/>
  <c r="W154" i="106" s="1"/>
  <c r="BG25" i="107"/>
  <c r="BH25" i="107" s="1"/>
  <c r="BI25" i="107" s="1"/>
  <c r="K25" i="107"/>
  <c r="L25" i="107" s="1"/>
  <c r="M25" i="107" s="1"/>
  <c r="BI109" i="106"/>
  <c r="U75" i="107"/>
  <c r="AS58" i="107"/>
  <c r="AS85" i="106" s="1"/>
  <c r="U58" i="107"/>
  <c r="U85" i="106" s="1"/>
  <c r="BC31" i="107"/>
  <c r="BB121" i="106"/>
  <c r="BB122" i="106" s="1"/>
  <c r="AW25" i="107"/>
  <c r="X24" i="107"/>
  <c r="Y24" i="107" s="1"/>
  <c r="AS140" i="106"/>
  <c r="P140" i="106"/>
  <c r="Q12" i="107"/>
  <c r="Q140" i="106" s="1"/>
  <c r="Q141" i="106" s="1"/>
  <c r="R9" i="107"/>
  <c r="S9" i="107" s="1"/>
  <c r="BO32" i="107"/>
  <c r="BL154" i="106"/>
  <c r="BL148" i="106" s="1"/>
  <c r="AD32" i="107"/>
  <c r="K148" i="106"/>
  <c r="K149" i="106" s="1"/>
  <c r="K139" i="106"/>
  <c r="K124" i="106"/>
  <c r="L31" i="107"/>
  <c r="L121" i="106" s="1"/>
  <c r="L122" i="106" s="1"/>
  <c r="BH21" i="107"/>
  <c r="BI21" i="107" s="1"/>
  <c r="Q20" i="107"/>
  <c r="R20" i="107" s="1"/>
  <c r="AV14" i="107"/>
  <c r="AV160" i="107" s="1"/>
  <c r="X13" i="107"/>
  <c r="Y13" i="107" s="1"/>
  <c r="E12" i="107"/>
  <c r="D140" i="106"/>
  <c r="D141" i="106" s="1"/>
  <c r="M9" i="107"/>
  <c r="AH129" i="106"/>
  <c r="BE101" i="106"/>
  <c r="BE99" i="106"/>
  <c r="D97" i="106"/>
  <c r="D105" i="106"/>
  <c r="D101" i="106"/>
  <c r="Q50" i="106"/>
  <c r="Q114" i="106"/>
  <c r="E115" i="106"/>
  <c r="F108" i="106"/>
  <c r="BO34" i="106"/>
  <c r="BO13" i="107"/>
  <c r="AB148" i="106"/>
  <c r="AB149" i="106" s="1"/>
  <c r="AB124" i="106"/>
  <c r="AB139" i="106"/>
  <c r="AD31" i="107"/>
  <c r="AG28" i="107"/>
  <c r="AE21" i="107"/>
  <c r="BH15" i="107"/>
  <c r="BI15" i="107" s="1"/>
  <c r="BE140" i="106"/>
  <c r="BF12" i="107"/>
  <c r="BF140" i="106" s="1"/>
  <c r="AJ11" i="107"/>
  <c r="AJ129" i="106" s="1"/>
  <c r="AI129" i="106"/>
  <c r="BK50" i="106"/>
  <c r="BK114" i="106"/>
  <c r="BL108" i="106" s="1"/>
  <c r="AN50" i="106"/>
  <c r="AN52" i="106" s="1"/>
  <c r="AN114" i="106"/>
  <c r="AN113" i="106" s="1"/>
  <c r="BG32" i="107"/>
  <c r="BG154" i="106" s="1"/>
  <c r="BG124" i="106" s="1"/>
  <c r="BF154" i="106"/>
  <c r="D154" i="106"/>
  <c r="I58" i="107"/>
  <c r="I85" i="106" s="1"/>
  <c r="I86" i="106"/>
  <c r="AV16" i="107"/>
  <c r="AW16" i="107" s="1"/>
  <c r="BH33" i="107"/>
  <c r="BI33" i="107" s="1"/>
  <c r="AO31" i="107"/>
  <c r="AO121" i="106" s="1"/>
  <c r="AO122" i="106" s="1"/>
  <c r="AN121" i="106"/>
  <c r="BO25" i="107"/>
  <c r="F15" i="107"/>
  <c r="BL12" i="107"/>
  <c r="X11" i="107"/>
  <c r="X129" i="106" s="1"/>
  <c r="G9" i="107"/>
  <c r="C115" i="106"/>
  <c r="BI112" i="106"/>
  <c r="AD101" i="106"/>
  <c r="R97" i="106"/>
  <c r="R99" i="106"/>
  <c r="J97" i="106"/>
  <c r="J99" i="106"/>
  <c r="J101" i="106"/>
  <c r="BX148" i="106"/>
  <c r="BX139" i="106"/>
  <c r="BX124" i="106"/>
  <c r="AW15" i="107"/>
  <c r="AN12" i="107"/>
  <c r="Y9" i="107"/>
  <c r="Y112" i="106"/>
  <c r="Y109" i="106"/>
  <c r="Q97" i="106"/>
  <c r="Q99" i="106"/>
  <c r="Q101" i="106"/>
  <c r="CF124" i="106"/>
  <c r="CF148" i="106"/>
  <c r="CF139" i="106"/>
  <c r="BQ148" i="106"/>
  <c r="BQ139" i="106"/>
  <c r="BQ124" i="106"/>
  <c r="BI15" i="106"/>
  <c r="AW109" i="106"/>
  <c r="M109" i="106"/>
  <c r="BH97" i="106"/>
  <c r="BH105" i="106"/>
  <c r="CC148" i="106"/>
  <c r="CC139" i="106"/>
  <c r="U130" i="106"/>
  <c r="I130" i="106"/>
  <c r="BF115" i="106"/>
  <c r="AQ112" i="106"/>
  <c r="W108" i="106"/>
  <c r="AT101" i="106"/>
  <c r="BK97" i="106"/>
  <c r="BK101" i="106"/>
  <c r="AH97" i="106"/>
  <c r="AH101" i="106"/>
  <c r="AQ103" i="106"/>
  <c r="AQ97" i="106" s="1"/>
  <c r="AT99" i="106"/>
  <c r="BB97" i="106"/>
  <c r="BB105" i="106"/>
  <c r="AU105" i="106"/>
  <c r="AU97" i="106"/>
  <c r="AO105" i="106"/>
  <c r="AO99" i="106"/>
  <c r="BC109" i="106"/>
  <c r="BA99" i="106"/>
  <c r="BA97" i="106"/>
  <c r="BA101" i="106"/>
  <c r="AQ109" i="106"/>
  <c r="AP101" i="106"/>
  <c r="AW20" i="106"/>
  <c r="BL37" i="106"/>
  <c r="BL52" i="106" s="1"/>
  <c r="BL75" i="106"/>
  <c r="Q52" i="106"/>
  <c r="Q70" i="106" s="1"/>
  <c r="E52" i="106"/>
  <c r="E70" i="106" s="1"/>
  <c r="AZ139" i="106"/>
  <c r="AZ148" i="106"/>
  <c r="AZ149" i="106" s="1"/>
  <c r="AZ124" i="106"/>
  <c r="BC124" i="106" s="1"/>
  <c r="BL22" i="106"/>
  <c r="BL76" i="106"/>
  <c r="BA73" i="106"/>
  <c r="BA76" i="106"/>
  <c r="BB59" i="106"/>
  <c r="AA52" i="106"/>
  <c r="AA70" i="106" s="1"/>
  <c r="BK37" i="106"/>
  <c r="BK74" i="106"/>
  <c r="AY37" i="106"/>
  <c r="AY52" i="106" s="1"/>
  <c r="AY74" i="106"/>
  <c r="AY75" i="106"/>
  <c r="L147" i="106"/>
  <c r="BK22" i="106"/>
  <c r="BK76" i="106"/>
  <c r="AZ22" i="106"/>
  <c r="AZ76" i="106"/>
  <c r="BK75" i="106"/>
  <c r="AY73" i="106"/>
  <c r="AE46" i="106"/>
  <c r="AE50" i="106" s="1"/>
  <c r="BH37" i="106"/>
  <c r="BH74" i="106"/>
  <c r="BH75" i="106"/>
  <c r="BH73" i="106"/>
  <c r="BS123" i="106"/>
  <c r="BY123" i="106" s="1"/>
  <c r="CE123" i="106" s="1"/>
  <c r="AY139" i="106"/>
  <c r="AY148" i="106"/>
  <c r="W138" i="106"/>
  <c r="C142" i="106"/>
  <c r="BZ124" i="106"/>
  <c r="BZ139" i="106"/>
  <c r="BI31" i="106"/>
  <c r="BI74" i="106" s="1"/>
  <c r="M31" i="106"/>
  <c r="M37" i="106" s="1"/>
  <c r="BN40" i="106"/>
  <c r="BQ40" i="106" s="1"/>
  <c r="BQ176" i="106" s="1"/>
  <c r="AD37" i="106"/>
  <c r="AD52" i="106" s="1"/>
  <c r="AK57" i="106"/>
  <c r="AT70" i="106"/>
  <c r="S57" i="106"/>
  <c r="Y31" i="106"/>
  <c r="CA142" i="106"/>
  <c r="AA130" i="106"/>
  <c r="G109" i="106"/>
  <c r="BG101" i="106"/>
  <c r="BG99" i="106"/>
  <c r="BG105" i="106"/>
  <c r="BG97" i="106"/>
  <c r="X108" i="106"/>
  <c r="W115" i="106"/>
  <c r="E108" i="106"/>
  <c r="AG97" i="106"/>
  <c r="AG105" i="106"/>
  <c r="AW103" i="106"/>
  <c r="AW105" i="106" s="1"/>
  <c r="O130" i="106"/>
  <c r="C97" i="106"/>
  <c r="C105" i="106"/>
  <c r="S103" i="106"/>
  <c r="S105" i="106" s="1"/>
  <c r="BC112" i="106"/>
  <c r="AE112" i="106"/>
  <c r="G112" i="106"/>
  <c r="BH108" i="106"/>
  <c r="BG115" i="106"/>
  <c r="AD108" i="106"/>
  <c r="AC115" i="106"/>
  <c r="BC103" i="106"/>
  <c r="BC101" i="106" s="1"/>
  <c r="BC58" i="106"/>
  <c r="BI103" i="106"/>
  <c r="BI99" i="106" s="1"/>
  <c r="O99" i="106"/>
  <c r="O97" i="106"/>
  <c r="O101" i="106"/>
  <c r="Q108" i="106"/>
  <c r="P115" i="106"/>
  <c r="C99" i="106"/>
  <c r="AM101" i="106"/>
  <c r="AM97" i="106"/>
  <c r="AM99" i="106"/>
  <c r="AM105" i="106"/>
  <c r="L97" i="106"/>
  <c r="L99" i="106"/>
  <c r="L101" i="106"/>
  <c r="L105" i="106"/>
  <c r="AJ108" i="106"/>
  <c r="AI115" i="106"/>
  <c r="K115" i="106"/>
  <c r="L108" i="106"/>
  <c r="X99" i="106"/>
  <c r="X97" i="106"/>
  <c r="X101" i="106"/>
  <c r="X105" i="106"/>
  <c r="BH115" i="106"/>
  <c r="I115" i="106"/>
  <c r="J108" i="106"/>
  <c r="AJ97" i="106"/>
  <c r="AJ105" i="106"/>
  <c r="AJ99" i="106"/>
  <c r="AJ101" i="106"/>
  <c r="AK109" i="106"/>
  <c r="C126" i="106"/>
  <c r="AZ115" i="106"/>
  <c r="AH115" i="106"/>
  <c r="BA105" i="106"/>
  <c r="AV101" i="106"/>
  <c r="AV97" i="106"/>
  <c r="AV99" i="106"/>
  <c r="AQ99" i="106"/>
  <c r="AE103" i="106"/>
  <c r="AE97" i="106" s="1"/>
  <c r="M103" i="106"/>
  <c r="M101" i="106" s="1"/>
  <c r="AY70" i="106"/>
  <c r="BI58" i="106"/>
  <c r="AW112" i="106"/>
  <c r="BE97" i="106"/>
  <c r="AZ97" i="106"/>
  <c r="AZ105" i="106"/>
  <c r="AI99" i="106"/>
  <c r="AI101" i="106"/>
  <c r="AC101" i="106"/>
  <c r="AC105" i="106"/>
  <c r="K101" i="106"/>
  <c r="K99" i="106"/>
  <c r="K105" i="106"/>
  <c r="E99" i="106"/>
  <c r="E105" i="106"/>
  <c r="BA50" i="106"/>
  <c r="BA114" i="106"/>
  <c r="V52" i="106"/>
  <c r="J147" i="106"/>
  <c r="BL99" i="106"/>
  <c r="BL97" i="106"/>
  <c r="BL101" i="106"/>
  <c r="AK112" i="106"/>
  <c r="BK99" i="106"/>
  <c r="BK105" i="106"/>
  <c r="AN101" i="106"/>
  <c r="AN97" i="106"/>
  <c r="AN99" i="106"/>
  <c r="AN105" i="106"/>
  <c r="AB97" i="106"/>
  <c r="AB101" i="106"/>
  <c r="BF59" i="106"/>
  <c r="AO147" i="106"/>
  <c r="AT138" i="106"/>
  <c r="AT141" i="106" s="1"/>
  <c r="S112" i="106"/>
  <c r="P108" i="106"/>
  <c r="O115" i="106"/>
  <c r="U126" i="106"/>
  <c r="BE105" i="106"/>
  <c r="AS99" i="106"/>
  <c r="AS101" i="106"/>
  <c r="P99" i="106"/>
  <c r="P97" i="106"/>
  <c r="P101" i="106"/>
  <c r="Y103" i="106"/>
  <c r="Y105" i="106" s="1"/>
  <c r="U101" i="106"/>
  <c r="U99" i="106"/>
  <c r="U105" i="106"/>
  <c r="BW44" i="106"/>
  <c r="BO41" i="106"/>
  <c r="BQ41" i="106"/>
  <c r="U37" i="106"/>
  <c r="U52" i="106" s="1"/>
  <c r="J50" i="106"/>
  <c r="J114" i="106"/>
  <c r="BL58" i="106"/>
  <c r="BA59" i="106"/>
  <c r="BG37" i="106"/>
  <c r="BG74" i="106"/>
  <c r="BG75" i="106"/>
  <c r="BG73" i="106"/>
  <c r="BG59" i="106"/>
  <c r="F52" i="106"/>
  <c r="AD105" i="106"/>
  <c r="BB101" i="106"/>
  <c r="F101" i="106"/>
  <c r="AD99" i="106"/>
  <c r="Y46" i="106"/>
  <c r="Y177" i="106" s="1"/>
  <c r="Y37" i="106"/>
  <c r="BG147" i="106"/>
  <c r="BH138" i="106"/>
  <c r="BC46" i="106"/>
  <c r="BC177" i="106" s="1"/>
  <c r="X138" i="106"/>
  <c r="BS130" i="106"/>
  <c r="BX130" i="106"/>
  <c r="CD130" i="106" s="1"/>
  <c r="BC15" i="106"/>
  <c r="AC52" i="106"/>
  <c r="BQ34" i="106"/>
  <c r="BQ171" i="106" s="1"/>
  <c r="C149" i="106"/>
  <c r="AW57" i="106"/>
  <c r="BC31" i="106"/>
  <c r="BC37" i="106" s="1"/>
  <c r="G31" i="106"/>
  <c r="BI46" i="106"/>
  <c r="BI177" i="106" s="1"/>
  <c r="R52" i="106"/>
  <c r="G46" i="106"/>
  <c r="G177" i="106" s="1"/>
  <c r="AE31" i="106"/>
  <c r="AK37" i="106"/>
  <c r="AJ147" i="106"/>
  <c r="AV138" i="106"/>
  <c r="E138" i="106"/>
  <c r="BN181" i="106"/>
  <c r="AK46" i="106"/>
  <c r="AK177" i="106" s="1"/>
  <c r="P138" i="106"/>
  <c r="R147" i="106"/>
  <c r="L138" i="106"/>
  <c r="BI22" i="106"/>
  <c r="CC92" i="106"/>
  <c r="BX92" i="106"/>
  <c r="AQ31" i="106"/>
  <c r="AQ37" i="106" s="1"/>
  <c r="BB138" i="106"/>
  <c r="AU138" i="106"/>
  <c r="O139" i="106"/>
  <c r="O148" i="106"/>
  <c r="S31" i="106"/>
  <c r="W147" i="106"/>
  <c r="AP138" i="106"/>
  <c r="BY139" i="106"/>
  <c r="BY124" i="106"/>
  <c r="BY148" i="106"/>
  <c r="BS124" i="106"/>
  <c r="BS148" i="106"/>
  <c r="AJ139" i="106"/>
  <c r="AJ148" i="106"/>
  <c r="AC138" i="106"/>
  <c r="AC141" i="106" s="1"/>
  <c r="R138" i="106"/>
  <c r="BR139" i="106"/>
  <c r="BR124" i="106"/>
  <c r="BC129" i="106"/>
  <c r="AD138" i="106"/>
  <c r="BW124" i="106"/>
  <c r="BW139" i="106"/>
  <c r="BW148" i="106"/>
  <c r="BU142" i="106"/>
  <c r="K138" i="106"/>
  <c r="BT92" i="106"/>
  <c r="AS124" i="106"/>
  <c r="AS139" i="106"/>
  <c r="BW123" i="106"/>
  <c r="BU123" i="106"/>
  <c r="AZ138" i="106"/>
  <c r="AZ141" i="106" s="1"/>
  <c r="BI146" i="107"/>
  <c r="BR149" i="107"/>
  <c r="CC148" i="107"/>
  <c r="CF148" i="107"/>
  <c r="CF143" i="107" s="1"/>
  <c r="R75" i="107"/>
  <c r="O75" i="107"/>
  <c r="AO38" i="107"/>
  <c r="AP38" i="107" s="1"/>
  <c r="BW149" i="107"/>
  <c r="AC116" i="107"/>
  <c r="AC75" i="107"/>
  <c r="Q75" i="107"/>
  <c r="S74" i="107"/>
  <c r="BH61" i="107"/>
  <c r="BI61" i="107" s="1"/>
  <c r="AU48" i="107"/>
  <c r="AV48" i="107" s="1"/>
  <c r="BG47" i="107"/>
  <c r="BH47" i="107" s="1"/>
  <c r="BL19" i="107"/>
  <c r="F11" i="107"/>
  <c r="F129" i="106" s="1"/>
  <c r="AV94" i="107"/>
  <c r="BB74" i="107"/>
  <c r="AV75" i="107"/>
  <c r="AB75" i="107"/>
  <c r="AO56" i="107"/>
  <c r="AQ52" i="107"/>
  <c r="AU51" i="107"/>
  <c r="AV51" i="107" s="1"/>
  <c r="K109" i="107"/>
  <c r="L109" i="107" s="1"/>
  <c r="X82" i="107"/>
  <c r="X84" i="107"/>
  <c r="X85" i="107"/>
  <c r="AV49" i="107"/>
  <c r="AW49" i="107" s="1"/>
  <c r="W49" i="107"/>
  <c r="X49" i="107" s="1"/>
  <c r="V54" i="107"/>
  <c r="K48" i="107"/>
  <c r="L48" i="107" s="1"/>
  <c r="M48" i="107" s="1"/>
  <c r="J54" i="107"/>
  <c r="AI50" i="107"/>
  <c r="I75" i="107"/>
  <c r="AJ56" i="107"/>
  <c r="AK56" i="107" s="1"/>
  <c r="K12" i="107"/>
  <c r="L12" i="107" s="1"/>
  <c r="L140" i="106" s="1"/>
  <c r="BI148" i="107"/>
  <c r="BI149" i="107" s="1"/>
  <c r="W75" i="107"/>
  <c r="AT75" i="107"/>
  <c r="AW74" i="107"/>
  <c r="AJ75" i="107"/>
  <c r="M74" i="107"/>
  <c r="Q51" i="107"/>
  <c r="R51" i="107" s="1"/>
  <c r="P54" i="107"/>
  <c r="AC109" i="107"/>
  <c r="K49" i="107"/>
  <c r="L49" i="107" s="1"/>
  <c r="AU45" i="107"/>
  <c r="X75" i="107"/>
  <c r="AA75" i="107"/>
  <c r="AE74" i="107"/>
  <c r="AK75" i="107" s="1"/>
  <c r="K56" i="107"/>
  <c r="L56" i="107" s="1"/>
  <c r="M56" i="107" s="1"/>
  <c r="Q15" i="107"/>
  <c r="R15" i="107" s="1"/>
  <c r="AQ75" i="107"/>
  <c r="AC56" i="107"/>
  <c r="AT54" i="107"/>
  <c r="AQ51" i="107"/>
  <c r="K51" i="107"/>
  <c r="L51" i="107" s="1"/>
  <c r="AQ109" i="107"/>
  <c r="AJ109" i="107"/>
  <c r="AK109" i="107" s="1"/>
  <c r="K50" i="107"/>
  <c r="BL54" i="107"/>
  <c r="BA75" i="107"/>
  <c r="BO148" i="107"/>
  <c r="BE75" i="107"/>
  <c r="BK75" i="107"/>
  <c r="X56" i="107"/>
  <c r="Y56" i="107" s="1"/>
  <c r="BF54" i="107"/>
  <c r="AV43" i="107"/>
  <c r="AT109" i="107"/>
  <c r="Q109" i="107"/>
  <c r="R109" i="107" s="1"/>
  <c r="F50" i="107"/>
  <c r="F140" i="107" s="1"/>
  <c r="X43" i="107"/>
  <c r="Y43" i="107" s="1"/>
  <c r="AV20" i="107"/>
  <c r="AI21" i="107"/>
  <c r="AJ21" i="107" s="1"/>
  <c r="AH19" i="107"/>
  <c r="AH28" i="107" s="1"/>
  <c r="Q56" i="107"/>
  <c r="R56" i="107" s="1"/>
  <c r="AW108" i="107"/>
  <c r="AI108" i="107"/>
  <c r="X107" i="107"/>
  <c r="Y107" i="107" s="1"/>
  <c r="R107" i="107"/>
  <c r="AO46" i="107"/>
  <c r="AP46" i="107" s="1"/>
  <c r="AP44" i="107"/>
  <c r="AP144" i="107" s="1"/>
  <c r="Y74" i="107"/>
  <c r="AI51" i="107"/>
  <c r="AJ51" i="107" s="1"/>
  <c r="AP107" i="107"/>
  <c r="AJ107" i="107"/>
  <c r="AJ116" i="107" s="1"/>
  <c r="AE48" i="107"/>
  <c r="AB54" i="107"/>
  <c r="BX74" i="107"/>
  <c r="AJ43" i="107"/>
  <c r="AK43" i="107" s="1"/>
  <c r="AO36" i="107"/>
  <c r="AP36" i="107" s="1"/>
  <c r="AI31" i="107"/>
  <c r="AI121" i="106" s="1"/>
  <c r="AH40" i="107"/>
  <c r="AV56" i="107"/>
  <c r="AW56" i="107" s="1"/>
  <c r="AU52" i="107"/>
  <c r="V116" i="107"/>
  <c r="AV107" i="107"/>
  <c r="AW107" i="107" s="1"/>
  <c r="AE49" i="107"/>
  <c r="BG48" i="107"/>
  <c r="BH48" i="107" s="1"/>
  <c r="Q49" i="107"/>
  <c r="R49" i="107" s="1"/>
  <c r="AI35" i="107"/>
  <c r="AJ35" i="107" s="1"/>
  <c r="BG13" i="107"/>
  <c r="BH13" i="107" s="1"/>
  <c r="AE108" i="107"/>
  <c r="AU50" i="107"/>
  <c r="AO47" i="107"/>
  <c r="AP47" i="107" s="1"/>
  <c r="AO45" i="107"/>
  <c r="AN54" i="107"/>
  <c r="BG35" i="107"/>
  <c r="K24" i="107"/>
  <c r="L24" i="107" s="1"/>
  <c r="M24" i="107" s="1"/>
  <c r="W14" i="107"/>
  <c r="W160" i="107" s="1"/>
  <c r="Q13" i="107"/>
  <c r="R13" i="107" s="1"/>
  <c r="S13" i="107" s="1"/>
  <c r="W108" i="107"/>
  <c r="X108" i="107" s="1"/>
  <c r="BE131" i="107"/>
  <c r="BE132" i="107" s="1"/>
  <c r="BF128" i="107" s="1"/>
  <c r="BI128" i="107"/>
  <c r="AQ50" i="107"/>
  <c r="AQ140" i="107" s="1"/>
  <c r="AO48" i="107"/>
  <c r="AP48" i="107" s="1"/>
  <c r="AK46" i="107"/>
  <c r="BC36" i="107"/>
  <c r="BB40" i="107"/>
  <c r="BB58" i="107" s="1"/>
  <c r="BB85" i="106" s="1"/>
  <c r="AO108" i="107"/>
  <c r="BQ129" i="107"/>
  <c r="S50" i="107"/>
  <c r="S140" i="107" s="1"/>
  <c r="AP20" i="107"/>
  <c r="BY146" i="107"/>
  <c r="BX144" i="107"/>
  <c r="AI38" i="107"/>
  <c r="AJ38" i="107" s="1"/>
  <c r="AI36" i="107"/>
  <c r="AJ36" i="107" s="1"/>
  <c r="R23" i="107"/>
  <c r="S23" i="107" s="1"/>
  <c r="BT16" i="107"/>
  <c r="BW16" i="107" s="1"/>
  <c r="BG9" i="107"/>
  <c r="BH9" i="107" s="1"/>
  <c r="Q48" i="107"/>
  <c r="R48" i="107" s="1"/>
  <c r="S48" i="107" s="1"/>
  <c r="BG46" i="107"/>
  <c r="BH46" i="107" s="1"/>
  <c r="AK15" i="107"/>
  <c r="CG44" i="107"/>
  <c r="BR144" i="107"/>
  <c r="BR44" i="107" s="1"/>
  <c r="K44" i="107"/>
  <c r="AT38" i="107"/>
  <c r="AT40" i="107" s="1"/>
  <c r="AU36" i="107"/>
  <c r="AV36" i="107" s="1"/>
  <c r="AI26" i="107"/>
  <c r="F23" i="107"/>
  <c r="G23" i="107" s="1"/>
  <c r="BL17" i="107"/>
  <c r="BK28" i="107"/>
  <c r="AD13" i="107"/>
  <c r="AE13" i="107" s="1"/>
  <c r="E13" i="107"/>
  <c r="F13" i="107" s="1"/>
  <c r="E48" i="107"/>
  <c r="F48" i="107" s="1"/>
  <c r="G48" i="107" s="1"/>
  <c r="CC74" i="107"/>
  <c r="AU47" i="107"/>
  <c r="AV47" i="107" s="1"/>
  <c r="AD46" i="107"/>
  <c r="AE46" i="107" s="1"/>
  <c r="AO43" i="107"/>
  <c r="AE38" i="107"/>
  <c r="AB40" i="107"/>
  <c r="BH23" i="107"/>
  <c r="BI23" i="107" s="1"/>
  <c r="BC19" i="107"/>
  <c r="BC28" i="107" s="1"/>
  <c r="Q16" i="107"/>
  <c r="R16" i="107" s="1"/>
  <c r="Q44" i="107"/>
  <c r="F36" i="107"/>
  <c r="G36" i="107" s="1"/>
  <c r="X35" i="107"/>
  <c r="Y35" i="107" s="1"/>
  <c r="AT19" i="107"/>
  <c r="AT28" i="107" s="1"/>
  <c r="AU22" i="107"/>
  <c r="W25" i="107"/>
  <c r="X25" i="107" s="1"/>
  <c r="Y25" i="107" s="1"/>
  <c r="AO16" i="107"/>
  <c r="AP16" i="107" s="1"/>
  <c r="AI13" i="107"/>
  <c r="AJ13" i="107" s="1"/>
  <c r="W12" i="107"/>
  <c r="X12" i="107" s="1"/>
  <c r="X140" i="106" s="1"/>
  <c r="BH43" i="107"/>
  <c r="BI43" i="107" s="1"/>
  <c r="BG36" i="107"/>
  <c r="BH36" i="107" s="1"/>
  <c r="AQ34" i="107"/>
  <c r="AN40" i="107"/>
  <c r="Q34" i="107"/>
  <c r="R34" i="107" s="1"/>
  <c r="P40" i="107"/>
  <c r="AD25" i="107"/>
  <c r="E44" i="107"/>
  <c r="AE43" i="107"/>
  <c r="R36" i="107"/>
  <c r="S36" i="107" s="1"/>
  <c r="L35" i="107"/>
  <c r="J40" i="107"/>
  <c r="BH34" i="107"/>
  <c r="BI34" i="107" s="1"/>
  <c r="BF40" i="107"/>
  <c r="C28" i="107"/>
  <c r="D26" i="107"/>
  <c r="AU24" i="107"/>
  <c r="AV24" i="107" s="1"/>
  <c r="AQ22" i="107"/>
  <c r="L15" i="107"/>
  <c r="M15" i="107" s="1"/>
  <c r="AE9" i="107"/>
  <c r="L43" i="107"/>
  <c r="AU35" i="107"/>
  <c r="AV35" i="107" s="1"/>
  <c r="AW35" i="107" s="1"/>
  <c r="AM28" i="107"/>
  <c r="AM86" i="106" s="1"/>
  <c r="BL26" i="107"/>
  <c r="AD23" i="107"/>
  <c r="AE23" i="107" s="1"/>
  <c r="AO26" i="107"/>
  <c r="X21" i="107"/>
  <c r="Y21" i="107" s="1"/>
  <c r="K23" i="107"/>
  <c r="AQ9" i="107"/>
  <c r="AU32" i="107"/>
  <c r="R26" i="107"/>
  <c r="S26" i="107" s="1"/>
  <c r="AN19" i="107"/>
  <c r="Q22" i="107"/>
  <c r="R22" i="107" s="1"/>
  <c r="F25" i="107"/>
  <c r="G25" i="107" s="1"/>
  <c r="F21" i="107"/>
  <c r="G21" i="107" s="1"/>
  <c r="C40" i="107"/>
  <c r="E35" i="107"/>
  <c r="F35" i="107" s="1"/>
  <c r="K26" i="107"/>
  <c r="BH20" i="107"/>
  <c r="AV23" i="107"/>
  <c r="AW23" i="107" s="1"/>
  <c r="AJ22" i="107"/>
  <c r="AK22" i="107" s="1"/>
  <c r="J19" i="107"/>
  <c r="J28" i="107" s="1"/>
  <c r="K22" i="107"/>
  <c r="L22" i="107" s="1"/>
  <c r="E24" i="107"/>
  <c r="AK16" i="107"/>
  <c r="K16" i="107"/>
  <c r="AQ14" i="107"/>
  <c r="AQ160" i="107" s="1"/>
  <c r="R14" i="107"/>
  <c r="R160" i="107" s="1"/>
  <c r="Q35" i="107"/>
  <c r="R35" i="107" s="1"/>
  <c r="AU31" i="107"/>
  <c r="AE26" i="107"/>
  <c r="BI24" i="107"/>
  <c r="AK25" i="107"/>
  <c r="AB19" i="107"/>
  <c r="AB28" i="107" s="1"/>
  <c r="AE20" i="107"/>
  <c r="Y22" i="107"/>
  <c r="Q25" i="107"/>
  <c r="AE16" i="107"/>
  <c r="F16" i="107"/>
  <c r="G16" i="107" s="1"/>
  <c r="X15" i="107"/>
  <c r="Y15" i="107" s="1"/>
  <c r="G15" i="107"/>
  <c r="BH14" i="107"/>
  <c r="BI14" i="107" s="1"/>
  <c r="AK14" i="107"/>
  <c r="AK160" i="107" s="1"/>
  <c r="K14" i="107"/>
  <c r="L14" i="107" s="1"/>
  <c r="L160" i="107" s="1"/>
  <c r="AU13" i="107"/>
  <c r="AV13" i="107" s="1"/>
  <c r="AU11" i="107"/>
  <c r="AU129" i="106" s="1"/>
  <c r="AD35" i="107"/>
  <c r="BG26" i="107"/>
  <c r="BH26" i="107" s="1"/>
  <c r="W26" i="107"/>
  <c r="X26" i="107" s="1"/>
  <c r="BF19" i="107"/>
  <c r="BG22" i="107"/>
  <c r="AP25" i="107"/>
  <c r="AQ25" i="107" s="1"/>
  <c r="AQ21" i="107"/>
  <c r="V19" i="107"/>
  <c r="V28" i="107" s="1"/>
  <c r="W20" i="107"/>
  <c r="L20" i="107"/>
  <c r="M20" i="107" s="1"/>
  <c r="D19" i="107"/>
  <c r="F20" i="107"/>
  <c r="G20" i="107" s="1"/>
  <c r="BF17" i="107"/>
  <c r="W16" i="107"/>
  <c r="X16" i="107" s="1"/>
  <c r="AE14" i="107"/>
  <c r="AE160" i="107" s="1"/>
  <c r="F14" i="107"/>
  <c r="F160" i="107" s="1"/>
  <c r="AQ13" i="107"/>
  <c r="AJ12" i="107"/>
  <c r="AJ140" i="106" s="1"/>
  <c r="AJ141" i="106" s="1"/>
  <c r="AW14" i="107"/>
  <c r="AW160" i="107" s="1"/>
  <c r="M32" i="107"/>
  <c r="M154" i="106" s="1"/>
  <c r="BB54" i="106" l="1"/>
  <c r="BB70" i="106"/>
  <c r="AA115" i="106"/>
  <c r="G97" i="106"/>
  <c r="G101" i="106"/>
  <c r="AZ108" i="106"/>
  <c r="AZ113" i="106" s="1"/>
  <c r="AY54" i="106"/>
  <c r="BF141" i="106"/>
  <c r="G99" i="106"/>
  <c r="AW114" i="106"/>
  <c r="AB115" i="106"/>
  <c r="AW50" i="106"/>
  <c r="AW52" i="106" s="1"/>
  <c r="AW70" i="106" s="1"/>
  <c r="Y44" i="107"/>
  <c r="Y144" i="107" s="1"/>
  <c r="K116" i="107"/>
  <c r="R31" i="107"/>
  <c r="R121" i="106" s="1"/>
  <c r="R122" i="106" s="1"/>
  <c r="AC66" i="107"/>
  <c r="E115" i="107"/>
  <c r="BQ35" i="106"/>
  <c r="BR35" i="106" s="1"/>
  <c r="L11" i="107"/>
  <c r="L129" i="106" s="1"/>
  <c r="M129" i="106" s="1"/>
  <c r="M130" i="106" s="1"/>
  <c r="AJ44" i="107"/>
  <c r="AJ144" i="107" s="1"/>
  <c r="AN28" i="107"/>
  <c r="AD113" i="106"/>
  <c r="BI38" i="107"/>
  <c r="W161" i="107"/>
  <c r="AD40" i="107"/>
  <c r="CG124" i="106"/>
  <c r="D161" i="107"/>
  <c r="M31" i="107"/>
  <c r="AZ70" i="106"/>
  <c r="AZ54" i="106"/>
  <c r="BG52" i="106"/>
  <c r="BG70" i="106" s="1"/>
  <c r="M50" i="106"/>
  <c r="M52" i="106" s="1"/>
  <c r="M70" i="106" s="1"/>
  <c r="AS108" i="106"/>
  <c r="AS113" i="106" s="1"/>
  <c r="AQ115" i="106"/>
  <c r="BL113" i="106"/>
  <c r="AU108" i="106"/>
  <c r="AQ177" i="106"/>
  <c r="BK52" i="106"/>
  <c r="BK70" i="106" s="1"/>
  <c r="BL115" i="106"/>
  <c r="AK101" i="106"/>
  <c r="M114" i="106"/>
  <c r="AT113" i="106"/>
  <c r="V108" i="106"/>
  <c r="U115" i="106"/>
  <c r="AW9" i="107"/>
  <c r="Y11" i="107"/>
  <c r="AO19" i="107"/>
  <c r="F115" i="107"/>
  <c r="F31" i="107"/>
  <c r="F121" i="106" s="1"/>
  <c r="F122" i="106" s="1"/>
  <c r="BL149" i="107"/>
  <c r="BL139" i="106"/>
  <c r="P148" i="106"/>
  <c r="P149" i="106" s="1"/>
  <c r="BU44" i="106"/>
  <c r="AV12" i="107"/>
  <c r="AV140" i="106" s="1"/>
  <c r="AW140" i="106" s="1"/>
  <c r="G49" i="107"/>
  <c r="BH31" i="107"/>
  <c r="BH121" i="106" s="1"/>
  <c r="BH122" i="106" s="1"/>
  <c r="P161" i="107"/>
  <c r="BO44" i="106"/>
  <c r="BO34" i="107"/>
  <c r="BO56" i="107"/>
  <c r="BS112" i="106"/>
  <c r="BF52" i="106"/>
  <c r="BF54" i="106" s="1"/>
  <c r="BH52" i="106"/>
  <c r="BH54" i="106" s="1"/>
  <c r="BI46" i="107"/>
  <c r="AK38" i="107"/>
  <c r="AB142" i="106"/>
  <c r="AE89" i="107"/>
  <c r="BL28" i="107"/>
  <c r="BM26" i="107"/>
  <c r="BM17" i="107"/>
  <c r="BO17" i="107" s="1"/>
  <c r="BL140" i="106"/>
  <c r="BM12" i="107"/>
  <c r="BM140" i="106" s="1"/>
  <c r="BS148" i="107"/>
  <c r="BM149" i="107"/>
  <c r="AE114" i="106"/>
  <c r="AK108" i="106" s="1"/>
  <c r="AE177" i="106"/>
  <c r="AZ184" i="106"/>
  <c r="AZ183" i="106"/>
  <c r="BB183" i="106"/>
  <c r="BC183" i="106" s="1"/>
  <c r="BB184" i="106"/>
  <c r="BC184" i="106" s="1"/>
  <c r="BG184" i="106"/>
  <c r="BG183" i="106"/>
  <c r="BE46" i="106"/>
  <c r="BE176" i="106"/>
  <c r="BL184" i="106"/>
  <c r="BL183" i="106"/>
  <c r="AC142" i="106"/>
  <c r="AQ52" i="106"/>
  <c r="BO35" i="106"/>
  <c r="AW97" i="106"/>
  <c r="BO40" i="106"/>
  <c r="BO176" i="106" s="1"/>
  <c r="BN176" i="106"/>
  <c r="L149" i="106"/>
  <c r="S114" i="106"/>
  <c r="S177" i="106"/>
  <c r="AY183" i="106"/>
  <c r="AY184" i="106"/>
  <c r="BF184" i="106"/>
  <c r="BF183" i="106"/>
  <c r="BH184" i="106"/>
  <c r="BI184" i="106" s="1"/>
  <c r="BH183" i="106"/>
  <c r="BI183" i="106" s="1"/>
  <c r="BO48" i="106"/>
  <c r="BN175" i="106"/>
  <c r="AB161" i="107"/>
  <c r="AI142" i="106"/>
  <c r="AK129" i="106"/>
  <c r="BU148" i="106"/>
  <c r="S121" i="106"/>
  <c r="BU112" i="106"/>
  <c r="AU141" i="106"/>
  <c r="BC121" i="106"/>
  <c r="J148" i="106"/>
  <c r="J149" i="106" s="1"/>
  <c r="G129" i="106"/>
  <c r="G130" i="106" s="1"/>
  <c r="J139" i="106"/>
  <c r="J142" i="106" s="1"/>
  <c r="G110" i="107"/>
  <c r="O132" i="106"/>
  <c r="O135" i="106" s="1"/>
  <c r="P120" i="106"/>
  <c r="P130" i="106" s="1"/>
  <c r="AD141" i="106"/>
  <c r="L116" i="107"/>
  <c r="S31" i="107"/>
  <c r="BU139" i="106"/>
  <c r="AE12" i="107"/>
  <c r="F110" i="107"/>
  <c r="I106" i="107" s="1"/>
  <c r="I115" i="107" s="1"/>
  <c r="P141" i="106"/>
  <c r="AQ23" i="107"/>
  <c r="U87" i="106"/>
  <c r="U67" i="107"/>
  <c r="CG139" i="106"/>
  <c r="BO149" i="107"/>
  <c r="Y129" i="106"/>
  <c r="Y130" i="106" s="1"/>
  <c r="X45" i="107"/>
  <c r="BU124" i="106"/>
  <c r="AK99" i="106"/>
  <c r="AK105" i="106"/>
  <c r="F161" i="107"/>
  <c r="R161" i="107"/>
  <c r="AW24" i="107"/>
  <c r="L40" i="107"/>
  <c r="AD19" i="107"/>
  <c r="AD28" i="107" s="1"/>
  <c r="AD66" i="107" s="1"/>
  <c r="AK13" i="107"/>
  <c r="AP19" i="107"/>
  <c r="AQ47" i="107"/>
  <c r="AK107" i="107"/>
  <c r="AK116" i="107" s="1"/>
  <c r="AK51" i="107"/>
  <c r="G11" i="107"/>
  <c r="AK140" i="106"/>
  <c r="BC40" i="107"/>
  <c r="BC58" i="107" s="1"/>
  <c r="BC85" i="106" s="1"/>
  <c r="AH113" i="106"/>
  <c r="BH44" i="107"/>
  <c r="BI44" i="107" s="1"/>
  <c r="J152" i="107"/>
  <c r="J153" i="107"/>
  <c r="J154" i="107"/>
  <c r="AU19" i="107"/>
  <c r="AU28" i="107" s="1"/>
  <c r="AP116" i="107"/>
  <c r="P58" i="107"/>
  <c r="P85" i="106" s="1"/>
  <c r="AJ142" i="106"/>
  <c r="AE44" i="107"/>
  <c r="AE144" i="107" s="1"/>
  <c r="BH129" i="106"/>
  <c r="BI129" i="106" s="1"/>
  <c r="BH16" i="3"/>
  <c r="Q40" i="107"/>
  <c r="M36" i="107"/>
  <c r="AB120" i="106"/>
  <c r="AB126" i="106" s="1"/>
  <c r="AA132" i="106"/>
  <c r="CG152" i="107"/>
  <c r="CG153" i="107"/>
  <c r="BL54" i="106"/>
  <c r="AZ142" i="106"/>
  <c r="AJ149" i="106"/>
  <c r="BH113" i="106"/>
  <c r="AT142" i="106"/>
  <c r="M124" i="106"/>
  <c r="P142" i="106"/>
  <c r="BR28" i="106"/>
  <c r="BQ25" i="107"/>
  <c r="L161" i="107"/>
  <c r="AN66" i="107"/>
  <c r="AN86" i="106"/>
  <c r="AB66" i="107"/>
  <c r="AB86" i="106"/>
  <c r="AH66" i="107"/>
  <c r="AH86" i="106"/>
  <c r="BF153" i="107"/>
  <c r="BF152" i="107"/>
  <c r="BF154" i="107"/>
  <c r="AH154" i="107"/>
  <c r="AH153" i="107"/>
  <c r="AH152" i="107"/>
  <c r="BL66" i="107"/>
  <c r="AH58" i="107"/>
  <c r="AH85" i="106" s="1"/>
  <c r="E139" i="106"/>
  <c r="E148" i="106"/>
  <c r="E149" i="106" s="1"/>
  <c r="E124" i="106"/>
  <c r="E152" i="107"/>
  <c r="E154" i="107"/>
  <c r="E153" i="107"/>
  <c r="AQ15" i="107"/>
  <c r="BF122" i="106"/>
  <c r="AI122" i="106"/>
  <c r="AH124" i="106"/>
  <c r="AK124" i="106" s="1"/>
  <c r="I70" i="106"/>
  <c r="W148" i="106"/>
  <c r="W149" i="106" s="1"/>
  <c r="W139" i="106"/>
  <c r="W154" i="107"/>
  <c r="W124" i="106"/>
  <c r="W153" i="107"/>
  <c r="W152" i="107"/>
  <c r="CA139" i="106"/>
  <c r="BF139" i="106"/>
  <c r="BF142" i="106" s="1"/>
  <c r="AH148" i="106"/>
  <c r="AN140" i="106"/>
  <c r="AO12" i="107"/>
  <c r="AZ68" i="107"/>
  <c r="AZ88" i="106"/>
  <c r="G34" i="107"/>
  <c r="I68" i="107"/>
  <c r="I88" i="106"/>
  <c r="AU116" i="107"/>
  <c r="BA107" i="107"/>
  <c r="BG19" i="107"/>
  <c r="AE35" i="107"/>
  <c r="Q19" i="107"/>
  <c r="Q28" i="107" s="1"/>
  <c r="J66" i="107"/>
  <c r="J86" i="106"/>
  <c r="AQ20" i="107"/>
  <c r="AD54" i="107"/>
  <c r="AN58" i="107"/>
  <c r="AN85" i="106" s="1"/>
  <c r="AQ36" i="107"/>
  <c r="K40" i="107"/>
  <c r="AV45" i="107"/>
  <c r="AV111" i="106" s="1"/>
  <c r="AV113" i="106" s="1"/>
  <c r="AU111" i="106"/>
  <c r="AU113" i="106" s="1"/>
  <c r="X88" i="107"/>
  <c r="AA81" i="107" s="1"/>
  <c r="AA84" i="107" s="1"/>
  <c r="BG148" i="106"/>
  <c r="BG149" i="106" s="1"/>
  <c r="AH139" i="106"/>
  <c r="BC97" i="106"/>
  <c r="BK115" i="106"/>
  <c r="E140" i="106"/>
  <c r="E141" i="106" s="1"/>
  <c r="F12" i="107"/>
  <c r="F140" i="106" s="1"/>
  <c r="V148" i="106"/>
  <c r="V139" i="106"/>
  <c r="V124" i="106"/>
  <c r="V152" i="107"/>
  <c r="V153" i="107"/>
  <c r="V154" i="107"/>
  <c r="BE88" i="106"/>
  <c r="BE68" i="107"/>
  <c r="AN124" i="106"/>
  <c r="AN139" i="106"/>
  <c r="AN148" i="106"/>
  <c r="AN149" i="106" s="1"/>
  <c r="AN153" i="107"/>
  <c r="AN152" i="107"/>
  <c r="AN154" i="107"/>
  <c r="S11" i="107"/>
  <c r="R129" i="106"/>
  <c r="S129" i="106" s="1"/>
  <c r="S130" i="106" s="1"/>
  <c r="M107" i="107"/>
  <c r="M116" i="107" s="1"/>
  <c r="AT66" i="107"/>
  <c r="AT86" i="106"/>
  <c r="AN122" i="106"/>
  <c r="BA68" i="107"/>
  <c r="BA88" i="106"/>
  <c r="AE25" i="107"/>
  <c r="AE19" i="107" s="1"/>
  <c r="AB58" i="107"/>
  <c r="AB85" i="106" s="1"/>
  <c r="AK152" i="107"/>
  <c r="AK153" i="107"/>
  <c r="AK154" i="107"/>
  <c r="BI144" i="107"/>
  <c r="AP11" i="107"/>
  <c r="AO129" i="106"/>
  <c r="BL75" i="107"/>
  <c r="BF75" i="107"/>
  <c r="M154" i="107"/>
  <c r="M153" i="107"/>
  <c r="M152" i="107"/>
  <c r="K19" i="107"/>
  <c r="K28" i="107" s="1"/>
  <c r="X50" i="107"/>
  <c r="X140" i="107" s="1"/>
  <c r="P66" i="107"/>
  <c r="P86" i="106"/>
  <c r="AD70" i="106"/>
  <c r="X32" i="107"/>
  <c r="X154" i="106" s="1"/>
  <c r="AP32" i="107"/>
  <c r="AP154" i="106" s="1"/>
  <c r="AO154" i="106"/>
  <c r="BF28" i="107"/>
  <c r="AW47" i="107"/>
  <c r="AP45" i="107"/>
  <c r="AP111" i="106" s="1"/>
  <c r="AP113" i="106" s="1"/>
  <c r="AO111" i="106"/>
  <c r="BI13" i="107"/>
  <c r="S15" i="107"/>
  <c r="M49" i="107"/>
  <c r="J58" i="107"/>
  <c r="J85" i="106" s="1"/>
  <c r="E40" i="107"/>
  <c r="AW124" i="106"/>
  <c r="BG139" i="106"/>
  <c r="BQ13" i="107"/>
  <c r="BF70" i="106"/>
  <c r="AW101" i="106"/>
  <c r="BI75" i="106"/>
  <c r="BI37" i="106"/>
  <c r="J120" i="106"/>
  <c r="I132" i="106"/>
  <c r="AO108" i="106"/>
  <c r="AN115" i="106"/>
  <c r="AG86" i="106"/>
  <c r="AG66" i="107"/>
  <c r="R12" i="107"/>
  <c r="AE45" i="107"/>
  <c r="AE111" i="106" s="1"/>
  <c r="Y36" i="107"/>
  <c r="BH32" i="107"/>
  <c r="BH154" i="106" s="1"/>
  <c r="AE140" i="106"/>
  <c r="AB141" i="106"/>
  <c r="BC154" i="107"/>
  <c r="BC153" i="107"/>
  <c r="BC152" i="107"/>
  <c r="V66" i="107"/>
  <c r="V86" i="106"/>
  <c r="BC66" i="107"/>
  <c r="BC86" i="106"/>
  <c r="BI11" i="107"/>
  <c r="X141" i="106"/>
  <c r="S20" i="107"/>
  <c r="BB68" i="107"/>
  <c r="BB88" i="106"/>
  <c r="W121" i="106"/>
  <c r="W122" i="106" s="1"/>
  <c r="X31" i="107"/>
  <c r="Y31" i="107" s="1"/>
  <c r="W40" i="107"/>
  <c r="F148" i="106"/>
  <c r="F149" i="106" s="1"/>
  <c r="F139" i="106"/>
  <c r="F124" i="106"/>
  <c r="F152" i="107"/>
  <c r="F154" i="107"/>
  <c r="F153" i="107"/>
  <c r="AA67" i="107"/>
  <c r="AA87" i="106"/>
  <c r="R32" i="107"/>
  <c r="R154" i="106" s="1"/>
  <c r="Q154" i="106"/>
  <c r="S32" i="107"/>
  <c r="S154" i="106" s="1"/>
  <c r="BG12" i="107"/>
  <c r="M35" i="107"/>
  <c r="S51" i="107"/>
  <c r="BL70" i="106"/>
  <c r="Y101" i="106"/>
  <c r="BI73" i="106"/>
  <c r="BI76" i="106"/>
  <c r="P124" i="106"/>
  <c r="P152" i="107"/>
  <c r="P154" i="107"/>
  <c r="P153" i="107"/>
  <c r="G14" i="107"/>
  <c r="G160" i="107" s="1"/>
  <c r="AV11" i="107"/>
  <c r="AV129" i="106" s="1"/>
  <c r="AW129" i="106" s="1"/>
  <c r="AV31" i="107"/>
  <c r="AV121" i="106" s="1"/>
  <c r="AV122" i="106" s="1"/>
  <c r="AU121" i="106"/>
  <c r="C58" i="107"/>
  <c r="AO40" i="107"/>
  <c r="AK12" i="107"/>
  <c r="X14" i="107"/>
  <c r="X160" i="107" s="1"/>
  <c r="X161" i="107" s="1"/>
  <c r="AQ44" i="107"/>
  <c r="AQ144" i="107" s="1"/>
  <c r="BC74" i="107"/>
  <c r="BC75" i="107" s="1"/>
  <c r="AW99" i="106"/>
  <c r="Y99" i="106"/>
  <c r="AE129" i="106"/>
  <c r="AE130" i="106" s="1"/>
  <c r="AE115" i="106"/>
  <c r="AQ101" i="106"/>
  <c r="AQ105" i="106"/>
  <c r="G32" i="107"/>
  <c r="G154" i="106" s="1"/>
  <c r="AE31" i="107"/>
  <c r="AD121" i="106"/>
  <c r="Q115" i="106"/>
  <c r="R108" i="106"/>
  <c r="BO144" i="107"/>
  <c r="BO143" i="107"/>
  <c r="M34" i="107"/>
  <c r="D40" i="107"/>
  <c r="O88" i="106"/>
  <c r="O68" i="107"/>
  <c r="AY88" i="106"/>
  <c r="AY68" i="107"/>
  <c r="BB148" i="106"/>
  <c r="BB149" i="106" s="1"/>
  <c r="BB152" i="107"/>
  <c r="BB139" i="106"/>
  <c r="BC139" i="106" s="1"/>
  <c r="BB154" i="107"/>
  <c r="BB153" i="107"/>
  <c r="S45" i="107"/>
  <c r="S111" i="106" s="1"/>
  <c r="BK66" i="107"/>
  <c r="BK86" i="106"/>
  <c r="BL152" i="107"/>
  <c r="BL154" i="107"/>
  <c r="BL153" i="107"/>
  <c r="BG111" i="106"/>
  <c r="BG113" i="106" s="1"/>
  <c r="BG74" i="107"/>
  <c r="BM75" i="107" s="1"/>
  <c r="BG54" i="107"/>
  <c r="BF148" i="106"/>
  <c r="BF149" i="106" s="1"/>
  <c r="BG153" i="107"/>
  <c r="BG154" i="107"/>
  <c r="BG152" i="107"/>
  <c r="AJ45" i="107"/>
  <c r="AJ111" i="106" s="1"/>
  <c r="AJ113" i="106" s="1"/>
  <c r="AI111" i="106"/>
  <c r="AC67" i="107"/>
  <c r="AC87" i="106"/>
  <c r="C66" i="107"/>
  <c r="C86" i="106"/>
  <c r="BF124" i="106"/>
  <c r="CG148" i="106"/>
  <c r="AK11" i="107"/>
  <c r="F45" i="107"/>
  <c r="F111" i="106" s="1"/>
  <c r="AV32" i="107"/>
  <c r="AV154" i="106" s="1"/>
  <c r="AU154" i="106"/>
  <c r="Y12" i="107"/>
  <c r="W140" i="106"/>
  <c r="AP31" i="107"/>
  <c r="AQ31" i="107" s="1"/>
  <c r="BU16" i="107"/>
  <c r="BI48" i="107"/>
  <c r="AJ19" i="107"/>
  <c r="M12" i="107"/>
  <c r="K140" i="106"/>
  <c r="M140" i="106" s="1"/>
  <c r="AW51" i="107"/>
  <c r="BL124" i="106"/>
  <c r="D148" i="106"/>
  <c r="D139" i="106"/>
  <c r="D154" i="107"/>
  <c r="D153" i="107"/>
  <c r="D124" i="106"/>
  <c r="D152" i="107"/>
  <c r="AY108" i="106"/>
  <c r="AY113" i="106" s="1"/>
  <c r="AW115" i="106"/>
  <c r="BC108" i="106"/>
  <c r="AE32" i="107"/>
  <c r="AE154" i="106" s="1"/>
  <c r="AD154" i="106"/>
  <c r="M121" i="106"/>
  <c r="AW44" i="107"/>
  <c r="AW144" i="107" s="1"/>
  <c r="AS87" i="106"/>
  <c r="AS67" i="107"/>
  <c r="L45" i="107"/>
  <c r="L111" i="106" s="1"/>
  <c r="AG58" i="107"/>
  <c r="AG85" i="106" s="1"/>
  <c r="AQ70" i="106"/>
  <c r="BY92" i="106"/>
  <c r="AE37" i="106"/>
  <c r="AE52" i="106" s="1"/>
  <c r="BR40" i="106"/>
  <c r="BR176" i="106" s="1"/>
  <c r="BR41" i="106"/>
  <c r="CA123" i="106"/>
  <c r="CC123" i="106"/>
  <c r="CG123" i="106" s="1"/>
  <c r="CD92" i="106"/>
  <c r="BS93" i="106"/>
  <c r="BI59" i="106"/>
  <c r="M97" i="106"/>
  <c r="M105" i="106"/>
  <c r="M99" i="106"/>
  <c r="S97" i="106"/>
  <c r="BC75" i="106"/>
  <c r="BC74" i="106"/>
  <c r="BT130" i="106"/>
  <c r="BZ130" i="106" s="1"/>
  <c r="CF130" i="106" s="1"/>
  <c r="BY130" i="106"/>
  <c r="CE130" i="106" s="1"/>
  <c r="G37" i="106"/>
  <c r="V70" i="106"/>
  <c r="S101" i="106"/>
  <c r="BH70" i="106"/>
  <c r="BC59" i="106"/>
  <c r="S99" i="106"/>
  <c r="BB141" i="106"/>
  <c r="L142" i="106"/>
  <c r="L141" i="106"/>
  <c r="AH70" i="106"/>
  <c r="AB70" i="106"/>
  <c r="BI50" i="106"/>
  <c r="BI114" i="106"/>
  <c r="W70" i="106"/>
  <c r="AE99" i="106"/>
  <c r="AE105" i="106"/>
  <c r="BI97" i="106"/>
  <c r="BI101" i="106"/>
  <c r="BI105" i="106"/>
  <c r="CA148" i="106"/>
  <c r="BL149" i="106"/>
  <c r="AU70" i="106"/>
  <c r="BR34" i="106"/>
  <c r="F70" i="106"/>
  <c r="S108" i="106"/>
  <c r="O108" i="106"/>
  <c r="M115" i="106"/>
  <c r="Y97" i="106"/>
  <c r="V120" i="106"/>
  <c r="U132" i="106"/>
  <c r="BO10" i="106"/>
  <c r="BO181" i="106" s="1"/>
  <c r="BQ10" i="106"/>
  <c r="BQ181" i="106" s="1"/>
  <c r="G50" i="106"/>
  <c r="G114" i="106"/>
  <c r="S37" i="106"/>
  <c r="S52" i="106" s="1"/>
  <c r="AC70" i="106"/>
  <c r="BC22" i="106"/>
  <c r="BC76" i="106"/>
  <c r="BC73" i="106"/>
  <c r="J115" i="106"/>
  <c r="K108" i="106"/>
  <c r="U70" i="106"/>
  <c r="BA115" i="106"/>
  <c r="BA113" i="106"/>
  <c r="BB108" i="106"/>
  <c r="BB113" i="106" s="1"/>
  <c r="C132" i="106"/>
  <c r="D120" i="106"/>
  <c r="BC99" i="106"/>
  <c r="BC105" i="106"/>
  <c r="AE101" i="106"/>
  <c r="R70" i="106"/>
  <c r="BX44" i="106"/>
  <c r="BW112" i="106"/>
  <c r="CA124" i="106"/>
  <c r="AK50" i="106"/>
  <c r="AK52" i="106" s="1"/>
  <c r="AK114" i="106"/>
  <c r="BC114" i="106"/>
  <c r="BC50" i="106"/>
  <c r="Y52" i="106"/>
  <c r="Y50" i="106"/>
  <c r="Y114" i="106"/>
  <c r="BL59" i="106"/>
  <c r="J52" i="106"/>
  <c r="AN70" i="106"/>
  <c r="BA52" i="106"/>
  <c r="BF131" i="107"/>
  <c r="BF130" i="107"/>
  <c r="W19" i="107"/>
  <c r="W28" i="107" s="1"/>
  <c r="AJ31" i="107"/>
  <c r="AI40" i="107"/>
  <c r="AP56" i="107"/>
  <c r="S75" i="107"/>
  <c r="X20" i="107"/>
  <c r="X19" i="107" s="1"/>
  <c r="BI9" i="107"/>
  <c r="S109" i="107"/>
  <c r="R25" i="107"/>
  <c r="R19" i="107" s="1"/>
  <c r="R28" i="107" s="1"/>
  <c r="L23" i="107"/>
  <c r="M23" i="107" s="1"/>
  <c r="AQ107" i="107"/>
  <c r="AV52" i="107"/>
  <c r="AW52" i="107" s="1"/>
  <c r="F24" i="107"/>
  <c r="G24" i="107" s="1"/>
  <c r="G19" i="107" s="1"/>
  <c r="AP26" i="107"/>
  <c r="R40" i="107"/>
  <c r="AV22" i="107"/>
  <c r="AW22" i="107" s="1"/>
  <c r="L44" i="107"/>
  <c r="L144" i="107" s="1"/>
  <c r="K144" i="107"/>
  <c r="AU109" i="107"/>
  <c r="AD56" i="107"/>
  <c r="AC58" i="107"/>
  <c r="AC85" i="106" s="1"/>
  <c r="BI47" i="107"/>
  <c r="Y26" i="107"/>
  <c r="S14" i="107"/>
  <c r="S160" i="107" s="1"/>
  <c r="M22" i="107"/>
  <c r="BI20" i="107"/>
  <c r="G35" i="107"/>
  <c r="S22" i="107"/>
  <c r="AW43" i="107"/>
  <c r="S34" i="107"/>
  <c r="AQ16" i="107"/>
  <c r="R44" i="107"/>
  <c r="Q144" i="107"/>
  <c r="Q54" i="107"/>
  <c r="AJ26" i="107"/>
  <c r="E19" i="107"/>
  <c r="BX16" i="107"/>
  <c r="BY16" i="107" s="1"/>
  <c r="BG40" i="107"/>
  <c r="BH35" i="107"/>
  <c r="BI35" i="107" s="1"/>
  <c r="S49" i="107"/>
  <c r="K54" i="107"/>
  <c r="AQ46" i="107"/>
  <c r="AU54" i="107"/>
  <c r="AQ38" i="107"/>
  <c r="BK58" i="107"/>
  <c r="BK85" i="106" s="1"/>
  <c r="F44" i="107"/>
  <c r="F144" i="107" s="1"/>
  <c r="E144" i="107"/>
  <c r="E54" i="107"/>
  <c r="AP108" i="107"/>
  <c r="CD74" i="107"/>
  <c r="AJ108" i="107"/>
  <c r="AK108" i="107" s="1"/>
  <c r="CC149" i="107"/>
  <c r="CC143" i="107"/>
  <c r="BH74" i="107"/>
  <c r="BI45" i="107"/>
  <c r="AQ48" i="107"/>
  <c r="AE75" i="107"/>
  <c r="AU38" i="107"/>
  <c r="AV38" i="107" s="1"/>
  <c r="AW20" i="107"/>
  <c r="M75" i="107"/>
  <c r="AW13" i="107"/>
  <c r="BX44" i="107"/>
  <c r="BX143" i="107"/>
  <c r="BW129" i="107"/>
  <c r="M43" i="107"/>
  <c r="Y75" i="107"/>
  <c r="S107" i="107"/>
  <c r="R116" i="107"/>
  <c r="S56" i="107"/>
  <c r="M51" i="107"/>
  <c r="W54" i="107"/>
  <c r="AD109" i="107"/>
  <c r="AE109" i="107" s="1"/>
  <c r="AW75" i="107"/>
  <c r="V58" i="107"/>
  <c r="V85" i="106" s="1"/>
  <c r="AW48" i="107"/>
  <c r="D28" i="107"/>
  <c r="D86" i="106" s="1"/>
  <c r="E26" i="107"/>
  <c r="K140" i="107"/>
  <c r="L50" i="107"/>
  <c r="L140" i="107" s="1"/>
  <c r="AI19" i="107"/>
  <c r="AI28" i="107" s="1"/>
  <c r="S16" i="107"/>
  <c r="Y16" i="107"/>
  <c r="G13" i="107"/>
  <c r="AW36" i="107"/>
  <c r="BZ146" i="107"/>
  <c r="BZ144" i="107" s="1"/>
  <c r="BY144" i="107"/>
  <c r="BI26" i="107"/>
  <c r="AI54" i="107"/>
  <c r="AD116" i="107"/>
  <c r="X116" i="107"/>
  <c r="G50" i="107"/>
  <c r="G140" i="107" s="1"/>
  <c r="AJ50" i="107"/>
  <c r="AI140" i="107"/>
  <c r="Y49" i="107"/>
  <c r="BR143" i="107"/>
  <c r="AT58" i="107"/>
  <c r="AT85" i="106" s="1"/>
  <c r="BG17" i="107"/>
  <c r="BH17" i="107" s="1"/>
  <c r="BH22" i="107"/>
  <c r="BH19" i="107" s="1"/>
  <c r="M14" i="107"/>
  <c r="M160" i="107" s="1"/>
  <c r="K160" i="107"/>
  <c r="K161" i="107" s="1"/>
  <c r="S35" i="107"/>
  <c r="L16" i="107"/>
  <c r="M16" i="107" s="1"/>
  <c r="L26" i="107"/>
  <c r="M26" i="107" s="1"/>
  <c r="AM58" i="107"/>
  <c r="AM85" i="106" s="1"/>
  <c r="AM66" i="107"/>
  <c r="BI36" i="107"/>
  <c r="AP43" i="107"/>
  <c r="AQ43" i="107" s="1"/>
  <c r="AO54" i="107"/>
  <c r="BT144" i="107"/>
  <c r="BT44" i="107" s="1"/>
  <c r="BS144" i="107"/>
  <c r="BS44" i="107" s="1"/>
  <c r="AK36" i="107"/>
  <c r="Y108" i="107"/>
  <c r="AU140" i="107"/>
  <c r="AV50" i="107"/>
  <c r="AK35" i="107"/>
  <c r="BB107" i="107"/>
  <c r="AV129" i="107"/>
  <c r="AV116" i="107"/>
  <c r="AE116" i="107"/>
  <c r="AK21" i="107"/>
  <c r="AK19" i="107" s="1"/>
  <c r="M109" i="107"/>
  <c r="BQ172" i="106" l="1"/>
  <c r="BU44" i="107"/>
  <c r="BG54" i="106"/>
  <c r="AG108" i="106"/>
  <c r="AG113" i="106" s="1"/>
  <c r="BK54" i="106"/>
  <c r="G121" i="106"/>
  <c r="BI31" i="107"/>
  <c r="AW45" i="107"/>
  <c r="AW111" i="106" s="1"/>
  <c r="AK44" i="107"/>
  <c r="AK144" i="107" s="1"/>
  <c r="AV141" i="106"/>
  <c r="BF58" i="107"/>
  <c r="BF85" i="106" s="1"/>
  <c r="G44" i="107"/>
  <c r="G144" i="107" s="1"/>
  <c r="BO26" i="107"/>
  <c r="F40" i="107"/>
  <c r="M11" i="107"/>
  <c r="AW12" i="107"/>
  <c r="AO28" i="107"/>
  <c r="AQ116" i="107"/>
  <c r="G31" i="107"/>
  <c r="BH54" i="107"/>
  <c r="L19" i="107"/>
  <c r="L28" i="107" s="1"/>
  <c r="BL58" i="107"/>
  <c r="BL85" i="106" s="1"/>
  <c r="AE28" i="107"/>
  <c r="AE86" i="106" s="1"/>
  <c r="BL142" i="106"/>
  <c r="BL141" i="106"/>
  <c r="BL86" i="106"/>
  <c r="BM142" i="106"/>
  <c r="BM141" i="106"/>
  <c r="X54" i="107"/>
  <c r="BO20" i="106"/>
  <c r="BQ20" i="106"/>
  <c r="BR20" i="106" s="1"/>
  <c r="BS20" i="106" s="1"/>
  <c r="BT20" i="106" s="1"/>
  <c r="AE90" i="107"/>
  <c r="AG89" i="107"/>
  <c r="AH89" i="107" s="1"/>
  <c r="AI89" i="107" s="1"/>
  <c r="AJ89" i="107" s="1"/>
  <c r="E142" i="106"/>
  <c r="BY148" i="107"/>
  <c r="BU148" i="107"/>
  <c r="BU149" i="107" s="1"/>
  <c r="BR13" i="107"/>
  <c r="BR171" i="106"/>
  <c r="S115" i="106"/>
  <c r="Y108" i="106"/>
  <c r="U108" i="106"/>
  <c r="M148" i="106"/>
  <c r="BE177" i="106"/>
  <c r="BE183" i="106" s="1"/>
  <c r="BE114" i="106"/>
  <c r="BE50" i="106"/>
  <c r="BE52" i="106" s="1"/>
  <c r="BM182" i="106"/>
  <c r="BO19" i="106"/>
  <c r="BO182" i="106" s="1"/>
  <c r="BN182" i="106"/>
  <c r="BQ48" i="106"/>
  <c r="BO175" i="106"/>
  <c r="BS35" i="106"/>
  <c r="BR172" i="106"/>
  <c r="BB142" i="106"/>
  <c r="BI121" i="106"/>
  <c r="M139" i="106"/>
  <c r="BF132" i="107"/>
  <c r="BG128" i="107" s="1"/>
  <c r="M106" i="107"/>
  <c r="M114" i="107" s="1"/>
  <c r="G40" i="107"/>
  <c r="Y45" i="107"/>
  <c r="Y111" i="106" s="1"/>
  <c r="M40" i="107"/>
  <c r="X111" i="106"/>
  <c r="G124" i="106"/>
  <c r="AQ19" i="107"/>
  <c r="AD86" i="106"/>
  <c r="I110" i="107"/>
  <c r="J106" i="107" s="1"/>
  <c r="I114" i="107"/>
  <c r="AA85" i="107"/>
  <c r="P128" i="106"/>
  <c r="O131" i="106"/>
  <c r="AW32" i="107"/>
  <c r="AW154" i="106" s="1"/>
  <c r="AW153" i="107" s="1"/>
  <c r="U88" i="106"/>
  <c r="U68" i="107"/>
  <c r="AB130" i="106"/>
  <c r="AB132" i="106"/>
  <c r="AB135" i="106" s="1"/>
  <c r="AC120" i="106"/>
  <c r="AC126" i="106" s="1"/>
  <c r="G12" i="107"/>
  <c r="AB128" i="106"/>
  <c r="AA131" i="106"/>
  <c r="AA135" i="106"/>
  <c r="AV54" i="107"/>
  <c r="BU144" i="107"/>
  <c r="BI17" i="107"/>
  <c r="Y14" i="107"/>
  <c r="Y160" i="107" s="1"/>
  <c r="Q58" i="107"/>
  <c r="Q85" i="106" s="1"/>
  <c r="X28" i="107"/>
  <c r="X86" i="106" s="1"/>
  <c r="AE81" i="107"/>
  <c r="AP129" i="106"/>
  <c r="AQ129" i="106" s="1"/>
  <c r="AP16" i="3"/>
  <c r="BC148" i="106"/>
  <c r="BS28" i="106"/>
  <c r="BR25" i="107"/>
  <c r="BC113" i="106"/>
  <c r="AW113" i="106"/>
  <c r="W66" i="107"/>
  <c r="W86" i="106"/>
  <c r="K66" i="107"/>
  <c r="K86" i="106"/>
  <c r="K58" i="107"/>
  <c r="K85" i="106" s="1"/>
  <c r="W141" i="106"/>
  <c r="W142" i="106"/>
  <c r="Y140" i="106"/>
  <c r="AG67" i="107"/>
  <c r="AG87" i="106"/>
  <c r="V142" i="106"/>
  <c r="AC88" i="106"/>
  <c r="AC68" i="107"/>
  <c r="BH139" i="106"/>
  <c r="BI139" i="106" s="1"/>
  <c r="BH124" i="106"/>
  <c r="BI124" i="106" s="1"/>
  <c r="BH148" i="106"/>
  <c r="BH149" i="106" s="1"/>
  <c r="BH152" i="107"/>
  <c r="BH153" i="107"/>
  <c r="BH154" i="107"/>
  <c r="AJ40" i="107"/>
  <c r="AJ121" i="106"/>
  <c r="AA82" i="107"/>
  <c r="AU148" i="106"/>
  <c r="AU149" i="106" s="1"/>
  <c r="AU152" i="107"/>
  <c r="AU139" i="106"/>
  <c r="AU153" i="107"/>
  <c r="AU154" i="107"/>
  <c r="BG75" i="107"/>
  <c r="Q139" i="106"/>
  <c r="Q148" i="106"/>
  <c r="Q124" i="106"/>
  <c r="Q153" i="107"/>
  <c r="Q152" i="107"/>
  <c r="Q154" i="107"/>
  <c r="X121" i="106"/>
  <c r="X40" i="107"/>
  <c r="M45" i="107"/>
  <c r="M111" i="106" s="1"/>
  <c r="F142" i="106"/>
  <c r="F141" i="106"/>
  <c r="AB67" i="107"/>
  <c r="AB87" i="106"/>
  <c r="AO58" i="107"/>
  <c r="AO85" i="106" s="1"/>
  <c r="AW11" i="107"/>
  <c r="AO66" i="107"/>
  <c r="AO86" i="106"/>
  <c r="K142" i="106"/>
  <c r="D142" i="106"/>
  <c r="G139" i="106"/>
  <c r="AV152" i="107"/>
  <c r="AV154" i="107"/>
  <c r="AV153" i="107"/>
  <c r="AV139" i="106"/>
  <c r="AV142" i="106" s="1"/>
  <c r="AV148" i="106"/>
  <c r="AK45" i="107"/>
  <c r="AK111" i="106" s="1"/>
  <c r="R139" i="106"/>
  <c r="R148" i="106"/>
  <c r="R149" i="106" s="1"/>
  <c r="R124" i="106"/>
  <c r="R152" i="107"/>
  <c r="R153" i="107"/>
  <c r="R154" i="107"/>
  <c r="V67" i="107"/>
  <c r="V87" i="106"/>
  <c r="AO113" i="106"/>
  <c r="G140" i="106"/>
  <c r="G141" i="106" s="1"/>
  <c r="AK139" i="106"/>
  <c r="AH142" i="106"/>
  <c r="J67" i="107"/>
  <c r="J87" i="106"/>
  <c r="BG140" i="106"/>
  <c r="AN141" i="106"/>
  <c r="AN142" i="106"/>
  <c r="BG28" i="107"/>
  <c r="AS68" i="107"/>
  <c r="AS88" i="106"/>
  <c r="BO44" i="107"/>
  <c r="S152" i="107"/>
  <c r="S154" i="107"/>
  <c r="S153" i="107"/>
  <c r="BC107" i="107"/>
  <c r="BC116" i="107" s="1"/>
  <c r="AM67" i="107"/>
  <c r="AM87" i="106"/>
  <c r="AD122" i="106"/>
  <c r="AE121" i="106"/>
  <c r="AI66" i="107"/>
  <c r="AI86" i="106"/>
  <c r="AW152" i="107"/>
  <c r="AW154" i="107"/>
  <c r="BI54" i="107"/>
  <c r="BI111" i="106"/>
  <c r="S40" i="107"/>
  <c r="M19" i="107"/>
  <c r="M28" i="107" s="1"/>
  <c r="BI32" i="107"/>
  <c r="AA88" i="106"/>
  <c r="AA68" i="107"/>
  <c r="AQ32" i="107"/>
  <c r="AQ154" i="106" s="1"/>
  <c r="J126" i="106"/>
  <c r="J130" i="106"/>
  <c r="AT67" i="107"/>
  <c r="AT87" i="106"/>
  <c r="Y50" i="107"/>
  <c r="Y140" i="107" s="1"/>
  <c r="AE40" i="107"/>
  <c r="AH67" i="107"/>
  <c r="AH87" i="106"/>
  <c r="AN67" i="107"/>
  <c r="AN87" i="106"/>
  <c r="AD148" i="106"/>
  <c r="AD153" i="107"/>
  <c r="AD154" i="107"/>
  <c r="AD152" i="107"/>
  <c r="AD124" i="106"/>
  <c r="AE124" i="106" s="1"/>
  <c r="AD139" i="106"/>
  <c r="BK67" i="107"/>
  <c r="BK87" i="106"/>
  <c r="AP154" i="107"/>
  <c r="AP153" i="107"/>
  <c r="AP152" i="107"/>
  <c r="AP139" i="106"/>
  <c r="AP148" i="106"/>
  <c r="AP149" i="106" s="1"/>
  <c r="AP124" i="106"/>
  <c r="AD67" i="107"/>
  <c r="AD87" i="106"/>
  <c r="AE153" i="107"/>
  <c r="AE152" i="107"/>
  <c r="AE154" i="107"/>
  <c r="AH149" i="106"/>
  <c r="AK148" i="106"/>
  <c r="R66" i="107"/>
  <c r="R86" i="106"/>
  <c r="Q66" i="107"/>
  <c r="Q86" i="106"/>
  <c r="BL67" i="107"/>
  <c r="BL87" i="106"/>
  <c r="AJ54" i="107"/>
  <c r="AQ45" i="107"/>
  <c r="AQ111" i="106" s="1"/>
  <c r="AE54" i="107"/>
  <c r="S116" i="107"/>
  <c r="AU40" i="107"/>
  <c r="AU58" i="107" s="1"/>
  <c r="AU85" i="106" s="1"/>
  <c r="Y20" i="107"/>
  <c r="Y19" i="107" s="1"/>
  <c r="AP40" i="107"/>
  <c r="AP121" i="106"/>
  <c r="C67" i="107"/>
  <c r="C87" i="106"/>
  <c r="G153" i="107"/>
  <c r="G154" i="107"/>
  <c r="G152" i="107"/>
  <c r="C62" i="107"/>
  <c r="C85" i="106"/>
  <c r="P126" i="106"/>
  <c r="K141" i="106"/>
  <c r="Y32" i="107"/>
  <c r="Y154" i="106" s="1"/>
  <c r="BF66" i="107"/>
  <c r="BF86" i="106"/>
  <c r="P67" i="107"/>
  <c r="P87" i="106"/>
  <c r="G45" i="107"/>
  <c r="G111" i="106" s="1"/>
  <c r="BC67" i="107"/>
  <c r="BC87" i="106"/>
  <c r="X139" i="106"/>
  <c r="X142" i="106" s="1"/>
  <c r="X148" i="106"/>
  <c r="X149" i="106" s="1"/>
  <c r="X153" i="107"/>
  <c r="X154" i="107"/>
  <c r="X152" i="107"/>
  <c r="X124" i="106"/>
  <c r="Y124" i="106" s="1"/>
  <c r="V149" i="106"/>
  <c r="AP54" i="107"/>
  <c r="AW116" i="107"/>
  <c r="D149" i="106"/>
  <c r="G149" i="106" s="1"/>
  <c r="G148" i="106"/>
  <c r="I131" i="106"/>
  <c r="J128" i="106"/>
  <c r="I135" i="106"/>
  <c r="AK31" i="107"/>
  <c r="AK40" i="107" s="1"/>
  <c r="AW31" i="107"/>
  <c r="AV40" i="107"/>
  <c r="M44" i="107"/>
  <c r="M144" i="107" s="1"/>
  <c r="BI148" i="106"/>
  <c r="AU66" i="107"/>
  <c r="AU86" i="106"/>
  <c r="BH12" i="107"/>
  <c r="BH140" i="106" s="1"/>
  <c r="AU122" i="106"/>
  <c r="AW121" i="106"/>
  <c r="S12" i="107"/>
  <c r="R140" i="106"/>
  <c r="AO124" i="106"/>
  <c r="AO148" i="106"/>
  <c r="AO139" i="106"/>
  <c r="AO152" i="107"/>
  <c r="AO153" i="107"/>
  <c r="AO154" i="107"/>
  <c r="AO140" i="106"/>
  <c r="AP12" i="107"/>
  <c r="AQ11" i="107"/>
  <c r="Y70" i="106"/>
  <c r="BY44" i="106"/>
  <c r="BX112" i="106"/>
  <c r="BI52" i="106"/>
  <c r="AA108" i="106"/>
  <c r="AE108" i="106"/>
  <c r="Y115" i="106"/>
  <c r="BT93" i="106"/>
  <c r="BR10" i="106"/>
  <c r="BR181" i="106" s="1"/>
  <c r="G52" i="106"/>
  <c r="BS40" i="106"/>
  <c r="BS176" i="106" s="1"/>
  <c r="U131" i="106"/>
  <c r="V128" i="106"/>
  <c r="AK70" i="106"/>
  <c r="J70" i="106"/>
  <c r="AQ108" i="106"/>
  <c r="AM108" i="106"/>
  <c r="AM113" i="106" s="1"/>
  <c r="AK115" i="106"/>
  <c r="D126" i="106"/>
  <c r="D130" i="106"/>
  <c r="BC52" i="106"/>
  <c r="U135" i="106"/>
  <c r="V126" i="106"/>
  <c r="V130" i="106"/>
  <c r="BS34" i="106"/>
  <c r="CE92" i="106"/>
  <c r="BS41" i="106"/>
  <c r="BZ92" i="106"/>
  <c r="BC115" i="106"/>
  <c r="BI108" i="106"/>
  <c r="BE108" i="106"/>
  <c r="C131" i="106"/>
  <c r="D128" i="106"/>
  <c r="C135" i="106"/>
  <c r="G115" i="106"/>
  <c r="M108" i="106"/>
  <c r="I108" i="106"/>
  <c r="S70" i="106"/>
  <c r="BA54" i="106"/>
  <c r="BA70" i="106"/>
  <c r="BK108" i="106"/>
  <c r="BK113" i="106" s="1"/>
  <c r="BI115" i="106"/>
  <c r="AE70" i="106"/>
  <c r="S25" i="107"/>
  <c r="S19" i="107" s="1"/>
  <c r="AJ140" i="107"/>
  <c r="AK50" i="107"/>
  <c r="AK140" i="107" s="1"/>
  <c r="AI58" i="107"/>
  <c r="AI85" i="106" s="1"/>
  <c r="AW19" i="107"/>
  <c r="L54" i="107"/>
  <c r="BF140" i="107"/>
  <c r="F19" i="107"/>
  <c r="CC129" i="107"/>
  <c r="AJ28" i="107"/>
  <c r="AK26" i="107"/>
  <c r="AK28" i="107" s="1"/>
  <c r="AV109" i="107"/>
  <c r="AW109" i="107" s="1"/>
  <c r="AQ26" i="107"/>
  <c r="AE66" i="107"/>
  <c r="E28" i="107"/>
  <c r="AW38" i="107"/>
  <c r="BG131" i="107"/>
  <c r="BG130" i="107"/>
  <c r="F54" i="107"/>
  <c r="CA146" i="107"/>
  <c r="D66" i="107"/>
  <c r="D58" i="107"/>
  <c r="W58" i="107"/>
  <c r="W85" i="106" s="1"/>
  <c r="AQ108" i="107"/>
  <c r="BT143" i="107"/>
  <c r="M50" i="107"/>
  <c r="M140" i="107" s="1"/>
  <c r="BY44" i="107"/>
  <c r="BY143" i="107"/>
  <c r="BI22" i="107"/>
  <c r="BI19" i="107" s="1"/>
  <c r="CA144" i="107"/>
  <c r="BN74" i="107"/>
  <c r="BH75" i="107"/>
  <c r="BI74" i="107"/>
  <c r="BH76" i="107"/>
  <c r="R144" i="107"/>
  <c r="R54" i="107"/>
  <c r="R58" i="107" s="1"/>
  <c r="R85" i="106" s="1"/>
  <c r="S44" i="107"/>
  <c r="AV140" i="107"/>
  <c r="AV133" i="107" s="1"/>
  <c r="BB133" i="107" s="1"/>
  <c r="BH134" i="107" s="1"/>
  <c r="AW50" i="107"/>
  <c r="AW140" i="107" s="1"/>
  <c r="BS143" i="107"/>
  <c r="Y116" i="107"/>
  <c r="BZ44" i="107"/>
  <c r="BZ143" i="107"/>
  <c r="BZ16" i="107"/>
  <c r="CA16" i="107" s="1"/>
  <c r="AD58" i="107"/>
  <c r="AD85" i="106" s="1"/>
  <c r="AE56" i="107"/>
  <c r="AV19" i="107"/>
  <c r="AV28" i="107" s="1"/>
  <c r="AQ56" i="107"/>
  <c r="F26" i="107"/>
  <c r="BH40" i="107"/>
  <c r="CA44" i="107" l="1"/>
  <c r="M115" i="107"/>
  <c r="AC128" i="106"/>
  <c r="AK89" i="107"/>
  <c r="Y28" i="107"/>
  <c r="AE29" i="107" s="1"/>
  <c r="AC130" i="106"/>
  <c r="AE58" i="107"/>
  <c r="AE85" i="106" s="1"/>
  <c r="M110" i="107"/>
  <c r="X58" i="107"/>
  <c r="X85" i="106" s="1"/>
  <c r="AA88" i="107"/>
  <c r="AB81" i="107" s="1"/>
  <c r="BE184" i="106"/>
  <c r="CA148" i="107"/>
  <c r="CA149" i="107" s="1"/>
  <c r="CE148" i="107"/>
  <c r="BW20" i="106"/>
  <c r="BX20" i="106" s="1"/>
  <c r="BY20" i="106" s="1"/>
  <c r="BZ20" i="106" s="1"/>
  <c r="BU20" i="106"/>
  <c r="BI12" i="107"/>
  <c r="BF108" i="106"/>
  <c r="BF113" i="106" s="1"/>
  <c r="BE115" i="106"/>
  <c r="BE113" i="106"/>
  <c r="BS13" i="107"/>
  <c r="BS171" i="106"/>
  <c r="BE70" i="106"/>
  <c r="BE54" i="106"/>
  <c r="BT35" i="106"/>
  <c r="BS172" i="106"/>
  <c r="BR48" i="106"/>
  <c r="BQ175" i="106"/>
  <c r="J110" i="107"/>
  <c r="K106" i="107" s="1"/>
  <c r="J115" i="107"/>
  <c r="J114" i="107"/>
  <c r="S28" i="107"/>
  <c r="S66" i="107" s="1"/>
  <c r="AQ40" i="107"/>
  <c r="M54" i="107"/>
  <c r="M58" i="107" s="1"/>
  <c r="M85" i="106" s="1"/>
  <c r="AW40" i="107"/>
  <c r="X66" i="107"/>
  <c r="X87" i="106" s="1"/>
  <c r="AB131" i="106"/>
  <c r="G150" i="106"/>
  <c r="G151" i="106" s="1"/>
  <c r="AE126" i="106"/>
  <c r="S124" i="106"/>
  <c r="CA143" i="107"/>
  <c r="F28" i="107"/>
  <c r="F86" i="106" s="1"/>
  <c r="BU143" i="107"/>
  <c r="Y54" i="107"/>
  <c r="G142" i="106"/>
  <c r="G143" i="106" s="1"/>
  <c r="I138" i="106" s="1"/>
  <c r="Y139" i="106"/>
  <c r="BT28" i="106"/>
  <c r="BS25" i="107"/>
  <c r="AQ113" i="106"/>
  <c r="AC132" i="106"/>
  <c r="AC135" i="106" s="1"/>
  <c r="AD120" i="106"/>
  <c r="Q67" i="107"/>
  <c r="Q87" i="106"/>
  <c r="X67" i="107"/>
  <c r="S140" i="106"/>
  <c r="R141" i="106"/>
  <c r="R142" i="106"/>
  <c r="P68" i="107"/>
  <c r="P88" i="106"/>
  <c r="P132" i="106"/>
  <c r="P135" i="106" s="1"/>
  <c r="Q120" i="106"/>
  <c r="AP122" i="106"/>
  <c r="AQ121" i="106"/>
  <c r="BI154" i="106"/>
  <c r="BI40" i="107"/>
  <c r="E66" i="107"/>
  <c r="E86" i="106"/>
  <c r="M66" i="107"/>
  <c r="M86" i="106"/>
  <c r="Y148" i="106"/>
  <c r="BC68" i="107"/>
  <c r="BC88" i="106"/>
  <c r="AQ139" i="106"/>
  <c r="AN68" i="107"/>
  <c r="AN88" i="106"/>
  <c r="AO67" i="107"/>
  <c r="AO87" i="106"/>
  <c r="Q149" i="106"/>
  <c r="S148" i="106"/>
  <c r="AW139" i="106"/>
  <c r="AU142" i="106"/>
  <c r="AG68" i="107"/>
  <c r="AG88" i="106"/>
  <c r="AQ12" i="107"/>
  <c r="AQ28" i="107" s="1"/>
  <c r="AP140" i="106"/>
  <c r="AQ140" i="106" s="1"/>
  <c r="AD68" i="107"/>
  <c r="AD88" i="106"/>
  <c r="AB68" i="107"/>
  <c r="AB88" i="106"/>
  <c r="BS74" i="107"/>
  <c r="BI28" i="107"/>
  <c r="AU67" i="107"/>
  <c r="AU87" i="106"/>
  <c r="AQ124" i="106"/>
  <c r="AT68" i="107"/>
  <c r="AT88" i="106"/>
  <c r="Q142" i="106"/>
  <c r="S139" i="106"/>
  <c r="AJ66" i="107"/>
  <c r="AJ86" i="106"/>
  <c r="AW28" i="107"/>
  <c r="R67" i="107"/>
  <c r="R87" i="106"/>
  <c r="AH68" i="107"/>
  <c r="AH88" i="106"/>
  <c r="AQ152" i="107"/>
  <c r="AQ154" i="107"/>
  <c r="AQ153" i="107"/>
  <c r="AP28" i="107"/>
  <c r="AP58" i="107" s="1"/>
  <c r="AP85" i="106" s="1"/>
  <c r="BQ45" i="106"/>
  <c r="BR45" i="106" s="1"/>
  <c r="BS45" i="106" s="1"/>
  <c r="BT45" i="106" s="1"/>
  <c r="BO45" i="106"/>
  <c r="V68" i="107"/>
  <c r="V88" i="106"/>
  <c r="AW148" i="106"/>
  <c r="AV149" i="106"/>
  <c r="BH28" i="107"/>
  <c r="AO149" i="106"/>
  <c r="AQ148" i="106"/>
  <c r="Y66" i="107"/>
  <c r="Y86" i="106"/>
  <c r="AO141" i="106"/>
  <c r="AO142" i="106"/>
  <c r="C68" i="107"/>
  <c r="C88" i="106"/>
  <c r="AD142" i="106"/>
  <c r="AE139" i="106"/>
  <c r="L66" i="107"/>
  <c r="L86" i="106"/>
  <c r="AE87" i="106"/>
  <c r="C9" i="106"/>
  <c r="C180" i="106" s="1"/>
  <c r="D60" i="107"/>
  <c r="D62" i="107" s="1"/>
  <c r="C63" i="107"/>
  <c r="AV66" i="107"/>
  <c r="AV86" i="106"/>
  <c r="G54" i="107"/>
  <c r="AQ54" i="107"/>
  <c r="Y152" i="107"/>
  <c r="Y154" i="107"/>
  <c r="Y153" i="107"/>
  <c r="AD149" i="106"/>
  <c r="AE148" i="106"/>
  <c r="AI67" i="107"/>
  <c r="AI87" i="106"/>
  <c r="X122" i="106"/>
  <c r="Y121" i="106"/>
  <c r="AJ122" i="106"/>
  <c r="AK121" i="106"/>
  <c r="W67" i="107"/>
  <c r="W87" i="106"/>
  <c r="D67" i="107"/>
  <c r="D87" i="106"/>
  <c r="BK68" i="107"/>
  <c r="BK88" i="106"/>
  <c r="BG66" i="107"/>
  <c r="BG86" i="106"/>
  <c r="AK66" i="107"/>
  <c r="AK86" i="106"/>
  <c r="BF67" i="107"/>
  <c r="BF87" i="106"/>
  <c r="J132" i="106"/>
  <c r="J135" i="106" s="1"/>
  <c r="K120" i="106"/>
  <c r="K67" i="107"/>
  <c r="K87" i="106"/>
  <c r="AK54" i="107"/>
  <c r="AK58" i="107" s="1"/>
  <c r="AK85" i="106" s="1"/>
  <c r="BG58" i="107"/>
  <c r="BG85" i="106" s="1"/>
  <c r="D85" i="106"/>
  <c r="BH142" i="106"/>
  <c r="BH141" i="106"/>
  <c r="BL68" i="107"/>
  <c r="BL88" i="106"/>
  <c r="AM68" i="107"/>
  <c r="AM88" i="106"/>
  <c r="BG141" i="106"/>
  <c r="BG142" i="106"/>
  <c r="BI140" i="106"/>
  <c r="J68" i="107"/>
  <c r="J88" i="106"/>
  <c r="Y40" i="107"/>
  <c r="BT34" i="106"/>
  <c r="CF92" i="106"/>
  <c r="G70" i="106"/>
  <c r="BW93" i="106"/>
  <c r="BI54" i="106"/>
  <c r="BI70" i="106"/>
  <c r="BS10" i="106"/>
  <c r="BS181" i="106" s="1"/>
  <c r="E120" i="106"/>
  <c r="D132" i="106"/>
  <c r="V132" i="106"/>
  <c r="V135" i="106" s="1"/>
  <c r="W120" i="106"/>
  <c r="BT40" i="106"/>
  <c r="BT176" i="106" s="1"/>
  <c r="BT41" i="106"/>
  <c r="BC54" i="106"/>
  <c r="BC70" i="106"/>
  <c r="BZ44" i="106"/>
  <c r="BY112" i="106"/>
  <c r="AB84" i="107"/>
  <c r="AB82" i="107"/>
  <c r="AB85" i="107"/>
  <c r="AV131" i="107"/>
  <c r="AW54" i="107"/>
  <c r="AV58" i="107"/>
  <c r="AV85" i="106" s="1"/>
  <c r="CC16" i="107"/>
  <c r="BI75" i="107"/>
  <c r="E58" i="107"/>
  <c r="AK90" i="107"/>
  <c r="AM89" i="107"/>
  <c r="AJ58" i="107"/>
  <c r="AJ85" i="106" s="1"/>
  <c r="BT74" i="107"/>
  <c r="BO74" i="107"/>
  <c r="BH130" i="107"/>
  <c r="S144" i="107"/>
  <c r="S54" i="107"/>
  <c r="G26" i="107"/>
  <c r="G28" i="107" s="1"/>
  <c r="BH131" i="107"/>
  <c r="L58" i="107"/>
  <c r="L85" i="106" s="1"/>
  <c r="S86" i="106" l="1"/>
  <c r="I147" i="106"/>
  <c r="BI113" i="106"/>
  <c r="S58" i="107"/>
  <c r="S85" i="106" s="1"/>
  <c r="F58" i="107"/>
  <c r="F85" i="106" s="1"/>
  <c r="F66" i="107"/>
  <c r="F67" i="107" s="1"/>
  <c r="C183" i="106"/>
  <c r="C184" i="106"/>
  <c r="CE143" i="107"/>
  <c r="CG143" i="107" s="1"/>
  <c r="CG148" i="107"/>
  <c r="CG149" i="107" s="1"/>
  <c r="CA20" i="106"/>
  <c r="CC20" i="106"/>
  <c r="BT13" i="107"/>
  <c r="BU13" i="107" s="1"/>
  <c r="BT171" i="106"/>
  <c r="BS48" i="106"/>
  <c r="BR175" i="106"/>
  <c r="BT172" i="106"/>
  <c r="BW35" i="106"/>
  <c r="BU35" i="106"/>
  <c r="BU172" i="106" s="1"/>
  <c r="D9" i="106"/>
  <c r="D180" i="106" s="1"/>
  <c r="E60" i="107"/>
  <c r="E62" i="107" s="1"/>
  <c r="Y58" i="107"/>
  <c r="Y85" i="106" s="1"/>
  <c r="BI86" i="106"/>
  <c r="BH58" i="107"/>
  <c r="BH85" i="106" s="1"/>
  <c r="AW58" i="107"/>
  <c r="AW85" i="106" s="1"/>
  <c r="K115" i="107"/>
  <c r="K114" i="107"/>
  <c r="K110" i="107"/>
  <c r="L106" i="107" s="1"/>
  <c r="BI58" i="107"/>
  <c r="BI85" i="106" s="1"/>
  <c r="G144" i="106"/>
  <c r="I142" i="106"/>
  <c r="M142" i="106" s="1"/>
  <c r="M138" i="106"/>
  <c r="M141" i="106" s="1"/>
  <c r="BT25" i="107"/>
  <c r="BU25" i="107" s="1"/>
  <c r="BU28" i="106"/>
  <c r="BW28" i="106"/>
  <c r="AQ66" i="107"/>
  <c r="AQ86" i="106"/>
  <c r="AQ58" i="107"/>
  <c r="AQ85" i="106" s="1"/>
  <c r="K126" i="106"/>
  <c r="K130" i="106"/>
  <c r="M67" i="107"/>
  <c r="M87" i="106"/>
  <c r="M147" i="106"/>
  <c r="I149" i="106"/>
  <c r="M149" i="106" s="1"/>
  <c r="BI154" i="107"/>
  <c r="BI153" i="107"/>
  <c r="BI152" i="107"/>
  <c r="I141" i="106"/>
  <c r="D15" i="106"/>
  <c r="D91" i="106"/>
  <c r="D58" i="106"/>
  <c r="AU68" i="107"/>
  <c r="AU88" i="106"/>
  <c r="E67" i="107"/>
  <c r="E87" i="106"/>
  <c r="AD128" i="106"/>
  <c r="AC131" i="106"/>
  <c r="D68" i="107"/>
  <c r="D88" i="106"/>
  <c r="AI68" i="107"/>
  <c r="AI88" i="106"/>
  <c r="L67" i="107"/>
  <c r="L87" i="106"/>
  <c r="Q68" i="107"/>
  <c r="Q88" i="106"/>
  <c r="G66" i="107"/>
  <c r="G86" i="106"/>
  <c r="E85" i="106"/>
  <c r="J131" i="106"/>
  <c r="K128" i="106"/>
  <c r="W68" i="107"/>
  <c r="W88" i="106"/>
  <c r="AD126" i="106"/>
  <c r="AD130" i="106"/>
  <c r="BI66" i="107"/>
  <c r="BI87" i="106" s="1"/>
  <c r="BF68" i="107"/>
  <c r="BF88" i="106"/>
  <c r="BG67" i="107"/>
  <c r="BG87" i="106"/>
  <c r="C74" i="106"/>
  <c r="C15" i="106"/>
  <c r="C91" i="106"/>
  <c r="C75" i="106"/>
  <c r="C58" i="106"/>
  <c r="Y67" i="107"/>
  <c r="Y87" i="106"/>
  <c r="AW66" i="107"/>
  <c r="AW86" i="106"/>
  <c r="AP142" i="106"/>
  <c r="AP141" i="106"/>
  <c r="AV67" i="107"/>
  <c r="AV87" i="106"/>
  <c r="BU45" i="106"/>
  <c r="BW45" i="106"/>
  <c r="BX45" i="106" s="1"/>
  <c r="BY45" i="106" s="1"/>
  <c r="BZ45" i="106" s="1"/>
  <c r="R68" i="107"/>
  <c r="R88" i="106"/>
  <c r="AJ67" i="107"/>
  <c r="AJ87" i="106"/>
  <c r="S67" i="107"/>
  <c r="S87" i="106"/>
  <c r="AO68" i="107"/>
  <c r="AO88" i="106"/>
  <c r="P131" i="106"/>
  <c r="Q128" i="106"/>
  <c r="Q126" i="106"/>
  <c r="Q130" i="106"/>
  <c r="K68" i="107"/>
  <c r="K88" i="106"/>
  <c r="AK87" i="106"/>
  <c r="BH66" i="107"/>
  <c r="BH86" i="106"/>
  <c r="AP66" i="107"/>
  <c r="AP86" i="106"/>
  <c r="BY74" i="107"/>
  <c r="X68" i="107"/>
  <c r="X88" i="106"/>
  <c r="BW40" i="106"/>
  <c r="BW176" i="106" s="1"/>
  <c r="BU40" i="106"/>
  <c r="BU176" i="106" s="1"/>
  <c r="D131" i="106"/>
  <c r="E128" i="106"/>
  <c r="BT10" i="106"/>
  <c r="BT181" i="106" s="1"/>
  <c r="D135" i="106"/>
  <c r="CC44" i="106"/>
  <c r="CA44" i="106"/>
  <c r="BZ112" i="106"/>
  <c r="CA112" i="106" s="1"/>
  <c r="E126" i="106"/>
  <c r="E130" i="106"/>
  <c r="BX93" i="106"/>
  <c r="W126" i="106"/>
  <c r="W130" i="106"/>
  <c r="BU41" i="106"/>
  <c r="BW41" i="106"/>
  <c r="W128" i="106"/>
  <c r="V131" i="106"/>
  <c r="BW34" i="106"/>
  <c r="BW171" i="106" s="1"/>
  <c r="BU34" i="106"/>
  <c r="BU171" i="106" s="1"/>
  <c r="BZ74" i="107"/>
  <c r="BU74" i="107"/>
  <c r="BI131" i="107"/>
  <c r="BI137" i="107" s="1"/>
  <c r="BH140" i="107"/>
  <c r="G58" i="107"/>
  <c r="BI130" i="107"/>
  <c r="BI136" i="107" s="1"/>
  <c r="AN89" i="107"/>
  <c r="AO89" i="107" s="1"/>
  <c r="AB88" i="107"/>
  <c r="AC81" i="107" s="1"/>
  <c r="BO75" i="107"/>
  <c r="CD16" i="107"/>
  <c r="BI67" i="107" l="1"/>
  <c r="BI68" i="107" s="1"/>
  <c r="D63" i="107"/>
  <c r="F87" i="106"/>
  <c r="D75" i="106"/>
  <c r="D74" i="106"/>
  <c r="D184" i="106"/>
  <c r="D183" i="106"/>
  <c r="CD20" i="106"/>
  <c r="BX35" i="106"/>
  <c r="BW172" i="106"/>
  <c r="BT48" i="106"/>
  <c r="BS175" i="106"/>
  <c r="E9" i="106"/>
  <c r="E75" i="106" s="1"/>
  <c r="L110" i="107"/>
  <c r="O106" i="107" s="1"/>
  <c r="L115" i="107"/>
  <c r="L114" i="107"/>
  <c r="M143" i="106"/>
  <c r="O138" i="106" s="1"/>
  <c r="F60" i="107"/>
  <c r="F62" i="107" s="1"/>
  <c r="BX28" i="106"/>
  <c r="BW25" i="107"/>
  <c r="BW13" i="107"/>
  <c r="M150" i="106"/>
  <c r="M151" i="106" s="1"/>
  <c r="CE74" i="107"/>
  <c r="BH67" i="107"/>
  <c r="BH87" i="106"/>
  <c r="F68" i="107"/>
  <c r="F88" i="106"/>
  <c r="K132" i="106"/>
  <c r="L120" i="106"/>
  <c r="BI88" i="106"/>
  <c r="R120" i="106"/>
  <c r="Q132" i="106"/>
  <c r="C22" i="106"/>
  <c r="C76" i="106"/>
  <c r="C73" i="106"/>
  <c r="AG120" i="106"/>
  <c r="AD132" i="106"/>
  <c r="AD135" i="106" s="1"/>
  <c r="G67" i="107"/>
  <c r="G87" i="106"/>
  <c r="D59" i="106"/>
  <c r="S68" i="107"/>
  <c r="S88" i="106"/>
  <c r="AV68" i="107"/>
  <c r="AV88" i="106"/>
  <c r="AW87" i="106"/>
  <c r="E68" i="107"/>
  <c r="E88" i="106"/>
  <c r="L68" i="107"/>
  <c r="L88" i="106"/>
  <c r="D22" i="106"/>
  <c r="D76" i="106"/>
  <c r="D73" i="106"/>
  <c r="AJ68" i="107"/>
  <c r="AJ88" i="106"/>
  <c r="BG68" i="107"/>
  <c r="BG88" i="106"/>
  <c r="G62" i="107"/>
  <c r="I60" i="107" s="1"/>
  <c r="G85" i="106"/>
  <c r="AP67" i="107"/>
  <c r="AP87" i="106"/>
  <c r="C59" i="106"/>
  <c r="M68" i="107"/>
  <c r="M88" i="106"/>
  <c r="Y68" i="107"/>
  <c r="Y88" i="106"/>
  <c r="CC45" i="106"/>
  <c r="CA45" i="106"/>
  <c r="AQ87" i="106"/>
  <c r="E132" i="106"/>
  <c r="E135" i="106" s="1"/>
  <c r="F120" i="106"/>
  <c r="BU10" i="106"/>
  <c r="BU181" i="106" s="1"/>
  <c r="BW10" i="106"/>
  <c r="BW181" i="106" s="1"/>
  <c r="BX40" i="106"/>
  <c r="BX176" i="106" s="1"/>
  <c r="BY93" i="106"/>
  <c r="CD44" i="106"/>
  <c r="CC112" i="106"/>
  <c r="BX34" i="106"/>
  <c r="BX41" i="106"/>
  <c r="X120" i="106"/>
  <c r="W132" i="106"/>
  <c r="W135" i="106" s="1"/>
  <c r="BU75" i="107"/>
  <c r="CF74" i="107"/>
  <c r="CA74" i="107"/>
  <c r="AC84" i="107"/>
  <c r="AC85" i="107"/>
  <c r="AC82" i="107"/>
  <c r="AP89" i="107"/>
  <c r="AU90" i="107"/>
  <c r="CE16" i="107"/>
  <c r="E58" i="106" l="1"/>
  <c r="E74" i="106"/>
  <c r="M144" i="106"/>
  <c r="E91" i="106"/>
  <c r="E15" i="106"/>
  <c r="E22" i="106" s="1"/>
  <c r="E63" i="107"/>
  <c r="E180" i="106"/>
  <c r="CE20" i="106"/>
  <c r="BX13" i="107"/>
  <c r="BX171" i="106"/>
  <c r="BU48" i="106"/>
  <c r="BT175" i="106"/>
  <c r="BY35" i="106"/>
  <c r="BX172" i="106"/>
  <c r="O110" i="107"/>
  <c r="P106" i="107" s="1"/>
  <c r="O114" i="107"/>
  <c r="S106" i="107"/>
  <c r="O115" i="107"/>
  <c r="F9" i="106"/>
  <c r="O147" i="106"/>
  <c r="S147" i="106" s="1"/>
  <c r="CD45" i="106"/>
  <c r="BX25" i="107"/>
  <c r="BY28" i="106"/>
  <c r="G68" i="107"/>
  <c r="G88" i="106"/>
  <c r="R125" i="106"/>
  <c r="S125" i="106" s="1"/>
  <c r="S126" i="106" s="1"/>
  <c r="R130" i="106"/>
  <c r="AP68" i="107"/>
  <c r="AP88" i="106"/>
  <c r="AG128" i="106"/>
  <c r="AK128" i="106" s="1"/>
  <c r="AD131" i="106"/>
  <c r="AE131" i="106" s="1"/>
  <c r="AE132" i="106" s="1"/>
  <c r="AE135" i="106" s="1"/>
  <c r="BO12" i="107"/>
  <c r="AG126" i="106"/>
  <c r="AK120" i="106"/>
  <c r="AG130" i="106"/>
  <c r="L125" i="106"/>
  <c r="M125" i="106" s="1"/>
  <c r="M126" i="106" s="1"/>
  <c r="L130" i="106"/>
  <c r="BO18" i="106"/>
  <c r="C54" i="106"/>
  <c r="D54" i="106"/>
  <c r="K131" i="106"/>
  <c r="L128" i="106"/>
  <c r="L131" i="106" s="1"/>
  <c r="BH68" i="107"/>
  <c r="BH88" i="106"/>
  <c r="R128" i="106"/>
  <c r="R131" i="106" s="1"/>
  <c r="Q135" i="106"/>
  <c r="Q131" i="106"/>
  <c r="E59" i="106"/>
  <c r="G9" i="106"/>
  <c r="G180" i="106" s="1"/>
  <c r="K135" i="106"/>
  <c r="S138" i="106"/>
  <c r="O141" i="106"/>
  <c r="O142" i="106"/>
  <c r="S142" i="106" s="1"/>
  <c r="X128" i="106"/>
  <c r="X131" i="106" s="1"/>
  <c r="W131" i="106"/>
  <c r="X125" i="106"/>
  <c r="Y125" i="106" s="1"/>
  <c r="Y126" i="106" s="1"/>
  <c r="X130" i="106"/>
  <c r="CE44" i="106"/>
  <c r="CD112" i="106"/>
  <c r="BY40" i="106"/>
  <c r="BY176" i="106" s="1"/>
  <c r="BY41" i="106"/>
  <c r="BZ93" i="106"/>
  <c r="F130" i="106"/>
  <c r="F125" i="106"/>
  <c r="G125" i="106" s="1"/>
  <c r="G126" i="106" s="1"/>
  <c r="BY34" i="106"/>
  <c r="BX10" i="106"/>
  <c r="BX181" i="106" s="1"/>
  <c r="F128" i="106"/>
  <c r="F131" i="106" s="1"/>
  <c r="E131" i="106"/>
  <c r="AC88" i="107"/>
  <c r="AD81" i="107" s="1"/>
  <c r="AV90" i="107"/>
  <c r="AQ89" i="107"/>
  <c r="CA75" i="107"/>
  <c r="CF16" i="107"/>
  <c r="CG74" i="107"/>
  <c r="M60" i="107"/>
  <c r="M62" i="107" s="1"/>
  <c r="I62" i="107"/>
  <c r="I9" i="106" s="1"/>
  <c r="I180" i="106" s="1"/>
  <c r="E76" i="106" l="1"/>
  <c r="E73" i="106"/>
  <c r="E184" i="106"/>
  <c r="E183" i="106"/>
  <c r="I183" i="106"/>
  <c r="I184" i="106"/>
  <c r="F63" i="107"/>
  <c r="F180" i="106"/>
  <c r="CF20" i="106"/>
  <c r="BY13" i="107"/>
  <c r="BY171" i="106"/>
  <c r="BZ35" i="106"/>
  <c r="BY172" i="106"/>
  <c r="BW48" i="106"/>
  <c r="BU175" i="106"/>
  <c r="F15" i="106"/>
  <c r="F73" i="106" s="1"/>
  <c r="O149" i="106"/>
  <c r="S149" i="106" s="1"/>
  <c r="S150" i="106" s="1"/>
  <c r="F75" i="106"/>
  <c r="F58" i="106"/>
  <c r="F59" i="106" s="1"/>
  <c r="S110" i="107"/>
  <c r="S114" i="107"/>
  <c r="S115" i="107"/>
  <c r="F91" i="106"/>
  <c r="P110" i="107"/>
  <c r="Q106" i="107" s="1"/>
  <c r="P115" i="107"/>
  <c r="P114" i="107"/>
  <c r="F74" i="106"/>
  <c r="M131" i="106"/>
  <c r="M132" i="106" s="1"/>
  <c r="M135" i="106" s="1"/>
  <c r="BZ28" i="106"/>
  <c r="BY25" i="107"/>
  <c r="CE45" i="106"/>
  <c r="AK126" i="106"/>
  <c r="AK130" i="106"/>
  <c r="G91" i="106"/>
  <c r="G58" i="106"/>
  <c r="G15" i="106"/>
  <c r="G75" i="106"/>
  <c r="G74" i="106"/>
  <c r="G63" i="107"/>
  <c r="I15" i="106"/>
  <c r="I75" i="106"/>
  <c r="I74" i="106"/>
  <c r="I58" i="106"/>
  <c r="I91" i="106"/>
  <c r="AH120" i="106"/>
  <c r="AG132" i="106"/>
  <c r="AG135" i="106" s="1"/>
  <c r="E54" i="106"/>
  <c r="Y131" i="106"/>
  <c r="Y132" i="106" s="1"/>
  <c r="Y135" i="106" s="1"/>
  <c r="S131" i="106"/>
  <c r="S132" i="106" s="1"/>
  <c r="S135" i="106" s="1"/>
  <c r="G131" i="106"/>
  <c r="G132" i="106" s="1"/>
  <c r="G135" i="106" s="1"/>
  <c r="F22" i="106"/>
  <c r="BZ34" i="106"/>
  <c r="CF44" i="106"/>
  <c r="CE112" i="106"/>
  <c r="CC93" i="106"/>
  <c r="BZ41" i="106"/>
  <c r="S143" i="106"/>
  <c r="S141" i="106"/>
  <c r="BZ40" i="106"/>
  <c r="BZ176" i="106" s="1"/>
  <c r="BY10" i="106"/>
  <c r="BY181" i="106" s="1"/>
  <c r="AS89" i="107"/>
  <c r="AQ90" i="107"/>
  <c r="CG16" i="107"/>
  <c r="O60" i="107"/>
  <c r="CG75" i="107"/>
  <c r="AD82" i="107"/>
  <c r="AE82" i="107" s="1"/>
  <c r="AD84" i="107"/>
  <c r="AE84" i="107" s="1"/>
  <c r="AE92" i="107" s="1"/>
  <c r="AD85" i="107"/>
  <c r="AE85" i="107" s="1"/>
  <c r="AE93" i="107" s="1"/>
  <c r="I63" i="107"/>
  <c r="J60" i="107"/>
  <c r="J62" i="107" s="1"/>
  <c r="J9" i="106" s="1"/>
  <c r="J180" i="106" s="1"/>
  <c r="F76" i="106" l="1"/>
  <c r="J184" i="106"/>
  <c r="J183" i="106"/>
  <c r="F183" i="106"/>
  <c r="G183" i="106" s="1"/>
  <c r="F184" i="106"/>
  <c r="G184" i="106" s="1"/>
  <c r="CG20" i="106"/>
  <c r="S151" i="106"/>
  <c r="U147" i="106"/>
  <c r="U149" i="106" s="1"/>
  <c r="Y149" i="106" s="1"/>
  <c r="BZ13" i="107"/>
  <c r="CA13" i="107" s="1"/>
  <c r="BZ171" i="106"/>
  <c r="BX48" i="106"/>
  <c r="BW175" i="106"/>
  <c r="BZ172" i="106"/>
  <c r="CA35" i="106"/>
  <c r="CA172" i="106" s="1"/>
  <c r="CC35" i="106"/>
  <c r="Q110" i="107"/>
  <c r="R106" i="107" s="1"/>
  <c r="Q114" i="107"/>
  <c r="Q115" i="107"/>
  <c r="CF45" i="106"/>
  <c r="CC28" i="106"/>
  <c r="BZ25" i="107"/>
  <c r="CA25" i="107" s="1"/>
  <c r="CA28" i="106"/>
  <c r="G73" i="106"/>
  <c r="G22" i="106"/>
  <c r="G76" i="106"/>
  <c r="F54" i="106"/>
  <c r="J58" i="106"/>
  <c r="J15" i="106"/>
  <c r="J91" i="106"/>
  <c r="J74" i="106"/>
  <c r="J75" i="106"/>
  <c r="AH126" i="106"/>
  <c r="AH130" i="106"/>
  <c r="I59" i="106"/>
  <c r="G59" i="106"/>
  <c r="AG131" i="106"/>
  <c r="AH128" i="106"/>
  <c r="I22" i="106"/>
  <c r="I73" i="106"/>
  <c r="I76" i="106"/>
  <c r="BZ10" i="106"/>
  <c r="BZ181" i="106" s="1"/>
  <c r="CG44" i="106"/>
  <c r="CF112" i="106"/>
  <c r="CG112" i="106" s="1"/>
  <c r="CC40" i="106"/>
  <c r="CA40" i="106"/>
  <c r="CA176" i="106" s="1"/>
  <c r="U138" i="106"/>
  <c r="S144" i="106"/>
  <c r="CC34" i="106"/>
  <c r="CC171" i="106" s="1"/>
  <c r="CA34" i="106"/>
  <c r="CA171" i="106" s="1"/>
  <c r="CA41" i="106"/>
  <c r="CC41" i="106"/>
  <c r="CD93" i="106"/>
  <c r="AE94" i="107"/>
  <c r="AE88" i="107"/>
  <c r="S60" i="107"/>
  <c r="S62" i="107" s="1"/>
  <c r="O62" i="107"/>
  <c r="O9" i="106" s="1"/>
  <c r="O180" i="106" s="1"/>
  <c r="J63" i="107"/>
  <c r="K60" i="107"/>
  <c r="K62" i="107" s="1"/>
  <c r="K9" i="106" s="1"/>
  <c r="K180" i="106" s="1"/>
  <c r="AD88" i="107"/>
  <c r="AG81" i="107" s="1"/>
  <c r="AT89" i="107"/>
  <c r="AW89" i="107" s="1"/>
  <c r="AW90" i="107" s="1"/>
  <c r="Y147" i="106" l="1"/>
  <c r="K184" i="106"/>
  <c r="K183" i="106"/>
  <c r="O183" i="106"/>
  <c r="O184" i="106"/>
  <c r="CC176" i="106"/>
  <c r="CC172" i="106"/>
  <c r="CD35" i="106"/>
  <c r="BY48" i="106"/>
  <c r="BX175" i="106"/>
  <c r="R110" i="107"/>
  <c r="U106" i="107" s="1"/>
  <c r="R114" i="107"/>
  <c r="R115" i="107"/>
  <c r="CC13" i="107"/>
  <c r="CC25" i="107"/>
  <c r="CD28" i="106"/>
  <c r="CG45" i="106"/>
  <c r="O74" i="106"/>
  <c r="O58" i="106"/>
  <c r="O15" i="106"/>
  <c r="O91" i="106"/>
  <c r="O75" i="106"/>
  <c r="J22" i="106"/>
  <c r="J73" i="106"/>
  <c r="J76" i="106"/>
  <c r="G54" i="106"/>
  <c r="I54" i="106"/>
  <c r="J59" i="106"/>
  <c r="Y150" i="106"/>
  <c r="K15" i="106"/>
  <c r="K74" i="106"/>
  <c r="K91" i="106"/>
  <c r="K75" i="106"/>
  <c r="K58" i="106"/>
  <c r="AI120" i="106"/>
  <c r="AH132" i="106"/>
  <c r="CE93" i="106"/>
  <c r="CD40" i="106"/>
  <c r="CD41" i="106"/>
  <c r="Y138" i="106"/>
  <c r="U141" i="106"/>
  <c r="U142" i="106"/>
  <c r="Y142" i="106" s="1"/>
  <c r="CD34" i="106"/>
  <c r="CD171" i="106" s="1"/>
  <c r="CA10" i="106"/>
  <c r="CA181" i="106" s="1"/>
  <c r="CC10" i="106"/>
  <c r="U60" i="107"/>
  <c r="O63" i="107"/>
  <c r="P60" i="107"/>
  <c r="P62" i="107" s="1"/>
  <c r="P9" i="106" s="1"/>
  <c r="P180" i="106" s="1"/>
  <c r="AG82" i="107"/>
  <c r="AG84" i="107"/>
  <c r="AG85" i="107"/>
  <c r="AK81" i="107"/>
  <c r="L60" i="107"/>
  <c r="L62" i="107" s="1"/>
  <c r="K63" i="107"/>
  <c r="P184" i="106" l="1"/>
  <c r="P183" i="106"/>
  <c r="CD176" i="106"/>
  <c r="BZ48" i="106"/>
  <c r="BY175" i="106"/>
  <c r="CD172" i="106"/>
  <c r="CE35" i="106"/>
  <c r="CC181" i="106"/>
  <c r="U114" i="107"/>
  <c r="U110" i="107"/>
  <c r="V106" i="107" s="1"/>
  <c r="Y106" i="107"/>
  <c r="U115" i="107"/>
  <c r="CD13" i="107"/>
  <c r="CE28" i="106"/>
  <c r="CD25" i="107"/>
  <c r="L9" i="106"/>
  <c r="K59" i="106"/>
  <c r="J54" i="106"/>
  <c r="K22" i="106"/>
  <c r="K73" i="106"/>
  <c r="K76" i="106"/>
  <c r="O22" i="106"/>
  <c r="O73" i="106"/>
  <c r="O76" i="106"/>
  <c r="P74" i="106"/>
  <c r="P75" i="106"/>
  <c r="P15" i="106"/>
  <c r="P91" i="106"/>
  <c r="P58" i="106"/>
  <c r="AH131" i="106"/>
  <c r="AI128" i="106"/>
  <c r="AH135" i="106"/>
  <c r="O59" i="106"/>
  <c r="AG88" i="107"/>
  <c r="AH81" i="107" s="1"/>
  <c r="AH84" i="107" s="1"/>
  <c r="AA147" i="106"/>
  <c r="Y151" i="106"/>
  <c r="AI126" i="106"/>
  <c r="AI130" i="106"/>
  <c r="CE41" i="106"/>
  <c r="CE40" i="106"/>
  <c r="CD10" i="106"/>
  <c r="Y143" i="106"/>
  <c r="Y141" i="106"/>
  <c r="CF93" i="106"/>
  <c r="CE34" i="106"/>
  <c r="CE171" i="106" s="1"/>
  <c r="Q60" i="107"/>
  <c r="Q62" i="107" s="1"/>
  <c r="Q9" i="106" s="1"/>
  <c r="Q180" i="106" s="1"/>
  <c r="P63" i="107"/>
  <c r="Y60" i="107"/>
  <c r="Y62" i="107" s="1"/>
  <c r="U62" i="107"/>
  <c r="U9" i="106" s="1"/>
  <c r="U180" i="106" s="1"/>
  <c r="Q184" i="106" l="1"/>
  <c r="Q183" i="106"/>
  <c r="U184" i="106"/>
  <c r="U183" i="106"/>
  <c r="L63" i="107"/>
  <c r="L180" i="106"/>
  <c r="CE176" i="106"/>
  <c r="CE172" i="106"/>
  <c r="CF35" i="106"/>
  <c r="CD181" i="106"/>
  <c r="CA48" i="106"/>
  <c r="BZ175" i="106"/>
  <c r="AH85" i="107"/>
  <c r="Y110" i="107"/>
  <c r="AA106" i="107" s="1"/>
  <c r="Y115" i="107"/>
  <c r="Y114" i="107"/>
  <c r="V110" i="107"/>
  <c r="W106" i="107" s="1"/>
  <c r="V114" i="107"/>
  <c r="V115" i="107"/>
  <c r="AH82" i="107"/>
  <c r="CE13" i="107"/>
  <c r="CF28" i="106"/>
  <c r="CE25" i="107"/>
  <c r="P22" i="106"/>
  <c r="P73" i="106"/>
  <c r="P76" i="106"/>
  <c r="K54" i="106"/>
  <c r="AJ120" i="106"/>
  <c r="AI132" i="106"/>
  <c r="U58" i="106"/>
  <c r="U15" i="106"/>
  <c r="U75" i="106"/>
  <c r="U91" i="106"/>
  <c r="U74" i="106"/>
  <c r="O54" i="106"/>
  <c r="M9" i="106"/>
  <c r="M180" i="106" s="1"/>
  <c r="L15" i="106"/>
  <c r="L75" i="106"/>
  <c r="L74" i="106"/>
  <c r="L91" i="106"/>
  <c r="L58" i="106"/>
  <c r="P59" i="106"/>
  <c r="Q15" i="106"/>
  <c r="Q74" i="106"/>
  <c r="Q75" i="106"/>
  <c r="Q91" i="106"/>
  <c r="Q58" i="106"/>
  <c r="AA149" i="106"/>
  <c r="AE149" i="106" s="1"/>
  <c r="AE147" i="106"/>
  <c r="CF34" i="106"/>
  <c r="CF171" i="106" s="1"/>
  <c r="CE10" i="106"/>
  <c r="CF40" i="106"/>
  <c r="AA138" i="106"/>
  <c r="Y144" i="106"/>
  <c r="CF41" i="106"/>
  <c r="V60" i="107"/>
  <c r="V62" i="107" s="1"/>
  <c r="V9" i="106" s="1"/>
  <c r="V180" i="106" s="1"/>
  <c r="U63" i="107"/>
  <c r="R60" i="107"/>
  <c r="R62" i="107" s="1"/>
  <c r="Q63" i="107"/>
  <c r="AA60" i="107"/>
  <c r="AH88" i="107" l="1"/>
  <c r="AI81" i="107" s="1"/>
  <c r="AI84" i="107" s="1"/>
  <c r="L183" i="106"/>
  <c r="M183" i="106" s="1"/>
  <c r="L184" i="106"/>
  <c r="M184" i="106" s="1"/>
  <c r="V183" i="106"/>
  <c r="V184" i="106"/>
  <c r="CF176" i="106"/>
  <c r="CF172" i="106"/>
  <c r="CG35" i="106"/>
  <c r="CE181" i="106"/>
  <c r="CC48" i="106"/>
  <c r="CA175" i="106"/>
  <c r="AI82" i="107"/>
  <c r="W115" i="107"/>
  <c r="W114" i="107"/>
  <c r="W110" i="107"/>
  <c r="X106" i="107" s="1"/>
  <c r="AE106" i="107"/>
  <c r="AA110" i="107"/>
  <c r="AB106" i="107" s="1"/>
  <c r="AA115" i="107"/>
  <c r="AA114" i="107"/>
  <c r="CF13" i="107"/>
  <c r="AE150" i="106"/>
  <c r="AE151" i="106" s="1"/>
  <c r="CF25" i="107"/>
  <c r="CG28" i="106"/>
  <c r="U22" i="106"/>
  <c r="U73" i="106"/>
  <c r="U76" i="106"/>
  <c r="U59" i="106"/>
  <c r="AJ130" i="106"/>
  <c r="AJ126" i="106"/>
  <c r="P54" i="106"/>
  <c r="R9" i="106"/>
  <c r="Q59" i="106"/>
  <c r="V15" i="106"/>
  <c r="V58" i="106"/>
  <c r="V75" i="106"/>
  <c r="V74" i="106"/>
  <c r="V91" i="106"/>
  <c r="Q22" i="106"/>
  <c r="Q76" i="106"/>
  <c r="Q73" i="106"/>
  <c r="L59" i="106"/>
  <c r="AJ128" i="106"/>
  <c r="AI131" i="106"/>
  <c r="AI135" i="106"/>
  <c r="L76" i="106"/>
  <c r="L73" i="106"/>
  <c r="L22" i="106"/>
  <c r="M74" i="106"/>
  <c r="M15" i="106"/>
  <c r="M91" i="106"/>
  <c r="M58" i="106"/>
  <c r="M75" i="106"/>
  <c r="M63" i="107"/>
  <c r="CG41" i="106"/>
  <c r="CG34" i="106"/>
  <c r="AE138" i="106"/>
  <c r="AA141" i="106"/>
  <c r="AA142" i="106"/>
  <c r="AE142" i="106" s="1"/>
  <c r="CG40" i="106"/>
  <c r="CF10" i="106"/>
  <c r="AE60" i="107"/>
  <c r="AE62" i="107" s="1"/>
  <c r="AA62" i="107"/>
  <c r="AA9" i="106" s="1"/>
  <c r="AA180" i="106" s="1"/>
  <c r="W60" i="107"/>
  <c r="W62" i="107" s="1"/>
  <c r="W9" i="106" s="1"/>
  <c r="W180" i="106" s="1"/>
  <c r="V63" i="107"/>
  <c r="AI85" i="107" l="1"/>
  <c r="AI88" i="107" s="1"/>
  <c r="AJ81" i="107" s="1"/>
  <c r="AJ84" i="107" s="1"/>
  <c r="AK84" i="107" s="1"/>
  <c r="AK92" i="107" s="1"/>
  <c r="AA184" i="106"/>
  <c r="AA183" i="106"/>
  <c r="W184" i="106"/>
  <c r="W183" i="106"/>
  <c r="R63" i="107"/>
  <c r="R180" i="106"/>
  <c r="CG176" i="106"/>
  <c r="CG171" i="106"/>
  <c r="CC175" i="106"/>
  <c r="CD48" i="106"/>
  <c r="CG172" i="106"/>
  <c r="CF181" i="106"/>
  <c r="AB114" i="107"/>
  <c r="AB115" i="107"/>
  <c r="AB110" i="107"/>
  <c r="AC106" i="107" s="1"/>
  <c r="AE114" i="107"/>
  <c r="AE110" i="107"/>
  <c r="AG106" i="107" s="1"/>
  <c r="AE115" i="107"/>
  <c r="X110" i="107"/>
  <c r="X115" i="107"/>
  <c r="X114" i="107"/>
  <c r="AG147" i="106"/>
  <c r="AG149" i="106" s="1"/>
  <c r="AK149" i="106" s="1"/>
  <c r="AJ85" i="107"/>
  <c r="AK85" i="107" s="1"/>
  <c r="AK93" i="107" s="1"/>
  <c r="AJ82" i="107"/>
  <c r="AK82" i="107" s="1"/>
  <c r="AK94" i="107" s="1"/>
  <c r="CG25" i="107"/>
  <c r="CG13" i="107"/>
  <c r="M59" i="106"/>
  <c r="Q54" i="106"/>
  <c r="M73" i="106"/>
  <c r="M76" i="106"/>
  <c r="M22" i="106"/>
  <c r="U54" i="106"/>
  <c r="AA15" i="106"/>
  <c r="AA58" i="106"/>
  <c r="AA75" i="106"/>
  <c r="AA91" i="106"/>
  <c r="AA74" i="106"/>
  <c r="V59" i="106"/>
  <c r="AM120" i="106"/>
  <c r="AJ132" i="106"/>
  <c r="W15" i="106"/>
  <c r="W75" i="106"/>
  <c r="W91" i="106"/>
  <c r="W74" i="106"/>
  <c r="W58" i="106"/>
  <c r="R58" i="106"/>
  <c r="R15" i="106"/>
  <c r="R75" i="106"/>
  <c r="S9" i="106"/>
  <c r="S180" i="106" s="1"/>
  <c r="R91" i="106"/>
  <c r="R74" i="106"/>
  <c r="L54" i="106"/>
  <c r="V22" i="106"/>
  <c r="V73" i="106"/>
  <c r="V76" i="106"/>
  <c r="CG10" i="106"/>
  <c r="AE143" i="106"/>
  <c r="AE141" i="106"/>
  <c r="AB60" i="107"/>
  <c r="AB62" i="107" s="1"/>
  <c r="AB9" i="106" s="1"/>
  <c r="AB180" i="106" s="1"/>
  <c r="AA63" i="107"/>
  <c r="W63" i="107"/>
  <c r="X60" i="107"/>
  <c r="X62" i="107" s="1"/>
  <c r="AG60" i="107"/>
  <c r="AK147" i="106" l="1"/>
  <c r="AB183" i="106"/>
  <c r="AB184" i="106"/>
  <c r="AJ88" i="107"/>
  <c r="AM81" i="107" s="1"/>
  <c r="AM82" i="107" s="1"/>
  <c r="R184" i="106"/>
  <c r="S184" i="106" s="1"/>
  <c r="R183" i="106"/>
  <c r="S183" i="106" s="1"/>
  <c r="CD175" i="106"/>
  <c r="CE48" i="106"/>
  <c r="CG181" i="106"/>
  <c r="AG115" i="107"/>
  <c r="AG114" i="107"/>
  <c r="AG110" i="107"/>
  <c r="AH106" i="107" s="1"/>
  <c r="AK106" i="107"/>
  <c r="AK88" i="107"/>
  <c r="AC114" i="107"/>
  <c r="AC115" i="107"/>
  <c r="AC110" i="107"/>
  <c r="AD106" i="107" s="1"/>
  <c r="X9" i="106"/>
  <c r="AB15" i="106"/>
  <c r="AB74" i="106"/>
  <c r="AB75" i="106"/>
  <c r="AB91" i="106"/>
  <c r="AB58" i="106"/>
  <c r="S58" i="106"/>
  <c r="S15" i="106"/>
  <c r="S91" i="106"/>
  <c r="S75" i="106"/>
  <c r="S74" i="106"/>
  <c r="S63" i="107"/>
  <c r="W73" i="106"/>
  <c r="W76" i="106"/>
  <c r="W22" i="106"/>
  <c r="AA59" i="106"/>
  <c r="AK150" i="106"/>
  <c r="M54" i="106"/>
  <c r="V54" i="106"/>
  <c r="AJ135" i="106"/>
  <c r="AJ131" i="106"/>
  <c r="AK131" i="106" s="1"/>
  <c r="AK132" i="106" s="1"/>
  <c r="AK135" i="106" s="1"/>
  <c r="AM128" i="106"/>
  <c r="AQ128" i="106" s="1"/>
  <c r="AA73" i="106"/>
  <c r="AA22" i="106"/>
  <c r="AA76" i="106"/>
  <c r="W59" i="106"/>
  <c r="R76" i="106"/>
  <c r="R22" i="106"/>
  <c r="R73" i="106"/>
  <c r="AQ120" i="106"/>
  <c r="AM130" i="106"/>
  <c r="AM126" i="106"/>
  <c r="R59" i="106"/>
  <c r="AG138" i="106"/>
  <c r="AE144" i="106"/>
  <c r="AK60" i="107"/>
  <c r="AK62" i="107" s="1"/>
  <c r="AG62" i="107"/>
  <c r="AG9" i="106" s="1"/>
  <c r="AG180" i="106" s="1"/>
  <c r="AB63" i="107"/>
  <c r="AC60" i="107"/>
  <c r="AC62" i="107" s="1"/>
  <c r="AC9" i="106" s="1"/>
  <c r="AC180" i="106" s="1"/>
  <c r="AQ81" i="107" l="1"/>
  <c r="AM85" i="107"/>
  <c r="AC183" i="106"/>
  <c r="AC184" i="106"/>
  <c r="AG184" i="106"/>
  <c r="AG183" i="106"/>
  <c r="X63" i="107"/>
  <c r="X180" i="106"/>
  <c r="AM84" i="107"/>
  <c r="CE175" i="106"/>
  <c r="CF48" i="106"/>
  <c r="AK115" i="107"/>
  <c r="AK110" i="107"/>
  <c r="AM106" i="107" s="1"/>
  <c r="AK114" i="107"/>
  <c r="AH114" i="107"/>
  <c r="AH115" i="107"/>
  <c r="AH110" i="107"/>
  <c r="AI106" i="107" s="1"/>
  <c r="AD115" i="107"/>
  <c r="AD110" i="107"/>
  <c r="AD114" i="107"/>
  <c r="R54" i="106"/>
  <c r="W54" i="106"/>
  <c r="S59" i="106"/>
  <c r="AB59" i="106"/>
  <c r="S73" i="106"/>
  <c r="S76" i="106"/>
  <c r="S22" i="106"/>
  <c r="AA54" i="106"/>
  <c r="AC15" i="106"/>
  <c r="AC74" i="106"/>
  <c r="AC91" i="106"/>
  <c r="AC58" i="106"/>
  <c r="AC75" i="106"/>
  <c r="AM132" i="106"/>
  <c r="AN120" i="106"/>
  <c r="AG75" i="106"/>
  <c r="AG74" i="106"/>
  <c r="AG15" i="106"/>
  <c r="AG91" i="106"/>
  <c r="AG58" i="106"/>
  <c r="AQ126" i="106"/>
  <c r="AQ130" i="106"/>
  <c r="AK151" i="106"/>
  <c r="AM147" i="106"/>
  <c r="AB76" i="106"/>
  <c r="AB73" i="106"/>
  <c r="AB22" i="106"/>
  <c r="X15" i="106"/>
  <c r="X75" i="106"/>
  <c r="X91" i="106"/>
  <c r="Y9" i="106"/>
  <c r="Y180" i="106" s="1"/>
  <c r="X74" i="106"/>
  <c r="X58" i="106"/>
  <c r="AK138" i="106"/>
  <c r="AG142" i="106"/>
  <c r="AK142" i="106" s="1"/>
  <c r="AG141" i="106"/>
  <c r="AC63" i="107"/>
  <c r="AD60" i="107"/>
  <c r="AD62" i="107" s="1"/>
  <c r="AM60" i="107"/>
  <c r="AG63" i="107"/>
  <c r="AH60" i="107"/>
  <c r="AH62" i="107" s="1"/>
  <c r="AH9" i="106" s="1"/>
  <c r="AH180" i="106" s="1"/>
  <c r="AM88" i="107" l="1"/>
  <c r="AN81" i="107" s="1"/>
  <c r="AN82" i="107" s="1"/>
  <c r="AH183" i="106"/>
  <c r="AH184" i="106"/>
  <c r="X183" i="106"/>
  <c r="Y183" i="106" s="1"/>
  <c r="X184" i="106"/>
  <c r="Y184" i="106" s="1"/>
  <c r="CF175" i="106"/>
  <c r="CG48" i="106"/>
  <c r="AI110" i="107"/>
  <c r="AJ106" i="107" s="1"/>
  <c r="AI114" i="107"/>
  <c r="AI115" i="107"/>
  <c r="AM115" i="107"/>
  <c r="AM110" i="107"/>
  <c r="AN106" i="107" s="1"/>
  <c r="AQ106" i="107"/>
  <c r="AM114" i="107"/>
  <c r="X59" i="106"/>
  <c r="AM149" i="106"/>
  <c r="AQ149" i="106" s="1"/>
  <c r="AQ147" i="106"/>
  <c r="AD9" i="106"/>
  <c r="AM131" i="106"/>
  <c r="AN128" i="106"/>
  <c r="X22" i="106"/>
  <c r="X73" i="106"/>
  <c r="X76" i="106"/>
  <c r="AG59" i="106"/>
  <c r="S54" i="106"/>
  <c r="AC22" i="106"/>
  <c r="AC73" i="106"/>
  <c r="AC76" i="106"/>
  <c r="AB54" i="106"/>
  <c r="AC59" i="106"/>
  <c r="AH75" i="106"/>
  <c r="AH74" i="106"/>
  <c r="AH91" i="106"/>
  <c r="AH15" i="106"/>
  <c r="AH58" i="106"/>
  <c r="Y91" i="106"/>
  <c r="Y15" i="106"/>
  <c r="Y74" i="106"/>
  <c r="Y75" i="106"/>
  <c r="Y58" i="106"/>
  <c r="Y63" i="107"/>
  <c r="AN130" i="106"/>
  <c r="AN126" i="106"/>
  <c r="AM135" i="106"/>
  <c r="AG22" i="106"/>
  <c r="AG76" i="106"/>
  <c r="AG73" i="106"/>
  <c r="AK143" i="106"/>
  <c r="AK141" i="106"/>
  <c r="AQ60" i="107"/>
  <c r="AQ62" i="107" s="1"/>
  <c r="AM62" i="107"/>
  <c r="AM9" i="106" s="1"/>
  <c r="AM180" i="106" s="1"/>
  <c r="AI60" i="107"/>
  <c r="AI62" i="107" s="1"/>
  <c r="AI9" i="106" s="1"/>
  <c r="AI180" i="106" s="1"/>
  <c r="AH63" i="107"/>
  <c r="AN84" i="107" l="1"/>
  <c r="AN85" i="107"/>
  <c r="AM183" i="106"/>
  <c r="AM184" i="106"/>
  <c r="AD63" i="107"/>
  <c r="AD180" i="106"/>
  <c r="AI184" i="106"/>
  <c r="AI183" i="106"/>
  <c r="CG175" i="106"/>
  <c r="AQ115" i="107"/>
  <c r="AQ110" i="107"/>
  <c r="AS106" i="107" s="1"/>
  <c r="AQ114" i="107"/>
  <c r="AN110" i="107"/>
  <c r="AO106" i="107" s="1"/>
  <c r="AN114" i="107"/>
  <c r="AN115" i="107"/>
  <c r="AJ115" i="107"/>
  <c r="AJ110" i="107"/>
  <c r="AJ114" i="107"/>
  <c r="AQ150" i="106"/>
  <c r="AS147" i="106" s="1"/>
  <c r="AC54" i="106"/>
  <c r="AI15" i="106"/>
  <c r="AI75" i="106"/>
  <c r="AI74" i="106"/>
  <c r="AI91" i="106"/>
  <c r="AI58" i="106"/>
  <c r="AM15" i="106"/>
  <c r="AM74" i="106"/>
  <c r="AM75" i="106"/>
  <c r="AM91" i="106"/>
  <c r="AM58" i="106"/>
  <c r="AE9" i="106"/>
  <c r="AE180" i="106" s="1"/>
  <c r="AD15" i="106"/>
  <c r="AD58" i="106"/>
  <c r="AD91" i="106"/>
  <c r="AD75" i="106"/>
  <c r="AD74" i="106"/>
  <c r="AG54" i="106"/>
  <c r="AO120" i="106"/>
  <c r="AN132" i="106"/>
  <c r="AH59" i="106"/>
  <c r="Y59" i="106"/>
  <c r="Y76" i="106"/>
  <c r="Y73" i="106"/>
  <c r="Y22" i="106"/>
  <c r="AH22" i="106"/>
  <c r="AH76" i="106"/>
  <c r="AH73" i="106"/>
  <c r="X54" i="106"/>
  <c r="AM138" i="106"/>
  <c r="AK144" i="106"/>
  <c r="AS60" i="107"/>
  <c r="AM63" i="107"/>
  <c r="AN60" i="107"/>
  <c r="AN62" i="107" s="1"/>
  <c r="AN9" i="106" s="1"/>
  <c r="AN180" i="106" s="1"/>
  <c r="AJ60" i="107"/>
  <c r="AJ62" i="107" s="1"/>
  <c r="AI63" i="107"/>
  <c r="AN88" i="107" l="1"/>
  <c r="AO81" i="107" s="1"/>
  <c r="AO82" i="107" s="1"/>
  <c r="AN183" i="106"/>
  <c r="AN184" i="106"/>
  <c r="AD184" i="106"/>
  <c r="AE184" i="106" s="1"/>
  <c r="AD183" i="106"/>
  <c r="AE183" i="106" s="1"/>
  <c r="AQ151" i="106"/>
  <c r="AO115" i="107"/>
  <c r="AO110" i="107"/>
  <c r="AP106" i="107" s="1"/>
  <c r="AO114" i="107"/>
  <c r="AW106" i="107"/>
  <c r="AS110" i="107"/>
  <c r="AT106" i="107" s="1"/>
  <c r="AS114" i="107"/>
  <c r="AS115" i="107"/>
  <c r="AM73" i="106"/>
  <c r="AM22" i="106"/>
  <c r="AM76" i="106"/>
  <c r="AJ9" i="106"/>
  <c r="AJ180" i="106" s="1"/>
  <c r="AD59" i="106"/>
  <c r="AI59" i="106"/>
  <c r="AO128" i="106"/>
  <c r="AN131" i="106"/>
  <c r="AN135" i="106"/>
  <c r="AN15" i="106"/>
  <c r="AN58" i="106"/>
  <c r="AN74" i="106"/>
  <c r="AN91" i="106"/>
  <c r="AN75" i="106"/>
  <c r="AO130" i="106"/>
  <c r="AO126" i="106"/>
  <c r="AS149" i="106"/>
  <c r="AW149" i="106" s="1"/>
  <c r="AW147" i="106"/>
  <c r="AE15" i="106"/>
  <c r="AE58" i="106"/>
  <c r="AE74" i="106"/>
  <c r="AE75" i="106"/>
  <c r="AE63" i="107"/>
  <c r="AM59" i="106"/>
  <c r="Y54" i="106"/>
  <c r="AD22" i="106"/>
  <c r="AD73" i="106"/>
  <c r="AD76" i="106"/>
  <c r="AI22" i="106"/>
  <c r="AI76" i="106"/>
  <c r="AI73" i="106"/>
  <c r="AH54" i="106"/>
  <c r="AQ138" i="106"/>
  <c r="AM141" i="106"/>
  <c r="AM142" i="106"/>
  <c r="AQ142" i="106" s="1"/>
  <c r="AW60" i="107"/>
  <c r="AW62" i="107" s="1"/>
  <c r="AS62" i="107"/>
  <c r="AS9" i="106" s="1"/>
  <c r="AS180" i="106" s="1"/>
  <c r="AO60" i="107"/>
  <c r="AO62" i="107" s="1"/>
  <c r="AO9" i="106" s="1"/>
  <c r="AO180" i="106" s="1"/>
  <c r="AN63" i="107"/>
  <c r="AO84" i="107" l="1"/>
  <c r="AO85" i="107"/>
  <c r="AO88" i="107" s="1"/>
  <c r="AP81" i="107" s="1"/>
  <c r="AP85" i="107" s="1"/>
  <c r="AQ85" i="107" s="1"/>
  <c r="AQ93" i="107" s="1"/>
  <c r="AO184" i="106"/>
  <c r="AO183" i="106"/>
  <c r="AS183" i="106"/>
  <c r="AS184" i="106"/>
  <c r="AJ184" i="106"/>
  <c r="AK184" i="106" s="1"/>
  <c r="AJ183" i="106"/>
  <c r="AK183" i="106" s="1"/>
  <c r="AT115" i="107"/>
  <c r="AT110" i="107"/>
  <c r="AU106" i="107" s="1"/>
  <c r="AT114" i="107"/>
  <c r="AP115" i="107"/>
  <c r="AP114" i="107"/>
  <c r="AP110" i="107"/>
  <c r="AW115" i="107"/>
  <c r="AW110" i="107"/>
  <c r="AY106" i="107" s="1"/>
  <c r="AW114" i="107"/>
  <c r="AW150" i="106"/>
  <c r="AW151" i="106" s="1"/>
  <c r="AD54" i="106"/>
  <c r="AE76" i="106"/>
  <c r="AE22" i="106"/>
  <c r="AE73" i="106"/>
  <c r="AN22" i="106"/>
  <c r="AN73" i="106"/>
  <c r="AN76" i="106"/>
  <c r="AJ75" i="106"/>
  <c r="AJ91" i="106"/>
  <c r="AJ58" i="106"/>
  <c r="AJ74" i="106"/>
  <c r="AJ15" i="106"/>
  <c r="AK9" i="106"/>
  <c r="AK180" i="106" s="1"/>
  <c r="AJ63" i="107"/>
  <c r="AN59" i="106"/>
  <c r="AO15" i="106"/>
  <c r="AO58" i="106"/>
  <c r="AO75" i="106"/>
  <c r="AO91" i="106"/>
  <c r="AO74" i="106"/>
  <c r="AI54" i="106"/>
  <c r="AP120" i="106"/>
  <c r="AO132" i="106"/>
  <c r="AS15" i="106"/>
  <c r="AS74" i="106"/>
  <c r="AS75" i="106"/>
  <c r="AS91" i="106"/>
  <c r="AS58" i="106"/>
  <c r="AM54" i="106"/>
  <c r="AQ143" i="106"/>
  <c r="AQ141" i="106"/>
  <c r="AY60" i="107"/>
  <c r="AO63" i="107"/>
  <c r="AP60" i="107"/>
  <c r="AP62" i="107" s="1"/>
  <c r="AT60" i="107"/>
  <c r="AT62" i="107" s="1"/>
  <c r="AT9" i="106" s="1"/>
  <c r="AT180" i="106" s="1"/>
  <c r="AS63" i="107"/>
  <c r="AP84" i="107" l="1"/>
  <c r="AQ84" i="107" s="1"/>
  <c r="AQ92" i="107" s="1"/>
  <c r="AP82" i="107"/>
  <c r="AQ82" i="107" s="1"/>
  <c r="AQ94" i="107" s="1"/>
  <c r="AT183" i="106"/>
  <c r="AT184" i="106"/>
  <c r="AY147" i="106"/>
  <c r="AY149" i="106" s="1"/>
  <c r="BC149" i="106" s="1"/>
  <c r="AY108" i="107"/>
  <c r="AY109" i="107"/>
  <c r="AY131" i="107" s="1"/>
  <c r="BC106" i="107"/>
  <c r="AU115" i="107"/>
  <c r="AU114" i="107"/>
  <c r="AU110" i="107"/>
  <c r="AV106" i="107" s="1"/>
  <c r="AS73" i="106"/>
  <c r="AS76" i="106"/>
  <c r="AS22" i="106"/>
  <c r="AO131" i="106"/>
  <c r="AP128" i="106"/>
  <c r="AO59" i="106"/>
  <c r="AJ59" i="106"/>
  <c r="AP126" i="106"/>
  <c r="AP130" i="106"/>
  <c r="AO73" i="106"/>
  <c r="AO22" i="106"/>
  <c r="AO76" i="106"/>
  <c r="AE54" i="106"/>
  <c r="AT15" i="106"/>
  <c r="AT74" i="106"/>
  <c r="AT75" i="106"/>
  <c r="AT91" i="106"/>
  <c r="AT58" i="106"/>
  <c r="AS59" i="106"/>
  <c r="AO135" i="106"/>
  <c r="AP9" i="106"/>
  <c r="AP180" i="106" s="1"/>
  <c r="AK58" i="106"/>
  <c r="AK15" i="106"/>
  <c r="AK75" i="106"/>
  <c r="AK74" i="106"/>
  <c r="AK63" i="107"/>
  <c r="AN54" i="106"/>
  <c r="AJ76" i="106"/>
  <c r="AJ73" i="106"/>
  <c r="AJ22" i="106"/>
  <c r="AS138" i="106"/>
  <c r="AQ144" i="106"/>
  <c r="BC60" i="107"/>
  <c r="BC62" i="107" s="1"/>
  <c r="AY62" i="107"/>
  <c r="AU60" i="107"/>
  <c r="AU62" i="107" s="1"/>
  <c r="AU9" i="106" s="1"/>
  <c r="AU180" i="106" s="1"/>
  <c r="AT63" i="107"/>
  <c r="BC147" i="106" l="1"/>
  <c r="AP88" i="107"/>
  <c r="AS81" i="107" s="1"/>
  <c r="AS84" i="107" s="1"/>
  <c r="AS130" i="107" s="1"/>
  <c r="AS133" i="107" s="1"/>
  <c r="AQ88" i="107"/>
  <c r="AW81" i="107"/>
  <c r="AS85" i="107"/>
  <c r="AS131" i="107" s="1"/>
  <c r="AS128" i="107"/>
  <c r="AW128" i="107" s="1"/>
  <c r="AU184" i="106"/>
  <c r="AU183" i="106"/>
  <c r="AP184" i="106"/>
  <c r="AQ184" i="106" s="1"/>
  <c r="AP183" i="106"/>
  <c r="AQ183" i="106" s="1"/>
  <c r="AV110" i="107"/>
  <c r="AV114" i="107"/>
  <c r="AV115" i="107"/>
  <c r="AY110" i="107"/>
  <c r="AZ106" i="107" s="1"/>
  <c r="AY118" i="107"/>
  <c r="AY130" i="107"/>
  <c r="AY133" i="107" s="1"/>
  <c r="BE133" i="107" s="1"/>
  <c r="BC150" i="106"/>
  <c r="BC151" i="106" s="1"/>
  <c r="AJ54" i="106"/>
  <c r="AT59" i="106"/>
  <c r="AO54" i="106"/>
  <c r="AK22" i="106"/>
  <c r="AK73" i="106"/>
  <c r="AK76" i="106"/>
  <c r="AS54" i="106"/>
  <c r="AU15" i="106"/>
  <c r="AU58" i="106"/>
  <c r="AU74" i="106"/>
  <c r="AU75" i="106"/>
  <c r="AU91" i="106"/>
  <c r="AQ9" i="106"/>
  <c r="AQ180" i="106" s="1"/>
  <c r="AP15" i="106"/>
  <c r="AP75" i="106"/>
  <c r="AP74" i="106"/>
  <c r="AP91" i="106"/>
  <c r="AP58" i="106"/>
  <c r="AP132" i="106"/>
  <c r="AS120" i="106"/>
  <c r="AP63" i="107"/>
  <c r="AT73" i="106"/>
  <c r="AT76" i="106"/>
  <c r="AT22" i="106"/>
  <c r="AW138" i="106"/>
  <c r="AS141" i="106"/>
  <c r="AS142" i="106"/>
  <c r="AW142" i="106" s="1"/>
  <c r="AZ60" i="107"/>
  <c r="AZ62" i="107" s="1"/>
  <c r="AY63" i="107"/>
  <c r="AU63" i="107"/>
  <c r="AV60" i="107"/>
  <c r="AV62" i="107" s="1"/>
  <c r="BE60" i="107"/>
  <c r="BC63" i="107"/>
  <c r="AS82" i="107" l="1"/>
  <c r="AS129" i="107"/>
  <c r="AS132" i="107" s="1"/>
  <c r="AT128" i="107" s="1"/>
  <c r="AS88" i="107"/>
  <c r="AT81" i="107" s="1"/>
  <c r="BE147" i="106"/>
  <c r="BI147" i="106" s="1"/>
  <c r="AZ109" i="107"/>
  <c r="AZ131" i="107" s="1"/>
  <c r="AZ108" i="107"/>
  <c r="AU22" i="106"/>
  <c r="AU73" i="106"/>
  <c r="AU76" i="106"/>
  <c r="AP131" i="106"/>
  <c r="AQ131" i="106" s="1"/>
  <c r="AQ132" i="106" s="1"/>
  <c r="AQ135" i="106" s="1"/>
  <c r="AS128" i="106"/>
  <c r="AW128" i="106" s="1"/>
  <c r="AU59" i="106"/>
  <c r="AP135" i="106"/>
  <c r="AQ15" i="106"/>
  <c r="AQ58" i="106"/>
  <c r="AQ74" i="106"/>
  <c r="AQ75" i="106"/>
  <c r="AQ63" i="107"/>
  <c r="AK54" i="106"/>
  <c r="AP22" i="106"/>
  <c r="AP73" i="106"/>
  <c r="AP76" i="106"/>
  <c r="AV9" i="106"/>
  <c r="AV180" i="106" s="1"/>
  <c r="AT54" i="106"/>
  <c r="AS130" i="106"/>
  <c r="AW120" i="106"/>
  <c r="AS126" i="106"/>
  <c r="BE149" i="106"/>
  <c r="BI149" i="106" s="1"/>
  <c r="AP59" i="106"/>
  <c r="AW143" i="106"/>
  <c r="AW141" i="106"/>
  <c r="BK133" i="107"/>
  <c r="BE140" i="107"/>
  <c r="BA60" i="107"/>
  <c r="BA62" i="107" s="1"/>
  <c r="AZ63" i="107"/>
  <c r="BE62" i="107"/>
  <c r="BI60" i="107"/>
  <c r="BI62" i="107" s="1"/>
  <c r="AT85" i="107" l="1"/>
  <c r="AT131" i="107" s="1"/>
  <c r="AT84" i="107"/>
  <c r="AT130" i="107" s="1"/>
  <c r="AT133" i="107" s="1"/>
  <c r="AT82" i="107"/>
  <c r="AV183" i="106"/>
  <c r="AW183" i="106" s="1"/>
  <c r="AV184" i="106"/>
  <c r="AW184" i="106" s="1"/>
  <c r="AZ130" i="107"/>
  <c r="AZ118" i="107"/>
  <c r="AZ110" i="107"/>
  <c r="BA106" i="107" s="1"/>
  <c r="AV58" i="106"/>
  <c r="AV75" i="106"/>
  <c r="AV74" i="106"/>
  <c r="AV91" i="106"/>
  <c r="AW9" i="106"/>
  <c r="AW180" i="106" s="1"/>
  <c r="AV15" i="106"/>
  <c r="BI150" i="106"/>
  <c r="AV63" i="107"/>
  <c r="AT120" i="106"/>
  <c r="AS132" i="106"/>
  <c r="AS135" i="106" s="1"/>
  <c r="AQ22" i="106"/>
  <c r="AQ76" i="106"/>
  <c r="AQ73" i="106"/>
  <c r="AW130" i="106"/>
  <c r="AW126" i="106"/>
  <c r="AP54" i="106"/>
  <c r="AU54" i="106"/>
  <c r="AY138" i="106"/>
  <c r="AW144" i="106"/>
  <c r="BK60" i="107"/>
  <c r="BI63" i="107"/>
  <c r="BE63" i="107"/>
  <c r="BF60" i="107"/>
  <c r="BF62" i="107" s="1"/>
  <c r="BA63" i="107"/>
  <c r="BB60" i="107"/>
  <c r="BB62" i="107" s="1"/>
  <c r="BB63" i="107" s="1"/>
  <c r="BQ133" i="107"/>
  <c r="AT129" i="107" l="1"/>
  <c r="AT132" i="107" s="1"/>
  <c r="AU128" i="107" s="1"/>
  <c r="AT88" i="107"/>
  <c r="AU81" i="107" s="1"/>
  <c r="BA109" i="107"/>
  <c r="BA108" i="107"/>
  <c r="BA118" i="107" s="1"/>
  <c r="BK147" i="106"/>
  <c r="BI151" i="106"/>
  <c r="AQ54" i="106"/>
  <c r="AT126" i="106"/>
  <c r="AT130" i="106"/>
  <c r="AV73" i="106"/>
  <c r="AV76" i="106"/>
  <c r="AV22" i="106"/>
  <c r="AT128" i="106"/>
  <c r="AS131" i="106"/>
  <c r="AW15" i="106"/>
  <c r="AW74" i="106"/>
  <c r="AW75" i="106"/>
  <c r="AW58" i="106"/>
  <c r="AW63" i="107"/>
  <c r="AV59" i="106"/>
  <c r="BC138" i="106"/>
  <c r="AY141" i="106"/>
  <c r="AY142" i="106"/>
  <c r="BC142" i="106" s="1"/>
  <c r="BG60" i="107"/>
  <c r="BG62" i="107" s="1"/>
  <c r="BF63" i="107"/>
  <c r="BW133" i="107"/>
  <c r="BO60" i="107"/>
  <c r="BK62" i="107"/>
  <c r="BK149" i="106" l="1"/>
  <c r="BU147" i="106" s="1"/>
  <c r="BU150" i="106" s="1"/>
  <c r="AU84" i="107"/>
  <c r="AU82" i="107"/>
  <c r="BA110" i="107"/>
  <c r="BB106" i="107" s="1"/>
  <c r="AT132" i="106"/>
  <c r="AT135" i="106" s="1"/>
  <c r="AU120" i="106"/>
  <c r="AW22" i="106"/>
  <c r="AW73" i="106"/>
  <c r="AW76" i="106"/>
  <c r="AV54" i="106"/>
  <c r="BC143" i="106"/>
  <c r="BC141" i="106"/>
  <c r="BG63" i="107"/>
  <c r="BH60" i="107"/>
  <c r="BH62" i="107" s="1"/>
  <c r="BH63" i="107" s="1"/>
  <c r="BL60" i="107"/>
  <c r="BL62" i="107" s="1"/>
  <c r="BK63" i="107"/>
  <c r="CC133" i="107"/>
  <c r="AW84" i="107" l="1"/>
  <c r="AW92" i="107" s="1"/>
  <c r="AU130" i="107"/>
  <c r="AW82" i="107"/>
  <c r="AW94" i="107" s="1"/>
  <c r="AU129" i="107"/>
  <c r="AW129" i="107" s="1"/>
  <c r="AU85" i="107"/>
  <c r="BQ147" i="106"/>
  <c r="BQ150" i="106" s="1"/>
  <c r="BQ19" i="106" s="1"/>
  <c r="BB108" i="107"/>
  <c r="BB109" i="107"/>
  <c r="BC109" i="107" s="1"/>
  <c r="BC115" i="107" s="1"/>
  <c r="BW147" i="106"/>
  <c r="BW150" i="106" s="1"/>
  <c r="CA147" i="106"/>
  <c r="CA150" i="106" s="1"/>
  <c r="AU126" i="106"/>
  <c r="AU130" i="106"/>
  <c r="AW54" i="106"/>
  <c r="AU128" i="106"/>
  <c r="AT131" i="106"/>
  <c r="BE138" i="106"/>
  <c r="BC144" i="106"/>
  <c r="BL63" i="107"/>
  <c r="BM60" i="107"/>
  <c r="AW85" i="107" l="1"/>
  <c r="AW93" i="107" s="1"/>
  <c r="AU131" i="107"/>
  <c r="BB110" i="107"/>
  <c r="AW130" i="107"/>
  <c r="AU133" i="107"/>
  <c r="BQ151" i="106"/>
  <c r="BQ182" i="106"/>
  <c r="BR147" i="106"/>
  <c r="BR150" i="106" s="1"/>
  <c r="BS147" i="106" s="1"/>
  <c r="BS150" i="106" s="1"/>
  <c r="BB118" i="107"/>
  <c r="BC118" i="107" s="1"/>
  <c r="BC108" i="107"/>
  <c r="AV120" i="106"/>
  <c r="AU132" i="106"/>
  <c r="CC147" i="106"/>
  <c r="CC150" i="106" s="1"/>
  <c r="CG147" i="106"/>
  <c r="CG150" i="106" s="1"/>
  <c r="BX147" i="106"/>
  <c r="BX150" i="106" s="1"/>
  <c r="BW19" i="106"/>
  <c r="BI138" i="106"/>
  <c r="BE142" i="106"/>
  <c r="BI142" i="106" s="1"/>
  <c r="BE141" i="106"/>
  <c r="AW88" i="107" l="1"/>
  <c r="AY81" i="107" s="1"/>
  <c r="AY92" i="107"/>
  <c r="AW133" i="107"/>
  <c r="AY94" i="107"/>
  <c r="AY128" i="107"/>
  <c r="AW131" i="107"/>
  <c r="AW132" i="107" s="1"/>
  <c r="AU132" i="107"/>
  <c r="AV128" i="107" s="1"/>
  <c r="AV132" i="107" s="1"/>
  <c r="BR19" i="106"/>
  <c r="BR151" i="106" s="1"/>
  <c r="BW151" i="106"/>
  <c r="BW182" i="106"/>
  <c r="BC110" i="107"/>
  <c r="BC114" i="107"/>
  <c r="CC19" i="106"/>
  <c r="CC151" i="106" s="1"/>
  <c r="CD147" i="106"/>
  <c r="CD150" i="106" s="1"/>
  <c r="BT147" i="106"/>
  <c r="BT150" i="106" s="1"/>
  <c r="BT19" i="106" s="1"/>
  <c r="BS19" i="106"/>
  <c r="AV128" i="106"/>
  <c r="AU131" i="106"/>
  <c r="AV130" i="106"/>
  <c r="AV126" i="106"/>
  <c r="BX19" i="106"/>
  <c r="BY147" i="106"/>
  <c r="BY150" i="106" s="1"/>
  <c r="AU135" i="106"/>
  <c r="BI143" i="106"/>
  <c r="BI141" i="106"/>
  <c r="AY88" i="107" l="1"/>
  <c r="AZ81" i="107" s="1"/>
  <c r="AY93" i="107"/>
  <c r="BC128" i="107"/>
  <c r="AY132" i="107"/>
  <c r="AZ128" i="107" s="1"/>
  <c r="AZ132" i="107" s="1"/>
  <c r="BA128" i="107" s="1"/>
  <c r="BR182" i="106"/>
  <c r="BX151" i="106"/>
  <c r="BX182" i="106"/>
  <c r="BU19" i="106"/>
  <c r="BT182" i="106"/>
  <c r="BT151" i="106"/>
  <c r="BS151" i="106"/>
  <c r="BS182" i="106"/>
  <c r="CC182" i="106"/>
  <c r="BZ147" i="106"/>
  <c r="BZ150" i="106" s="1"/>
  <c r="BY19" i="106"/>
  <c r="CE147" i="106"/>
  <c r="CE150" i="106" s="1"/>
  <c r="CD19" i="106"/>
  <c r="CD182" i="106" s="1"/>
  <c r="AV132" i="106"/>
  <c r="AY120" i="106"/>
  <c r="BK138" i="106"/>
  <c r="BI144" i="106"/>
  <c r="AZ93" i="107" l="1"/>
  <c r="AZ88" i="107"/>
  <c r="BA81" i="107" s="1"/>
  <c r="AZ92" i="107"/>
  <c r="AZ94" i="107"/>
  <c r="BY151" i="106"/>
  <c r="BY182" i="106"/>
  <c r="BU151" i="106"/>
  <c r="BU182" i="106"/>
  <c r="CD151" i="106"/>
  <c r="AV131" i="106"/>
  <c r="AW131" i="106" s="1"/>
  <c r="AW132" i="106" s="1"/>
  <c r="AW135" i="106" s="1"/>
  <c r="AY128" i="106"/>
  <c r="BC128" i="106" s="1"/>
  <c r="CE19" i="106"/>
  <c r="CE151" i="106" s="1"/>
  <c r="CF147" i="106"/>
  <c r="CF150" i="106" s="1"/>
  <c r="AY126" i="106"/>
  <c r="BC120" i="106"/>
  <c r="AY130" i="106"/>
  <c r="BZ19" i="106"/>
  <c r="AV135" i="106"/>
  <c r="BK142" i="106"/>
  <c r="BK141" i="106"/>
  <c r="BA82" i="107" l="1"/>
  <c r="BA129" i="107" s="1"/>
  <c r="BA84" i="107"/>
  <c r="BA130" i="107" s="1"/>
  <c r="BA133" i="107" s="1"/>
  <c r="BA85" i="107"/>
  <c r="BA131" i="107" s="1"/>
  <c r="CA19" i="106"/>
  <c r="BZ182" i="106"/>
  <c r="CE182" i="106"/>
  <c r="BZ151" i="106"/>
  <c r="BC126" i="106"/>
  <c r="BE120" i="106" s="1"/>
  <c r="BE126" i="106" s="1"/>
  <c r="BC130" i="106"/>
  <c r="CF19" i="106"/>
  <c r="AY132" i="106"/>
  <c r="AY135" i="106" s="1"/>
  <c r="AZ120" i="106"/>
  <c r="BQ138" i="106"/>
  <c r="BU138" i="106"/>
  <c r="BC133" i="107" l="1"/>
  <c r="BC134" i="107" s="1"/>
  <c r="BG133" i="107"/>
  <c r="BB129" i="107"/>
  <c r="BC129" i="107" s="1"/>
  <c r="BG129" i="107"/>
  <c r="BA132" i="107"/>
  <c r="BB128" i="107" s="1"/>
  <c r="CF151" i="106"/>
  <c r="CF182" i="106"/>
  <c r="CA151" i="106"/>
  <c r="CA182" i="106"/>
  <c r="BI120" i="106"/>
  <c r="BI130" i="106" s="1"/>
  <c r="BE130" i="106"/>
  <c r="CG19" i="106"/>
  <c r="CG182" i="106" s="1"/>
  <c r="AZ126" i="106"/>
  <c r="AZ130" i="106"/>
  <c r="AZ128" i="106"/>
  <c r="AY131" i="106"/>
  <c r="BE132" i="106"/>
  <c r="BE135" i="106" s="1"/>
  <c r="BF120" i="106"/>
  <c r="BQ140" i="106"/>
  <c r="BQ12" i="107" s="1"/>
  <c r="BH129" i="107" l="1"/>
  <c r="BG132" i="107"/>
  <c r="BH128" i="107" s="1"/>
  <c r="BM129" i="107"/>
  <c r="BI133" i="107"/>
  <c r="BI134" i="107" s="1"/>
  <c r="BM133" i="107"/>
  <c r="BG140" i="107"/>
  <c r="BI140" i="107" s="1"/>
  <c r="BB130" i="107"/>
  <c r="BB131" i="107"/>
  <c r="BC131" i="107" s="1"/>
  <c r="BC137" i="107" s="1"/>
  <c r="BI126" i="106"/>
  <c r="BK120" i="106" s="1"/>
  <c r="BQ143" i="106"/>
  <c r="BR138" i="106" s="1"/>
  <c r="CG151" i="106"/>
  <c r="AZ132" i="106"/>
  <c r="AZ135" i="106" s="1"/>
  <c r="BA120" i="106"/>
  <c r="BF128" i="106"/>
  <c r="BF126" i="106"/>
  <c r="BF130" i="106"/>
  <c r="BQ18" i="106"/>
  <c r="BQ144" i="106" s="1"/>
  <c r="BH136" i="107" l="1"/>
  <c r="BH137" i="107"/>
  <c r="BH132" i="107"/>
  <c r="BC130" i="107"/>
  <c r="BC136" i="107" s="1"/>
  <c r="BB140" i="107"/>
  <c r="BC140" i="107" s="1"/>
  <c r="BS129" i="107"/>
  <c r="BB132" i="107"/>
  <c r="BS133" i="107"/>
  <c r="BI129" i="107"/>
  <c r="BH138" i="107"/>
  <c r="BT129" i="107"/>
  <c r="BZ129" i="107" s="1"/>
  <c r="CF129" i="107" s="1"/>
  <c r="BA130" i="106"/>
  <c r="BA126" i="106"/>
  <c r="AZ131" i="106"/>
  <c r="BA128" i="106"/>
  <c r="BR140" i="106"/>
  <c r="BK126" i="106"/>
  <c r="BK130" i="106"/>
  <c r="BG120" i="106"/>
  <c r="BF132" i="106"/>
  <c r="BF135" i="106" s="1"/>
  <c r="BI138" i="107" l="1"/>
  <c r="BI132" i="107"/>
  <c r="BK128" i="107" s="1"/>
  <c r="BO138" i="107"/>
  <c r="BU129" i="107"/>
  <c r="BU138" i="107" s="1"/>
  <c r="BY129" i="107"/>
  <c r="BY133" i="107"/>
  <c r="BU133" i="107"/>
  <c r="BU134" i="107" s="1"/>
  <c r="BR143" i="106"/>
  <c r="BS138" i="106" s="1"/>
  <c r="BR12" i="107"/>
  <c r="BA132" i="106"/>
  <c r="BA135" i="106" s="1"/>
  <c r="BB120" i="106"/>
  <c r="BK132" i="106"/>
  <c r="BK135" i="106" s="1"/>
  <c r="BL120" i="106"/>
  <c r="BF131" i="106"/>
  <c r="BG128" i="106"/>
  <c r="BG126" i="106"/>
  <c r="BG130" i="106"/>
  <c r="CA133" i="107" l="1"/>
  <c r="CA134" i="107" s="1"/>
  <c r="CE133" i="107"/>
  <c r="CG133" i="107" s="1"/>
  <c r="CG134" i="107" s="1"/>
  <c r="BK131" i="107"/>
  <c r="BK130" i="107"/>
  <c r="BK140" i="107" s="1"/>
  <c r="CE129" i="107"/>
  <c r="CG129" i="107" s="1"/>
  <c r="CG138" i="107" s="1"/>
  <c r="CA129" i="107"/>
  <c r="CA138" i="107" s="1"/>
  <c r="BR18" i="106"/>
  <c r="BR144" i="106" s="1"/>
  <c r="BB130" i="106"/>
  <c r="BB126" i="106"/>
  <c r="BA131" i="106"/>
  <c r="BB128" i="106"/>
  <c r="BH120" i="106"/>
  <c r="BG132" i="106"/>
  <c r="BG135" i="106" s="1"/>
  <c r="BL126" i="106"/>
  <c r="BL130" i="106"/>
  <c r="BS140" i="106"/>
  <c r="BL128" i="106"/>
  <c r="BK132" i="107" l="1"/>
  <c r="BL128" i="107" s="1"/>
  <c r="BL130" i="107"/>
  <c r="BL140" i="107" s="1"/>
  <c r="BL131" i="107"/>
  <c r="BL132" i="107" s="1"/>
  <c r="BM128" i="107" s="1"/>
  <c r="BS143" i="106"/>
  <c r="BS18" i="106" s="1"/>
  <c r="BS12" i="107"/>
  <c r="BB132" i="106"/>
  <c r="BB131" i="106" s="1"/>
  <c r="BC131" i="106" s="1"/>
  <c r="BC132" i="106" s="1"/>
  <c r="BH128" i="106"/>
  <c r="BG131" i="106"/>
  <c r="BM120" i="106"/>
  <c r="BL132" i="106"/>
  <c r="BH126" i="106"/>
  <c r="BH130" i="106"/>
  <c r="BM130" i="107" l="1"/>
  <c r="BM131" i="107"/>
  <c r="BL135" i="106"/>
  <c r="BM128" i="106"/>
  <c r="BM130" i="106"/>
  <c r="BM126" i="106"/>
  <c r="BB135" i="106"/>
  <c r="BE128" i="106"/>
  <c r="BC135" i="106"/>
  <c r="BT138" i="106"/>
  <c r="BT140" i="106" s="1"/>
  <c r="BT143" i="106" s="1"/>
  <c r="BS144" i="106"/>
  <c r="BM16" i="3"/>
  <c r="BL131" i="106"/>
  <c r="BH132" i="106"/>
  <c r="BH131" i="106" s="1"/>
  <c r="BO137" i="107" l="1"/>
  <c r="BN140" i="107"/>
  <c r="BM140" i="107"/>
  <c r="BM69" i="106"/>
  <c r="BM67" i="106"/>
  <c r="BM132" i="106"/>
  <c r="BM131" i="106" s="1"/>
  <c r="BH135" i="106"/>
  <c r="BU140" i="106"/>
  <c r="BU141" i="106" s="1"/>
  <c r="BT12" i="107"/>
  <c r="BU12" i="107" s="1"/>
  <c r="BI128" i="106"/>
  <c r="BE131" i="106"/>
  <c r="BI131" i="106" s="1"/>
  <c r="BT18" i="106"/>
  <c r="BU18" i="106" s="1"/>
  <c r="BO50" i="107"/>
  <c r="BO140" i="107" l="1"/>
  <c r="BM135" i="106"/>
  <c r="BI132" i="106"/>
  <c r="BI135" i="106" s="1"/>
  <c r="BU143" i="106"/>
  <c r="BW138" i="106" s="1"/>
  <c r="BT144" i="106"/>
  <c r="BU144" i="106" l="1"/>
  <c r="BO136" i="107"/>
  <c r="CA138" i="106"/>
  <c r="BK128" i="106"/>
  <c r="BW140" i="106"/>
  <c r="BQ131" i="107" l="1"/>
  <c r="BQ130" i="107"/>
  <c r="BQ140" i="107" s="1"/>
  <c r="BQ50" i="107" s="1"/>
  <c r="BU128" i="107"/>
  <c r="BK131" i="106"/>
  <c r="BW143" i="106"/>
  <c r="BW18" i="106" s="1"/>
  <c r="BW12" i="107"/>
  <c r="BQ132" i="107" l="1"/>
  <c r="BR128" i="107" s="1"/>
  <c r="BR130" i="107" s="1"/>
  <c r="BR131" i="107"/>
  <c r="BX138" i="106"/>
  <c r="BX140" i="106" s="1"/>
  <c r="BX12" i="107" s="1"/>
  <c r="BW144" i="106"/>
  <c r="BR140" i="107" l="1"/>
  <c r="BR50" i="107" s="1"/>
  <c r="BR132" i="107"/>
  <c r="BS128" i="107" s="1"/>
  <c r="BX143" i="106"/>
  <c r="BY138" i="106" s="1"/>
  <c r="BS131" i="107" l="1"/>
  <c r="BS130" i="107"/>
  <c r="BX18" i="106"/>
  <c r="BX144" i="106" s="1"/>
  <c r="BY140" i="106"/>
  <c r="BY12" i="107" s="1"/>
  <c r="BS140" i="107" l="1"/>
  <c r="BS50" i="107" s="1"/>
  <c r="BS132" i="107"/>
  <c r="BT128" i="107" s="1"/>
  <c r="BY143" i="106"/>
  <c r="BY18" i="106" s="1"/>
  <c r="BY144" i="106" s="1"/>
  <c r="BT130" i="107" l="1"/>
  <c r="BT131" i="107"/>
  <c r="BU131" i="107" s="1"/>
  <c r="BU137" i="107" s="1"/>
  <c r="BZ138" i="106"/>
  <c r="BZ140" i="106" s="1"/>
  <c r="BZ143" i="106" s="1"/>
  <c r="BT132" i="107" l="1"/>
  <c r="BT140" i="107"/>
  <c r="BU130" i="107"/>
  <c r="CA140" i="106"/>
  <c r="CA141" i="106" s="1"/>
  <c r="BZ12" i="107"/>
  <c r="CA12" i="107" s="1"/>
  <c r="BZ18" i="106"/>
  <c r="CA18" i="106" s="1"/>
  <c r="BU132" i="107" l="1"/>
  <c r="BW128" i="107" s="1"/>
  <c r="BU136" i="107"/>
  <c r="BT50" i="107"/>
  <c r="BU50" i="107" s="1"/>
  <c r="BU140" i="107"/>
  <c r="CA143" i="106"/>
  <c r="CG138" i="106" s="1"/>
  <c r="BZ144" i="106"/>
  <c r="BW131" i="107" l="1"/>
  <c r="CA128" i="107"/>
  <c r="BW130" i="107"/>
  <c r="CC138" i="106"/>
  <c r="CA144" i="106"/>
  <c r="CC140" i="106"/>
  <c r="CC12" i="107" s="1"/>
  <c r="BW140" i="107" l="1"/>
  <c r="BW50" i="107" s="1"/>
  <c r="BW132" i="107"/>
  <c r="BX128" i="107" s="1"/>
  <c r="CC143" i="106"/>
  <c r="CD138" i="106" s="1"/>
  <c r="BX131" i="107" l="1"/>
  <c r="BX130" i="107"/>
  <c r="CC18" i="106"/>
  <c r="CD140" i="106"/>
  <c r="CD12" i="107" s="1"/>
  <c r="BX140" i="107" l="1"/>
  <c r="BX50" i="107" s="1"/>
  <c r="BX132" i="107"/>
  <c r="BY128" i="107" s="1"/>
  <c r="CC144" i="106"/>
  <c r="CD143" i="106"/>
  <c r="CE138" i="106" s="1"/>
  <c r="BY131" i="107" l="1"/>
  <c r="BY130" i="107"/>
  <c r="BY140" i="107" s="1"/>
  <c r="BY50" i="107" s="1"/>
  <c r="CD18" i="106"/>
  <c r="CE140" i="106"/>
  <c r="CE12" i="107" s="1"/>
  <c r="BY132" i="107" l="1"/>
  <c r="BZ128" i="107" s="1"/>
  <c r="CD144" i="106"/>
  <c r="CE143" i="106"/>
  <c r="CF138" i="106" s="1"/>
  <c r="BZ130" i="107" l="1"/>
  <c r="BZ131" i="107"/>
  <c r="CA131" i="107" s="1"/>
  <c r="CA137" i="107" s="1"/>
  <c r="CE18" i="106"/>
  <c r="CF140" i="106"/>
  <c r="CF143" i="106" s="1"/>
  <c r="CA130" i="107" l="1"/>
  <c r="BZ132" i="107"/>
  <c r="BZ140" i="107"/>
  <c r="CE144" i="106"/>
  <c r="CG140" i="106"/>
  <c r="CG143" i="106" s="1"/>
  <c r="CF12" i="107"/>
  <c r="CF18" i="106"/>
  <c r="BZ50" i="107" l="1"/>
  <c r="CA50" i="107" s="1"/>
  <c r="CA140" i="107"/>
  <c r="CA136" i="107"/>
  <c r="CA132" i="107"/>
  <c r="CC128" i="107" s="1"/>
  <c r="CG141" i="106"/>
  <c r="CF144" i="106"/>
  <c r="CG12" i="107"/>
  <c r="CG18" i="106"/>
  <c r="CC130" i="107" l="1"/>
  <c r="CC140" i="107" s="1"/>
  <c r="CC50" i="107" s="1"/>
  <c r="CC131" i="107"/>
  <c r="CC132" i="107" s="1"/>
  <c r="CD128" i="107" s="1"/>
  <c r="CG128" i="107"/>
  <c r="CG144" i="106"/>
  <c r="CD130" i="107" l="1"/>
  <c r="CD140" i="107" s="1"/>
  <c r="CD50" i="107" s="1"/>
  <c r="CD131" i="107"/>
  <c r="CD132" i="107" l="1"/>
  <c r="CE128" i="107" s="1"/>
  <c r="CE130" i="107" l="1"/>
  <c r="CE131" i="107"/>
  <c r="CE132" i="107" l="1"/>
  <c r="CF128" i="107" s="1"/>
  <c r="CE140" i="107"/>
  <c r="CE50" i="107" s="1"/>
  <c r="CF130" i="107" l="1"/>
  <c r="CF131" i="107"/>
  <c r="CG131" i="107" s="1"/>
  <c r="CG137" i="107" s="1"/>
  <c r="CF132" i="107" l="1"/>
  <c r="CF140" i="107"/>
  <c r="CG130" i="107"/>
  <c r="CG136" i="107" l="1"/>
  <c r="CG132" i="107"/>
  <c r="CF50" i="107"/>
  <c r="CG140" i="107"/>
  <c r="CG50" i="107" l="1"/>
  <c r="BL123" i="3"/>
  <c r="BL144" i="3" s="1"/>
  <c r="BL21" i="3"/>
  <c r="BL68" i="106" s="1"/>
  <c r="BK21" i="3"/>
  <c r="BL101" i="29"/>
  <c r="BL100" i="29"/>
  <c r="BM102" i="29" s="1"/>
  <c r="BL34" i="29"/>
  <c r="BL32" i="29"/>
  <c r="BK68" i="106" l="1"/>
  <c r="BO21" i="3"/>
  <c r="BL33" i="29"/>
  <c r="BM64" i="29"/>
  <c r="BL35" i="29"/>
  <c r="BL36" i="29" l="1"/>
  <c r="BM66" i="29"/>
  <c r="BL98" i="104" l="1"/>
  <c r="BK98" i="104"/>
  <c r="BL100" i="104"/>
  <c r="BK100" i="104"/>
  <c r="BL102" i="104"/>
  <c r="BK102" i="104"/>
  <c r="BQ72" i="104"/>
  <c r="BR72" i="104" s="1"/>
  <c r="BS72" i="104" s="1"/>
  <c r="BT72" i="104" s="1"/>
  <c r="BW72" i="104" s="1"/>
  <c r="BK62" i="104"/>
  <c r="BX72" i="104" l="1"/>
  <c r="BY72" i="104" s="1"/>
  <c r="BZ72" i="104" s="1"/>
  <c r="CC72" i="104" s="1"/>
  <c r="CA72" i="104" l="1"/>
  <c r="CD72" i="104"/>
  <c r="CE72" i="104" s="1"/>
  <c r="CF72" i="104" s="1"/>
  <c r="CG72" i="104" l="1"/>
  <c r="BW41" i="51" l="1"/>
  <c r="AZ6" i="112" s="1"/>
  <c r="BL68" i="3" l="1"/>
  <c r="BK68" i="3"/>
  <c r="BG68" i="3"/>
  <c r="BF68" i="3"/>
  <c r="AZ68" i="3"/>
  <c r="AT68" i="3"/>
  <c r="AS68" i="3"/>
  <c r="BL59" i="51"/>
  <c r="BL61" i="51" s="1"/>
  <c r="CJ38" i="51" l="1"/>
  <c r="CK38" i="51" l="1"/>
  <c r="CJ41" i="51"/>
  <c r="BL11" i="51"/>
  <c r="BL145" i="51" s="1"/>
  <c r="BL20" i="51"/>
  <c r="BL18" i="51"/>
  <c r="BL41" i="51"/>
  <c r="BL102" i="51"/>
  <c r="BL93" i="51"/>
  <c r="BL91" i="51"/>
  <c r="BL80" i="51"/>
  <c r="BL63" i="51"/>
  <c r="BR71" i="51" s="1"/>
  <c r="BL55" i="51"/>
  <c r="BL76" i="3"/>
  <c r="BL67" i="3"/>
  <c r="BL66" i="3"/>
  <c r="BL60" i="3"/>
  <c r="BL59" i="3"/>
  <c r="BL54" i="3"/>
  <c r="BL51" i="3"/>
  <c r="BL50" i="3"/>
  <c r="BL48" i="3"/>
  <c r="BL47" i="3"/>
  <c r="BL46" i="3"/>
  <c r="BL42" i="3"/>
  <c r="BL43" i="3" s="1"/>
  <c r="BL41" i="3"/>
  <c r="BL20" i="3"/>
  <c r="BL10" i="3"/>
  <c r="AN169" i="112" l="1"/>
  <c r="BL156" i="51"/>
  <c r="BL173" i="51" s="1"/>
  <c r="BL149" i="51"/>
  <c r="BL171" i="51" s="1"/>
  <c r="BL142" i="51"/>
  <c r="BL169" i="51" s="1"/>
  <c r="BL159" i="51"/>
  <c r="BL152" i="51"/>
  <c r="BL151" i="51" s="1"/>
  <c r="BL154" i="51" s="1"/>
  <c r="CL38" i="51"/>
  <c r="CL41" i="51" s="1"/>
  <c r="CK41" i="51"/>
  <c r="BL157" i="107"/>
  <c r="BL159" i="107" s="1"/>
  <c r="BL160" i="107" s="1"/>
  <c r="BL25" i="3"/>
  <c r="BL40" i="3"/>
  <c r="BL52" i="3"/>
  <c r="BL53" i="3" s="1"/>
  <c r="BL99" i="51"/>
  <c r="BL65" i="51"/>
  <c r="BL94" i="51" s="1"/>
  <c r="BL96" i="51" s="1"/>
  <c r="BL163" i="51" l="1"/>
  <c r="BL164" i="51" s="1"/>
  <c r="BK142" i="51"/>
  <c r="BK169" i="51" s="1"/>
  <c r="BK156" i="51"/>
  <c r="BK173" i="51" s="1"/>
  <c r="BR156" i="51"/>
  <c r="BX156" i="51" s="1"/>
  <c r="CD156" i="51" s="1"/>
  <c r="CJ156" i="51" s="1"/>
  <c r="BK149" i="51"/>
  <c r="BK171" i="51" s="1"/>
  <c r="BR149" i="51"/>
  <c r="BL55" i="3"/>
  <c r="BL29" i="3"/>
  <c r="BL26" i="3"/>
  <c r="BL164" i="106" s="1"/>
  <c r="BL165" i="106" s="1"/>
  <c r="BL166" i="106" s="1"/>
  <c r="BL92" i="51"/>
  <c r="BL98" i="51"/>
  <c r="BK163" i="51" l="1"/>
  <c r="BX149" i="51"/>
  <c r="BQ156" i="51"/>
  <c r="BW156" i="51" s="1"/>
  <c r="BQ149" i="51"/>
  <c r="BL186" i="106"/>
  <c r="BL167" i="106"/>
  <c r="BL187" i="106"/>
  <c r="BL64" i="106" s="1"/>
  <c r="BL31" i="3"/>
  <c r="BL56" i="3" s="1"/>
  <c r="CC156" i="51" l="1"/>
  <c r="CD149" i="51"/>
  <c r="BW149" i="51"/>
  <c r="BL37" i="3"/>
  <c r="BL74" i="3"/>
  <c r="AS12" i="112"/>
  <c r="AW24" i="112" l="1"/>
  <c r="CC149" i="51"/>
  <c r="CJ149" i="51"/>
  <c r="CI156" i="51"/>
  <c r="BL76" i="107"/>
  <c r="CI149" i="51" l="1"/>
  <c r="BK100" i="29" l="1"/>
  <c r="BL102" i="29" s="1"/>
  <c r="BK34" i="29"/>
  <c r="BK32" i="29"/>
  <c r="BK33" i="29" s="1"/>
  <c r="BH7" i="29"/>
  <c r="BH8" i="29"/>
  <c r="BH9" i="29"/>
  <c r="BH10" i="29"/>
  <c r="BH11" i="29"/>
  <c r="BH12" i="29"/>
  <c r="BH13" i="29"/>
  <c r="BH14" i="29"/>
  <c r="BH15" i="29"/>
  <c r="BH16" i="29"/>
  <c r="BH17" i="29"/>
  <c r="BH18" i="29"/>
  <c r="BH19" i="29"/>
  <c r="BH20" i="29"/>
  <c r="BH21" i="29"/>
  <c r="BH22" i="29"/>
  <c r="BH23" i="29"/>
  <c r="BH24" i="29"/>
  <c r="BH25" i="29"/>
  <c r="BH26" i="29"/>
  <c r="BH27" i="29"/>
  <c r="BH28" i="29"/>
  <c r="BH30" i="29"/>
  <c r="BH31" i="29"/>
  <c r="BK35" i="29" l="1"/>
  <c r="BK36" i="29" s="1"/>
  <c r="BK123" i="3"/>
  <c r="BK144" i="3" l="1"/>
  <c r="BL122" i="3"/>
  <c r="BK94" i="29"/>
  <c r="BK42" i="51" l="1"/>
  <c r="BN158" i="3" l="1"/>
  <c r="BM158" i="3"/>
  <c r="BL158" i="3"/>
  <c r="BK158" i="3"/>
  <c r="BK51" i="3" l="1"/>
  <c r="BH51" i="3"/>
  <c r="BF51" i="3"/>
  <c r="BE51" i="3"/>
  <c r="BK146" i="51"/>
  <c r="BK63" i="51"/>
  <c r="BK164" i="51" l="1"/>
  <c r="BQ71" i="51"/>
  <c r="AM169" i="112"/>
  <c r="BK77" i="51"/>
  <c r="BK65" i="51"/>
  <c r="AR11" i="112"/>
  <c r="AR23" i="112" s="1"/>
  <c r="BK11" i="51"/>
  <c r="BK145" i="51" s="1"/>
  <c r="BK18" i="51"/>
  <c r="BK20" i="51"/>
  <c r="BK127" i="51"/>
  <c r="BK102" i="51"/>
  <c r="BK93" i="51"/>
  <c r="BO93" i="51" s="1"/>
  <c r="BK91" i="51"/>
  <c r="BO91" i="51" s="1"/>
  <c r="BK80" i="51"/>
  <c r="BO80" i="51" s="1"/>
  <c r="BK59" i="51"/>
  <c r="BK61" i="51" s="1"/>
  <c r="BK37" i="51"/>
  <c r="BK46" i="51"/>
  <c r="BK55" i="51"/>
  <c r="BK76" i="3"/>
  <c r="BK54" i="3"/>
  <c r="BK50" i="3"/>
  <c r="BK48" i="3"/>
  <c r="BK47" i="3"/>
  <c r="BK46" i="3"/>
  <c r="BK42" i="3"/>
  <c r="BK43" i="3" s="1"/>
  <c r="BK41" i="3"/>
  <c r="BK20" i="3"/>
  <c r="BK10" i="3"/>
  <c r="BH42" i="51"/>
  <c r="BO10" i="3" l="1"/>
  <c r="BK25" i="3"/>
  <c r="AR12" i="112"/>
  <c r="AR24" i="112"/>
  <c r="AV24" i="112"/>
  <c r="BO87" i="51"/>
  <c r="BK159" i="51"/>
  <c r="BK152" i="51"/>
  <c r="BH43" i="51"/>
  <c r="AQ7" i="112" s="1"/>
  <c r="BK157" i="107"/>
  <c r="BK159" i="107" s="1"/>
  <c r="BK160" i="107" s="1"/>
  <c r="BK40" i="3"/>
  <c r="BK99" i="51"/>
  <c r="BO99" i="51" s="1"/>
  <c r="BK98" i="51"/>
  <c r="BK94" i="51"/>
  <c r="BK96" i="51" s="1"/>
  <c r="BK92" i="51"/>
  <c r="BK52" i="3"/>
  <c r="BK53" i="3" s="1"/>
  <c r="BK29" i="3"/>
  <c r="BK26" i="3"/>
  <c r="BK55" i="3" l="1"/>
  <c r="BK151" i="51"/>
  <c r="BK164" i="106"/>
  <c r="BK165" i="106" s="1"/>
  <c r="BK166" i="106" s="1"/>
  <c r="BK31" i="3"/>
  <c r="BK154" i="51" l="1"/>
  <c r="BK186" i="106"/>
  <c r="BK187" i="106"/>
  <c r="BK64" i="106" s="1"/>
  <c r="BK167" i="106"/>
  <c r="BK37" i="3"/>
  <c r="BK74" i="3"/>
  <c r="BK56" i="3"/>
  <c r="BK76" i="107" l="1"/>
  <c r="BH161" i="3" l="1"/>
  <c r="BF161" i="3"/>
  <c r="BE161" i="3"/>
  <c r="BH159" i="3"/>
  <c r="BF159" i="3"/>
  <c r="BE159" i="3"/>
  <c r="BE157" i="3"/>
  <c r="AJ6" i="112" l="1"/>
  <c r="AN18" i="112" s="1"/>
  <c r="AK6" i="112"/>
  <c r="AO18" i="112" s="1"/>
  <c r="AL6" i="112"/>
  <c r="AP18" i="112" s="1"/>
  <c r="AM6" i="112"/>
  <c r="AQ18" i="112" s="1"/>
  <c r="AJ13" i="112"/>
  <c r="AN25" i="112" s="1"/>
  <c r="AK13" i="112"/>
  <c r="AO25" i="112" s="1"/>
  <c r="AL13" i="112"/>
  <c r="AP25" i="112" s="1"/>
  <c r="AM13" i="112"/>
  <c r="AQ25" i="112" s="1"/>
  <c r="AO11" i="112"/>
  <c r="AP11" i="112"/>
  <c r="B31" i="112"/>
  <c r="B32" i="112"/>
  <c r="B33" i="112"/>
  <c r="B35" i="112"/>
  <c r="G67" i="112"/>
  <c r="G117" i="112" s="1"/>
  <c r="G125" i="112" s="1"/>
  <c r="G133" i="112" s="1"/>
  <c r="H67" i="112"/>
  <c r="H117" i="112" s="1"/>
  <c r="H125" i="112" s="1"/>
  <c r="H133" i="112" s="1"/>
  <c r="I67" i="112"/>
  <c r="I117" i="112" s="1"/>
  <c r="I125" i="112" s="1"/>
  <c r="I133" i="112" s="1"/>
  <c r="J67" i="112"/>
  <c r="J117" i="112" s="1"/>
  <c r="J125" i="112" s="1"/>
  <c r="J133" i="112" s="1"/>
  <c r="K67" i="112"/>
  <c r="K117" i="112" s="1"/>
  <c r="K125" i="112" s="1"/>
  <c r="K133" i="112" s="1"/>
  <c r="L67" i="112"/>
  <c r="L117" i="112" s="1"/>
  <c r="L125" i="112" s="1"/>
  <c r="L133" i="112" s="1"/>
  <c r="M67" i="112"/>
  <c r="M117" i="112" s="1"/>
  <c r="M125" i="112" s="1"/>
  <c r="M133" i="112" s="1"/>
  <c r="N67" i="112"/>
  <c r="N117" i="112" s="1"/>
  <c r="N125" i="112" s="1"/>
  <c r="N133" i="112" s="1"/>
  <c r="O67" i="112"/>
  <c r="O117" i="112" s="1"/>
  <c r="O125" i="112" s="1"/>
  <c r="O133" i="112" s="1"/>
  <c r="P67" i="112"/>
  <c r="P117" i="112" s="1"/>
  <c r="P125" i="112" s="1"/>
  <c r="P133" i="112" s="1"/>
  <c r="Q67" i="112"/>
  <c r="Q117" i="112" s="1"/>
  <c r="Q125" i="112" s="1"/>
  <c r="Q133" i="112" s="1"/>
  <c r="R67" i="112"/>
  <c r="R117" i="112" s="1"/>
  <c r="R125" i="112" s="1"/>
  <c r="R133" i="112" s="1"/>
  <c r="S67" i="112"/>
  <c r="S117" i="112" s="1"/>
  <c r="S125" i="112" s="1"/>
  <c r="S133" i="112" s="1"/>
  <c r="T67" i="112"/>
  <c r="T117" i="112" s="1"/>
  <c r="T125" i="112" s="1"/>
  <c r="T133" i="112" s="1"/>
  <c r="U67" i="112"/>
  <c r="U117" i="112" s="1"/>
  <c r="U125" i="112" s="1"/>
  <c r="U133" i="112" s="1"/>
  <c r="V67" i="112"/>
  <c r="V117" i="112" s="1"/>
  <c r="V125" i="112" s="1"/>
  <c r="V133" i="112" s="1"/>
  <c r="W67" i="112"/>
  <c r="W117" i="112" s="1"/>
  <c r="W125" i="112" s="1"/>
  <c r="W133" i="112" s="1"/>
  <c r="X67" i="112"/>
  <c r="X117" i="112" s="1"/>
  <c r="X125" i="112" s="1"/>
  <c r="X133" i="112" s="1"/>
  <c r="Y67" i="112"/>
  <c r="Y117" i="112" s="1"/>
  <c r="Y125" i="112" s="1"/>
  <c r="Y133" i="112" s="1"/>
  <c r="Z67" i="112"/>
  <c r="Z117" i="112" s="1"/>
  <c r="Z125" i="112" s="1"/>
  <c r="Z133" i="112" s="1"/>
  <c r="AA67" i="112"/>
  <c r="AA117" i="112" s="1"/>
  <c r="AA125" i="112" s="1"/>
  <c r="AA133" i="112" s="1"/>
  <c r="AB67" i="112"/>
  <c r="AB117" i="112" s="1"/>
  <c r="AB125" i="112" s="1"/>
  <c r="AB133" i="112" s="1"/>
  <c r="AC67" i="112"/>
  <c r="AC117" i="112" s="1"/>
  <c r="AC125" i="112" s="1"/>
  <c r="AC133" i="112" s="1"/>
  <c r="AD67" i="112"/>
  <c r="AD117" i="112" s="1"/>
  <c r="AD125" i="112" s="1"/>
  <c r="AD133" i="112" s="1"/>
  <c r="AE67" i="112"/>
  <c r="AE117" i="112" s="1"/>
  <c r="AE125" i="112" s="1"/>
  <c r="AE133" i="112" s="1"/>
  <c r="AF67" i="112"/>
  <c r="AF117" i="112" s="1"/>
  <c r="AF125" i="112" s="1"/>
  <c r="AF133" i="112" s="1"/>
  <c r="AG67" i="112"/>
  <c r="AG117" i="112" s="1"/>
  <c r="AG125" i="112" s="1"/>
  <c r="AG133" i="112" s="1"/>
  <c r="AH67" i="112"/>
  <c r="AH117" i="112" s="1"/>
  <c r="AH125" i="112" s="1"/>
  <c r="AH133" i="112" s="1"/>
  <c r="AI67" i="112"/>
  <c r="AI117" i="112" s="1"/>
  <c r="AI125" i="112" s="1"/>
  <c r="AI133" i="112" s="1"/>
  <c r="AJ67" i="112"/>
  <c r="AJ117" i="112" s="1"/>
  <c r="AJ125" i="112" s="1"/>
  <c r="AJ133" i="112" s="1"/>
  <c r="AK67" i="112"/>
  <c r="AK117" i="112" s="1"/>
  <c r="AK125" i="112" s="1"/>
  <c r="AK133" i="112" s="1"/>
  <c r="AL67" i="112"/>
  <c r="AL117" i="112" s="1"/>
  <c r="AL125" i="112" s="1"/>
  <c r="AL133" i="112" s="1"/>
  <c r="AM67" i="112"/>
  <c r="AM117" i="112" s="1"/>
  <c r="AM125" i="112" s="1"/>
  <c r="AM133" i="112" s="1"/>
  <c r="AN67" i="112"/>
  <c r="AN117" i="112" s="1"/>
  <c r="AN125" i="112" s="1"/>
  <c r="AN133" i="112" s="1"/>
  <c r="AO67" i="112"/>
  <c r="AO117" i="112" s="1"/>
  <c r="AO125" i="112" s="1"/>
  <c r="AO133" i="112" s="1"/>
  <c r="AP67" i="112"/>
  <c r="AP117" i="112" s="1"/>
  <c r="AP125" i="112" s="1"/>
  <c r="AP133" i="112" s="1"/>
  <c r="AQ67" i="112"/>
  <c r="AQ117" i="112" s="1"/>
  <c r="AQ125" i="112" s="1"/>
  <c r="AQ133" i="112" s="1"/>
  <c r="B68" i="112"/>
  <c r="B69" i="112"/>
  <c r="B70" i="112"/>
  <c r="B71" i="112"/>
  <c r="B72" i="112"/>
  <c r="B73" i="112"/>
  <c r="B74" i="112"/>
  <c r="B78" i="112"/>
  <c r="B85" i="112" s="1"/>
  <c r="B79" i="112"/>
  <c r="B80" i="112"/>
  <c r="B87" i="112" s="1"/>
  <c r="B81" i="112"/>
  <c r="B88" i="112" s="1"/>
  <c r="B82" i="112"/>
  <c r="B89" i="112" s="1"/>
  <c r="D84" i="112"/>
  <c r="E84" i="112"/>
  <c r="F84" i="112"/>
  <c r="G84" i="112"/>
  <c r="H84" i="112"/>
  <c r="I84" i="112"/>
  <c r="J84" i="112"/>
  <c r="K84" i="112"/>
  <c r="L84" i="112"/>
  <c r="M84" i="112"/>
  <c r="N84" i="112"/>
  <c r="O84" i="112"/>
  <c r="P84" i="112"/>
  <c r="Q84" i="112"/>
  <c r="R84" i="112"/>
  <c r="S84" i="112"/>
  <c r="T84" i="112"/>
  <c r="U84" i="112"/>
  <c r="V84" i="112"/>
  <c r="W84" i="112"/>
  <c r="X84" i="112"/>
  <c r="Y84" i="112"/>
  <c r="Z84" i="112"/>
  <c r="AA84" i="112"/>
  <c r="AB84" i="112"/>
  <c r="AC84" i="112"/>
  <c r="AD84" i="112"/>
  <c r="AE84" i="112"/>
  <c r="AF84" i="112"/>
  <c r="AG84" i="112"/>
  <c r="AH84" i="112"/>
  <c r="AI84" i="112"/>
  <c r="AJ84" i="112"/>
  <c r="AK84" i="112"/>
  <c r="AL84" i="112"/>
  <c r="AM84" i="112"/>
  <c r="AN84" i="112"/>
  <c r="AO84" i="112"/>
  <c r="AP84" i="112"/>
  <c r="AQ84" i="112"/>
  <c r="B86" i="112"/>
  <c r="H101" i="112"/>
  <c r="I101" i="112"/>
  <c r="J101" i="112"/>
  <c r="K101" i="112"/>
  <c r="L101" i="112"/>
  <c r="M101" i="112"/>
  <c r="N101" i="112"/>
  <c r="O101" i="112"/>
  <c r="P101" i="112"/>
  <c r="Q101" i="112"/>
  <c r="R101" i="112"/>
  <c r="S101" i="112"/>
  <c r="T101" i="112"/>
  <c r="U101" i="112"/>
  <c r="V101" i="112"/>
  <c r="W101" i="112"/>
  <c r="X101" i="112"/>
  <c r="Y101" i="112"/>
  <c r="Z101" i="112"/>
  <c r="AA101" i="112"/>
  <c r="AB101" i="112"/>
  <c r="AC101" i="112"/>
  <c r="AD101" i="112"/>
  <c r="AE101" i="112"/>
  <c r="AF101" i="112"/>
  <c r="AG101" i="112"/>
  <c r="AH101" i="112"/>
  <c r="AI101" i="112"/>
  <c r="AJ101" i="112"/>
  <c r="AK101" i="112"/>
  <c r="AL101" i="112"/>
  <c r="AM101" i="112"/>
  <c r="AN101" i="112"/>
  <c r="AO101" i="112"/>
  <c r="AP101" i="112"/>
  <c r="AQ101" i="112"/>
  <c r="B102" i="112"/>
  <c r="K102" i="112"/>
  <c r="L102" i="112"/>
  <c r="M102" i="112"/>
  <c r="N102" i="112"/>
  <c r="O102" i="112"/>
  <c r="P102" i="112"/>
  <c r="Q102" i="112"/>
  <c r="R102" i="112"/>
  <c r="S102" i="112"/>
  <c r="T102" i="112"/>
  <c r="U102" i="112"/>
  <c r="V102" i="112"/>
  <c r="W102" i="112"/>
  <c r="X102" i="112"/>
  <c r="Y102" i="112"/>
  <c r="Z102" i="112"/>
  <c r="AA102" i="112"/>
  <c r="B104" i="112"/>
  <c r="K104" i="112"/>
  <c r="L104" i="112"/>
  <c r="M104" i="112"/>
  <c r="N104" i="112"/>
  <c r="O104" i="112"/>
  <c r="P104" i="112"/>
  <c r="Q104" i="112"/>
  <c r="R104" i="112"/>
  <c r="S104" i="112"/>
  <c r="T104" i="112"/>
  <c r="U104" i="112"/>
  <c r="V104" i="112"/>
  <c r="W104" i="112"/>
  <c r="X104" i="112"/>
  <c r="Y104" i="112"/>
  <c r="Z104" i="112"/>
  <c r="AA104" i="112"/>
  <c r="B106" i="112"/>
  <c r="K106" i="112"/>
  <c r="L106" i="112"/>
  <c r="M106" i="112"/>
  <c r="N106" i="112"/>
  <c r="O106" i="112"/>
  <c r="P106" i="112"/>
  <c r="Q106" i="112"/>
  <c r="R106" i="112"/>
  <c r="S106" i="112"/>
  <c r="T106" i="112"/>
  <c r="U106" i="112"/>
  <c r="V106" i="112"/>
  <c r="W106" i="112"/>
  <c r="X106" i="112"/>
  <c r="Y106" i="112"/>
  <c r="Z106" i="112"/>
  <c r="AA106" i="112"/>
  <c r="B108" i="112"/>
  <c r="K108" i="112"/>
  <c r="L108" i="112"/>
  <c r="M108" i="112"/>
  <c r="N108" i="112"/>
  <c r="O108" i="112"/>
  <c r="P108" i="112"/>
  <c r="Q108" i="112"/>
  <c r="R108" i="112"/>
  <c r="S108" i="112"/>
  <c r="T108" i="112"/>
  <c r="U108" i="112"/>
  <c r="V108" i="112"/>
  <c r="W108" i="112"/>
  <c r="X108" i="112"/>
  <c r="Y108" i="112"/>
  <c r="Z108" i="112"/>
  <c r="AA108" i="112"/>
  <c r="B110" i="112"/>
  <c r="K110" i="112"/>
  <c r="L110" i="112"/>
  <c r="M110" i="112"/>
  <c r="N110" i="112"/>
  <c r="O110" i="112"/>
  <c r="P110" i="112"/>
  <c r="Q110" i="112"/>
  <c r="R110" i="112"/>
  <c r="S110" i="112"/>
  <c r="T110" i="112"/>
  <c r="U110" i="112"/>
  <c r="V110" i="112"/>
  <c r="W110" i="112"/>
  <c r="X110" i="112"/>
  <c r="Y110" i="112"/>
  <c r="Z110" i="112"/>
  <c r="AA110" i="112"/>
  <c r="D117" i="112"/>
  <c r="D125" i="112" s="1"/>
  <c r="D133" i="112" s="1"/>
  <c r="E117" i="112"/>
  <c r="E125" i="112" s="1"/>
  <c r="E133" i="112" s="1"/>
  <c r="F117" i="112"/>
  <c r="F125" i="112" s="1"/>
  <c r="F133" i="112" s="1"/>
  <c r="B126" i="112"/>
  <c r="B134" i="112" s="1"/>
  <c r="B127" i="112"/>
  <c r="B135" i="112" s="1"/>
  <c r="B128" i="112"/>
  <c r="B136" i="112" s="1"/>
  <c r="B129" i="112"/>
  <c r="B137" i="112" s="1"/>
  <c r="B138" i="112"/>
  <c r="AN147" i="112"/>
  <c r="AO147" i="112"/>
  <c r="AP147" i="112"/>
  <c r="AN148" i="112"/>
  <c r="AO148" i="112"/>
  <c r="AP148" i="112"/>
  <c r="AQ148" i="112"/>
  <c r="AN149" i="112"/>
  <c r="AO149" i="112"/>
  <c r="AP149" i="112"/>
  <c r="AQ149" i="112"/>
  <c r="AN160" i="112"/>
  <c r="CI5" i="51"/>
  <c r="CJ5" i="51"/>
  <c r="CK5" i="51"/>
  <c r="CL5" i="51"/>
  <c r="AQ11" i="112"/>
  <c r="AO12" i="112"/>
  <c r="AS24" i="112" s="1"/>
  <c r="AS36" i="51"/>
  <c r="AT36" i="51"/>
  <c r="AU36" i="51"/>
  <c r="AV36" i="51"/>
  <c r="BC36" i="51"/>
  <c r="BF36" i="51"/>
  <c r="BQ37" i="51"/>
  <c r="BT37" i="51"/>
  <c r="BW37" i="51"/>
  <c r="BX38" i="51"/>
  <c r="CC37" i="51"/>
  <c r="CD38" i="51"/>
  <c r="CD41" i="51" s="1"/>
  <c r="CI37" i="51"/>
  <c r="CL37" i="51"/>
  <c r="BE37" i="51"/>
  <c r="BE40" i="51" s="1"/>
  <c r="BG37" i="51"/>
  <c r="BG40" i="51" s="1"/>
  <c r="BH37" i="51"/>
  <c r="BH40" i="51" s="1"/>
  <c r="AY39" i="51"/>
  <c r="AZ39" i="51"/>
  <c r="BA39" i="51"/>
  <c r="BB39" i="51"/>
  <c r="AY40" i="51"/>
  <c r="AZ40" i="51"/>
  <c r="AZ43" i="51" s="1"/>
  <c r="AK7" i="112" s="1"/>
  <c r="BA40" i="51"/>
  <c r="BA43" i="51" s="1"/>
  <c r="AL7" i="112" s="1"/>
  <c r="BB40" i="51"/>
  <c r="BB43" i="51" s="1"/>
  <c r="AM7" i="112" s="1"/>
  <c r="BK41" i="51"/>
  <c r="BQ41" i="51"/>
  <c r="BT41" i="51"/>
  <c r="AY43" i="51"/>
  <c r="AJ7" i="112" s="1"/>
  <c r="BE43" i="51"/>
  <c r="AN7" i="112" s="1"/>
  <c r="BF43" i="51"/>
  <c r="AO7" i="112" s="1"/>
  <c r="BW43" i="51"/>
  <c r="AZ7" i="112" s="1"/>
  <c r="CC43" i="51"/>
  <c r="CI43" i="51"/>
  <c r="CL43" i="51"/>
  <c r="AS45" i="51"/>
  <c r="AT45" i="51"/>
  <c r="AU45" i="51"/>
  <c r="AV45" i="51"/>
  <c r="BC45" i="51"/>
  <c r="BI47" i="51" s="1"/>
  <c r="BF45" i="51"/>
  <c r="BQ46" i="51"/>
  <c r="BS46" i="51"/>
  <c r="BT46" i="51"/>
  <c r="BW46" i="51"/>
  <c r="BX46" i="51"/>
  <c r="BY47" i="51"/>
  <c r="BZ46" i="51"/>
  <c r="CC47" i="51"/>
  <c r="CC50" i="51" s="1"/>
  <c r="CF47" i="51"/>
  <c r="CF50" i="51" s="1"/>
  <c r="CI46" i="51"/>
  <c r="CL47" i="51"/>
  <c r="CL50" i="51" s="1"/>
  <c r="BE46" i="51"/>
  <c r="BG46" i="51"/>
  <c r="AY48" i="51"/>
  <c r="AZ48" i="51"/>
  <c r="BA48" i="51"/>
  <c r="BB48" i="51"/>
  <c r="BH48" i="51"/>
  <c r="AY49" i="51"/>
  <c r="AY52" i="51" s="1"/>
  <c r="AJ8" i="112" s="1"/>
  <c r="AZ49" i="51"/>
  <c r="BA49" i="51"/>
  <c r="BA52" i="51" s="1"/>
  <c r="AL8" i="112" s="1"/>
  <c r="BB49" i="51"/>
  <c r="BB52" i="51" s="1"/>
  <c r="AM8" i="112" s="1"/>
  <c r="BE52" i="51"/>
  <c r="AN8" i="112" s="1"/>
  <c r="BF52" i="51"/>
  <c r="AO8" i="112" s="1"/>
  <c r="BG52" i="51"/>
  <c r="AP8" i="112" s="1"/>
  <c r="BH49" i="51"/>
  <c r="BK50" i="51"/>
  <c r="BQ50" i="51"/>
  <c r="BQ52" i="51" s="1"/>
  <c r="AV8" i="112" s="1"/>
  <c r="BS50" i="51"/>
  <c r="BS52" i="51" s="1"/>
  <c r="AX8" i="112" s="1"/>
  <c r="BT50" i="51"/>
  <c r="AT8" i="112"/>
  <c r="BW52" i="51"/>
  <c r="AZ8" i="112" s="1"/>
  <c r="BX52" i="51"/>
  <c r="BA8" i="112" s="1"/>
  <c r="BZ52" i="51"/>
  <c r="BC8" i="112" s="1"/>
  <c r="CI52" i="51"/>
  <c r="AS54" i="51"/>
  <c r="AT54" i="51"/>
  <c r="AU54" i="51"/>
  <c r="AV54" i="51"/>
  <c r="BC54" i="51"/>
  <c r="BI54" i="51"/>
  <c r="BQ55" i="51"/>
  <c r="BW55" i="51"/>
  <c r="BX56" i="51"/>
  <c r="CC55" i="51"/>
  <c r="CD56" i="51"/>
  <c r="CI55" i="51"/>
  <c r="CJ55" i="51"/>
  <c r="BE55" i="51"/>
  <c r="BF55" i="51"/>
  <c r="BG55" i="51"/>
  <c r="AY57" i="51"/>
  <c r="AZ57" i="51"/>
  <c r="BA57" i="51"/>
  <c r="BB57" i="51"/>
  <c r="BE61" i="51"/>
  <c r="AN9" i="112" s="1"/>
  <c r="BF61" i="51"/>
  <c r="AO9" i="112" s="1"/>
  <c r="BG61" i="51"/>
  <c r="AP9" i="112" s="1"/>
  <c r="BH61" i="51"/>
  <c r="AQ9" i="112" s="1"/>
  <c r="AS9" i="112"/>
  <c r="BQ59" i="51"/>
  <c r="AY61" i="51"/>
  <c r="AJ9" i="112" s="1"/>
  <c r="AZ61" i="51"/>
  <c r="AK9" i="112" s="1"/>
  <c r="BA61" i="51"/>
  <c r="AL9" i="112" s="1"/>
  <c r="BB61" i="51"/>
  <c r="AM9" i="112" s="1"/>
  <c r="AT9" i="112"/>
  <c r="BQ61" i="51"/>
  <c r="AV9" i="112" s="1"/>
  <c r="BW61" i="51"/>
  <c r="AZ9" i="112" s="1"/>
  <c r="CC61" i="51"/>
  <c r="CI61" i="51"/>
  <c r="AY63" i="51"/>
  <c r="AZ63" i="51"/>
  <c r="BA63" i="51"/>
  <c r="BB63" i="51"/>
  <c r="BH71" i="51" s="1"/>
  <c r="BE63" i="51"/>
  <c r="AM173" i="112" s="1"/>
  <c r="BG63" i="51"/>
  <c r="BG164" i="51" s="1"/>
  <c r="BH63" i="51"/>
  <c r="C113" i="51"/>
  <c r="D113" i="51"/>
  <c r="E113" i="51"/>
  <c r="F113" i="51"/>
  <c r="I113" i="51"/>
  <c r="J113" i="51"/>
  <c r="K113" i="51"/>
  <c r="L113" i="51"/>
  <c r="O113" i="51"/>
  <c r="P113" i="51"/>
  <c r="Q113" i="51"/>
  <c r="R113" i="51"/>
  <c r="U113" i="51"/>
  <c r="V113" i="51"/>
  <c r="W113" i="51"/>
  <c r="X113" i="51"/>
  <c r="AA113" i="51"/>
  <c r="AB113" i="51"/>
  <c r="AC113" i="51"/>
  <c r="AD113" i="51"/>
  <c r="AG113" i="51"/>
  <c r="AI113" i="51"/>
  <c r="AJ113" i="51"/>
  <c r="AN113" i="51"/>
  <c r="AO113" i="51"/>
  <c r="AP113" i="51"/>
  <c r="AS113" i="51"/>
  <c r="AT113" i="51"/>
  <c r="AU113" i="51"/>
  <c r="AY113" i="51"/>
  <c r="AZ113" i="51"/>
  <c r="BA113" i="51"/>
  <c r="BB113" i="51"/>
  <c r="BE64" i="51"/>
  <c r="BF64" i="51"/>
  <c r="BG64" i="51"/>
  <c r="BR64" i="51"/>
  <c r="BX64" i="51" s="1"/>
  <c r="CD64" i="51" s="1"/>
  <c r="CJ64" i="51" s="1"/>
  <c r="BT64" i="51"/>
  <c r="BZ64" i="51" s="1"/>
  <c r="CF64" i="51" s="1"/>
  <c r="CL64" i="51" s="1"/>
  <c r="AY125" i="51"/>
  <c r="AZ125" i="51" s="1"/>
  <c r="AZ84" i="51" s="1"/>
  <c r="BF125" i="51"/>
  <c r="BF84" i="51" s="1"/>
  <c r="BG125" i="51"/>
  <c r="BH125" i="51"/>
  <c r="BH84" i="51" s="1"/>
  <c r="BK125" i="51"/>
  <c r="BL125" i="51"/>
  <c r="BM125" i="51"/>
  <c r="BN125" i="51"/>
  <c r="BN84" i="51" s="1"/>
  <c r="BN87" i="51" s="1"/>
  <c r="BQ125" i="51"/>
  <c r="BQ84" i="51" s="1"/>
  <c r="BR125" i="51"/>
  <c r="BR84" i="51" s="1"/>
  <c r="BS125" i="51"/>
  <c r="BT125" i="51"/>
  <c r="BT84" i="51" s="1"/>
  <c r="BW125" i="51"/>
  <c r="BX125" i="51"/>
  <c r="BY125" i="51"/>
  <c r="BY84" i="51" s="1"/>
  <c r="BZ125" i="51"/>
  <c r="CC125" i="51"/>
  <c r="CC84" i="51" s="1"/>
  <c r="CD125" i="51"/>
  <c r="CD84" i="51" s="1"/>
  <c r="CE125" i="51"/>
  <c r="CE84" i="51" s="1"/>
  <c r="CF125" i="51"/>
  <c r="CF84" i="51" s="1"/>
  <c r="CI125" i="51"/>
  <c r="CI84" i="51" s="1"/>
  <c r="CJ125" i="51"/>
  <c r="CJ84" i="51" s="1"/>
  <c r="CK125" i="51"/>
  <c r="CK84" i="51" s="1"/>
  <c r="CL125" i="51"/>
  <c r="I124" i="51"/>
  <c r="J124" i="51" s="1"/>
  <c r="K124" i="51" s="1"/>
  <c r="L124" i="51" s="1"/>
  <c r="I125" i="51"/>
  <c r="J125" i="51" s="1"/>
  <c r="K125" i="51" s="1"/>
  <c r="L125" i="51" s="1"/>
  <c r="L84" i="51" s="1"/>
  <c r="O124" i="51"/>
  <c r="P124" i="51" s="1"/>
  <c r="Q124" i="51" s="1"/>
  <c r="R124" i="51" s="1"/>
  <c r="O125" i="51"/>
  <c r="P125" i="51" s="1"/>
  <c r="U124" i="51"/>
  <c r="V124" i="51" s="1"/>
  <c r="W124" i="51" s="1"/>
  <c r="X124" i="51" s="1"/>
  <c r="U125" i="51"/>
  <c r="AA124" i="51"/>
  <c r="AB124" i="51" s="1"/>
  <c r="AC124" i="51" s="1"/>
  <c r="AD124" i="51" s="1"/>
  <c r="AA125" i="51"/>
  <c r="AG124" i="51"/>
  <c r="AH124" i="51" s="1"/>
  <c r="AI124" i="51" s="1"/>
  <c r="AJ124" i="51" s="1"/>
  <c r="AG125" i="51"/>
  <c r="AM124" i="51"/>
  <c r="AN124" i="51" s="1"/>
  <c r="AO124" i="51" s="1"/>
  <c r="AP124" i="51" s="1"/>
  <c r="AM125" i="51"/>
  <c r="AM84" i="51" s="1"/>
  <c r="AS124" i="51"/>
  <c r="AT124" i="51" s="1"/>
  <c r="AU124" i="51" s="1"/>
  <c r="AV124" i="51" s="1"/>
  <c r="AS125" i="51"/>
  <c r="AY124" i="51"/>
  <c r="AZ124" i="51" s="1"/>
  <c r="BA124" i="51" s="1"/>
  <c r="BB124" i="51" s="1"/>
  <c r="BE80" i="51"/>
  <c r="BF80" i="51"/>
  <c r="BG80" i="51"/>
  <c r="BH80" i="51"/>
  <c r="BQ86" i="51"/>
  <c r="BR86" i="51"/>
  <c r="BS86" i="51"/>
  <c r="BT86" i="51"/>
  <c r="BW86" i="51"/>
  <c r="BX86" i="51"/>
  <c r="BY86" i="51"/>
  <c r="BZ86" i="51"/>
  <c r="CC86" i="51"/>
  <c r="CD86" i="51"/>
  <c r="CE86" i="51"/>
  <c r="CF86" i="51"/>
  <c r="CI86" i="51"/>
  <c r="CJ86" i="51"/>
  <c r="CK86" i="51"/>
  <c r="CL86" i="51"/>
  <c r="BE124" i="51"/>
  <c r="BE84" i="51"/>
  <c r="BI84" i="51"/>
  <c r="BU84" i="51"/>
  <c r="CA84" i="51"/>
  <c r="CG84" i="51"/>
  <c r="CM84" i="51"/>
  <c r="M84" i="51"/>
  <c r="S84" i="51"/>
  <c r="Y84" i="51"/>
  <c r="AE84" i="51"/>
  <c r="AK84" i="51"/>
  <c r="AQ84" i="51"/>
  <c r="AW84" i="51"/>
  <c r="BC84" i="51"/>
  <c r="G97" i="51"/>
  <c r="M97" i="51"/>
  <c r="S97" i="51"/>
  <c r="S102" i="51" s="1"/>
  <c r="Y97" i="51"/>
  <c r="Y102" i="51" s="1"/>
  <c r="AE97" i="51"/>
  <c r="AE102" i="51" s="1"/>
  <c r="AK97" i="51"/>
  <c r="AK102" i="51" s="1"/>
  <c r="AQ97" i="51"/>
  <c r="AQ102" i="51" s="1"/>
  <c r="BE91" i="51"/>
  <c r="BF91" i="51"/>
  <c r="BG91" i="51"/>
  <c r="BH91" i="51"/>
  <c r="BQ97" i="51"/>
  <c r="BQ102" i="51" s="1"/>
  <c r="BS96" i="51"/>
  <c r="BW97" i="51"/>
  <c r="BY96" i="51"/>
  <c r="CC97" i="51"/>
  <c r="CD97" i="51" s="1"/>
  <c r="CI97" i="51"/>
  <c r="CJ97" i="51" s="1"/>
  <c r="CK97" i="51" s="1"/>
  <c r="C125" i="51"/>
  <c r="D125" i="51" s="1"/>
  <c r="E125" i="51" s="1"/>
  <c r="C124" i="51"/>
  <c r="D124" i="51" s="1"/>
  <c r="E124" i="51" s="1"/>
  <c r="F124" i="51" s="1"/>
  <c r="BE93" i="51"/>
  <c r="BF93" i="51"/>
  <c r="BG93" i="51"/>
  <c r="BH93" i="51"/>
  <c r="G95" i="51"/>
  <c r="M95" i="51"/>
  <c r="S95" i="51"/>
  <c r="Y95" i="51"/>
  <c r="AE95" i="51"/>
  <c r="AK95" i="51"/>
  <c r="AQ95" i="51"/>
  <c r="AW95" i="51"/>
  <c r="BC95" i="51"/>
  <c r="AW97" i="51"/>
  <c r="AW102" i="51" s="1"/>
  <c r="BC97" i="51"/>
  <c r="BC102" i="51" s="1"/>
  <c r="BI97" i="51"/>
  <c r="BI102" i="51" s="1"/>
  <c r="I102" i="51"/>
  <c r="J102" i="51"/>
  <c r="K102" i="51"/>
  <c r="L102" i="51"/>
  <c r="O102" i="51"/>
  <c r="P102" i="51"/>
  <c r="Q102" i="51"/>
  <c r="R102" i="51"/>
  <c r="U102" i="51"/>
  <c r="V102" i="51"/>
  <c r="W102" i="51"/>
  <c r="X102" i="51"/>
  <c r="AA102" i="51"/>
  <c r="AB102" i="51"/>
  <c r="AC102" i="51"/>
  <c r="AD102" i="51"/>
  <c r="AG102" i="51"/>
  <c r="AH102" i="51"/>
  <c r="AI102" i="51"/>
  <c r="AJ102" i="51"/>
  <c r="AM102" i="51"/>
  <c r="AN102" i="51"/>
  <c r="AO102" i="51"/>
  <c r="AP102" i="51"/>
  <c r="AS102" i="51"/>
  <c r="AT102" i="51"/>
  <c r="AU102" i="51"/>
  <c r="AV102" i="51"/>
  <c r="AY102" i="51"/>
  <c r="AZ102" i="51"/>
  <c r="BA102" i="51"/>
  <c r="BB102" i="51"/>
  <c r="BE102" i="51"/>
  <c r="BE164" i="3" s="1"/>
  <c r="BK164" i="3" s="1"/>
  <c r="BQ164" i="3" s="1"/>
  <c r="BF102" i="51"/>
  <c r="BF164" i="3" s="1"/>
  <c r="BL164" i="3" s="1"/>
  <c r="BG102" i="51"/>
  <c r="BG164" i="3" s="1"/>
  <c r="BM164" i="3" s="1"/>
  <c r="BH102" i="51"/>
  <c r="BH164" i="3" s="1"/>
  <c r="BN164" i="3" s="1"/>
  <c r="BU102" i="51"/>
  <c r="CA102" i="51"/>
  <c r="CG102" i="51"/>
  <c r="CM102" i="51"/>
  <c r="BI124" i="51"/>
  <c r="BO124" i="51"/>
  <c r="BU124" i="51"/>
  <c r="CA124" i="51"/>
  <c r="CG124" i="51"/>
  <c r="CM124" i="51"/>
  <c r="BE131" i="51"/>
  <c r="AN20" i="112" l="1"/>
  <c r="AN21" i="112"/>
  <c r="CD55" i="51"/>
  <c r="CD59" i="51"/>
  <c r="BY46" i="51"/>
  <c r="BY50" i="51"/>
  <c r="AO19" i="112"/>
  <c r="BY56" i="51"/>
  <c r="BX59" i="51"/>
  <c r="AZ20" i="112"/>
  <c r="AY76" i="51"/>
  <c r="BN68" i="51"/>
  <c r="BN71" i="51"/>
  <c r="BN70" i="51"/>
  <c r="AZ21" i="112"/>
  <c r="AG68" i="112"/>
  <c r="AI74" i="112"/>
  <c r="AI68" i="112"/>
  <c r="Y36" i="112"/>
  <c r="AQ12" i="112"/>
  <c r="AU24" i="112" s="1"/>
  <c r="BH149" i="51"/>
  <c r="BH142" i="51"/>
  <c r="BH156" i="51"/>
  <c r="BA76" i="51"/>
  <c r="BA156" i="51"/>
  <c r="BA142" i="51"/>
  <c r="BG143" i="51" s="1"/>
  <c r="BG144" i="51" s="1"/>
  <c r="BA149" i="51"/>
  <c r="BG150" i="51" s="1"/>
  <c r="BE160" i="51"/>
  <c r="BE153" i="51"/>
  <c r="BO12" i="51"/>
  <c r="AS11" i="112"/>
  <c r="AS23" i="112" s="1"/>
  <c r="BF46" i="51"/>
  <c r="BI46" i="51" s="1"/>
  <c r="BL51" i="51"/>
  <c r="BL46" i="51"/>
  <c r="BL42" i="51"/>
  <c r="BL43" i="51" s="1"/>
  <c r="BL37" i="51"/>
  <c r="BF160" i="51"/>
  <c r="BF153" i="51"/>
  <c r="BO160" i="51"/>
  <c r="BO153" i="51"/>
  <c r="BO150" i="51"/>
  <c r="BO159" i="51"/>
  <c r="BO152" i="51"/>
  <c r="BO151" i="51"/>
  <c r="BO154" i="51"/>
  <c r="AD120" i="51"/>
  <c r="T103" i="112"/>
  <c r="BM70" i="51"/>
  <c r="AO172" i="112" s="1"/>
  <c r="BM68" i="51"/>
  <c r="BM67" i="51"/>
  <c r="BM71" i="51"/>
  <c r="BK52" i="51"/>
  <c r="AR8" i="112" s="1"/>
  <c r="BK70" i="51"/>
  <c r="BK71" i="51"/>
  <c r="AM170" i="112"/>
  <c r="BM84" i="51"/>
  <c r="BM75" i="51"/>
  <c r="BT52" i="51"/>
  <c r="AY8" i="112" s="1"/>
  <c r="BC20" i="112" s="1"/>
  <c r="AC120" i="51"/>
  <c r="AT120" i="51"/>
  <c r="C120" i="51"/>
  <c r="S105" i="112"/>
  <c r="O111" i="112"/>
  <c r="W107" i="112"/>
  <c r="S111" i="112"/>
  <c r="U105" i="112"/>
  <c r="M105" i="112"/>
  <c r="X103" i="112"/>
  <c r="AA111" i="112"/>
  <c r="BO19" i="51"/>
  <c r="BO17" i="51"/>
  <c r="BO20" i="51"/>
  <c r="F120" i="51"/>
  <c r="AB120" i="51"/>
  <c r="O120" i="51"/>
  <c r="AA120" i="51"/>
  <c r="AJ120" i="51"/>
  <c r="AC34" i="112"/>
  <c r="D120" i="51"/>
  <c r="AP12" i="112"/>
  <c r="AT24" i="112" s="1"/>
  <c r="V120" i="51"/>
  <c r="K120" i="51"/>
  <c r="AK74" i="112"/>
  <c r="AO120" i="51"/>
  <c r="AM120" i="51"/>
  <c r="AI120" i="51"/>
  <c r="AZ65" i="51"/>
  <c r="X111" i="112"/>
  <c r="U111" i="112"/>
  <c r="P111" i="112"/>
  <c r="M111" i="112"/>
  <c r="X107" i="112"/>
  <c r="AA105" i="112"/>
  <c r="P105" i="112"/>
  <c r="AA103" i="112"/>
  <c r="M103" i="112"/>
  <c r="AF74" i="112"/>
  <c r="AJ73" i="112"/>
  <c r="AM74" i="112"/>
  <c r="AI73" i="112"/>
  <c r="AY84" i="51"/>
  <c r="BX37" i="51"/>
  <c r="BX41" i="51"/>
  <c r="BA6" i="112" s="1"/>
  <c r="AY6" i="112"/>
  <c r="BT43" i="51"/>
  <c r="AY7" i="112" s="1"/>
  <c r="AV6" i="112"/>
  <c r="BQ43" i="51"/>
  <c r="W109" i="112"/>
  <c r="S109" i="112"/>
  <c r="Y107" i="112"/>
  <c r="X105" i="112"/>
  <c r="P103" i="112"/>
  <c r="U103" i="112"/>
  <c r="Z107" i="112"/>
  <c r="R107" i="112"/>
  <c r="Q103" i="112"/>
  <c r="BL84" i="51"/>
  <c r="BO57" i="51"/>
  <c r="BG75" i="51"/>
  <c r="BH65" i="51"/>
  <c r="BH94" i="51" s="1"/>
  <c r="BH96" i="51" s="1"/>
  <c r="BH95" i="51" s="1"/>
  <c r="BG68" i="51"/>
  <c r="BG127" i="51"/>
  <c r="BG123" i="51" s="1"/>
  <c r="BM126" i="51" s="1"/>
  <c r="P109" i="112"/>
  <c r="Z105" i="112"/>
  <c r="R105" i="112"/>
  <c r="V103" i="112"/>
  <c r="W103" i="112"/>
  <c r="O103" i="112"/>
  <c r="V109" i="112"/>
  <c r="S107" i="112"/>
  <c r="Q109" i="112"/>
  <c r="W105" i="112"/>
  <c r="O105" i="112"/>
  <c r="BY52" i="51"/>
  <c r="BB8" i="112" s="1"/>
  <c r="BB20" i="112" s="1"/>
  <c r="BG99" i="51"/>
  <c r="BZ56" i="51"/>
  <c r="BX43" i="51"/>
  <c r="BA7" i="112" s="1"/>
  <c r="BH77" i="51"/>
  <c r="BG77" i="51"/>
  <c r="BR50" i="51"/>
  <c r="BR52" i="51" s="1"/>
  <c r="AW8" i="112" s="1"/>
  <c r="BA20" i="112" s="1"/>
  <c r="BR46" i="51"/>
  <c r="BY61" i="51"/>
  <c r="BB9" i="112" s="1"/>
  <c r="BX61" i="51"/>
  <c r="BA9" i="112" s="1"/>
  <c r="CC85" i="51"/>
  <c r="CJ102" i="51"/>
  <c r="BG84" i="51"/>
  <c r="BG87" i="51" s="1"/>
  <c r="CI102" i="51"/>
  <c r="AS21" i="112"/>
  <c r="O84" i="51"/>
  <c r="BK75" i="51"/>
  <c r="BK84" i="51"/>
  <c r="BK123" i="51"/>
  <c r="BA125" i="51"/>
  <c r="BA84" i="51" s="1"/>
  <c r="BS45" i="51"/>
  <c r="BK68" i="51"/>
  <c r="BK67" i="51"/>
  <c r="K84" i="51"/>
  <c r="AF36" i="112"/>
  <c r="AU7" i="112"/>
  <c r="AR6" i="112"/>
  <c r="AR18" i="112" s="1"/>
  <c r="BK43" i="51"/>
  <c r="BK72" i="51" s="1"/>
  <c r="P84" i="51"/>
  <c r="Q125" i="51"/>
  <c r="Q84" i="51" s="1"/>
  <c r="CK37" i="51"/>
  <c r="CK43" i="51"/>
  <c r="BO56" i="51"/>
  <c r="CJ85" i="51"/>
  <c r="BE72" i="51"/>
  <c r="BG76" i="51"/>
  <c r="CJ61" i="51"/>
  <c r="BX55" i="51"/>
  <c r="CC102" i="51"/>
  <c r="Q120" i="51"/>
  <c r="BA120" i="51"/>
  <c r="BA121" i="51" s="1"/>
  <c r="AN120" i="51"/>
  <c r="X120" i="51"/>
  <c r="AG74" i="112"/>
  <c r="AJ74" i="112"/>
  <c r="AF73" i="112"/>
  <c r="AF68" i="112"/>
  <c r="AC32" i="112"/>
  <c r="BE87" i="51"/>
  <c r="BH58" i="51"/>
  <c r="BH70" i="51" s="1"/>
  <c r="AQ21" i="112"/>
  <c r="AW45" i="51"/>
  <c r="BC46" i="51" s="1"/>
  <c r="CE85" i="51"/>
  <c r="AN125" i="51"/>
  <c r="AO125" i="51" s="1"/>
  <c r="BE58" i="51"/>
  <c r="BG49" i="51"/>
  <c r="BY38" i="51"/>
  <c r="BY41" i="51" s="1"/>
  <c r="BB6" i="112" s="1"/>
  <c r="AU6" i="112"/>
  <c r="AU18" i="112" s="1"/>
  <c r="BI93" i="51"/>
  <c r="BF99" i="51"/>
  <c r="O109" i="112"/>
  <c r="AG73" i="112"/>
  <c r="AK73" i="112"/>
  <c r="N111" i="112"/>
  <c r="V111" i="112"/>
  <c r="W111" i="112"/>
  <c r="N105" i="112"/>
  <c r="AA107" i="112"/>
  <c r="T107" i="112"/>
  <c r="T105" i="112"/>
  <c r="S103" i="112"/>
  <c r="X109" i="112"/>
  <c r="AH32" i="112"/>
  <c r="T111" i="112"/>
  <c r="U109" i="112"/>
  <c r="M109" i="112"/>
  <c r="P107" i="112"/>
  <c r="AR41" i="112"/>
  <c r="AB34" i="112"/>
  <c r="AO21" i="112"/>
  <c r="AN19" i="112"/>
  <c r="T109" i="112"/>
  <c r="O107" i="112"/>
  <c r="Q105" i="112"/>
  <c r="AL73" i="112"/>
  <c r="AH73" i="112"/>
  <c r="AH68" i="112"/>
  <c r="AB36" i="112"/>
  <c r="Y111" i="112"/>
  <c r="Q111" i="112"/>
  <c r="AA109" i="112"/>
  <c r="U107" i="112"/>
  <c r="M107" i="112"/>
  <c r="AR45" i="112"/>
  <c r="AK34" i="112"/>
  <c r="Y32" i="112"/>
  <c r="AP21" i="112"/>
  <c r="AX20" i="112"/>
  <c r="N107" i="112"/>
  <c r="Y105" i="112"/>
  <c r="AL74" i="112"/>
  <c r="AH74" i="112"/>
  <c r="Z109" i="112"/>
  <c r="R109" i="112"/>
  <c r="AP19" i="112"/>
  <c r="Z111" i="112"/>
  <c r="R111" i="112"/>
  <c r="Z103" i="112"/>
  <c r="Y103" i="112"/>
  <c r="R103" i="112"/>
  <c r="AT21" i="112"/>
  <c r="V107" i="112"/>
  <c r="AP20" i="112"/>
  <c r="AT20" i="112"/>
  <c r="Y109" i="112"/>
  <c r="Q107" i="112"/>
  <c r="V105" i="112"/>
  <c r="N103" i="112"/>
  <c r="AR43" i="112"/>
  <c r="N109" i="112"/>
  <c r="AD36" i="112"/>
  <c r="AH36" i="112"/>
  <c r="Z36" i="112"/>
  <c r="AM73" i="112"/>
  <c r="AR47" i="112"/>
  <c r="AH34" i="112"/>
  <c r="AG34" i="112"/>
  <c r="Y34" i="112"/>
  <c r="AB32" i="112"/>
  <c r="F125" i="51"/>
  <c r="BE113" i="51"/>
  <c r="BS61" i="51"/>
  <c r="AX9" i="112" s="1"/>
  <c r="AX21" i="112" s="1"/>
  <c r="BS59" i="51"/>
  <c r="CL46" i="51"/>
  <c r="CL52" i="51"/>
  <c r="CE97" i="51"/>
  <c r="CD102" i="51"/>
  <c r="BI48" i="51"/>
  <c r="BH50" i="51"/>
  <c r="BH52" i="51" s="1"/>
  <c r="AG84" i="51"/>
  <c r="AH125" i="51"/>
  <c r="AI125" i="51" s="1"/>
  <c r="AI84" i="51" s="1"/>
  <c r="E120" i="51"/>
  <c r="BG72" i="51"/>
  <c r="AP14" i="112" s="1"/>
  <c r="AM113" i="51"/>
  <c r="AQ64" i="51"/>
  <c r="AQ113" i="51" s="1"/>
  <c r="AE64" i="51"/>
  <c r="AE113" i="51" s="1"/>
  <c r="S64" i="51"/>
  <c r="S113" i="51" s="1"/>
  <c r="BC63" i="51"/>
  <c r="BI71" i="51" s="1"/>
  <c r="AY65" i="51"/>
  <c r="BE75" i="51"/>
  <c r="BO55" i="51"/>
  <c r="BR41" i="51"/>
  <c r="AU63" i="51"/>
  <c r="BA68" i="51" s="1"/>
  <c r="BH68" i="51"/>
  <c r="BB65" i="51"/>
  <c r="BE99" i="51"/>
  <c r="CL97" i="51"/>
  <c r="CL102" i="51" s="1"/>
  <c r="CK102" i="51"/>
  <c r="BT96" i="51"/>
  <c r="BT95" i="51" s="1"/>
  <c r="BR85" i="51"/>
  <c r="W120" i="51"/>
  <c r="AW64" i="51"/>
  <c r="AW113" i="51" s="1"/>
  <c r="AV113" i="51"/>
  <c r="BR59" i="51"/>
  <c r="BR61" i="51"/>
  <c r="AW9" i="112" s="1"/>
  <c r="AW21" i="112" s="1"/>
  <c r="BR55" i="51"/>
  <c r="BR54" i="51" s="1"/>
  <c r="BI57" i="51"/>
  <c r="BI56" i="51"/>
  <c r="BI36" i="51"/>
  <c r="BQ96" i="51"/>
  <c r="BQ95" i="51" s="1"/>
  <c r="BF37" i="51"/>
  <c r="BF40" i="51" s="1"/>
  <c r="BI40" i="51" s="1"/>
  <c r="AG120" i="51"/>
  <c r="BT36" i="51"/>
  <c r="BF87" i="51"/>
  <c r="BF75" i="51"/>
  <c r="BH76" i="51"/>
  <c r="BH127" i="51"/>
  <c r="BH123" i="51" s="1"/>
  <c r="BN126" i="51" s="1"/>
  <c r="CE56" i="51"/>
  <c r="CD61" i="51"/>
  <c r="CJ43" i="51"/>
  <c r="CJ37" i="51"/>
  <c r="AU9" i="112"/>
  <c r="V125" i="51"/>
  <c r="W125" i="51" s="1"/>
  <c r="U84" i="51"/>
  <c r="BY95" i="51"/>
  <c r="BF68" i="51"/>
  <c r="AZ76" i="51"/>
  <c r="CE96" i="51"/>
  <c r="CE95" i="51" s="1"/>
  <c r="BE68" i="51"/>
  <c r="AK64" i="51"/>
  <c r="AK113" i="51" s="1"/>
  <c r="AH113" i="51"/>
  <c r="BI55" i="51"/>
  <c r="BY85" i="51"/>
  <c r="AY120" i="51"/>
  <c r="AY121" i="51" s="1"/>
  <c r="AY123" i="51" s="1"/>
  <c r="AH120" i="51"/>
  <c r="U120" i="51"/>
  <c r="BQ85" i="51"/>
  <c r="J120" i="51"/>
  <c r="AV120" i="51"/>
  <c r="AS120" i="51"/>
  <c r="BH75" i="51"/>
  <c r="CI85" i="51"/>
  <c r="I120" i="51"/>
  <c r="BN75" i="51"/>
  <c r="BG58" i="51"/>
  <c r="CF85" i="51"/>
  <c r="AP120" i="51"/>
  <c r="R120" i="51"/>
  <c r="AU120" i="51"/>
  <c r="BO36" i="51"/>
  <c r="BU42" i="51" s="1"/>
  <c r="CC52" i="51"/>
  <c r="CD47" i="51"/>
  <c r="CD50" i="51" s="1"/>
  <c r="CC46" i="51"/>
  <c r="BI39" i="51"/>
  <c r="BI38" i="51"/>
  <c r="BR96" i="51"/>
  <c r="BR95" i="51" s="1"/>
  <c r="BW84" i="51"/>
  <c r="BQ64" i="51"/>
  <c r="BH99" i="51"/>
  <c r="BH87" i="51"/>
  <c r="L120" i="51"/>
  <c r="BX97" i="51"/>
  <c r="BW102" i="51"/>
  <c r="BW164" i="3" s="1"/>
  <c r="AS63" i="51"/>
  <c r="AY70" i="51" s="1"/>
  <c r="AJ161" i="112" s="1"/>
  <c r="M102" i="51"/>
  <c r="BR97" i="51"/>
  <c r="AB125" i="51"/>
  <c r="AA84" i="51"/>
  <c r="P120" i="51"/>
  <c r="BX84" i="51"/>
  <c r="BF58" i="51"/>
  <c r="BF72" i="51"/>
  <c r="AO14" i="112" s="1"/>
  <c r="BI61" i="51"/>
  <c r="BI91" i="51"/>
  <c r="AV63" i="51"/>
  <c r="BB68" i="51" s="1"/>
  <c r="AW54" i="51"/>
  <c r="BC57" i="51" s="1"/>
  <c r="BF63" i="51"/>
  <c r="AN173" i="112" s="1"/>
  <c r="BI45" i="51"/>
  <c r="AO169" i="112"/>
  <c r="AO170" i="112" s="1"/>
  <c r="CE38" i="51"/>
  <c r="CD43" i="51"/>
  <c r="CD37" i="51"/>
  <c r="CK85" i="51"/>
  <c r="AZ120" i="51"/>
  <c r="AS84" i="51"/>
  <c r="AT125" i="51"/>
  <c r="BE65" i="51"/>
  <c r="BK66" i="51" s="1"/>
  <c r="BE76" i="51"/>
  <c r="BE77" i="51"/>
  <c r="BE67" i="51"/>
  <c r="CF52" i="51"/>
  <c r="CF46" i="51"/>
  <c r="J84" i="51"/>
  <c r="BS84" i="51"/>
  <c r="CD85" i="51"/>
  <c r="BT85" i="51"/>
  <c r="BI80" i="51"/>
  <c r="BN50" i="51"/>
  <c r="BN52" i="51" s="1"/>
  <c r="AZ52" i="51"/>
  <c r="AK8" i="112" s="1"/>
  <c r="AO20" i="112" s="1"/>
  <c r="BB120" i="51"/>
  <c r="CL84" i="51"/>
  <c r="BZ84" i="51"/>
  <c r="CK47" i="51"/>
  <c r="CK50" i="51" s="1"/>
  <c r="CJ52" i="51"/>
  <c r="CJ46" i="51"/>
  <c r="BQ36" i="51"/>
  <c r="BS64" i="51"/>
  <c r="BY64" i="51" s="1"/>
  <c r="CE64" i="51" s="1"/>
  <c r="CK64" i="51" s="1"/>
  <c r="BI64" i="51"/>
  <c r="BG65" i="51"/>
  <c r="Y64" i="51"/>
  <c r="Y113" i="51" s="1"/>
  <c r="BH67" i="51"/>
  <c r="BB76" i="51"/>
  <c r="BQ54" i="51"/>
  <c r="BO54" i="51"/>
  <c r="I84" i="51"/>
  <c r="BC64" i="51"/>
  <c r="BC113" i="51" s="1"/>
  <c r="M64" i="51"/>
  <c r="M113" i="51" s="1"/>
  <c r="BG67" i="51"/>
  <c r="BA65" i="51"/>
  <c r="BS55" i="51"/>
  <c r="BS54" i="51" s="1"/>
  <c r="BE49" i="51"/>
  <c r="BR37" i="51"/>
  <c r="AW36" i="51"/>
  <c r="BC38" i="51" s="1"/>
  <c r="AT63" i="51"/>
  <c r="AZ70" i="51" s="1"/>
  <c r="AK161" i="112" s="1"/>
  <c r="BM41" i="51"/>
  <c r="AV11" i="3"/>
  <c r="G6" i="3"/>
  <c r="M6" i="3"/>
  <c r="S6" i="3"/>
  <c r="Y6" i="3"/>
  <c r="AE6" i="3"/>
  <c r="AK6" i="3"/>
  <c r="AQ6" i="3"/>
  <c r="AW6" i="3"/>
  <c r="BC6" i="3"/>
  <c r="BI6" i="3"/>
  <c r="BO6" i="3"/>
  <c r="BU6" i="3"/>
  <c r="CA6" i="3"/>
  <c r="CG6" i="3"/>
  <c r="D7" i="3"/>
  <c r="E7" i="3"/>
  <c r="F7" i="3"/>
  <c r="I7" i="3"/>
  <c r="J7" i="3"/>
  <c r="K7" i="3"/>
  <c r="L7" i="3"/>
  <c r="O7" i="3"/>
  <c r="P7" i="3"/>
  <c r="Q7" i="3"/>
  <c r="R7" i="3"/>
  <c r="U7" i="3"/>
  <c r="V7" i="3"/>
  <c r="W7" i="3"/>
  <c r="X7" i="3"/>
  <c r="AA7" i="3"/>
  <c r="AB7" i="3"/>
  <c r="AC7" i="3"/>
  <c r="AD7" i="3"/>
  <c r="AG7" i="3"/>
  <c r="AG79" i="106" s="1"/>
  <c r="AH7" i="3"/>
  <c r="AH79" i="106" s="1"/>
  <c r="AI7" i="3"/>
  <c r="AI79" i="106" s="1"/>
  <c r="AJ7" i="3"/>
  <c r="AJ79" i="106" s="1"/>
  <c r="AM7" i="3"/>
  <c r="AM79" i="106" s="1"/>
  <c r="AN7" i="3"/>
  <c r="AN79" i="106" s="1"/>
  <c r="AO7" i="3"/>
  <c r="AO79" i="106" s="1"/>
  <c r="AP7" i="3"/>
  <c r="AP79" i="106" s="1"/>
  <c r="AS7" i="3"/>
  <c r="AS79" i="106" s="1"/>
  <c r="AT7" i="3"/>
  <c r="AT79" i="106" s="1"/>
  <c r="AU7" i="3"/>
  <c r="AU79" i="106" s="1"/>
  <c r="AV7" i="3"/>
  <c r="AV79" i="106" s="1"/>
  <c r="AY7" i="3"/>
  <c r="AY79" i="106" s="1"/>
  <c r="AZ7" i="3"/>
  <c r="AZ79" i="106" s="1"/>
  <c r="BA7" i="3"/>
  <c r="BA79" i="106" s="1"/>
  <c r="BB7" i="3"/>
  <c r="BB79" i="106" s="1"/>
  <c r="BE7" i="3"/>
  <c r="BE79" i="106" s="1"/>
  <c r="BF7" i="3"/>
  <c r="BF79" i="106" s="1"/>
  <c r="BG7" i="3"/>
  <c r="BH7" i="3"/>
  <c r="BH79" i="106" s="1"/>
  <c r="BK7" i="3"/>
  <c r="BL7" i="3"/>
  <c r="BM7" i="3"/>
  <c r="BN7" i="3"/>
  <c r="BQ7" i="3"/>
  <c r="BR7" i="3"/>
  <c r="BS7" i="3"/>
  <c r="BT7" i="3"/>
  <c r="BW7" i="3"/>
  <c r="BX7" i="3"/>
  <c r="BY7" i="3"/>
  <c r="BZ7" i="3"/>
  <c r="CC7" i="3"/>
  <c r="CD7" i="3"/>
  <c r="CE7" i="3"/>
  <c r="CF7" i="3"/>
  <c r="G8" i="3"/>
  <c r="G162" i="106" s="1"/>
  <c r="M8" i="3"/>
  <c r="M162" i="106" s="1"/>
  <c r="S8" i="3"/>
  <c r="S162" i="106" s="1"/>
  <c r="Y8" i="3"/>
  <c r="Y162" i="106" s="1"/>
  <c r="AE8" i="3"/>
  <c r="AE162" i="106" s="1"/>
  <c r="AK8" i="3"/>
  <c r="AK162" i="106" s="1"/>
  <c r="AQ8" i="3"/>
  <c r="AQ162" i="106" s="1"/>
  <c r="AW8" i="3"/>
  <c r="AW162" i="106" s="1"/>
  <c r="BC8" i="3"/>
  <c r="BC162" i="106" s="1"/>
  <c r="I47" i="3"/>
  <c r="J88" i="3"/>
  <c r="K88" i="3"/>
  <c r="O47" i="3"/>
  <c r="P47" i="3"/>
  <c r="X88" i="3"/>
  <c r="AA88" i="3"/>
  <c r="AB47" i="3"/>
  <c r="AG42" i="3"/>
  <c r="AG83" i="3" s="1"/>
  <c r="AG84" i="3" s="1"/>
  <c r="AH42" i="3"/>
  <c r="AH83" i="3" s="1"/>
  <c r="AH84" i="3" s="1"/>
  <c r="AM47" i="3"/>
  <c r="AN51" i="3"/>
  <c r="AO47" i="3"/>
  <c r="AY88" i="3"/>
  <c r="AZ42" i="3"/>
  <c r="AZ43" i="3" s="1"/>
  <c r="BA42" i="3"/>
  <c r="BB47" i="3"/>
  <c r="G10" i="3"/>
  <c r="G157" i="107" s="1"/>
  <c r="M10" i="3"/>
  <c r="S10" i="3"/>
  <c r="Y10" i="3"/>
  <c r="AA10" i="3"/>
  <c r="AA40" i="3" s="1"/>
  <c r="AB10" i="3"/>
  <c r="AB65" i="3" s="1"/>
  <c r="AC10" i="3"/>
  <c r="AD10" i="3"/>
  <c r="AG10" i="3"/>
  <c r="AH10" i="3"/>
  <c r="AI10" i="3"/>
  <c r="AJ11" i="3"/>
  <c r="AP66" i="3" s="1"/>
  <c r="AM10" i="3"/>
  <c r="AN10" i="3"/>
  <c r="AO10" i="3"/>
  <c r="AP10" i="3"/>
  <c r="AS10" i="3"/>
  <c r="AT10" i="3"/>
  <c r="AU10" i="3"/>
  <c r="AV10" i="3"/>
  <c r="AY10" i="3"/>
  <c r="AZ10" i="3"/>
  <c r="BA10" i="3"/>
  <c r="BB10" i="3"/>
  <c r="BE10" i="3"/>
  <c r="BF10" i="3"/>
  <c r="BH10" i="3"/>
  <c r="C11" i="3"/>
  <c r="D11" i="3"/>
  <c r="D41" i="3" s="1"/>
  <c r="D82" i="3" s="1"/>
  <c r="E11" i="3"/>
  <c r="E18" i="3" s="1"/>
  <c r="E163" i="106" s="1"/>
  <c r="F11" i="3"/>
  <c r="I11" i="3"/>
  <c r="J11" i="3"/>
  <c r="J41" i="3" s="1"/>
  <c r="J82" i="3" s="1"/>
  <c r="K11" i="3"/>
  <c r="K18" i="3" s="1"/>
  <c r="L11" i="3"/>
  <c r="O11" i="3"/>
  <c r="P11" i="3"/>
  <c r="Q11" i="3"/>
  <c r="Q41" i="3" s="1"/>
  <c r="Q82" i="3" s="1"/>
  <c r="R11" i="3"/>
  <c r="U11" i="3"/>
  <c r="V11" i="3"/>
  <c r="V42" i="3" s="1"/>
  <c r="V83" i="3" s="1"/>
  <c r="W11" i="3"/>
  <c r="X11" i="3"/>
  <c r="AD11" i="3"/>
  <c r="AJ93" i="3" s="1"/>
  <c r="BI11" i="3"/>
  <c r="G13" i="3"/>
  <c r="M13" i="3"/>
  <c r="O13" i="3"/>
  <c r="O46" i="3" s="1"/>
  <c r="P13" i="3"/>
  <c r="Q13" i="3"/>
  <c r="R13" i="3"/>
  <c r="X94" i="3" s="1"/>
  <c r="U13" i="3"/>
  <c r="AA94" i="3" s="1"/>
  <c r="V13" i="3"/>
  <c r="V87" i="3" s="1"/>
  <c r="W13" i="3"/>
  <c r="X13" i="3"/>
  <c r="AA13" i="3"/>
  <c r="AA67" i="3" s="1"/>
  <c r="AB13" i="3"/>
  <c r="AC13" i="3"/>
  <c r="AD13" i="3"/>
  <c r="AD67" i="3" s="1"/>
  <c r="AJ13" i="3"/>
  <c r="AK13" i="3" s="1"/>
  <c r="AQ13" i="3"/>
  <c r="AV13" i="3"/>
  <c r="BC13" i="3"/>
  <c r="BI13" i="3"/>
  <c r="C14" i="3"/>
  <c r="C48" i="3" s="1"/>
  <c r="D14" i="3"/>
  <c r="D48" i="3" s="1"/>
  <c r="E14" i="3"/>
  <c r="E48" i="3" s="1"/>
  <c r="F14" i="3"/>
  <c r="F48" i="3" s="1"/>
  <c r="I14" i="3"/>
  <c r="I48" i="3" s="1"/>
  <c r="J14" i="3"/>
  <c r="K14" i="3"/>
  <c r="L14" i="3"/>
  <c r="L48" i="3" s="1"/>
  <c r="O14" i="3"/>
  <c r="P14" i="3"/>
  <c r="P48" i="3" s="1"/>
  <c r="Q14" i="3"/>
  <c r="Q48" i="3" s="1"/>
  <c r="R14" i="3"/>
  <c r="R48" i="3" s="1"/>
  <c r="U14" i="3"/>
  <c r="V14" i="3"/>
  <c r="W14" i="3"/>
  <c r="W48" i="3" s="1"/>
  <c r="X14" i="3"/>
  <c r="X48" i="3" s="1"/>
  <c r="AA14" i="3"/>
  <c r="AB14" i="3"/>
  <c r="AC14" i="3"/>
  <c r="AD14" i="3"/>
  <c r="AD48" i="3" s="1"/>
  <c r="AK14" i="3"/>
  <c r="AQ14" i="3"/>
  <c r="AW14" i="3"/>
  <c r="BC14" i="3"/>
  <c r="BI14" i="3"/>
  <c r="AG18" i="3"/>
  <c r="AH18" i="3"/>
  <c r="AI18" i="3"/>
  <c r="AU18" i="3"/>
  <c r="AY18" i="3"/>
  <c r="BB18" i="3"/>
  <c r="C20" i="3"/>
  <c r="D20" i="3"/>
  <c r="E20" i="3"/>
  <c r="F21" i="3"/>
  <c r="F22" i="3"/>
  <c r="G22" i="3" s="1"/>
  <c r="F23" i="3"/>
  <c r="G23" i="3" s="1"/>
  <c r="I20" i="3"/>
  <c r="J20" i="3"/>
  <c r="K20" i="3"/>
  <c r="L21" i="3"/>
  <c r="L22" i="3"/>
  <c r="M22" i="3" s="1"/>
  <c r="O20" i="3"/>
  <c r="P20" i="3"/>
  <c r="Q20" i="3"/>
  <c r="R21" i="3"/>
  <c r="S21" i="3" s="1"/>
  <c r="R22" i="3"/>
  <c r="S22" i="3" s="1"/>
  <c r="U20" i="3"/>
  <c r="V23" i="3"/>
  <c r="V20" i="3"/>
  <c r="W20" i="3"/>
  <c r="X21" i="3"/>
  <c r="Y21" i="3" s="1"/>
  <c r="X22" i="3"/>
  <c r="Y22" i="3" s="1"/>
  <c r="AA21" i="3"/>
  <c r="AD21" i="3" s="1"/>
  <c r="AB20" i="3"/>
  <c r="AB23" i="3" s="1"/>
  <c r="AC20" i="3"/>
  <c r="AC23" i="3" s="1"/>
  <c r="AD20" i="3"/>
  <c r="AJ20" i="3"/>
  <c r="AK20" i="3" s="1"/>
  <c r="AO20" i="3"/>
  <c r="AO23" i="3" s="1"/>
  <c r="AP20" i="3"/>
  <c r="AP25" i="3" s="1"/>
  <c r="AS20" i="3"/>
  <c r="AT20" i="3"/>
  <c r="AT23" i="3" s="1"/>
  <c r="AZ20" i="3"/>
  <c r="AZ23" i="3" s="1"/>
  <c r="BE20" i="3"/>
  <c r="BF23" i="3"/>
  <c r="BI21" i="3"/>
  <c r="BI22" i="3"/>
  <c r="BG23" i="3"/>
  <c r="BH23" i="3"/>
  <c r="BU23" i="3"/>
  <c r="CA23" i="3"/>
  <c r="CG23" i="3"/>
  <c r="AJ21" i="3"/>
  <c r="AK21" i="3" s="1"/>
  <c r="AP21" i="3"/>
  <c r="AV21" i="3"/>
  <c r="BA22" i="3"/>
  <c r="BA21" i="3" s="1"/>
  <c r="BA68" i="106" s="1"/>
  <c r="AD22" i="3"/>
  <c r="AJ22" i="3"/>
  <c r="AK22" i="3" s="1"/>
  <c r="AP22" i="3"/>
  <c r="AQ22" i="3" s="1"/>
  <c r="AV22" i="3"/>
  <c r="AW22" i="3" s="1"/>
  <c r="AG23" i="3"/>
  <c r="AH23" i="3"/>
  <c r="AI23" i="3"/>
  <c r="AM23" i="3"/>
  <c r="AN23" i="3"/>
  <c r="AU23" i="3"/>
  <c r="AM25" i="3"/>
  <c r="AM26" i="3" s="1"/>
  <c r="AM164" i="106" s="1"/>
  <c r="AM165" i="106" s="1"/>
  <c r="AM166" i="106" s="1"/>
  <c r="AN25" i="3"/>
  <c r="AN55" i="3" s="1"/>
  <c r="BA25" i="3"/>
  <c r="BA29" i="3" s="1"/>
  <c r="BA31" i="3" s="1"/>
  <c r="BG25" i="3"/>
  <c r="BH25" i="3"/>
  <c r="C27" i="3"/>
  <c r="D27" i="3"/>
  <c r="E27" i="3"/>
  <c r="F27" i="3"/>
  <c r="I27" i="3"/>
  <c r="J27" i="3"/>
  <c r="K27" i="3"/>
  <c r="L27" i="3"/>
  <c r="O27" i="3"/>
  <c r="P27" i="3"/>
  <c r="Q27" i="3"/>
  <c r="R27" i="3"/>
  <c r="U27" i="3"/>
  <c r="V27" i="3"/>
  <c r="W27" i="3"/>
  <c r="X27" i="3"/>
  <c r="AA27" i="3"/>
  <c r="AB27" i="3"/>
  <c r="AC27" i="3"/>
  <c r="AK27" i="3"/>
  <c r="AQ27" i="3"/>
  <c r="AW27" i="3"/>
  <c r="BC27" i="3"/>
  <c r="BI27" i="3"/>
  <c r="G28" i="3"/>
  <c r="J28" i="3"/>
  <c r="M28" i="3" s="1"/>
  <c r="S28" i="3"/>
  <c r="X28" i="3"/>
  <c r="Y28" i="3" s="1"/>
  <c r="AA28" i="3"/>
  <c r="AB28" i="3"/>
  <c r="AC28" i="3"/>
  <c r="AD28" i="3"/>
  <c r="AJ28" i="3"/>
  <c r="AK28" i="3" s="1"/>
  <c r="AQ28" i="3"/>
  <c r="AW28" i="3"/>
  <c r="BC28" i="3"/>
  <c r="BI28" i="3"/>
  <c r="G30" i="3"/>
  <c r="L30" i="3"/>
  <c r="M30" i="3" s="1"/>
  <c r="O30" i="3"/>
  <c r="P30" i="3"/>
  <c r="Q30" i="3"/>
  <c r="R30" i="3"/>
  <c r="U30" i="3"/>
  <c r="V30" i="3"/>
  <c r="W30" i="3"/>
  <c r="X30" i="3"/>
  <c r="AE30" i="3"/>
  <c r="AJ30" i="3"/>
  <c r="AK30" i="3" s="1"/>
  <c r="AQ30" i="3"/>
  <c r="AW30" i="3"/>
  <c r="BC30" i="3"/>
  <c r="BI30" i="3"/>
  <c r="AE34" i="3"/>
  <c r="AK34" i="3"/>
  <c r="AQ34" i="3"/>
  <c r="AW34" i="3"/>
  <c r="BH123" i="3"/>
  <c r="BI123" i="3" s="1"/>
  <c r="BK122" i="3" s="1"/>
  <c r="X36" i="3"/>
  <c r="AD36" i="3"/>
  <c r="AE36" i="3" s="1"/>
  <c r="AJ36" i="3"/>
  <c r="AJ123" i="3"/>
  <c r="AK123" i="3" s="1"/>
  <c r="AM122" i="3" s="1"/>
  <c r="AQ122" i="3" s="1"/>
  <c r="AP36" i="3"/>
  <c r="AP123" i="3" s="1"/>
  <c r="AQ123" i="3" s="1"/>
  <c r="AS122" i="3" s="1"/>
  <c r="AW122" i="3" s="1"/>
  <c r="AV123" i="3"/>
  <c r="AW123" i="3" s="1"/>
  <c r="AY122" i="3" s="1"/>
  <c r="BC122" i="3" s="1"/>
  <c r="C36" i="3"/>
  <c r="D36" i="3"/>
  <c r="E36" i="3"/>
  <c r="F36" i="3"/>
  <c r="G36" i="3" s="1"/>
  <c r="I36" i="3"/>
  <c r="I123" i="3" s="1"/>
  <c r="J122" i="3" s="1"/>
  <c r="J36" i="3"/>
  <c r="J123" i="3" s="1"/>
  <c r="K122" i="3" s="1"/>
  <c r="K36" i="3"/>
  <c r="K123" i="3" s="1"/>
  <c r="L122" i="3" s="1"/>
  <c r="L36" i="3"/>
  <c r="M36" i="3" s="1"/>
  <c r="O36" i="3"/>
  <c r="O123" i="3" s="1"/>
  <c r="P122" i="3" s="1"/>
  <c r="P36" i="3"/>
  <c r="Q36" i="3"/>
  <c r="R36" i="3"/>
  <c r="S36" i="3" s="1"/>
  <c r="U36" i="3"/>
  <c r="U123" i="3" s="1"/>
  <c r="V122" i="3" s="1"/>
  <c r="V36" i="3"/>
  <c r="V123" i="3" s="1"/>
  <c r="W122" i="3" s="1"/>
  <c r="W36" i="3"/>
  <c r="W123" i="3" s="1"/>
  <c r="X122" i="3" s="1"/>
  <c r="AA36" i="3"/>
  <c r="AB36" i="3"/>
  <c r="AC36" i="3"/>
  <c r="AG36" i="3"/>
  <c r="AH36" i="3"/>
  <c r="AI36" i="3"/>
  <c r="AK36" i="3"/>
  <c r="AM36" i="3"/>
  <c r="AM123" i="3" s="1"/>
  <c r="AN122" i="3" s="1"/>
  <c r="AN36" i="3"/>
  <c r="AO36" i="3"/>
  <c r="AS36" i="3"/>
  <c r="AT36" i="3"/>
  <c r="AU36" i="3"/>
  <c r="AW36" i="3"/>
  <c r="AY36" i="3"/>
  <c r="AZ36" i="3"/>
  <c r="BA36" i="3"/>
  <c r="BA123" i="3" s="1"/>
  <c r="BB122" i="3" s="1"/>
  <c r="BC36" i="3"/>
  <c r="BI36" i="3"/>
  <c r="C40" i="3"/>
  <c r="D40" i="3"/>
  <c r="E40" i="3"/>
  <c r="F40" i="3"/>
  <c r="I40" i="3"/>
  <c r="J40" i="3"/>
  <c r="K40" i="3"/>
  <c r="L40" i="3"/>
  <c r="O40" i="3"/>
  <c r="P40" i="3"/>
  <c r="Q40" i="3"/>
  <c r="R40" i="3"/>
  <c r="U40" i="3"/>
  <c r="V40" i="3"/>
  <c r="W40" i="3"/>
  <c r="X40" i="3"/>
  <c r="AD40" i="3"/>
  <c r="AG41" i="3"/>
  <c r="AG82" i="3" s="1"/>
  <c r="AH41" i="3"/>
  <c r="AH82" i="3" s="1"/>
  <c r="AI41" i="3"/>
  <c r="AI82" i="3" s="1"/>
  <c r="AJ41" i="3"/>
  <c r="AJ82" i="3" s="1"/>
  <c r="AM41" i="3"/>
  <c r="AM82" i="3" s="1"/>
  <c r="AN41" i="3"/>
  <c r="AN82" i="3" s="1"/>
  <c r="AO41" i="3"/>
  <c r="AP41" i="3"/>
  <c r="AP82" i="3" s="1"/>
  <c r="AS41" i="3"/>
  <c r="AS82" i="3" s="1"/>
  <c r="AT41" i="3"/>
  <c r="AT82" i="3" s="1"/>
  <c r="AU41" i="3"/>
  <c r="AU82" i="3" s="1"/>
  <c r="AV41" i="3"/>
  <c r="AV82" i="3" s="1"/>
  <c r="AY41" i="3"/>
  <c r="AY82" i="3" s="1"/>
  <c r="AZ41" i="3"/>
  <c r="AZ82" i="3" s="1"/>
  <c r="BA41" i="3"/>
  <c r="BA82" i="3" s="1"/>
  <c r="BB41" i="3"/>
  <c r="BB82" i="3" s="1"/>
  <c r="BE41" i="3"/>
  <c r="BF41" i="3"/>
  <c r="BH41" i="3"/>
  <c r="AV42" i="3"/>
  <c r="AV43" i="3" s="1"/>
  <c r="AY42" i="3"/>
  <c r="BE42" i="3"/>
  <c r="BE43" i="3" s="1"/>
  <c r="BF42" i="3"/>
  <c r="BF43" i="3" s="1"/>
  <c r="BH42" i="3"/>
  <c r="BH43" i="3" s="1"/>
  <c r="AR43" i="3"/>
  <c r="C46" i="3"/>
  <c r="D46" i="3"/>
  <c r="E46" i="3"/>
  <c r="F46" i="3"/>
  <c r="I46" i="3"/>
  <c r="J46" i="3"/>
  <c r="K46" i="3"/>
  <c r="L46" i="3"/>
  <c r="P46" i="3"/>
  <c r="W46" i="3"/>
  <c r="X46" i="3"/>
  <c r="AB46" i="3"/>
  <c r="AG46" i="3"/>
  <c r="AH46" i="3"/>
  <c r="AI46" i="3"/>
  <c r="AJ46" i="3"/>
  <c r="AM46" i="3"/>
  <c r="AN46" i="3"/>
  <c r="AO46" i="3"/>
  <c r="AP46" i="3"/>
  <c r="AS46" i="3"/>
  <c r="AT46" i="3"/>
  <c r="AU46" i="3"/>
  <c r="AY46" i="3"/>
  <c r="AZ46" i="3"/>
  <c r="BA46" i="3"/>
  <c r="BB46" i="3"/>
  <c r="BE46" i="3"/>
  <c r="BF46" i="3"/>
  <c r="BH46" i="3"/>
  <c r="BE47" i="3"/>
  <c r="BF47" i="3"/>
  <c r="BH47" i="3"/>
  <c r="J48" i="3"/>
  <c r="K48" i="3"/>
  <c r="O48" i="3"/>
  <c r="V48" i="3"/>
  <c r="AA48" i="3"/>
  <c r="AB48" i="3"/>
  <c r="AC48" i="3"/>
  <c r="AG48" i="3"/>
  <c r="AH48" i="3"/>
  <c r="AI48" i="3"/>
  <c r="AJ48" i="3"/>
  <c r="AM48" i="3"/>
  <c r="AN48" i="3"/>
  <c r="AO48" i="3"/>
  <c r="AP48" i="3"/>
  <c r="AS48" i="3"/>
  <c r="AT48" i="3"/>
  <c r="AU48" i="3"/>
  <c r="AV48" i="3"/>
  <c r="AY48" i="3"/>
  <c r="AZ48" i="3"/>
  <c r="BA48" i="3"/>
  <c r="BB48" i="3"/>
  <c r="BE48" i="3"/>
  <c r="BF48" i="3"/>
  <c r="BH48" i="3"/>
  <c r="B50" i="3"/>
  <c r="AM50" i="3"/>
  <c r="AM126" i="3" s="1"/>
  <c r="AN50" i="3"/>
  <c r="AN126" i="3" s="1"/>
  <c r="AO50" i="3"/>
  <c r="AO126" i="3" s="1"/>
  <c r="AP50" i="3"/>
  <c r="AP126" i="3" s="1"/>
  <c r="AS50" i="3"/>
  <c r="AS126" i="3" s="1"/>
  <c r="AT50" i="3"/>
  <c r="AT126" i="3" s="1"/>
  <c r="AZ50" i="3"/>
  <c r="AZ126" i="3" s="1"/>
  <c r="BA50" i="3"/>
  <c r="BA126" i="3" s="1"/>
  <c r="BE50" i="3"/>
  <c r="BF50" i="3"/>
  <c r="BH50" i="3"/>
  <c r="BH153" i="3"/>
  <c r="BF54" i="3"/>
  <c r="I59" i="3"/>
  <c r="J59" i="3"/>
  <c r="K59" i="3"/>
  <c r="L59" i="3"/>
  <c r="O59" i="3"/>
  <c r="P59" i="3"/>
  <c r="Q59" i="3"/>
  <c r="R59" i="3"/>
  <c r="U59" i="3"/>
  <c r="V59" i="3"/>
  <c r="W59" i="3"/>
  <c r="X59" i="3"/>
  <c r="AA59" i="3"/>
  <c r="AB59" i="3"/>
  <c r="AC59" i="3"/>
  <c r="AD59" i="3"/>
  <c r="AG59" i="3"/>
  <c r="AH59" i="3"/>
  <c r="AI59" i="3"/>
  <c r="AJ59" i="3"/>
  <c r="AM59" i="3"/>
  <c r="AN59" i="3"/>
  <c r="AO59" i="3"/>
  <c r="AP59" i="3"/>
  <c r="AS59" i="3"/>
  <c r="AT59" i="3"/>
  <c r="AU59" i="3"/>
  <c r="AV59" i="3"/>
  <c r="AY59" i="3"/>
  <c r="AZ59" i="3"/>
  <c r="BA59" i="3"/>
  <c r="BB59" i="3"/>
  <c r="BE59" i="3"/>
  <c r="BF59" i="3"/>
  <c r="BH59" i="3"/>
  <c r="BE63" i="3"/>
  <c r="AJ64" i="3"/>
  <c r="O63" i="3"/>
  <c r="P63" i="3"/>
  <c r="Q63" i="3"/>
  <c r="R63" i="3"/>
  <c r="U63" i="3"/>
  <c r="V63" i="3"/>
  <c r="W63" i="3"/>
  <c r="AA63" i="3"/>
  <c r="AB63" i="3"/>
  <c r="AC63" i="3"/>
  <c r="AD63" i="3"/>
  <c r="B65" i="3"/>
  <c r="I65" i="3"/>
  <c r="J65" i="3"/>
  <c r="K65" i="3"/>
  <c r="L65" i="3"/>
  <c r="O65" i="3"/>
  <c r="P65" i="3"/>
  <c r="Q65" i="3"/>
  <c r="R65" i="3"/>
  <c r="U65" i="3"/>
  <c r="V65" i="3"/>
  <c r="W65" i="3"/>
  <c r="X65" i="3"/>
  <c r="AA65" i="3"/>
  <c r="AC65" i="3"/>
  <c r="AD65" i="3"/>
  <c r="B66" i="3"/>
  <c r="AM66" i="3"/>
  <c r="AN66" i="3"/>
  <c r="AO66" i="3"/>
  <c r="AS66" i="3"/>
  <c r="AT66" i="3"/>
  <c r="AU66" i="3"/>
  <c r="AV66" i="3"/>
  <c r="AY66" i="3"/>
  <c r="AZ66" i="3"/>
  <c r="BA66" i="3"/>
  <c r="BB66" i="3"/>
  <c r="BE66" i="3"/>
  <c r="BF66" i="3"/>
  <c r="BG66" i="3"/>
  <c r="BH66" i="3"/>
  <c r="B67" i="3"/>
  <c r="I67" i="3"/>
  <c r="J67" i="3"/>
  <c r="K67" i="3"/>
  <c r="L67" i="3"/>
  <c r="O67" i="3"/>
  <c r="P67" i="3"/>
  <c r="X67" i="3"/>
  <c r="AH67" i="3"/>
  <c r="AM67" i="3"/>
  <c r="AN67" i="3"/>
  <c r="AO67" i="3"/>
  <c r="AS67" i="3"/>
  <c r="AT67" i="3"/>
  <c r="AU67" i="3"/>
  <c r="AY67" i="3"/>
  <c r="AZ67" i="3"/>
  <c r="BA67" i="3"/>
  <c r="BE67" i="3"/>
  <c r="BF67" i="3"/>
  <c r="BG67" i="3"/>
  <c r="BH67" i="3"/>
  <c r="B68" i="3"/>
  <c r="C74" i="3"/>
  <c r="D74" i="3"/>
  <c r="E74" i="3"/>
  <c r="F74" i="3"/>
  <c r="I74" i="3"/>
  <c r="J74" i="3"/>
  <c r="K74" i="3"/>
  <c r="L74" i="3"/>
  <c r="O74" i="3"/>
  <c r="P74" i="3"/>
  <c r="Q74" i="3"/>
  <c r="R74" i="3"/>
  <c r="U74" i="3"/>
  <c r="V74" i="3"/>
  <c r="W74" i="3"/>
  <c r="X74" i="3"/>
  <c r="AA74" i="3"/>
  <c r="AB74" i="3"/>
  <c r="AJ75" i="3"/>
  <c r="AC76" i="3"/>
  <c r="AD76" i="3"/>
  <c r="AG76" i="3"/>
  <c r="AH76" i="3"/>
  <c r="AM76" i="3"/>
  <c r="AN76" i="3"/>
  <c r="AO76" i="3"/>
  <c r="AP76" i="3"/>
  <c r="AS76" i="3"/>
  <c r="AT76" i="3"/>
  <c r="AU76" i="3"/>
  <c r="AV76" i="3"/>
  <c r="AY76" i="3"/>
  <c r="AZ76" i="3"/>
  <c r="BA76" i="3"/>
  <c r="BB76" i="3"/>
  <c r="BE76" i="3"/>
  <c r="BF76" i="3"/>
  <c r="BG76" i="3"/>
  <c r="BH76" i="3"/>
  <c r="AR84" i="3"/>
  <c r="I87" i="3"/>
  <c r="J87" i="3"/>
  <c r="K87" i="3"/>
  <c r="L87" i="3"/>
  <c r="O87" i="3"/>
  <c r="P87" i="3"/>
  <c r="U87" i="3"/>
  <c r="W87" i="3"/>
  <c r="X87" i="3"/>
  <c r="AB87" i="3"/>
  <c r="AD87" i="3"/>
  <c r="AG87" i="3"/>
  <c r="AH87" i="3"/>
  <c r="AI87" i="3"/>
  <c r="AM87" i="3"/>
  <c r="AN87" i="3"/>
  <c r="AP87" i="3"/>
  <c r="AS87" i="3"/>
  <c r="AT87" i="3"/>
  <c r="AU87" i="3"/>
  <c r="AY87" i="3"/>
  <c r="AZ87" i="3"/>
  <c r="BA87" i="3"/>
  <c r="BB87" i="3"/>
  <c r="B93" i="3"/>
  <c r="B96" i="3" s="1"/>
  <c r="BB93" i="3"/>
  <c r="B94" i="3"/>
  <c r="B97" i="3" s="1"/>
  <c r="I94" i="3"/>
  <c r="I97" i="3" s="1"/>
  <c r="J94" i="3"/>
  <c r="J97" i="3" s="1"/>
  <c r="K94" i="3"/>
  <c r="K97" i="3" s="1"/>
  <c r="L94" i="3"/>
  <c r="P94" i="3"/>
  <c r="Q94" i="3"/>
  <c r="R94" i="3"/>
  <c r="U94" i="3"/>
  <c r="AC94" i="3"/>
  <c r="AD94" i="3"/>
  <c r="AG94" i="3"/>
  <c r="AH94" i="3"/>
  <c r="AM94" i="3"/>
  <c r="AN94" i="3"/>
  <c r="AO94" i="3"/>
  <c r="AS94" i="3"/>
  <c r="AT94" i="3"/>
  <c r="AU94" i="3"/>
  <c r="AY94" i="3"/>
  <c r="AZ94" i="3"/>
  <c r="BA94" i="3"/>
  <c r="B95" i="3"/>
  <c r="B98" i="3" s="1"/>
  <c r="AS95" i="3"/>
  <c r="AT95" i="3"/>
  <c r="AZ95" i="3"/>
  <c r="BE105" i="3"/>
  <c r="BF105" i="3"/>
  <c r="BL106" i="3" s="1"/>
  <c r="BH105" i="3"/>
  <c r="BE109" i="3"/>
  <c r="BF109" i="3"/>
  <c r="BG109" i="3"/>
  <c r="BH109" i="3"/>
  <c r="BE112" i="3"/>
  <c r="BF112" i="3"/>
  <c r="BG112" i="3"/>
  <c r="BH112" i="3"/>
  <c r="BE113" i="3"/>
  <c r="BF113" i="3"/>
  <c r="BG113" i="3"/>
  <c r="BH113" i="3"/>
  <c r="BF114" i="3"/>
  <c r="BG114" i="3"/>
  <c r="C122" i="3"/>
  <c r="G122" i="3" s="1"/>
  <c r="C123" i="3"/>
  <c r="D122" i="3" s="1"/>
  <c r="D123" i="3"/>
  <c r="E122" i="3" s="1"/>
  <c r="E123" i="3"/>
  <c r="F122" i="3" s="1"/>
  <c r="F123" i="3"/>
  <c r="G123" i="3" s="1"/>
  <c r="I122" i="3" s="1"/>
  <c r="M122" i="3" s="1"/>
  <c r="P123" i="3"/>
  <c r="Q122" i="3" s="1"/>
  <c r="Q123" i="3"/>
  <c r="R122" i="3" s="1"/>
  <c r="R123" i="3"/>
  <c r="S123" i="3" s="1"/>
  <c r="U122" i="3" s="1"/>
  <c r="Y122" i="3" s="1"/>
  <c r="AA123" i="3"/>
  <c r="AB122" i="3" s="1"/>
  <c r="AB123" i="3"/>
  <c r="AC122" i="3" s="1"/>
  <c r="AC123" i="3"/>
  <c r="AD122" i="3" s="1"/>
  <c r="AG123" i="3"/>
  <c r="AH122" i="3" s="1"/>
  <c r="AH123" i="3"/>
  <c r="AI122" i="3" s="1"/>
  <c r="AI123" i="3"/>
  <c r="AJ122" i="3" s="1"/>
  <c r="AN123" i="3"/>
  <c r="AO122" i="3" s="1"/>
  <c r="AO123" i="3"/>
  <c r="AP122" i="3" s="1"/>
  <c r="AS123" i="3"/>
  <c r="AT122" i="3" s="1"/>
  <c r="AT123" i="3"/>
  <c r="AU122" i="3" s="1"/>
  <c r="AU123" i="3"/>
  <c r="AV122" i="3" s="1"/>
  <c r="AY123" i="3"/>
  <c r="AZ122" i="3" s="1"/>
  <c r="AZ123" i="3"/>
  <c r="BA122" i="3" s="1"/>
  <c r="BB123" i="3"/>
  <c r="BC123" i="3" s="1"/>
  <c r="BE122" i="3" s="1"/>
  <c r="BI122" i="3" s="1"/>
  <c r="BE123" i="3"/>
  <c r="BE144" i="3" s="1"/>
  <c r="BF143" i="3" s="1"/>
  <c r="BF123" i="3"/>
  <c r="BG123" i="3"/>
  <c r="BH122" i="3" s="1"/>
  <c r="BK136" i="3"/>
  <c r="AM141" i="3"/>
  <c r="AN141" i="3"/>
  <c r="AO141" i="3"/>
  <c r="AP141" i="3"/>
  <c r="AS141" i="3"/>
  <c r="AT141" i="3"/>
  <c r="AU141" i="3"/>
  <c r="AV141" i="3"/>
  <c r="AY141" i="3"/>
  <c r="AZ141" i="3"/>
  <c r="BA141" i="3"/>
  <c r="BB141" i="3"/>
  <c r="BE141" i="3"/>
  <c r="BF141" i="3"/>
  <c r="BG141" i="3"/>
  <c r="BH141" i="3"/>
  <c r="BE142" i="3"/>
  <c r="BF151" i="3"/>
  <c r="BG151" i="3"/>
  <c r="BH151" i="3"/>
  <c r="BF153" i="3"/>
  <c r="AW156" i="3"/>
  <c r="BC156" i="3"/>
  <c r="BU156" i="3"/>
  <c r="CA156" i="3"/>
  <c r="AW158" i="3"/>
  <c r="BC158" i="3"/>
  <c r="BI158" i="3"/>
  <c r="BO158" i="3"/>
  <c r="BU158" i="3"/>
  <c r="CA158" i="3"/>
  <c r="BC160" i="3"/>
  <c r="BI160" i="3"/>
  <c r="BO160" i="3"/>
  <c r="BU160" i="3"/>
  <c r="CA160" i="3"/>
  <c r="BC162" i="3"/>
  <c r="BC164" i="3"/>
  <c r="BN79" i="106" l="1"/>
  <c r="BN81" i="106"/>
  <c r="BN80" i="106"/>
  <c r="AM172" i="112"/>
  <c r="BY45" i="51"/>
  <c r="CC164" i="3"/>
  <c r="AQ8" i="112"/>
  <c r="AQ20" i="112" s="1"/>
  <c r="BH10" i="112" s="1"/>
  <c r="AN14" i="112"/>
  <c r="BZ55" i="51"/>
  <c r="BZ59" i="51"/>
  <c r="CF56" i="51"/>
  <c r="CF59" i="51" s="1"/>
  <c r="CE59" i="51"/>
  <c r="BY55" i="51"/>
  <c r="BY54" i="51" s="1"/>
  <c r="BY59" i="51"/>
  <c r="AV18" i="112"/>
  <c r="AZ18" i="112"/>
  <c r="AY18" i="112"/>
  <c r="BB21" i="112"/>
  <c r="BF49" i="51"/>
  <c r="BI49" i="51" s="1"/>
  <c r="BA21" i="112"/>
  <c r="AV7" i="112"/>
  <c r="AZ19" i="112" s="1"/>
  <c r="BQ72" i="51"/>
  <c r="AU8" i="112"/>
  <c r="AY20" i="112" s="1"/>
  <c r="BN72" i="51"/>
  <c r="BO146" i="51"/>
  <c r="BO145" i="51"/>
  <c r="BM79" i="106"/>
  <c r="BM81" i="106"/>
  <c r="BS81" i="106" s="1"/>
  <c r="BY81" i="106" s="1"/>
  <c r="CE81" i="106" s="1"/>
  <c r="BM80" i="106"/>
  <c r="BH163" i="51"/>
  <c r="BH164" i="51" s="1"/>
  <c r="BA163" i="51"/>
  <c r="BA164" i="51" s="1"/>
  <c r="BG157" i="51"/>
  <c r="BN156" i="51"/>
  <c r="BN149" i="51"/>
  <c r="BF149" i="51"/>
  <c r="BF171" i="51" s="1"/>
  <c r="BF142" i="51"/>
  <c r="BF169" i="51" s="1"/>
  <c r="BF156" i="51"/>
  <c r="BF173" i="51" s="1"/>
  <c r="BB16" i="3"/>
  <c r="BB163" i="106"/>
  <c r="BB165" i="106" s="1"/>
  <c r="BB166" i="106" s="1"/>
  <c r="AU16" i="3"/>
  <c r="AU163" i="106"/>
  <c r="AH16" i="3"/>
  <c r="AH163" i="106"/>
  <c r="K16" i="3"/>
  <c r="K163" i="106"/>
  <c r="AM186" i="106"/>
  <c r="AM187" i="106"/>
  <c r="AM64" i="106" s="1"/>
  <c r="AM167" i="106"/>
  <c r="AY16" i="3"/>
  <c r="AY163" i="106"/>
  <c r="AI16" i="3"/>
  <c r="AI163" i="106"/>
  <c r="AG16" i="3"/>
  <c r="AG163" i="106"/>
  <c r="BM69" i="51"/>
  <c r="AO171" i="112" s="1"/>
  <c r="BG70" i="51"/>
  <c r="AR20" i="112"/>
  <c r="AV20" i="112"/>
  <c r="BO47" i="51"/>
  <c r="BO51" i="51"/>
  <c r="BE70" i="51"/>
  <c r="AN161" i="112" s="1"/>
  <c r="BM87" i="51"/>
  <c r="BL70" i="51"/>
  <c r="AN172" i="112" s="1"/>
  <c r="AQ173" i="112"/>
  <c r="BL71" i="51"/>
  <c r="AN170" i="112"/>
  <c r="CF38" i="51"/>
  <c r="CF41" i="51" s="1"/>
  <c r="CE41" i="51"/>
  <c r="BF70" i="51"/>
  <c r="BG94" i="51"/>
  <c r="BG96" i="51" s="1"/>
  <c r="BG95" i="51" s="1"/>
  <c r="BM66" i="51"/>
  <c r="BC76" i="51"/>
  <c r="AK169" i="112"/>
  <c r="AL172" i="112" s="1"/>
  <c r="AU161" i="112"/>
  <c r="AP172" i="112"/>
  <c r="E68" i="106"/>
  <c r="E16" i="3"/>
  <c r="I88" i="3"/>
  <c r="R42" i="3"/>
  <c r="R83" i="3" s="1"/>
  <c r="R84" i="3" s="1"/>
  <c r="R99" i="3" s="1"/>
  <c r="R100" i="3" s="1"/>
  <c r="AB88" i="3"/>
  <c r="AC88" i="3"/>
  <c r="BS70" i="51"/>
  <c r="AT172" i="112" s="1"/>
  <c r="AW147" i="112"/>
  <c r="AL151" i="112"/>
  <c r="AW148" i="112"/>
  <c r="AL149" i="112"/>
  <c r="AL147" i="112"/>
  <c r="AL150" i="112"/>
  <c r="AX149" i="112"/>
  <c r="AR149" i="112"/>
  <c r="AX147" i="112"/>
  <c r="AX148" i="112"/>
  <c r="AR148" i="112"/>
  <c r="AW149" i="112"/>
  <c r="AL148" i="112"/>
  <c r="AG68" i="106"/>
  <c r="M158" i="107"/>
  <c r="BH80" i="106"/>
  <c r="BH81" i="106"/>
  <c r="BT81" i="106" s="1"/>
  <c r="BZ81" i="106" s="1"/>
  <c r="CF81" i="106" s="1"/>
  <c r="BH157" i="107"/>
  <c r="BH159" i="107" s="1"/>
  <c r="BH160" i="107" s="1"/>
  <c r="AO80" i="106"/>
  <c r="AO81" i="106"/>
  <c r="AO157" i="107"/>
  <c r="AO159" i="107" s="1"/>
  <c r="AO161" i="107" s="1"/>
  <c r="AD79" i="106"/>
  <c r="AD81" i="106"/>
  <c r="AD80" i="106"/>
  <c r="R80" i="106"/>
  <c r="R79" i="106"/>
  <c r="R81" i="106"/>
  <c r="F80" i="106"/>
  <c r="F81" i="106"/>
  <c r="F79" i="106"/>
  <c r="AE67" i="107"/>
  <c r="AE91" i="106"/>
  <c r="AE59" i="106"/>
  <c r="AU68" i="106"/>
  <c r="AN68" i="3"/>
  <c r="AH68" i="106"/>
  <c r="BI93" i="106"/>
  <c r="BI158" i="107"/>
  <c r="AK93" i="106"/>
  <c r="AK158" i="107"/>
  <c r="BB40" i="3"/>
  <c r="BB81" i="106"/>
  <c r="BB80" i="106"/>
  <c r="BB157" i="107"/>
  <c r="BB159" i="107" s="1"/>
  <c r="BB160" i="107" s="1"/>
  <c r="BC160" i="107" s="1"/>
  <c r="AV40" i="3"/>
  <c r="AV81" i="106"/>
  <c r="AV80" i="106"/>
  <c r="AV157" i="107"/>
  <c r="AV159" i="107" s="1"/>
  <c r="AV161" i="107" s="1"/>
  <c r="AP40" i="3"/>
  <c r="AP80" i="106"/>
  <c r="AP81" i="106"/>
  <c r="AP157" i="107"/>
  <c r="AP159" i="107" s="1"/>
  <c r="AP161" i="107" s="1"/>
  <c r="Y157" i="107"/>
  <c r="BC92" i="106"/>
  <c r="BC122" i="106"/>
  <c r="AE92" i="106"/>
  <c r="AE122" i="106"/>
  <c r="G92" i="106"/>
  <c r="G122" i="106"/>
  <c r="BK79" i="106"/>
  <c r="BQ79" i="106" s="1"/>
  <c r="BW79" i="106" s="1"/>
  <c r="CC79" i="106" s="1"/>
  <c r="BK80" i="106"/>
  <c r="BQ80" i="106" s="1"/>
  <c r="BK81" i="106"/>
  <c r="BQ81" i="106" s="1"/>
  <c r="BW81" i="106" s="1"/>
  <c r="CC81" i="106" s="1"/>
  <c r="AA80" i="106"/>
  <c r="AA79" i="106"/>
  <c r="AA81" i="106"/>
  <c r="U79" i="106"/>
  <c r="U81" i="106"/>
  <c r="U80" i="106"/>
  <c r="O79" i="106"/>
  <c r="O81" i="106"/>
  <c r="O80" i="106"/>
  <c r="I79" i="106"/>
  <c r="I80" i="106"/>
  <c r="I81" i="106"/>
  <c r="AU40" i="3"/>
  <c r="AU80" i="106"/>
  <c r="AU81" i="106"/>
  <c r="AU157" i="107"/>
  <c r="AU159" i="107" s="1"/>
  <c r="AU161" i="107" s="1"/>
  <c r="AI40" i="3"/>
  <c r="AI81" i="106"/>
  <c r="AI80" i="106"/>
  <c r="AI157" i="107"/>
  <c r="AI159" i="107" s="1"/>
  <c r="AI161" i="107" s="1"/>
  <c r="AE61" i="3"/>
  <c r="Y92" i="106"/>
  <c r="Y122" i="106"/>
  <c r="AQ67" i="107"/>
  <c r="AQ91" i="106"/>
  <c r="AQ59" i="106"/>
  <c r="G158" i="107"/>
  <c r="G159" i="107" s="1"/>
  <c r="G161" i="107" s="1"/>
  <c r="K68" i="106"/>
  <c r="BF80" i="106"/>
  <c r="BF81" i="106"/>
  <c r="BF157" i="107"/>
  <c r="BF159" i="107" s="1"/>
  <c r="BF160" i="107" s="1"/>
  <c r="AZ80" i="106"/>
  <c r="AZ81" i="106"/>
  <c r="AZ157" i="107"/>
  <c r="AZ159" i="107" s="1"/>
  <c r="AZ161" i="107" s="1"/>
  <c r="AT40" i="3"/>
  <c r="AT81" i="106"/>
  <c r="AT80" i="106"/>
  <c r="AT157" i="107"/>
  <c r="AT159" i="107" s="1"/>
  <c r="AT161" i="107" s="1"/>
  <c r="AN81" i="106"/>
  <c r="AN80" i="106"/>
  <c r="AN157" i="107"/>
  <c r="AN159" i="107" s="1"/>
  <c r="AN161" i="107" s="1"/>
  <c r="AH40" i="3"/>
  <c r="AH81" i="106"/>
  <c r="AH80" i="106"/>
  <c r="AH157" i="107"/>
  <c r="AH159" i="107" s="1"/>
  <c r="AH161" i="107" s="1"/>
  <c r="M157" i="107"/>
  <c r="AQ92" i="106"/>
  <c r="AQ122" i="106"/>
  <c r="Y64" i="3"/>
  <c r="S92" i="106"/>
  <c r="S122" i="106"/>
  <c r="AC79" i="106"/>
  <c r="AC81" i="106"/>
  <c r="AC80" i="106"/>
  <c r="W80" i="106"/>
  <c r="W79" i="106"/>
  <c r="W81" i="106"/>
  <c r="Q80" i="106"/>
  <c r="Q79" i="106"/>
  <c r="Q81" i="106"/>
  <c r="K81" i="106"/>
  <c r="K79" i="106"/>
  <c r="K80" i="106"/>
  <c r="E81" i="106"/>
  <c r="E79" i="106"/>
  <c r="E80" i="106"/>
  <c r="AW67" i="107"/>
  <c r="AW91" i="106"/>
  <c r="AW59" i="106"/>
  <c r="BC93" i="106"/>
  <c r="BC158" i="107"/>
  <c r="BA40" i="3"/>
  <c r="BA81" i="106"/>
  <c r="BA80" i="106"/>
  <c r="BA157" i="107"/>
  <c r="BA159" i="107" s="1"/>
  <c r="BA161" i="107" s="1"/>
  <c r="S157" i="107"/>
  <c r="AW92" i="106"/>
  <c r="AW122" i="106"/>
  <c r="X79" i="106"/>
  <c r="X81" i="106"/>
  <c r="X80" i="106"/>
  <c r="L80" i="106"/>
  <c r="L81" i="106"/>
  <c r="L79" i="106"/>
  <c r="AK67" i="107"/>
  <c r="AK91" i="106"/>
  <c r="AK59" i="106"/>
  <c r="AQ21" i="3"/>
  <c r="AP68" i="106"/>
  <c r="AY68" i="106"/>
  <c r="AI68" i="106"/>
  <c r="AQ93" i="106"/>
  <c r="AQ158" i="107"/>
  <c r="BE80" i="106"/>
  <c r="BE81" i="106"/>
  <c r="BE157" i="107"/>
  <c r="BE159" i="107" s="1"/>
  <c r="BE160" i="107" s="1"/>
  <c r="AY40" i="3"/>
  <c r="AY81" i="106"/>
  <c r="AY80" i="106"/>
  <c r="AY157" i="107"/>
  <c r="AY159" i="107" s="1"/>
  <c r="AY161" i="107" s="1"/>
  <c r="AS81" i="106"/>
  <c r="AS80" i="106"/>
  <c r="AS157" i="107"/>
  <c r="AS159" i="107" s="1"/>
  <c r="AS161" i="107" s="1"/>
  <c r="AM81" i="106"/>
  <c r="AM80" i="106"/>
  <c r="AM157" i="107"/>
  <c r="AM159" i="107" s="1"/>
  <c r="AM161" i="107" s="1"/>
  <c r="AG80" i="106"/>
  <c r="AG81" i="106"/>
  <c r="AG157" i="107"/>
  <c r="AG159" i="107" s="1"/>
  <c r="AG161" i="107" s="1"/>
  <c r="AK92" i="106"/>
  <c r="AK122" i="106"/>
  <c r="S64" i="3"/>
  <c r="M92" i="106"/>
  <c r="M122" i="106"/>
  <c r="BL79" i="106"/>
  <c r="BR79" i="106" s="1"/>
  <c r="BX79" i="106" s="1"/>
  <c r="CD79" i="106" s="1"/>
  <c r="BL80" i="106"/>
  <c r="BL81" i="106"/>
  <c r="BR81" i="106" s="1"/>
  <c r="BX81" i="106" s="1"/>
  <c r="CD81" i="106" s="1"/>
  <c r="AB80" i="106"/>
  <c r="AB79" i="106"/>
  <c r="AB81" i="106"/>
  <c r="V80" i="106"/>
  <c r="V79" i="106"/>
  <c r="V81" i="106"/>
  <c r="P79" i="106"/>
  <c r="P81" i="106"/>
  <c r="P80" i="106"/>
  <c r="J81" i="106"/>
  <c r="J79" i="106"/>
  <c r="J80" i="106"/>
  <c r="D81" i="106"/>
  <c r="D79" i="106"/>
  <c r="D80" i="106"/>
  <c r="BA67" i="106"/>
  <c r="BA69" i="106"/>
  <c r="AS67" i="106"/>
  <c r="AS69" i="106"/>
  <c r="AZ67" i="106"/>
  <c r="AZ69" i="106"/>
  <c r="AM67" i="106"/>
  <c r="AM69" i="106"/>
  <c r="BE67" i="106"/>
  <c r="BE69" i="106"/>
  <c r="BH102" i="3"/>
  <c r="BF102" i="3"/>
  <c r="BE102" i="3"/>
  <c r="BF20" i="3"/>
  <c r="BF25" i="3" s="1"/>
  <c r="BH40" i="3"/>
  <c r="BH152" i="3"/>
  <c r="BF152" i="3"/>
  <c r="X93" i="3"/>
  <c r="L66" i="3"/>
  <c r="BH98" i="51"/>
  <c r="BH92" i="51"/>
  <c r="BH128" i="51"/>
  <c r="BH81" i="51" s="1"/>
  <c r="BH86" i="51" s="1"/>
  <c r="BH85" i="51" s="1"/>
  <c r="BH101" i="51" s="1"/>
  <c r="BH103" i="51" s="1"/>
  <c r="BH104" i="51" s="1"/>
  <c r="BH66" i="51"/>
  <c r="AY19" i="112"/>
  <c r="AW6" i="112"/>
  <c r="BR43" i="51"/>
  <c r="BG69" i="51"/>
  <c r="AM68" i="3"/>
  <c r="BH68" i="3"/>
  <c r="AU68" i="3"/>
  <c r="BA68" i="3"/>
  <c r="AS49" i="3"/>
  <c r="AS69" i="3"/>
  <c r="AZ49" i="3"/>
  <c r="BA49" i="3"/>
  <c r="BE49" i="3"/>
  <c r="BE68" i="3"/>
  <c r="AY68" i="3"/>
  <c r="AI25" i="3"/>
  <c r="AI55" i="3" s="1"/>
  <c r="AO68" i="3"/>
  <c r="BL65" i="3"/>
  <c r="BY43" i="51"/>
  <c r="BB7" i="112" s="1"/>
  <c r="BZ38" i="51"/>
  <c r="BZ41" i="51" s="1"/>
  <c r="BC6" i="112" s="1"/>
  <c r="BC18" i="112" s="1"/>
  <c r="BL68" i="51"/>
  <c r="BL67" i="51"/>
  <c r="BO39" i="51"/>
  <c r="BL87" i="51"/>
  <c r="BU58" i="51"/>
  <c r="BO37" i="51"/>
  <c r="BL75" i="51"/>
  <c r="BZ61" i="51"/>
  <c r="BC9" i="112" s="1"/>
  <c r="AY50" i="3"/>
  <c r="AY126" i="3" s="1"/>
  <c r="BF107" i="3"/>
  <c r="BF108" i="3" s="1"/>
  <c r="O66" i="3"/>
  <c r="AJ125" i="51"/>
  <c r="AJ84" i="51" s="1"/>
  <c r="BC48" i="51"/>
  <c r="BB125" i="51"/>
  <c r="BB75" i="51" s="1"/>
  <c r="AN84" i="51"/>
  <c r="BI63" i="51"/>
  <c r="BO71" i="51" s="1"/>
  <c r="AY95" i="3"/>
  <c r="AY98" i="3" s="1"/>
  <c r="AE60" i="3"/>
  <c r="BC87" i="3"/>
  <c r="BE54" i="3"/>
  <c r="AU95" i="3"/>
  <c r="AK59" i="3"/>
  <c r="AM55" i="3"/>
  <c r="V46" i="3"/>
  <c r="U67" i="3"/>
  <c r="U46" i="3"/>
  <c r="AB11" i="3"/>
  <c r="AH93" i="3" s="1"/>
  <c r="AJ88" i="3"/>
  <c r="R67" i="3"/>
  <c r="L123" i="3"/>
  <c r="M123" i="3" s="1"/>
  <c r="O122" i="3" s="1"/>
  <c r="S122" i="3" s="1"/>
  <c r="AB94" i="3"/>
  <c r="AH97" i="3" s="1"/>
  <c r="O94" i="3"/>
  <c r="O97" i="3" s="1"/>
  <c r="O93" i="3"/>
  <c r="AA87" i="3"/>
  <c r="AG67" i="3"/>
  <c r="AI65" i="3"/>
  <c r="AD46" i="3"/>
  <c r="BF40" i="3"/>
  <c r="V47" i="3"/>
  <c r="AQ87" i="3"/>
  <c r="AJ67" i="3"/>
  <c r="AB40" i="3"/>
  <c r="AQ36" i="3"/>
  <c r="AM88" i="3"/>
  <c r="AJ87" i="3"/>
  <c r="M74" i="3"/>
  <c r="AP67" i="3"/>
  <c r="AB67" i="3"/>
  <c r="AA46" i="3"/>
  <c r="AD41" i="3"/>
  <c r="AD82" i="3" s="1"/>
  <c r="X47" i="3"/>
  <c r="I42" i="3"/>
  <c r="I83" i="3" s="1"/>
  <c r="I85" i="3" s="1"/>
  <c r="V67" i="3"/>
  <c r="AP94" i="3"/>
  <c r="S27" i="3"/>
  <c r="AG65" i="3"/>
  <c r="U88" i="3"/>
  <c r="AA89" i="3" s="1"/>
  <c r="AJ94" i="3"/>
  <c r="AJ97" i="3" s="1"/>
  <c r="V94" i="3"/>
  <c r="V97" i="3" s="1"/>
  <c r="F18" i="3"/>
  <c r="AO65" i="3"/>
  <c r="Q88" i="3"/>
  <c r="Q89" i="3" s="1"/>
  <c r="BA95" i="3"/>
  <c r="AK48" i="3"/>
  <c r="Y65" i="3"/>
  <c r="AE59" i="3"/>
  <c r="AH84" i="51"/>
  <c r="BE114" i="3"/>
  <c r="BE117" i="3" s="1"/>
  <c r="BI67" i="3"/>
  <c r="K41" i="3"/>
  <c r="K82" i="3" s="1"/>
  <c r="AY20" i="3"/>
  <c r="BC20" i="3" s="1"/>
  <c r="BC48" i="3"/>
  <c r="G46" i="3"/>
  <c r="G40" i="3"/>
  <c r="BE65" i="3"/>
  <c r="AU65" i="3"/>
  <c r="AS65" i="3"/>
  <c r="BF65" i="3"/>
  <c r="AT65" i="3"/>
  <c r="CK61" i="51"/>
  <c r="BA127" i="51"/>
  <c r="BO38" i="51"/>
  <c r="BC47" i="51"/>
  <c r="BE74" i="51"/>
  <c r="CE101" i="51"/>
  <c r="BX54" i="51"/>
  <c r="AK87" i="3"/>
  <c r="AJ66" i="3"/>
  <c r="BB65" i="3"/>
  <c r="Y11" i="3"/>
  <c r="BG116" i="3"/>
  <c r="BA65" i="3"/>
  <c r="W66" i="3"/>
  <c r="L93" i="3"/>
  <c r="L96" i="3" s="1"/>
  <c r="AK46" i="3"/>
  <c r="G87" i="3"/>
  <c r="AQ67" i="3"/>
  <c r="R66" i="3"/>
  <c r="F41" i="3"/>
  <c r="F82" i="3" s="1"/>
  <c r="J93" i="3"/>
  <c r="J96" i="3" s="1"/>
  <c r="AY65" i="3"/>
  <c r="AT25" i="3"/>
  <c r="AT55" i="3" s="1"/>
  <c r="AM40" i="3"/>
  <c r="M94" i="3"/>
  <c r="M97" i="3" s="1"/>
  <c r="E41" i="3"/>
  <c r="E82" i="3" s="1"/>
  <c r="AW48" i="3"/>
  <c r="M46" i="3"/>
  <c r="U66" i="3"/>
  <c r="BC59" i="3"/>
  <c r="BA122" i="51"/>
  <c r="BC49" i="51"/>
  <c r="AR7" i="112"/>
  <c r="AR19" i="112" s="1"/>
  <c r="BI37" i="51"/>
  <c r="BK69" i="51"/>
  <c r="BK87" i="51"/>
  <c r="BI58" i="51"/>
  <c r="BK74" i="51"/>
  <c r="CK96" i="51"/>
  <c r="CK95" i="51" s="1"/>
  <c r="CK101" i="51" s="1"/>
  <c r="CK103" i="51" s="1"/>
  <c r="BQ101" i="51"/>
  <c r="BQ103" i="51" s="1"/>
  <c r="AU19" i="112"/>
  <c r="AT6" i="112"/>
  <c r="AT18" i="112" s="1"/>
  <c r="BM43" i="51"/>
  <c r="BM72" i="51" s="1"/>
  <c r="BU57" i="51"/>
  <c r="BR36" i="51"/>
  <c r="BX36" i="51" s="1"/>
  <c r="CD36" i="51" s="1"/>
  <c r="CJ36" i="51" s="1"/>
  <c r="W93" i="3"/>
  <c r="AM65" i="3"/>
  <c r="BF103" i="3"/>
  <c r="BF104" i="3" s="1"/>
  <c r="V93" i="3"/>
  <c r="M67" i="3"/>
  <c r="K66" i="3"/>
  <c r="AZ65" i="3"/>
  <c r="BB50" i="3"/>
  <c r="BB126" i="3" s="1"/>
  <c r="BC46" i="3"/>
  <c r="W41" i="3"/>
  <c r="W82" i="3" s="1"/>
  <c r="AO40" i="3"/>
  <c r="AM29" i="3"/>
  <c r="AM31" i="3" s="1"/>
  <c r="AG25" i="3"/>
  <c r="AG29" i="3" s="1"/>
  <c r="AG31" i="3" s="1"/>
  <c r="J18" i="3"/>
  <c r="Q66" i="3"/>
  <c r="K93" i="3"/>
  <c r="K96" i="3" s="1"/>
  <c r="U93" i="3"/>
  <c r="J66" i="3"/>
  <c r="AH65" i="3"/>
  <c r="BF52" i="3"/>
  <c r="V41" i="3"/>
  <c r="V82" i="3" s="1"/>
  <c r="BI113" i="3"/>
  <c r="M87" i="3"/>
  <c r="AQ94" i="3"/>
  <c r="R93" i="3"/>
  <c r="V66" i="3"/>
  <c r="AV65" i="3"/>
  <c r="BH54" i="3"/>
  <c r="AI50" i="3"/>
  <c r="U41" i="3"/>
  <c r="U82" i="3" s="1"/>
  <c r="BE40" i="3"/>
  <c r="Y40" i="3"/>
  <c r="BH114" i="3"/>
  <c r="Q93" i="3"/>
  <c r="BH65" i="3"/>
  <c r="AG50" i="3"/>
  <c r="BB25" i="3"/>
  <c r="BB29" i="3" s="1"/>
  <c r="BB31" i="3" s="1"/>
  <c r="AU13" i="112"/>
  <c r="AU25" i="112" s="1"/>
  <c r="R125" i="51"/>
  <c r="R84" i="51" s="1"/>
  <c r="BY37" i="51"/>
  <c r="BS68" i="51"/>
  <c r="BB67" i="51"/>
  <c r="BB69" i="51" s="1"/>
  <c r="AM160" i="112" s="1"/>
  <c r="BZ96" i="51"/>
  <c r="BZ95" i="51" s="1"/>
  <c r="CK55" i="51"/>
  <c r="BC65" i="51"/>
  <c r="BA123" i="51"/>
  <c r="BA98" i="51" s="1"/>
  <c r="BI52" i="51"/>
  <c r="AN162" i="112"/>
  <c r="BE165" i="3"/>
  <c r="AS7" i="112"/>
  <c r="AS6" i="112"/>
  <c r="AS18" i="112" s="1"/>
  <c r="BG92" i="51"/>
  <c r="AQ19" i="112"/>
  <c r="BH8" i="112" s="1"/>
  <c r="CL61" i="51"/>
  <c r="CL55" i="51"/>
  <c r="AU21" i="112"/>
  <c r="BH165" i="3"/>
  <c r="BF165" i="3"/>
  <c r="AV121" i="51"/>
  <c r="AV123" i="51" s="1"/>
  <c r="BC55" i="51"/>
  <c r="AO162" i="112"/>
  <c r="BI68" i="51"/>
  <c r="BG74" i="51"/>
  <c r="AP162" i="112"/>
  <c r="AM148" i="112"/>
  <c r="AM149" i="112"/>
  <c r="BE25" i="3"/>
  <c r="AY99" i="3"/>
  <c r="AH99" i="3"/>
  <c r="L42" i="3"/>
  <c r="L83" i="3" s="1"/>
  <c r="L85" i="3" s="1"/>
  <c r="AV99" i="3"/>
  <c r="AI51" i="3"/>
  <c r="AG99" i="3"/>
  <c r="W42" i="3"/>
  <c r="W83" i="3" s="1"/>
  <c r="W84" i="3" s="1"/>
  <c r="W99" i="3" s="1"/>
  <c r="L88" i="3"/>
  <c r="AN47" i="3"/>
  <c r="BE118" i="3"/>
  <c r="BE119" i="3" s="1"/>
  <c r="BA88" i="3"/>
  <c r="BG117" i="3" s="1"/>
  <c r="AT99" i="3"/>
  <c r="AZ88" i="3"/>
  <c r="BF117" i="3" s="1"/>
  <c r="BB88" i="3"/>
  <c r="U47" i="3"/>
  <c r="AM54" i="3"/>
  <c r="L47" i="3"/>
  <c r="BA43" i="3"/>
  <c r="BA83" i="3"/>
  <c r="BA84" i="3" s="1"/>
  <c r="BA93" i="3" s="1"/>
  <c r="BA51" i="3"/>
  <c r="BA127" i="3" s="1"/>
  <c r="AP42" i="3"/>
  <c r="AS88" i="3"/>
  <c r="AY89" i="3" s="1"/>
  <c r="AZ51" i="3"/>
  <c r="AZ47" i="3"/>
  <c r="AG47" i="3"/>
  <c r="AO42" i="3"/>
  <c r="AH88" i="3"/>
  <c r="AS42" i="3"/>
  <c r="BH118" i="3"/>
  <c r="BH119" i="3" s="1"/>
  <c r="AG88" i="3"/>
  <c r="AH47" i="3"/>
  <c r="AP88" i="3"/>
  <c r="BF60" i="3"/>
  <c r="AO51" i="3"/>
  <c r="AO127" i="3" s="1"/>
  <c r="AS47" i="3"/>
  <c r="BB51" i="3"/>
  <c r="BB127" i="3" s="1"/>
  <c r="BA47" i="3"/>
  <c r="AO88" i="3"/>
  <c r="V88" i="3"/>
  <c r="AZ83" i="3"/>
  <c r="AZ84" i="3" s="1"/>
  <c r="AZ93" i="3" s="1"/>
  <c r="AV60" i="3"/>
  <c r="AV63" i="3" s="1"/>
  <c r="AG51" i="3"/>
  <c r="AP47" i="3"/>
  <c r="W47" i="3"/>
  <c r="AU54" i="3"/>
  <c r="AS99" i="3"/>
  <c r="AU99" i="3"/>
  <c r="AN88" i="3"/>
  <c r="AV83" i="3"/>
  <c r="AV84" i="3" s="1"/>
  <c r="AV93" i="3" s="1"/>
  <c r="BB96" i="3" s="1"/>
  <c r="AN60" i="3"/>
  <c r="AN63" i="3" s="1"/>
  <c r="AZ54" i="3"/>
  <c r="BB99" i="3"/>
  <c r="BH60" i="3"/>
  <c r="AH60" i="3"/>
  <c r="AH63" i="3" s="1"/>
  <c r="AS51" i="3"/>
  <c r="AS127" i="3" s="1"/>
  <c r="BA99" i="3"/>
  <c r="AG60" i="3"/>
  <c r="AG63" i="3" s="1"/>
  <c r="AP51" i="3"/>
  <c r="AP127" i="3" s="1"/>
  <c r="BB42" i="3"/>
  <c r="AP60" i="3"/>
  <c r="AP63" i="3" s="1"/>
  <c r="O88" i="3"/>
  <c r="AM49" i="3"/>
  <c r="AU88" i="3"/>
  <c r="W88" i="3"/>
  <c r="BB60" i="3"/>
  <c r="BA54" i="3"/>
  <c r="P88" i="3"/>
  <c r="AT88" i="3"/>
  <c r="AI88" i="3"/>
  <c r="BA60" i="3"/>
  <c r="BA63" i="3" s="1"/>
  <c r="AJ42" i="3"/>
  <c r="AJ83" i="3" s="1"/>
  <c r="AJ84" i="3" s="1"/>
  <c r="BG144" i="3"/>
  <c r="BH143" i="3" s="1"/>
  <c r="AM97" i="3"/>
  <c r="AE63" i="3"/>
  <c r="G7" i="3"/>
  <c r="BH52" i="3"/>
  <c r="BE103" i="3"/>
  <c r="BE104" i="3" s="1"/>
  <c r="AS97" i="3"/>
  <c r="BE116" i="3"/>
  <c r="AW35" i="3"/>
  <c r="AQ7" i="3"/>
  <c r="AQ79" i="106" s="1"/>
  <c r="U42" i="3"/>
  <c r="U83" i="3" s="1"/>
  <c r="U84" i="3" s="1"/>
  <c r="U99" i="3" s="1"/>
  <c r="X97" i="3"/>
  <c r="BH144" i="3"/>
  <c r="BI144" i="3" s="1"/>
  <c r="BK143" i="3" s="1"/>
  <c r="G11" i="3"/>
  <c r="Q42" i="3"/>
  <c r="Q83" i="3" s="1"/>
  <c r="Q84" i="3" s="1"/>
  <c r="Q99" i="3" s="1"/>
  <c r="Q100" i="3" s="1"/>
  <c r="M7" i="3"/>
  <c r="BC52" i="51"/>
  <c r="AU121" i="51"/>
  <c r="AU123" i="51" s="1"/>
  <c r="V84" i="51"/>
  <c r="AS13" i="112"/>
  <c r="AS25" i="112" s="1"/>
  <c r="BO40" i="51"/>
  <c r="BB70" i="51"/>
  <c r="AM161" i="112" s="1"/>
  <c r="BA75" i="51"/>
  <c r="CE61" i="51"/>
  <c r="BR101" i="51"/>
  <c r="BY101" i="51"/>
  <c r="BW96" i="51"/>
  <c r="BW95" i="51" s="1"/>
  <c r="BI75" i="51"/>
  <c r="BT101" i="51"/>
  <c r="CE102" i="51"/>
  <c r="CF97" i="51"/>
  <c r="CF102" i="51" s="1"/>
  <c r="AZ68" i="51"/>
  <c r="AZ72" i="51" s="1"/>
  <c r="BI73" i="51"/>
  <c r="CE55" i="51"/>
  <c r="BU39" i="51"/>
  <c r="BC37" i="51"/>
  <c r="BN132" i="51"/>
  <c r="AU65" i="51"/>
  <c r="BA66" i="51" s="1"/>
  <c r="AU76" i="51"/>
  <c r="BA70" i="51"/>
  <c r="AL161" i="112" s="1"/>
  <c r="BA67" i="51"/>
  <c r="BA69" i="51" s="1"/>
  <c r="AL160" i="112" s="1"/>
  <c r="BC43" i="51"/>
  <c r="BI43" i="51"/>
  <c r="BH69" i="51"/>
  <c r="BO42" i="51"/>
  <c r="BH72" i="51"/>
  <c r="AQ14" i="112" s="1"/>
  <c r="AY98" i="51"/>
  <c r="BE126" i="51"/>
  <c r="BY97" i="51"/>
  <c r="BX102" i="51"/>
  <c r="AT65" i="51"/>
  <c r="AZ75" i="51"/>
  <c r="AT76" i="51"/>
  <c r="BT55" i="51"/>
  <c r="BT54" i="51" s="1"/>
  <c r="BT59" i="51"/>
  <c r="BU56" i="51"/>
  <c r="BT61" i="51"/>
  <c r="CL96" i="51"/>
  <c r="CL95" i="51" s="1"/>
  <c r="CF96" i="51"/>
  <c r="CF95" i="51" s="1"/>
  <c r="CF101" i="51" s="1"/>
  <c r="BS37" i="51"/>
  <c r="BS36" i="51" s="1"/>
  <c r="BS41" i="51"/>
  <c r="BU38" i="51"/>
  <c r="CK46" i="51"/>
  <c r="CK52" i="51"/>
  <c r="CL85" i="51"/>
  <c r="BE92" i="51"/>
  <c r="BE98" i="51"/>
  <c r="BE66" i="51"/>
  <c r="BE94" i="51"/>
  <c r="BE96" i="51" s="1"/>
  <c r="BE95" i="51" s="1"/>
  <c r="BO41" i="51"/>
  <c r="BR102" i="51"/>
  <c r="BR164" i="3" s="1"/>
  <c r="BS97" i="51"/>
  <c r="AY68" i="51"/>
  <c r="BQ45" i="51"/>
  <c r="BC40" i="51"/>
  <c r="BW54" i="51"/>
  <c r="BG66" i="51"/>
  <c r="BG128" i="51"/>
  <c r="BG98" i="51"/>
  <c r="AZ121" i="51"/>
  <c r="AZ123" i="51" s="1"/>
  <c r="BF67" i="51"/>
  <c r="BF69" i="51" s="1"/>
  <c r="AO160" i="112" s="1"/>
  <c r="BF65" i="51"/>
  <c r="BL66" i="51" s="1"/>
  <c r="BF76" i="51"/>
  <c r="BF77" i="51"/>
  <c r="BF127" i="51"/>
  <c r="AV65" i="51"/>
  <c r="AV76" i="51"/>
  <c r="AT121" i="51"/>
  <c r="BW85" i="51"/>
  <c r="AP125" i="51"/>
  <c r="AO84" i="51"/>
  <c r="X125" i="51"/>
  <c r="W84" i="51"/>
  <c r="BC39" i="51"/>
  <c r="AW63" i="51"/>
  <c r="AY67" i="51"/>
  <c r="AS76" i="51"/>
  <c r="AS65" i="51"/>
  <c r="AY75" i="51"/>
  <c r="BW64" i="51"/>
  <c r="BU64" i="51"/>
  <c r="BC61" i="51"/>
  <c r="BZ85" i="51"/>
  <c r="BU40" i="51"/>
  <c r="BS85" i="51"/>
  <c r="BS95" i="51"/>
  <c r="BU95" i="51" s="1"/>
  <c r="BU96" i="51" s="1"/>
  <c r="BR45" i="51"/>
  <c r="BC58" i="51"/>
  <c r="BI99" i="51"/>
  <c r="BO64" i="51"/>
  <c r="CD46" i="51"/>
  <c r="CE47" i="51"/>
  <c r="CE50" i="51" s="1"/>
  <c r="CD52" i="51"/>
  <c r="AY127" i="51"/>
  <c r="AY122" i="51"/>
  <c r="BI87" i="51"/>
  <c r="CE43" i="51"/>
  <c r="CE37" i="51"/>
  <c r="BF74" i="51"/>
  <c r="BW36" i="51"/>
  <c r="CF55" i="51"/>
  <c r="CF61" i="51"/>
  <c r="AB84" i="51"/>
  <c r="AC125" i="51"/>
  <c r="BX96" i="51"/>
  <c r="BX95" i="51" s="1"/>
  <c r="BB121" i="51"/>
  <c r="BM76" i="51"/>
  <c r="BM127" i="51"/>
  <c r="BX85" i="51"/>
  <c r="AT13" i="112"/>
  <c r="AT25" i="112" s="1"/>
  <c r="AZ67" i="51"/>
  <c r="BS75" i="51"/>
  <c r="AU125" i="51"/>
  <c r="AT84" i="51"/>
  <c r="AS121" i="51"/>
  <c r="BC56" i="51"/>
  <c r="BH156" i="3"/>
  <c r="AV47" i="3"/>
  <c r="AW13" i="3"/>
  <c r="AV46" i="3"/>
  <c r="AV18" i="3"/>
  <c r="AV88" i="3"/>
  <c r="AV87" i="3"/>
  <c r="AV94" i="3"/>
  <c r="BB94" i="3"/>
  <c r="BB67" i="3"/>
  <c r="AV67" i="3"/>
  <c r="BG9" i="3"/>
  <c r="BF122" i="3"/>
  <c r="AA97" i="3"/>
  <c r="AJ76" i="3"/>
  <c r="AI75" i="3"/>
  <c r="BA55" i="3"/>
  <c r="BA26" i="3"/>
  <c r="BA164" i="106" s="1"/>
  <c r="BA165" i="106" s="1"/>
  <c r="BA166" i="106" s="1"/>
  <c r="AS23" i="3"/>
  <c r="AS25" i="3"/>
  <c r="AA20" i="3"/>
  <c r="AE20" i="3" s="1"/>
  <c r="AE23" i="3" s="1"/>
  <c r="AD23" i="3" s="1"/>
  <c r="BA56" i="3"/>
  <c r="BA74" i="3"/>
  <c r="AP26" i="3"/>
  <c r="AP164" i="106" s="1"/>
  <c r="AP165" i="106" s="1"/>
  <c r="AP166" i="106" s="1"/>
  <c r="AP29" i="3"/>
  <c r="AP31" i="3" s="1"/>
  <c r="AP55" i="3"/>
  <c r="BL136" i="3"/>
  <c r="AN97" i="3"/>
  <c r="AY97" i="3"/>
  <c r="AD97" i="3"/>
  <c r="Q97" i="3"/>
  <c r="AD18" i="3"/>
  <c r="AD47" i="3"/>
  <c r="AD88" i="3"/>
  <c r="R46" i="3"/>
  <c r="R88" i="3"/>
  <c r="R87" i="3"/>
  <c r="P42" i="3"/>
  <c r="P83" i="3" s="1"/>
  <c r="P84" i="3" s="1"/>
  <c r="P99" i="3" s="1"/>
  <c r="P100" i="3" s="1"/>
  <c r="P41" i="3"/>
  <c r="P82" i="3" s="1"/>
  <c r="P66" i="3"/>
  <c r="P93" i="3"/>
  <c r="BH29" i="3"/>
  <c r="BH26" i="3"/>
  <c r="BH55" i="3"/>
  <c r="AC46" i="3"/>
  <c r="AC47" i="3"/>
  <c r="AC87" i="3"/>
  <c r="AI94" i="3"/>
  <c r="AO97" i="3" s="1"/>
  <c r="AI67" i="3"/>
  <c r="AC67" i="3"/>
  <c r="Q47" i="3"/>
  <c r="Q87" i="3"/>
  <c r="W94" i="3"/>
  <c r="W67" i="3"/>
  <c r="Q46" i="3"/>
  <c r="Q67" i="3"/>
  <c r="O18" i="3"/>
  <c r="O42" i="3"/>
  <c r="O83" i="3" s="1"/>
  <c r="O41" i="3"/>
  <c r="O82" i="3" s="1"/>
  <c r="P18" i="3"/>
  <c r="BG26" i="3"/>
  <c r="BG29" i="3"/>
  <c r="AI47" i="3"/>
  <c r="AI60" i="3"/>
  <c r="AI63" i="3" s="1"/>
  <c r="AO60" i="3"/>
  <c r="AO63" i="3" s="1"/>
  <c r="AI42" i="3"/>
  <c r="AI83" i="3" s="1"/>
  <c r="AI84" i="3" s="1"/>
  <c r="AI99" i="3" s="1"/>
  <c r="AQ46" i="3"/>
  <c r="AQ59" i="3"/>
  <c r="AW59" i="3"/>
  <c r="AQ35" i="3"/>
  <c r="G14" i="3"/>
  <c r="G48" i="3" s="1"/>
  <c r="S11" i="3"/>
  <c r="Y59" i="3"/>
  <c r="S59" i="3"/>
  <c r="AZ40" i="3"/>
  <c r="BF118" i="3"/>
  <c r="BF119" i="3" s="1"/>
  <c r="AN40" i="3"/>
  <c r="AN65" i="3"/>
  <c r="BC9" i="3"/>
  <c r="AY47" i="3"/>
  <c r="AY60" i="3"/>
  <c r="AY63" i="3" s="1"/>
  <c r="AY54" i="3"/>
  <c r="BE60" i="3"/>
  <c r="BE61" i="3" s="1"/>
  <c r="AY51" i="3"/>
  <c r="AS54" i="3"/>
  <c r="AM42" i="3"/>
  <c r="AM60" i="3"/>
  <c r="AM63" i="3" s="1"/>
  <c r="AM51" i="3"/>
  <c r="AM127" i="3" s="1"/>
  <c r="AS60" i="3"/>
  <c r="AS63" i="3" s="1"/>
  <c r="J42" i="3"/>
  <c r="J83" i="3" s="1"/>
  <c r="J85" i="3" s="1"/>
  <c r="J47" i="3"/>
  <c r="AT97" i="3"/>
  <c r="BE52" i="3"/>
  <c r="BE53" i="3" s="1"/>
  <c r="G74" i="3"/>
  <c r="AC11" i="3"/>
  <c r="AC40" i="3"/>
  <c r="AU47" i="3"/>
  <c r="AU60" i="3"/>
  <c r="AU63" i="3" s="1"/>
  <c r="AU42" i="3"/>
  <c r="AJ47" i="3"/>
  <c r="AJ60" i="3"/>
  <c r="AJ63" i="3" s="1"/>
  <c r="AO54" i="3"/>
  <c r="M14" i="3"/>
  <c r="M48" i="3" s="1"/>
  <c r="L18" i="3"/>
  <c r="L41" i="3"/>
  <c r="L82" i="3" s="1"/>
  <c r="M59" i="3"/>
  <c r="M11" i="3"/>
  <c r="AU51" i="3"/>
  <c r="AU50" i="3"/>
  <c r="AU126" i="3" s="1"/>
  <c r="AN54" i="3"/>
  <c r="AH50" i="3"/>
  <c r="AH51" i="3"/>
  <c r="AE13" i="3"/>
  <c r="AA47" i="3"/>
  <c r="S40" i="3"/>
  <c r="CA7" i="3"/>
  <c r="BC7" i="3"/>
  <c r="BA62" i="106" s="1"/>
  <c r="Y14" i="3"/>
  <c r="Y48" i="3" s="1"/>
  <c r="U48" i="3"/>
  <c r="K42" i="3"/>
  <c r="K83" i="3" s="1"/>
  <c r="K47" i="3"/>
  <c r="BI23" i="3"/>
  <c r="AQ48" i="3"/>
  <c r="AQ10" i="3"/>
  <c r="Q18" i="3"/>
  <c r="U18" i="3"/>
  <c r="CG7" i="3"/>
  <c r="Y7" i="3"/>
  <c r="Y80" i="106" s="1"/>
  <c r="Y30" i="3"/>
  <c r="AE27" i="3"/>
  <c r="BI18" i="3"/>
  <c r="S63" i="3"/>
  <c r="AJ23" i="3"/>
  <c r="AK23" i="3" s="1"/>
  <c r="AE14" i="3"/>
  <c r="AE48" i="3" s="1"/>
  <c r="Y13" i="3"/>
  <c r="AD42" i="3"/>
  <c r="AD83" i="3" s="1"/>
  <c r="AD84" i="3" s="1"/>
  <c r="AD99" i="3" s="1"/>
  <c r="AW7" i="3"/>
  <c r="AW79" i="106" s="1"/>
  <c r="P97" i="3"/>
  <c r="BH116" i="3"/>
  <c r="BG122" i="3"/>
  <c r="BF144" i="3"/>
  <c r="BG143" i="3" s="1"/>
  <c r="BN106" i="3"/>
  <c r="BH107" i="3"/>
  <c r="BH108" i="3" s="1"/>
  <c r="AY43" i="3"/>
  <c r="AY83" i="3"/>
  <c r="AY84" i="3" s="1"/>
  <c r="C18" i="3"/>
  <c r="C163" i="106" s="1"/>
  <c r="I66" i="3"/>
  <c r="I93" i="3"/>
  <c r="I96" i="3" s="1"/>
  <c r="C41" i="3"/>
  <c r="C82" i="3" s="1"/>
  <c r="AU97" i="3"/>
  <c r="BA97" i="3"/>
  <c r="BF116" i="3"/>
  <c r="BE143" i="3"/>
  <c r="BI143" i="3" s="1"/>
  <c r="X42" i="3"/>
  <c r="X83" i="3" s="1"/>
  <c r="AD66" i="3"/>
  <c r="AD93" i="3"/>
  <c r="X41" i="3"/>
  <c r="X82" i="3" s="1"/>
  <c r="X18" i="3"/>
  <c r="X66" i="3"/>
  <c r="AN127" i="3"/>
  <c r="K25" i="3"/>
  <c r="K51" i="3"/>
  <c r="K54" i="3"/>
  <c r="K68" i="3"/>
  <c r="K95" i="3"/>
  <c r="K98" i="3" s="1"/>
  <c r="K50" i="3"/>
  <c r="BI164" i="3"/>
  <c r="R97" i="3"/>
  <c r="L97" i="3"/>
  <c r="V84" i="3"/>
  <c r="V99" i="3" s="1"/>
  <c r="AZ97" i="3"/>
  <c r="AG97" i="3"/>
  <c r="BK106" i="3"/>
  <c r="BE107" i="3"/>
  <c r="BE108" i="3" s="1"/>
  <c r="BH103" i="3"/>
  <c r="BH104" i="3" s="1"/>
  <c r="S74" i="3"/>
  <c r="M40" i="3"/>
  <c r="M65" i="3"/>
  <c r="S65" i="3"/>
  <c r="BO122" i="3"/>
  <c r="AZ98" i="3"/>
  <c r="E25" i="3"/>
  <c r="E50" i="3"/>
  <c r="AT47" i="3"/>
  <c r="AW9" i="3"/>
  <c r="AT42" i="3"/>
  <c r="AT54" i="3"/>
  <c r="AZ60" i="3"/>
  <c r="AZ63" i="3" s="1"/>
  <c r="AT60" i="3"/>
  <c r="AT63" i="3" s="1"/>
  <c r="AT51" i="3"/>
  <c r="AZ99" i="3"/>
  <c r="Y74" i="3"/>
  <c r="Y36" i="3"/>
  <c r="X123" i="3"/>
  <c r="Y123" i="3" s="1"/>
  <c r="AA122" i="3" s="1"/>
  <c r="AE122" i="3" s="1"/>
  <c r="BA37" i="3"/>
  <c r="BA76" i="107" s="1"/>
  <c r="Y27" i="3"/>
  <c r="AU25" i="3"/>
  <c r="AW21" i="3"/>
  <c r="AV23" i="3"/>
  <c r="R47" i="3"/>
  <c r="S13" i="3"/>
  <c r="AS40" i="3"/>
  <c r="AW10" i="3"/>
  <c r="AG40" i="3"/>
  <c r="AN26" i="3"/>
  <c r="AN164" i="106" s="1"/>
  <c r="AN165" i="106" s="1"/>
  <c r="AN166" i="106" s="1"/>
  <c r="AN29" i="3"/>
  <c r="AN31" i="3" s="1"/>
  <c r="M27" i="3"/>
  <c r="G21" i="3"/>
  <c r="G20" i="3" s="1"/>
  <c r="F20" i="3"/>
  <c r="S7" i="3"/>
  <c r="S80" i="106" s="1"/>
  <c r="AD123" i="3"/>
  <c r="AE123" i="3" s="1"/>
  <c r="AG122" i="3" s="1"/>
  <c r="AK122" i="3" s="1"/>
  <c r="AK35" i="3" s="1"/>
  <c r="S30" i="3"/>
  <c r="R18" i="3"/>
  <c r="R41" i="3"/>
  <c r="R82" i="3" s="1"/>
  <c r="I18" i="3"/>
  <c r="I41" i="3"/>
  <c r="I82" i="3" s="1"/>
  <c r="AQ9" i="3"/>
  <c r="AN42" i="3"/>
  <c r="AK7" i="3"/>
  <c r="AK79" i="106" s="1"/>
  <c r="AH25" i="3"/>
  <c r="AA11" i="3"/>
  <c r="AE10" i="3"/>
  <c r="R23" i="3"/>
  <c r="S23" i="3" s="1"/>
  <c r="S20" i="3" s="1"/>
  <c r="L23" i="3"/>
  <c r="M21" i="3"/>
  <c r="BU7" i="3"/>
  <c r="AE7" i="3"/>
  <c r="AE79" i="106" s="1"/>
  <c r="AW20" i="3"/>
  <c r="AJ18" i="3"/>
  <c r="AJ10" i="3"/>
  <c r="AP23" i="3"/>
  <c r="AQ23" i="3" s="1"/>
  <c r="D18" i="3"/>
  <c r="D163" i="106" s="1"/>
  <c r="G27" i="3"/>
  <c r="AZ25" i="3"/>
  <c r="AQ20" i="3"/>
  <c r="AO25" i="3"/>
  <c r="BI7" i="3"/>
  <c r="BA23" i="3"/>
  <c r="BB22" i="3"/>
  <c r="BB21" i="3" s="1"/>
  <c r="BB68" i="106" s="1"/>
  <c r="W18" i="3"/>
  <c r="AE28" i="3"/>
  <c r="X23" i="3"/>
  <c r="Y23" i="3" s="1"/>
  <c r="Y20" i="3" s="1"/>
  <c r="S14" i="3"/>
  <c r="S48" i="3" s="1"/>
  <c r="V18" i="3"/>
  <c r="BC10" i="3"/>
  <c r="BO7" i="3"/>
  <c r="BK63" i="106" s="1"/>
  <c r="BN82" i="106" l="1"/>
  <c r="AM171" i="112"/>
  <c r="BX164" i="3"/>
  <c r="CD54" i="51"/>
  <c r="CJ54" i="51" s="1"/>
  <c r="AW18" i="112"/>
  <c r="BA18" i="112"/>
  <c r="AJ169" i="112"/>
  <c r="AK170" i="112" s="1"/>
  <c r="AW77" i="51"/>
  <c r="AU20" i="112"/>
  <c r="AY9" i="112"/>
  <c r="BC21" i="112" s="1"/>
  <c r="AW7" i="112"/>
  <c r="BA19" i="112" s="1"/>
  <c r="BR72" i="51"/>
  <c r="AI89" i="3"/>
  <c r="AQ160" i="112"/>
  <c r="BH164" i="106"/>
  <c r="BH165" i="106" s="1"/>
  <c r="BH166" i="106" s="1"/>
  <c r="BH167" i="106" s="1"/>
  <c r="BW80" i="106"/>
  <c r="BR80" i="106"/>
  <c r="BS80" i="106" s="1"/>
  <c r="BT80" i="106" s="1"/>
  <c r="BM82" i="106"/>
  <c r="BS79" i="106"/>
  <c r="BY79" i="106" s="1"/>
  <c r="CE79" i="106" s="1"/>
  <c r="BF163" i="51"/>
  <c r="BF164" i="51" s="1"/>
  <c r="BE142" i="51"/>
  <c r="BE169" i="51" s="1"/>
  <c r="BL143" i="51"/>
  <c r="BT149" i="51"/>
  <c r="BO149" i="51"/>
  <c r="BO156" i="51"/>
  <c r="BT156" i="51"/>
  <c r="BE156" i="51"/>
  <c r="BE173" i="51" s="1"/>
  <c r="BL157" i="51"/>
  <c r="BL158" i="51" s="1"/>
  <c r="BL161" i="51" s="1"/>
  <c r="BE149" i="51"/>
  <c r="BE171" i="51" s="1"/>
  <c r="AJ16" i="3"/>
  <c r="AJ163" i="106"/>
  <c r="I16" i="3"/>
  <c r="I163" i="106"/>
  <c r="R16" i="3"/>
  <c r="R163" i="106"/>
  <c r="AN167" i="106"/>
  <c r="AN186" i="106"/>
  <c r="AN187" i="106"/>
  <c r="AN64" i="106" s="1"/>
  <c r="X16" i="3"/>
  <c r="X163" i="106"/>
  <c r="U16" i="3"/>
  <c r="U163" i="106"/>
  <c r="L16" i="3"/>
  <c r="L163" i="106"/>
  <c r="P16" i="3"/>
  <c r="P163" i="106"/>
  <c r="AD16" i="3"/>
  <c r="AD163" i="106"/>
  <c r="F16" i="3"/>
  <c r="F163" i="106"/>
  <c r="BB186" i="106"/>
  <c r="BB167" i="106"/>
  <c r="BB187" i="106"/>
  <c r="BB64" i="106" s="1"/>
  <c r="V16" i="3"/>
  <c r="V163" i="106"/>
  <c r="W16" i="3"/>
  <c r="W163" i="106"/>
  <c r="BI163" i="106"/>
  <c r="Q16" i="3"/>
  <c r="Q163" i="106"/>
  <c r="BG164" i="106"/>
  <c r="BG165" i="106" s="1"/>
  <c r="BG166" i="106" s="1"/>
  <c r="O16" i="3"/>
  <c r="O163" i="106"/>
  <c r="AP187" i="106"/>
  <c r="AP64" i="106" s="1"/>
  <c r="AP186" i="106"/>
  <c r="AP167" i="106"/>
  <c r="BA167" i="106"/>
  <c r="BA186" i="106"/>
  <c r="BA187" i="106"/>
  <c r="BA64" i="106" s="1"/>
  <c r="AV16" i="3"/>
  <c r="AV163" i="106"/>
  <c r="J16" i="3"/>
  <c r="J163" i="106"/>
  <c r="AB89" i="3"/>
  <c r="CF37" i="51"/>
  <c r="CF43" i="51"/>
  <c r="BB84" i="51"/>
  <c r="BI16" i="3"/>
  <c r="O89" i="3"/>
  <c r="BG51" i="3"/>
  <c r="BM74" i="51"/>
  <c r="BI67" i="51"/>
  <c r="AL169" i="112"/>
  <c r="BH100" i="51"/>
  <c r="AG82" i="106"/>
  <c r="AC82" i="106"/>
  <c r="U82" i="106"/>
  <c r="AP82" i="106"/>
  <c r="AO82" i="106"/>
  <c r="C68" i="106"/>
  <c r="C16" i="3"/>
  <c r="D68" i="106"/>
  <c r="D16" i="3"/>
  <c r="Q82" i="106"/>
  <c r="I82" i="106"/>
  <c r="K82" i="106"/>
  <c r="BO8" i="51"/>
  <c r="BU12" i="51" s="1"/>
  <c r="AT160" i="112"/>
  <c r="AP160" i="112"/>
  <c r="AI29" i="3"/>
  <c r="AI31" i="3" s="1"/>
  <c r="AI63" i="106" s="1"/>
  <c r="BE82" i="106"/>
  <c r="AS82" i="106"/>
  <c r="AU82" i="106"/>
  <c r="AH82" i="106"/>
  <c r="W82" i="106"/>
  <c r="AZ82" i="106"/>
  <c r="O82" i="106"/>
  <c r="AN82" i="106"/>
  <c r="V82" i="106"/>
  <c r="M159" i="107"/>
  <c r="M161" i="107" s="1"/>
  <c r="AQ151" i="112"/>
  <c r="AN151" i="112"/>
  <c r="BH157" i="3"/>
  <c r="AP151" i="112"/>
  <c r="AH66" i="3"/>
  <c r="D82" i="106"/>
  <c r="J82" i="106"/>
  <c r="AB82" i="106"/>
  <c r="Y81" i="106"/>
  <c r="M93" i="106"/>
  <c r="S81" i="106"/>
  <c r="S79" i="106"/>
  <c r="G93" i="106"/>
  <c r="BH82" i="106"/>
  <c r="BL62" i="106"/>
  <c r="AE93" i="106"/>
  <c r="AE158" i="107"/>
  <c r="AW93" i="106"/>
  <c r="AW158" i="107"/>
  <c r="AJ80" i="106"/>
  <c r="AJ81" i="106"/>
  <c r="AJ157" i="107"/>
  <c r="AJ159" i="107" s="1"/>
  <c r="AJ161" i="107" s="1"/>
  <c r="V68" i="106"/>
  <c r="W68" i="106"/>
  <c r="X68" i="106"/>
  <c r="U68" i="106"/>
  <c r="AM74" i="3"/>
  <c r="AM62" i="106"/>
  <c r="AM63" i="106"/>
  <c r="BA63" i="106"/>
  <c r="P82" i="106"/>
  <c r="BL63" i="106"/>
  <c r="BT79" i="106"/>
  <c r="BZ79" i="106" s="1"/>
  <c r="CF79" i="106" s="1"/>
  <c r="AY82" i="106"/>
  <c r="BA82" i="106"/>
  <c r="M80" i="106"/>
  <c r="BF82" i="106"/>
  <c r="AQ68" i="107"/>
  <c r="AQ88" i="106"/>
  <c r="Y79" i="106"/>
  <c r="AI82" i="106"/>
  <c r="BK82" i="106"/>
  <c r="AV82" i="106"/>
  <c r="BB82" i="106"/>
  <c r="AE68" i="107"/>
  <c r="AE88" i="106"/>
  <c r="R82" i="106"/>
  <c r="AD82" i="106"/>
  <c r="AE80" i="106"/>
  <c r="AE81" i="106"/>
  <c r="AE157" i="107"/>
  <c r="AN62" i="106"/>
  <c r="AN63" i="106"/>
  <c r="L68" i="106"/>
  <c r="P68" i="106"/>
  <c r="AD50" i="3"/>
  <c r="AD68" i="106"/>
  <c r="AP62" i="106"/>
  <c r="AP63" i="106"/>
  <c r="BB37" i="3"/>
  <c r="BB63" i="106"/>
  <c r="BB62" i="106"/>
  <c r="J51" i="3"/>
  <c r="J68" i="106"/>
  <c r="F50" i="3"/>
  <c r="F68" i="106"/>
  <c r="BL82" i="106"/>
  <c r="M79" i="106"/>
  <c r="AM82" i="106"/>
  <c r="X82" i="106"/>
  <c r="E82" i="106"/>
  <c r="AT82" i="106"/>
  <c r="BC79" i="106"/>
  <c r="F82" i="106"/>
  <c r="I68" i="106"/>
  <c r="AW11" i="3"/>
  <c r="AW81" i="106"/>
  <c r="AW80" i="106"/>
  <c r="AW157" i="107"/>
  <c r="Q68" i="3"/>
  <c r="Q68" i="106"/>
  <c r="O68" i="106"/>
  <c r="AK68" i="107"/>
  <c r="AK88" i="106"/>
  <c r="AQ40" i="3"/>
  <c r="AQ81" i="106"/>
  <c r="AQ157" i="107"/>
  <c r="AQ159" i="107" s="1"/>
  <c r="AQ161" i="107" s="1"/>
  <c r="AQ80" i="106"/>
  <c r="BC81" i="106"/>
  <c r="BC157" i="107"/>
  <c r="BC159" i="107" s="1"/>
  <c r="BC161" i="107" s="1"/>
  <c r="BC80" i="106"/>
  <c r="AP68" i="3"/>
  <c r="AJ68" i="106"/>
  <c r="R68" i="106"/>
  <c r="S93" i="106"/>
  <c r="S158" i="107"/>
  <c r="S159" i="107" s="1"/>
  <c r="S161" i="107" s="1"/>
  <c r="Y93" i="106"/>
  <c r="Y158" i="107"/>
  <c r="Y159" i="107" s="1"/>
  <c r="Y161" i="107" s="1"/>
  <c r="BI68" i="106"/>
  <c r="AI76" i="3"/>
  <c r="AI110" i="106"/>
  <c r="AI113" i="106" s="1"/>
  <c r="AK113" i="106" s="1"/>
  <c r="AV68" i="3"/>
  <c r="AV68" i="106"/>
  <c r="AG56" i="3"/>
  <c r="AG62" i="106"/>
  <c r="AG63" i="106"/>
  <c r="L82" i="106"/>
  <c r="AW68" i="107"/>
  <c r="AW88" i="106"/>
  <c r="M81" i="106"/>
  <c r="AA82" i="106"/>
  <c r="BK62" i="106"/>
  <c r="AY69" i="106"/>
  <c r="AY67" i="106"/>
  <c r="BB67" i="106"/>
  <c r="BB69" i="106"/>
  <c r="AG67" i="106"/>
  <c r="AG69" i="106"/>
  <c r="AY49" i="3"/>
  <c r="AY69" i="3"/>
  <c r="AM69" i="3"/>
  <c r="AT26" i="3"/>
  <c r="AT164" i="106" s="1"/>
  <c r="AT165" i="106" s="1"/>
  <c r="AT166" i="106" s="1"/>
  <c r="BH82" i="51"/>
  <c r="BH83" i="51" s="1"/>
  <c r="BI20" i="3"/>
  <c r="BI25" i="3" s="1"/>
  <c r="BG31" i="3"/>
  <c r="BH31" i="3"/>
  <c r="BF29" i="3"/>
  <c r="BG136" i="3"/>
  <c r="BE55" i="3"/>
  <c r="BH136" i="3"/>
  <c r="AI26" i="3"/>
  <c r="AI164" i="106" s="1"/>
  <c r="AI165" i="106" s="1"/>
  <c r="AI166" i="106" s="1"/>
  <c r="AG49" i="3"/>
  <c r="X96" i="3"/>
  <c r="BA98" i="3"/>
  <c r="AB93" i="3"/>
  <c r="AH96" i="3" s="1"/>
  <c r="BI116" i="3"/>
  <c r="Y41" i="3"/>
  <c r="Y82" i="3" s="1"/>
  <c r="Q96" i="3"/>
  <c r="BG129" i="51"/>
  <c r="BG131" i="51"/>
  <c r="AX6" i="112"/>
  <c r="BS43" i="51"/>
  <c r="BL69" i="51"/>
  <c r="BE69" i="3"/>
  <c r="BB68" i="3"/>
  <c r="BB49" i="3"/>
  <c r="BA128" i="51"/>
  <c r="BZ37" i="51"/>
  <c r="BZ36" i="51" s="1"/>
  <c r="BZ43" i="51"/>
  <c r="BC7" i="112" s="1"/>
  <c r="BC19" i="112" s="1"/>
  <c r="BI76" i="51"/>
  <c r="BO75" i="51"/>
  <c r="BI77" i="51"/>
  <c r="BO68" i="51"/>
  <c r="AN159" i="112"/>
  <c r="BI72" i="51"/>
  <c r="BR73" i="51"/>
  <c r="AW13" i="112" s="1"/>
  <c r="BN133" i="51"/>
  <c r="U97" i="3"/>
  <c r="F25" i="3"/>
  <c r="F55" i="3" s="1"/>
  <c r="AM56" i="3"/>
  <c r="AM89" i="3"/>
  <c r="BH154" i="3"/>
  <c r="BH53" i="3"/>
  <c r="AB41" i="3"/>
  <c r="AB82" i="3" s="1"/>
  <c r="AM37" i="3"/>
  <c r="AM76" i="107" s="1"/>
  <c r="BF154" i="3"/>
  <c r="BF53" i="3"/>
  <c r="AB66" i="3"/>
  <c r="BF26" i="3"/>
  <c r="BF164" i="106" s="1"/>
  <c r="BF165" i="106" s="1"/>
  <c r="BF166" i="106" s="1"/>
  <c r="AP97" i="3"/>
  <c r="AT29" i="3"/>
  <c r="AT31" i="3" s="1"/>
  <c r="AT37" i="3" s="1"/>
  <c r="AT76" i="107" s="1"/>
  <c r="BB56" i="3"/>
  <c r="AB97" i="3"/>
  <c r="O85" i="3"/>
  <c r="U96" i="3"/>
  <c r="BB55" i="3"/>
  <c r="BB74" i="3"/>
  <c r="BE26" i="3"/>
  <c r="BE164" i="106" s="1"/>
  <c r="BE165" i="106" s="1"/>
  <c r="BE166" i="106" s="1"/>
  <c r="BE29" i="3"/>
  <c r="AB42" i="3"/>
  <c r="AB83" i="3" s="1"/>
  <c r="AB84" i="3" s="1"/>
  <c r="AB99" i="3" s="1"/>
  <c r="AH100" i="3" s="1"/>
  <c r="AI97" i="3"/>
  <c r="AV97" i="3"/>
  <c r="W89" i="3"/>
  <c r="W90" i="3" s="1"/>
  <c r="AP89" i="3"/>
  <c r="AY23" i="3"/>
  <c r="BC23" i="3" s="1"/>
  <c r="AB18" i="3"/>
  <c r="AY25" i="3"/>
  <c r="AY55" i="3" s="1"/>
  <c r="AJ89" i="3"/>
  <c r="BB100" i="3"/>
  <c r="BF55" i="3"/>
  <c r="BR103" i="51"/>
  <c r="AE46" i="3"/>
  <c r="Y66" i="3"/>
  <c r="R96" i="3"/>
  <c r="L25" i="3"/>
  <c r="L55" i="3" s="1"/>
  <c r="AV19" i="112"/>
  <c r="CE103" i="51"/>
  <c r="W96" i="3"/>
  <c r="P96" i="3"/>
  <c r="V89" i="3"/>
  <c r="M18" i="3"/>
  <c r="Q54" i="3"/>
  <c r="AY100" i="3"/>
  <c r="AV122" i="51"/>
  <c r="AY69" i="51"/>
  <c r="AJ160" i="112" s="1"/>
  <c r="BW101" i="51"/>
  <c r="BW103" i="51" s="1"/>
  <c r="BR68" i="51"/>
  <c r="AD25" i="3"/>
  <c r="AD55" i="3" s="1"/>
  <c r="S66" i="3"/>
  <c r="P95" i="3"/>
  <c r="M66" i="3"/>
  <c r="AG74" i="3"/>
  <c r="M41" i="3"/>
  <c r="M82" i="3" s="1"/>
  <c r="AG26" i="3"/>
  <c r="AG164" i="106" s="1"/>
  <c r="AG165" i="106" s="1"/>
  <c r="AG166" i="106" s="1"/>
  <c r="AG55" i="3"/>
  <c r="J25" i="3"/>
  <c r="J50" i="3"/>
  <c r="R85" i="3"/>
  <c r="P68" i="3"/>
  <c r="AG37" i="3"/>
  <c r="AG76" i="107" s="1"/>
  <c r="BH117" i="3"/>
  <c r="BZ101" i="51"/>
  <c r="BX101" i="51"/>
  <c r="BX103" i="51" s="1"/>
  <c r="AV98" i="51"/>
  <c r="BY36" i="51"/>
  <c r="BY63" i="51" s="1"/>
  <c r="BY142" i="51" s="1"/>
  <c r="CA95" i="51"/>
  <c r="CA96" i="51" s="1"/>
  <c r="BG126" i="51"/>
  <c r="BB72" i="51"/>
  <c r="CF103" i="51"/>
  <c r="BG130" i="51"/>
  <c r="BG161" i="3"/>
  <c r="BG159" i="3"/>
  <c r="BS101" i="51"/>
  <c r="AQ162" i="112"/>
  <c r="AK14" i="112"/>
  <c r="AO26" i="112" s="1"/>
  <c r="AK162" i="112"/>
  <c r="AO163" i="112" s="1"/>
  <c r="AS19" i="112"/>
  <c r="BG165" i="3"/>
  <c r="AM151" i="112"/>
  <c r="BC47" i="3"/>
  <c r="Q51" i="3"/>
  <c r="AD54" i="3"/>
  <c r="Q95" i="3"/>
  <c r="Q98" i="3" s="1"/>
  <c r="S93" i="3"/>
  <c r="AK67" i="3"/>
  <c r="AO151" i="112"/>
  <c r="BA89" i="3"/>
  <c r="M93" i="3"/>
  <c r="M96" i="3" s="1"/>
  <c r="AN89" i="3"/>
  <c r="AU14" i="112"/>
  <c r="AU26" i="112" s="1"/>
  <c r="AU162" i="112"/>
  <c r="BN74" i="51"/>
  <c r="BO43" i="51"/>
  <c r="AT7" i="112"/>
  <c r="BM161" i="3"/>
  <c r="BM157" i="3"/>
  <c r="BM159" i="3"/>
  <c r="BM165" i="3"/>
  <c r="BA52" i="3"/>
  <c r="BA128" i="3" s="1"/>
  <c r="BA131" i="3" s="1"/>
  <c r="BA53" i="3" s="1"/>
  <c r="AV89" i="3"/>
  <c r="U89" i="3"/>
  <c r="AA90" i="3" s="1"/>
  <c r="AZ100" i="3"/>
  <c r="R89" i="3"/>
  <c r="BA100" i="3"/>
  <c r="AO89" i="3"/>
  <c r="AS89" i="3"/>
  <c r="AY90" i="3" s="1"/>
  <c r="AG89" i="3"/>
  <c r="AH89" i="3"/>
  <c r="BC88" i="3"/>
  <c r="P85" i="3"/>
  <c r="AP43" i="3"/>
  <c r="AP52" i="3" s="1"/>
  <c r="AP128" i="3" s="1"/>
  <c r="AP83" i="3"/>
  <c r="AP84" i="3" s="1"/>
  <c r="AP99" i="3" s="1"/>
  <c r="AT89" i="3"/>
  <c r="AZ52" i="3"/>
  <c r="AZ128" i="3" s="1"/>
  <c r="AZ131" i="3" s="1"/>
  <c r="AZ53" i="3" s="1"/>
  <c r="AZ127" i="3"/>
  <c r="AC89" i="3"/>
  <c r="AO43" i="3"/>
  <c r="AO52" i="3" s="1"/>
  <c r="AO128" i="3" s="1"/>
  <c r="AO83" i="3"/>
  <c r="AO84" i="3" s="1"/>
  <c r="AS43" i="3"/>
  <c r="AS52" i="3" s="1"/>
  <c r="AS128" i="3" s="1"/>
  <c r="AS83" i="3"/>
  <c r="AS84" i="3" s="1"/>
  <c r="AS93" i="3" s="1"/>
  <c r="BB43" i="3"/>
  <c r="BB52" i="3" s="1"/>
  <c r="BB128" i="3" s="1"/>
  <c r="BB131" i="3" s="1"/>
  <c r="BB53" i="3" s="1"/>
  <c r="BB83" i="3"/>
  <c r="BB84" i="3" s="1"/>
  <c r="BB85" i="3" s="1"/>
  <c r="AY52" i="3"/>
  <c r="AY128" i="3" s="1"/>
  <c r="AU89" i="3"/>
  <c r="W85" i="3"/>
  <c r="P89" i="3"/>
  <c r="V100" i="3"/>
  <c r="AQ63" i="3"/>
  <c r="V85" i="3"/>
  <c r="AZ89" i="3"/>
  <c r="G18" i="3"/>
  <c r="AD51" i="3"/>
  <c r="Y87" i="3"/>
  <c r="AE87" i="3"/>
  <c r="P50" i="3"/>
  <c r="P54" i="3"/>
  <c r="AM70" i="3"/>
  <c r="AD68" i="3"/>
  <c r="O96" i="3"/>
  <c r="AD89" i="3"/>
  <c r="R20" i="3"/>
  <c r="S18" i="3"/>
  <c r="AE94" i="3"/>
  <c r="AW63" i="3"/>
  <c r="AW23" i="3"/>
  <c r="G41" i="3"/>
  <c r="G82" i="3" s="1"/>
  <c r="AZ74" i="51"/>
  <c r="AU98" i="51"/>
  <c r="AZ69" i="51"/>
  <c r="AK160" i="112" s="1"/>
  <c r="AU122" i="51"/>
  <c r="BA72" i="51"/>
  <c r="BA130" i="51"/>
  <c r="BM131" i="51"/>
  <c r="BU61" i="51"/>
  <c r="BC70" i="51"/>
  <c r="BA131" i="51"/>
  <c r="BH131" i="51"/>
  <c r="BB131" i="51"/>
  <c r="CC96" i="51"/>
  <c r="CC95" i="51" s="1"/>
  <c r="CC101" i="51" s="1"/>
  <c r="CC103" i="51" s="1"/>
  <c r="CI96" i="51"/>
  <c r="CI95" i="51" s="1"/>
  <c r="CI101" i="51" s="1"/>
  <c r="CI103" i="51" s="1"/>
  <c r="BC121" i="51"/>
  <c r="AQ161" i="112"/>
  <c r="BH74" i="51"/>
  <c r="AW121" i="51"/>
  <c r="AS127" i="51"/>
  <c r="AY129" i="51" s="1"/>
  <c r="AS123" i="51"/>
  <c r="AS122" i="51"/>
  <c r="BM128" i="51"/>
  <c r="BX45" i="51"/>
  <c r="BR63" i="51"/>
  <c r="BX73" i="51" s="1"/>
  <c r="BA13" i="112" s="1"/>
  <c r="BI69" i="51"/>
  <c r="AL171" i="112" s="1"/>
  <c r="BF131" i="51"/>
  <c r="AZ98" i="51"/>
  <c r="BF126" i="51"/>
  <c r="AR160" i="112"/>
  <c r="BQ75" i="51"/>
  <c r="BK76" i="51"/>
  <c r="BQ70" i="51"/>
  <c r="BQ68" i="51"/>
  <c r="BQ73" i="51"/>
  <c r="AV13" i="112" s="1"/>
  <c r="AW65" i="51"/>
  <c r="AY66" i="51"/>
  <c r="X84" i="51"/>
  <c r="AT122" i="51"/>
  <c r="AT127" i="51"/>
  <c r="AT123" i="51"/>
  <c r="CC54" i="51"/>
  <c r="BC68" i="51"/>
  <c r="AY72" i="51"/>
  <c r="AZ66" i="51"/>
  <c r="BS63" i="51"/>
  <c r="BY73" i="51" s="1"/>
  <c r="BB13" i="112" s="1"/>
  <c r="BM123" i="51"/>
  <c r="BM129" i="51"/>
  <c r="AY128" i="51"/>
  <c r="BC75" i="51"/>
  <c r="AW76" i="51"/>
  <c r="BC67" i="51"/>
  <c r="BS73" i="51"/>
  <c r="AX13" i="112" s="1"/>
  <c r="BU41" i="51"/>
  <c r="BZ54" i="51"/>
  <c r="AO161" i="112"/>
  <c r="AO159" i="112" s="1"/>
  <c r="BU54" i="51"/>
  <c r="BW45" i="51"/>
  <c r="BT97" i="51"/>
  <c r="BS102" i="51"/>
  <c r="BS164" i="3" s="1"/>
  <c r="BY164" i="3" s="1"/>
  <c r="CE164" i="3" s="1"/>
  <c r="AC84" i="51"/>
  <c r="AD125" i="51"/>
  <c r="BU36" i="51"/>
  <c r="CA41" i="51" s="1"/>
  <c r="CA64" i="51"/>
  <c r="CC64" i="51"/>
  <c r="AP84" i="51"/>
  <c r="BF66" i="51"/>
  <c r="BF128" i="51"/>
  <c r="BF98" i="51"/>
  <c r="BF94" i="51"/>
  <c r="BF96" i="51" s="1"/>
  <c r="BF95" i="51" s="1"/>
  <c r="BI95" i="51" s="1"/>
  <c r="BI96" i="51" s="1"/>
  <c r="BF92" i="51"/>
  <c r="AZ127" i="51"/>
  <c r="AZ122" i="51"/>
  <c r="BI65" i="51"/>
  <c r="CL101" i="51"/>
  <c r="CL103" i="51" s="1"/>
  <c r="BU59" i="51"/>
  <c r="CC36" i="51"/>
  <c r="BB127" i="51"/>
  <c r="BB122" i="51"/>
  <c r="BB123" i="51"/>
  <c r="BL76" i="51"/>
  <c r="BL127" i="51"/>
  <c r="BR75" i="51"/>
  <c r="BB66" i="51"/>
  <c r="BG100" i="51"/>
  <c r="BG81" i="51"/>
  <c r="BG86" i="51" s="1"/>
  <c r="BG85" i="51" s="1"/>
  <c r="BU55" i="51"/>
  <c r="BZ97" i="51"/>
  <c r="BY102" i="51"/>
  <c r="BY103" i="51" s="1"/>
  <c r="AV125" i="51"/>
  <c r="AU84" i="51"/>
  <c r="AU127" i="51"/>
  <c r="CJ96" i="51"/>
  <c r="CJ95" i="51" s="1"/>
  <c r="CD96" i="51"/>
  <c r="CD95" i="51" s="1"/>
  <c r="CE52" i="51"/>
  <c r="CE46" i="51"/>
  <c r="BR70" i="51"/>
  <c r="AS172" i="112" s="1"/>
  <c r="BF123" i="51"/>
  <c r="BQ63" i="51"/>
  <c r="CE54" i="51"/>
  <c r="AT151" i="112"/>
  <c r="BF156" i="3"/>
  <c r="AP56" i="3"/>
  <c r="AP37" i="3"/>
  <c r="AP76" i="107" s="1"/>
  <c r="Y46" i="3"/>
  <c r="BB89" i="3"/>
  <c r="AC42" i="3"/>
  <c r="AC83" i="3" s="1"/>
  <c r="AC41" i="3"/>
  <c r="AC82" i="3" s="1"/>
  <c r="AI66" i="3"/>
  <c r="AC93" i="3"/>
  <c r="AC96" i="3" s="1"/>
  <c r="AC66" i="3"/>
  <c r="AI93" i="3"/>
  <c r="BG62" i="3"/>
  <c r="P25" i="3"/>
  <c r="P29" i="3" s="1"/>
  <c r="P31" i="3" s="1"/>
  <c r="X89" i="3"/>
  <c r="AU127" i="3"/>
  <c r="BA133" i="3"/>
  <c r="AW46" i="3"/>
  <c r="BC94" i="3"/>
  <c r="BC67" i="3"/>
  <c r="AW67" i="3"/>
  <c r="AW87" i="3"/>
  <c r="AW94" i="3"/>
  <c r="AW97" i="3" s="1"/>
  <c r="BE62" i="3"/>
  <c r="BB54" i="3"/>
  <c r="AV51" i="3"/>
  <c r="AV50" i="3"/>
  <c r="AV126" i="3" s="1"/>
  <c r="AV54" i="3"/>
  <c r="AV95" i="3"/>
  <c r="BB95" i="3"/>
  <c r="BG8" i="3"/>
  <c r="BG162" i="106" s="1"/>
  <c r="BG156" i="3"/>
  <c r="Y18" i="3"/>
  <c r="BF62" i="3"/>
  <c r="BC22" i="3"/>
  <c r="AE67" i="3"/>
  <c r="AM43" i="3"/>
  <c r="AM52" i="3" s="1"/>
  <c r="AM128" i="3" s="1"/>
  <c r="AM83" i="3"/>
  <c r="AM84" i="3" s="1"/>
  <c r="AK63" i="3"/>
  <c r="AS29" i="3"/>
  <c r="AS31" i="3" s="1"/>
  <c r="AS26" i="3"/>
  <c r="AS55" i="3"/>
  <c r="AQ11" i="3"/>
  <c r="P51" i="3"/>
  <c r="AC18" i="3"/>
  <c r="AP74" i="3"/>
  <c r="U51" i="3"/>
  <c r="U54" i="3"/>
  <c r="U25" i="3"/>
  <c r="U68" i="3"/>
  <c r="U50" i="3"/>
  <c r="U95" i="3"/>
  <c r="U85" i="3"/>
  <c r="O84" i="3"/>
  <c r="O99" i="3" s="1"/>
  <c r="W97" i="3"/>
  <c r="AC97" i="3"/>
  <c r="BG47" i="3"/>
  <c r="BG48" i="3"/>
  <c r="BG42" i="3"/>
  <c r="BG60" i="3"/>
  <c r="BI9" i="3"/>
  <c r="BB97" i="3"/>
  <c r="S41" i="3"/>
  <c r="S82" i="3" s="1"/>
  <c r="Y93" i="3"/>
  <c r="BM60" i="3"/>
  <c r="BH63" i="3"/>
  <c r="BH61" i="3" s="1"/>
  <c r="BH62" i="3"/>
  <c r="AV25" i="3"/>
  <c r="AV29" i="3" s="1"/>
  <c r="AV31" i="3" s="1"/>
  <c r="AJ85" i="3"/>
  <c r="Q25" i="3"/>
  <c r="Q50" i="3"/>
  <c r="K85" i="3"/>
  <c r="Q85" i="3"/>
  <c r="AK94" i="3"/>
  <c r="AQ97" i="3" s="1"/>
  <c r="L54" i="3"/>
  <c r="L51" i="3"/>
  <c r="L50" i="3"/>
  <c r="L68" i="3"/>
  <c r="L95" i="3"/>
  <c r="L98" i="3" s="1"/>
  <c r="AU43" i="3"/>
  <c r="AU52" i="3" s="1"/>
  <c r="AU128" i="3" s="1"/>
  <c r="AU83" i="3"/>
  <c r="AU84" i="3" s="1"/>
  <c r="AY127" i="3"/>
  <c r="AY133" i="3"/>
  <c r="O25" i="3"/>
  <c r="O50" i="3"/>
  <c r="O51" i="3"/>
  <c r="V96" i="3"/>
  <c r="AW18" i="3"/>
  <c r="R25" i="3"/>
  <c r="R50" i="3"/>
  <c r="R51" i="3"/>
  <c r="R95" i="3"/>
  <c r="R68" i="3"/>
  <c r="R54" i="3"/>
  <c r="K29" i="3"/>
  <c r="K31" i="3" s="1"/>
  <c r="K55" i="3"/>
  <c r="BO164" i="3"/>
  <c r="AY93" i="3"/>
  <c r="K26" i="3"/>
  <c r="K164" i="106" s="1"/>
  <c r="K165" i="106" s="1"/>
  <c r="K166" i="106" s="1"/>
  <c r="AN43" i="3"/>
  <c r="AN52" i="3" s="1"/>
  <c r="AN128" i="3" s="1"/>
  <c r="AN83" i="3"/>
  <c r="AN84" i="3" s="1"/>
  <c r="AN37" i="3"/>
  <c r="AN76" i="107" s="1"/>
  <c r="AN56" i="3"/>
  <c r="AN74" i="3"/>
  <c r="AE35" i="3"/>
  <c r="AT127" i="3"/>
  <c r="AZ133" i="3"/>
  <c r="V25" i="3"/>
  <c r="V50" i="3"/>
  <c r="V54" i="3"/>
  <c r="V68" i="3"/>
  <c r="V51" i="3"/>
  <c r="V95" i="3"/>
  <c r="BC21" i="3"/>
  <c r="M23" i="3"/>
  <c r="L20" i="3"/>
  <c r="AQ88" i="3"/>
  <c r="AQ47" i="3"/>
  <c r="E29" i="3"/>
  <c r="E31" i="3" s="1"/>
  <c r="E26" i="3"/>
  <c r="E164" i="106" s="1"/>
  <c r="E165" i="106" s="1"/>
  <c r="E166" i="106" s="1"/>
  <c r="E55" i="3"/>
  <c r="AJ40" i="3"/>
  <c r="AP65" i="3"/>
  <c r="AJ65" i="3"/>
  <c r="AJ99" i="3"/>
  <c r="AJ100" i="3" s="1"/>
  <c r="AE11" i="3"/>
  <c r="AE40" i="3"/>
  <c r="AE65" i="3"/>
  <c r="AW47" i="3"/>
  <c r="AW88" i="3"/>
  <c r="AW60" i="3"/>
  <c r="AW99" i="3"/>
  <c r="C25" i="3"/>
  <c r="C50" i="3"/>
  <c r="BC11" i="3"/>
  <c r="BC40" i="3"/>
  <c r="BC65" i="3"/>
  <c r="AZ29" i="3"/>
  <c r="AZ31" i="3" s="1"/>
  <c r="AZ26" i="3"/>
  <c r="AZ164" i="106" s="1"/>
  <c r="AZ165" i="106" s="1"/>
  <c r="AZ166" i="106" s="1"/>
  <c r="AZ55" i="3"/>
  <c r="BC99" i="3"/>
  <c r="AD85" i="3"/>
  <c r="X84" i="3"/>
  <c r="X99" i="3" s="1"/>
  <c r="X85" i="3"/>
  <c r="X25" i="3"/>
  <c r="X51" i="3"/>
  <c r="X68" i="3"/>
  <c r="AD95" i="3"/>
  <c r="X50" i="3"/>
  <c r="X95" i="3"/>
  <c r="X54" i="3"/>
  <c r="W25" i="3"/>
  <c r="W50" i="3"/>
  <c r="W68" i="3"/>
  <c r="W51" i="3"/>
  <c r="W54" i="3"/>
  <c r="W95" i="3"/>
  <c r="AO29" i="3"/>
  <c r="AO31" i="3" s="1"/>
  <c r="AO26" i="3"/>
  <c r="AO164" i="106" s="1"/>
  <c r="AO165" i="106" s="1"/>
  <c r="AO166" i="106" s="1"/>
  <c r="AO55" i="3"/>
  <c r="AH26" i="3"/>
  <c r="AH164" i="106" s="1"/>
  <c r="AH165" i="106" s="1"/>
  <c r="AH166" i="106" s="1"/>
  <c r="AH29" i="3"/>
  <c r="AH31" i="3" s="1"/>
  <c r="AH55" i="3"/>
  <c r="I25" i="3"/>
  <c r="I51" i="3"/>
  <c r="I50" i="3"/>
  <c r="I95" i="3"/>
  <c r="I98" i="3" s="1"/>
  <c r="O95" i="3"/>
  <c r="O54" i="3"/>
  <c r="I68" i="3"/>
  <c r="I54" i="3"/>
  <c r="O68" i="3"/>
  <c r="AK10" i="3"/>
  <c r="W100" i="3"/>
  <c r="D25" i="3"/>
  <c r="J68" i="3"/>
  <c r="J95" i="3"/>
  <c r="D50" i="3"/>
  <c r="J54" i="3"/>
  <c r="AJ25" i="3"/>
  <c r="AJ51" i="3"/>
  <c r="AJ50" i="3"/>
  <c r="AJ54" i="3"/>
  <c r="AJ68" i="3"/>
  <c r="AP54" i="3"/>
  <c r="AJ95" i="3"/>
  <c r="AA18" i="3"/>
  <c r="AA41" i="3"/>
  <c r="AA82" i="3" s="1"/>
  <c r="AA42" i="3"/>
  <c r="AA83" i="3" s="1"/>
  <c r="AG66" i="3"/>
  <c r="AA66" i="3"/>
  <c r="AG93" i="3"/>
  <c r="AA93" i="3"/>
  <c r="AA96" i="3" s="1"/>
  <c r="S46" i="3"/>
  <c r="S67" i="3"/>
  <c r="S94" i="3"/>
  <c r="S97" i="3" s="1"/>
  <c r="S87" i="3"/>
  <c r="Y67" i="3"/>
  <c r="Y94" i="3"/>
  <c r="X20" i="3"/>
  <c r="AW40" i="3"/>
  <c r="AW65" i="3"/>
  <c r="AU26" i="3"/>
  <c r="AU29" i="3"/>
  <c r="AU31" i="3" s="1"/>
  <c r="AU55" i="3"/>
  <c r="AT43" i="3"/>
  <c r="AT52" i="3" s="1"/>
  <c r="AT128" i="3" s="1"/>
  <c r="AT131" i="3" s="1"/>
  <c r="AT83" i="3"/>
  <c r="AT84" i="3" s="1"/>
  <c r="BC60" i="3"/>
  <c r="AD96" i="3"/>
  <c r="AJ96" i="3"/>
  <c r="AI90" i="3" l="1"/>
  <c r="AR172" i="112"/>
  <c r="AU151" i="112"/>
  <c r="AY21" i="112"/>
  <c r="CD164" i="3"/>
  <c r="CE73" i="51"/>
  <c r="CA50" i="51"/>
  <c r="CA59" i="51"/>
  <c r="BQ142" i="51"/>
  <c r="BQ143" i="51" s="1"/>
  <c r="BQ144" i="51" s="1"/>
  <c r="BQ147" i="51" s="1"/>
  <c r="BW73" i="51"/>
  <c r="AZ13" i="112" s="1"/>
  <c r="AZ25" i="112" s="1"/>
  <c r="AX25" i="112"/>
  <c r="BB25" i="112"/>
  <c r="AX18" i="112"/>
  <c r="BB18" i="112"/>
  <c r="AW25" i="112"/>
  <c r="BA25" i="112"/>
  <c r="AK172" i="112"/>
  <c r="AW19" i="112"/>
  <c r="AZ149" i="51"/>
  <c r="BF150" i="51" s="1"/>
  <c r="AO90" i="3"/>
  <c r="BH187" i="106"/>
  <c r="BH64" i="106" s="1"/>
  <c r="AX7" i="112"/>
  <c r="BB19" i="112" s="1"/>
  <c r="BS72" i="51"/>
  <c r="BS133" i="51" s="1"/>
  <c r="CF36" i="51"/>
  <c r="CL36" i="51" s="1"/>
  <c r="AZ156" i="51"/>
  <c r="BF157" i="51" s="1"/>
  <c r="BH186" i="106"/>
  <c r="AW163" i="106"/>
  <c r="Y163" i="106"/>
  <c r="CC80" i="106"/>
  <c r="CD80" i="106" s="1"/>
  <c r="CE80" i="106" s="1"/>
  <c r="CF80" i="106" s="1"/>
  <c r="BX80" i="106"/>
  <c r="BY80" i="106" s="1"/>
  <c r="BZ80" i="106" s="1"/>
  <c r="AT169" i="112"/>
  <c r="AT170" i="112" s="1"/>
  <c r="BS142" i="51"/>
  <c r="BS143" i="51" s="1"/>
  <c r="BS144" i="51" s="1"/>
  <c r="BS147" i="51" s="1"/>
  <c r="AS169" i="112"/>
  <c r="AS170" i="112" s="1"/>
  <c r="BR142" i="51"/>
  <c r="BR143" i="51" s="1"/>
  <c r="BR144" i="51" s="1"/>
  <c r="BR147" i="51" s="1"/>
  <c r="BE163" i="51"/>
  <c r="BE164" i="51" s="1"/>
  <c r="BI74" i="51"/>
  <c r="BI156" i="51"/>
  <c r="BK157" i="51"/>
  <c r="BU145" i="51"/>
  <c r="BU156" i="51"/>
  <c r="BZ156" i="51"/>
  <c r="BZ149" i="51"/>
  <c r="BU149" i="51"/>
  <c r="BK143" i="51"/>
  <c r="BI149" i="51"/>
  <c r="BU146" i="51"/>
  <c r="BL144" i="51"/>
  <c r="BL147" i="51" s="1"/>
  <c r="AZ142" i="51"/>
  <c r="BF143" i="51" s="1"/>
  <c r="BF144" i="51" s="1"/>
  <c r="AI186" i="106"/>
  <c r="AI167" i="106"/>
  <c r="AI187" i="106"/>
  <c r="AI64" i="106" s="1"/>
  <c r="AH186" i="106"/>
  <c r="AH187" i="106"/>
  <c r="AH64" i="106" s="1"/>
  <c r="AH167" i="106"/>
  <c r="K167" i="106"/>
  <c r="K187" i="106"/>
  <c r="K64" i="106" s="1"/>
  <c r="K186" i="106"/>
  <c r="AG186" i="106"/>
  <c r="AG167" i="106"/>
  <c r="AG187" i="106"/>
  <c r="AG64" i="106" s="1"/>
  <c r="AU129" i="3"/>
  <c r="AU131" i="3" s="1"/>
  <c r="AU164" i="106"/>
  <c r="AU165" i="106" s="1"/>
  <c r="AU166" i="106" s="1"/>
  <c r="AA16" i="3"/>
  <c r="AA163" i="106"/>
  <c r="AO186" i="106"/>
  <c r="AO167" i="106"/>
  <c r="AO187" i="106"/>
  <c r="AO64" i="106" s="1"/>
  <c r="AZ187" i="106"/>
  <c r="AZ64" i="106" s="1"/>
  <c r="AZ167" i="106"/>
  <c r="AZ186" i="106"/>
  <c r="AS129" i="3"/>
  <c r="AS131" i="3" s="1"/>
  <c r="AS132" i="3" s="1"/>
  <c r="AS164" i="106"/>
  <c r="AS165" i="106" s="1"/>
  <c r="AS166" i="106" s="1"/>
  <c r="S16" i="3"/>
  <c r="S163" i="106"/>
  <c r="BF187" i="106"/>
  <c r="BF64" i="106" s="1"/>
  <c r="BF167" i="106"/>
  <c r="BF186" i="106"/>
  <c r="E186" i="106"/>
  <c r="E167" i="106"/>
  <c r="E187" i="106"/>
  <c r="E64" i="106" s="1"/>
  <c r="AC16" i="3"/>
  <c r="AC163" i="106"/>
  <c r="G16" i="3"/>
  <c r="G163" i="106"/>
  <c r="M16" i="3"/>
  <c r="M163" i="106"/>
  <c r="AB16" i="3"/>
  <c r="AB163" i="106"/>
  <c r="BE187" i="106"/>
  <c r="BE64" i="106" s="1"/>
  <c r="BE167" i="106"/>
  <c r="BE186" i="106"/>
  <c r="AT167" i="106"/>
  <c r="AT186" i="106"/>
  <c r="AT187" i="106"/>
  <c r="AT64" i="106" s="1"/>
  <c r="BG167" i="106"/>
  <c r="BG186" i="106"/>
  <c r="BG187" i="106"/>
  <c r="BG64" i="106" s="1"/>
  <c r="AI62" i="106"/>
  <c r="AI56" i="3"/>
  <c r="AI37" i="3"/>
  <c r="AI76" i="107" s="1"/>
  <c r="AW16" i="3"/>
  <c r="Y16" i="3"/>
  <c r="AH90" i="3"/>
  <c r="AB90" i="3"/>
  <c r="AI74" i="3"/>
  <c r="BH74" i="3"/>
  <c r="AT161" i="112"/>
  <c r="AO177" i="112"/>
  <c r="AO178" i="112" s="1"/>
  <c r="BM132" i="51"/>
  <c r="BM81" i="51"/>
  <c r="BM86" i="51" s="1"/>
  <c r="BM85" i="51" s="1"/>
  <c r="BM100" i="51"/>
  <c r="AM177" i="112"/>
  <c r="AM178" i="112" s="1"/>
  <c r="AL170" i="112"/>
  <c r="AR169" i="112"/>
  <c r="AR170" i="112" s="1"/>
  <c r="AN171" i="112"/>
  <c r="AS151" i="112"/>
  <c r="BY70" i="51"/>
  <c r="BX68" i="51"/>
  <c r="CE70" i="51"/>
  <c r="Y82" i="106"/>
  <c r="AE82" i="106"/>
  <c r="S82" i="106"/>
  <c r="BO9" i="51"/>
  <c r="AP161" i="112"/>
  <c r="AP159" i="112" s="1"/>
  <c r="AW159" i="107"/>
  <c r="AW161" i="107" s="1"/>
  <c r="BG70" i="3"/>
  <c r="AW41" i="3"/>
  <c r="AW82" i="3" s="1"/>
  <c r="AW82" i="106"/>
  <c r="AW42" i="3"/>
  <c r="AW43" i="3" s="1"/>
  <c r="BG133" i="51"/>
  <c r="AR151" i="112"/>
  <c r="M82" i="106"/>
  <c r="AQ82" i="106"/>
  <c r="BC82" i="106"/>
  <c r="BO13" i="106"/>
  <c r="BI133" i="51"/>
  <c r="BO11" i="106"/>
  <c r="BE64" i="3"/>
  <c r="BG92" i="106"/>
  <c r="BG122" i="106"/>
  <c r="BG79" i="106"/>
  <c r="AW68" i="106"/>
  <c r="AA68" i="106"/>
  <c r="K62" i="106"/>
  <c r="K63" i="106"/>
  <c r="AS62" i="106"/>
  <c r="AS63" i="106"/>
  <c r="BH56" i="3"/>
  <c r="Y68" i="106"/>
  <c r="S25" i="3"/>
  <c r="S29" i="3" s="1"/>
  <c r="S31" i="3" s="1"/>
  <c r="S68" i="106"/>
  <c r="M50" i="3"/>
  <c r="M68" i="106"/>
  <c r="AH54" i="3"/>
  <c r="AB68" i="106"/>
  <c r="AE159" i="107"/>
  <c r="AE161" i="107" s="1"/>
  <c r="AU62" i="106"/>
  <c r="AU63" i="106"/>
  <c r="BB136" i="3"/>
  <c r="BH63" i="106"/>
  <c r="BH62" i="106"/>
  <c r="AK80" i="106"/>
  <c r="AK81" i="106"/>
  <c r="AK157" i="107"/>
  <c r="AK159" i="107" s="1"/>
  <c r="AK161" i="107" s="1"/>
  <c r="AN70" i="3"/>
  <c r="AH62" i="106"/>
  <c r="AH63" i="106"/>
  <c r="AO62" i="106"/>
  <c r="AO63" i="106"/>
  <c r="AZ63" i="106"/>
  <c r="AZ62" i="106"/>
  <c r="E62" i="106"/>
  <c r="E63" i="106"/>
  <c r="AV62" i="106"/>
  <c r="AV63" i="106"/>
  <c r="AI95" i="3"/>
  <c r="AC68" i="106"/>
  <c r="P62" i="106"/>
  <c r="P63" i="106"/>
  <c r="BA136" i="3"/>
  <c r="G25" i="3"/>
  <c r="G26" i="3" s="1"/>
  <c r="G164" i="106" s="1"/>
  <c r="G68" i="106"/>
  <c r="AT70" i="3"/>
  <c r="AT62" i="106"/>
  <c r="AT63" i="106"/>
  <c r="BG74" i="3"/>
  <c r="BG63" i="106"/>
  <c r="BG62" i="106"/>
  <c r="BR82" i="106"/>
  <c r="BH71" i="3"/>
  <c r="BB76" i="107"/>
  <c r="BQ82" i="106"/>
  <c r="AJ82" i="106"/>
  <c r="O67" i="106"/>
  <c r="O69" i="106"/>
  <c r="U67" i="106"/>
  <c r="U69" i="106"/>
  <c r="C67" i="106"/>
  <c r="C69" i="106"/>
  <c r="I67" i="106"/>
  <c r="I69" i="106"/>
  <c r="O49" i="3"/>
  <c r="AB85" i="3"/>
  <c r="AB86" i="3" s="1"/>
  <c r="BH70" i="3"/>
  <c r="BE31" i="3"/>
  <c r="BE56" i="3" s="1"/>
  <c r="BE136" i="3"/>
  <c r="BF31" i="3"/>
  <c r="BG37" i="3"/>
  <c r="BI26" i="3"/>
  <c r="BI164" i="106" s="1"/>
  <c r="BI165" i="106" s="1"/>
  <c r="BI166" i="106" s="1"/>
  <c r="F29" i="3"/>
  <c r="F31" i="3" s="1"/>
  <c r="F37" i="3" s="1"/>
  <c r="F76" i="107" s="1"/>
  <c r="AT56" i="3"/>
  <c r="AB96" i="3"/>
  <c r="F26" i="3"/>
  <c r="F164" i="106" s="1"/>
  <c r="F165" i="106" s="1"/>
  <c r="F166" i="106" s="1"/>
  <c r="CA42" i="51"/>
  <c r="AM90" i="3"/>
  <c r="BG132" i="51"/>
  <c r="BU43" i="51"/>
  <c r="AY131" i="51"/>
  <c r="AB100" i="3"/>
  <c r="BB98" i="3"/>
  <c r="CA56" i="51"/>
  <c r="CA39" i="51"/>
  <c r="AS160" i="112"/>
  <c r="BL63" i="3"/>
  <c r="BL61" i="3" s="1"/>
  <c r="L29" i="3"/>
  <c r="L31" i="3" s="1"/>
  <c r="AM14" i="112"/>
  <c r="AQ26" i="112" s="1"/>
  <c r="BF129" i="51"/>
  <c r="BM133" i="51"/>
  <c r="M68" i="3"/>
  <c r="G50" i="3"/>
  <c r="AV26" i="3"/>
  <c r="U86" i="3"/>
  <c r="AB54" i="3"/>
  <c r="BI29" i="3"/>
  <c r="AB68" i="3"/>
  <c r="AB51" i="3"/>
  <c r="AH85" i="3"/>
  <c r="BA132" i="3"/>
  <c r="S96" i="3"/>
  <c r="AM71" i="3"/>
  <c r="AP90" i="3"/>
  <c r="BF136" i="3"/>
  <c r="AD26" i="3"/>
  <c r="AD164" i="106" s="1"/>
  <c r="AD165" i="106" s="1"/>
  <c r="AD166" i="106" s="1"/>
  <c r="L26" i="3"/>
  <c r="L164" i="106" s="1"/>
  <c r="L165" i="106" s="1"/>
  <c r="L166" i="106" s="1"/>
  <c r="AE97" i="3"/>
  <c r="AT74" i="3"/>
  <c r="AD29" i="3"/>
  <c r="AD31" i="3" s="1"/>
  <c r="M95" i="3"/>
  <c r="M98" i="3" s="1"/>
  <c r="M25" i="3"/>
  <c r="M55" i="3" s="1"/>
  <c r="AV90" i="3"/>
  <c r="AY29" i="3"/>
  <c r="AY31" i="3" s="1"/>
  <c r="AI68" i="3"/>
  <c r="AH95" i="3"/>
  <c r="AB25" i="3"/>
  <c r="AB29" i="3" s="1"/>
  <c r="AB31" i="3" s="1"/>
  <c r="W98" i="3"/>
  <c r="V98" i="3"/>
  <c r="AH68" i="3"/>
  <c r="S95" i="3"/>
  <c r="AJ90" i="3"/>
  <c r="S68" i="3"/>
  <c r="AB95" i="3"/>
  <c r="AY26" i="3"/>
  <c r="AB50" i="3"/>
  <c r="AI54" i="3"/>
  <c r="AC25" i="3"/>
  <c r="AC55" i="3" s="1"/>
  <c r="AQ159" i="112"/>
  <c r="AC51" i="3"/>
  <c r="AW93" i="3"/>
  <c r="V90" i="3"/>
  <c r="S50" i="3"/>
  <c r="X98" i="3"/>
  <c r="CE36" i="51"/>
  <c r="CK36" i="51" s="1"/>
  <c r="CA36" i="51"/>
  <c r="J55" i="3"/>
  <c r="J29" i="3"/>
  <c r="J31" i="3" s="1"/>
  <c r="J26" i="3"/>
  <c r="J164" i="106" s="1"/>
  <c r="J165" i="106" s="1"/>
  <c r="J166" i="106" s="1"/>
  <c r="AC95" i="3"/>
  <c r="AC98" i="3" s="1"/>
  <c r="Y96" i="3"/>
  <c r="Y95" i="3"/>
  <c r="X86" i="3"/>
  <c r="AC50" i="3"/>
  <c r="AV55" i="3"/>
  <c r="Y68" i="3"/>
  <c r="AC90" i="3"/>
  <c r="U90" i="3"/>
  <c r="AT90" i="3"/>
  <c r="BC69" i="51"/>
  <c r="BB74" i="51"/>
  <c r="BS103" i="51"/>
  <c r="AM162" i="112"/>
  <c r="AM159" i="112" s="1"/>
  <c r="BF157" i="3"/>
  <c r="BL157" i="3"/>
  <c r="BL159" i="3"/>
  <c r="BL161" i="3"/>
  <c r="BX70" i="51"/>
  <c r="AL14" i="112"/>
  <c r="AP26" i="112" s="1"/>
  <c r="AL162" i="112"/>
  <c r="BA74" i="51"/>
  <c r="BL165" i="3"/>
  <c r="BG157" i="3"/>
  <c r="AJ14" i="112"/>
  <c r="AN26" i="112" s="1"/>
  <c r="AJ162" i="112"/>
  <c r="AK159" i="112"/>
  <c r="BI47" i="3"/>
  <c r="BI159" i="3"/>
  <c r="BI161" i="3"/>
  <c r="Y25" i="3"/>
  <c r="Y29" i="3" s="1"/>
  <c r="Y31" i="3" s="1"/>
  <c r="AW66" i="3"/>
  <c r="AG90" i="3"/>
  <c r="BA90" i="3"/>
  <c r="BI165" i="3"/>
  <c r="AU163" i="112"/>
  <c r="BN60" i="3"/>
  <c r="BN165" i="3"/>
  <c r="BN159" i="3"/>
  <c r="BN161" i="3"/>
  <c r="AT19" i="112"/>
  <c r="BI8" i="112" s="1"/>
  <c r="AT14" i="112"/>
  <c r="AT26" i="112" s="1"/>
  <c r="AT162" i="112"/>
  <c r="V86" i="3"/>
  <c r="AP95" i="3"/>
  <c r="AP98" i="3" s="1"/>
  <c r="AN90" i="3"/>
  <c r="BB90" i="3"/>
  <c r="AY96" i="3"/>
  <c r="X90" i="3"/>
  <c r="AS90" i="3"/>
  <c r="AY85" i="3"/>
  <c r="AZ132" i="3"/>
  <c r="AU90" i="3"/>
  <c r="AO93" i="3"/>
  <c r="AO96" i="3" s="1"/>
  <c r="AO95" i="3"/>
  <c r="AU98" i="3" s="1"/>
  <c r="AO99" i="3"/>
  <c r="AO85" i="3"/>
  <c r="AZ90" i="3"/>
  <c r="AP93" i="3"/>
  <c r="AP85" i="3"/>
  <c r="AP86" i="3" s="1"/>
  <c r="AV85" i="3"/>
  <c r="AW61" i="3"/>
  <c r="W86" i="3"/>
  <c r="AQ42" i="3"/>
  <c r="AQ83" i="3" s="1"/>
  <c r="AQ84" i="3" s="1"/>
  <c r="P26" i="3"/>
  <c r="P164" i="106" s="1"/>
  <c r="P165" i="106" s="1"/>
  <c r="P166" i="106" s="1"/>
  <c r="BH64" i="3"/>
  <c r="AJ86" i="3"/>
  <c r="BC97" i="3"/>
  <c r="BY68" i="51"/>
  <c r="AZ131" i="51"/>
  <c r="BM59" i="3"/>
  <c r="CE68" i="51"/>
  <c r="BL131" i="51"/>
  <c r="AU128" i="51"/>
  <c r="BA129" i="51"/>
  <c r="BZ102" i="51"/>
  <c r="BZ103" i="51" s="1"/>
  <c r="BI66" i="51"/>
  <c r="BI94" i="51"/>
  <c r="BI98" i="51"/>
  <c r="BI92" i="51"/>
  <c r="BI81" i="51"/>
  <c r="CG64" i="51"/>
  <c r="CI64" i="51"/>
  <c r="CM64" i="51" s="1"/>
  <c r="BT102" i="51"/>
  <c r="BM130" i="51"/>
  <c r="BS126" i="51"/>
  <c r="CA57" i="51"/>
  <c r="AT128" i="51"/>
  <c r="BH126" i="51"/>
  <c r="BB98" i="51"/>
  <c r="BH130" i="51"/>
  <c r="BH133" i="51" s="1"/>
  <c r="BB130" i="51"/>
  <c r="BH132" i="51"/>
  <c r="CC45" i="51"/>
  <c r="CC63" i="51" s="1"/>
  <c r="CI73" i="51" s="1"/>
  <c r="AY74" i="51"/>
  <c r="BC72" i="51"/>
  <c r="BQ67" i="51"/>
  <c r="BQ69" i="51" s="1"/>
  <c r="BQ65" i="51"/>
  <c r="BQ76" i="51"/>
  <c r="BQ127" i="51"/>
  <c r="BW75" i="51"/>
  <c r="BW68" i="51"/>
  <c r="BL129" i="51"/>
  <c r="BL123" i="51"/>
  <c r="BB128" i="51"/>
  <c r="BH129" i="51"/>
  <c r="BF81" i="51"/>
  <c r="BF86" i="51" s="1"/>
  <c r="BF85" i="51" s="1"/>
  <c r="BF100" i="51"/>
  <c r="CF54" i="51"/>
  <c r="CA61" i="51"/>
  <c r="AD84" i="51"/>
  <c r="BK128" i="51"/>
  <c r="CK54" i="51"/>
  <c r="BF132" i="51"/>
  <c r="BI70" i="51"/>
  <c r="AL177" i="112" s="1"/>
  <c r="AL178" i="112" s="1"/>
  <c r="BW63" i="51"/>
  <c r="BY67" i="51"/>
  <c r="BY65" i="51"/>
  <c r="CE75" i="51"/>
  <c r="BY76" i="51"/>
  <c r="BY127" i="51"/>
  <c r="CE45" i="51"/>
  <c r="CK45" i="51" s="1"/>
  <c r="BG82" i="51"/>
  <c r="BG83" i="51" s="1"/>
  <c r="BG101" i="51"/>
  <c r="BG103" i="51" s="1"/>
  <c r="BG104" i="51" s="1"/>
  <c r="BL128" i="51"/>
  <c r="CA55" i="51"/>
  <c r="BR67" i="51"/>
  <c r="BR69" i="51" s="1"/>
  <c r="BR18" i="51" s="1"/>
  <c r="BR16" i="51" s="1"/>
  <c r="BR15" i="51" s="1"/>
  <c r="BX15" i="51" s="1"/>
  <c r="CD15" i="51" s="1"/>
  <c r="CJ15" i="51" s="1"/>
  <c r="BR65" i="51"/>
  <c r="BR8" i="3" s="1"/>
  <c r="BR76" i="51"/>
  <c r="BR127" i="51"/>
  <c r="BX75" i="51"/>
  <c r="AT98" i="51"/>
  <c r="BL126" i="51"/>
  <c r="BF130" i="51"/>
  <c r="BF133" i="51" s="1"/>
  <c r="AV84" i="51"/>
  <c r="AV127" i="51"/>
  <c r="BB129" i="51" s="1"/>
  <c r="BS67" i="51"/>
  <c r="BS69" i="51" s="1"/>
  <c r="BS65" i="51"/>
  <c r="BS76" i="51"/>
  <c r="BS127" i="51"/>
  <c r="BY75" i="51"/>
  <c r="CA58" i="51"/>
  <c r="CI54" i="51"/>
  <c r="CD45" i="51"/>
  <c r="BX63" i="51"/>
  <c r="AS98" i="51"/>
  <c r="AY130" i="51"/>
  <c r="CG95" i="51"/>
  <c r="CG96" i="51" s="1"/>
  <c r="CD101" i="51"/>
  <c r="CD103" i="51" s="1"/>
  <c r="BU37" i="51"/>
  <c r="CA38" i="51"/>
  <c r="CA40" i="51"/>
  <c r="CA43" i="51"/>
  <c r="CA54" i="51"/>
  <c r="BC66" i="51"/>
  <c r="AS128" i="51"/>
  <c r="BW70" i="51"/>
  <c r="BK131" i="51"/>
  <c r="CJ101" i="51"/>
  <c r="CJ103" i="51" s="1"/>
  <c r="CM95" i="51"/>
  <c r="CM96" i="51" s="1"/>
  <c r="CI36" i="51"/>
  <c r="AZ128" i="51"/>
  <c r="AZ129" i="51"/>
  <c r="AZ130" i="51"/>
  <c r="BR9" i="3"/>
  <c r="BK63" i="3"/>
  <c r="BQ9" i="3"/>
  <c r="BM63" i="3"/>
  <c r="BM61" i="3" s="1"/>
  <c r="BG63" i="3"/>
  <c r="BF63" i="3"/>
  <c r="BF61" i="3" s="1"/>
  <c r="BA85" i="3"/>
  <c r="AU93" i="3"/>
  <c r="AU85" i="3"/>
  <c r="Q29" i="3"/>
  <c r="Q31" i="3" s="1"/>
  <c r="Q26" i="3"/>
  <c r="Q164" i="106" s="1"/>
  <c r="Q165" i="106" s="1"/>
  <c r="Q166" i="106" s="1"/>
  <c r="Q55" i="3"/>
  <c r="AM85" i="3"/>
  <c r="AM93" i="3"/>
  <c r="AS96" i="3" s="1"/>
  <c r="AM99" i="3"/>
  <c r="AS85" i="3"/>
  <c r="AM95" i="3"/>
  <c r="AS98" i="3" s="1"/>
  <c r="BG153" i="3"/>
  <c r="BG50" i="3"/>
  <c r="BG46" i="3"/>
  <c r="BG10" i="3"/>
  <c r="BG59" i="3"/>
  <c r="BG54" i="3"/>
  <c r="BG41" i="3"/>
  <c r="BI8" i="3"/>
  <c r="BG55" i="3"/>
  <c r="BG105" i="3"/>
  <c r="BG56" i="3"/>
  <c r="AD90" i="3"/>
  <c r="AI85" i="3"/>
  <c r="AC84" i="3"/>
  <c r="AC99" i="3" s="1"/>
  <c r="AC85" i="3"/>
  <c r="AC86" i="3" s="1"/>
  <c r="BN59" i="3"/>
  <c r="AK97" i="3"/>
  <c r="AC54" i="3"/>
  <c r="P55" i="3"/>
  <c r="Y50" i="3"/>
  <c r="BI42" i="3"/>
  <c r="BI60" i="3"/>
  <c r="BI48" i="3"/>
  <c r="BI62" i="3"/>
  <c r="BG43" i="3"/>
  <c r="BG52" i="3" s="1"/>
  <c r="BG103" i="3"/>
  <c r="BG104" i="3" s="1"/>
  <c r="BI156" i="3"/>
  <c r="AV52" i="3"/>
  <c r="AV128" i="3" s="1"/>
  <c r="AV127" i="3"/>
  <c r="BB132" i="3" s="1"/>
  <c r="BB133" i="3"/>
  <c r="AW89" i="3"/>
  <c r="AT71" i="3"/>
  <c r="R98" i="3"/>
  <c r="U55" i="3"/>
  <c r="U29" i="3"/>
  <c r="U31" i="3" s="1"/>
  <c r="U26" i="3"/>
  <c r="U164" i="106" s="1"/>
  <c r="U165" i="106" s="1"/>
  <c r="U166" i="106" s="1"/>
  <c r="AS56" i="3"/>
  <c r="AS74" i="3"/>
  <c r="AS37" i="3"/>
  <c r="AS70" i="3"/>
  <c r="BC100" i="3"/>
  <c r="AC68" i="3"/>
  <c r="O55" i="3"/>
  <c r="O29" i="3"/>
  <c r="O31" i="3" s="1"/>
  <c r="O26" i="3"/>
  <c r="O164" i="106" s="1"/>
  <c r="O165" i="106" s="1"/>
  <c r="O166" i="106" s="1"/>
  <c r="BM62" i="3"/>
  <c r="O100" i="3"/>
  <c r="U100" i="3"/>
  <c r="U49" i="3"/>
  <c r="U69" i="3"/>
  <c r="AQ18" i="3"/>
  <c r="AQ41" i="3"/>
  <c r="AQ82" i="3" s="1"/>
  <c r="AI96" i="3"/>
  <c r="D29" i="3"/>
  <c r="D31" i="3" s="1"/>
  <c r="D55" i="3"/>
  <c r="D26" i="3"/>
  <c r="D164" i="106" s="1"/>
  <c r="D165" i="106" s="1"/>
  <c r="D166" i="106" s="1"/>
  <c r="AK11" i="3"/>
  <c r="AK40" i="3"/>
  <c r="AQ65" i="3"/>
  <c r="AK65" i="3"/>
  <c r="X100" i="3"/>
  <c r="AD100" i="3"/>
  <c r="AT53" i="3"/>
  <c r="AT132" i="3"/>
  <c r="M20" i="3"/>
  <c r="AO37" i="3"/>
  <c r="AO56" i="3"/>
  <c r="AO74" i="3"/>
  <c r="AQ74" i="3" s="1"/>
  <c r="AO70" i="3"/>
  <c r="AD86" i="3"/>
  <c r="AZ37" i="3"/>
  <c r="AZ76" i="107" s="1"/>
  <c r="AZ74" i="3"/>
  <c r="AZ56" i="3"/>
  <c r="AZ70" i="3"/>
  <c r="AP100" i="3"/>
  <c r="AV100" i="3"/>
  <c r="BC89" i="3"/>
  <c r="AA51" i="3"/>
  <c r="AA25" i="3"/>
  <c r="AA54" i="3"/>
  <c r="AA68" i="3"/>
  <c r="AA50" i="3"/>
  <c r="AA95" i="3"/>
  <c r="AA98" i="3" s="1"/>
  <c r="AG68" i="3"/>
  <c r="AG54" i="3"/>
  <c r="AG95" i="3"/>
  <c r="I49" i="3"/>
  <c r="O69" i="3"/>
  <c r="G29" i="3"/>
  <c r="G31" i="3" s="1"/>
  <c r="V29" i="3"/>
  <c r="V31" i="3" s="1"/>
  <c r="V26" i="3"/>
  <c r="V164" i="106" s="1"/>
  <c r="V165" i="106" s="1"/>
  <c r="V166" i="106" s="1"/>
  <c r="V55" i="3"/>
  <c r="K37" i="3"/>
  <c r="K76" i="107" s="1"/>
  <c r="K56" i="3"/>
  <c r="K70" i="3"/>
  <c r="K75" i="3"/>
  <c r="AD98" i="3"/>
  <c r="AU37" i="3"/>
  <c r="AU76" i="107" s="1"/>
  <c r="AU74" i="3"/>
  <c r="AU56" i="3"/>
  <c r="AU70" i="3"/>
  <c r="BA70" i="3"/>
  <c r="AT85" i="3"/>
  <c r="AT93" i="3"/>
  <c r="AZ85" i="3"/>
  <c r="AJ98" i="3"/>
  <c r="AJ29" i="3"/>
  <c r="AJ31" i="3" s="1"/>
  <c r="AJ26" i="3"/>
  <c r="AJ164" i="106" s="1"/>
  <c r="AJ165" i="106" s="1"/>
  <c r="AJ166" i="106" s="1"/>
  <c r="AJ55" i="3"/>
  <c r="J98" i="3"/>
  <c r="P98" i="3"/>
  <c r="I29" i="3"/>
  <c r="I31" i="3" s="1"/>
  <c r="I26" i="3"/>
  <c r="I164" i="106" s="1"/>
  <c r="I165" i="106" s="1"/>
  <c r="I166" i="106" s="1"/>
  <c r="I55" i="3"/>
  <c r="X29" i="3"/>
  <c r="X31" i="3" s="1"/>
  <c r="X26" i="3"/>
  <c r="X164" i="106" s="1"/>
  <c r="X165" i="106" s="1"/>
  <c r="X166" i="106" s="1"/>
  <c r="X55" i="3"/>
  <c r="E37" i="3"/>
  <c r="E76" i="107" s="1"/>
  <c r="E75" i="3"/>
  <c r="E56" i="3"/>
  <c r="AN85" i="3"/>
  <c r="AN93" i="3"/>
  <c r="AN96" i="3" s="1"/>
  <c r="AN95" i="3"/>
  <c r="AN99" i="3"/>
  <c r="R29" i="3"/>
  <c r="R31" i="3" s="1"/>
  <c r="R26" i="3"/>
  <c r="R164" i="106" s="1"/>
  <c r="R165" i="106" s="1"/>
  <c r="R166" i="106" s="1"/>
  <c r="R55" i="3"/>
  <c r="O98" i="3"/>
  <c r="U98" i="3"/>
  <c r="AA84" i="3"/>
  <c r="AA99" i="3" s="1"/>
  <c r="AA85" i="3"/>
  <c r="AA86" i="3" s="1"/>
  <c r="AG85" i="3"/>
  <c r="AV70" i="3"/>
  <c r="AV74" i="3"/>
  <c r="AV56" i="3"/>
  <c r="AV37" i="3"/>
  <c r="AV76" i="107" s="1"/>
  <c r="BB70" i="3"/>
  <c r="Y97" i="3"/>
  <c r="BC18" i="3"/>
  <c r="BC42" i="3"/>
  <c r="BI112" i="3"/>
  <c r="BC41" i="3"/>
  <c r="BC82" i="3" s="1"/>
  <c r="BI66" i="3"/>
  <c r="BC66" i="3"/>
  <c r="BC93" i="3"/>
  <c r="P56" i="3"/>
  <c r="P37" i="3"/>
  <c r="P76" i="107" s="1"/>
  <c r="P75" i="3"/>
  <c r="AE18" i="3"/>
  <c r="AE66" i="3"/>
  <c r="AE93" i="3"/>
  <c r="AE96" i="3" s="1"/>
  <c r="AE41" i="3"/>
  <c r="AE82" i="3" s="1"/>
  <c r="C29" i="3"/>
  <c r="C31" i="3" s="1"/>
  <c r="C26" i="3"/>
  <c r="C164" i="106" s="1"/>
  <c r="C165" i="106" s="1"/>
  <c r="C166" i="106" s="1"/>
  <c r="C55" i="3"/>
  <c r="W29" i="3"/>
  <c r="W31" i="3" s="1"/>
  <c r="W26" i="3"/>
  <c r="W164" i="106" s="1"/>
  <c r="W165" i="106" s="1"/>
  <c r="W166" i="106" s="1"/>
  <c r="W55" i="3"/>
  <c r="AG96" i="3"/>
  <c r="AH37" i="3"/>
  <c r="AH76" i="107" s="1"/>
  <c r="AH74" i="3"/>
  <c r="AH56" i="3"/>
  <c r="AW25" i="3"/>
  <c r="AW50" i="3"/>
  <c r="AW126" i="3" s="1"/>
  <c r="AW51" i="3"/>
  <c r="BS9" i="3"/>
  <c r="BS74" i="51" l="1"/>
  <c r="BT103" i="51"/>
  <c r="BT164" i="3"/>
  <c r="CG57" i="51"/>
  <c r="CG50" i="51"/>
  <c r="CG59" i="51"/>
  <c r="BX142" i="51"/>
  <c r="BX143" i="51" s="1"/>
  <c r="BX144" i="51" s="1"/>
  <c r="BX147" i="51" s="1"/>
  <c r="CD73" i="51"/>
  <c r="BW142" i="51"/>
  <c r="BW143" i="51" s="1"/>
  <c r="BW144" i="51" s="1"/>
  <c r="BW147" i="51" s="1"/>
  <c r="CC73" i="51"/>
  <c r="AX19" i="112"/>
  <c r="BS62" i="3"/>
  <c r="BS134" i="51"/>
  <c r="AX14" i="112"/>
  <c r="AX26" i="112" s="1"/>
  <c r="BS11" i="51"/>
  <c r="BS18" i="51"/>
  <c r="BS16" i="51" s="1"/>
  <c r="BS15" i="51" s="1"/>
  <c r="BR8" i="51"/>
  <c r="BR9" i="51" s="1"/>
  <c r="AR171" i="112"/>
  <c r="AR177" i="112" s="1"/>
  <c r="AR178" i="112" s="1"/>
  <c r="BQ18" i="51"/>
  <c r="BQ16" i="51" s="1"/>
  <c r="BQ15" i="51" s="1"/>
  <c r="AU11" i="112"/>
  <c r="AU23" i="112" s="1"/>
  <c r="BI162" i="106"/>
  <c r="BI167" i="106" s="1"/>
  <c r="AQ163" i="106"/>
  <c r="AE163" i="106"/>
  <c r="BY143" i="51"/>
  <c r="BY144" i="51" s="1"/>
  <c r="BY147" i="51" s="1"/>
  <c r="CC142" i="51"/>
  <c r="AZ163" i="51"/>
  <c r="AZ164" i="51" s="1"/>
  <c r="AY149" i="51"/>
  <c r="BE150" i="51" s="1"/>
  <c r="BK144" i="51"/>
  <c r="BK147" i="51" s="1"/>
  <c r="BK158" i="51"/>
  <c r="BO157" i="51"/>
  <c r="AY142" i="51"/>
  <c r="BE143" i="51" s="1"/>
  <c r="BE144" i="51" s="1"/>
  <c r="CF149" i="51"/>
  <c r="CA149" i="51"/>
  <c r="CF156" i="51"/>
  <c r="CA156" i="51"/>
  <c r="AY156" i="51"/>
  <c r="BR162" i="106"/>
  <c r="R187" i="106"/>
  <c r="R64" i="106" s="1"/>
  <c r="R167" i="106"/>
  <c r="R186" i="106"/>
  <c r="X187" i="106"/>
  <c r="X64" i="106" s="1"/>
  <c r="X167" i="106"/>
  <c r="X186" i="106"/>
  <c r="U167" i="106"/>
  <c r="U187" i="106"/>
  <c r="U64" i="106" s="1"/>
  <c r="U186" i="106"/>
  <c r="Q187" i="106"/>
  <c r="Q64" i="106" s="1"/>
  <c r="Q186" i="106"/>
  <c r="Q167" i="106"/>
  <c r="W186" i="106"/>
  <c r="W167" i="106"/>
  <c r="W187" i="106"/>
  <c r="W64" i="106" s="1"/>
  <c r="I167" i="106"/>
  <c r="I187" i="106"/>
  <c r="I64" i="106" s="1"/>
  <c r="I186" i="106"/>
  <c r="V187" i="106"/>
  <c r="V64" i="106" s="1"/>
  <c r="V167" i="106"/>
  <c r="V186" i="106"/>
  <c r="O167" i="106"/>
  <c r="O186" i="106"/>
  <c r="O187" i="106"/>
  <c r="O64" i="106" s="1"/>
  <c r="P187" i="106"/>
  <c r="P64" i="106" s="1"/>
  <c r="P186" i="106"/>
  <c r="P167" i="106"/>
  <c r="J187" i="106"/>
  <c r="J64" i="106" s="1"/>
  <c r="J186" i="106"/>
  <c r="J167" i="106"/>
  <c r="AD167" i="106"/>
  <c r="AD186" i="106"/>
  <c r="AD187" i="106"/>
  <c r="AD64" i="106" s="1"/>
  <c r="F186" i="106"/>
  <c r="F187" i="106"/>
  <c r="F64" i="106" s="1"/>
  <c r="F167" i="106"/>
  <c r="BI186" i="106"/>
  <c r="BI187" i="106"/>
  <c r="BI64" i="106" s="1"/>
  <c r="BC163" i="106"/>
  <c r="AV129" i="3"/>
  <c r="AW129" i="3" s="1"/>
  <c r="AV164" i="106"/>
  <c r="AV165" i="106" s="1"/>
  <c r="AV166" i="106" s="1"/>
  <c r="AJ187" i="106"/>
  <c r="AJ64" i="106" s="1"/>
  <c r="AJ167" i="106"/>
  <c r="AJ186" i="106"/>
  <c r="L186" i="106"/>
  <c r="L167" i="106"/>
  <c r="L187" i="106"/>
  <c r="L64" i="106" s="1"/>
  <c r="AS186" i="106"/>
  <c r="AS167" i="106"/>
  <c r="AS187" i="106"/>
  <c r="AS64" i="106" s="1"/>
  <c r="AU167" i="106"/>
  <c r="AU187" i="106"/>
  <c r="AU64" i="106" s="1"/>
  <c r="AU186" i="106"/>
  <c r="C186" i="106"/>
  <c r="C187" i="106"/>
  <c r="C64" i="106" s="1"/>
  <c r="C167" i="106"/>
  <c r="D167" i="106"/>
  <c r="D187" i="106"/>
  <c r="D64" i="106" s="1"/>
  <c r="D186" i="106"/>
  <c r="AY129" i="3"/>
  <c r="BC129" i="3" s="1"/>
  <c r="AY164" i="106"/>
  <c r="AY165" i="106" s="1"/>
  <c r="AY166" i="106" s="1"/>
  <c r="G165" i="106"/>
  <c r="G166" i="106" s="1"/>
  <c r="AE16" i="3"/>
  <c r="AQ16" i="3"/>
  <c r="BF70" i="3"/>
  <c r="S55" i="3"/>
  <c r="BE74" i="3"/>
  <c r="CE72" i="51"/>
  <c r="CG43" i="51"/>
  <c r="CG41" i="51"/>
  <c r="BM82" i="51"/>
  <c r="BM83" i="51" s="1"/>
  <c r="BN40" i="107"/>
  <c r="BX72" i="51"/>
  <c r="AS171" i="112"/>
  <c r="AS177" i="112" s="1"/>
  <c r="AS178" i="112" s="1"/>
  <c r="BY72" i="51"/>
  <c r="AT171" i="112"/>
  <c r="AT177" i="112" s="1"/>
  <c r="AT178" i="112" s="1"/>
  <c r="BC131" i="51"/>
  <c r="AK171" i="112"/>
  <c r="AK177" i="112" s="1"/>
  <c r="AK178" i="112" s="1"/>
  <c r="BQ11" i="51"/>
  <c r="BO10" i="51"/>
  <c r="BS131" i="51"/>
  <c r="CC70" i="51"/>
  <c r="CD70" i="51"/>
  <c r="BX8" i="51"/>
  <c r="BR131" i="51"/>
  <c r="BR11" i="51"/>
  <c r="BC68" i="106"/>
  <c r="BC16" i="3"/>
  <c r="AT11" i="112"/>
  <c r="AT23" i="112" s="1"/>
  <c r="BO13" i="51"/>
  <c r="G55" i="3"/>
  <c r="AK82" i="106"/>
  <c r="BO20" i="107"/>
  <c r="AW83" i="3"/>
  <c r="AW84" i="3" s="1"/>
  <c r="AW85" i="3" s="1"/>
  <c r="AH86" i="3"/>
  <c r="BG76" i="107"/>
  <c r="S26" i="3"/>
  <c r="S164" i="106" s="1"/>
  <c r="S165" i="106" s="1"/>
  <c r="S166" i="106" s="1"/>
  <c r="BR13" i="106"/>
  <c r="BR121" i="106"/>
  <c r="BR31" i="107" s="1"/>
  <c r="BR11" i="106"/>
  <c r="I62" i="106"/>
  <c r="I63" i="106"/>
  <c r="BW82" i="106"/>
  <c r="W62" i="106"/>
  <c r="W63" i="106"/>
  <c r="R62" i="106"/>
  <c r="R63" i="106"/>
  <c r="AW68" i="3"/>
  <c r="AQ68" i="106"/>
  <c r="AS71" i="3"/>
  <c r="AS76" i="107"/>
  <c r="U62" i="106"/>
  <c r="U63" i="106"/>
  <c r="BI92" i="106"/>
  <c r="BI79" i="106"/>
  <c r="BI122" i="106"/>
  <c r="BG80" i="106"/>
  <c r="BG81" i="106"/>
  <c r="BG157" i="107"/>
  <c r="BG159" i="107" s="1"/>
  <c r="BG160" i="107" s="1"/>
  <c r="BI160" i="107" s="1"/>
  <c r="F56" i="3"/>
  <c r="F62" i="106"/>
  <c r="F63" i="106"/>
  <c r="K76" i="3"/>
  <c r="K110" i="106"/>
  <c r="K113" i="106" s="1"/>
  <c r="P70" i="3"/>
  <c r="J62" i="106"/>
  <c r="J63" i="106"/>
  <c r="P76" i="3"/>
  <c r="P110" i="106"/>
  <c r="P113" i="106" s="1"/>
  <c r="E76" i="3"/>
  <c r="E110" i="106"/>
  <c r="E113" i="106" s="1"/>
  <c r="X62" i="106"/>
  <c r="X63" i="106"/>
  <c r="AJ62" i="106"/>
  <c r="AJ63" i="106"/>
  <c r="Q62" i="106"/>
  <c r="Q63" i="106"/>
  <c r="BE70" i="3"/>
  <c r="AY62" i="106"/>
  <c r="AY63" i="106"/>
  <c r="AD56" i="3"/>
  <c r="AD62" i="106"/>
  <c r="AD63" i="106"/>
  <c r="AU136" i="3"/>
  <c r="AV136" i="3"/>
  <c r="D62" i="106"/>
  <c r="D63" i="106"/>
  <c r="AE68" i="106"/>
  <c r="S62" i="106"/>
  <c r="S63" i="106"/>
  <c r="V62" i="106"/>
  <c r="V63" i="106"/>
  <c r="AO71" i="3"/>
  <c r="AO76" i="107"/>
  <c r="O62" i="106"/>
  <c r="O63" i="106"/>
  <c r="Y62" i="106"/>
  <c r="Y63" i="106"/>
  <c r="AB62" i="106"/>
  <c r="AB63" i="106"/>
  <c r="AZ136" i="3"/>
  <c r="L37" i="3"/>
  <c r="L76" i="107" s="1"/>
  <c r="L62" i="106"/>
  <c r="L63" i="106"/>
  <c r="BF63" i="106"/>
  <c r="BF62" i="106"/>
  <c r="AY136" i="3"/>
  <c r="BE62" i="106"/>
  <c r="BE63" i="106"/>
  <c r="BX82" i="106"/>
  <c r="AA67" i="106"/>
  <c r="AA69" i="106"/>
  <c r="AC67" i="106"/>
  <c r="AC69" i="106"/>
  <c r="AC49" i="3"/>
  <c r="F75" i="3"/>
  <c r="AD37" i="3"/>
  <c r="AD76" i="107" s="1"/>
  <c r="BG71" i="3"/>
  <c r="BQ28" i="3"/>
  <c r="BG102" i="3"/>
  <c r="BI31" i="3"/>
  <c r="BI136" i="3"/>
  <c r="BF37" i="3"/>
  <c r="BF56" i="3"/>
  <c r="BF74" i="3"/>
  <c r="BL70" i="3"/>
  <c r="BE37" i="3"/>
  <c r="BG152" i="3"/>
  <c r="AD74" i="3"/>
  <c r="AD70" i="3"/>
  <c r="L56" i="3"/>
  <c r="L75" i="3"/>
  <c r="L70" i="3"/>
  <c r="M26" i="3"/>
  <c r="M164" i="106" s="1"/>
  <c r="M165" i="106" s="1"/>
  <c r="M166" i="106" s="1"/>
  <c r="AY74" i="3"/>
  <c r="BC74" i="3" s="1"/>
  <c r="AC26" i="3"/>
  <c r="AC164" i="106" s="1"/>
  <c r="AC165" i="106" s="1"/>
  <c r="AC166" i="106" s="1"/>
  <c r="AY70" i="3"/>
  <c r="AY37" i="3"/>
  <c r="AY76" i="107" s="1"/>
  <c r="AY56" i="3"/>
  <c r="BC68" i="3"/>
  <c r="BI68" i="3"/>
  <c r="AH98" i="3"/>
  <c r="AN86" i="3"/>
  <c r="BR133" i="51"/>
  <c r="AW14" i="112"/>
  <c r="BM134" i="51"/>
  <c r="BL81" i="51"/>
  <c r="BL86" i="51" s="1"/>
  <c r="BL85" i="51" s="1"/>
  <c r="BL100" i="51"/>
  <c r="BR62" i="3"/>
  <c r="Y98" i="3"/>
  <c r="BR74" i="51"/>
  <c r="AB26" i="3"/>
  <c r="AB164" i="106" s="1"/>
  <c r="AB165" i="106" s="1"/>
  <c r="AB166" i="106" s="1"/>
  <c r="Y55" i="3"/>
  <c r="BG154" i="3"/>
  <c r="BG53" i="3"/>
  <c r="AB98" i="3"/>
  <c r="S98" i="3"/>
  <c r="AB55" i="3"/>
  <c r="AC29" i="3"/>
  <c r="AC31" i="3" s="1"/>
  <c r="M29" i="3"/>
  <c r="M31" i="3" s="1"/>
  <c r="Y26" i="3"/>
  <c r="Y164" i="106" s="1"/>
  <c r="Y165" i="106" s="1"/>
  <c r="Y166" i="106" s="1"/>
  <c r="BC96" i="3"/>
  <c r="AQ43" i="3"/>
  <c r="AV98" i="3"/>
  <c r="AQ163" i="112"/>
  <c r="CG36" i="51"/>
  <c r="CM41" i="51" s="1"/>
  <c r="CM36" i="51"/>
  <c r="CG39" i="51"/>
  <c r="CG38" i="51"/>
  <c r="CA37" i="51"/>
  <c r="CK63" i="51"/>
  <c r="CK142" i="51" s="1"/>
  <c r="CG40" i="51"/>
  <c r="BK100" i="51"/>
  <c r="BK81" i="51"/>
  <c r="BK86" i="51" s="1"/>
  <c r="BK85" i="51" s="1"/>
  <c r="AW74" i="3"/>
  <c r="AI98" i="3"/>
  <c r="J56" i="3"/>
  <c r="J37" i="3"/>
  <c r="J75" i="3"/>
  <c r="BX9" i="3"/>
  <c r="BC74" i="51"/>
  <c r="AJ159" i="112"/>
  <c r="AN163" i="112"/>
  <c r="BK59" i="3"/>
  <c r="CE63" i="51"/>
  <c r="AL159" i="112"/>
  <c r="AP163" i="112"/>
  <c r="AW54" i="3"/>
  <c r="AM147" i="112"/>
  <c r="BI157" i="3"/>
  <c r="BR60" i="3"/>
  <c r="BR165" i="3"/>
  <c r="BR161" i="3"/>
  <c r="BR159" i="3"/>
  <c r="BR157" i="3"/>
  <c r="BS60" i="3"/>
  <c r="BS157" i="3"/>
  <c r="BS161" i="3"/>
  <c r="BS165" i="3"/>
  <c r="BS159" i="3"/>
  <c r="AT163" i="112"/>
  <c r="AT159" i="112"/>
  <c r="BO60" i="3"/>
  <c r="BO161" i="3"/>
  <c r="BO165" i="3"/>
  <c r="BO159" i="3"/>
  <c r="AV14" i="112"/>
  <c r="BK60" i="3"/>
  <c r="BK61" i="3" s="1"/>
  <c r="BK159" i="3"/>
  <c r="BK157" i="3"/>
  <c r="BK161" i="3"/>
  <c r="BK165" i="3"/>
  <c r="BQ165" i="3"/>
  <c r="BQ161" i="3"/>
  <c r="BQ157" i="3"/>
  <c r="BQ159" i="3"/>
  <c r="AO98" i="3"/>
  <c r="AS53" i="3"/>
  <c r="AU86" i="3"/>
  <c r="AP96" i="3"/>
  <c r="AV96" i="3"/>
  <c r="AO100" i="3"/>
  <c r="AU100" i="3"/>
  <c r="BB86" i="3"/>
  <c r="BH115" i="3" s="1"/>
  <c r="AV86" i="3"/>
  <c r="AS86" i="3"/>
  <c r="BC90" i="3"/>
  <c r="BA86" i="3"/>
  <c r="BG115" i="3" s="1"/>
  <c r="BY69" i="51"/>
  <c r="CI70" i="51"/>
  <c r="CI68" i="51"/>
  <c r="CG58" i="51"/>
  <c r="CD68" i="51"/>
  <c r="BQ129" i="51"/>
  <c r="BQ123" i="51"/>
  <c r="CJ45" i="51"/>
  <c r="CJ63" i="51" s="1"/>
  <c r="CD63" i="51"/>
  <c r="CG54" i="51"/>
  <c r="BS123" i="51"/>
  <c r="BS129" i="51"/>
  <c r="BF82" i="51"/>
  <c r="BF83" i="51" s="1"/>
  <c r="BF101" i="51"/>
  <c r="BF103" i="51" s="1"/>
  <c r="BF104" i="51" s="1"/>
  <c r="BY66" i="51"/>
  <c r="BY82" i="51"/>
  <c r="BY128" i="51"/>
  <c r="BY93" i="51"/>
  <c r="BY91" i="51" s="1"/>
  <c r="BY92" i="51" s="1"/>
  <c r="BY98" i="51"/>
  <c r="AV128" i="51"/>
  <c r="BW65" i="51"/>
  <c r="BW67" i="51"/>
  <c r="BW69" i="51" s="1"/>
  <c r="BW76" i="51"/>
  <c r="BW127" i="51"/>
  <c r="CC75" i="51"/>
  <c r="CC68" i="51"/>
  <c r="BX65" i="51"/>
  <c r="BX8" i="3" s="1"/>
  <c r="BX162" i="106" s="1"/>
  <c r="BX76" i="51"/>
  <c r="BX67" i="51"/>
  <c r="BX69" i="51" s="1"/>
  <c r="BX127" i="51"/>
  <c r="CD75" i="51"/>
  <c r="CG55" i="51"/>
  <c r="CG61" i="51"/>
  <c r="CG56" i="51"/>
  <c r="BQ126" i="51"/>
  <c r="CC65" i="51"/>
  <c r="CC67" i="51"/>
  <c r="CC76" i="51"/>
  <c r="CI75" i="51"/>
  <c r="CC127" i="51"/>
  <c r="BS93" i="51"/>
  <c r="BS91" i="51" s="1"/>
  <c r="BS92" i="51" s="1"/>
  <c r="BS82" i="51"/>
  <c r="BS128" i="51"/>
  <c r="BS98" i="51"/>
  <c r="BR123" i="51"/>
  <c r="BR129" i="51"/>
  <c r="BQ74" i="51"/>
  <c r="BQ133" i="51"/>
  <c r="CL54" i="51"/>
  <c r="BR126" i="51"/>
  <c r="BL130" i="51"/>
  <c r="BL133" i="51" s="1"/>
  <c r="BQ66" i="51"/>
  <c r="BQ93" i="51"/>
  <c r="BQ82" i="51"/>
  <c r="BQ128" i="51"/>
  <c r="BQ98" i="51"/>
  <c r="BN134" i="51"/>
  <c r="BR66" i="51"/>
  <c r="BR82" i="51"/>
  <c r="BR93" i="51"/>
  <c r="BR91" i="51" s="1"/>
  <c r="BR92" i="51" s="1"/>
  <c r="BR128" i="51"/>
  <c r="BR98" i="51"/>
  <c r="BY123" i="51"/>
  <c r="BY129" i="51"/>
  <c r="BW72" i="51"/>
  <c r="AZ14" i="112" s="1"/>
  <c r="BQ131" i="51"/>
  <c r="CI45" i="51"/>
  <c r="BS8" i="3"/>
  <c r="BQ62" i="3"/>
  <c r="BQ60" i="3"/>
  <c r="BQ63" i="3"/>
  <c r="BQ8" i="3"/>
  <c r="BW9" i="3"/>
  <c r="BM64" i="3"/>
  <c r="BF64" i="3"/>
  <c r="BR14" i="3"/>
  <c r="BR59" i="3"/>
  <c r="AM96" i="3"/>
  <c r="AY86" i="3"/>
  <c r="BE115" i="3" s="1"/>
  <c r="O37" i="3"/>
  <c r="O76" i="107" s="1"/>
  <c r="O75" i="3"/>
  <c r="O56" i="3"/>
  <c r="AC100" i="3"/>
  <c r="AI100" i="3"/>
  <c r="BR26" i="3"/>
  <c r="BQ136" i="3"/>
  <c r="AQ25" i="3"/>
  <c r="AQ50" i="3"/>
  <c r="AQ126" i="3" s="1"/>
  <c r="AQ51" i="3"/>
  <c r="BI63" i="3"/>
  <c r="U37" i="3"/>
  <c r="U76" i="107" s="1"/>
  <c r="U56" i="3"/>
  <c r="U70" i="3"/>
  <c r="U75" i="3"/>
  <c r="BM106" i="3"/>
  <c r="BG107" i="3"/>
  <c r="BG108" i="3" s="1"/>
  <c r="Q37" i="3"/>
  <c r="Q70" i="3"/>
  <c r="Q56" i="3"/>
  <c r="Q75" i="3"/>
  <c r="BR63" i="3"/>
  <c r="AT86" i="3"/>
  <c r="AI86" i="3"/>
  <c r="AU96" i="3"/>
  <c r="BA96" i="3"/>
  <c r="AW95" i="3"/>
  <c r="AM100" i="3"/>
  <c r="AS100" i="3"/>
  <c r="BI41" i="3"/>
  <c r="BI59" i="3"/>
  <c r="BI46" i="3"/>
  <c r="BI105" i="3"/>
  <c r="BI107" i="3" s="1"/>
  <c r="BI108" i="3" s="1"/>
  <c r="BI50" i="3"/>
  <c r="BI51" i="3"/>
  <c r="BI153" i="3" s="1"/>
  <c r="BI55" i="3"/>
  <c r="BG61" i="3"/>
  <c r="BG64" i="3" s="1"/>
  <c r="BI43" i="3"/>
  <c r="BI103" i="3"/>
  <c r="BI104" i="3" s="1"/>
  <c r="BG40" i="3"/>
  <c r="BG65" i="3"/>
  <c r="BI10" i="3"/>
  <c r="BG118" i="3"/>
  <c r="AO86" i="3"/>
  <c r="AB37" i="3"/>
  <c r="AB75" i="3"/>
  <c r="AB56" i="3"/>
  <c r="AB70" i="3"/>
  <c r="BC43" i="3"/>
  <c r="BC83" i="3"/>
  <c r="G37" i="3"/>
  <c r="G76" i="107" s="1"/>
  <c r="G75" i="3"/>
  <c r="G56" i="3"/>
  <c r="AA49" i="3"/>
  <c r="AA69" i="3"/>
  <c r="AG69" i="3"/>
  <c r="Y56" i="3"/>
  <c r="Y70" i="3"/>
  <c r="Y75" i="3"/>
  <c r="Y37" i="3"/>
  <c r="BC25" i="3"/>
  <c r="BC50" i="3"/>
  <c r="BC126" i="3" s="1"/>
  <c r="BC54" i="3"/>
  <c r="BC51" i="3"/>
  <c r="BC95" i="3"/>
  <c r="BI54" i="3"/>
  <c r="BI114" i="3"/>
  <c r="AG86" i="3"/>
  <c r="AM86" i="3"/>
  <c r="AA29" i="3"/>
  <c r="AA31" i="3" s="1"/>
  <c r="AA26" i="3"/>
  <c r="AA164" i="106" s="1"/>
  <c r="AA165" i="106" s="1"/>
  <c r="AA166" i="106" s="1"/>
  <c r="AA55" i="3"/>
  <c r="AK18" i="3"/>
  <c r="AK41" i="3"/>
  <c r="AK82" i="3" s="1"/>
  <c r="AK66" i="3"/>
  <c r="AQ93" i="3"/>
  <c r="AK93" i="3"/>
  <c r="AK96" i="3" s="1"/>
  <c r="AQ66" i="3"/>
  <c r="AA100" i="3"/>
  <c r="AG100" i="3"/>
  <c r="AT100" i="3"/>
  <c r="AN100" i="3"/>
  <c r="AJ37" i="3"/>
  <c r="AJ76" i="107" s="1"/>
  <c r="AP70" i="3"/>
  <c r="AJ74" i="3"/>
  <c r="AK74" i="3" s="1"/>
  <c r="AJ70" i="3"/>
  <c r="AJ56" i="3"/>
  <c r="V37" i="3"/>
  <c r="V56" i="3"/>
  <c r="V75" i="3"/>
  <c r="V70" i="3"/>
  <c r="AU53" i="3"/>
  <c r="AU132" i="3"/>
  <c r="AW127" i="3"/>
  <c r="AW52" i="3"/>
  <c r="I37" i="3"/>
  <c r="I76" i="107" s="1"/>
  <c r="I75" i="3"/>
  <c r="I70" i="3"/>
  <c r="I56" i="3"/>
  <c r="O70" i="3"/>
  <c r="D75" i="3"/>
  <c r="D56" i="3"/>
  <c r="D37" i="3"/>
  <c r="D76" i="107" s="1"/>
  <c r="J70" i="3"/>
  <c r="AW55" i="3"/>
  <c r="AW29" i="3"/>
  <c r="AW31" i="3" s="1"/>
  <c r="AW26" i="3"/>
  <c r="AW164" i="106" s="1"/>
  <c r="AW165" i="106" s="1"/>
  <c r="AW166" i="106" s="1"/>
  <c r="AN98" i="3"/>
  <c r="AT98" i="3"/>
  <c r="AV71" i="3"/>
  <c r="BB71" i="3"/>
  <c r="R37" i="3"/>
  <c r="R75" i="3"/>
  <c r="R56" i="3"/>
  <c r="R70" i="3"/>
  <c r="AG98" i="3"/>
  <c r="AM98" i="3"/>
  <c r="W75" i="3"/>
  <c r="W70" i="3"/>
  <c r="W56" i="3"/>
  <c r="W37" i="3"/>
  <c r="W76" i="107" s="1"/>
  <c r="AZ86" i="3"/>
  <c r="BF115" i="3" s="1"/>
  <c r="K71" i="3"/>
  <c r="AN71" i="3"/>
  <c r="AH70" i="3"/>
  <c r="C37" i="3"/>
  <c r="C76" i="107" s="1"/>
  <c r="C56" i="3"/>
  <c r="C75" i="3"/>
  <c r="AE25" i="3"/>
  <c r="AE50" i="3"/>
  <c r="AE68" i="3"/>
  <c r="AE95" i="3"/>
  <c r="AE98" i="3" s="1"/>
  <c r="S37" i="3"/>
  <c r="S76" i="107" s="1"/>
  <c r="S75" i="3"/>
  <c r="S56" i="3"/>
  <c r="X75" i="3"/>
  <c r="X70" i="3"/>
  <c r="X56" i="3"/>
  <c r="X37" i="3"/>
  <c r="AT96" i="3"/>
  <c r="AZ96" i="3"/>
  <c r="AU71" i="3"/>
  <c r="BA71" i="3"/>
  <c r="AZ71" i="3"/>
  <c r="BY9" i="3"/>
  <c r="AZ26" i="112" l="1"/>
  <c r="BZ164" i="3"/>
  <c r="AV151" i="112"/>
  <c r="BU164" i="3"/>
  <c r="CE142" i="51"/>
  <c r="CE143" i="51" s="1"/>
  <c r="CE144" i="51" s="1"/>
  <c r="CE147" i="51" s="1"/>
  <c r="CK73" i="51"/>
  <c r="CC143" i="51"/>
  <c r="CC144" i="51" s="1"/>
  <c r="CC147" i="51" s="1"/>
  <c r="CD142" i="51"/>
  <c r="CD143" i="51" s="1"/>
  <c r="CD144" i="51" s="1"/>
  <c r="CD147" i="51" s="1"/>
  <c r="CJ73" i="51"/>
  <c r="CM56" i="51"/>
  <c r="CM59" i="51"/>
  <c r="CM50" i="51"/>
  <c r="BI52" i="3"/>
  <c r="BI154" i="3" s="1"/>
  <c r="AY163" i="51"/>
  <c r="AY164" i="51" s="1"/>
  <c r="BX9" i="51"/>
  <c r="BY15" i="51"/>
  <c r="BS8" i="51"/>
  <c r="BS9" i="51" s="1"/>
  <c r="BS10" i="51" s="1"/>
  <c r="BS13" i="51" s="1"/>
  <c r="AX11" i="112" s="1"/>
  <c r="AX23" i="112" s="1"/>
  <c r="BB14" i="112"/>
  <c r="BB26" i="112" s="1"/>
  <c r="BA14" i="112"/>
  <c r="BA26" i="112" s="1"/>
  <c r="BW15" i="51"/>
  <c r="BQ8" i="51"/>
  <c r="BR80" i="51"/>
  <c r="BR87" i="51" s="1"/>
  <c r="BS80" i="51"/>
  <c r="BS81" i="51" s="1"/>
  <c r="BY80" i="51"/>
  <c r="BY87" i="51" s="1"/>
  <c r="AY131" i="3"/>
  <c r="AY53" i="3" s="1"/>
  <c r="AK163" i="106"/>
  <c r="CJ8" i="51"/>
  <c r="CJ142" i="51"/>
  <c r="BE157" i="51"/>
  <c r="CL156" i="51"/>
  <c r="CG156" i="51"/>
  <c r="CL149" i="51"/>
  <c r="CG149" i="51"/>
  <c r="BK161" i="51"/>
  <c r="BO161" i="51" s="1"/>
  <c r="BO158" i="51"/>
  <c r="BQ162" i="106"/>
  <c r="BS162" i="106"/>
  <c r="AV131" i="3"/>
  <c r="AV53" i="3" s="1"/>
  <c r="AA167" i="106"/>
  <c r="AA186" i="106"/>
  <c r="AA187" i="106"/>
  <c r="AA64" i="106" s="1"/>
  <c r="AC167" i="106"/>
  <c r="AC187" i="106"/>
  <c r="AC64" i="106" s="1"/>
  <c r="AC186" i="106"/>
  <c r="M187" i="106"/>
  <c r="M64" i="106" s="1"/>
  <c r="M167" i="106"/>
  <c r="M186" i="106"/>
  <c r="S167" i="106"/>
  <c r="S187" i="106"/>
  <c r="S64" i="106" s="1"/>
  <c r="S186" i="106"/>
  <c r="AB187" i="106"/>
  <c r="AB64" i="106" s="1"/>
  <c r="AB186" i="106"/>
  <c r="AB167" i="106"/>
  <c r="AW167" i="106"/>
  <c r="AW186" i="106"/>
  <c r="AW187" i="106"/>
  <c r="AW64" i="106" s="1"/>
  <c r="BR164" i="106"/>
  <c r="Y186" i="106"/>
  <c r="Y167" i="106"/>
  <c r="Y187" i="106"/>
  <c r="Y64" i="106" s="1"/>
  <c r="G167" i="106"/>
  <c r="G187" i="106"/>
  <c r="G64" i="106" s="1"/>
  <c r="G186" i="106"/>
  <c r="AY186" i="106"/>
  <c r="AY187" i="106"/>
  <c r="AY64" i="106" s="1"/>
  <c r="AY167" i="106"/>
  <c r="AV167" i="106"/>
  <c r="AV187" i="106"/>
  <c r="AV64" i="106" s="1"/>
  <c r="AV186" i="106"/>
  <c r="AK16" i="3"/>
  <c r="BE76" i="107"/>
  <c r="BF71" i="3"/>
  <c r="CE74" i="51"/>
  <c r="CE133" i="51"/>
  <c r="CD72" i="51"/>
  <c r="BX62" i="3"/>
  <c r="BX133" i="51"/>
  <c r="BX134" i="51" s="1"/>
  <c r="BX157" i="3"/>
  <c r="BX11" i="106"/>
  <c r="BR40" i="107"/>
  <c r="BX74" i="51"/>
  <c r="BY133" i="51"/>
  <c r="BY74" i="51"/>
  <c r="BY62" i="3"/>
  <c r="BW11" i="51"/>
  <c r="BX131" i="51"/>
  <c r="BX11" i="51"/>
  <c r="CK127" i="51"/>
  <c r="CK123" i="51" s="1"/>
  <c r="BR10" i="51"/>
  <c r="BR13" i="51" s="1"/>
  <c r="AW11" i="112" s="1"/>
  <c r="AW23" i="112" s="1"/>
  <c r="CJ70" i="51"/>
  <c r="CD8" i="51"/>
  <c r="BY131" i="51"/>
  <c r="BY11" i="51"/>
  <c r="CK68" i="51"/>
  <c r="AY71" i="3"/>
  <c r="BO92" i="106"/>
  <c r="L71" i="3"/>
  <c r="BO22" i="107"/>
  <c r="AM145" i="112"/>
  <c r="BQ13" i="106"/>
  <c r="BQ121" i="106"/>
  <c r="BQ11" i="106"/>
  <c r="BX121" i="106"/>
  <c r="BX31" i="107" s="1"/>
  <c r="BX13" i="106"/>
  <c r="BO31" i="107"/>
  <c r="BM40" i="107"/>
  <c r="BM158" i="107"/>
  <c r="BO79" i="106"/>
  <c r="BS13" i="106"/>
  <c r="BS22" i="107" s="1"/>
  <c r="BS121" i="106"/>
  <c r="BS31" i="107" s="1"/>
  <c r="BS11" i="106"/>
  <c r="BS20" i="107" s="1"/>
  <c r="BG82" i="106"/>
  <c r="S76" i="3"/>
  <c r="S110" i="106"/>
  <c r="W76" i="3"/>
  <c r="W110" i="106"/>
  <c r="W113" i="106" s="1"/>
  <c r="Y76" i="107"/>
  <c r="G76" i="3"/>
  <c r="G110" i="106"/>
  <c r="BF76" i="107"/>
  <c r="F76" i="3"/>
  <c r="F110" i="106"/>
  <c r="F113" i="106" s="1"/>
  <c r="AS136" i="3"/>
  <c r="AT136" i="3"/>
  <c r="AP136" i="3"/>
  <c r="V76" i="3"/>
  <c r="V110" i="106"/>
  <c r="V113" i="106" s="1"/>
  <c r="Y76" i="3"/>
  <c r="Y110" i="106"/>
  <c r="Q71" i="3"/>
  <c r="Q76" i="107"/>
  <c r="U76" i="3"/>
  <c r="U110" i="106"/>
  <c r="U113" i="106" s="1"/>
  <c r="M75" i="3"/>
  <c r="M62" i="106"/>
  <c r="M63" i="106"/>
  <c r="L76" i="3"/>
  <c r="L110" i="106"/>
  <c r="L113" i="106" s="1"/>
  <c r="BI63" i="106"/>
  <c r="BI62" i="106"/>
  <c r="BI71" i="107"/>
  <c r="R76" i="3"/>
  <c r="R110" i="106"/>
  <c r="R113" i="106" s="1"/>
  <c r="X76" i="3"/>
  <c r="X110" i="106"/>
  <c r="X113" i="106" s="1"/>
  <c r="C76" i="3"/>
  <c r="C110" i="106"/>
  <c r="C113" i="106" s="1"/>
  <c r="R71" i="3"/>
  <c r="R76" i="107"/>
  <c r="D76" i="3"/>
  <c r="D110" i="106"/>
  <c r="D113" i="106" s="1"/>
  <c r="I76" i="3"/>
  <c r="I110" i="106"/>
  <c r="I113" i="106" s="1"/>
  <c r="AK68" i="106"/>
  <c r="AA62" i="106"/>
  <c r="AA63" i="106"/>
  <c r="AB76" i="3"/>
  <c r="AB110" i="106"/>
  <c r="AB113" i="106" s="1"/>
  <c r="BI81" i="106"/>
  <c r="BI80" i="106"/>
  <c r="BI157" i="107"/>
  <c r="BI159" i="107" s="1"/>
  <c r="BI161" i="107" s="1"/>
  <c r="Q76" i="3"/>
  <c r="Q110" i="106"/>
  <c r="Q113" i="106" s="1"/>
  <c r="O76" i="3"/>
  <c r="O110" i="106"/>
  <c r="O113" i="106" s="1"/>
  <c r="BI56" i="3"/>
  <c r="J76" i="3"/>
  <c r="J110" i="106"/>
  <c r="J113" i="106" s="1"/>
  <c r="AC70" i="3"/>
  <c r="AC62" i="106"/>
  <c r="AC63" i="106"/>
  <c r="AO136" i="3"/>
  <c r="AW62" i="106"/>
  <c r="AW63" i="106"/>
  <c r="AD71" i="3"/>
  <c r="X76" i="107"/>
  <c r="V71" i="3"/>
  <c r="V76" i="107"/>
  <c r="AH71" i="3"/>
  <c r="AB76" i="107"/>
  <c r="P71" i="3"/>
  <c r="J76" i="107"/>
  <c r="BC136" i="3"/>
  <c r="CD82" i="106"/>
  <c r="BT82" i="106"/>
  <c r="CC82" i="106"/>
  <c r="BI37" i="3"/>
  <c r="BI74" i="3"/>
  <c r="BI102" i="3"/>
  <c r="BL71" i="3"/>
  <c r="BE71" i="3"/>
  <c r="BR28" i="3"/>
  <c r="BR134" i="51"/>
  <c r="M37" i="3"/>
  <c r="AQ68" i="3"/>
  <c r="CM40" i="51"/>
  <c r="CM38" i="51"/>
  <c r="CM37" i="51"/>
  <c r="CG37" i="51"/>
  <c r="BL82" i="51"/>
  <c r="BL83" i="51" s="1"/>
  <c r="CM39" i="51"/>
  <c r="AC74" i="3"/>
  <c r="AE74" i="3" s="1"/>
  <c r="CK65" i="51"/>
  <c r="CK82" i="51" s="1"/>
  <c r="CM43" i="51"/>
  <c r="M56" i="3"/>
  <c r="S70" i="3"/>
  <c r="M70" i="3"/>
  <c r="U71" i="3"/>
  <c r="AI70" i="3"/>
  <c r="AC37" i="3"/>
  <c r="AC56" i="3"/>
  <c r="J71" i="3"/>
  <c r="CK76" i="51"/>
  <c r="CE67" i="51"/>
  <c r="CE69" i="51" s="1"/>
  <c r="BX165" i="3"/>
  <c r="BX60" i="3"/>
  <c r="BX161" i="3"/>
  <c r="BX159" i="3"/>
  <c r="BK82" i="51"/>
  <c r="CE127" i="51"/>
  <c r="CE129" i="51" s="1"/>
  <c r="CK70" i="51"/>
  <c r="CE76" i="51"/>
  <c r="CK75" i="51"/>
  <c r="CE65" i="51"/>
  <c r="CE128" i="51" s="1"/>
  <c r="BR61" i="3"/>
  <c r="BR64" i="3" s="1"/>
  <c r="CK67" i="51"/>
  <c r="BO59" i="3"/>
  <c r="BI152" i="3"/>
  <c r="AW128" i="3"/>
  <c r="AW131" i="3" s="1"/>
  <c r="AW53" i="3" s="1"/>
  <c r="CD9" i="3"/>
  <c r="CD165" i="3" s="1"/>
  <c r="BY157" i="3"/>
  <c r="BY161" i="3"/>
  <c r="BY165" i="3"/>
  <c r="BY159" i="3"/>
  <c r="BW60" i="3"/>
  <c r="BW165" i="3"/>
  <c r="BW161" i="3"/>
  <c r="BW157" i="3"/>
  <c r="BW159" i="3"/>
  <c r="CI72" i="51"/>
  <c r="CI133" i="51" s="1"/>
  <c r="BI64" i="3"/>
  <c r="BQ14" i="3"/>
  <c r="BQ61" i="3"/>
  <c r="BQ64" i="3" s="1"/>
  <c r="W71" i="3"/>
  <c r="AB71" i="3"/>
  <c r="CJ68" i="51"/>
  <c r="CM54" i="51"/>
  <c r="BQ59" i="3"/>
  <c r="BQ91" i="51"/>
  <c r="CC123" i="51"/>
  <c r="CC129" i="51"/>
  <c r="BS130" i="51"/>
  <c r="BS132" i="51" s="1"/>
  <c r="BY126" i="51"/>
  <c r="BX126" i="51"/>
  <c r="BR130" i="51"/>
  <c r="BR132" i="51" s="1"/>
  <c r="BW129" i="51"/>
  <c r="BW123" i="51"/>
  <c r="BW74" i="51"/>
  <c r="BW133" i="51"/>
  <c r="CD65" i="51"/>
  <c r="CD8" i="3" s="1"/>
  <c r="CD67" i="51"/>
  <c r="CD69" i="51" s="1"/>
  <c r="CD76" i="51"/>
  <c r="CJ75" i="51"/>
  <c r="CD127" i="51"/>
  <c r="BQ130" i="51"/>
  <c r="BQ132" i="51" s="1"/>
  <c r="BW126" i="51"/>
  <c r="CC72" i="51"/>
  <c r="CM55" i="51"/>
  <c r="CM57" i="51"/>
  <c r="CM61" i="51"/>
  <c r="CE126" i="51"/>
  <c r="BY130" i="51"/>
  <c r="BX123" i="51"/>
  <c r="BX129" i="51"/>
  <c r="BW66" i="51"/>
  <c r="BW82" i="51"/>
  <c r="BW93" i="51"/>
  <c r="BW128" i="51"/>
  <c r="BW98" i="51"/>
  <c r="BX66" i="51"/>
  <c r="BX128" i="51"/>
  <c r="BX93" i="51"/>
  <c r="BX91" i="51" s="1"/>
  <c r="BX92" i="51" s="1"/>
  <c r="BX82" i="51"/>
  <c r="BX98" i="51"/>
  <c r="CI63" i="51"/>
  <c r="CC69" i="51"/>
  <c r="BW131" i="51"/>
  <c r="CJ67" i="51"/>
  <c r="CJ65" i="51"/>
  <c r="CJ76" i="51"/>
  <c r="CJ127" i="51"/>
  <c r="BQ80" i="51"/>
  <c r="BL134" i="51"/>
  <c r="CC66" i="51"/>
  <c r="CC128" i="51"/>
  <c r="CC98" i="51"/>
  <c r="CC93" i="51"/>
  <c r="CC82" i="51"/>
  <c r="CM58" i="51"/>
  <c r="BH162" i="3"/>
  <c r="BN62" i="3"/>
  <c r="BW8" i="3"/>
  <c r="BW63" i="3"/>
  <c r="BW62" i="3"/>
  <c r="CC9" i="3"/>
  <c r="BY60" i="3"/>
  <c r="BS63" i="3"/>
  <c r="BX14" i="3"/>
  <c r="BX59" i="3"/>
  <c r="BN41" i="3"/>
  <c r="BN66" i="3"/>
  <c r="BN112" i="3"/>
  <c r="BN42" i="3"/>
  <c r="BM46" i="3"/>
  <c r="BM48" i="3"/>
  <c r="BM105" i="3"/>
  <c r="BM113" i="3"/>
  <c r="BM67" i="3"/>
  <c r="AQ52" i="3"/>
  <c r="AQ127" i="3"/>
  <c r="BG119" i="3"/>
  <c r="BI118" i="3"/>
  <c r="BI40" i="3"/>
  <c r="BI65" i="3"/>
  <c r="BL102" i="3"/>
  <c r="BL112" i="3"/>
  <c r="BX63" i="3"/>
  <c r="BL105" i="3"/>
  <c r="BL113" i="3"/>
  <c r="BS59" i="3"/>
  <c r="BS14" i="3"/>
  <c r="BR13" i="3"/>
  <c r="BG162" i="3"/>
  <c r="BS26" i="3"/>
  <c r="BR136" i="3"/>
  <c r="AQ26" i="3"/>
  <c r="AQ164" i="106" s="1"/>
  <c r="AQ165" i="106" s="1"/>
  <c r="AQ166" i="106" s="1"/>
  <c r="AQ29" i="3"/>
  <c r="AQ31" i="3" s="1"/>
  <c r="AQ55" i="3"/>
  <c r="BM41" i="3"/>
  <c r="BM42" i="3"/>
  <c r="BM112" i="3"/>
  <c r="BM66" i="3"/>
  <c r="BC98" i="3"/>
  <c r="BI61" i="3"/>
  <c r="BI117" i="3"/>
  <c r="AA37" i="3"/>
  <c r="AA76" i="107" s="1"/>
  <c r="AA56" i="3"/>
  <c r="AA75" i="3"/>
  <c r="AA70" i="3"/>
  <c r="AG70" i="3"/>
  <c r="BC29" i="3"/>
  <c r="BC31" i="3" s="1"/>
  <c r="BC55" i="3"/>
  <c r="BC26" i="3"/>
  <c r="BC164" i="106" s="1"/>
  <c r="BC165" i="106" s="1"/>
  <c r="BC166" i="106" s="1"/>
  <c r="AE29" i="3"/>
  <c r="AE31" i="3" s="1"/>
  <c r="AE55" i="3"/>
  <c r="AE26" i="3"/>
  <c r="AE164" i="106" s="1"/>
  <c r="AE165" i="106" s="1"/>
  <c r="AE166" i="106" s="1"/>
  <c r="AJ71" i="3"/>
  <c r="AP71" i="3"/>
  <c r="AK25" i="3"/>
  <c r="AK50" i="3"/>
  <c r="AK95" i="3"/>
  <c r="AK98" i="3" s="1"/>
  <c r="AK68" i="3"/>
  <c r="AQ95" i="3"/>
  <c r="Y71" i="3"/>
  <c r="BC52" i="3"/>
  <c r="BC133" i="3"/>
  <c r="BC127" i="3"/>
  <c r="I71" i="3"/>
  <c r="O71" i="3"/>
  <c r="BC84" i="3"/>
  <c r="BC85" i="3"/>
  <c r="BC86" i="3" s="1"/>
  <c r="BI115" i="3" s="1"/>
  <c r="X71" i="3"/>
  <c r="AW37" i="3"/>
  <c r="AW56" i="3"/>
  <c r="AW75" i="3"/>
  <c r="AW110" i="106" s="1"/>
  <c r="AQ96" i="3"/>
  <c r="AW96" i="3"/>
  <c r="BY8" i="3"/>
  <c r="BY162" i="106" s="1"/>
  <c r="CJ143" i="51" l="1"/>
  <c r="CJ144" i="51" s="1"/>
  <c r="CJ147" i="51" s="1"/>
  <c r="BQ9" i="51"/>
  <c r="BQ10" i="51" s="1"/>
  <c r="BQ13" i="51" s="1"/>
  <c r="BI53" i="3"/>
  <c r="CK143" i="51"/>
  <c r="CK144" i="51" s="1"/>
  <c r="CK147" i="51" s="1"/>
  <c r="AW151" i="112"/>
  <c r="CF164" i="3"/>
  <c r="CA164" i="3"/>
  <c r="BR81" i="51"/>
  <c r="BR11" i="3" s="1"/>
  <c r="BR42" i="3" s="1"/>
  <c r="BS87" i="51"/>
  <c r="BX10" i="51"/>
  <c r="BX13" i="51" s="1"/>
  <c r="BA11" i="112" s="1"/>
  <c r="BA23" i="112" s="1"/>
  <c r="BS99" i="51"/>
  <c r="BS100" i="51" s="1"/>
  <c r="BY99" i="51"/>
  <c r="BY100" i="51" s="1"/>
  <c r="BY81" i="51"/>
  <c r="CE15" i="51"/>
  <c r="BY8" i="51"/>
  <c r="BY9" i="51" s="1"/>
  <c r="BY10" i="51" s="1"/>
  <c r="BY13" i="51" s="1"/>
  <c r="BB11" i="112" s="1"/>
  <c r="BB23" i="112" s="1"/>
  <c r="CC15" i="51"/>
  <c r="BW8" i="51"/>
  <c r="BW9" i="51" s="1"/>
  <c r="BW10" i="51" s="1"/>
  <c r="BW13" i="51" s="1"/>
  <c r="AZ11" i="112" s="1"/>
  <c r="BX80" i="51"/>
  <c r="BX81" i="51" s="1"/>
  <c r="BX11" i="3" s="1"/>
  <c r="CK80" i="51"/>
  <c r="CK81" i="51" s="1"/>
  <c r="BR99" i="51"/>
  <c r="BR104" i="51" s="1"/>
  <c r="AV132" i="3"/>
  <c r="AY132" i="3"/>
  <c r="CD159" i="3"/>
  <c r="CD161" i="3"/>
  <c r="CD157" i="3"/>
  <c r="CC157" i="3"/>
  <c r="CC159" i="3"/>
  <c r="CC161" i="3"/>
  <c r="CC165" i="3"/>
  <c r="CI142" i="51"/>
  <c r="CI143" i="51" s="1"/>
  <c r="CI144" i="51" s="1"/>
  <c r="CI147" i="51" s="1"/>
  <c r="CM156" i="51"/>
  <c r="CM149" i="51"/>
  <c r="CJ9" i="51"/>
  <c r="BW162" i="106"/>
  <c r="CD162" i="106"/>
  <c r="BC167" i="106"/>
  <c r="BC187" i="106"/>
  <c r="BC64" i="106" s="1"/>
  <c r="BC186" i="106"/>
  <c r="AE167" i="106"/>
  <c r="AE187" i="106"/>
  <c r="AE64" i="106" s="1"/>
  <c r="AE186" i="106"/>
  <c r="AQ186" i="106"/>
  <c r="AQ187" i="106"/>
  <c r="AQ64" i="106" s="1"/>
  <c r="AQ167" i="106"/>
  <c r="BS164" i="106"/>
  <c r="CE134" i="51"/>
  <c r="CD62" i="3"/>
  <c r="CD133" i="51"/>
  <c r="CD134" i="51" s="1"/>
  <c r="CD74" i="51"/>
  <c r="BY134" i="51"/>
  <c r="CD60" i="3"/>
  <c r="BY132" i="51"/>
  <c r="BY11" i="106"/>
  <c r="BY20" i="107" s="1"/>
  <c r="BX40" i="107"/>
  <c r="BS40" i="107"/>
  <c r="BO40" i="107"/>
  <c r="CJ72" i="51"/>
  <c r="CJ133" i="51" s="1"/>
  <c r="CK72" i="51"/>
  <c r="CK133" i="51" s="1"/>
  <c r="CK134" i="51" s="1"/>
  <c r="CK69" i="51"/>
  <c r="CC11" i="51"/>
  <c r="CD131" i="51"/>
  <c r="CD11" i="51"/>
  <c r="CE131" i="51"/>
  <c r="CE11" i="51"/>
  <c r="CD9" i="51"/>
  <c r="Y113" i="106"/>
  <c r="M113" i="106"/>
  <c r="AM144" i="112"/>
  <c r="BH163" i="3"/>
  <c r="CD11" i="106"/>
  <c r="AM146" i="112"/>
  <c r="S113" i="106"/>
  <c r="BR158" i="107"/>
  <c r="BR22" i="107"/>
  <c r="BQ22" i="107"/>
  <c r="BQ120" i="106"/>
  <c r="BR20" i="107"/>
  <c r="BQ20" i="107"/>
  <c r="CD121" i="106"/>
  <c r="CD31" i="107" s="1"/>
  <c r="CD13" i="106"/>
  <c r="BY121" i="106"/>
  <c r="BY31" i="107" s="1"/>
  <c r="BY13" i="106"/>
  <c r="BR27" i="106"/>
  <c r="BW121" i="106"/>
  <c r="BW13" i="106"/>
  <c r="BX22" i="107" s="1"/>
  <c r="BW11" i="106"/>
  <c r="BQ31" i="107"/>
  <c r="AA76" i="3"/>
  <c r="AA110" i="106"/>
  <c r="AA113" i="106" s="1"/>
  <c r="AE113" i="106" s="1"/>
  <c r="BM157" i="107"/>
  <c r="BM159" i="107" s="1"/>
  <c r="BM160" i="107" s="1"/>
  <c r="AC71" i="3"/>
  <c r="AC76" i="107"/>
  <c r="AI136" i="3"/>
  <c r="BI82" i="106"/>
  <c r="M76" i="3"/>
  <c r="M110" i="106"/>
  <c r="AN136" i="3"/>
  <c r="M71" i="3"/>
  <c r="M76" i="107"/>
  <c r="BZ82" i="106"/>
  <c r="BN157" i="107"/>
  <c r="AQ62" i="106"/>
  <c r="AQ63" i="106"/>
  <c r="BS82" i="106"/>
  <c r="AJ136" i="3"/>
  <c r="AM136" i="3"/>
  <c r="AW76" i="107"/>
  <c r="AE62" i="106"/>
  <c r="AE63" i="106"/>
  <c r="BI76" i="107"/>
  <c r="AW136" i="3"/>
  <c r="G113" i="106"/>
  <c r="BC62" i="106"/>
  <c r="BC63" i="106"/>
  <c r="BI75" i="3"/>
  <c r="BI110" i="106" s="1"/>
  <c r="BM102" i="3"/>
  <c r="BN102" i="3"/>
  <c r="BS28" i="3"/>
  <c r="S71" i="3"/>
  <c r="BM51" i="3"/>
  <c r="BM153" i="3" s="1"/>
  <c r="BM68" i="3"/>
  <c r="CK98" i="51"/>
  <c r="CK93" i="51"/>
  <c r="CK91" i="51" s="1"/>
  <c r="CK92" i="51" s="1"/>
  <c r="CK128" i="51"/>
  <c r="AW132" i="3"/>
  <c r="CK66" i="51"/>
  <c r="AI71" i="3"/>
  <c r="CK129" i="51"/>
  <c r="CE123" i="51"/>
  <c r="CK130" i="51" s="1"/>
  <c r="BX61" i="3"/>
  <c r="BX64" i="3" s="1"/>
  <c r="CE98" i="51"/>
  <c r="CE82" i="51"/>
  <c r="CE93" i="51"/>
  <c r="CE91" i="51" s="1"/>
  <c r="CE92" i="51" s="1"/>
  <c r="CE66" i="51"/>
  <c r="CJ69" i="51"/>
  <c r="BK83" i="51"/>
  <c r="CI74" i="51"/>
  <c r="BC128" i="3"/>
  <c r="BC131" i="3" s="1"/>
  <c r="BC132" i="3" s="1"/>
  <c r="AW70" i="3"/>
  <c r="BG163" i="3"/>
  <c r="AQ128" i="3"/>
  <c r="BW61" i="3"/>
  <c r="BW64" i="3" s="1"/>
  <c r="BH166" i="3"/>
  <c r="BW59" i="3"/>
  <c r="BW14" i="3"/>
  <c r="BK105" i="3"/>
  <c r="BK107" i="3" s="1"/>
  <c r="BK108" i="3" s="1"/>
  <c r="BX130" i="51"/>
  <c r="BX132" i="51" s="1"/>
  <c r="CD126" i="51"/>
  <c r="CC130" i="51"/>
  <c r="CI126" i="51"/>
  <c r="CI67" i="51"/>
  <c r="CI69" i="51" s="1"/>
  <c r="CI65" i="51"/>
  <c r="CI76" i="51"/>
  <c r="CI127" i="51"/>
  <c r="BW91" i="51"/>
  <c r="BQ92" i="51"/>
  <c r="CD66" i="51"/>
  <c r="CD82" i="51"/>
  <c r="CD93" i="51"/>
  <c r="CD91" i="51" s="1"/>
  <c r="CD92" i="51" s="1"/>
  <c r="CD98" i="51"/>
  <c r="CD128" i="51"/>
  <c r="CJ129" i="51"/>
  <c r="CJ123" i="51"/>
  <c r="CC80" i="51"/>
  <c r="CJ66" i="51"/>
  <c r="CJ82" i="51"/>
  <c r="CJ93" i="51"/>
  <c r="CJ91" i="51" s="1"/>
  <c r="CJ92" i="51" s="1"/>
  <c r="CJ128" i="51"/>
  <c r="CJ98" i="51"/>
  <c r="CC74" i="51"/>
  <c r="CC133" i="51"/>
  <c r="CD129" i="51"/>
  <c r="CD123" i="51"/>
  <c r="BW134" i="51"/>
  <c r="CC91" i="51"/>
  <c r="CC131" i="51"/>
  <c r="BW80" i="51"/>
  <c r="BQ81" i="51"/>
  <c r="BQ99" i="51"/>
  <c r="BQ87" i="51"/>
  <c r="BW130" i="51"/>
  <c r="BW132" i="51" s="1"/>
  <c r="CC126" i="51"/>
  <c r="CE62" i="3"/>
  <c r="BK67" i="3"/>
  <c r="BK113" i="3"/>
  <c r="BK116" i="3" s="1"/>
  <c r="BQ13" i="3"/>
  <c r="CC63" i="3"/>
  <c r="CC8" i="3"/>
  <c r="CC162" i="106" s="1"/>
  <c r="CC62" i="3"/>
  <c r="BM40" i="3"/>
  <c r="BM65" i="3"/>
  <c r="BM118" i="3"/>
  <c r="BX13" i="3"/>
  <c r="BN65" i="3"/>
  <c r="BN40" i="3"/>
  <c r="BN118" i="3"/>
  <c r="BN103" i="3"/>
  <c r="BN104" i="3" s="1"/>
  <c r="BN43" i="3"/>
  <c r="BF162" i="3"/>
  <c r="BI119" i="3"/>
  <c r="BN115" i="3"/>
  <c r="BY63" i="3"/>
  <c r="BY61" i="3" s="1"/>
  <c r="BY64" i="3" s="1"/>
  <c r="BS13" i="3"/>
  <c r="BS61" i="3"/>
  <c r="AQ56" i="3"/>
  <c r="AQ75" i="3"/>
  <c r="AQ110" i="106" s="1"/>
  <c r="AQ37" i="3"/>
  <c r="BR66" i="3"/>
  <c r="BM114" i="3"/>
  <c r="BM151" i="3"/>
  <c r="BM54" i="3"/>
  <c r="BM47" i="3"/>
  <c r="BM50" i="3"/>
  <c r="CC60" i="3"/>
  <c r="BR46" i="3"/>
  <c r="BR48" i="3"/>
  <c r="BR105" i="3"/>
  <c r="BR67" i="3"/>
  <c r="BR113" i="3"/>
  <c r="BR116" i="3" s="1"/>
  <c r="BL118" i="3"/>
  <c r="BM116" i="3"/>
  <c r="BL116" i="3"/>
  <c r="CE9" i="3"/>
  <c r="CD63" i="3"/>
  <c r="BM43" i="3"/>
  <c r="BM103" i="3"/>
  <c r="BM104" i="3" s="1"/>
  <c r="BL103" i="3"/>
  <c r="BL104" i="3" s="1"/>
  <c r="BM115" i="3"/>
  <c r="BG166" i="3"/>
  <c r="BL114" i="3"/>
  <c r="BL151" i="3"/>
  <c r="BL153" i="3"/>
  <c r="BL152" i="3"/>
  <c r="BM107" i="3"/>
  <c r="BM108" i="3" s="1"/>
  <c r="BS106" i="3"/>
  <c r="BY59" i="3"/>
  <c r="BY14" i="3"/>
  <c r="CD59" i="3"/>
  <c r="CD14" i="3"/>
  <c r="BT26" i="3"/>
  <c r="BS136" i="3"/>
  <c r="BL107" i="3"/>
  <c r="BL108" i="3" s="1"/>
  <c r="BR106" i="3"/>
  <c r="BL115" i="3"/>
  <c r="BC37" i="3"/>
  <c r="BC75" i="3"/>
  <c r="BC110" i="106" s="1"/>
  <c r="BC56" i="3"/>
  <c r="BC70" i="3"/>
  <c r="BI70" i="3"/>
  <c r="AE37" i="3"/>
  <c r="AE56" i="3"/>
  <c r="AE70" i="3"/>
  <c r="AE75" i="3"/>
  <c r="AW76" i="3"/>
  <c r="AW141" i="3"/>
  <c r="AK29" i="3"/>
  <c r="AK31" i="3" s="1"/>
  <c r="AK55" i="3"/>
  <c r="AK26" i="3"/>
  <c r="AK164" i="106" s="1"/>
  <c r="AK165" i="106" s="1"/>
  <c r="AK166" i="106" s="1"/>
  <c r="AQ98" i="3"/>
  <c r="AW98" i="3"/>
  <c r="AA71" i="3"/>
  <c r="AG71" i="3"/>
  <c r="AV11" i="112" l="1"/>
  <c r="AV23" i="112" s="1"/>
  <c r="CG164" i="3"/>
  <c r="AX151" i="112"/>
  <c r="BR10" i="3"/>
  <c r="BR157" i="107" s="1"/>
  <c r="BR159" i="107" s="1"/>
  <c r="BR160" i="107" s="1"/>
  <c r="BR14" i="107" s="1"/>
  <c r="BR18" i="3"/>
  <c r="BR112" i="3"/>
  <c r="BR115" i="3" s="1"/>
  <c r="BR41" i="3"/>
  <c r="AZ23" i="112"/>
  <c r="BY104" i="51"/>
  <c r="BS104" i="51"/>
  <c r="BR100" i="51"/>
  <c r="CK87" i="51"/>
  <c r="BX87" i="51"/>
  <c r="CK15" i="51"/>
  <c r="CK8" i="51" s="1"/>
  <c r="CE8" i="51"/>
  <c r="CE9" i="51" s="1"/>
  <c r="CE10" i="51" s="1"/>
  <c r="CE13" i="51" s="1"/>
  <c r="BX99" i="51"/>
  <c r="BX104" i="51" s="1"/>
  <c r="CI15" i="51"/>
  <c r="CI8" i="51" s="1"/>
  <c r="CC8" i="51"/>
  <c r="CC9" i="51" s="1"/>
  <c r="CC10" i="51" s="1"/>
  <c r="CC13" i="51" s="1"/>
  <c r="CD80" i="51"/>
  <c r="CD81" i="51" s="1"/>
  <c r="CD11" i="3" s="1"/>
  <c r="CJ80" i="51"/>
  <c r="CJ87" i="51" s="1"/>
  <c r="CE80" i="51"/>
  <c r="CE81" i="51" s="1"/>
  <c r="CE161" i="3"/>
  <c r="CE159" i="3"/>
  <c r="CE157" i="3"/>
  <c r="CE165" i="3"/>
  <c r="BX20" i="107"/>
  <c r="AK187" i="106"/>
  <c r="AK64" i="106" s="1"/>
  <c r="AK186" i="106"/>
  <c r="AK167" i="106"/>
  <c r="BT164" i="106"/>
  <c r="CJ134" i="51"/>
  <c r="CK131" i="51"/>
  <c r="CK132" i="51" s="1"/>
  <c r="CD61" i="3"/>
  <c r="CD64" i="3" s="1"/>
  <c r="CK11" i="51"/>
  <c r="CK74" i="51"/>
  <c r="BY40" i="107"/>
  <c r="CJ74" i="51"/>
  <c r="CD10" i="51"/>
  <c r="CD13" i="51" s="1"/>
  <c r="CI11" i="51"/>
  <c r="CJ131" i="51"/>
  <c r="CJ11" i="51"/>
  <c r="CJ10" i="51" s="1"/>
  <c r="CJ13" i="51" s="1"/>
  <c r="AO144" i="112"/>
  <c r="AO145" i="112"/>
  <c r="CD40" i="107"/>
  <c r="AP145" i="112"/>
  <c r="BX158" i="107"/>
  <c r="BQ105" i="3"/>
  <c r="BW105" i="3" s="1"/>
  <c r="BQ158" i="107"/>
  <c r="BX27" i="106"/>
  <c r="BW31" i="107"/>
  <c r="BS158" i="107"/>
  <c r="CC59" i="3"/>
  <c r="CC121" i="106"/>
  <c r="CC13" i="106"/>
  <c r="CC11" i="106"/>
  <c r="BS27" i="106"/>
  <c r="BS24" i="107" s="1"/>
  <c r="BQ40" i="107"/>
  <c r="BQ126" i="106"/>
  <c r="BU120" i="106"/>
  <c r="BQ129" i="106"/>
  <c r="BQ27" i="106"/>
  <c r="BY22" i="107"/>
  <c r="BN16" i="3"/>
  <c r="AE76" i="107"/>
  <c r="AE76" i="3"/>
  <c r="AE110" i="106"/>
  <c r="AQ76" i="107"/>
  <c r="AG136" i="3"/>
  <c r="BY82" i="106"/>
  <c r="AQ136" i="3"/>
  <c r="BO21" i="107"/>
  <c r="BO12" i="106"/>
  <c r="CF82" i="106"/>
  <c r="AH136" i="3"/>
  <c r="BM19" i="107"/>
  <c r="AK62" i="106"/>
  <c r="AK63" i="106"/>
  <c r="BR12" i="106"/>
  <c r="BO26" i="106"/>
  <c r="BO23" i="107"/>
  <c r="BC76" i="107"/>
  <c r="BT28" i="3"/>
  <c r="BI76" i="3"/>
  <c r="BI141" i="3"/>
  <c r="BM152" i="3"/>
  <c r="CK99" i="51"/>
  <c r="CK100" i="51" s="1"/>
  <c r="BC53" i="3"/>
  <c r="CE130" i="51"/>
  <c r="CE132" i="51" s="1"/>
  <c r="CK126" i="51"/>
  <c r="AE71" i="3"/>
  <c r="AW71" i="3"/>
  <c r="BF163" i="3"/>
  <c r="BQ48" i="3"/>
  <c r="CC61" i="3"/>
  <c r="CC64" i="3" s="1"/>
  <c r="BQ113" i="3"/>
  <c r="BQ116" i="3" s="1"/>
  <c r="BQ106" i="3"/>
  <c r="AP143" i="112"/>
  <c r="BQ67" i="3"/>
  <c r="AO143" i="112"/>
  <c r="BH167" i="3"/>
  <c r="BK66" i="3"/>
  <c r="BQ46" i="3"/>
  <c r="BK112" i="3"/>
  <c r="BK115" i="3" s="1"/>
  <c r="BK102" i="3"/>
  <c r="CI123" i="51"/>
  <c r="CI129" i="51"/>
  <c r="CC134" i="51"/>
  <c r="BW92" i="51"/>
  <c r="CC81" i="51"/>
  <c r="CC87" i="51"/>
  <c r="CC99" i="51"/>
  <c r="CC132" i="51"/>
  <c r="CC92" i="51"/>
  <c r="CI134" i="51"/>
  <c r="BQ100" i="51"/>
  <c r="BQ104" i="51"/>
  <c r="CJ130" i="51"/>
  <c r="CD130" i="51"/>
  <c r="CD132" i="51" s="1"/>
  <c r="CJ126" i="51"/>
  <c r="CI66" i="51"/>
  <c r="CI93" i="51"/>
  <c r="CI82" i="51"/>
  <c r="CI98" i="51"/>
  <c r="CI128" i="51"/>
  <c r="BW81" i="51"/>
  <c r="BW99" i="51"/>
  <c r="BW87" i="51"/>
  <c r="CI131" i="51"/>
  <c r="BS11" i="3"/>
  <c r="BY11" i="3"/>
  <c r="CE8" i="3"/>
  <c r="CE162" i="106" s="1"/>
  <c r="CC14" i="3"/>
  <c r="BQ11" i="3"/>
  <c r="BW13" i="3"/>
  <c r="BW27" i="106" s="1"/>
  <c r="CD13" i="3"/>
  <c r="CD27" i="106" s="1"/>
  <c r="BL117" i="3"/>
  <c r="BX105" i="3"/>
  <c r="BR107" i="3"/>
  <c r="BR108" i="3" s="1"/>
  <c r="BR65" i="3"/>
  <c r="BN119" i="3"/>
  <c r="BY13" i="3"/>
  <c r="BG167" i="3"/>
  <c r="BL119" i="3"/>
  <c r="BM119" i="3"/>
  <c r="BW26" i="3"/>
  <c r="BT136" i="3"/>
  <c r="AQ76" i="3"/>
  <c r="AQ141" i="3"/>
  <c r="BS48" i="3"/>
  <c r="BS46" i="3"/>
  <c r="BS105" i="3"/>
  <c r="BS67" i="3"/>
  <c r="BS113" i="3"/>
  <c r="BS116" i="3" s="1"/>
  <c r="BF166" i="3"/>
  <c r="BX113" i="3"/>
  <c r="BX116" i="3" s="1"/>
  <c r="BX67" i="3"/>
  <c r="BX46" i="3"/>
  <c r="BX48" i="3"/>
  <c r="BX41" i="3"/>
  <c r="BX42" i="3"/>
  <c r="BX66" i="3"/>
  <c r="BX112" i="3"/>
  <c r="BX18" i="3"/>
  <c r="BX10" i="3"/>
  <c r="BM117" i="3"/>
  <c r="CE63" i="3"/>
  <c r="CE60" i="3"/>
  <c r="BR43" i="3"/>
  <c r="BR103" i="3"/>
  <c r="BR104" i="3" s="1"/>
  <c r="BM52" i="3"/>
  <c r="BS64" i="3"/>
  <c r="BC76" i="3"/>
  <c r="BC141" i="3"/>
  <c r="BC71" i="3"/>
  <c r="BI71" i="3"/>
  <c r="AK37" i="3"/>
  <c r="AK70" i="3"/>
  <c r="AK75" i="3"/>
  <c r="AK56" i="3"/>
  <c r="AQ70" i="3"/>
  <c r="BR163" i="106" l="1"/>
  <c r="BR165" i="106" s="1"/>
  <c r="BR166" i="106" s="1"/>
  <c r="BR167" i="106" s="1"/>
  <c r="BR118" i="3"/>
  <c r="BR119" i="3" s="1"/>
  <c r="BR114" i="3"/>
  <c r="BR117" i="3" s="1"/>
  <c r="BR40" i="3"/>
  <c r="BR26" i="106"/>
  <c r="BR50" i="3"/>
  <c r="BR47" i="3"/>
  <c r="BR52" i="3" s="1"/>
  <c r="BR151" i="3"/>
  <c r="BX115" i="3"/>
  <c r="BR68" i="3"/>
  <c r="AY151" i="112"/>
  <c r="BR51" i="3"/>
  <c r="BR153" i="3" s="1"/>
  <c r="BR54" i="3"/>
  <c r="BR102" i="3"/>
  <c r="CD87" i="51"/>
  <c r="BX100" i="51"/>
  <c r="CE87" i="51"/>
  <c r="CE99" i="51"/>
  <c r="CE100" i="51" s="1"/>
  <c r="CJ81" i="51"/>
  <c r="CK9" i="51"/>
  <c r="CK10" i="51" s="1"/>
  <c r="CK13" i="51" s="1"/>
  <c r="CD99" i="51"/>
  <c r="CD104" i="51" s="1"/>
  <c r="CI9" i="51"/>
  <c r="CI10" i="51" s="1"/>
  <c r="CI13" i="51" s="1"/>
  <c r="CJ99" i="51"/>
  <c r="CJ100" i="51" s="1"/>
  <c r="BX163" i="106"/>
  <c r="BW164" i="106"/>
  <c r="BX102" i="3"/>
  <c r="CJ132" i="51"/>
  <c r="BX24" i="107"/>
  <c r="BO11" i="107"/>
  <c r="BO16" i="3" s="1"/>
  <c r="BQ107" i="3"/>
  <c r="BQ108" i="3" s="1"/>
  <c r="AP144" i="112"/>
  <c r="CD20" i="107"/>
  <c r="CD22" i="107"/>
  <c r="CD158" i="107"/>
  <c r="BR120" i="106"/>
  <c r="BW158" i="107"/>
  <c r="CE59" i="3"/>
  <c r="CE121" i="106"/>
  <c r="CE31" i="107" s="1"/>
  <c r="CE13" i="106"/>
  <c r="CE11" i="106"/>
  <c r="BR24" i="107"/>
  <c r="CC31" i="107"/>
  <c r="BO17" i="106"/>
  <c r="BY158" i="107"/>
  <c r="BY27" i="106"/>
  <c r="BY24" i="107" s="1"/>
  <c r="BQ11" i="107"/>
  <c r="BW40" i="107"/>
  <c r="BM109" i="106"/>
  <c r="AK76" i="107"/>
  <c r="AK136" i="3"/>
  <c r="CE82" i="106"/>
  <c r="AK76" i="3"/>
  <c r="AK110" i="106"/>
  <c r="BX157" i="107"/>
  <c r="BX159" i="107" s="1"/>
  <c r="BX160" i="107" s="1"/>
  <c r="BX14" i="107" s="1"/>
  <c r="BX12" i="106"/>
  <c r="BX26" i="106"/>
  <c r="BQ66" i="3"/>
  <c r="BX68" i="3"/>
  <c r="BU28" i="3"/>
  <c r="BW28" i="3"/>
  <c r="CK104" i="51"/>
  <c r="BX51" i="3"/>
  <c r="BX153" i="3" s="1"/>
  <c r="BO41" i="3"/>
  <c r="BO112" i="3"/>
  <c r="BO115" i="3" s="1"/>
  <c r="BO42" i="3"/>
  <c r="BO103" i="3" s="1"/>
  <c r="BO104" i="3" s="1"/>
  <c r="BO66" i="3"/>
  <c r="BK114" i="3"/>
  <c r="BK117" i="3" s="1"/>
  <c r="BK151" i="3"/>
  <c r="BK118" i="3"/>
  <c r="BK119" i="3" s="1"/>
  <c r="BQ42" i="3"/>
  <c r="BQ43" i="3" s="1"/>
  <c r="BK153" i="3"/>
  <c r="BW67" i="3"/>
  <c r="BQ10" i="3"/>
  <c r="BS41" i="3"/>
  <c r="BS18" i="3"/>
  <c r="BK103" i="3"/>
  <c r="BK104" i="3" s="1"/>
  <c r="CI91" i="51"/>
  <c r="CI80" i="51"/>
  <c r="BW100" i="51"/>
  <c r="BW104" i="51"/>
  <c r="CC100" i="51"/>
  <c r="CC104" i="51"/>
  <c r="CI130" i="51"/>
  <c r="CI132" i="51" s="1"/>
  <c r="BS10" i="3"/>
  <c r="BQ112" i="3"/>
  <c r="BQ115" i="3" s="1"/>
  <c r="BW46" i="3"/>
  <c r="BK65" i="3"/>
  <c r="BS112" i="3"/>
  <c r="BQ41" i="3"/>
  <c r="BW113" i="3"/>
  <c r="BW116" i="3" s="1"/>
  <c r="BS66" i="3"/>
  <c r="BW48" i="3"/>
  <c r="BS42" i="3"/>
  <c r="BS43" i="3" s="1"/>
  <c r="BQ18" i="3"/>
  <c r="CE14" i="3"/>
  <c r="CC13" i="3"/>
  <c r="BW11" i="3"/>
  <c r="CE13" i="3"/>
  <c r="CE61" i="3"/>
  <c r="BL154" i="3"/>
  <c r="BM53" i="3"/>
  <c r="BM154" i="3"/>
  <c r="BX26" i="3"/>
  <c r="BW136" i="3"/>
  <c r="CD67" i="3"/>
  <c r="CD113" i="3"/>
  <c r="CD116" i="3" s="1"/>
  <c r="CD46" i="3"/>
  <c r="CD48" i="3"/>
  <c r="BW107" i="3"/>
  <c r="CC105" i="3"/>
  <c r="CC107" i="3" s="1"/>
  <c r="BY46" i="3"/>
  <c r="BY48" i="3"/>
  <c r="BY113" i="3"/>
  <c r="BY67" i="3"/>
  <c r="BY42" i="3"/>
  <c r="BY18" i="3"/>
  <c r="BY41" i="3"/>
  <c r="BY112" i="3"/>
  <c r="BY66" i="3"/>
  <c r="BY10" i="3"/>
  <c r="BX40" i="3"/>
  <c r="BX65" i="3"/>
  <c r="BX118" i="3"/>
  <c r="BY105" i="3"/>
  <c r="BS107" i="3"/>
  <c r="BS108" i="3" s="1"/>
  <c r="BX107" i="3"/>
  <c r="BX108" i="3" s="1"/>
  <c r="CD105" i="3"/>
  <c r="CD107" i="3" s="1"/>
  <c r="CD41" i="3"/>
  <c r="CD42" i="3"/>
  <c r="CD66" i="3"/>
  <c r="CD112" i="3"/>
  <c r="CD115" i="3" s="1"/>
  <c r="CD18" i="3"/>
  <c r="CD10" i="3"/>
  <c r="BF167" i="3"/>
  <c r="BX103" i="3"/>
  <c r="BX104" i="3" s="1"/>
  <c r="BX43" i="3"/>
  <c r="BX47" i="3"/>
  <c r="BX114" i="3"/>
  <c r="BX151" i="3"/>
  <c r="BX54" i="3"/>
  <c r="BX50" i="3"/>
  <c r="AK71" i="3"/>
  <c r="AQ71" i="3"/>
  <c r="CE11" i="3"/>
  <c r="AT143" i="112" l="1"/>
  <c r="BR152" i="3"/>
  <c r="AT145" i="112"/>
  <c r="CE104" i="51"/>
  <c r="CD100" i="51"/>
  <c r="CJ104" i="51"/>
  <c r="BX164" i="106"/>
  <c r="BX165" i="106" s="1"/>
  <c r="BX166" i="106" s="1"/>
  <c r="BX167" i="106" s="1"/>
  <c r="BS163" i="106"/>
  <c r="CD163" i="106"/>
  <c r="BY163" i="106"/>
  <c r="BQ163" i="106"/>
  <c r="BQ165" i="106" s="1"/>
  <c r="BQ166" i="106" s="1"/>
  <c r="BQ167" i="106" s="1"/>
  <c r="CD102" i="3"/>
  <c r="BX152" i="3"/>
  <c r="BY102" i="3"/>
  <c r="BQ16" i="3"/>
  <c r="BS102" i="3"/>
  <c r="BQ102" i="3"/>
  <c r="BW108" i="3"/>
  <c r="AN143" i="112"/>
  <c r="AN145" i="112"/>
  <c r="CE20" i="107"/>
  <c r="CE40" i="107"/>
  <c r="CE158" i="107"/>
  <c r="CC67" i="3"/>
  <c r="CC158" i="107"/>
  <c r="CC40" i="107"/>
  <c r="BR129" i="106"/>
  <c r="BR126" i="106"/>
  <c r="CC27" i="106"/>
  <c r="CE27" i="106"/>
  <c r="BQ128" i="106"/>
  <c r="CE22" i="107"/>
  <c r="BO157" i="107"/>
  <c r="BO81" i="106"/>
  <c r="BO80" i="106"/>
  <c r="BY157" i="107"/>
  <c r="BY159" i="107" s="1"/>
  <c r="BY160" i="107" s="1"/>
  <c r="BY14" i="107" s="1"/>
  <c r="BY12" i="106"/>
  <c r="BY21" i="107" s="1"/>
  <c r="BY26" i="106"/>
  <c r="BY23" i="107" s="1"/>
  <c r="BQ157" i="107"/>
  <c r="BQ159" i="107" s="1"/>
  <c r="BQ160" i="107" s="1"/>
  <c r="BQ12" i="106"/>
  <c r="BQ26" i="106"/>
  <c r="CD157" i="107"/>
  <c r="CD159" i="107" s="1"/>
  <c r="CD160" i="107" s="1"/>
  <c r="CD14" i="107" s="1"/>
  <c r="CD12" i="106"/>
  <c r="CD26" i="106"/>
  <c r="BS157" i="107"/>
  <c r="BS159" i="107" s="1"/>
  <c r="BS160" i="107" s="1"/>
  <c r="BS14" i="107" s="1"/>
  <c r="BS12" i="106"/>
  <c r="BS26" i="106"/>
  <c r="BS23" i="107" s="1"/>
  <c r="BS68" i="3"/>
  <c r="BQ68" i="3"/>
  <c r="BO102" i="3"/>
  <c r="BX28" i="3"/>
  <c r="BO65" i="3"/>
  <c r="BY68" i="3"/>
  <c r="CD51" i="3"/>
  <c r="CD153" i="3" s="1"/>
  <c r="CD68" i="3"/>
  <c r="BQ151" i="3"/>
  <c r="BQ51" i="3"/>
  <c r="BQ153" i="3" s="1"/>
  <c r="BS51" i="3"/>
  <c r="BS153" i="3" s="1"/>
  <c r="BY51" i="3"/>
  <c r="BY153" i="3" s="1"/>
  <c r="BO43" i="3"/>
  <c r="BK152" i="3"/>
  <c r="AO146" i="112"/>
  <c r="BL155" i="3"/>
  <c r="AP146" i="112"/>
  <c r="BM155" i="3"/>
  <c r="BS151" i="3"/>
  <c r="AU143" i="112" s="1"/>
  <c r="BQ103" i="3"/>
  <c r="BQ104" i="3" s="1"/>
  <c r="BW42" i="3"/>
  <c r="BW43" i="3" s="1"/>
  <c r="BQ47" i="3"/>
  <c r="BQ52" i="3" s="1"/>
  <c r="BQ40" i="3"/>
  <c r="BK154" i="3"/>
  <c r="BS54" i="3"/>
  <c r="BS47" i="3"/>
  <c r="BS52" i="3" s="1"/>
  <c r="BS154" i="3" s="1"/>
  <c r="AU146" i="112" s="1"/>
  <c r="BQ118" i="3"/>
  <c r="BQ119" i="3" s="1"/>
  <c r="BW66" i="3"/>
  <c r="BQ65" i="3"/>
  <c r="BW41" i="3"/>
  <c r="BO40" i="3"/>
  <c r="BS114" i="3"/>
  <c r="BS117" i="3" s="1"/>
  <c r="BW18" i="3"/>
  <c r="BQ50" i="3"/>
  <c r="BO118" i="3"/>
  <c r="BO119" i="3" s="1"/>
  <c r="BW10" i="3"/>
  <c r="BW112" i="3"/>
  <c r="BW115" i="3" s="1"/>
  <c r="BS40" i="3"/>
  <c r="BQ54" i="3"/>
  <c r="BS50" i="3"/>
  <c r="BY115" i="3"/>
  <c r="BS118" i="3"/>
  <c r="BS119" i="3" s="1"/>
  <c r="BQ114" i="3"/>
  <c r="BQ117" i="3" s="1"/>
  <c r="CC46" i="3"/>
  <c r="CI92" i="51"/>
  <c r="CI81" i="51"/>
  <c r="CI99" i="51"/>
  <c r="CI87" i="51"/>
  <c r="CC48" i="3"/>
  <c r="BS103" i="3"/>
  <c r="BS104" i="3" s="1"/>
  <c r="BS65" i="3"/>
  <c r="CC113" i="3"/>
  <c r="CC116" i="3" s="1"/>
  <c r="BS115" i="3"/>
  <c r="CC108" i="3"/>
  <c r="BX52" i="3"/>
  <c r="BX154" i="3" s="1"/>
  <c r="CC11" i="3"/>
  <c r="CD43" i="3"/>
  <c r="CD103" i="3"/>
  <c r="CD104" i="3" s="1"/>
  <c r="BR154" i="3"/>
  <c r="AT146" i="112" s="1"/>
  <c r="BR53" i="3"/>
  <c r="BY65" i="3"/>
  <c r="BY40" i="3"/>
  <c r="BY118" i="3"/>
  <c r="CE64" i="3"/>
  <c r="CD40" i="3"/>
  <c r="CD65" i="3"/>
  <c r="CD118" i="3"/>
  <c r="CD119" i="3" s="1"/>
  <c r="CD108" i="3"/>
  <c r="BX119" i="3"/>
  <c r="BY43" i="3"/>
  <c r="BY103" i="3"/>
  <c r="BY104" i="3" s="1"/>
  <c r="BY107" i="3"/>
  <c r="BY108" i="3" s="1"/>
  <c r="CE105" i="3"/>
  <c r="CE107" i="3" s="1"/>
  <c r="CE41" i="3"/>
  <c r="CE112" i="3"/>
  <c r="CE115" i="3" s="1"/>
  <c r="CE18" i="3"/>
  <c r="CE42" i="3"/>
  <c r="CE66" i="3"/>
  <c r="CE10" i="3"/>
  <c r="CD50" i="3"/>
  <c r="CD54" i="3"/>
  <c r="CD47" i="3"/>
  <c r="CD114" i="3"/>
  <c r="CD117" i="3" s="1"/>
  <c r="CD151" i="3"/>
  <c r="BY116" i="3"/>
  <c r="BX117" i="3"/>
  <c r="BY26" i="3"/>
  <c r="BX136" i="3"/>
  <c r="CE48" i="3"/>
  <c r="CE67" i="3"/>
  <c r="CE113" i="3"/>
  <c r="CE116" i="3" s="1"/>
  <c r="CE46" i="3"/>
  <c r="BY47" i="3"/>
  <c r="BY54" i="3"/>
  <c r="BY114" i="3"/>
  <c r="BY50" i="3"/>
  <c r="BY151" i="3"/>
  <c r="AT144" i="112" l="1"/>
  <c r="BY164" i="106"/>
  <c r="BY165" i="106" s="1"/>
  <c r="BY166" i="106" s="1"/>
  <c r="BY167" i="106" s="1"/>
  <c r="CE163" i="106"/>
  <c r="BW163" i="106"/>
  <c r="BW165" i="106" s="1"/>
  <c r="BW166" i="106" s="1"/>
  <c r="BW167" i="106" s="1"/>
  <c r="BS165" i="106"/>
  <c r="BS166" i="106" s="1"/>
  <c r="BS167" i="106" s="1"/>
  <c r="CD152" i="3"/>
  <c r="BW102" i="3"/>
  <c r="BY152" i="3"/>
  <c r="CE102" i="3"/>
  <c r="AS145" i="112"/>
  <c r="AS143" i="112"/>
  <c r="AU145" i="112"/>
  <c r="BS152" i="3"/>
  <c r="BQ152" i="3"/>
  <c r="AN144" i="112"/>
  <c r="CC18" i="3"/>
  <c r="BR155" i="3"/>
  <c r="BS155" i="3"/>
  <c r="CD24" i="107"/>
  <c r="CE24" i="107"/>
  <c r="BO82" i="106"/>
  <c r="BS120" i="106"/>
  <c r="BR11" i="107"/>
  <c r="BR16" i="3" s="1"/>
  <c r="BQ132" i="106"/>
  <c r="BU128" i="106"/>
  <c r="BR21" i="107"/>
  <c r="BQ21" i="107"/>
  <c r="BW157" i="107"/>
  <c r="BW159" i="107" s="1"/>
  <c r="BW160" i="107" s="1"/>
  <c r="BW12" i="106"/>
  <c r="BW26" i="106"/>
  <c r="BS21" i="107"/>
  <c r="BS19" i="107" s="1"/>
  <c r="BQ14" i="107"/>
  <c r="BY19" i="107"/>
  <c r="CE157" i="107"/>
  <c r="CE159" i="107" s="1"/>
  <c r="CE160" i="107" s="1"/>
  <c r="CE14" i="107" s="1"/>
  <c r="CE12" i="106"/>
  <c r="CE26" i="106"/>
  <c r="BQ23" i="107"/>
  <c r="BR23" i="107"/>
  <c r="BW68" i="3"/>
  <c r="BY28" i="3"/>
  <c r="BW40" i="3"/>
  <c r="CE51" i="3"/>
  <c r="CE153" i="3" s="1"/>
  <c r="CE68" i="3"/>
  <c r="BW51" i="3"/>
  <c r="BW153" i="3" s="1"/>
  <c r="BW103" i="3"/>
  <c r="BW104" i="3" s="1"/>
  <c r="AN146" i="112"/>
  <c r="BW118" i="3"/>
  <c r="BW119" i="3" s="1"/>
  <c r="BW151" i="3"/>
  <c r="BW47" i="3"/>
  <c r="BW52" i="3" s="1"/>
  <c r="CC10" i="3"/>
  <c r="BW54" i="3"/>
  <c r="CC66" i="3"/>
  <c r="BW114" i="3"/>
  <c r="BW117" i="3" s="1"/>
  <c r="BY117" i="3"/>
  <c r="BW50" i="3"/>
  <c r="BW65" i="3"/>
  <c r="BY52" i="3"/>
  <c r="BY154" i="3" s="1"/>
  <c r="CC112" i="3"/>
  <c r="CC115" i="3" s="1"/>
  <c r="CC41" i="3"/>
  <c r="CC42" i="3"/>
  <c r="CC43" i="3" s="1"/>
  <c r="BX53" i="3"/>
  <c r="CD52" i="3"/>
  <c r="CD53" i="3" s="1"/>
  <c r="CI100" i="51"/>
  <c r="CI104" i="51"/>
  <c r="BS53" i="3"/>
  <c r="CE43" i="3"/>
  <c r="CE103" i="3"/>
  <c r="CE104" i="3" s="1"/>
  <c r="BQ53" i="3"/>
  <c r="BQ154" i="3"/>
  <c r="AS146" i="112" s="1"/>
  <c r="CE54" i="3"/>
  <c r="CE114" i="3"/>
  <c r="CE117" i="3" s="1"/>
  <c r="CE47" i="3"/>
  <c r="CE50" i="3"/>
  <c r="CE151" i="3"/>
  <c r="CE108" i="3"/>
  <c r="BZ26" i="3"/>
  <c r="BY136" i="3"/>
  <c r="BY119" i="3"/>
  <c r="CE40" i="3"/>
  <c r="CE65" i="3"/>
  <c r="CE118" i="3"/>
  <c r="CE119" i="3" s="1"/>
  <c r="BX21" i="107" l="1"/>
  <c r="CC163" i="106"/>
  <c r="BZ164" i="106"/>
  <c r="BW152" i="3"/>
  <c r="CC102" i="3"/>
  <c r="CE152" i="3"/>
  <c r="AS144" i="112"/>
  <c r="AU144" i="112"/>
  <c r="CC47" i="3"/>
  <c r="CC52" i="3" s="1"/>
  <c r="CC154" i="3" s="1"/>
  <c r="CC151" i="3"/>
  <c r="CC68" i="3"/>
  <c r="CC54" i="3"/>
  <c r="CC114" i="3"/>
  <c r="CC117" i="3" s="1"/>
  <c r="BQ155" i="3"/>
  <c r="CE23" i="107"/>
  <c r="CC51" i="3"/>
  <c r="CC153" i="3" s="1"/>
  <c r="CE21" i="107"/>
  <c r="CC50" i="3"/>
  <c r="BR128" i="106"/>
  <c r="BR132" i="106" s="1"/>
  <c r="BQ134" i="106"/>
  <c r="BS126" i="106"/>
  <c r="BS129" i="106"/>
  <c r="BR19" i="107"/>
  <c r="CC40" i="3"/>
  <c r="CC157" i="107"/>
  <c r="CC159" i="107" s="1"/>
  <c r="CC160" i="107" s="1"/>
  <c r="CC12" i="106"/>
  <c r="CC26" i="106"/>
  <c r="BX23" i="107"/>
  <c r="BW14" i="107"/>
  <c r="BZ28" i="3"/>
  <c r="CA28" i="3" s="1"/>
  <c r="CC65" i="3"/>
  <c r="CC118" i="3"/>
  <c r="CC119" i="3" s="1"/>
  <c r="CD154" i="3"/>
  <c r="CC103" i="3"/>
  <c r="CC104" i="3" s="1"/>
  <c r="BY53" i="3"/>
  <c r="CE52" i="3"/>
  <c r="CE154" i="3" s="1"/>
  <c r="BW53" i="3"/>
  <c r="BW154" i="3"/>
  <c r="CC26" i="3"/>
  <c r="BZ136" i="3"/>
  <c r="BX19" i="107" l="1"/>
  <c r="CC164" i="106"/>
  <c r="CC165" i="106" s="1"/>
  <c r="CC166" i="106" s="1"/>
  <c r="CC167" i="106" s="1"/>
  <c r="CC152" i="3"/>
  <c r="CD23" i="107"/>
  <c r="CD21" i="107"/>
  <c r="CE19" i="107"/>
  <c r="BT120" i="106"/>
  <c r="BS128" i="106"/>
  <c r="BS132" i="106" s="1"/>
  <c r="BT128" i="106" s="1"/>
  <c r="BR134" i="106"/>
  <c r="BQ17" i="106"/>
  <c r="BQ135" i="106"/>
  <c r="BS11" i="107"/>
  <c r="BS16" i="3" s="1"/>
  <c r="CC14" i="107"/>
  <c r="CC28" i="3"/>
  <c r="CE53" i="3"/>
  <c r="CC53" i="3"/>
  <c r="CD26" i="3"/>
  <c r="CC136" i="3"/>
  <c r="CD164" i="106" l="1"/>
  <c r="CD165" i="106" s="1"/>
  <c r="CD166" i="106" s="1"/>
  <c r="CD167" i="106" s="1"/>
  <c r="CD28" i="3"/>
  <c r="CD19" i="107"/>
  <c r="BS134" i="106"/>
  <c r="BS17" i="106" s="1"/>
  <c r="BT129" i="106"/>
  <c r="BT132" i="106" s="1"/>
  <c r="BR17" i="106"/>
  <c r="BR135" i="106"/>
  <c r="CE26" i="3"/>
  <c r="CD136" i="3"/>
  <c r="CE164" i="106" l="1"/>
  <c r="CE165" i="106" s="1"/>
  <c r="CE166" i="106" s="1"/>
  <c r="CE167" i="106" s="1"/>
  <c r="CE28" i="3"/>
  <c r="BS135" i="106"/>
  <c r="BT11" i="107"/>
  <c r="BU129" i="106"/>
  <c r="CF26" i="3"/>
  <c r="CF164" i="106" s="1"/>
  <c r="CE136" i="3"/>
  <c r="BU11" i="107" l="1"/>
  <c r="CF136" i="3"/>
  <c r="CF28" i="3"/>
  <c r="BU130" i="106"/>
  <c r="BU132" i="106"/>
  <c r="CG28" i="3" l="1"/>
  <c r="BW128" i="106"/>
  <c r="CA128" i="106" l="1"/>
  <c r="BR70" i="29"/>
  <c r="BS70" i="29" s="1"/>
  <c r="BT70" i="29" s="1"/>
  <c r="BL70" i="29"/>
  <c r="BI70" i="29"/>
  <c r="BH70" i="29" s="1"/>
  <c r="BK92" i="29"/>
  <c r="BK91" i="29"/>
  <c r="BK90" i="29"/>
  <c r="BK89" i="29"/>
  <c r="BK88" i="29"/>
  <c r="BK87" i="29"/>
  <c r="BK86" i="29"/>
  <c r="BK85" i="29"/>
  <c r="BK83" i="29"/>
  <c r="BK82" i="29"/>
  <c r="BK81" i="29"/>
  <c r="BK80" i="29"/>
  <c r="BK79" i="29"/>
  <c r="BK78" i="29"/>
  <c r="BK77" i="29"/>
  <c r="BK76" i="29"/>
  <c r="BK75" i="29"/>
  <c r="BK74" i="29"/>
  <c r="BK73" i="29"/>
  <c r="BM70" i="29" l="1"/>
  <c r="BN70" i="29" l="1"/>
  <c r="CC92" i="29" l="1"/>
  <c r="CD92" i="29" s="1"/>
  <c r="CE92" i="29" s="1"/>
  <c r="CF92" i="29" s="1"/>
  <c r="BW92" i="29"/>
  <c r="BX92" i="29" s="1"/>
  <c r="BY92" i="29" s="1"/>
  <c r="BZ92" i="29" s="1"/>
  <c r="BQ92" i="29"/>
  <c r="BR92" i="29" s="1"/>
  <c r="BS92" i="29" s="1"/>
  <c r="BT92" i="29" s="1"/>
  <c r="BL92" i="29"/>
  <c r="BM92" i="29" s="1"/>
  <c r="BN92" i="29" s="1"/>
  <c r="BL90" i="29"/>
  <c r="BL88" i="29"/>
  <c r="BL86" i="29"/>
  <c r="BK84" i="29"/>
  <c r="BL84" i="29" s="1"/>
  <c r="BL82" i="29"/>
  <c r="BL80" i="29"/>
  <c r="BL78" i="29"/>
  <c r="BL76" i="29"/>
  <c r="BL74" i="29"/>
  <c r="BK72" i="29"/>
  <c r="BL72" i="29" s="1"/>
  <c r="BK71" i="29"/>
  <c r="BB96" i="29"/>
  <c r="BH96" i="29"/>
  <c r="BC70" i="29"/>
  <c r="BE70" i="29" s="1"/>
  <c r="BF70" i="29" s="1"/>
  <c r="BG70" i="29" s="1"/>
  <c r="BI63" i="29"/>
  <c r="BI62" i="29"/>
  <c r="BI60" i="29"/>
  <c r="BI59" i="29"/>
  <c r="BI58" i="29"/>
  <c r="BI57" i="29"/>
  <c r="BI56" i="29"/>
  <c r="BI55" i="29"/>
  <c r="BI54" i="29"/>
  <c r="BI53" i="29"/>
  <c r="BI52" i="29"/>
  <c r="BI51" i="29"/>
  <c r="BI50" i="29"/>
  <c r="BI49" i="29"/>
  <c r="BI48" i="29"/>
  <c r="BI47" i="29"/>
  <c r="BI46" i="29"/>
  <c r="BI45" i="29"/>
  <c r="BI44" i="29"/>
  <c r="BI43" i="29"/>
  <c r="BI42" i="29"/>
  <c r="BI41" i="29"/>
  <c r="BI40" i="29"/>
  <c r="BI39" i="29"/>
  <c r="BL83" i="29" l="1"/>
  <c r="BM83" i="29" s="1"/>
  <c r="BN83" i="29" s="1"/>
  <c r="BL85" i="29"/>
  <c r="BM85" i="29" s="1"/>
  <c r="BN85" i="29" s="1"/>
  <c r="BL87" i="29"/>
  <c r="BM87" i="29" s="1"/>
  <c r="BN87" i="29" s="1"/>
  <c r="BL89" i="29"/>
  <c r="BM89" i="29" s="1"/>
  <c r="BN89" i="29" s="1"/>
  <c r="BL91" i="29"/>
  <c r="BM91" i="29" s="1"/>
  <c r="BN91" i="29" s="1"/>
  <c r="BL71" i="29"/>
  <c r="BL75" i="29"/>
  <c r="BM75" i="29" s="1"/>
  <c r="BN75" i="29" s="1"/>
  <c r="BL79" i="29"/>
  <c r="BM79" i="29" s="1"/>
  <c r="BN79" i="29" s="1"/>
  <c r="BM72" i="29"/>
  <c r="BN72" i="29" s="1"/>
  <c r="BM74" i="29"/>
  <c r="BN74" i="29" s="1"/>
  <c r="BM76" i="29"/>
  <c r="BN76" i="29" s="1"/>
  <c r="BM78" i="29"/>
  <c r="BN78" i="29" s="1"/>
  <c r="BM80" i="29"/>
  <c r="BN80" i="29" s="1"/>
  <c r="BM82" i="29"/>
  <c r="BN82" i="29" s="1"/>
  <c r="BM84" i="29"/>
  <c r="BN84" i="29" s="1"/>
  <c r="BM86" i="29"/>
  <c r="BN86" i="29" s="1"/>
  <c r="BM88" i="29"/>
  <c r="BN88" i="29" s="1"/>
  <c r="BM90" i="29"/>
  <c r="BN90" i="29" s="1"/>
  <c r="BL73" i="29"/>
  <c r="BM73" i="29" s="1"/>
  <c r="BN73" i="29" s="1"/>
  <c r="BL77" i="29"/>
  <c r="BM77" i="29" s="1"/>
  <c r="BN77" i="29" s="1"/>
  <c r="BL81" i="29"/>
  <c r="BM81" i="29" s="1"/>
  <c r="BN81" i="29" s="1"/>
  <c r="BQ90" i="29" l="1"/>
  <c r="BR90" i="29" s="1"/>
  <c r="BS90" i="29" s="1"/>
  <c r="BT90" i="29" s="1"/>
  <c r="BQ88" i="29"/>
  <c r="BR88" i="29" s="1"/>
  <c r="BS88" i="29" s="1"/>
  <c r="BT88" i="29" s="1"/>
  <c r="BQ86" i="29"/>
  <c r="BR86" i="29" s="1"/>
  <c r="BS86" i="29" s="1"/>
  <c r="BT86" i="29" s="1"/>
  <c r="BQ84" i="29"/>
  <c r="BR84" i="29" s="1"/>
  <c r="BS84" i="29" s="1"/>
  <c r="BT84" i="29" s="1"/>
  <c r="BQ82" i="29"/>
  <c r="BR82" i="29" s="1"/>
  <c r="BS82" i="29" s="1"/>
  <c r="BT82" i="29" s="1"/>
  <c r="BQ80" i="29"/>
  <c r="BR80" i="29" s="1"/>
  <c r="BS80" i="29" s="1"/>
  <c r="BT80" i="29" s="1"/>
  <c r="BQ78" i="29"/>
  <c r="BR78" i="29" s="1"/>
  <c r="BS78" i="29" s="1"/>
  <c r="BT78" i="29" s="1"/>
  <c r="BQ76" i="29"/>
  <c r="BR76" i="29" s="1"/>
  <c r="BS76" i="29" s="1"/>
  <c r="BT76" i="29" s="1"/>
  <c r="BQ74" i="29"/>
  <c r="BR74" i="29" s="1"/>
  <c r="BS74" i="29" s="1"/>
  <c r="BT74" i="29" s="1"/>
  <c r="BQ72" i="29"/>
  <c r="BR72" i="29" s="1"/>
  <c r="BM71" i="29"/>
  <c r="BQ91" i="29"/>
  <c r="BQ89" i="29"/>
  <c r="BQ87" i="29"/>
  <c r="BQ85" i="29"/>
  <c r="BQ83" i="29"/>
  <c r="BQ79" i="29"/>
  <c r="BQ75" i="29"/>
  <c r="BQ73" i="29"/>
  <c r="BQ81" i="29"/>
  <c r="BQ77" i="29"/>
  <c r="BU74" i="29" l="1"/>
  <c r="BW74" i="29" s="1"/>
  <c r="BX74" i="29" s="1"/>
  <c r="BY74" i="29" s="1"/>
  <c r="BZ74" i="29" s="1"/>
  <c r="BU90" i="29"/>
  <c r="BW90" i="29" s="1"/>
  <c r="BX90" i="29" s="1"/>
  <c r="BY90" i="29" s="1"/>
  <c r="BZ90" i="29" s="1"/>
  <c r="BU78" i="29"/>
  <c r="BW78" i="29" s="1"/>
  <c r="BX78" i="29" s="1"/>
  <c r="BY78" i="29" s="1"/>
  <c r="BZ78" i="29" s="1"/>
  <c r="BU82" i="29"/>
  <c r="BW82" i="29" s="1"/>
  <c r="BX82" i="29" s="1"/>
  <c r="BY82" i="29" s="1"/>
  <c r="BZ82" i="29" s="1"/>
  <c r="BU86" i="29"/>
  <c r="BW86" i="29" s="1"/>
  <c r="BX86" i="29" s="1"/>
  <c r="BY86" i="29" s="1"/>
  <c r="BZ86" i="29" s="1"/>
  <c r="BR75" i="29"/>
  <c r="BS75" i="29" s="1"/>
  <c r="BT75" i="29" s="1"/>
  <c r="BR91" i="29"/>
  <c r="BS91" i="29" s="1"/>
  <c r="BT91" i="29" s="1"/>
  <c r="BU80" i="29"/>
  <c r="BW80" i="29" s="1"/>
  <c r="BU84" i="29"/>
  <c r="BW84" i="29" s="1"/>
  <c r="BS72" i="29"/>
  <c r="BR81" i="29"/>
  <c r="BS81" i="29" s="1"/>
  <c r="BT81" i="29" s="1"/>
  <c r="BR83" i="29"/>
  <c r="BS83" i="29" s="1"/>
  <c r="BT83" i="29" s="1"/>
  <c r="BR87" i="29"/>
  <c r="BS87" i="29" s="1"/>
  <c r="BT87" i="29" s="1"/>
  <c r="BR77" i="29"/>
  <c r="BS77" i="29" s="1"/>
  <c r="BT77" i="29" s="1"/>
  <c r="BR73" i="29"/>
  <c r="BS73" i="29" s="1"/>
  <c r="BT73" i="29" s="1"/>
  <c r="BR79" i="29"/>
  <c r="BS79" i="29" s="1"/>
  <c r="BT79" i="29" s="1"/>
  <c r="BR85" i="29"/>
  <c r="BS85" i="29" s="1"/>
  <c r="BT85" i="29" s="1"/>
  <c r="BR89" i="29"/>
  <c r="BS89" i="29" s="1"/>
  <c r="BT89" i="29" s="1"/>
  <c r="BU76" i="29"/>
  <c r="BW76" i="29" s="1"/>
  <c r="BU88" i="29"/>
  <c r="BW88" i="29" s="1"/>
  <c r="BN71" i="29"/>
  <c r="BT72" i="29" l="1"/>
  <c r="BX80" i="29"/>
  <c r="BY80" i="29" s="1"/>
  <c r="BZ80" i="29" s="1"/>
  <c r="BX88" i="29"/>
  <c r="BY88" i="29" s="1"/>
  <c r="BZ88" i="29" s="1"/>
  <c r="BX76" i="29"/>
  <c r="BY76" i="29" s="1"/>
  <c r="BZ76" i="29" s="1"/>
  <c r="CA86" i="29"/>
  <c r="CC86" i="29" s="1"/>
  <c r="CA90" i="29"/>
  <c r="CC90" i="29" s="1"/>
  <c r="CA74" i="29"/>
  <c r="CC74" i="29" s="1"/>
  <c r="BU89" i="29"/>
  <c r="BW89" i="29" s="1"/>
  <c r="BU85" i="29"/>
  <c r="BW85" i="29" s="1"/>
  <c r="BU79" i="29"/>
  <c r="BW79" i="29" s="1"/>
  <c r="BU73" i="29"/>
  <c r="BW73" i="29" s="1"/>
  <c r="BU77" i="29"/>
  <c r="BW77" i="29" s="1"/>
  <c r="BU87" i="29"/>
  <c r="BW87" i="29" s="1"/>
  <c r="BU83" i="29"/>
  <c r="BW83" i="29" s="1"/>
  <c r="BU81" i="29"/>
  <c r="BW81" i="29" s="1"/>
  <c r="CA78" i="29"/>
  <c r="CC78" i="29" s="1"/>
  <c r="BX84" i="29"/>
  <c r="BY84" i="29" s="1"/>
  <c r="BZ84" i="29" s="1"/>
  <c r="CA82" i="29"/>
  <c r="CC82" i="29" s="1"/>
  <c r="BU91" i="29"/>
  <c r="BW91" i="29" s="1"/>
  <c r="BU75" i="29"/>
  <c r="BW75" i="29" s="1"/>
  <c r="BQ71" i="29"/>
  <c r="BR71" i="29" l="1"/>
  <c r="BS71" i="29" s="1"/>
  <c r="BT71" i="29" s="1"/>
  <c r="CA80" i="29"/>
  <c r="CC80" i="29" s="1"/>
  <c r="CD80" i="29" s="1"/>
  <c r="CE80" i="29" s="1"/>
  <c r="CF80" i="29" s="1"/>
  <c r="BX91" i="29"/>
  <c r="BY91" i="29" s="1"/>
  <c r="BZ91" i="29" s="1"/>
  <c r="CA84" i="29"/>
  <c r="CC84" i="29" s="1"/>
  <c r="CD78" i="29"/>
  <c r="CE78" i="29" s="1"/>
  <c r="CF78" i="29" s="1"/>
  <c r="BX81" i="29"/>
  <c r="BY81" i="29" s="1"/>
  <c r="BZ81" i="29" s="1"/>
  <c r="BX87" i="29"/>
  <c r="BY87" i="29" s="1"/>
  <c r="BZ87" i="29" s="1"/>
  <c r="BX73" i="29"/>
  <c r="BY73" i="29" s="1"/>
  <c r="BZ73" i="29" s="1"/>
  <c r="BX85" i="29"/>
  <c r="BY85" i="29" s="1"/>
  <c r="BZ85" i="29" s="1"/>
  <c r="CD74" i="29"/>
  <c r="CE74" i="29" s="1"/>
  <c r="CF74" i="29" s="1"/>
  <c r="CD86" i="29"/>
  <c r="CE86" i="29" s="1"/>
  <c r="CF86" i="29" s="1"/>
  <c r="BX75" i="29"/>
  <c r="BY75" i="29" s="1"/>
  <c r="BZ75" i="29" s="1"/>
  <c r="CD82" i="29"/>
  <c r="CE82" i="29" s="1"/>
  <c r="CF82" i="29" s="1"/>
  <c r="BX83" i="29"/>
  <c r="BY83" i="29" s="1"/>
  <c r="BZ83" i="29" s="1"/>
  <c r="BX77" i="29"/>
  <c r="BY77" i="29" s="1"/>
  <c r="BZ77" i="29" s="1"/>
  <c r="BX79" i="29"/>
  <c r="BY79" i="29" s="1"/>
  <c r="BZ79" i="29" s="1"/>
  <c r="BX89" i="29"/>
  <c r="BY89" i="29" s="1"/>
  <c r="BZ89" i="29" s="1"/>
  <c r="CD90" i="29"/>
  <c r="CE90" i="29" s="1"/>
  <c r="CF90" i="29" s="1"/>
  <c r="CA76" i="29"/>
  <c r="CC76" i="29" s="1"/>
  <c r="CA88" i="29"/>
  <c r="CC88" i="29" s="1"/>
  <c r="BU72" i="29"/>
  <c r="CA81" i="29" l="1"/>
  <c r="CC81" i="29" s="1"/>
  <c r="CD81" i="29" s="1"/>
  <c r="CE81" i="29" s="1"/>
  <c r="CF81" i="29" s="1"/>
  <c r="BU71" i="29"/>
  <c r="BW71" i="29" s="1"/>
  <c r="BX71" i="29" s="1"/>
  <c r="CA77" i="29"/>
  <c r="CC77" i="29" s="1"/>
  <c r="CD77" i="29" s="1"/>
  <c r="CE77" i="29" s="1"/>
  <c r="CF77" i="29" s="1"/>
  <c r="CA85" i="29"/>
  <c r="CC85" i="29" s="1"/>
  <c r="CD85" i="29" s="1"/>
  <c r="CE85" i="29" s="1"/>
  <c r="CF85" i="29" s="1"/>
  <c r="CA73" i="29"/>
  <c r="CC73" i="29" s="1"/>
  <c r="CD73" i="29" s="1"/>
  <c r="CE73" i="29" s="1"/>
  <c r="CF73" i="29" s="1"/>
  <c r="CG78" i="29"/>
  <c r="CD76" i="29"/>
  <c r="CE76" i="29" s="1"/>
  <c r="CF76" i="29" s="1"/>
  <c r="BW72" i="29"/>
  <c r="CD88" i="29"/>
  <c r="CE88" i="29" s="1"/>
  <c r="CF88" i="29" s="1"/>
  <c r="CG90" i="29"/>
  <c r="CA89" i="29"/>
  <c r="CC89" i="29" s="1"/>
  <c r="CA79" i="29"/>
  <c r="CC79" i="29" s="1"/>
  <c r="CA83" i="29"/>
  <c r="CC83" i="29" s="1"/>
  <c r="CG82" i="29"/>
  <c r="CA75" i="29"/>
  <c r="CC75" i="29" s="1"/>
  <c r="CG80" i="29"/>
  <c r="CG86" i="29"/>
  <c r="CG74" i="29"/>
  <c r="CA87" i="29"/>
  <c r="CC87" i="29" s="1"/>
  <c r="CD84" i="29"/>
  <c r="CE84" i="29" s="1"/>
  <c r="CF84" i="29" s="1"/>
  <c r="CA91" i="29"/>
  <c r="CC91" i="29" s="1"/>
  <c r="CG76" i="29" l="1"/>
  <c r="BY71" i="29"/>
  <c r="BZ71" i="29" s="1"/>
  <c r="CG84" i="29"/>
  <c r="CG88" i="29"/>
  <c r="CD87" i="29"/>
  <c r="CE87" i="29" s="1"/>
  <c r="CF87" i="29" s="1"/>
  <c r="CD75" i="29"/>
  <c r="CE75" i="29" s="1"/>
  <c r="CF75" i="29" s="1"/>
  <c r="CD83" i="29"/>
  <c r="CE83" i="29" s="1"/>
  <c r="CF83" i="29" s="1"/>
  <c r="CD89" i="29"/>
  <c r="CE89" i="29" s="1"/>
  <c r="CF89" i="29" s="1"/>
  <c r="CD91" i="29"/>
  <c r="CE91" i="29" s="1"/>
  <c r="CF91" i="29" s="1"/>
  <c r="CD79" i="29"/>
  <c r="CE79" i="29" s="1"/>
  <c r="CF79" i="29" s="1"/>
  <c r="BX72" i="29"/>
  <c r="CG81" i="29"/>
  <c r="CG73" i="29"/>
  <c r="CG85" i="29"/>
  <c r="CG77" i="29"/>
  <c r="CG83" i="29" l="1"/>
  <c r="CG75" i="29"/>
  <c r="CG87" i="29"/>
  <c r="CA71" i="29"/>
  <c r="CG91" i="29"/>
  <c r="CG79" i="29"/>
  <c r="BY72" i="29"/>
  <c r="CG89" i="29"/>
  <c r="CC71" i="29" l="1"/>
  <c r="CA70" i="29"/>
  <c r="CD71" i="29"/>
  <c r="CE71" i="29" s="1"/>
  <c r="CF71" i="29" s="1"/>
  <c r="BZ72" i="29"/>
  <c r="CA72" i="29" s="1"/>
  <c r="CG71" i="29" l="1"/>
  <c r="CC72" i="29"/>
  <c r="CD72" i="29" l="1"/>
  <c r="CE72" i="29" l="1"/>
  <c r="CF72" i="29" l="1"/>
  <c r="CG72" i="29" s="1"/>
  <c r="CG70" i="29" s="1"/>
  <c r="BB31" i="29" l="1"/>
  <c r="BB30" i="29"/>
  <c r="BK31" i="29"/>
  <c r="BK30" i="29"/>
  <c r="BL30" i="29" s="1"/>
  <c r="BB32" i="29"/>
  <c r="BB33" i="29" s="1"/>
  <c r="BG32" i="29"/>
  <c r="BF32" i="29"/>
  <c r="BF33" i="29" s="1"/>
  <c r="BE32" i="29"/>
  <c r="BH32" i="29"/>
  <c r="BB34" i="29"/>
  <c r="BH34" i="29"/>
  <c r="BG34" i="29"/>
  <c r="BF34" i="29"/>
  <c r="BE34" i="29"/>
  <c r="BE65" i="29" s="1"/>
  <c r="BC29" i="29"/>
  <c r="BB29" i="29" s="1"/>
  <c r="BB28" i="29"/>
  <c r="BB27" i="29"/>
  <c r="BB26" i="29"/>
  <c r="BB25" i="29"/>
  <c r="BB24" i="29"/>
  <c r="BB23" i="29"/>
  <c r="BB22" i="29"/>
  <c r="BB21" i="29"/>
  <c r="BB20" i="29"/>
  <c r="BB19" i="29"/>
  <c r="BB18" i="29"/>
  <c r="BB17" i="29"/>
  <c r="BB16" i="29"/>
  <c r="BB15" i="29"/>
  <c r="BB14" i="29"/>
  <c r="BB13" i="29"/>
  <c r="BB12" i="29"/>
  <c r="BB11" i="29"/>
  <c r="BB10" i="29"/>
  <c r="BB9" i="29"/>
  <c r="BB8" i="29"/>
  <c r="BB7" i="29"/>
  <c r="BK27" i="29"/>
  <c r="BL27" i="29" s="1"/>
  <c r="BM27" i="29" s="1"/>
  <c r="BN27" i="29" s="1"/>
  <c r="BK26" i="29"/>
  <c r="BL26" i="29" s="1"/>
  <c r="BM26" i="29" s="1"/>
  <c r="BN26" i="29" s="1"/>
  <c r="BK25" i="29"/>
  <c r="BL25" i="29" s="1"/>
  <c r="BM25" i="29" s="1"/>
  <c r="BN25" i="29" s="1"/>
  <c r="BK24" i="29"/>
  <c r="BL24" i="29" s="1"/>
  <c r="BM24" i="29" s="1"/>
  <c r="BN24" i="29" s="1"/>
  <c r="BK23" i="29"/>
  <c r="BL23" i="29" s="1"/>
  <c r="BM23" i="29" s="1"/>
  <c r="BN23" i="29" s="1"/>
  <c r="BK22" i="29"/>
  <c r="BL22" i="29" s="1"/>
  <c r="BM22" i="29" s="1"/>
  <c r="BN22" i="29" s="1"/>
  <c r="BK21" i="29"/>
  <c r="BL21" i="29" s="1"/>
  <c r="BM21" i="29" s="1"/>
  <c r="BN21" i="29" s="1"/>
  <c r="BK20" i="29"/>
  <c r="BL20" i="29" s="1"/>
  <c r="BM20" i="29" s="1"/>
  <c r="BN20" i="29" s="1"/>
  <c r="BK19" i="29"/>
  <c r="BL19" i="29" s="1"/>
  <c r="BM19" i="29" s="1"/>
  <c r="BN19" i="29" s="1"/>
  <c r="BK18" i="29"/>
  <c r="BL18" i="29" s="1"/>
  <c r="BM18" i="29" s="1"/>
  <c r="BN18" i="29" s="1"/>
  <c r="BK17" i="29"/>
  <c r="BL17" i="29" s="1"/>
  <c r="BM17" i="29" s="1"/>
  <c r="BN17" i="29" s="1"/>
  <c r="BK16" i="29"/>
  <c r="BL16" i="29" s="1"/>
  <c r="BM16" i="29" s="1"/>
  <c r="BN16" i="29" s="1"/>
  <c r="BK15" i="29"/>
  <c r="BL15" i="29" s="1"/>
  <c r="BM15" i="29" s="1"/>
  <c r="BN15" i="29" s="1"/>
  <c r="BK14" i="29"/>
  <c r="BL14" i="29" s="1"/>
  <c r="BM14" i="29" s="1"/>
  <c r="BN14" i="29" s="1"/>
  <c r="BK13" i="29"/>
  <c r="BL13" i="29" s="1"/>
  <c r="BM13" i="29" s="1"/>
  <c r="BN13" i="29" s="1"/>
  <c r="BK12" i="29"/>
  <c r="BL12" i="29" s="1"/>
  <c r="BM12" i="29" s="1"/>
  <c r="BN12" i="29" s="1"/>
  <c r="BK11" i="29"/>
  <c r="BL11" i="29" s="1"/>
  <c r="BM11" i="29" s="1"/>
  <c r="BN11" i="29" s="1"/>
  <c r="BK10" i="29"/>
  <c r="BL10" i="29" s="1"/>
  <c r="BM10" i="29" s="1"/>
  <c r="BN10" i="29" s="1"/>
  <c r="BK9" i="29"/>
  <c r="BL9" i="29" s="1"/>
  <c r="BM9" i="29" s="1"/>
  <c r="BN9" i="29" s="1"/>
  <c r="BK8" i="29"/>
  <c r="BL8" i="29" s="1"/>
  <c r="BM8" i="29" s="1"/>
  <c r="BN8" i="29" s="1"/>
  <c r="BK7" i="29"/>
  <c r="BI29" i="29"/>
  <c r="BH29" i="29" s="1"/>
  <c r="BF101" i="29"/>
  <c r="BH101" i="29" s="1"/>
  <c r="BB100" i="29"/>
  <c r="BE102" i="29" s="1"/>
  <c r="BH100" i="29"/>
  <c r="BK102" i="29" s="1"/>
  <c r="BG100" i="29"/>
  <c r="BF100" i="29"/>
  <c r="BG102" i="29" s="1"/>
  <c r="BE100" i="29"/>
  <c r="BB101" i="29"/>
  <c r="BM30" i="29" l="1"/>
  <c r="BN30" i="29" s="1"/>
  <c r="BL31" i="29"/>
  <c r="BM31" i="29" s="1"/>
  <c r="BK28" i="29"/>
  <c r="BK29" i="29" s="1"/>
  <c r="BK61" i="29" s="1"/>
  <c r="BQ8" i="29"/>
  <c r="BO40" i="29"/>
  <c r="BO42" i="29"/>
  <c r="BQ10" i="29"/>
  <c r="BR10" i="29" s="1"/>
  <c r="BS10" i="29" s="1"/>
  <c r="BT10" i="29" s="1"/>
  <c r="BO44" i="29"/>
  <c r="BQ12" i="29"/>
  <c r="BR12" i="29" s="1"/>
  <c r="BS12" i="29" s="1"/>
  <c r="BT12" i="29" s="1"/>
  <c r="BO46" i="29"/>
  <c r="BQ14" i="29"/>
  <c r="BR14" i="29" s="1"/>
  <c r="BS14" i="29" s="1"/>
  <c r="BT14" i="29" s="1"/>
  <c r="BO48" i="29"/>
  <c r="BQ16" i="29"/>
  <c r="BR16" i="29" s="1"/>
  <c r="BS16" i="29" s="1"/>
  <c r="BT16" i="29" s="1"/>
  <c r="BO50" i="29"/>
  <c r="BQ18" i="29"/>
  <c r="BR18" i="29" s="1"/>
  <c r="BS18" i="29" s="1"/>
  <c r="BT18" i="29" s="1"/>
  <c r="BO52" i="29"/>
  <c r="BQ20" i="29"/>
  <c r="BR20" i="29" s="1"/>
  <c r="BS20" i="29" s="1"/>
  <c r="BT20" i="29" s="1"/>
  <c r="BO54" i="29"/>
  <c r="BQ22" i="29"/>
  <c r="BR22" i="29" s="1"/>
  <c r="BS22" i="29" s="1"/>
  <c r="BT22" i="29" s="1"/>
  <c r="BO56" i="29"/>
  <c r="BQ24" i="29"/>
  <c r="BR24" i="29" s="1"/>
  <c r="BS24" i="29" s="1"/>
  <c r="BT24" i="29" s="1"/>
  <c r="BO58" i="29"/>
  <c r="BQ26" i="29"/>
  <c r="BR26" i="29" s="1"/>
  <c r="BS26" i="29" s="1"/>
  <c r="BT26" i="29" s="1"/>
  <c r="BL7" i="29"/>
  <c r="BQ9" i="29"/>
  <c r="BR9" i="29" s="1"/>
  <c r="BS9" i="29" s="1"/>
  <c r="BT9" i="29" s="1"/>
  <c r="BO41" i="29"/>
  <c r="BQ11" i="29"/>
  <c r="BR11" i="29" s="1"/>
  <c r="BS11" i="29" s="1"/>
  <c r="BT11" i="29" s="1"/>
  <c r="BO43" i="29"/>
  <c r="BQ13" i="29"/>
  <c r="BR13" i="29" s="1"/>
  <c r="BS13" i="29" s="1"/>
  <c r="BT13" i="29" s="1"/>
  <c r="BO45" i="29"/>
  <c r="BQ15" i="29"/>
  <c r="BR15" i="29" s="1"/>
  <c r="BS15" i="29" s="1"/>
  <c r="BT15" i="29" s="1"/>
  <c r="BO47" i="29"/>
  <c r="BQ17" i="29"/>
  <c r="BR17" i="29" s="1"/>
  <c r="BS17" i="29" s="1"/>
  <c r="BT17" i="29" s="1"/>
  <c r="BO49" i="29"/>
  <c r="BQ19" i="29"/>
  <c r="BR19" i="29" s="1"/>
  <c r="BS19" i="29" s="1"/>
  <c r="BT19" i="29" s="1"/>
  <c r="BO51" i="29"/>
  <c r="BQ21" i="29"/>
  <c r="BR21" i="29" s="1"/>
  <c r="BS21" i="29" s="1"/>
  <c r="BT21" i="29" s="1"/>
  <c r="BO53" i="29"/>
  <c r="BQ23" i="29"/>
  <c r="BR23" i="29" s="1"/>
  <c r="BS23" i="29" s="1"/>
  <c r="BT23" i="29" s="1"/>
  <c r="BO55" i="29"/>
  <c r="BQ25" i="29"/>
  <c r="BR25" i="29" s="1"/>
  <c r="BS25" i="29" s="1"/>
  <c r="BT25" i="29" s="1"/>
  <c r="BO57" i="29"/>
  <c r="BQ27" i="29"/>
  <c r="BR27" i="29" s="1"/>
  <c r="BS27" i="29" s="1"/>
  <c r="BT27" i="29" s="1"/>
  <c r="BO59" i="29"/>
  <c r="BH33" i="29"/>
  <c r="BF35" i="29"/>
  <c r="BF94" i="29" s="1"/>
  <c r="BG95" i="29" s="1"/>
  <c r="BF65" i="29"/>
  <c r="BH35" i="29"/>
  <c r="BH94" i="29" s="1"/>
  <c r="BK95" i="29" s="1"/>
  <c r="BK58" i="104" s="1"/>
  <c r="BH65" i="29"/>
  <c r="BE64" i="29"/>
  <c r="BE33" i="29"/>
  <c r="BG64" i="29"/>
  <c r="BG33" i="29"/>
  <c r="BG65" i="29"/>
  <c r="BI32" i="29"/>
  <c r="BI61" i="29"/>
  <c r="BE35" i="29"/>
  <c r="BE94" i="29" s="1"/>
  <c r="BF95" i="29" s="1"/>
  <c r="BG35" i="29"/>
  <c r="BG94" i="29" s="1"/>
  <c r="BH95" i="29" s="1"/>
  <c r="BH64" i="29"/>
  <c r="BF64" i="29"/>
  <c r="BB35" i="29"/>
  <c r="BC32" i="29"/>
  <c r="BF102" i="29"/>
  <c r="BH102" i="29"/>
  <c r="BQ30" i="29" l="1"/>
  <c r="BR30" i="29" s="1"/>
  <c r="BS30" i="29" s="1"/>
  <c r="BT30" i="29" s="1"/>
  <c r="BO62" i="29"/>
  <c r="BN31" i="29"/>
  <c r="BL28" i="29"/>
  <c r="BK60" i="29"/>
  <c r="BK64" i="29"/>
  <c r="BB36" i="29"/>
  <c r="BB94" i="29"/>
  <c r="BE95" i="29" s="1"/>
  <c r="BI95" i="29" s="1"/>
  <c r="BR8" i="29"/>
  <c r="BU30" i="29"/>
  <c r="BU62" i="29" s="1"/>
  <c r="BW30" i="29"/>
  <c r="BX30" i="29" s="1"/>
  <c r="BY30" i="29" s="1"/>
  <c r="BZ30" i="29" s="1"/>
  <c r="BU26" i="29"/>
  <c r="BU58" i="29" s="1"/>
  <c r="BW26" i="29"/>
  <c r="BX26" i="29" s="1"/>
  <c r="BY26" i="29" s="1"/>
  <c r="BZ26" i="29" s="1"/>
  <c r="BU24" i="29"/>
  <c r="BU56" i="29" s="1"/>
  <c r="BW24" i="29"/>
  <c r="BX24" i="29" s="1"/>
  <c r="BY24" i="29" s="1"/>
  <c r="BZ24" i="29" s="1"/>
  <c r="BU22" i="29"/>
  <c r="BU54" i="29" s="1"/>
  <c r="BW22" i="29"/>
  <c r="BX22" i="29" s="1"/>
  <c r="BY22" i="29" s="1"/>
  <c r="BZ22" i="29" s="1"/>
  <c r="BU20" i="29"/>
  <c r="BU52" i="29" s="1"/>
  <c r="BW20" i="29"/>
  <c r="BX20" i="29" s="1"/>
  <c r="BY20" i="29" s="1"/>
  <c r="BZ20" i="29" s="1"/>
  <c r="BU18" i="29"/>
  <c r="BU50" i="29" s="1"/>
  <c r="BW18" i="29"/>
  <c r="BX18" i="29" s="1"/>
  <c r="BY18" i="29" s="1"/>
  <c r="BZ18" i="29" s="1"/>
  <c r="BU16" i="29"/>
  <c r="BU48" i="29" s="1"/>
  <c r="BW16" i="29"/>
  <c r="BX16" i="29" s="1"/>
  <c r="BY16" i="29" s="1"/>
  <c r="BZ16" i="29" s="1"/>
  <c r="BU14" i="29"/>
  <c r="BU46" i="29" s="1"/>
  <c r="BW14" i="29"/>
  <c r="BX14" i="29" s="1"/>
  <c r="BY14" i="29" s="1"/>
  <c r="BZ14" i="29" s="1"/>
  <c r="BU12" i="29"/>
  <c r="BU44" i="29" s="1"/>
  <c r="BW12" i="29"/>
  <c r="BX12" i="29" s="1"/>
  <c r="BY12" i="29" s="1"/>
  <c r="BZ12" i="29" s="1"/>
  <c r="BU10" i="29"/>
  <c r="BU42" i="29" s="1"/>
  <c r="BW10" i="29"/>
  <c r="BX10" i="29" s="1"/>
  <c r="BY10" i="29" s="1"/>
  <c r="BZ10" i="29" s="1"/>
  <c r="BW27" i="29"/>
  <c r="BX27" i="29" s="1"/>
  <c r="BY27" i="29" s="1"/>
  <c r="BZ27" i="29" s="1"/>
  <c r="BU27" i="29"/>
  <c r="BU59" i="29" s="1"/>
  <c r="BW25" i="29"/>
  <c r="BX25" i="29" s="1"/>
  <c r="BY25" i="29" s="1"/>
  <c r="BZ25" i="29" s="1"/>
  <c r="BU25" i="29"/>
  <c r="BU57" i="29" s="1"/>
  <c r="BW23" i="29"/>
  <c r="BX23" i="29" s="1"/>
  <c r="BY23" i="29" s="1"/>
  <c r="BZ23" i="29" s="1"/>
  <c r="BU23" i="29"/>
  <c r="BU55" i="29" s="1"/>
  <c r="BW21" i="29"/>
  <c r="BX21" i="29" s="1"/>
  <c r="BY21" i="29" s="1"/>
  <c r="BZ21" i="29" s="1"/>
  <c r="BU21" i="29"/>
  <c r="BU53" i="29" s="1"/>
  <c r="BW19" i="29"/>
  <c r="BX19" i="29" s="1"/>
  <c r="BY19" i="29" s="1"/>
  <c r="BZ19" i="29" s="1"/>
  <c r="BU19" i="29"/>
  <c r="BU51" i="29" s="1"/>
  <c r="BW17" i="29"/>
  <c r="BX17" i="29" s="1"/>
  <c r="BY17" i="29" s="1"/>
  <c r="BZ17" i="29" s="1"/>
  <c r="BU17" i="29"/>
  <c r="BU49" i="29" s="1"/>
  <c r="BW15" i="29"/>
  <c r="BX15" i="29" s="1"/>
  <c r="BY15" i="29" s="1"/>
  <c r="BZ15" i="29" s="1"/>
  <c r="BU15" i="29"/>
  <c r="BU47" i="29" s="1"/>
  <c r="BW13" i="29"/>
  <c r="BX13" i="29" s="1"/>
  <c r="BY13" i="29" s="1"/>
  <c r="BZ13" i="29" s="1"/>
  <c r="BU13" i="29"/>
  <c r="BU45" i="29" s="1"/>
  <c r="BW11" i="29"/>
  <c r="BX11" i="29" s="1"/>
  <c r="BY11" i="29" s="1"/>
  <c r="BZ11" i="29" s="1"/>
  <c r="BU11" i="29"/>
  <c r="BU43" i="29" s="1"/>
  <c r="BW9" i="29"/>
  <c r="BX9" i="29" s="1"/>
  <c r="BY9" i="29" s="1"/>
  <c r="BZ9" i="29" s="1"/>
  <c r="BU9" i="29"/>
  <c r="BU41" i="29" s="1"/>
  <c r="BM7" i="29"/>
  <c r="BE36" i="29"/>
  <c r="BE66" i="29"/>
  <c r="BG36" i="29"/>
  <c r="BG66" i="29"/>
  <c r="BH36" i="29"/>
  <c r="BH66" i="29"/>
  <c r="BF36" i="29"/>
  <c r="BF66" i="29"/>
  <c r="BI64" i="29"/>
  <c r="BM28" i="29" l="1"/>
  <c r="BM60" i="29" s="1"/>
  <c r="BO63" i="29"/>
  <c r="BQ31" i="29"/>
  <c r="BR31" i="29" s="1"/>
  <c r="BS31" i="29" s="1"/>
  <c r="BT31" i="29" s="1"/>
  <c r="BM31" i="106"/>
  <c r="BL95" i="29"/>
  <c r="BL58" i="104" s="1"/>
  <c r="BS8" i="29"/>
  <c r="BK66" i="29"/>
  <c r="BL64" i="29"/>
  <c r="CA10" i="29"/>
  <c r="CA42" i="29" s="1"/>
  <c r="CC10" i="29"/>
  <c r="CD10" i="29" s="1"/>
  <c r="CE10" i="29" s="1"/>
  <c r="CF10" i="29" s="1"/>
  <c r="CG10" i="29" s="1"/>
  <c r="CA12" i="29"/>
  <c r="CA44" i="29" s="1"/>
  <c r="CC12" i="29"/>
  <c r="CD12" i="29" s="1"/>
  <c r="CE12" i="29" s="1"/>
  <c r="CF12" i="29" s="1"/>
  <c r="CG12" i="29" s="1"/>
  <c r="CA14" i="29"/>
  <c r="CA46" i="29" s="1"/>
  <c r="CC14" i="29"/>
  <c r="CD14" i="29" s="1"/>
  <c r="CE14" i="29" s="1"/>
  <c r="CF14" i="29" s="1"/>
  <c r="CG14" i="29" s="1"/>
  <c r="CA16" i="29"/>
  <c r="CA48" i="29" s="1"/>
  <c r="CC16" i="29"/>
  <c r="CD16" i="29" s="1"/>
  <c r="CE16" i="29" s="1"/>
  <c r="CF16" i="29" s="1"/>
  <c r="CG16" i="29" s="1"/>
  <c r="CA18" i="29"/>
  <c r="CA50" i="29" s="1"/>
  <c r="CC18" i="29"/>
  <c r="CD18" i="29" s="1"/>
  <c r="CE18" i="29" s="1"/>
  <c r="CF18" i="29" s="1"/>
  <c r="CG18" i="29" s="1"/>
  <c r="CA20" i="29"/>
  <c r="CA52" i="29" s="1"/>
  <c r="CC20" i="29"/>
  <c r="CD20" i="29" s="1"/>
  <c r="CE20" i="29" s="1"/>
  <c r="CF20" i="29" s="1"/>
  <c r="CG20" i="29" s="1"/>
  <c r="CA22" i="29"/>
  <c r="CA54" i="29" s="1"/>
  <c r="CC22" i="29"/>
  <c r="CD22" i="29" s="1"/>
  <c r="CE22" i="29" s="1"/>
  <c r="CF22" i="29" s="1"/>
  <c r="CG22" i="29" s="1"/>
  <c r="CA24" i="29"/>
  <c r="CA56" i="29" s="1"/>
  <c r="CC24" i="29"/>
  <c r="CD24" i="29" s="1"/>
  <c r="CE24" i="29" s="1"/>
  <c r="CF24" i="29" s="1"/>
  <c r="CG24" i="29" s="1"/>
  <c r="CA26" i="29"/>
  <c r="CA58" i="29" s="1"/>
  <c r="CC26" i="29"/>
  <c r="CD26" i="29" s="1"/>
  <c r="CE26" i="29" s="1"/>
  <c r="CF26" i="29" s="1"/>
  <c r="CG26" i="29" s="1"/>
  <c r="CA30" i="29"/>
  <c r="CA62" i="29" s="1"/>
  <c r="CC30" i="29"/>
  <c r="CD30" i="29" s="1"/>
  <c r="CE30" i="29" s="1"/>
  <c r="CF30" i="29" s="1"/>
  <c r="CG30" i="29" s="1"/>
  <c r="BN7" i="29"/>
  <c r="CA9" i="29"/>
  <c r="CA41" i="29" s="1"/>
  <c r="CC9" i="29"/>
  <c r="CD9" i="29" s="1"/>
  <c r="CE9" i="29" s="1"/>
  <c r="CF9" i="29" s="1"/>
  <c r="CG9" i="29" s="1"/>
  <c r="CA11" i="29"/>
  <c r="CA43" i="29" s="1"/>
  <c r="CC11" i="29"/>
  <c r="CD11" i="29" s="1"/>
  <c r="CE11" i="29" s="1"/>
  <c r="CF11" i="29" s="1"/>
  <c r="CG11" i="29" s="1"/>
  <c r="CA13" i="29"/>
  <c r="CA45" i="29" s="1"/>
  <c r="CC13" i="29"/>
  <c r="CD13" i="29" s="1"/>
  <c r="CE13" i="29" s="1"/>
  <c r="CF13" i="29" s="1"/>
  <c r="CG13" i="29" s="1"/>
  <c r="CA15" i="29"/>
  <c r="CA47" i="29" s="1"/>
  <c r="CC15" i="29"/>
  <c r="CD15" i="29" s="1"/>
  <c r="CE15" i="29" s="1"/>
  <c r="CF15" i="29" s="1"/>
  <c r="CG15" i="29" s="1"/>
  <c r="CA17" i="29"/>
  <c r="CA49" i="29" s="1"/>
  <c r="CC17" i="29"/>
  <c r="CD17" i="29" s="1"/>
  <c r="CE17" i="29" s="1"/>
  <c r="CF17" i="29" s="1"/>
  <c r="CG17" i="29" s="1"/>
  <c r="CA19" i="29"/>
  <c r="CA51" i="29" s="1"/>
  <c r="CC19" i="29"/>
  <c r="CD19" i="29" s="1"/>
  <c r="CE19" i="29" s="1"/>
  <c r="CF19" i="29" s="1"/>
  <c r="CG19" i="29" s="1"/>
  <c r="CA21" i="29"/>
  <c r="CA53" i="29" s="1"/>
  <c r="CC21" i="29"/>
  <c r="CD21" i="29" s="1"/>
  <c r="CE21" i="29" s="1"/>
  <c r="CF21" i="29" s="1"/>
  <c r="CG21" i="29" s="1"/>
  <c r="CA23" i="29"/>
  <c r="CA55" i="29" s="1"/>
  <c r="CC23" i="29"/>
  <c r="CD23" i="29" s="1"/>
  <c r="CE23" i="29" s="1"/>
  <c r="CF23" i="29" s="1"/>
  <c r="CG23" i="29" s="1"/>
  <c r="CA25" i="29"/>
  <c r="CA57" i="29" s="1"/>
  <c r="CC25" i="29"/>
  <c r="CD25" i="29" s="1"/>
  <c r="CE25" i="29" s="1"/>
  <c r="CF25" i="29" s="1"/>
  <c r="CG25" i="29" s="1"/>
  <c r="CA27" i="29"/>
  <c r="CA59" i="29" s="1"/>
  <c r="CC27" i="29"/>
  <c r="CD27" i="29" s="1"/>
  <c r="CE27" i="29" s="1"/>
  <c r="CF27" i="29" s="1"/>
  <c r="CG27" i="29" s="1"/>
  <c r="BM29" i="29" l="1"/>
  <c r="BM61" i="29" s="1"/>
  <c r="BM75" i="106"/>
  <c r="BM74" i="106"/>
  <c r="CG62" i="29"/>
  <c r="BW31" i="29"/>
  <c r="BX31" i="29" s="1"/>
  <c r="BY31" i="29" s="1"/>
  <c r="BZ31" i="29" s="1"/>
  <c r="BU31" i="29"/>
  <c r="BU63" i="29" s="1"/>
  <c r="BO29" i="106"/>
  <c r="BO43" i="107"/>
  <c r="BL66" i="29"/>
  <c r="BL94" i="29"/>
  <c r="BM95" i="29" s="1"/>
  <c r="CG58" i="29"/>
  <c r="CG56" i="29"/>
  <c r="CG54" i="29"/>
  <c r="CG52" i="29"/>
  <c r="CG50" i="29"/>
  <c r="BT8" i="29"/>
  <c r="CG48" i="29"/>
  <c r="CG46" i="29"/>
  <c r="CG44" i="29"/>
  <c r="CG42" i="29"/>
  <c r="BQ7" i="29"/>
  <c r="BO70" i="29"/>
  <c r="CG59" i="29"/>
  <c r="CG57" i="29"/>
  <c r="CG55" i="29"/>
  <c r="CG53" i="29"/>
  <c r="CG51" i="29"/>
  <c r="CG49" i="29"/>
  <c r="CG47" i="29"/>
  <c r="CG45" i="29"/>
  <c r="CG43" i="29"/>
  <c r="CG41" i="29"/>
  <c r="BQ34" i="29"/>
  <c r="BQ29" i="106" s="1"/>
  <c r="BO34" i="29"/>
  <c r="CA31" i="29" l="1"/>
  <c r="CA63" i="29" s="1"/>
  <c r="CC31" i="29"/>
  <c r="CD31" i="29" s="1"/>
  <c r="CE31" i="29" s="1"/>
  <c r="CF31" i="29" s="1"/>
  <c r="CG31" i="29" s="1"/>
  <c r="BQ43" i="107"/>
  <c r="BQ31" i="106"/>
  <c r="BM58" i="104"/>
  <c r="BW8" i="29"/>
  <c r="BU8" i="29"/>
  <c r="BO39" i="29"/>
  <c r="BR7" i="29"/>
  <c r="BR34" i="29"/>
  <c r="BR29" i="106" s="1"/>
  <c r="CG63" i="29" l="1"/>
  <c r="BR43" i="107"/>
  <c r="BR31" i="106"/>
  <c r="BX8" i="29"/>
  <c r="BU40" i="29"/>
  <c r="BS7" i="29"/>
  <c r="BS34" i="29"/>
  <c r="BS29" i="106" s="1"/>
  <c r="BS43" i="107" l="1"/>
  <c r="BS31" i="106"/>
  <c r="BK141" i="3"/>
  <c r="BK70" i="3"/>
  <c r="BY8" i="29"/>
  <c r="BT7" i="29"/>
  <c r="BT34" i="29"/>
  <c r="BT29" i="106" s="1"/>
  <c r="BU29" i="106" l="1"/>
  <c r="BT43" i="107"/>
  <c r="BZ8" i="29"/>
  <c r="BW7" i="29"/>
  <c r="BU7" i="29"/>
  <c r="BU70" i="29" s="1"/>
  <c r="BW34" i="29"/>
  <c r="BW29" i="106" s="1"/>
  <c r="BU34" i="29"/>
  <c r="BW43" i="107" l="1"/>
  <c r="BW31" i="106"/>
  <c r="BU43" i="107"/>
  <c r="CC8" i="29"/>
  <c r="CA8" i="29"/>
  <c r="BX7" i="29"/>
  <c r="BU39" i="29"/>
  <c r="BU65" i="29"/>
  <c r="BX34" i="29"/>
  <c r="BX29" i="106" s="1"/>
  <c r="BX43" i="107" l="1"/>
  <c r="BX31" i="106"/>
  <c r="CA40" i="29"/>
  <c r="CD8" i="29"/>
  <c r="BY7" i="29"/>
  <c r="BY34" i="29"/>
  <c r="BY29" i="106" s="1"/>
  <c r="BY43" i="107" l="1"/>
  <c r="BY31" i="106"/>
  <c r="CE8" i="29"/>
  <c r="BZ7" i="29"/>
  <c r="BZ34" i="29"/>
  <c r="BZ29" i="106" s="1"/>
  <c r="BZ43" i="107" l="1"/>
  <c r="CA29" i="106"/>
  <c r="CF8" i="29"/>
  <c r="CC7" i="29"/>
  <c r="CA7" i="29"/>
  <c r="CC34" i="29"/>
  <c r="CC29" i="106" s="1"/>
  <c r="CA34" i="29"/>
  <c r="CA43" i="107" l="1"/>
  <c r="CC43" i="107"/>
  <c r="CC31" i="106"/>
  <c r="CG8" i="29"/>
  <c r="CA39" i="29"/>
  <c r="CD7" i="29"/>
  <c r="CA65" i="29"/>
  <c r="CD34" i="29"/>
  <c r="CD29" i="106" s="1"/>
  <c r="CD43" i="107" l="1"/>
  <c r="CD31" i="106"/>
  <c r="CG40" i="29"/>
  <c r="CE7" i="29"/>
  <c r="CE34" i="29"/>
  <c r="CE29" i="106" s="1"/>
  <c r="CE43" i="107" l="1"/>
  <c r="CE31" i="106"/>
  <c r="CF7" i="29"/>
  <c r="CF34" i="29"/>
  <c r="CF29" i="106" s="1"/>
  <c r="CG29" i="106" l="1"/>
  <c r="CF43" i="107"/>
  <c r="CG7" i="29"/>
  <c r="CG34" i="29"/>
  <c r="CG43" i="107" l="1"/>
  <c r="CG39" i="29"/>
  <c r="CG65" i="29"/>
  <c r="BH102" i="104" l="1"/>
  <c r="BH88" i="104"/>
  <c r="BH193" i="29" l="1"/>
  <c r="BK193" i="29" s="1"/>
  <c r="BL193" i="29" s="1"/>
  <c r="BM193" i="29" s="1"/>
  <c r="BN193" i="29" s="1"/>
  <c r="BL292" i="29"/>
  <c r="BM292" i="29" s="1"/>
  <c r="BN292" i="29" s="1"/>
  <c r="BH192" i="29"/>
  <c r="BI192" i="29" s="1"/>
  <c r="BI158" i="29"/>
  <c r="BQ193" i="29" l="1"/>
  <c r="BR193" i="29" s="1"/>
  <c r="BS193" i="29" s="1"/>
  <c r="BT193" i="29" s="1"/>
  <c r="BO193" i="29"/>
  <c r="BI193" i="29"/>
  <c r="BK192" i="29"/>
  <c r="BL192" i="29" s="1"/>
  <c r="BM192" i="29" s="1"/>
  <c r="BN192" i="29" s="1"/>
  <c r="BQ192" i="29" s="1"/>
  <c r="BR192" i="29" s="1"/>
  <c r="BS192" i="29" s="1"/>
  <c r="BT192" i="29" s="1"/>
  <c r="BO192" i="29" l="1"/>
  <c r="BU193" i="29"/>
  <c r="BW193" i="29"/>
  <c r="BX193" i="29" s="1"/>
  <c r="BY193" i="29" s="1"/>
  <c r="BZ193" i="29" s="1"/>
  <c r="BW192" i="29"/>
  <c r="BX192" i="29" s="1"/>
  <c r="BY192" i="29" s="1"/>
  <c r="BZ192" i="29" s="1"/>
  <c r="BU192" i="29"/>
  <c r="CC193" i="29" l="1"/>
  <c r="CD193" i="29" s="1"/>
  <c r="CE193" i="29" s="1"/>
  <c r="CF193" i="29" s="1"/>
  <c r="CG193" i="29" s="1"/>
  <c r="CA193" i="29"/>
  <c r="CC192" i="29"/>
  <c r="CD192" i="29" s="1"/>
  <c r="CE192" i="29" s="1"/>
  <c r="CF192" i="29" s="1"/>
  <c r="CG192" i="29" s="1"/>
  <c r="CA192" i="29"/>
  <c r="BG128" i="29" l="1"/>
  <c r="BF128" i="29"/>
  <c r="BG277" i="29"/>
  <c r="BG102" i="104" l="1"/>
  <c r="BG174" i="104" s="1"/>
  <c r="BG88" i="104"/>
  <c r="CF293" i="29" l="1"/>
  <c r="CE293" i="29"/>
  <c r="CD293" i="29"/>
  <c r="CC293" i="29"/>
  <c r="BZ293" i="29"/>
  <c r="BY293" i="29"/>
  <c r="BX293" i="29"/>
  <c r="BW293" i="29"/>
  <c r="BT293" i="29"/>
  <c r="BS293" i="29"/>
  <c r="BR293" i="29"/>
  <c r="BQ293" i="29"/>
  <c r="BN293" i="29"/>
  <c r="BM293" i="29"/>
  <c r="BL293" i="29"/>
  <c r="BK293" i="29"/>
  <c r="BH293" i="29"/>
  <c r="BH62" i="104" s="1"/>
  <c r="BG293" i="29"/>
  <c r="BG62" i="104" s="1"/>
  <c r="BF293" i="29"/>
  <c r="BE293" i="29"/>
  <c r="BB293" i="29"/>
  <c r="AZ293" i="29"/>
  <c r="AZ292" i="29" s="1"/>
  <c r="AY293" i="29"/>
  <c r="AX293" i="29"/>
  <c r="AU293" i="29"/>
  <c r="AU292" i="29" s="1"/>
  <c r="AT293" i="29"/>
  <c r="AT292" i="29" s="1"/>
  <c r="AS293" i="29"/>
  <c r="AS292" i="29" s="1"/>
  <c r="AR293" i="29"/>
  <c r="AO293" i="29"/>
  <c r="AO292" i="29" s="1"/>
  <c r="AN293" i="29"/>
  <c r="AN292" i="29" s="1"/>
  <c r="AM293" i="29"/>
  <c r="AM292" i="29" s="1"/>
  <c r="AL293" i="29"/>
  <c r="AI293" i="29"/>
  <c r="AI292" i="29" s="1"/>
  <c r="AH293" i="29"/>
  <c r="AH292" i="29" s="1"/>
  <c r="AG293" i="29"/>
  <c r="AG292" i="29" s="1"/>
  <c r="AF293" i="29"/>
  <c r="AE293" i="29"/>
  <c r="AE292" i="29" s="1"/>
  <c r="AC293" i="29"/>
  <c r="AC292" i="29" s="1"/>
  <c r="AB293" i="29"/>
  <c r="AB292" i="29" s="1"/>
  <c r="AA293" i="29"/>
  <c r="AA292" i="29" s="1"/>
  <c r="Z293" i="29"/>
  <c r="W293" i="29"/>
  <c r="W292" i="29" s="1"/>
  <c r="V293" i="29"/>
  <c r="V292" i="29" s="1"/>
  <c r="U293" i="29"/>
  <c r="U292" i="29" s="1"/>
  <c r="T293" i="29"/>
  <c r="Q293" i="29"/>
  <c r="Q292" i="29" s="1"/>
  <c r="P293" i="29"/>
  <c r="P292" i="29" s="1"/>
  <c r="O293" i="29"/>
  <c r="O292" i="29" s="1"/>
  <c r="N293" i="29"/>
  <c r="K293" i="29"/>
  <c r="K292" i="29" s="1"/>
  <c r="J293" i="29"/>
  <c r="J292" i="29" s="1"/>
  <c r="I293" i="29"/>
  <c r="I292" i="29" s="1"/>
  <c r="H293" i="29"/>
  <c r="E293" i="29"/>
  <c r="E292" i="29" s="1"/>
  <c r="D293" i="29"/>
  <c r="D292" i="29" s="1"/>
  <c r="C293" i="29"/>
  <c r="CL286" i="29"/>
  <c r="CK286" i="29"/>
  <c r="CJ286" i="29"/>
  <c r="CI286" i="29"/>
  <c r="CF286" i="29"/>
  <c r="CE286" i="29"/>
  <c r="CD286" i="29"/>
  <c r="CC286" i="29"/>
  <c r="BZ286" i="29"/>
  <c r="BY286" i="29"/>
  <c r="BX286" i="29"/>
  <c r="BW286" i="29"/>
  <c r="BT286" i="29"/>
  <c r="BS286" i="29"/>
  <c r="BR286" i="29"/>
  <c r="BQ286" i="29"/>
  <c r="BN286" i="29"/>
  <c r="BM286" i="29"/>
  <c r="BL286" i="29"/>
  <c r="BK286" i="29"/>
  <c r="BH286" i="29"/>
  <c r="BG286" i="29"/>
  <c r="BF286" i="29"/>
  <c r="BE286" i="29"/>
  <c r="BB286" i="29"/>
  <c r="BA286" i="29"/>
  <c r="AZ286" i="29"/>
  <c r="AY286" i="29"/>
  <c r="AV286" i="29"/>
  <c r="AU286" i="29"/>
  <c r="AT286" i="29"/>
  <c r="AS286" i="29"/>
  <c r="AP286" i="29"/>
  <c r="AO286" i="29"/>
  <c r="AN286" i="29"/>
  <c r="AM286" i="29"/>
  <c r="AJ286" i="29"/>
  <c r="AI286" i="29"/>
  <c r="AH286" i="29"/>
  <c r="AG286" i="29"/>
  <c r="AD286" i="29"/>
  <c r="AC286" i="29"/>
  <c r="AB286" i="29"/>
  <c r="AA286" i="29"/>
  <c r="Y285" i="29"/>
  <c r="S285" i="29"/>
  <c r="M285" i="29"/>
  <c r="CI282" i="29"/>
  <c r="CF282" i="29"/>
  <c r="CE282" i="29"/>
  <c r="CD282" i="29"/>
  <c r="CC282" i="29"/>
  <c r="BZ282" i="29"/>
  <c r="BY282" i="29"/>
  <c r="BX282" i="29"/>
  <c r="BW282" i="29"/>
  <c r="BT282" i="29"/>
  <c r="BS282" i="29"/>
  <c r="BR282" i="29"/>
  <c r="BQ282" i="29"/>
  <c r="BN282" i="29"/>
  <c r="BM282" i="29"/>
  <c r="BL282" i="29"/>
  <c r="BK282" i="29"/>
  <c r="BH282" i="29"/>
  <c r="BG282" i="29"/>
  <c r="BF282" i="29"/>
  <c r="BE282" i="29"/>
  <c r="BB282" i="29"/>
  <c r="BA282" i="29"/>
  <c r="AZ282" i="29"/>
  <c r="AY282" i="29"/>
  <c r="AV282" i="29"/>
  <c r="AU282" i="29"/>
  <c r="AT282" i="29"/>
  <c r="AS282" i="29"/>
  <c r="AP282" i="29"/>
  <c r="AO282" i="29"/>
  <c r="AN282" i="29"/>
  <c r="AM282" i="29"/>
  <c r="AJ282" i="29"/>
  <c r="AI282" i="29"/>
  <c r="AH282" i="29"/>
  <c r="AG282" i="29"/>
  <c r="AD282" i="29"/>
  <c r="AC282" i="29"/>
  <c r="AB282" i="29"/>
  <c r="AA282" i="29"/>
  <c r="X282" i="29"/>
  <c r="W282" i="29"/>
  <c r="V282" i="29"/>
  <c r="U282" i="29"/>
  <c r="R282" i="29"/>
  <c r="Q282" i="29"/>
  <c r="P282" i="29"/>
  <c r="O282" i="29"/>
  <c r="L282" i="29"/>
  <c r="K282" i="29"/>
  <c r="J282" i="29"/>
  <c r="I282" i="29"/>
  <c r="F282" i="29"/>
  <c r="E282" i="29"/>
  <c r="D282" i="29"/>
  <c r="C282" i="29"/>
  <c r="AI278" i="29"/>
  <c r="AI279" i="29" s="1"/>
  <c r="AH278" i="29"/>
  <c r="AH279" i="29" s="1"/>
  <c r="AG278" i="29"/>
  <c r="AG279" i="29" s="1"/>
  <c r="CF277" i="29"/>
  <c r="CE277" i="29"/>
  <c r="CD277" i="29"/>
  <c r="CC277" i="29"/>
  <c r="BZ277" i="29"/>
  <c r="BY277" i="29"/>
  <c r="BX277" i="29"/>
  <c r="BW277" i="29"/>
  <c r="BT277" i="29"/>
  <c r="BS277" i="29"/>
  <c r="BR277" i="29"/>
  <c r="BQ277" i="29"/>
  <c r="BN277" i="29"/>
  <c r="BM277" i="29"/>
  <c r="BL277" i="29"/>
  <c r="BK277" i="29"/>
  <c r="BH277" i="29"/>
  <c r="BF277" i="29"/>
  <c r="BE277" i="29"/>
  <c r="BB277" i="29"/>
  <c r="BA277" i="29"/>
  <c r="AZ277" i="29"/>
  <c r="AY277" i="29"/>
  <c r="AV277" i="29"/>
  <c r="AU277" i="29"/>
  <c r="AT277" i="29"/>
  <c r="AS277" i="29"/>
  <c r="AP277" i="29"/>
  <c r="AO277" i="29"/>
  <c r="AN277" i="29"/>
  <c r="AM277" i="29"/>
  <c r="AJ277" i="29"/>
  <c r="AI277" i="29"/>
  <c r="AH277" i="29"/>
  <c r="AG277" i="29"/>
  <c r="AE278" i="29"/>
  <c r="AE279" i="29" s="1"/>
  <c r="AC278" i="29"/>
  <c r="AC279" i="29" s="1"/>
  <c r="AB278" i="29"/>
  <c r="AB279" i="29" s="1"/>
  <c r="AA278" i="29"/>
  <c r="AA279" i="29" s="1"/>
  <c r="AD277" i="29"/>
  <c r="AC277" i="29"/>
  <c r="AB277" i="29"/>
  <c r="AA277" i="29"/>
  <c r="AA276" i="29" s="1"/>
  <c r="E277" i="29"/>
  <c r="E276" i="29" s="1"/>
  <c r="D277" i="29"/>
  <c r="D276" i="29" s="1"/>
  <c r="C277" i="29"/>
  <c r="W278" i="29"/>
  <c r="W279" i="29" s="1"/>
  <c r="V278" i="29"/>
  <c r="V279" i="29" s="1"/>
  <c r="U278" i="29"/>
  <c r="U279" i="29" s="1"/>
  <c r="W277" i="29"/>
  <c r="W276" i="29" s="1"/>
  <c r="V277" i="29"/>
  <c r="V276" i="29" s="1"/>
  <c r="U277" i="29"/>
  <c r="Q278" i="29"/>
  <c r="Q279" i="29" s="1"/>
  <c r="P278" i="29"/>
  <c r="P279" i="29" s="1"/>
  <c r="O278" i="29"/>
  <c r="O279" i="29" s="1"/>
  <c r="Q277" i="29"/>
  <c r="P277" i="29"/>
  <c r="P276" i="29" s="1"/>
  <c r="O277" i="29"/>
  <c r="O276" i="29" s="1"/>
  <c r="K278" i="29"/>
  <c r="K279" i="29" s="1"/>
  <c r="J278" i="29"/>
  <c r="J279" i="29" s="1"/>
  <c r="I278" i="29"/>
  <c r="I279" i="29" s="1"/>
  <c r="K277" i="29"/>
  <c r="K276" i="29" s="1"/>
  <c r="J277" i="29"/>
  <c r="J276" i="29" s="1"/>
  <c r="I277" i="29"/>
  <c r="BH273" i="29"/>
  <c r="BG273" i="29"/>
  <c r="BF273" i="29"/>
  <c r="BE273" i="29"/>
  <c r="BB273" i="29"/>
  <c r="BA273" i="29"/>
  <c r="AZ273" i="29"/>
  <c r="AY273" i="29"/>
  <c r="AV273" i="29"/>
  <c r="AU273" i="29"/>
  <c r="AT273" i="29"/>
  <c r="AS273" i="29"/>
  <c r="AP273" i="29"/>
  <c r="AO273" i="29"/>
  <c r="AN273" i="29"/>
  <c r="AM273" i="29"/>
  <c r="AJ273" i="29"/>
  <c r="AI273" i="29"/>
  <c r="AH273" i="29"/>
  <c r="AG273" i="29"/>
  <c r="AD273" i="29"/>
  <c r="AC273" i="29"/>
  <c r="AB273" i="29"/>
  <c r="AA273" i="29"/>
  <c r="X273" i="29"/>
  <c r="W273" i="29"/>
  <c r="V273" i="29"/>
  <c r="U273" i="29"/>
  <c r="R273" i="29"/>
  <c r="Q273" i="29"/>
  <c r="P273" i="29"/>
  <c r="O273" i="29"/>
  <c r="L273" i="29"/>
  <c r="K273" i="29"/>
  <c r="J273" i="29"/>
  <c r="I273" i="29"/>
  <c r="F273" i="29"/>
  <c r="E273" i="29"/>
  <c r="D273" i="29"/>
  <c r="C273" i="29"/>
  <c r="AB265" i="29"/>
  <c r="AA265" i="29"/>
  <c r="AB264" i="29"/>
  <c r="AA264" i="29"/>
  <c r="AB263" i="29"/>
  <c r="AA263" i="29"/>
  <c r="X265" i="29"/>
  <c r="W265" i="29"/>
  <c r="V265" i="29"/>
  <c r="U265" i="29"/>
  <c r="X264" i="29"/>
  <c r="W264" i="29"/>
  <c r="V264" i="29"/>
  <c r="U264" i="29"/>
  <c r="X263" i="29"/>
  <c r="W263" i="29"/>
  <c r="V263" i="29"/>
  <c r="U263" i="29"/>
  <c r="R265" i="29"/>
  <c r="Q265" i="29"/>
  <c r="P265" i="29"/>
  <c r="O265" i="29"/>
  <c r="R264" i="29"/>
  <c r="Q264" i="29"/>
  <c r="P264" i="29"/>
  <c r="O264" i="29"/>
  <c r="R263" i="29"/>
  <c r="Q263" i="29"/>
  <c r="P263" i="29"/>
  <c r="O263" i="29"/>
  <c r="L265" i="29"/>
  <c r="K265" i="29"/>
  <c r="J265" i="29"/>
  <c r="I265" i="29"/>
  <c r="L264" i="29"/>
  <c r="K264" i="29"/>
  <c r="J264" i="29"/>
  <c r="I264" i="29"/>
  <c r="L263" i="29"/>
  <c r="K263" i="29"/>
  <c r="J263" i="29"/>
  <c r="I263" i="29"/>
  <c r="F265" i="29"/>
  <c r="E265" i="29"/>
  <c r="D265" i="29"/>
  <c r="C265" i="29"/>
  <c r="F264" i="29"/>
  <c r="E264" i="29"/>
  <c r="D264" i="29"/>
  <c r="C264" i="29"/>
  <c r="F263" i="29"/>
  <c r="E263" i="29"/>
  <c r="D263" i="29"/>
  <c r="C263" i="29"/>
  <c r="AB261" i="29"/>
  <c r="AA261" i="29"/>
  <c r="X261" i="29"/>
  <c r="W261" i="29"/>
  <c r="V261" i="29"/>
  <c r="U261" i="29"/>
  <c r="AC258" i="29"/>
  <c r="AC265" i="29" s="1"/>
  <c r="AC257" i="29"/>
  <c r="AC256" i="29"/>
  <c r="AH254" i="29"/>
  <c r="AI254" i="29" s="1"/>
  <c r="AC254" i="29"/>
  <c r="AC261" i="29" s="1"/>
  <c r="CL251" i="29"/>
  <c r="CK251" i="29"/>
  <c r="CJ251" i="29"/>
  <c r="CI251" i="29"/>
  <c r="CF251" i="29"/>
  <c r="CE251" i="29"/>
  <c r="CD251" i="29"/>
  <c r="CC251" i="29"/>
  <c r="BZ251" i="29"/>
  <c r="BY251" i="29"/>
  <c r="BX251" i="29"/>
  <c r="BW251" i="29"/>
  <c r="BT251" i="29"/>
  <c r="BS251" i="29"/>
  <c r="BR251" i="29"/>
  <c r="BQ251" i="29"/>
  <c r="BN251" i="29"/>
  <c r="BM251" i="29"/>
  <c r="BL251" i="29"/>
  <c r="BK251" i="29"/>
  <c r="BH251" i="29"/>
  <c r="BG251" i="29"/>
  <c r="BF251" i="29"/>
  <c r="BE251" i="29"/>
  <c r="CL249" i="29"/>
  <c r="CK249" i="29"/>
  <c r="CJ249" i="29"/>
  <c r="CI249" i="29"/>
  <c r="CF249" i="29"/>
  <c r="CE249" i="29"/>
  <c r="CD249" i="29"/>
  <c r="CC249" i="29"/>
  <c r="BZ249" i="29"/>
  <c r="BY249" i="29"/>
  <c r="BX249" i="29"/>
  <c r="BW249" i="29"/>
  <c r="BT249" i="29"/>
  <c r="BS249" i="29"/>
  <c r="BR249" i="29"/>
  <c r="BQ249" i="29"/>
  <c r="BN249" i="29"/>
  <c r="BM249" i="29"/>
  <c r="BL249" i="29"/>
  <c r="BK249" i="29"/>
  <c r="BH249" i="29"/>
  <c r="BG249" i="29"/>
  <c r="BF249" i="29"/>
  <c r="CM248" i="29"/>
  <c r="CM247" i="29"/>
  <c r="CM246" i="29"/>
  <c r="CG248" i="29"/>
  <c r="CG247" i="29"/>
  <c r="CG246" i="29"/>
  <c r="CA248" i="29"/>
  <c r="CA247" i="29"/>
  <c r="CA246" i="29"/>
  <c r="BU248" i="29"/>
  <c r="BU247" i="29"/>
  <c r="BU246" i="29"/>
  <c r="BO248" i="29"/>
  <c r="BO247" i="29"/>
  <c r="BO246" i="29"/>
  <c r="BE248" i="29"/>
  <c r="BI248" i="29" s="1"/>
  <c r="BE247" i="29"/>
  <c r="BI247" i="29" s="1"/>
  <c r="BE246" i="29"/>
  <c r="BI246" i="29" s="1"/>
  <c r="BA248" i="29"/>
  <c r="AZ248" i="29"/>
  <c r="AY248" i="29"/>
  <c r="BA247" i="29"/>
  <c r="AZ247" i="29"/>
  <c r="AY247" i="29"/>
  <c r="BA246" i="29"/>
  <c r="AZ246" i="29"/>
  <c r="AY246" i="29"/>
  <c r="AT248" i="29"/>
  <c r="AS248" i="29"/>
  <c r="AT247" i="29"/>
  <c r="AS247" i="29"/>
  <c r="AT246" i="29"/>
  <c r="AS246" i="29"/>
  <c r="AP248" i="29"/>
  <c r="AO248" i="29"/>
  <c r="AN248" i="29"/>
  <c r="AM248" i="29"/>
  <c r="AP247" i="29"/>
  <c r="AO247" i="29"/>
  <c r="AN247" i="29"/>
  <c r="AM247" i="29"/>
  <c r="AP246" i="29"/>
  <c r="AO246" i="29"/>
  <c r="AN246" i="29"/>
  <c r="AM246" i="29"/>
  <c r="AJ248" i="29"/>
  <c r="AI248" i="29"/>
  <c r="AH248" i="29"/>
  <c r="AG248" i="29"/>
  <c r="AJ247" i="29"/>
  <c r="AI247" i="29"/>
  <c r="AH247" i="29"/>
  <c r="AG247" i="29"/>
  <c r="AJ246" i="29"/>
  <c r="AI246" i="29"/>
  <c r="AH246" i="29"/>
  <c r="AG246" i="29"/>
  <c r="AD248" i="29"/>
  <c r="AC248" i="29"/>
  <c r="AB248" i="29"/>
  <c r="AA248" i="29"/>
  <c r="AD247" i="29"/>
  <c r="AC247" i="29"/>
  <c r="AB247" i="29"/>
  <c r="AA247" i="29"/>
  <c r="AD246" i="29"/>
  <c r="AC246" i="29"/>
  <c r="AB246" i="29"/>
  <c r="AA246" i="29"/>
  <c r="X248" i="29"/>
  <c r="W248" i="29"/>
  <c r="V248" i="29"/>
  <c r="U248" i="29"/>
  <c r="X247" i="29"/>
  <c r="W247" i="29"/>
  <c r="V247" i="29"/>
  <c r="U247" i="29"/>
  <c r="X246" i="29"/>
  <c r="W246" i="29"/>
  <c r="V246" i="29"/>
  <c r="U246" i="29"/>
  <c r="R248" i="29"/>
  <c r="Q248" i="29"/>
  <c r="P248" i="29"/>
  <c r="O248" i="29"/>
  <c r="R247" i="29"/>
  <c r="Q247" i="29"/>
  <c r="P247" i="29"/>
  <c r="O247" i="29"/>
  <c r="R246" i="29"/>
  <c r="Q246" i="29"/>
  <c r="P246" i="29"/>
  <c r="O246" i="29"/>
  <c r="L248" i="29"/>
  <c r="K248" i="29"/>
  <c r="J248" i="29"/>
  <c r="I248" i="29"/>
  <c r="L247" i="29"/>
  <c r="K247" i="29"/>
  <c r="J247" i="29"/>
  <c r="I247" i="29"/>
  <c r="L246" i="29"/>
  <c r="K246" i="29"/>
  <c r="J246" i="29"/>
  <c r="I246" i="29"/>
  <c r="F248" i="29"/>
  <c r="E248" i="29"/>
  <c r="D248" i="29"/>
  <c r="F247" i="29"/>
  <c r="E247" i="29"/>
  <c r="D247" i="29"/>
  <c r="F246" i="29"/>
  <c r="E246" i="29"/>
  <c r="D246" i="29"/>
  <c r="CM244" i="29"/>
  <c r="CG244" i="29"/>
  <c r="CA244" i="29"/>
  <c r="BU244" i="29"/>
  <c r="BO244" i="29"/>
  <c r="BE244" i="29"/>
  <c r="BB244" i="29"/>
  <c r="BB249" i="29" s="1"/>
  <c r="BA244" i="29"/>
  <c r="AZ244" i="29"/>
  <c r="AY244" i="29"/>
  <c r="AV244" i="29"/>
  <c r="AV249" i="29" s="1"/>
  <c r="AU244" i="29"/>
  <c r="AU249" i="29" s="1"/>
  <c r="AT244" i="29"/>
  <c r="AS244" i="29"/>
  <c r="AP244" i="29"/>
  <c r="AO244" i="29"/>
  <c r="AN244" i="29"/>
  <c r="AM244" i="29"/>
  <c r="AJ244" i="29"/>
  <c r="AI244" i="29"/>
  <c r="AC244" i="29"/>
  <c r="AB244" i="29"/>
  <c r="AA244" i="29"/>
  <c r="X244" i="29"/>
  <c r="X249" i="29" s="1"/>
  <c r="W244" i="29"/>
  <c r="V244" i="29"/>
  <c r="U244" i="29"/>
  <c r="BE240" i="29"/>
  <c r="BB240" i="29"/>
  <c r="BA240" i="29"/>
  <c r="AZ240" i="29"/>
  <c r="AY240" i="29"/>
  <c r="AV240" i="29"/>
  <c r="AU240" i="29"/>
  <c r="AT240" i="29"/>
  <c r="AS240" i="29"/>
  <c r="AP240" i="29"/>
  <c r="AO240" i="29"/>
  <c r="AN240" i="29"/>
  <c r="AM240" i="29"/>
  <c r="AJ240" i="29"/>
  <c r="AI240" i="29"/>
  <c r="AH240" i="29"/>
  <c r="AC240" i="29"/>
  <c r="AB240" i="29"/>
  <c r="AA240" i="29"/>
  <c r="X240" i="29"/>
  <c r="W240" i="29"/>
  <c r="V240" i="29"/>
  <c r="U240" i="29"/>
  <c r="R240" i="29"/>
  <c r="BC239" i="29"/>
  <c r="BC238" i="29"/>
  <c r="BC237" i="29"/>
  <c r="AW239" i="29"/>
  <c r="AW238" i="29"/>
  <c r="AW237" i="29"/>
  <c r="AQ239" i="29"/>
  <c r="AQ238" i="29"/>
  <c r="AQ237" i="29"/>
  <c r="AK239" i="29"/>
  <c r="AK238" i="29"/>
  <c r="AK237" i="29"/>
  <c r="AK236" i="29"/>
  <c r="AK235" i="29"/>
  <c r="AE239" i="29"/>
  <c r="AE238" i="29"/>
  <c r="AE237" i="29"/>
  <c r="Y239" i="29"/>
  <c r="Y238" i="29"/>
  <c r="Y237" i="29"/>
  <c r="S239" i="29"/>
  <c r="S238" i="29"/>
  <c r="S237" i="29"/>
  <c r="M239" i="29"/>
  <c r="M238" i="29"/>
  <c r="M237" i="29"/>
  <c r="G239" i="29"/>
  <c r="G238" i="29"/>
  <c r="G237" i="29"/>
  <c r="BF239" i="29"/>
  <c r="BG239" i="29" s="1"/>
  <c r="BH239" i="29" s="1"/>
  <c r="BK239" i="29" s="1"/>
  <c r="BL239" i="29" s="1"/>
  <c r="BM239" i="29" s="1"/>
  <c r="BN239" i="29" s="1"/>
  <c r="BF238" i="29"/>
  <c r="BG238" i="29" s="1"/>
  <c r="BH238" i="29" s="1"/>
  <c r="BF237" i="29"/>
  <c r="BG237" i="29" s="1"/>
  <c r="BH237" i="29" s="1"/>
  <c r="BF235" i="29"/>
  <c r="BC235" i="29"/>
  <c r="AW235" i="29"/>
  <c r="AQ235" i="29"/>
  <c r="AG235" i="29"/>
  <c r="AG240" i="29" s="1"/>
  <c r="AD235" i="29"/>
  <c r="AD244" i="29" s="1"/>
  <c r="Y235" i="29"/>
  <c r="S235" i="29"/>
  <c r="Q235" i="29"/>
  <c r="P235" i="29"/>
  <c r="O235" i="29"/>
  <c r="O240" i="29" s="1"/>
  <c r="L235" i="29"/>
  <c r="K235" i="29"/>
  <c r="J235" i="29"/>
  <c r="J240" i="29" s="1"/>
  <c r="I235" i="29"/>
  <c r="I240" i="29" s="1"/>
  <c r="F235" i="29"/>
  <c r="E235" i="29"/>
  <c r="E240" i="29" s="1"/>
  <c r="D235" i="29"/>
  <c r="C235" i="29"/>
  <c r="C240" i="29" s="1"/>
  <c r="BF227" i="29"/>
  <c r="BE227" i="29"/>
  <c r="AZ227" i="29"/>
  <c r="AY227" i="29"/>
  <c r="AU227" i="29"/>
  <c r="AT227" i="29"/>
  <c r="AS227" i="29"/>
  <c r="AO227" i="29"/>
  <c r="AN227" i="29"/>
  <c r="AM227" i="29"/>
  <c r="AI227" i="29"/>
  <c r="AH227" i="29"/>
  <c r="AG227" i="29"/>
  <c r="AC227" i="29"/>
  <c r="AB227" i="29"/>
  <c r="AA227" i="29"/>
  <c r="W227" i="29"/>
  <c r="V227" i="29"/>
  <c r="U227" i="29"/>
  <c r="Q227" i="29"/>
  <c r="P227" i="29"/>
  <c r="O227" i="29"/>
  <c r="K227" i="29"/>
  <c r="J227" i="29"/>
  <c r="I227" i="29"/>
  <c r="E227" i="29"/>
  <c r="D227" i="29"/>
  <c r="C227" i="29"/>
  <c r="AE222" i="29"/>
  <c r="AE221" i="29"/>
  <c r="AE220" i="29"/>
  <c r="AE219" i="29"/>
  <c r="AE218" i="29"/>
  <c r="Y222" i="29"/>
  <c r="Y221" i="29"/>
  <c r="Y220" i="29"/>
  <c r="Y219" i="29"/>
  <c r="Y218" i="29"/>
  <c r="S222" i="29"/>
  <c r="S221" i="29"/>
  <c r="M222" i="29"/>
  <c r="M221" i="29"/>
  <c r="CG223" i="29"/>
  <c r="CA223" i="29"/>
  <c r="BU223" i="29"/>
  <c r="BO223" i="29"/>
  <c r="BI223" i="29"/>
  <c r="BC223" i="29"/>
  <c r="AW223" i="29"/>
  <c r="AQ223" i="29"/>
  <c r="AK223" i="29"/>
  <c r="S219" i="29"/>
  <c r="S218" i="29"/>
  <c r="M219" i="29"/>
  <c r="M218" i="29"/>
  <c r="AE214" i="29"/>
  <c r="AE213" i="29"/>
  <c r="Y214" i="29"/>
  <c r="Y213" i="29"/>
  <c r="Y212" i="29"/>
  <c r="Y211" i="29"/>
  <c r="S213" i="29"/>
  <c r="S212" i="29"/>
  <c r="S211" i="29"/>
  <c r="M213" i="29"/>
  <c r="M212" i="29"/>
  <c r="M211" i="29"/>
  <c r="AE207" i="29"/>
  <c r="AE205" i="29"/>
  <c r="AE204" i="29"/>
  <c r="AE203" i="29"/>
  <c r="Y207" i="29"/>
  <c r="Y206" i="29"/>
  <c r="Y205" i="29"/>
  <c r="Y204" i="29"/>
  <c r="Y203" i="29"/>
  <c r="S207" i="29"/>
  <c r="S206" i="29"/>
  <c r="S205" i="29"/>
  <c r="S204" i="29"/>
  <c r="S203" i="29"/>
  <c r="M207" i="29"/>
  <c r="M206" i="29"/>
  <c r="M205" i="29"/>
  <c r="M204" i="29"/>
  <c r="M203" i="29"/>
  <c r="CF172" i="29"/>
  <c r="CE172" i="29"/>
  <c r="CD172" i="29"/>
  <c r="CC172" i="29"/>
  <c r="BZ172" i="29"/>
  <c r="BY172" i="29"/>
  <c r="BX172" i="29"/>
  <c r="BW172" i="29"/>
  <c r="BT172" i="29"/>
  <c r="BS172" i="29"/>
  <c r="BR172" i="29"/>
  <c r="BQ172" i="29"/>
  <c r="BN172" i="29"/>
  <c r="BM172" i="29"/>
  <c r="BL172" i="29"/>
  <c r="BK172" i="29"/>
  <c r="BH172" i="29"/>
  <c r="BG172" i="29"/>
  <c r="BF172" i="29"/>
  <c r="BE172" i="29"/>
  <c r="AV172" i="29"/>
  <c r="AT172" i="29"/>
  <c r="AS172" i="29"/>
  <c r="AP172" i="29"/>
  <c r="AO172" i="29"/>
  <c r="AN172" i="29"/>
  <c r="AM172" i="29"/>
  <c r="AI172" i="29"/>
  <c r="AH172" i="29"/>
  <c r="AE171" i="29"/>
  <c r="AE170" i="29"/>
  <c r="Y171" i="29"/>
  <c r="Y170" i="29"/>
  <c r="Y169" i="29"/>
  <c r="Y168" i="29"/>
  <c r="Y167" i="29"/>
  <c r="S171" i="29"/>
  <c r="S170" i="29"/>
  <c r="S169" i="29"/>
  <c r="S168" i="29"/>
  <c r="S167" i="29"/>
  <c r="M171" i="29"/>
  <c r="M170" i="29"/>
  <c r="M169" i="29"/>
  <c r="M168" i="29"/>
  <c r="M167" i="29"/>
  <c r="CG171" i="29"/>
  <c r="CG170" i="29"/>
  <c r="CG169" i="29"/>
  <c r="CG168" i="29"/>
  <c r="CG167" i="29"/>
  <c r="CA171" i="29"/>
  <c r="CA170" i="29"/>
  <c r="CA169" i="29"/>
  <c r="CA168" i="29"/>
  <c r="CA167" i="29"/>
  <c r="BU171" i="29"/>
  <c r="BU170" i="29"/>
  <c r="BU169" i="29"/>
  <c r="BU168" i="29"/>
  <c r="BU167" i="29"/>
  <c r="BO171" i="29"/>
  <c r="BO170" i="29"/>
  <c r="BO169" i="29"/>
  <c r="BO168" i="29"/>
  <c r="BO167" i="29"/>
  <c r="BI171" i="29"/>
  <c r="BI170" i="29"/>
  <c r="BI169" i="29"/>
  <c r="BI168" i="29"/>
  <c r="BI167" i="29"/>
  <c r="BC171" i="29"/>
  <c r="BC170" i="29"/>
  <c r="BC169" i="29"/>
  <c r="BC168" i="29"/>
  <c r="AW171" i="29"/>
  <c r="AW169" i="29"/>
  <c r="AW168" i="29"/>
  <c r="AW167" i="29"/>
  <c r="AQ171" i="29"/>
  <c r="AQ170" i="29"/>
  <c r="AQ169" i="29"/>
  <c r="AQ168" i="29"/>
  <c r="AQ167" i="29"/>
  <c r="AU170" i="29"/>
  <c r="AW170" i="29" s="1"/>
  <c r="AE168" i="29"/>
  <c r="AE167" i="29"/>
  <c r="BB167" i="29"/>
  <c r="BB172" i="29" s="1"/>
  <c r="BA167" i="29"/>
  <c r="BA172" i="29" s="1"/>
  <c r="AZ167" i="29"/>
  <c r="AZ172" i="29" s="1"/>
  <c r="AY167" i="29"/>
  <c r="AY172" i="29" s="1"/>
  <c r="AJ167" i="29"/>
  <c r="AJ172" i="29" s="1"/>
  <c r="AE162" i="29"/>
  <c r="AE161" i="29"/>
  <c r="Y162" i="29"/>
  <c r="Y161" i="29"/>
  <c r="S162" i="29"/>
  <c r="S161" i="29"/>
  <c r="M162" i="29"/>
  <c r="M161" i="29"/>
  <c r="CF163" i="29"/>
  <c r="CD163" i="29"/>
  <c r="CC163" i="29"/>
  <c r="CB163" i="29"/>
  <c r="BZ163" i="29"/>
  <c r="BX163" i="29"/>
  <c r="BW163" i="29"/>
  <c r="BV163" i="29"/>
  <c r="BT163" i="29"/>
  <c r="BR163" i="29"/>
  <c r="BQ163" i="29"/>
  <c r="BP163" i="29"/>
  <c r="BL163" i="29"/>
  <c r="BK163" i="29"/>
  <c r="BJ163" i="29"/>
  <c r="BH163" i="29"/>
  <c r="BG163" i="29"/>
  <c r="BF163" i="29"/>
  <c r="BE163" i="29"/>
  <c r="BD163" i="29"/>
  <c r="AX163" i="29"/>
  <c r="AV163" i="29"/>
  <c r="AT163" i="29"/>
  <c r="AS163" i="29"/>
  <c r="AP163" i="29"/>
  <c r="AO163" i="29"/>
  <c r="AN163" i="29"/>
  <c r="AM163" i="29"/>
  <c r="AJ163" i="29"/>
  <c r="AI163" i="29"/>
  <c r="AH163" i="29"/>
  <c r="CG162" i="29"/>
  <c r="CG161" i="29"/>
  <c r="CG160" i="29"/>
  <c r="CG158" i="29"/>
  <c r="CA162" i="29"/>
  <c r="CA161" i="29"/>
  <c r="CA160" i="29"/>
  <c r="CA158" i="29"/>
  <c r="BU162" i="29"/>
  <c r="BU161" i="29"/>
  <c r="BU160" i="29"/>
  <c r="BU158" i="29"/>
  <c r="BO162" i="29"/>
  <c r="BO161" i="29"/>
  <c r="BO160" i="29"/>
  <c r="BO158" i="29"/>
  <c r="BI162" i="29"/>
  <c r="BI161" i="29"/>
  <c r="BI160" i="29"/>
  <c r="BI159" i="29"/>
  <c r="BC162" i="29"/>
  <c r="BC161" i="29"/>
  <c r="BC160" i="29"/>
  <c r="BC159" i="29"/>
  <c r="AW162" i="29"/>
  <c r="AW161" i="29"/>
  <c r="AW159" i="29"/>
  <c r="AQ162" i="29"/>
  <c r="AQ161" i="29"/>
  <c r="AQ160" i="29"/>
  <c r="AQ159" i="29"/>
  <c r="AQ158" i="29"/>
  <c r="AK160" i="29"/>
  <c r="AU160" i="29"/>
  <c r="Y159" i="29"/>
  <c r="Y158" i="29"/>
  <c r="S159" i="29"/>
  <c r="S158" i="29"/>
  <c r="M159" i="29"/>
  <c r="M158" i="29"/>
  <c r="BB158" i="29"/>
  <c r="BB163" i="29" s="1"/>
  <c r="BA158" i="29"/>
  <c r="BA163" i="29" s="1"/>
  <c r="AZ158" i="29"/>
  <c r="AZ163" i="29" s="1"/>
  <c r="AY158" i="29"/>
  <c r="AY163" i="29" s="1"/>
  <c r="AU158" i="29"/>
  <c r="CF155" i="29"/>
  <c r="CE155" i="29"/>
  <c r="CD155" i="29"/>
  <c r="CC155" i="29"/>
  <c r="BZ155" i="29"/>
  <c r="BY155" i="29"/>
  <c r="BX155" i="29"/>
  <c r="BW155" i="29"/>
  <c r="BT155" i="29"/>
  <c r="BS155" i="29"/>
  <c r="BR155" i="29"/>
  <c r="BQ155" i="29"/>
  <c r="BN155" i="29"/>
  <c r="BM155" i="29"/>
  <c r="BL155" i="29"/>
  <c r="BK155" i="29"/>
  <c r="BH155" i="29"/>
  <c r="BG155" i="29"/>
  <c r="BF155" i="29"/>
  <c r="BB155" i="29"/>
  <c r="BA155" i="29"/>
  <c r="AZ155" i="29"/>
  <c r="AY155" i="29"/>
  <c r="AV155" i="29"/>
  <c r="AU155" i="29"/>
  <c r="AT155" i="29"/>
  <c r="AP155" i="29"/>
  <c r="AO155" i="29"/>
  <c r="AN155" i="29"/>
  <c r="AM155" i="29"/>
  <c r="AJ155" i="29"/>
  <c r="AI155" i="29"/>
  <c r="AH155" i="29"/>
  <c r="AE154" i="29"/>
  <c r="AE152" i="29"/>
  <c r="AE151" i="29"/>
  <c r="AE150" i="29"/>
  <c r="Y154" i="29"/>
  <c r="Y153" i="29"/>
  <c r="Y152" i="29"/>
  <c r="Y151" i="29"/>
  <c r="Y150" i="29"/>
  <c r="S154" i="29"/>
  <c r="S153" i="29"/>
  <c r="S152" i="29"/>
  <c r="S151" i="29"/>
  <c r="S150" i="29"/>
  <c r="M154" i="29"/>
  <c r="M153" i="29"/>
  <c r="M152" i="29"/>
  <c r="M151" i="29"/>
  <c r="M150" i="29"/>
  <c r="CG154" i="29"/>
  <c r="CG153" i="29"/>
  <c r="CG152" i="29"/>
  <c r="CG151" i="29"/>
  <c r="CG150" i="29"/>
  <c r="CA154" i="29"/>
  <c r="CA153" i="29"/>
  <c r="CA152" i="29"/>
  <c r="CA151" i="29"/>
  <c r="CA150" i="29"/>
  <c r="BU154" i="29"/>
  <c r="BU153" i="29"/>
  <c r="BU152" i="29"/>
  <c r="BU151" i="29"/>
  <c r="BU150" i="29"/>
  <c r="BO154" i="29"/>
  <c r="BO153" i="29"/>
  <c r="BO152" i="29"/>
  <c r="BO151" i="29"/>
  <c r="BO150" i="29"/>
  <c r="BI154" i="29"/>
  <c r="BI153" i="29"/>
  <c r="BI152" i="29"/>
  <c r="BI151" i="29"/>
  <c r="BC154" i="29"/>
  <c r="BC153" i="29"/>
  <c r="BC152" i="29"/>
  <c r="BC151" i="29"/>
  <c r="BC150" i="29"/>
  <c r="AW154" i="29"/>
  <c r="AW153" i="29"/>
  <c r="AW152" i="29"/>
  <c r="AW151" i="29"/>
  <c r="AQ154" i="29"/>
  <c r="AQ153" i="29"/>
  <c r="AQ152" i="29"/>
  <c r="AQ151" i="29"/>
  <c r="AQ150" i="29"/>
  <c r="BE150" i="29"/>
  <c r="BE155" i="29" s="1"/>
  <c r="AS150" i="29"/>
  <c r="AW150" i="29" s="1"/>
  <c r="BC143" i="29"/>
  <c r="AW143" i="29"/>
  <c r="AQ143" i="29"/>
  <c r="AK143" i="29"/>
  <c r="AE143" i="29"/>
  <c r="AK141" i="29"/>
  <c r="AE140" i="29"/>
  <c r="Y140" i="29"/>
  <c r="S140" i="29"/>
  <c r="M140" i="29"/>
  <c r="G140" i="29"/>
  <c r="AW140" i="29"/>
  <c r="AV140" i="29" s="1"/>
  <c r="AQ140" i="29"/>
  <c r="BC139" i="29"/>
  <c r="AV139" i="29"/>
  <c r="AY139" i="29" s="1"/>
  <c r="AZ139" i="29" s="1"/>
  <c r="BA139" i="29" s="1"/>
  <c r="AS139" i="29"/>
  <c r="AV138" i="29"/>
  <c r="AS138" i="29"/>
  <c r="AS221" i="29" s="1"/>
  <c r="BB138" i="29"/>
  <c r="AY138" i="29"/>
  <c r="BB137" i="29"/>
  <c r="BE137" i="29" s="1"/>
  <c r="AN137" i="29"/>
  <c r="AG139" i="29"/>
  <c r="AG222" i="29" s="1"/>
  <c r="AG137" i="29"/>
  <c r="AH137" i="29" s="1"/>
  <c r="AI137" i="29" s="1"/>
  <c r="AV137" i="29"/>
  <c r="AY137" i="29" s="1"/>
  <c r="AT137" i="29"/>
  <c r="AV136" i="29"/>
  <c r="AS136" i="29"/>
  <c r="AT136" i="29" s="1"/>
  <c r="AG136" i="29"/>
  <c r="AG219" i="29" s="1"/>
  <c r="BE138" i="29"/>
  <c r="BF138" i="29" s="1"/>
  <c r="BG138" i="29" s="1"/>
  <c r="BC136" i="29"/>
  <c r="AY136" i="29"/>
  <c r="BC135" i="29"/>
  <c r="AW135" i="29"/>
  <c r="AQ135" i="29"/>
  <c r="AG135" i="29"/>
  <c r="AH135" i="29" s="1"/>
  <c r="BC132" i="29"/>
  <c r="BB132" i="29" s="1"/>
  <c r="Y132" i="29"/>
  <c r="S132" i="29"/>
  <c r="M132" i="29"/>
  <c r="G132" i="29"/>
  <c r="AQ131" i="29"/>
  <c r="AM131" i="29"/>
  <c r="CF131" i="29"/>
  <c r="CE131" i="29"/>
  <c r="CD131" i="29"/>
  <c r="CC131" i="29"/>
  <c r="CF130" i="29"/>
  <c r="CG130" i="29" s="1"/>
  <c r="CE130" i="29"/>
  <c r="CD130" i="29"/>
  <c r="CC130" i="29"/>
  <c r="BZ131" i="29"/>
  <c r="CA131" i="29" s="1"/>
  <c r="BY131" i="29"/>
  <c r="BX131" i="29"/>
  <c r="BW131" i="29"/>
  <c r="BZ130" i="29"/>
  <c r="CA130" i="29" s="1"/>
  <c r="BY130" i="29"/>
  <c r="BX130" i="29"/>
  <c r="BW130" i="29"/>
  <c r="BT131" i="29"/>
  <c r="BS131" i="29"/>
  <c r="BR131" i="29"/>
  <c r="BQ131" i="29"/>
  <c r="BT130" i="29"/>
  <c r="BU130" i="29" s="1"/>
  <c r="BS130" i="29"/>
  <c r="BR130" i="29"/>
  <c r="BQ130" i="29"/>
  <c r="BN131" i="29"/>
  <c r="BO131" i="29" s="1"/>
  <c r="BM131" i="29"/>
  <c r="BL131" i="29"/>
  <c r="BK131" i="29"/>
  <c r="BN130" i="29"/>
  <c r="BO130" i="29" s="1"/>
  <c r="BM130" i="29"/>
  <c r="BL130" i="29"/>
  <c r="BK130" i="29"/>
  <c r="BH131" i="29"/>
  <c r="BG131" i="29"/>
  <c r="BF131" i="29"/>
  <c r="BE131" i="29"/>
  <c r="BH130" i="29"/>
  <c r="BI130" i="29" s="1"/>
  <c r="BG130" i="29"/>
  <c r="BF130" i="29"/>
  <c r="BE130" i="29"/>
  <c r="AQ130" i="29"/>
  <c r="AQ128" i="29"/>
  <c r="AQ127" i="29"/>
  <c r="AG131" i="29"/>
  <c r="AG162" i="29" s="1"/>
  <c r="AK162" i="29" s="1"/>
  <c r="AG130" i="29"/>
  <c r="CF129" i="29"/>
  <c r="CE129" i="29"/>
  <c r="CD129" i="29"/>
  <c r="CC129" i="29"/>
  <c r="BZ129" i="29"/>
  <c r="BY129" i="29"/>
  <c r="BX129" i="29"/>
  <c r="BW129" i="29"/>
  <c r="BT129" i="29"/>
  <c r="BS129" i="29"/>
  <c r="BR129" i="29"/>
  <c r="BQ129" i="29"/>
  <c r="BN129" i="29"/>
  <c r="BM129" i="29"/>
  <c r="BL129" i="29"/>
  <c r="BK129" i="29"/>
  <c r="BH129" i="29"/>
  <c r="BG129" i="29"/>
  <c r="BF129" i="29"/>
  <c r="BE129" i="29"/>
  <c r="AE128" i="29"/>
  <c r="AE127" i="29"/>
  <c r="CF128" i="29"/>
  <c r="CE128" i="29"/>
  <c r="CF127" i="29"/>
  <c r="CG127" i="29" s="1"/>
  <c r="CE127" i="29"/>
  <c r="CD127" i="29"/>
  <c r="CC127" i="29"/>
  <c r="BZ127" i="29"/>
  <c r="CA127" i="29" s="1"/>
  <c r="BY127" i="29"/>
  <c r="BX127" i="29"/>
  <c r="BW127" i="29"/>
  <c r="BT127" i="29"/>
  <c r="BU127" i="29" s="1"/>
  <c r="BS127" i="29"/>
  <c r="BR127" i="29"/>
  <c r="BQ127" i="29"/>
  <c r="BN127" i="29"/>
  <c r="BM127" i="29"/>
  <c r="BL127" i="29"/>
  <c r="BK127" i="29"/>
  <c r="BE128" i="29"/>
  <c r="BH127" i="29"/>
  <c r="BI127" i="29" s="1"/>
  <c r="BG127" i="29"/>
  <c r="BF127" i="29"/>
  <c r="BE127" i="29"/>
  <c r="BB131" i="29"/>
  <c r="BA131" i="29"/>
  <c r="AZ131" i="29"/>
  <c r="AY131" i="29"/>
  <c r="BB130" i="29"/>
  <c r="BA130" i="29"/>
  <c r="AZ130" i="29"/>
  <c r="AY130" i="29"/>
  <c r="BB129" i="29"/>
  <c r="BA129" i="29"/>
  <c r="AZ129" i="29"/>
  <c r="AY129" i="29"/>
  <c r="BB128" i="29"/>
  <c r="BA128" i="29"/>
  <c r="AZ128" i="29"/>
  <c r="AY128" i="29"/>
  <c r="BB127" i="29"/>
  <c r="AV132" i="29"/>
  <c r="AV131" i="29"/>
  <c r="AU131" i="29"/>
  <c r="AT131" i="29"/>
  <c r="AS131" i="29"/>
  <c r="AV130" i="29"/>
  <c r="AU130" i="29"/>
  <c r="AT130" i="29"/>
  <c r="AS130" i="29"/>
  <c r="AV129" i="29"/>
  <c r="AU129" i="29"/>
  <c r="AS129" i="29"/>
  <c r="AV128" i="29"/>
  <c r="AU128" i="29"/>
  <c r="AT128" i="29"/>
  <c r="AS128" i="29"/>
  <c r="AV127" i="29"/>
  <c r="AW124" i="29"/>
  <c r="AV124" i="29" s="1"/>
  <c r="AV141" i="29" s="1"/>
  <c r="AQ124" i="29"/>
  <c r="AQ141" i="29" s="1"/>
  <c r="AQ144" i="29" s="1"/>
  <c r="Y124" i="29"/>
  <c r="S124" i="29"/>
  <c r="M124" i="29"/>
  <c r="G124" i="29"/>
  <c r="AE122" i="29"/>
  <c r="AE124" i="29" s="1"/>
  <c r="BB123" i="29"/>
  <c r="BE123" i="29" s="1"/>
  <c r="BE207" i="29" s="1"/>
  <c r="BB122" i="29"/>
  <c r="BE122" i="29" s="1"/>
  <c r="BF122" i="29" s="1"/>
  <c r="BB121" i="29"/>
  <c r="BE121" i="29" s="1"/>
  <c r="BB120" i="29"/>
  <c r="BE120" i="29" s="1"/>
  <c r="BB119" i="29"/>
  <c r="AV123" i="29"/>
  <c r="AY123" i="29" s="1"/>
  <c r="AZ123" i="29" s="1"/>
  <c r="AS123" i="29"/>
  <c r="AV122" i="29"/>
  <c r="AY122" i="29" s="1"/>
  <c r="AZ122" i="29" s="1"/>
  <c r="AS122" i="29"/>
  <c r="AV121" i="29"/>
  <c r="AY121" i="29" s="1"/>
  <c r="AS121" i="29"/>
  <c r="AV120" i="29"/>
  <c r="AY120" i="29" s="1"/>
  <c r="AS120" i="29"/>
  <c r="AT120" i="29" s="1"/>
  <c r="AV119" i="29"/>
  <c r="AY119" i="29" s="1"/>
  <c r="AQ119" i="29"/>
  <c r="AG123" i="29"/>
  <c r="AG120" i="29"/>
  <c r="AG119" i="29"/>
  <c r="AH119" i="29" s="1"/>
  <c r="CF5" i="29"/>
  <c r="CF273" i="29" s="1"/>
  <c r="CE5" i="29"/>
  <c r="CE273" i="29" s="1"/>
  <c r="CD5" i="29"/>
  <c r="CD273" i="29" s="1"/>
  <c r="CC5" i="29"/>
  <c r="CC273" i="29" s="1"/>
  <c r="BZ5" i="29"/>
  <c r="BZ273" i="29" s="1"/>
  <c r="BY5" i="29"/>
  <c r="BY273" i="29" s="1"/>
  <c r="BX5" i="29"/>
  <c r="BX273" i="29" s="1"/>
  <c r="BW5" i="29"/>
  <c r="BW273" i="29" s="1"/>
  <c r="BT5" i="29"/>
  <c r="BT273" i="29" s="1"/>
  <c r="BS5" i="29"/>
  <c r="BS273" i="29" s="1"/>
  <c r="BR5" i="29"/>
  <c r="BR273" i="29" s="1"/>
  <c r="BQ5" i="29"/>
  <c r="BQ273" i="29" s="1"/>
  <c r="BN5" i="29"/>
  <c r="BN273" i="29" s="1"/>
  <c r="BM5" i="29"/>
  <c r="BM273" i="29" s="1"/>
  <c r="BL5" i="29"/>
  <c r="BL273" i="29" s="1"/>
  <c r="BK5" i="29"/>
  <c r="BK273" i="29" s="1"/>
  <c r="AQ22" i="104"/>
  <c r="AK22" i="104" s="1"/>
  <c r="BC47" i="112"/>
  <c r="BB47" i="112"/>
  <c r="BA47" i="112"/>
  <c r="BC45" i="112"/>
  <c r="BB45" i="112"/>
  <c r="BA45" i="112"/>
  <c r="AD106" i="112"/>
  <c r="BC43" i="112"/>
  <c r="BB43" i="112"/>
  <c r="BA43" i="112"/>
  <c r="AD104" i="112"/>
  <c r="BC41" i="112"/>
  <c r="BB41" i="112"/>
  <c r="BA41" i="112"/>
  <c r="AE102" i="112"/>
  <c r="BE172" i="104"/>
  <c r="BB172" i="104"/>
  <c r="BA172" i="104"/>
  <c r="AZ172" i="104"/>
  <c r="AY172" i="104"/>
  <c r="AS172" i="104"/>
  <c r="AM172" i="104"/>
  <c r="AG172" i="104"/>
  <c r="U172" i="104"/>
  <c r="O172" i="104"/>
  <c r="I172" i="104"/>
  <c r="C173" i="104"/>
  <c r="G173" i="104" s="1"/>
  <c r="C172" i="104"/>
  <c r="X169" i="104"/>
  <c r="W169" i="104"/>
  <c r="V169" i="104"/>
  <c r="U169" i="104"/>
  <c r="X168" i="104"/>
  <c r="W168" i="104"/>
  <c r="V168" i="104"/>
  <c r="U168" i="104"/>
  <c r="R169" i="104"/>
  <c r="Q169" i="104"/>
  <c r="P169" i="104"/>
  <c r="O169" i="104"/>
  <c r="R168" i="104"/>
  <c r="Q168" i="104"/>
  <c r="P168" i="104"/>
  <c r="O168" i="104"/>
  <c r="L169" i="104"/>
  <c r="K169" i="104"/>
  <c r="J169" i="104"/>
  <c r="I169" i="104"/>
  <c r="L168" i="104"/>
  <c r="K168" i="104"/>
  <c r="J168" i="104"/>
  <c r="I168" i="104"/>
  <c r="F170" i="104"/>
  <c r="E170" i="104"/>
  <c r="D170" i="104"/>
  <c r="C170" i="104"/>
  <c r="F169" i="104"/>
  <c r="E169" i="104"/>
  <c r="D169" i="104"/>
  <c r="C169" i="104"/>
  <c r="F168" i="104"/>
  <c r="E168" i="104"/>
  <c r="D168" i="104"/>
  <c r="C168" i="104"/>
  <c r="BI167" i="104"/>
  <c r="BH167" i="104"/>
  <c r="BG167" i="104"/>
  <c r="BF167" i="104"/>
  <c r="BE167" i="104"/>
  <c r="AC172" i="104"/>
  <c r="AA172" i="104"/>
  <c r="AE170" i="104"/>
  <c r="AG170" i="104" s="1"/>
  <c r="AB170" i="104"/>
  <c r="AE169" i="104"/>
  <c r="AG169" i="104" s="1"/>
  <c r="AD169" i="104"/>
  <c r="AC169" i="104"/>
  <c r="AB169" i="104"/>
  <c r="AA169" i="104"/>
  <c r="AE168" i="104"/>
  <c r="AD168" i="104"/>
  <c r="AC168" i="104"/>
  <c r="AB168" i="104"/>
  <c r="AA168" i="104"/>
  <c r="Y167" i="104"/>
  <c r="S167" i="104"/>
  <c r="M167" i="104"/>
  <c r="G167" i="104"/>
  <c r="BB143" i="104"/>
  <c r="BA143" i="104"/>
  <c r="BA144" i="104" s="1"/>
  <c r="AZ143" i="104"/>
  <c r="AY143" i="104"/>
  <c r="AY144" i="104" s="1"/>
  <c r="AV143" i="104"/>
  <c r="AV144" i="104" s="1"/>
  <c r="AU143" i="104"/>
  <c r="AU144" i="104" s="1"/>
  <c r="AT143" i="104"/>
  <c r="AS143" i="104"/>
  <c r="AS144" i="104" s="1"/>
  <c r="AP143" i="104"/>
  <c r="AP144" i="104" s="1"/>
  <c r="AO143" i="104"/>
  <c r="AO144" i="104" s="1"/>
  <c r="AN143" i="104"/>
  <c r="AN144" i="104" s="1"/>
  <c r="AM143" i="104"/>
  <c r="AJ143" i="104"/>
  <c r="AJ144" i="104" s="1"/>
  <c r="AH143" i="104"/>
  <c r="AH144" i="104" s="1"/>
  <c r="AG143" i="104"/>
  <c r="AG144" i="104" s="1"/>
  <c r="AD143" i="104"/>
  <c r="AD144" i="104" s="1"/>
  <c r="AC143" i="104"/>
  <c r="AC144" i="104" s="1"/>
  <c r="BC142" i="104"/>
  <c r="BC140" i="104"/>
  <c r="AW142" i="104"/>
  <c r="AW140" i="104"/>
  <c r="AQ142" i="104"/>
  <c r="AQ140" i="104"/>
  <c r="AK142" i="104"/>
  <c r="AK140" i="104"/>
  <c r="AE142" i="104"/>
  <c r="AE140" i="104"/>
  <c r="Y142" i="104"/>
  <c r="Y140" i="104"/>
  <c r="S142" i="104"/>
  <c r="S140" i="104"/>
  <c r="M142" i="104"/>
  <c r="M140" i="104"/>
  <c r="G142" i="104"/>
  <c r="G140" i="104"/>
  <c r="B116" i="104"/>
  <c r="B113" i="104"/>
  <c r="B108" i="104"/>
  <c r="B107" i="104"/>
  <c r="BC103" i="104"/>
  <c r="BC101" i="104"/>
  <c r="BC99" i="104"/>
  <c r="AW103" i="104"/>
  <c r="AW101" i="104"/>
  <c r="AW99" i="104"/>
  <c r="AQ103" i="104"/>
  <c r="AQ101" i="104"/>
  <c r="AQ99" i="104"/>
  <c r="AK103" i="104"/>
  <c r="AK101" i="104"/>
  <c r="AK99" i="104"/>
  <c r="AE103" i="104"/>
  <c r="AE101" i="104"/>
  <c r="AE99" i="104"/>
  <c r="Y103" i="104"/>
  <c r="Y101" i="104"/>
  <c r="Y99" i="104"/>
  <c r="S103" i="104"/>
  <c r="S101" i="104"/>
  <c r="S99" i="104"/>
  <c r="M103" i="104"/>
  <c r="M101" i="104"/>
  <c r="M99" i="104"/>
  <c r="G103" i="104"/>
  <c r="G101" i="104"/>
  <c r="G99" i="104"/>
  <c r="BF102" i="104"/>
  <c r="BE102" i="104"/>
  <c r="BB102" i="104"/>
  <c r="BB174" i="104" s="1"/>
  <c r="BC174" i="104" s="1"/>
  <c r="BE173" i="104" s="1"/>
  <c r="BI173" i="104" s="1"/>
  <c r="BA102" i="104"/>
  <c r="BA174" i="104" s="1"/>
  <c r="BB173" i="104" s="1"/>
  <c r="AZ102" i="104"/>
  <c r="AZ174" i="104" s="1"/>
  <c r="BA173" i="104" s="1"/>
  <c r="AY102" i="104"/>
  <c r="AY174" i="104" s="1"/>
  <c r="AZ173" i="104" s="1"/>
  <c r="AV102" i="104"/>
  <c r="AU102" i="104"/>
  <c r="AU174" i="104" s="1"/>
  <c r="AV173" i="104" s="1"/>
  <c r="AT102" i="104"/>
  <c r="AT174" i="104" s="1"/>
  <c r="AU173" i="104" s="1"/>
  <c r="AS102" i="104"/>
  <c r="AS174" i="104" s="1"/>
  <c r="AT173" i="104" s="1"/>
  <c r="AP102" i="104"/>
  <c r="AP174" i="104" s="1"/>
  <c r="AQ174" i="104" s="1"/>
  <c r="AS173" i="104" s="1"/>
  <c r="AW173" i="104" s="1"/>
  <c r="AO102" i="104"/>
  <c r="AO174" i="104" s="1"/>
  <c r="AP173" i="104" s="1"/>
  <c r="AN102" i="104"/>
  <c r="AN174" i="104" s="1"/>
  <c r="AO173" i="104" s="1"/>
  <c r="AM102" i="104"/>
  <c r="AM174" i="104" s="1"/>
  <c r="AN173" i="104" s="1"/>
  <c r="AJ102" i="104"/>
  <c r="AJ174" i="104" s="1"/>
  <c r="AK174" i="104" s="1"/>
  <c r="AM173" i="104" s="1"/>
  <c r="AQ173" i="104" s="1"/>
  <c r="AI102" i="104"/>
  <c r="AI174" i="104" s="1"/>
  <c r="AJ173" i="104" s="1"/>
  <c r="AH102" i="104"/>
  <c r="AH174" i="104" s="1"/>
  <c r="AI173" i="104" s="1"/>
  <c r="AG102" i="104"/>
  <c r="AG174" i="104" s="1"/>
  <c r="AH173" i="104" s="1"/>
  <c r="AD102" i="104"/>
  <c r="AD174" i="104" s="1"/>
  <c r="AE174" i="104" s="1"/>
  <c r="AG173" i="104" s="1"/>
  <c r="AK173" i="104" s="1"/>
  <c r="AC102" i="104"/>
  <c r="AC174" i="104" s="1"/>
  <c r="AD173" i="104" s="1"/>
  <c r="AB102" i="104"/>
  <c r="AB174" i="104" s="1"/>
  <c r="AC173" i="104" s="1"/>
  <c r="AA102" i="104"/>
  <c r="AA174" i="104" s="1"/>
  <c r="AB173" i="104" s="1"/>
  <c r="X102" i="104"/>
  <c r="W102" i="104"/>
  <c r="W174" i="104" s="1"/>
  <c r="X173" i="104" s="1"/>
  <c r="V102" i="104"/>
  <c r="V174" i="104" s="1"/>
  <c r="W173" i="104" s="1"/>
  <c r="U102" i="104"/>
  <c r="U174" i="104" s="1"/>
  <c r="V173" i="104" s="1"/>
  <c r="R102" i="104"/>
  <c r="R174" i="104" s="1"/>
  <c r="S174" i="104" s="1"/>
  <c r="U173" i="104" s="1"/>
  <c r="Y173" i="104" s="1"/>
  <c r="Q102" i="104"/>
  <c r="Q174" i="104" s="1"/>
  <c r="R173" i="104" s="1"/>
  <c r="P102" i="104"/>
  <c r="P174" i="104" s="1"/>
  <c r="Q173" i="104" s="1"/>
  <c r="O102" i="104"/>
  <c r="O174" i="104" s="1"/>
  <c r="P173" i="104" s="1"/>
  <c r="L102" i="104"/>
  <c r="L174" i="104" s="1"/>
  <c r="M174" i="104" s="1"/>
  <c r="O173" i="104" s="1"/>
  <c r="S173" i="104" s="1"/>
  <c r="K102" i="104"/>
  <c r="K174" i="104" s="1"/>
  <c r="L173" i="104" s="1"/>
  <c r="J102" i="104"/>
  <c r="J174" i="104" s="1"/>
  <c r="K173" i="104" s="1"/>
  <c r="I102" i="104"/>
  <c r="I174" i="104" s="1"/>
  <c r="J173" i="104" s="1"/>
  <c r="F102" i="104"/>
  <c r="F174" i="104" s="1"/>
  <c r="G174" i="104" s="1"/>
  <c r="I173" i="104" s="1"/>
  <c r="M173" i="104" s="1"/>
  <c r="E102" i="104"/>
  <c r="E174" i="104" s="1"/>
  <c r="F173" i="104" s="1"/>
  <c r="D102" i="104"/>
  <c r="D174" i="104" s="1"/>
  <c r="E173" i="104" s="1"/>
  <c r="C102" i="104"/>
  <c r="C174" i="104" s="1"/>
  <c r="D173" i="104" s="1"/>
  <c r="BB100" i="104"/>
  <c r="BA100" i="104"/>
  <c r="AZ100" i="104"/>
  <c r="AY100" i="104"/>
  <c r="AV100" i="104"/>
  <c r="AU100" i="104"/>
  <c r="AT100" i="104"/>
  <c r="AS100" i="104"/>
  <c r="AP100" i="104"/>
  <c r="AO100" i="104"/>
  <c r="AN100" i="104"/>
  <c r="AM100" i="104"/>
  <c r="AJ100" i="104"/>
  <c r="AI100" i="104"/>
  <c r="AH100" i="104"/>
  <c r="AG100" i="104"/>
  <c r="AD100" i="104"/>
  <c r="AC100" i="104"/>
  <c r="AB100" i="104"/>
  <c r="AA100" i="104"/>
  <c r="X100" i="104"/>
  <c r="W100" i="104"/>
  <c r="V100" i="104"/>
  <c r="U100" i="104"/>
  <c r="R100" i="104"/>
  <c r="Q100" i="104"/>
  <c r="P100" i="104"/>
  <c r="O100" i="104"/>
  <c r="L100" i="104"/>
  <c r="K100" i="104"/>
  <c r="J100" i="104"/>
  <c r="I100" i="104"/>
  <c r="F100" i="104"/>
  <c r="E100" i="104"/>
  <c r="D100" i="104"/>
  <c r="C100" i="104"/>
  <c r="BB98" i="104"/>
  <c r="BA98" i="104"/>
  <c r="AZ98" i="104"/>
  <c r="AY98" i="104"/>
  <c r="AV98" i="104"/>
  <c r="AU98" i="104"/>
  <c r="AT98" i="104"/>
  <c r="AS98" i="104"/>
  <c r="AP98" i="104"/>
  <c r="AO98" i="104"/>
  <c r="AN98" i="104"/>
  <c r="AM98" i="104"/>
  <c r="AJ98" i="104"/>
  <c r="AI98" i="104"/>
  <c r="AH98" i="104"/>
  <c r="AG98" i="104"/>
  <c r="AD98" i="104"/>
  <c r="AC98" i="104"/>
  <c r="AB98" i="104"/>
  <c r="AA98" i="104"/>
  <c r="X98" i="104"/>
  <c r="W98" i="104"/>
  <c r="V98" i="104"/>
  <c r="U98" i="104"/>
  <c r="R98" i="104"/>
  <c r="Q98" i="104"/>
  <c r="P98" i="104"/>
  <c r="O98" i="104"/>
  <c r="L98" i="104"/>
  <c r="K98" i="104"/>
  <c r="J98" i="104"/>
  <c r="I98" i="104"/>
  <c r="F98" i="104"/>
  <c r="E98" i="104"/>
  <c r="D98" i="104"/>
  <c r="C98" i="104"/>
  <c r="AU94" i="104"/>
  <c r="AM94" i="104"/>
  <c r="W94" i="104"/>
  <c r="V94" i="104"/>
  <c r="U94" i="104"/>
  <c r="Q94" i="104"/>
  <c r="P94" i="104"/>
  <c r="O94" i="104"/>
  <c r="K94" i="104"/>
  <c r="J94" i="104"/>
  <c r="I94" i="104"/>
  <c r="F94" i="104"/>
  <c r="E94" i="104"/>
  <c r="D94" i="104"/>
  <c r="C94" i="104"/>
  <c r="BC93" i="104"/>
  <c r="BC92" i="104"/>
  <c r="BC91" i="104"/>
  <c r="BC84" i="104"/>
  <c r="BC83" i="104"/>
  <c r="BB82" i="104"/>
  <c r="BA82" i="104" s="1"/>
  <c r="AU82" i="104" s="1"/>
  <c r="AO82" i="104" s="1"/>
  <c r="AI82" i="104" s="1"/>
  <c r="BC78" i="104"/>
  <c r="BC76" i="104"/>
  <c r="AW93" i="104"/>
  <c r="AW92" i="104"/>
  <c r="AW91" i="104"/>
  <c r="AW84" i="104"/>
  <c r="AW83" i="104"/>
  <c r="AW78" i="104"/>
  <c r="AW76" i="104"/>
  <c r="AQ93" i="104"/>
  <c r="AQ92" i="104"/>
  <c r="AQ91" i="104"/>
  <c r="AQ84" i="104"/>
  <c r="AQ83" i="104"/>
  <c r="AQ80" i="104"/>
  <c r="AP80" i="104" s="1"/>
  <c r="AO80" i="104" s="1"/>
  <c r="AQ78" i="104"/>
  <c r="AQ76" i="104"/>
  <c r="AK93" i="104"/>
  <c r="AK92" i="104"/>
  <c r="AK91" i="104"/>
  <c r="AK84" i="104"/>
  <c r="AK83" i="104"/>
  <c r="AK78" i="104"/>
  <c r="AK76" i="104"/>
  <c r="AE93" i="104"/>
  <c r="AE92" i="104"/>
  <c r="AE91" i="104"/>
  <c r="AE84" i="104"/>
  <c r="AE83" i="104"/>
  <c r="AE78" i="104"/>
  <c r="AE76" i="104"/>
  <c r="Y93" i="104"/>
  <c r="Y92" i="104"/>
  <c r="Y91" i="104"/>
  <c r="Y84" i="104"/>
  <c r="Y83" i="104"/>
  <c r="Y78" i="104"/>
  <c r="Y76" i="104"/>
  <c r="S93" i="104"/>
  <c r="S92" i="104"/>
  <c r="S91" i="104"/>
  <c r="S86" i="104"/>
  <c r="S84" i="104"/>
  <c r="S83" i="104"/>
  <c r="S78" i="104"/>
  <c r="S76" i="104"/>
  <c r="M93" i="104"/>
  <c r="M92" i="104"/>
  <c r="M91" i="104"/>
  <c r="M86" i="104"/>
  <c r="M84" i="104"/>
  <c r="M83" i="104"/>
  <c r="M78" i="104"/>
  <c r="M76" i="104"/>
  <c r="G93" i="104"/>
  <c r="G92" i="104"/>
  <c r="G91" i="104"/>
  <c r="G90" i="104"/>
  <c r="G86" i="104"/>
  <c r="G84" i="104"/>
  <c r="G83" i="104"/>
  <c r="G78" i="104"/>
  <c r="G76" i="104"/>
  <c r="AV90" i="104"/>
  <c r="AV94" i="104" s="1"/>
  <c r="AV86" i="104"/>
  <c r="AW86" i="104" s="1"/>
  <c r="AT90" i="104"/>
  <c r="AT94" i="104" s="1"/>
  <c r="AS90" i="104"/>
  <c r="AS94" i="104" s="1"/>
  <c r="X90" i="104"/>
  <c r="X94" i="104" s="1"/>
  <c r="X86" i="104"/>
  <c r="Y86" i="104" s="1"/>
  <c r="R90" i="104"/>
  <c r="R94" i="104" s="1"/>
  <c r="R87" i="104"/>
  <c r="R88" i="104" s="1"/>
  <c r="L90" i="104"/>
  <c r="L87" i="104"/>
  <c r="L88" i="104" s="1"/>
  <c r="AM87" i="104"/>
  <c r="AM88" i="104" s="1"/>
  <c r="BF88" i="104"/>
  <c r="BK88" i="104" s="1"/>
  <c r="BE88" i="104"/>
  <c r="BB90" i="104"/>
  <c r="BB94" i="104" s="1"/>
  <c r="BA90" i="104"/>
  <c r="BA94" i="104" s="1"/>
  <c r="AZ90" i="104"/>
  <c r="AZ94" i="104" s="1"/>
  <c r="AY90" i="104"/>
  <c r="BA87" i="104"/>
  <c r="BA88" i="104" s="1"/>
  <c r="AZ87" i="104"/>
  <c r="AZ88" i="104" s="1"/>
  <c r="AY87" i="104"/>
  <c r="AY88" i="104" s="1"/>
  <c r="AU87" i="104"/>
  <c r="AU88" i="104" s="1"/>
  <c r="AT87" i="104"/>
  <c r="AT88" i="104" s="1"/>
  <c r="AS87" i="104"/>
  <c r="AP90" i="104"/>
  <c r="AP94" i="104" s="1"/>
  <c r="AO90" i="104"/>
  <c r="AO94" i="104" s="1"/>
  <c r="AN90" i="104"/>
  <c r="AO87" i="104"/>
  <c r="AO88" i="104" s="1"/>
  <c r="AN87" i="104"/>
  <c r="AN88" i="104" s="1"/>
  <c r="AI90" i="104"/>
  <c r="AH90" i="104"/>
  <c r="AH94" i="104" s="1"/>
  <c r="AG90" i="104"/>
  <c r="AG94" i="104" s="1"/>
  <c r="AI87" i="104"/>
  <c r="AI88" i="104" s="1"/>
  <c r="AH87" i="104"/>
  <c r="AH88" i="104" s="1"/>
  <c r="AG87" i="104"/>
  <c r="AG88" i="104" s="1"/>
  <c r="AC90" i="104"/>
  <c r="AB90" i="104"/>
  <c r="AB94" i="104" s="1"/>
  <c r="AA90" i="104"/>
  <c r="AA94" i="104" s="1"/>
  <c r="AC87" i="104"/>
  <c r="AC88" i="104" s="1"/>
  <c r="AB87" i="104"/>
  <c r="AB88" i="104" s="1"/>
  <c r="AA87" i="104"/>
  <c r="W87" i="104"/>
  <c r="W88" i="104" s="1"/>
  <c r="V87" i="104"/>
  <c r="U87" i="104"/>
  <c r="U88" i="104" s="1"/>
  <c r="Q87" i="104"/>
  <c r="Q88" i="104" s="1"/>
  <c r="P87" i="104"/>
  <c r="P88" i="104" s="1"/>
  <c r="O87" i="104"/>
  <c r="O88" i="104" s="1"/>
  <c r="K87" i="104"/>
  <c r="K88" i="104" s="1"/>
  <c r="J87" i="104"/>
  <c r="J88" i="104" s="1"/>
  <c r="I87" i="104"/>
  <c r="I88" i="104" s="1"/>
  <c r="F87" i="104"/>
  <c r="F88" i="104" s="1"/>
  <c r="E87" i="104"/>
  <c r="E88" i="104" s="1"/>
  <c r="D87" i="104"/>
  <c r="D88" i="104" s="1"/>
  <c r="C87" i="104"/>
  <c r="BB86" i="104"/>
  <c r="AP86" i="104"/>
  <c r="AJ86" i="104"/>
  <c r="AK86" i="104" s="1"/>
  <c r="AD86" i="104"/>
  <c r="AE86" i="104" s="1"/>
  <c r="AV80" i="104"/>
  <c r="BB77" i="104"/>
  <c r="BC77" i="104" s="1"/>
  <c r="AV77" i="104"/>
  <c r="AP77" i="104"/>
  <c r="AQ77" i="104" s="1"/>
  <c r="AJ77" i="104"/>
  <c r="AD77" i="104"/>
  <c r="X77" i="104"/>
  <c r="R77" i="104"/>
  <c r="S77" i="104" s="1"/>
  <c r="L77" i="104"/>
  <c r="F77" i="104"/>
  <c r="G77" i="104" s="1"/>
  <c r="BU72" i="104"/>
  <c r="BO72" i="104"/>
  <c r="BE72" i="104"/>
  <c r="BC71" i="104"/>
  <c r="BC70" i="104"/>
  <c r="BC67" i="104"/>
  <c r="BC65" i="104"/>
  <c r="BC63" i="104"/>
  <c r="BC61" i="104"/>
  <c r="BC60" i="104"/>
  <c r="BC57" i="104"/>
  <c r="BC53" i="104"/>
  <c r="AW71" i="104"/>
  <c r="AW70" i="104"/>
  <c r="AW67" i="104"/>
  <c r="AW65" i="104"/>
  <c r="AW63" i="104"/>
  <c r="AW61" i="104"/>
  <c r="AW60" i="104"/>
  <c r="AW57" i="104"/>
  <c r="AW53" i="104"/>
  <c r="AQ71" i="104"/>
  <c r="AQ70" i="104"/>
  <c r="AQ67" i="104"/>
  <c r="AQ65" i="104"/>
  <c r="AQ63" i="104"/>
  <c r="AQ61" i="104"/>
  <c r="AQ60" i="104"/>
  <c r="AQ57" i="104"/>
  <c r="AQ53" i="104"/>
  <c r="AK71" i="104"/>
  <c r="AK70" i="104"/>
  <c r="AK67" i="104"/>
  <c r="AK65" i="104"/>
  <c r="AK63" i="104"/>
  <c r="AK61" i="104"/>
  <c r="AK60" i="104"/>
  <c r="AK57" i="104"/>
  <c r="AK53" i="104"/>
  <c r="AE71" i="104"/>
  <c r="AE70" i="104"/>
  <c r="AE67" i="104"/>
  <c r="AE65" i="104"/>
  <c r="AE63" i="104"/>
  <c r="AE61" i="104"/>
  <c r="AE60" i="104"/>
  <c r="AE57" i="104"/>
  <c r="AE53" i="104"/>
  <c r="Y71" i="104"/>
  <c r="Y70" i="104"/>
  <c r="Y67" i="104"/>
  <c r="Y65" i="104"/>
  <c r="Y63" i="104"/>
  <c r="Y61" i="104"/>
  <c r="Y60" i="104"/>
  <c r="Y57" i="104"/>
  <c r="Y53" i="104"/>
  <c r="S71" i="104"/>
  <c r="S70" i="104"/>
  <c r="S67" i="104"/>
  <c r="S65" i="104"/>
  <c r="S63" i="104"/>
  <c r="S61" i="104"/>
  <c r="S60" i="104"/>
  <c r="S57" i="104"/>
  <c r="S53" i="104"/>
  <c r="M71" i="104"/>
  <c r="M70" i="104"/>
  <c r="M67" i="104"/>
  <c r="M65" i="104"/>
  <c r="M63" i="104"/>
  <c r="M61" i="104"/>
  <c r="M60" i="104"/>
  <c r="M57" i="104"/>
  <c r="M53" i="104"/>
  <c r="G71" i="104"/>
  <c r="G70" i="104"/>
  <c r="G67" i="104"/>
  <c r="G65" i="104"/>
  <c r="G63" i="104"/>
  <c r="G61" i="104"/>
  <c r="G60" i="104"/>
  <c r="G57" i="104"/>
  <c r="G53" i="104"/>
  <c r="BB68" i="104"/>
  <c r="BC68" i="104" s="1"/>
  <c r="AV68" i="104"/>
  <c r="AW68" i="104" s="1"/>
  <c r="AP68" i="104"/>
  <c r="AQ68" i="104" s="1"/>
  <c r="AJ68" i="104"/>
  <c r="AK68" i="104" s="1"/>
  <c r="AD68" i="104"/>
  <c r="AE68" i="104" s="1"/>
  <c r="X68" i="104"/>
  <c r="Y68" i="104" s="1"/>
  <c r="R68" i="104"/>
  <c r="S68" i="104" s="1"/>
  <c r="L68" i="104"/>
  <c r="M68" i="104" s="1"/>
  <c r="F68" i="104"/>
  <c r="G68" i="104" s="1"/>
  <c r="BB66" i="104"/>
  <c r="BA66" i="104"/>
  <c r="AZ66" i="104"/>
  <c r="AY66" i="104"/>
  <c r="AV66" i="104"/>
  <c r="AU66" i="104"/>
  <c r="AT66" i="104"/>
  <c r="AS66" i="104"/>
  <c r="AP66" i="104"/>
  <c r="AO66" i="104"/>
  <c r="AN66" i="104"/>
  <c r="AM66" i="104"/>
  <c r="AJ66" i="104"/>
  <c r="AI66" i="104"/>
  <c r="AH66" i="104"/>
  <c r="AG66" i="104"/>
  <c r="AD66" i="104"/>
  <c r="AC66" i="104"/>
  <c r="AB66" i="104"/>
  <c r="AA66" i="104"/>
  <c r="X66" i="104"/>
  <c r="W66" i="104"/>
  <c r="V66" i="104"/>
  <c r="U66" i="104"/>
  <c r="R66" i="104"/>
  <c r="Q66" i="104"/>
  <c r="P66" i="104"/>
  <c r="O66" i="104"/>
  <c r="L66" i="104"/>
  <c r="K66" i="104"/>
  <c r="J66" i="104"/>
  <c r="I66" i="104"/>
  <c r="F66" i="104"/>
  <c r="E66" i="104"/>
  <c r="D66" i="104"/>
  <c r="C66" i="104"/>
  <c r="BB64" i="104"/>
  <c r="BA64" i="104"/>
  <c r="AZ64" i="104"/>
  <c r="AY64" i="104"/>
  <c r="AV64" i="104"/>
  <c r="AU64" i="104"/>
  <c r="AT64" i="104"/>
  <c r="AS64" i="104"/>
  <c r="AP64" i="104"/>
  <c r="AO64" i="104"/>
  <c r="AN64" i="104"/>
  <c r="AM64" i="104"/>
  <c r="AJ64" i="104"/>
  <c r="AI64" i="104"/>
  <c r="AH64" i="104"/>
  <c r="AG64" i="104"/>
  <c r="AD64" i="104"/>
  <c r="AC64" i="104"/>
  <c r="AB64" i="104"/>
  <c r="AA64" i="104"/>
  <c r="X64" i="104"/>
  <c r="W64" i="104"/>
  <c r="V64" i="104"/>
  <c r="U64" i="104"/>
  <c r="R64" i="104"/>
  <c r="Q64" i="104"/>
  <c r="P64" i="104"/>
  <c r="O64" i="104"/>
  <c r="L64" i="104"/>
  <c r="K64" i="104"/>
  <c r="J64" i="104"/>
  <c r="I64" i="104"/>
  <c r="F64" i="104"/>
  <c r="E64" i="104"/>
  <c r="D64" i="104"/>
  <c r="C64" i="104"/>
  <c r="BF62" i="104"/>
  <c r="BE62" i="104"/>
  <c r="BA62" i="104"/>
  <c r="AZ62" i="104"/>
  <c r="AY62" i="104"/>
  <c r="AU62" i="104"/>
  <c r="AT62" i="104"/>
  <c r="AS62" i="104"/>
  <c r="AO62" i="104"/>
  <c r="AN62" i="104"/>
  <c r="AM62" i="104"/>
  <c r="AI62" i="104"/>
  <c r="AH62" i="104"/>
  <c r="AG62" i="104"/>
  <c r="AC62" i="104"/>
  <c r="AB62" i="104"/>
  <c r="AA62" i="104"/>
  <c r="W62" i="104"/>
  <c r="V62" i="104"/>
  <c r="U62" i="104"/>
  <c r="Q62" i="104"/>
  <c r="P62" i="104"/>
  <c r="O62" i="104"/>
  <c r="K62" i="104"/>
  <c r="J62" i="104"/>
  <c r="I62" i="104"/>
  <c r="E62" i="104"/>
  <c r="D62" i="104"/>
  <c r="C62" i="104"/>
  <c r="BB59" i="104"/>
  <c r="BC59" i="104" s="1"/>
  <c r="AV59" i="104"/>
  <c r="AP59" i="104"/>
  <c r="AQ59" i="104" s="1"/>
  <c r="AJ59" i="104"/>
  <c r="AK59" i="104" s="1"/>
  <c r="AD59" i="104"/>
  <c r="AE59" i="104" s="1"/>
  <c r="X59" i="104"/>
  <c r="X62" i="104" s="1"/>
  <c r="R59" i="104"/>
  <c r="S59" i="104" s="1"/>
  <c r="L59" i="104"/>
  <c r="M59" i="104" s="1"/>
  <c r="F59" i="104"/>
  <c r="G59" i="104" s="1"/>
  <c r="BF58" i="104"/>
  <c r="BE58" i="104"/>
  <c r="BB55" i="104"/>
  <c r="BB54" i="104"/>
  <c r="AV55" i="104"/>
  <c r="AV54" i="104"/>
  <c r="AP55" i="104"/>
  <c r="AP54" i="104"/>
  <c r="AJ55" i="104"/>
  <c r="AK55" i="104" s="1"/>
  <c r="AJ54" i="104"/>
  <c r="AD55" i="104"/>
  <c r="AD54" i="104"/>
  <c r="X55" i="104"/>
  <c r="X54" i="104"/>
  <c r="R55" i="104"/>
  <c r="S55" i="104" s="1"/>
  <c r="R54" i="104"/>
  <c r="L55" i="104"/>
  <c r="M55" i="104" s="1"/>
  <c r="L54" i="104"/>
  <c r="F55" i="104"/>
  <c r="F54" i="104"/>
  <c r="BA54" i="104"/>
  <c r="AZ54" i="104"/>
  <c r="AY54" i="104"/>
  <c r="AU54" i="104"/>
  <c r="AT54" i="104"/>
  <c r="AS54" i="104"/>
  <c r="AO54" i="104"/>
  <c r="AN54" i="104"/>
  <c r="AM54" i="104"/>
  <c r="AI54" i="104"/>
  <c r="AH54" i="104"/>
  <c r="AG54" i="104"/>
  <c r="AC54" i="104"/>
  <c r="AB54" i="104"/>
  <c r="AA54" i="104"/>
  <c r="W54" i="104"/>
  <c r="V54" i="104"/>
  <c r="U54" i="104"/>
  <c r="Q54" i="104"/>
  <c r="P54" i="104"/>
  <c r="O54" i="104"/>
  <c r="K54" i="104"/>
  <c r="J54" i="104"/>
  <c r="I54" i="104"/>
  <c r="E54" i="104"/>
  <c r="D54" i="104"/>
  <c r="C54" i="104"/>
  <c r="CG48" i="104"/>
  <c r="CA48" i="104"/>
  <c r="BU48" i="104"/>
  <c r="BO48" i="104"/>
  <c r="BI48" i="104"/>
  <c r="BA48" i="104"/>
  <c r="AZ48" i="104"/>
  <c r="AY48" i="104"/>
  <c r="AU48" i="104"/>
  <c r="AT48" i="104"/>
  <c r="AS48" i="104"/>
  <c r="AO48" i="104"/>
  <c r="AN48" i="104"/>
  <c r="AM48" i="104"/>
  <c r="AI48" i="104"/>
  <c r="AH48" i="104"/>
  <c r="AG48" i="104"/>
  <c r="AC48" i="104"/>
  <c r="AB48" i="104"/>
  <c r="AA48" i="104"/>
  <c r="W48" i="104"/>
  <c r="V48" i="104"/>
  <c r="U48" i="104"/>
  <c r="Q48" i="104"/>
  <c r="P48" i="104"/>
  <c r="O48" i="104"/>
  <c r="K48" i="104"/>
  <c r="J48" i="104"/>
  <c r="I48" i="104"/>
  <c r="E48" i="104"/>
  <c r="D48" i="104"/>
  <c r="C48" i="104"/>
  <c r="CG46" i="104"/>
  <c r="CA46" i="104"/>
  <c r="BU46" i="104"/>
  <c r="BO46" i="104"/>
  <c r="BI46" i="104"/>
  <c r="BB47" i="104"/>
  <c r="BB48" i="104" s="1"/>
  <c r="AV47" i="104"/>
  <c r="AW47" i="104" s="1"/>
  <c r="AW48" i="104" s="1"/>
  <c r="AP47" i="104"/>
  <c r="AQ47" i="104" s="1"/>
  <c r="AQ48" i="104" s="1"/>
  <c r="AJ47" i="104"/>
  <c r="AJ48" i="104" s="1"/>
  <c r="AD47" i="104"/>
  <c r="AD48" i="104" s="1"/>
  <c r="X47" i="104"/>
  <c r="Y47" i="104" s="1"/>
  <c r="Y48" i="104" s="1"/>
  <c r="R47" i="104"/>
  <c r="S47" i="104" s="1"/>
  <c r="S48" i="104" s="1"/>
  <c r="L47" i="104"/>
  <c r="F47" i="104"/>
  <c r="F48" i="104" s="1"/>
  <c r="BC42" i="104"/>
  <c r="BC41" i="104"/>
  <c r="BC39" i="104"/>
  <c r="BC38" i="104"/>
  <c r="AW42" i="104"/>
  <c r="AW41" i="104"/>
  <c r="AW39" i="104"/>
  <c r="AW38" i="104"/>
  <c r="AQ42" i="104"/>
  <c r="AQ41" i="104"/>
  <c r="AQ39" i="104"/>
  <c r="AQ38" i="104"/>
  <c r="AQ30" i="104"/>
  <c r="AQ25" i="104"/>
  <c r="AQ24" i="104"/>
  <c r="AQ18" i="104"/>
  <c r="AK42" i="104"/>
  <c r="AK41" i="104"/>
  <c r="AK39" i="104"/>
  <c r="AK38" i="104"/>
  <c r="AK30" i="104"/>
  <c r="AK25" i="104"/>
  <c r="AK24" i="104"/>
  <c r="AK18" i="104"/>
  <c r="AE42" i="104"/>
  <c r="AE41" i="104"/>
  <c r="AE39" i="104"/>
  <c r="AE38" i="104"/>
  <c r="AE30" i="104"/>
  <c r="AE25" i="104"/>
  <c r="AE24" i="104"/>
  <c r="AE18" i="104"/>
  <c r="Y42" i="104"/>
  <c r="Y41" i="104"/>
  <c r="Y39" i="104"/>
  <c r="Y38" i="104"/>
  <c r="Y30" i="104"/>
  <c r="Y25" i="104"/>
  <c r="Y24" i="104"/>
  <c r="Y18" i="104"/>
  <c r="S42" i="104"/>
  <c r="S41" i="104"/>
  <c r="S39" i="104"/>
  <c r="S38" i="104"/>
  <c r="S30" i="104"/>
  <c r="S25" i="104"/>
  <c r="S24" i="104"/>
  <c r="S18" i="104"/>
  <c r="M42" i="104"/>
  <c r="M41" i="104"/>
  <c r="M39" i="104"/>
  <c r="M38" i="104"/>
  <c r="M30" i="104"/>
  <c r="M25" i="104"/>
  <c r="M24" i="104"/>
  <c r="M18" i="104"/>
  <c r="G42" i="104"/>
  <c r="G41" i="104"/>
  <c r="G39" i="104"/>
  <c r="G38" i="104"/>
  <c r="G30" i="104"/>
  <c r="G25" i="104"/>
  <c r="G24" i="104"/>
  <c r="G18" i="104"/>
  <c r="BB37" i="104"/>
  <c r="BC37" i="104" s="1"/>
  <c r="AV37" i="104"/>
  <c r="AW37" i="104" s="1"/>
  <c r="AP37" i="104"/>
  <c r="AQ37" i="104" s="1"/>
  <c r="AJ37" i="104"/>
  <c r="AK37" i="104" s="1"/>
  <c r="AD37" i="104"/>
  <c r="AE37" i="104" s="1"/>
  <c r="X37" i="104"/>
  <c r="R37" i="104"/>
  <c r="L37" i="104"/>
  <c r="M37" i="104" s="1"/>
  <c r="F37" i="104"/>
  <c r="BC30" i="104"/>
  <c r="BC25" i="104"/>
  <c r="BC24" i="104"/>
  <c r="BC18" i="104"/>
  <c r="AV34" i="104"/>
  <c r="AW30" i="104"/>
  <c r="AW25" i="104"/>
  <c r="AW24" i="104"/>
  <c r="AQ20" i="104"/>
  <c r="AW18" i="104"/>
  <c r="BB34" i="104"/>
  <c r="BB33" i="104" s="1"/>
  <c r="BB44" i="104" s="1"/>
  <c r="CG25" i="104"/>
  <c r="CG24" i="104"/>
  <c r="CG23" i="104"/>
  <c r="CG22" i="104"/>
  <c r="CG21" i="104"/>
  <c r="CG20" i="104"/>
  <c r="CG19" i="104"/>
  <c r="CG18" i="104"/>
  <c r="CG17" i="104"/>
  <c r="CA25" i="104"/>
  <c r="CA24" i="104"/>
  <c r="CA23" i="104"/>
  <c r="CA22" i="104"/>
  <c r="CA21" i="104"/>
  <c r="CA20" i="104"/>
  <c r="CA19" i="104"/>
  <c r="CA18" i="104"/>
  <c r="CA17" i="104"/>
  <c r="BU25" i="104"/>
  <c r="BU24" i="104"/>
  <c r="BU23" i="104"/>
  <c r="BU22" i="104"/>
  <c r="BU21" i="104"/>
  <c r="BU20" i="104"/>
  <c r="BU19" i="104"/>
  <c r="BU18" i="104"/>
  <c r="BU17" i="104"/>
  <c r="BO25" i="104"/>
  <c r="BO24" i="104"/>
  <c r="BO23" i="104"/>
  <c r="BO22" i="104"/>
  <c r="BO21" i="104"/>
  <c r="BO20" i="104"/>
  <c r="BO19" i="104"/>
  <c r="BO18" i="104"/>
  <c r="BO17" i="104"/>
  <c r="BI25" i="104"/>
  <c r="BI24" i="104"/>
  <c r="BI23" i="104"/>
  <c r="BI22" i="104"/>
  <c r="BI21" i="104"/>
  <c r="BI20" i="104"/>
  <c r="BI19" i="104"/>
  <c r="BI18" i="104"/>
  <c r="BI17" i="104"/>
  <c r="BB23" i="104"/>
  <c r="BC23" i="104" s="1"/>
  <c r="AV23" i="104"/>
  <c r="AW23" i="104" s="1"/>
  <c r="AP23" i="104"/>
  <c r="AQ23" i="104" s="1"/>
  <c r="AJ23" i="104"/>
  <c r="AK23" i="104" s="1"/>
  <c r="AD23" i="104"/>
  <c r="AE23" i="104" s="1"/>
  <c r="X23" i="104"/>
  <c r="R23" i="104"/>
  <c r="S23" i="104" s="1"/>
  <c r="L23" i="104"/>
  <c r="M23" i="104" s="1"/>
  <c r="F23" i="104"/>
  <c r="BB22" i="104"/>
  <c r="BB21" i="104" s="1"/>
  <c r="BB43" i="104" s="1"/>
  <c r="AZ22" i="104"/>
  <c r="AY22" i="104" s="1"/>
  <c r="AY21" i="104" s="1"/>
  <c r="BE13" i="104"/>
  <c r="BE11" i="104"/>
  <c r="CF7" i="104"/>
  <c r="CE7" i="104"/>
  <c r="CD7" i="104"/>
  <c r="CC7" i="104"/>
  <c r="BZ7" i="104"/>
  <c r="BY7" i="104"/>
  <c r="BX7" i="104"/>
  <c r="BW7" i="104"/>
  <c r="BT7" i="104"/>
  <c r="BS7" i="104"/>
  <c r="BR7" i="104"/>
  <c r="BQ7" i="104"/>
  <c r="BN7" i="104"/>
  <c r="BM7" i="104"/>
  <c r="BL7" i="104"/>
  <c r="BK7" i="104"/>
  <c r="BH7" i="104"/>
  <c r="BG7" i="104"/>
  <c r="BF7" i="104"/>
  <c r="BE7" i="104"/>
  <c r="BB7" i="104"/>
  <c r="BA7" i="104"/>
  <c r="AZ7" i="104"/>
  <c r="AY7" i="104"/>
  <c r="AV7" i="104"/>
  <c r="AU7" i="104"/>
  <c r="AT7" i="104"/>
  <c r="AS7" i="104"/>
  <c r="AP7" i="104"/>
  <c r="AO7" i="104"/>
  <c r="AN7" i="104"/>
  <c r="AM7" i="104"/>
  <c r="AJ7" i="104"/>
  <c r="AI7" i="104"/>
  <c r="AH7" i="104"/>
  <c r="AG7" i="104"/>
  <c r="AD7" i="104"/>
  <c r="AC7" i="104"/>
  <c r="AB7" i="104"/>
  <c r="AA7" i="104"/>
  <c r="X7" i="104"/>
  <c r="W7" i="104"/>
  <c r="V7" i="104"/>
  <c r="U7" i="104"/>
  <c r="R7" i="104"/>
  <c r="Q7" i="104"/>
  <c r="P7" i="104"/>
  <c r="O7" i="104"/>
  <c r="L7" i="104"/>
  <c r="K7" i="104"/>
  <c r="J7" i="104"/>
  <c r="I7" i="104"/>
  <c r="F7" i="104"/>
  <c r="E7" i="104"/>
  <c r="D7" i="104"/>
  <c r="CG6" i="104"/>
  <c r="CA6" i="104"/>
  <c r="BU6" i="104"/>
  <c r="BO6" i="104"/>
  <c r="BI6" i="104"/>
  <c r="BC6" i="104"/>
  <c r="AW6" i="104"/>
  <c r="AQ6" i="104"/>
  <c r="AK6" i="104"/>
  <c r="AE6" i="104"/>
  <c r="Y6" i="104"/>
  <c r="S6" i="104"/>
  <c r="M6" i="104"/>
  <c r="G6" i="104"/>
  <c r="BE129" i="104"/>
  <c r="CE13" i="104"/>
  <c r="CC13" i="104"/>
  <c r="BZ13" i="104"/>
  <c r="BY13" i="104"/>
  <c r="BX13" i="104"/>
  <c r="BW13" i="104"/>
  <c r="BS13" i="104"/>
  <c r="BQ13" i="104"/>
  <c r="BN13" i="104"/>
  <c r="BM13" i="104"/>
  <c r="BL13" i="104"/>
  <c r="BK13" i="104"/>
  <c r="BG13" i="104"/>
  <c r="AY13" i="104"/>
  <c r="I13" i="104"/>
  <c r="F13" i="104"/>
  <c r="BG40" i="104"/>
  <c r="BF40" i="104"/>
  <c r="AV41" i="112" l="1"/>
  <c r="AZ41" i="112"/>
  <c r="AV45" i="112"/>
  <c r="AZ45" i="112"/>
  <c r="AV47" i="112"/>
  <c r="AZ47" i="112"/>
  <c r="AV43" i="112"/>
  <c r="AZ43" i="112"/>
  <c r="M141" i="29"/>
  <c r="M143" i="29" s="1"/>
  <c r="BI131" i="29"/>
  <c r="BU131" i="29"/>
  <c r="CG131" i="29"/>
  <c r="AV69" i="104"/>
  <c r="AV72" i="104" s="1"/>
  <c r="AK144" i="29"/>
  <c r="U266" i="29"/>
  <c r="O141" i="104"/>
  <c r="U141" i="104"/>
  <c r="AM141" i="104"/>
  <c r="F141" i="104"/>
  <c r="L141" i="104"/>
  <c r="R141" i="104"/>
  <c r="X141" i="104"/>
  <c r="AD141" i="104"/>
  <c r="AJ141" i="104"/>
  <c r="AP141" i="104"/>
  <c r="AV141" i="104"/>
  <c r="AA141" i="104"/>
  <c r="J141" i="104"/>
  <c r="V141" i="104"/>
  <c r="AH141" i="104"/>
  <c r="AT141" i="104"/>
  <c r="AZ141" i="104"/>
  <c r="C141" i="104"/>
  <c r="AY141" i="104"/>
  <c r="E141" i="104"/>
  <c r="K141" i="104"/>
  <c r="Q141" i="104"/>
  <c r="W141" i="104"/>
  <c r="AC141" i="104"/>
  <c r="AI141" i="104"/>
  <c r="AO141" i="104"/>
  <c r="AU141" i="104"/>
  <c r="W266" i="29"/>
  <c r="G141" i="29"/>
  <c r="G143" i="29" s="1"/>
  <c r="BE119" i="29"/>
  <c r="BE203" i="29" s="1"/>
  <c r="S141" i="29"/>
  <c r="S143" i="29" s="1"/>
  <c r="AB266" i="29"/>
  <c r="Y141" i="29"/>
  <c r="Y143" i="29" s="1"/>
  <c r="V249" i="29"/>
  <c r="D56" i="104"/>
  <c r="D58" i="104" s="1"/>
  <c r="K56" i="104"/>
  <c r="K58" i="104" s="1"/>
  <c r="P56" i="104"/>
  <c r="P58" i="104" s="1"/>
  <c r="W56" i="104"/>
  <c r="W58" i="104" s="1"/>
  <c r="AB56" i="104"/>
  <c r="AB58" i="104" s="1"/>
  <c r="AG56" i="104"/>
  <c r="AG58" i="104" s="1"/>
  <c r="AI56" i="104"/>
  <c r="AI58" i="104" s="1"/>
  <c r="AN56" i="104"/>
  <c r="AN58" i="104" s="1"/>
  <c r="AS56" i="104"/>
  <c r="AS58" i="104" s="1"/>
  <c r="AU56" i="104"/>
  <c r="AU58" i="104" s="1"/>
  <c r="AZ56" i="104"/>
  <c r="AZ58" i="104" s="1"/>
  <c r="F56" i="104"/>
  <c r="L56" i="104"/>
  <c r="L58" i="104" s="1"/>
  <c r="R56" i="104"/>
  <c r="R58" i="104" s="1"/>
  <c r="X56" i="104"/>
  <c r="X58" i="104" s="1"/>
  <c r="AD56" i="104"/>
  <c r="AJ56" i="104"/>
  <c r="AJ58" i="104" s="1"/>
  <c r="AP56" i="104"/>
  <c r="AP58" i="104" s="1"/>
  <c r="AV56" i="104"/>
  <c r="AV58" i="104" s="1"/>
  <c r="BB56" i="104"/>
  <c r="BB58" i="104" s="1"/>
  <c r="E56" i="104"/>
  <c r="E58" i="104" s="1"/>
  <c r="J56" i="104"/>
  <c r="J58" i="104" s="1"/>
  <c r="O56" i="104"/>
  <c r="O58" i="104" s="1"/>
  <c r="Q56" i="104"/>
  <c r="Q58" i="104" s="1"/>
  <c r="V56" i="104"/>
  <c r="V58" i="104" s="1"/>
  <c r="AA56" i="104"/>
  <c r="AA58" i="104" s="1"/>
  <c r="AC56" i="104"/>
  <c r="AC58" i="104" s="1"/>
  <c r="AH56" i="104"/>
  <c r="AH58" i="104" s="1"/>
  <c r="AM56" i="104"/>
  <c r="AM58" i="104" s="1"/>
  <c r="AO56" i="104"/>
  <c r="AO58" i="104" s="1"/>
  <c r="AT56" i="104"/>
  <c r="AT58" i="104" s="1"/>
  <c r="BA56" i="104"/>
  <c r="BA58" i="104" s="1"/>
  <c r="D167" i="104"/>
  <c r="AK80" i="104"/>
  <c r="V41" i="112"/>
  <c r="AD41" i="112"/>
  <c r="AC41" i="112"/>
  <c r="P43" i="112"/>
  <c r="X43" i="112"/>
  <c r="R45" i="112"/>
  <c r="V43" i="112"/>
  <c r="Q47" i="112"/>
  <c r="AB41" i="112"/>
  <c r="Y45" i="112"/>
  <c r="AY45" i="112"/>
  <c r="R47" i="112"/>
  <c r="Z47" i="112"/>
  <c r="X45" i="112"/>
  <c r="Y47" i="112"/>
  <c r="AA47" i="112"/>
  <c r="AW43" i="112"/>
  <c r="AW41" i="112"/>
  <c r="S41" i="112"/>
  <c r="AI41" i="112"/>
  <c r="U43" i="112"/>
  <c r="AW45" i="112"/>
  <c r="P47" i="112"/>
  <c r="X47" i="112"/>
  <c r="AE41" i="112"/>
  <c r="AX41" i="112"/>
  <c r="Q43" i="112"/>
  <c r="Y43" i="112"/>
  <c r="AA45" i="112"/>
  <c r="T47" i="112"/>
  <c r="X41" i="112"/>
  <c r="AF41" i="112"/>
  <c r="R43" i="112"/>
  <c r="Z43" i="112"/>
  <c r="U47" i="112"/>
  <c r="Q41" i="112"/>
  <c r="AG41" i="112"/>
  <c r="AA43" i="112"/>
  <c r="V47" i="112"/>
  <c r="R41" i="112"/>
  <c r="Z41" i="112"/>
  <c r="AH41" i="112"/>
  <c r="T43" i="112"/>
  <c r="V45" i="112"/>
  <c r="AW47" i="112"/>
  <c r="AD108" i="112"/>
  <c r="C167" i="104"/>
  <c r="AZ21" i="104"/>
  <c r="AZ43" i="104" s="1"/>
  <c r="F167" i="104"/>
  <c r="E167" i="104"/>
  <c r="AU69" i="104"/>
  <c r="AU72" i="104" s="1"/>
  <c r="AE7" i="104"/>
  <c r="CA7" i="104"/>
  <c r="AW82" i="104"/>
  <c r="AQ82" i="104" s="1"/>
  <c r="AK82" i="104" s="1"/>
  <c r="M7" i="104"/>
  <c r="CG7" i="104"/>
  <c r="AV20" i="104"/>
  <c r="AU20" i="104" s="1"/>
  <c r="AU19" i="104" s="1"/>
  <c r="AZ34" i="104"/>
  <c r="AY34" i="104" s="1"/>
  <c r="AY33" i="104" s="1"/>
  <c r="M54" i="104"/>
  <c r="AS69" i="104"/>
  <c r="AS72" i="104" s="1"/>
  <c r="U32" i="112"/>
  <c r="AI32" i="112"/>
  <c r="AZ32" i="112"/>
  <c r="BB32" i="112"/>
  <c r="W34" i="112"/>
  <c r="V34" i="112"/>
  <c r="AZ34" i="112"/>
  <c r="BB34" i="112"/>
  <c r="AJ36" i="112"/>
  <c r="AL36" i="112"/>
  <c r="X36" i="112"/>
  <c r="G113" i="51"/>
  <c r="AW120" i="51"/>
  <c r="P41" i="112"/>
  <c r="T41" i="112"/>
  <c r="AN41" i="112"/>
  <c r="AL41" i="112"/>
  <c r="AL68" i="112"/>
  <c r="AT41" i="112"/>
  <c r="AY41" i="112"/>
  <c r="AS43" i="112"/>
  <c r="AX43" i="112"/>
  <c r="Q45" i="112"/>
  <c r="U45" i="112"/>
  <c r="S45" i="112"/>
  <c r="W45" i="112"/>
  <c r="AT45" i="112"/>
  <c r="S47" i="112"/>
  <c r="W47" i="112"/>
  <c r="AE47" i="112"/>
  <c r="AT47" i="112"/>
  <c r="AY47" i="112"/>
  <c r="BC120" i="51"/>
  <c r="AE110" i="112"/>
  <c r="AJ133" i="51"/>
  <c r="AC110" i="112"/>
  <c r="AK72" i="112"/>
  <c r="M10" i="104"/>
  <c r="S9" i="104"/>
  <c r="AK10" i="104"/>
  <c r="AQ9" i="104"/>
  <c r="V32" i="112"/>
  <c r="X32" i="112"/>
  <c r="BA32" i="112"/>
  <c r="BC32" i="112"/>
  <c r="AI34" i="112"/>
  <c r="U34" i="112"/>
  <c r="BA34" i="112"/>
  <c r="BC34" i="112"/>
  <c r="X34" i="112"/>
  <c r="AI36" i="112"/>
  <c r="AK36" i="112"/>
  <c r="AM36" i="112"/>
  <c r="U36" i="112"/>
  <c r="S120" i="51"/>
  <c r="AB102" i="112"/>
  <c r="U41" i="112"/>
  <c r="Y41" i="112"/>
  <c r="W41" i="112"/>
  <c r="AA41" i="112"/>
  <c r="AK68" i="112"/>
  <c r="AM41" i="112"/>
  <c r="AM68" i="112"/>
  <c r="AU41" i="112"/>
  <c r="AC104" i="112"/>
  <c r="AD105" i="112" s="1"/>
  <c r="S43" i="112"/>
  <c r="W43" i="112"/>
  <c r="AE43" i="112"/>
  <c r="AT43" i="112"/>
  <c r="AY43" i="112"/>
  <c r="P45" i="112"/>
  <c r="T45" i="112"/>
  <c r="Z45" i="112"/>
  <c r="AB45" i="112"/>
  <c r="AD45" i="112"/>
  <c r="AN45" i="112"/>
  <c r="AS45" i="112"/>
  <c r="AX45" i="112"/>
  <c r="AD47" i="112"/>
  <c r="AS47" i="112"/>
  <c r="AX47" i="112"/>
  <c r="AQ120" i="51"/>
  <c r="AB110" i="112"/>
  <c r="AD110" i="112"/>
  <c r="BF142" i="3"/>
  <c r="BC100" i="29"/>
  <c r="BI102" i="29" s="1"/>
  <c r="BC33" i="29"/>
  <c r="BC34" i="29"/>
  <c r="BC35" i="29" s="1"/>
  <c r="BC94" i="29" s="1"/>
  <c r="AT127" i="29"/>
  <c r="AZ127" i="29"/>
  <c r="AZ132" i="29" s="1"/>
  <c r="BK213" i="29"/>
  <c r="BK214" i="29"/>
  <c r="AS127" i="29"/>
  <c r="AU127" i="29"/>
  <c r="AV211" i="29" s="1"/>
  <c r="AY127" i="29"/>
  <c r="BA127" i="29"/>
  <c r="L261" i="29"/>
  <c r="L266" i="29" s="1"/>
  <c r="AD249" i="29"/>
  <c r="AQ286" i="29"/>
  <c r="AQ285" i="29" s="1"/>
  <c r="BI286" i="29"/>
  <c r="BI285" i="29" s="1"/>
  <c r="CM286" i="29"/>
  <c r="CM285" i="29" s="1"/>
  <c r="BU293" i="29"/>
  <c r="BU292" i="29" s="1"/>
  <c r="AT212" i="29"/>
  <c r="AU213" i="29"/>
  <c r="AU214" i="29"/>
  <c r="BZ214" i="29"/>
  <c r="CF213" i="29"/>
  <c r="CD214" i="29"/>
  <c r="CF214" i="29"/>
  <c r="BF164" i="29"/>
  <c r="BH164" i="29"/>
  <c r="AQ163" i="29"/>
  <c r="BI163" i="29"/>
  <c r="M208" i="29"/>
  <c r="Y208" i="29"/>
  <c r="BC124" i="29"/>
  <c r="BB124" i="29" s="1"/>
  <c r="CF211" i="29"/>
  <c r="AH131" i="29"/>
  <c r="AH214" i="29" s="1"/>
  <c r="BH213" i="29"/>
  <c r="BH214" i="29"/>
  <c r="BQ213" i="29"/>
  <c r="AY135" i="29"/>
  <c r="AY140" i="29" s="1"/>
  <c r="AI249" i="29"/>
  <c r="G263" i="29"/>
  <c r="G264" i="29"/>
  <c r="G265" i="29"/>
  <c r="M263" i="29"/>
  <c r="M265" i="29"/>
  <c r="S264" i="29"/>
  <c r="Y263" i="29"/>
  <c r="Y265" i="29"/>
  <c r="BI277" i="29"/>
  <c r="BI276" i="29" s="1"/>
  <c r="BU277" i="29"/>
  <c r="BU276" i="29" s="1"/>
  <c r="CA277" i="29"/>
  <c r="CA276" i="29" s="1"/>
  <c r="AV135" i="29"/>
  <c r="AH136" i="29"/>
  <c r="AI136" i="29" s="1"/>
  <c r="AJ136" i="29" s="1"/>
  <c r="AM136" i="29" s="1"/>
  <c r="AM219" i="29" s="1"/>
  <c r="AJ164" i="29"/>
  <c r="BZ164" i="29"/>
  <c r="CG277" i="29"/>
  <c r="CG276" i="29" s="1"/>
  <c r="BS213" i="29"/>
  <c r="BW213" i="29"/>
  <c r="BW214" i="29"/>
  <c r="AQ155" i="29"/>
  <c r="M155" i="29"/>
  <c r="BW164" i="29"/>
  <c r="BU172" i="29"/>
  <c r="M172" i="29"/>
  <c r="AN249" i="29"/>
  <c r="CA249" i="29"/>
  <c r="CM249" i="29"/>
  <c r="M247" i="29"/>
  <c r="Y246" i="29"/>
  <c r="AE247" i="29"/>
  <c r="AK248" i="29"/>
  <c r="AQ247" i="29"/>
  <c r="AW246" i="29"/>
  <c r="AW248" i="29"/>
  <c r="AZ251" i="29"/>
  <c r="BA213" i="29"/>
  <c r="BA214" i="29"/>
  <c r="BL211" i="29"/>
  <c r="CE211" i="29"/>
  <c r="BR214" i="29"/>
  <c r="BT214" i="29"/>
  <c r="BY213" i="29"/>
  <c r="CC213" i="29"/>
  <c r="AT138" i="29"/>
  <c r="AT221" i="29" s="1"/>
  <c r="BC140" i="29"/>
  <c r="BB140" i="29" s="1"/>
  <c r="BB141" i="29" s="1"/>
  <c r="BC155" i="29"/>
  <c r="AH164" i="29"/>
  <c r="AV164" i="29"/>
  <c r="CF164" i="29"/>
  <c r="AW172" i="29"/>
  <c r="M235" i="29"/>
  <c r="M240" i="29" s="1"/>
  <c r="AD240" i="29"/>
  <c r="AC249" i="29"/>
  <c r="AK286" i="29"/>
  <c r="AK285" i="29" s="1"/>
  <c r="CA293" i="29"/>
  <c r="CA292" i="29" s="1"/>
  <c r="AZ164" i="29"/>
  <c r="S163" i="29"/>
  <c r="AN164" i="29"/>
  <c r="AT164" i="29"/>
  <c r="BK164" i="29"/>
  <c r="BX164" i="29"/>
  <c r="CD164" i="29"/>
  <c r="AE172" i="29"/>
  <c r="AW240" i="29"/>
  <c r="O244" i="29"/>
  <c r="O249" i="29" s="1"/>
  <c r="AQ244" i="29"/>
  <c r="AK246" i="29"/>
  <c r="BB251" i="29"/>
  <c r="AD254" i="29"/>
  <c r="AE254" i="29" s="1"/>
  <c r="AK277" i="29"/>
  <c r="AK276" i="29" s="1"/>
  <c r="AQ277" i="29"/>
  <c r="AQ276" i="29" s="1"/>
  <c r="AW277" i="29"/>
  <c r="AW276" i="29" s="1"/>
  <c r="BC277" i="29"/>
  <c r="BC276" i="29" s="1"/>
  <c r="BE220" i="29"/>
  <c r="BF137" i="29"/>
  <c r="BG137" i="29" s="1"/>
  <c r="BE135" i="29"/>
  <c r="BF135" i="29" s="1"/>
  <c r="BB135" i="29"/>
  <c r="BE136" i="29"/>
  <c r="BF136" i="29" s="1"/>
  <c r="BG136" i="29" s="1"/>
  <c r="BB136" i="29"/>
  <c r="AS155" i="29"/>
  <c r="AS164" i="29" s="1"/>
  <c r="K261" i="29"/>
  <c r="K266" i="29" s="1"/>
  <c r="K244" i="29"/>
  <c r="K249" i="29" s="1"/>
  <c r="BC240" i="29"/>
  <c r="BI238" i="29"/>
  <c r="BK238" i="29"/>
  <c r="BL238" i="29" s="1"/>
  <c r="BM238" i="29" s="1"/>
  <c r="BN238" i="29" s="1"/>
  <c r="BQ238" i="29" s="1"/>
  <c r="BR238" i="29" s="1"/>
  <c r="BS238" i="29" s="1"/>
  <c r="BT238" i="29" s="1"/>
  <c r="AG244" i="29"/>
  <c r="AG249" i="29" s="1"/>
  <c r="AC263" i="29"/>
  <c r="AD256" i="29"/>
  <c r="AD263" i="29" s="1"/>
  <c r="AG122" i="29"/>
  <c r="AH122" i="29" s="1"/>
  <c r="AH206" i="29" s="1"/>
  <c r="AT204" i="29"/>
  <c r="AT122" i="29"/>
  <c r="AU122" i="29" s="1"/>
  <c r="AV206" i="29" s="1"/>
  <c r="AU212" i="29"/>
  <c r="AT213" i="29"/>
  <c r="AT214" i="29"/>
  <c r="AV214" i="29"/>
  <c r="BB212" i="29"/>
  <c r="BB213" i="29"/>
  <c r="BB214" i="29"/>
  <c r="BG132" i="29"/>
  <c r="BW211" i="29"/>
  <c r="CD211" i="29"/>
  <c r="BG213" i="29"/>
  <c r="BG214" i="29"/>
  <c r="BL213" i="29"/>
  <c r="BL214" i="29"/>
  <c r="BN214" i="29"/>
  <c r="BS214" i="29"/>
  <c r="BX213" i="29"/>
  <c r="BZ213" i="29"/>
  <c r="BU155" i="29"/>
  <c r="S215" i="29"/>
  <c r="BK237" i="29"/>
  <c r="BL237" i="29" s="1"/>
  <c r="BM237" i="29" s="1"/>
  <c r="BN237" i="29" s="1"/>
  <c r="BO237" i="29" s="1"/>
  <c r="BI237" i="29"/>
  <c r="BF240" i="29"/>
  <c r="AO249" i="29"/>
  <c r="C261" i="29"/>
  <c r="C266" i="29" s="1"/>
  <c r="M264" i="29"/>
  <c r="BC286" i="29"/>
  <c r="BC285" i="29" s="1"/>
  <c r="BI293" i="29"/>
  <c r="BI292" i="29" s="1"/>
  <c r="BY214" i="29"/>
  <c r="CC214" i="29"/>
  <c r="BI150" i="29"/>
  <c r="BI155" i="29" s="1"/>
  <c r="CA155" i="29"/>
  <c r="AP164" i="29"/>
  <c r="BB164" i="29"/>
  <c r="BA164" i="29"/>
  <c r="M163" i="29"/>
  <c r="AI164" i="29"/>
  <c r="AM164" i="29"/>
  <c r="BE164" i="29"/>
  <c r="BG164" i="29"/>
  <c r="BL164" i="29"/>
  <c r="BQ164" i="29"/>
  <c r="BT164" i="29"/>
  <c r="AK167" i="29"/>
  <c r="AQ172" i="29"/>
  <c r="BI172" i="29"/>
  <c r="CA172" i="29"/>
  <c r="S172" i="29"/>
  <c r="M215" i="29"/>
  <c r="D261" i="29"/>
  <c r="AQ240" i="29"/>
  <c r="AH244" i="29"/>
  <c r="AH249" i="29" s="1"/>
  <c r="AJ249" i="29"/>
  <c r="BA249" i="29"/>
  <c r="BE249" i="29"/>
  <c r="M248" i="29"/>
  <c r="S246" i="29"/>
  <c r="S247" i="29"/>
  <c r="S248" i="29"/>
  <c r="AK247" i="29"/>
  <c r="AS251" i="29"/>
  <c r="AY249" i="29"/>
  <c r="BC248" i="29"/>
  <c r="V266" i="29"/>
  <c r="X266" i="29"/>
  <c r="D266" i="29"/>
  <c r="BU286" i="29"/>
  <c r="BU285" i="29" s="1"/>
  <c r="CG286" i="29"/>
  <c r="CG285" i="29" s="1"/>
  <c r="BO293" i="29"/>
  <c r="BO292" i="29" s="1"/>
  <c r="AQ143" i="104"/>
  <c r="AQ144" i="104" s="1"/>
  <c r="BB141" i="104"/>
  <c r="D13" i="104"/>
  <c r="BG211" i="29"/>
  <c r="BM211" i="29"/>
  <c r="BH211" i="29"/>
  <c r="V13" i="104"/>
  <c r="AH172" i="104"/>
  <c r="AC32" i="3"/>
  <c r="P172" i="104"/>
  <c r="AT172" i="104"/>
  <c r="BF172" i="104"/>
  <c r="AB172" i="104"/>
  <c r="D172" i="104"/>
  <c r="J172" i="104"/>
  <c r="V172" i="104"/>
  <c r="AN172" i="104"/>
  <c r="BI62" i="104"/>
  <c r="AA13" i="104"/>
  <c r="AG13" i="104"/>
  <c r="BF13" i="104"/>
  <c r="BH13" i="104"/>
  <c r="BR13" i="104"/>
  <c r="BT13" i="104"/>
  <c r="CD13" i="104"/>
  <c r="CF13" i="104"/>
  <c r="CA13" i="104"/>
  <c r="O13" i="104"/>
  <c r="AM13" i="104"/>
  <c r="AS13" i="104"/>
  <c r="C13" i="104"/>
  <c r="E13" i="104"/>
  <c r="U13" i="104"/>
  <c r="BO7" i="104"/>
  <c r="AE47" i="104"/>
  <c r="AE48" i="104" s="1"/>
  <c r="AQ62" i="104"/>
  <c r="U69" i="104"/>
  <c r="U72" i="104" s="1"/>
  <c r="AG69" i="104"/>
  <c r="AG72" i="104" s="1"/>
  <c r="M66" i="104"/>
  <c r="Y66" i="104"/>
  <c r="AK66" i="104"/>
  <c r="AW66" i="104"/>
  <c r="S62" i="104"/>
  <c r="AV82" i="104"/>
  <c r="AP82" i="104" s="1"/>
  <c r="AJ82" i="104" s="1"/>
  <c r="AD82" i="104" s="1"/>
  <c r="X82" i="104" s="1"/>
  <c r="R82" i="104" s="1"/>
  <c r="L82" i="104" s="1"/>
  <c r="F82" i="104" s="1"/>
  <c r="G87" i="104"/>
  <c r="G88" i="104" s="1"/>
  <c r="G94" i="104"/>
  <c r="M100" i="104"/>
  <c r="AK100" i="104"/>
  <c r="AW100" i="104"/>
  <c r="AB167" i="104"/>
  <c r="BI7" i="104"/>
  <c r="AP48" i="104"/>
  <c r="I56" i="104"/>
  <c r="I58" i="104" s="1"/>
  <c r="F62" i="104"/>
  <c r="AP62" i="104"/>
  <c r="W69" i="104"/>
  <c r="W72" i="104" s="1"/>
  <c r="W52" i="104" s="1"/>
  <c r="AQ55" i="104"/>
  <c r="AV79" i="104"/>
  <c r="AV167" i="104" s="1"/>
  <c r="AD87" i="104"/>
  <c r="AE87" i="104" s="1"/>
  <c r="AE88" i="104" s="1"/>
  <c r="Y90" i="104"/>
  <c r="Y94" i="104" s="1"/>
  <c r="S7" i="104"/>
  <c r="Y7" i="104"/>
  <c r="AK7" i="104"/>
  <c r="AQ7" i="104"/>
  <c r="AW7" i="104"/>
  <c r="BC7" i="104"/>
  <c r="BU7" i="104"/>
  <c r="BC47" i="104"/>
  <c r="BC48" i="104" s="1"/>
  <c r="S54" i="104"/>
  <c r="AQ54" i="104"/>
  <c r="BC54" i="104"/>
  <c r="AY56" i="104"/>
  <c r="AD62" i="104"/>
  <c r="BB62" i="104"/>
  <c r="F69" i="104"/>
  <c r="F72" i="104" s="1"/>
  <c r="J69" i="104"/>
  <c r="J72" i="104" s="1"/>
  <c r="Y64" i="104"/>
  <c r="AD69" i="104"/>
  <c r="AD72" i="104" s="1"/>
  <c r="BB69" i="104"/>
  <c r="BB72" i="104" s="1"/>
  <c r="G66" i="104"/>
  <c r="L69" i="104"/>
  <c r="L72" i="104" s="1"/>
  <c r="X69" i="104"/>
  <c r="X72" i="104" s="1"/>
  <c r="AE66" i="104"/>
  <c r="AJ69" i="104"/>
  <c r="AJ72" i="104" s="1"/>
  <c r="BC66" i="104"/>
  <c r="G62" i="104"/>
  <c r="AE62" i="104"/>
  <c r="BC62" i="104"/>
  <c r="AP79" i="104"/>
  <c r="AP167" i="104" s="1"/>
  <c r="AJ87" i="104"/>
  <c r="AJ88" i="104" s="1"/>
  <c r="S90" i="104"/>
  <c r="S94" i="104" s="1"/>
  <c r="S293" i="29"/>
  <c r="S292" i="29" s="1"/>
  <c r="S278" i="29"/>
  <c r="S279" i="29" s="1"/>
  <c r="AW293" i="29"/>
  <c r="AW292" i="29" s="1"/>
  <c r="F227" i="29"/>
  <c r="G227" i="29" s="1"/>
  <c r="F293" i="29"/>
  <c r="F292" i="29" s="1"/>
  <c r="F277" i="29"/>
  <c r="F276" i="29" s="1"/>
  <c r="L227" i="29"/>
  <c r="M227" i="29" s="1"/>
  <c r="L278" i="29"/>
  <c r="L279" i="29" s="1"/>
  <c r="L277" i="29"/>
  <c r="L276" i="29" s="1"/>
  <c r="L293" i="29"/>
  <c r="L292" i="29" s="1"/>
  <c r="R227" i="29"/>
  <c r="S227" i="29" s="1"/>
  <c r="X293" i="29"/>
  <c r="X292" i="29" s="1"/>
  <c r="X278" i="29"/>
  <c r="X279" i="29" s="1"/>
  <c r="X277" i="29"/>
  <c r="X276" i="29" s="1"/>
  <c r="AJ227" i="29"/>
  <c r="AK227" i="29" s="1"/>
  <c r="AP227" i="29"/>
  <c r="AQ227" i="29" s="1"/>
  <c r="AP293" i="29"/>
  <c r="AP292" i="29" s="1"/>
  <c r="AV227" i="29"/>
  <c r="AW227" i="29" s="1"/>
  <c r="BG227" i="29"/>
  <c r="AD278" i="29"/>
  <c r="AD279" i="29" s="1"/>
  <c r="AD293" i="29"/>
  <c r="AD292" i="29" s="1"/>
  <c r="BF72" i="104"/>
  <c r="BF52" i="104" s="1"/>
  <c r="AI143" i="104"/>
  <c r="AI144" i="104" s="1"/>
  <c r="G293" i="29"/>
  <c r="M293" i="29"/>
  <c r="M292" i="29" s="1"/>
  <c r="M278" i="29"/>
  <c r="M279" i="29" s="1"/>
  <c r="R293" i="29"/>
  <c r="R292" i="29" s="1"/>
  <c r="R278" i="29"/>
  <c r="R279" i="29" s="1"/>
  <c r="R277" i="29"/>
  <c r="R276" i="29" s="1"/>
  <c r="X227" i="29"/>
  <c r="Y227" i="29" s="1"/>
  <c r="Y293" i="29"/>
  <c r="Y292" i="29" s="1"/>
  <c r="Y278" i="29"/>
  <c r="Y279" i="29" s="1"/>
  <c r="AJ293" i="29"/>
  <c r="AJ292" i="29" s="1"/>
  <c r="AD227" i="29"/>
  <c r="AE227" i="29" s="1"/>
  <c r="AV293" i="29"/>
  <c r="AV292" i="29" s="1"/>
  <c r="BA293" i="29"/>
  <c r="BA292" i="29" s="1"/>
  <c r="AW90" i="104"/>
  <c r="AW94" i="104" s="1"/>
  <c r="BA141" i="104"/>
  <c r="BE98" i="104"/>
  <c r="S102" i="104"/>
  <c r="AM144" i="104"/>
  <c r="BB144" i="104"/>
  <c r="C88" i="104"/>
  <c r="X87" i="104"/>
  <c r="X88" i="104" s="1"/>
  <c r="G100" i="104"/>
  <c r="AE100" i="104"/>
  <c r="BC100" i="104"/>
  <c r="AQ102" i="104"/>
  <c r="AZ144" i="104"/>
  <c r="AA32" i="3"/>
  <c r="O32" i="3"/>
  <c r="I32" i="3"/>
  <c r="AZ32" i="3"/>
  <c r="BG122" i="29"/>
  <c r="BG206" i="29" s="1"/>
  <c r="BN213" i="29"/>
  <c r="BM213" i="29"/>
  <c r="P261" i="29"/>
  <c r="P266" i="29" s="1"/>
  <c r="P240" i="29"/>
  <c r="P244" i="29"/>
  <c r="P249" i="29" s="1"/>
  <c r="AY204" i="29"/>
  <c r="AZ120" i="29"/>
  <c r="BA123" i="29"/>
  <c r="BB207" i="29" s="1"/>
  <c r="BY211" i="29"/>
  <c r="AI135" i="29"/>
  <c r="BO172" i="29"/>
  <c r="CG172" i="29"/>
  <c r="BO127" i="29"/>
  <c r="CF212" i="29"/>
  <c r="AG213" i="29"/>
  <c r="AG161" i="29"/>
  <c r="AK161" i="29" s="1"/>
  <c r="AH130" i="29"/>
  <c r="AH213" i="29" s="1"/>
  <c r="AQ129" i="29"/>
  <c r="AQ134" i="29" s="1"/>
  <c r="AW160" i="29"/>
  <c r="AT129" i="29"/>
  <c r="AY205" i="29"/>
  <c r="BE204" i="29"/>
  <c r="BF120" i="29"/>
  <c r="BF204" i="29" s="1"/>
  <c r="AZ214" i="29"/>
  <c r="AY214" i="29"/>
  <c r="BK211" i="29"/>
  <c r="CG128" i="29"/>
  <c r="CG132" i="29" s="1"/>
  <c r="CF132" i="29"/>
  <c r="AU136" i="29"/>
  <c r="AV219" i="29" s="1"/>
  <c r="AY206" i="29"/>
  <c r="AG151" i="29"/>
  <c r="AK151" i="29" s="1"/>
  <c r="AG204" i="29"/>
  <c r="AZ121" i="29"/>
  <c r="AZ205" i="29" s="1"/>
  <c r="BF212" i="29"/>
  <c r="BE212" i="29"/>
  <c r="BE132" i="29"/>
  <c r="AZ206" i="29"/>
  <c r="BA122" i="29"/>
  <c r="BB206" i="29" s="1"/>
  <c r="AY207" i="29"/>
  <c r="AZ207" i="29"/>
  <c r="BZ211" i="29"/>
  <c r="AH120" i="29"/>
  <c r="AY203" i="29"/>
  <c r="AY124" i="29"/>
  <c r="AZ119" i="29"/>
  <c r="BE205" i="29"/>
  <c r="BF121" i="29"/>
  <c r="BF205" i="29" s="1"/>
  <c r="BF206" i="29"/>
  <c r="BE206" i="29"/>
  <c r="BT211" i="29"/>
  <c r="CE213" i="29"/>
  <c r="AE211" i="29"/>
  <c r="BF132" i="29"/>
  <c r="BH138" i="29"/>
  <c r="BI138" i="29" s="1"/>
  <c r="AY221" i="29"/>
  <c r="AZ138" i="29"/>
  <c r="AZ221" i="29" s="1"/>
  <c r="I261" i="29"/>
  <c r="F240" i="29"/>
  <c r="F244" i="29"/>
  <c r="F249" i="29" s="1"/>
  <c r="G235" i="29"/>
  <c r="G240" i="29" s="1"/>
  <c r="F261" i="29"/>
  <c r="F266" i="29" s="1"/>
  <c r="AY251" i="29"/>
  <c r="AU251" i="29"/>
  <c r="AG127" i="29"/>
  <c r="AG211" i="29" s="1"/>
  <c r="CC211" i="29"/>
  <c r="CE132" i="29"/>
  <c r="AE212" i="29"/>
  <c r="AE159" i="29"/>
  <c r="AG128" i="29"/>
  <c r="AG212" i="29" s="1"/>
  <c r="AY219" i="29"/>
  <c r="AT220" i="29"/>
  <c r="AU137" i="29"/>
  <c r="AV220" i="29" s="1"/>
  <c r="AS222" i="29"/>
  <c r="AT139" i="29"/>
  <c r="Y155" i="29"/>
  <c r="AU163" i="29"/>
  <c r="AU164" i="29" s="1"/>
  <c r="AO164" i="29"/>
  <c r="AG150" i="29"/>
  <c r="AH203" i="29"/>
  <c r="AG203" i="29"/>
  <c r="AU120" i="29"/>
  <c r="AV204" i="29" s="1"/>
  <c r="AE206" i="29"/>
  <c r="AE208" i="29" s="1"/>
  <c r="AE153" i="29"/>
  <c r="AE155" i="29" s="1"/>
  <c r="AY212" i="29"/>
  <c r="AZ212" i="29"/>
  <c r="AY213" i="29"/>
  <c r="AZ213" i="29"/>
  <c r="BF211" i="29"/>
  <c r="BE211" i="29"/>
  <c r="AG214" i="29"/>
  <c r="AS212" i="29"/>
  <c r="BF214" i="29"/>
  <c r="BE214" i="29"/>
  <c r="BM214" i="29"/>
  <c r="BR213" i="29"/>
  <c r="AN131" i="29"/>
  <c r="AE132" i="29"/>
  <c r="AE141" i="29" s="1"/>
  <c r="AE144" i="29" s="1"/>
  <c r="AS135" i="29"/>
  <c r="AS218" i="29" s="1"/>
  <c r="AZ136" i="29"/>
  <c r="BA136" i="29" s="1"/>
  <c r="AY220" i="29"/>
  <c r="AY222" i="29"/>
  <c r="AZ222" i="29"/>
  <c r="CG155" i="29"/>
  <c r="Y163" i="29"/>
  <c r="BR164" i="29"/>
  <c r="CC164" i="29"/>
  <c r="AI119" i="29"/>
  <c r="AG207" i="29"/>
  <c r="BF123" i="29"/>
  <c r="BA132" i="29"/>
  <c r="AY164" i="29"/>
  <c r="BA222" i="29"/>
  <c r="BO239" i="29"/>
  <c r="BQ239" i="29"/>
  <c r="BR239" i="29" s="1"/>
  <c r="BS239" i="29" s="1"/>
  <c r="BT239" i="29" s="1"/>
  <c r="AH123" i="29"/>
  <c r="AS119" i="29"/>
  <c r="AS205" i="29"/>
  <c r="AS207" i="29"/>
  <c r="AW141" i="29"/>
  <c r="AW144" i="29" s="1"/>
  <c r="BR211" i="29"/>
  <c r="AS213" i="29"/>
  <c r="BQ214" i="29"/>
  <c r="AN220" i="29"/>
  <c r="AO137" i="29"/>
  <c r="AO220" i="29" s="1"/>
  <c r="AW155" i="29"/>
  <c r="BO155" i="29"/>
  <c r="S155" i="29"/>
  <c r="AE158" i="29"/>
  <c r="BC158" i="29"/>
  <c r="BC163" i="29" s="1"/>
  <c r="AT121" i="29"/>
  <c r="AT205" i="29" s="1"/>
  <c r="AT123" i="29"/>
  <c r="AT207" i="29" s="1"/>
  <c r="AV212" i="29"/>
  <c r="AV213" i="29"/>
  <c r="BN211" i="29"/>
  <c r="BS211" i="29"/>
  <c r="BX211" i="29"/>
  <c r="BF213" i="29"/>
  <c r="BX214" i="29"/>
  <c r="CD213" i="29"/>
  <c r="AS214" i="29"/>
  <c r="AH218" i="29"/>
  <c r="AG218" i="29"/>
  <c r="AZ137" i="29"/>
  <c r="AZ220" i="29" s="1"/>
  <c r="BB139" i="29"/>
  <c r="BE139" i="29" s="1"/>
  <c r="BE222" i="29" s="1"/>
  <c r="AG154" i="29"/>
  <c r="AK154" i="29" s="1"/>
  <c r="BC167" i="29"/>
  <c r="BC172" i="29" s="1"/>
  <c r="Y172" i="29"/>
  <c r="BA212" i="29"/>
  <c r="BT213" i="29"/>
  <c r="S240" i="29"/>
  <c r="AK240" i="29"/>
  <c r="BC247" i="29"/>
  <c r="AE256" i="29"/>
  <c r="AG256" i="29" s="1"/>
  <c r="CE214" i="29"/>
  <c r="BF221" i="29"/>
  <c r="BE221" i="29"/>
  <c r="AH220" i="29"/>
  <c r="AG220" i="29"/>
  <c r="AG169" i="29"/>
  <c r="AK169" i="29" s="1"/>
  <c r="AU172" i="29"/>
  <c r="BF220" i="29"/>
  <c r="AE248" i="29"/>
  <c r="BG221" i="29"/>
  <c r="AT219" i="29"/>
  <c r="AI220" i="29"/>
  <c r="AG168" i="29"/>
  <c r="AS204" i="29"/>
  <c r="AS219" i="29"/>
  <c r="AW158" i="29"/>
  <c r="AS206" i="29"/>
  <c r="S208" i="29"/>
  <c r="BE213" i="29"/>
  <c r="CG249" i="29"/>
  <c r="AI261" i="29"/>
  <c r="AJ254" i="29"/>
  <c r="AJ137" i="29"/>
  <c r="AK137" i="29" s="1"/>
  <c r="AM220" i="29" s="1"/>
  <c r="AH139" i="29"/>
  <c r="AH222" i="29" s="1"/>
  <c r="AG171" i="29"/>
  <c r="AK171" i="29" s="1"/>
  <c r="AB249" i="29"/>
  <c r="AZ249" i="29"/>
  <c r="BC244" i="29"/>
  <c r="AP249" i="29"/>
  <c r="Y215" i="29"/>
  <c r="R261" i="29"/>
  <c r="R266" i="29" s="1"/>
  <c r="Q240" i="29"/>
  <c r="R244" i="29"/>
  <c r="R249" i="29" s="1"/>
  <c r="Q261" i="29"/>
  <c r="Q266" i="29" s="1"/>
  <c r="Q244" i="29"/>
  <c r="Q249" i="29" s="1"/>
  <c r="BG235" i="29"/>
  <c r="AS249" i="29"/>
  <c r="AW244" i="29"/>
  <c r="M246" i="29"/>
  <c r="Y248" i="29"/>
  <c r="AC264" i="29"/>
  <c r="AD257" i="29"/>
  <c r="I244" i="29"/>
  <c r="AT249" i="29"/>
  <c r="Y240" i="29"/>
  <c r="W249" i="29"/>
  <c r="Y244" i="29"/>
  <c r="AQ248" i="29"/>
  <c r="BI239" i="29"/>
  <c r="AM249" i="29"/>
  <c r="Y247" i="29"/>
  <c r="U249" i="29"/>
  <c r="AE246" i="29"/>
  <c r="AA266" i="29"/>
  <c r="J261" i="29"/>
  <c r="J266" i="29" s="1"/>
  <c r="K240" i="29"/>
  <c r="D244" i="29"/>
  <c r="D249" i="29" s="1"/>
  <c r="AW247" i="29"/>
  <c r="BU249" i="29"/>
  <c r="AG261" i="29"/>
  <c r="E244" i="29"/>
  <c r="E249" i="29" s="1"/>
  <c r="AE244" i="29"/>
  <c r="O261" i="29"/>
  <c r="L244" i="29"/>
  <c r="L249" i="29" s="1"/>
  <c r="L240" i="29"/>
  <c r="AE235" i="29"/>
  <c r="AE240" i="29" s="1"/>
  <c r="D240" i="29"/>
  <c r="BI244" i="29"/>
  <c r="BI249" i="29" s="1"/>
  <c r="Q276" i="29"/>
  <c r="BO249" i="29"/>
  <c r="AA249" i="29"/>
  <c r="AQ246" i="29"/>
  <c r="E261" i="29"/>
  <c r="E266" i="29" s="1"/>
  <c r="J244" i="29"/>
  <c r="J249" i="29" s="1"/>
  <c r="AV251" i="29"/>
  <c r="AT251" i="29"/>
  <c r="BC246" i="29"/>
  <c r="BA251" i="29" s="1"/>
  <c r="Y261" i="29"/>
  <c r="Y264" i="29"/>
  <c r="AW286" i="29"/>
  <c r="AW285" i="29" s="1"/>
  <c r="AE286" i="29"/>
  <c r="AE285" i="29" s="1"/>
  <c r="CG293" i="29"/>
  <c r="CG292" i="29" s="1"/>
  <c r="S263" i="29"/>
  <c r="S265" i="29"/>
  <c r="U276" i="29"/>
  <c r="AE277" i="29"/>
  <c r="AE276" i="29" s="1"/>
  <c r="AY292" i="29"/>
  <c r="AH261" i="29"/>
  <c r="AD258" i="29"/>
  <c r="I276" i="29"/>
  <c r="BO277" i="29"/>
  <c r="BO276" i="29" s="1"/>
  <c r="BO286" i="29"/>
  <c r="BO285" i="29" s="1"/>
  <c r="CA286" i="29"/>
  <c r="CA285" i="29" s="1"/>
  <c r="AE22" i="104"/>
  <c r="Y22" i="104" s="1"/>
  <c r="S22" i="104" s="1"/>
  <c r="AJ22" i="104"/>
  <c r="AV22" i="104"/>
  <c r="AU80" i="104"/>
  <c r="AU79" i="104" s="1"/>
  <c r="BA21" i="104"/>
  <c r="BA43" i="104" s="1"/>
  <c r="AY43" i="104"/>
  <c r="BE120" i="51"/>
  <c r="AE104" i="112"/>
  <c r="AD102" i="112"/>
  <c r="AE103" i="112" s="1"/>
  <c r="AC106" i="112"/>
  <c r="AD107" i="112" s="1"/>
  <c r="AC108" i="112"/>
  <c r="AC94" i="104"/>
  <c r="AC171" i="104" s="1"/>
  <c r="AD90" i="104"/>
  <c r="AD94" i="104" s="1"/>
  <c r="AD171" i="104" s="1"/>
  <c r="G47" i="104"/>
  <c r="G48" i="104" s="1"/>
  <c r="Y10" i="104"/>
  <c r="AW10" i="104"/>
  <c r="AZ32" i="104"/>
  <c r="BA31" i="104"/>
  <c r="BB32" i="104"/>
  <c r="BB31" i="104" s="1"/>
  <c r="M47" i="104"/>
  <c r="M48" i="104" s="1"/>
  <c r="L48" i="104"/>
  <c r="S37" i="104"/>
  <c r="AV62" i="104"/>
  <c r="AW59" i="104"/>
  <c r="AW62" i="104" s="1"/>
  <c r="BO13" i="104"/>
  <c r="Y23" i="104"/>
  <c r="G10" i="104"/>
  <c r="S10" i="104"/>
  <c r="AQ10" i="104"/>
  <c r="AK47" i="104"/>
  <c r="AK48" i="104" s="1"/>
  <c r="AE10" i="104"/>
  <c r="G37" i="104"/>
  <c r="Y9" i="104"/>
  <c r="AW9" i="104"/>
  <c r="BC10" i="104"/>
  <c r="AZ20" i="104"/>
  <c r="BA19" i="104"/>
  <c r="BB20" i="104"/>
  <c r="BB19" i="104" s="1"/>
  <c r="BB45" i="104"/>
  <c r="BB46" i="104" s="1"/>
  <c r="AP20" i="104"/>
  <c r="AK20" i="104"/>
  <c r="AE77" i="104"/>
  <c r="BL88" i="104"/>
  <c r="BM88" i="104" s="1"/>
  <c r="BN88" i="104" s="1"/>
  <c r="BQ88" i="104" s="1"/>
  <c r="G7" i="104"/>
  <c r="G9" i="104"/>
  <c r="M9" i="104"/>
  <c r="AE9" i="104"/>
  <c r="AK9" i="104"/>
  <c r="BA33" i="104"/>
  <c r="BA44" i="104" s="1"/>
  <c r="AQ32" i="104"/>
  <c r="AV32" i="104"/>
  <c r="BE52" i="104"/>
  <c r="V69" i="104"/>
  <c r="V72" i="104" s="1"/>
  <c r="AU34" i="104"/>
  <c r="AV33" i="104"/>
  <c r="AV44" i="104" s="1"/>
  <c r="G23" i="104"/>
  <c r="G54" i="104"/>
  <c r="C56" i="104"/>
  <c r="Y54" i="104"/>
  <c r="U56" i="104"/>
  <c r="M64" i="104"/>
  <c r="AK64" i="104"/>
  <c r="S66" i="104"/>
  <c r="AQ66" i="104"/>
  <c r="BC9" i="104"/>
  <c r="AP22" i="104"/>
  <c r="AH69" i="104"/>
  <c r="AW64" i="104"/>
  <c r="AT69" i="104"/>
  <c r="AT72" i="104" s="1"/>
  <c r="AK62" i="104"/>
  <c r="AQ34" i="104"/>
  <c r="BC86" i="104"/>
  <c r="BB87" i="104"/>
  <c r="BC87" i="104" s="1"/>
  <c r="M87" i="104"/>
  <c r="M88" i="104" s="1"/>
  <c r="X48" i="104"/>
  <c r="Y55" i="104"/>
  <c r="AW55" i="104"/>
  <c r="K69" i="104"/>
  <c r="K72" i="104" s="1"/>
  <c r="AI69" i="104"/>
  <c r="AI72" i="104" s="1"/>
  <c r="E69" i="104"/>
  <c r="E72" i="104" s="1"/>
  <c r="E52" i="104" s="1"/>
  <c r="Q69" i="104"/>
  <c r="Q72" i="104" s="1"/>
  <c r="AC69" i="104"/>
  <c r="AC72" i="104" s="1"/>
  <c r="AC52" i="104" s="1"/>
  <c r="AO69" i="104"/>
  <c r="AO72" i="104" s="1"/>
  <c r="BA69" i="104"/>
  <c r="BA72" i="104" s="1"/>
  <c r="AO79" i="104"/>
  <c r="AN80" i="104"/>
  <c r="BA79" i="104"/>
  <c r="BB80" i="104"/>
  <c r="BB79" i="104" s="1"/>
  <c r="BB167" i="104" s="1"/>
  <c r="AZ80" i="104"/>
  <c r="AA88" i="104"/>
  <c r="AK77" i="104"/>
  <c r="I141" i="104"/>
  <c r="M98" i="104"/>
  <c r="AG141" i="104"/>
  <c r="AK98" i="104"/>
  <c r="AS141" i="104"/>
  <c r="AW98" i="104"/>
  <c r="BE174" i="104"/>
  <c r="BF173" i="104" s="1"/>
  <c r="BE100" i="104"/>
  <c r="Y98" i="104"/>
  <c r="Y37" i="104"/>
  <c r="AE54" i="104"/>
  <c r="G55" i="104"/>
  <c r="F58" i="104"/>
  <c r="AE55" i="104"/>
  <c r="BC55" i="104"/>
  <c r="G64" i="104"/>
  <c r="C69" i="104"/>
  <c r="O69" i="104"/>
  <c r="S64" i="104"/>
  <c r="AE64" i="104"/>
  <c r="AA69" i="104"/>
  <c r="AM69" i="104"/>
  <c r="AQ64" i="104"/>
  <c r="BC64" i="104"/>
  <c r="AY69" i="104"/>
  <c r="AW77" i="104"/>
  <c r="BC98" i="104"/>
  <c r="R48" i="104"/>
  <c r="AV48" i="104"/>
  <c r="AW54" i="104"/>
  <c r="D69" i="104"/>
  <c r="D72" i="104" s="1"/>
  <c r="P69" i="104"/>
  <c r="P72" i="104" s="1"/>
  <c r="P52" i="104" s="1"/>
  <c r="AB69" i="104"/>
  <c r="AB72" i="104" s="1"/>
  <c r="AN69" i="104"/>
  <c r="AN72" i="104" s="1"/>
  <c r="AZ69" i="104"/>
  <c r="AZ72" i="104" s="1"/>
  <c r="I69" i="104"/>
  <c r="M62" i="104"/>
  <c r="AZ82" i="104"/>
  <c r="V88" i="104"/>
  <c r="AI94" i="104"/>
  <c r="AJ90" i="104"/>
  <c r="AJ94" i="104" s="1"/>
  <c r="AJ171" i="104" s="1"/>
  <c r="S87" i="104"/>
  <c r="S88" i="104" s="1"/>
  <c r="Y59" i="104"/>
  <c r="Y62" i="104" s="1"/>
  <c r="BI88" i="104"/>
  <c r="M90" i="104"/>
  <c r="M94" i="104" s="1"/>
  <c r="L94" i="104"/>
  <c r="AK54" i="104"/>
  <c r="R62" i="104"/>
  <c r="R69" i="104"/>
  <c r="R72" i="104" s="1"/>
  <c r="AP69" i="104"/>
  <c r="AP72" i="104" s="1"/>
  <c r="AC82" i="104"/>
  <c r="AP87" i="104"/>
  <c r="AP88" i="104" s="1"/>
  <c r="AQ86" i="104"/>
  <c r="D141" i="104"/>
  <c r="G98" i="104"/>
  <c r="P141" i="104"/>
  <c r="S98" i="104"/>
  <c r="AB141" i="104"/>
  <c r="AE98" i="104"/>
  <c r="AN141" i="104"/>
  <c r="AQ98" i="104"/>
  <c r="S100" i="104"/>
  <c r="AQ100" i="104"/>
  <c r="AS88" i="104"/>
  <c r="M77" i="104"/>
  <c r="Y77" i="104"/>
  <c r="AQ90" i="104"/>
  <c r="AQ94" i="104" s="1"/>
  <c r="BC90" i="104"/>
  <c r="BC94" i="104" s="1"/>
  <c r="BF174" i="104"/>
  <c r="BG173" i="104" s="1"/>
  <c r="L62" i="104"/>
  <c r="AJ62" i="104"/>
  <c r="Y100" i="104"/>
  <c r="M102" i="104"/>
  <c r="AN94" i="104"/>
  <c r="AN171" i="104" s="1"/>
  <c r="X174" i="104"/>
  <c r="Y174" i="104" s="1"/>
  <c r="AA173" i="104" s="1"/>
  <c r="AE173" i="104" s="1"/>
  <c r="Y102" i="104"/>
  <c r="AV174" i="104"/>
  <c r="AW174" i="104" s="1"/>
  <c r="AY173" i="104" s="1"/>
  <c r="BC173" i="104" s="1"/>
  <c r="AW102" i="104"/>
  <c r="AV87" i="104"/>
  <c r="AV88" i="104" s="1"/>
  <c r="AY94" i="104"/>
  <c r="AY171" i="104" s="1"/>
  <c r="AK102" i="104"/>
  <c r="BA171" i="104"/>
  <c r="G102" i="104"/>
  <c r="AE102" i="104"/>
  <c r="BC102" i="104"/>
  <c r="BF100" i="104" s="1"/>
  <c r="BC143" i="104"/>
  <c r="BC144" i="104" s="1"/>
  <c r="AT144" i="104"/>
  <c r="AW143" i="104"/>
  <c r="AW144" i="104" s="1"/>
  <c r="AS171" i="104"/>
  <c r="AO171" i="104"/>
  <c r="AH171" i="104"/>
  <c r="AV171" i="104"/>
  <c r="AG171" i="104"/>
  <c r="AP171" i="104"/>
  <c r="AU171" i="104"/>
  <c r="AI169" i="104"/>
  <c r="AH169" i="104"/>
  <c r="AH170" i="104"/>
  <c r="AD170" i="104" s="1"/>
  <c r="AD167" i="104" s="1"/>
  <c r="AC170" i="104"/>
  <c r="AC167" i="104" s="1"/>
  <c r="AI170" i="104"/>
  <c r="AE167" i="104"/>
  <c r="AG168" i="104"/>
  <c r="AA170" i="104"/>
  <c r="AA167" i="104" s="1"/>
  <c r="AG32" i="3"/>
  <c r="BS130" i="104"/>
  <c r="J13" i="104"/>
  <c r="BB11" i="104"/>
  <c r="BB12" i="104" s="1"/>
  <c r="AY11" i="104"/>
  <c r="AZ11" i="104"/>
  <c r="AZ12" i="104" s="1"/>
  <c r="AZ13" i="104"/>
  <c r="AK110" i="112" l="1"/>
  <c r="AU206" i="29"/>
  <c r="BE218" i="29"/>
  <c r="BO238" i="29"/>
  <c r="AT211" i="29"/>
  <c r="BA211" i="29"/>
  <c r="AU138" i="29"/>
  <c r="AV221" i="29" s="1"/>
  <c r="BB211" i="29"/>
  <c r="BB215" i="29" s="1"/>
  <c r="BE124" i="29"/>
  <c r="BE143" i="29" s="1"/>
  <c r="BE302" i="29" s="1"/>
  <c r="BF119" i="29"/>
  <c r="BF203" i="29" s="1"/>
  <c r="AZ52" i="104"/>
  <c r="J52" i="104"/>
  <c r="AO52" i="104"/>
  <c r="AC266" i="29"/>
  <c r="AC269" i="29" s="1"/>
  <c r="AQ56" i="104"/>
  <c r="AQ58" i="104" s="1"/>
  <c r="D52" i="104"/>
  <c r="AT52" i="104"/>
  <c r="V52" i="104"/>
  <c r="AK56" i="104"/>
  <c r="AK58" i="104" s="1"/>
  <c r="AU52" i="104"/>
  <c r="AE56" i="104"/>
  <c r="AE58" i="104" s="1"/>
  <c r="K52" i="104"/>
  <c r="Q52" i="104"/>
  <c r="AD58" i="104"/>
  <c r="AD52" i="104" s="1"/>
  <c r="AB52" i="104"/>
  <c r="AT80" i="104"/>
  <c r="AS80" i="104" s="1"/>
  <c r="AS79" i="104" s="1"/>
  <c r="AI52" i="104"/>
  <c r="AW56" i="104"/>
  <c r="AW58" i="104" s="1"/>
  <c r="AN52" i="104"/>
  <c r="S56" i="104"/>
  <c r="S58" i="104" s="1"/>
  <c r="BC56" i="104"/>
  <c r="BC58" i="104" s="1"/>
  <c r="BA52" i="104"/>
  <c r="BC164" i="29"/>
  <c r="AG153" i="29"/>
  <c r="AK153" i="29" s="1"/>
  <c r="AI45" i="112"/>
  <c r="AH110" i="112"/>
  <c r="S141" i="104"/>
  <c r="Y141" i="104"/>
  <c r="AK141" i="104"/>
  <c r="AE141" i="104"/>
  <c r="G141" i="104"/>
  <c r="M141" i="104"/>
  <c r="AG206" i="29"/>
  <c r="AU211" i="29"/>
  <c r="AU215" i="29" s="1"/>
  <c r="CF215" i="29"/>
  <c r="AS211" i="29"/>
  <c r="AS215" i="29" s="1"/>
  <c r="BQ237" i="29"/>
  <c r="BR237" i="29" s="1"/>
  <c r="BS237" i="29" s="1"/>
  <c r="BT237" i="29" s="1"/>
  <c r="BU237" i="29" s="1"/>
  <c r="AI219" i="29"/>
  <c r="AJ80" i="104"/>
  <c r="AE80" i="104"/>
  <c r="AZ33" i="104"/>
  <c r="AZ44" i="104" s="1"/>
  <c r="AZ45" i="104" s="1"/>
  <c r="AZ46" i="104" s="1"/>
  <c r="AH72" i="112"/>
  <c r="AM72" i="112"/>
  <c r="AD109" i="112"/>
  <c r="AG70" i="112"/>
  <c r="AM71" i="112"/>
  <c r="AT34" i="112"/>
  <c r="AP45" i="112"/>
  <c r="AP69" i="112"/>
  <c r="AG69" i="112"/>
  <c r="AN36" i="112"/>
  <c r="AM70" i="112"/>
  <c r="AO43" i="112"/>
  <c r="AK71" i="112"/>
  <c r="AM69" i="112"/>
  <c r="AI130" i="112"/>
  <c r="AH71" i="112"/>
  <c r="AH70" i="112"/>
  <c r="AK69" i="112"/>
  <c r="AK70" i="112"/>
  <c r="AH69" i="112"/>
  <c r="AO71" i="112"/>
  <c r="AI71" i="112"/>
  <c r="AB128" i="112"/>
  <c r="AI69" i="112"/>
  <c r="Y120" i="51"/>
  <c r="AF110" i="112"/>
  <c r="AF111" i="112" s="1"/>
  <c r="AF89" i="112" s="1"/>
  <c r="AQ70" i="112"/>
  <c r="AL71" i="112"/>
  <c r="AL70" i="112"/>
  <c r="AG71" i="112"/>
  <c r="E67" i="106"/>
  <c r="E69" i="106"/>
  <c r="BF67" i="106"/>
  <c r="BF69" i="106"/>
  <c r="BC67" i="106"/>
  <c r="BC69" i="106"/>
  <c r="P67" i="106"/>
  <c r="P69" i="106"/>
  <c r="Q67" i="106"/>
  <c r="Q69" i="106"/>
  <c r="D67" i="106"/>
  <c r="D69" i="106"/>
  <c r="AB67" i="106"/>
  <c r="AB69" i="106"/>
  <c r="V67" i="106"/>
  <c r="V69" i="106"/>
  <c r="J67" i="106"/>
  <c r="J69" i="106"/>
  <c r="J49" i="3"/>
  <c r="P49" i="3"/>
  <c r="BE32" i="3"/>
  <c r="AI49" i="112"/>
  <c r="AG49" i="112"/>
  <c r="AV34" i="112"/>
  <c r="X52" i="104"/>
  <c r="BB52" i="104"/>
  <c r="AV52" i="104"/>
  <c r="BC43" i="104"/>
  <c r="AD22" i="104"/>
  <c r="AD21" i="104" s="1"/>
  <c r="AP52" i="104"/>
  <c r="AY58" i="104"/>
  <c r="M56" i="104"/>
  <c r="M58" i="104" s="1"/>
  <c r="AT20" i="104"/>
  <c r="AS20" i="104" s="1"/>
  <c r="AS19" i="104" s="1"/>
  <c r="AV19" i="104"/>
  <c r="AG52" i="104"/>
  <c r="F52" i="104"/>
  <c r="AS52" i="104"/>
  <c r="BF69" i="3"/>
  <c r="AT132" i="29"/>
  <c r="AS132" i="29"/>
  <c r="AE111" i="112"/>
  <c r="AW141" i="104"/>
  <c r="BC141" i="104"/>
  <c r="AQ141" i="104"/>
  <c r="AJ52" i="104"/>
  <c r="L52" i="104"/>
  <c r="AW69" i="104"/>
  <c r="AW72" i="104" s="1"/>
  <c r="AQ68" i="112"/>
  <c r="AL72" i="112"/>
  <c r="AJ72" i="112"/>
  <c r="AQ71" i="112"/>
  <c r="AW34" i="112"/>
  <c r="AI72" i="112"/>
  <c r="AG72" i="112"/>
  <c r="AX34" i="112"/>
  <c r="AV32" i="112"/>
  <c r="S34" i="112"/>
  <c r="AP68" i="112"/>
  <c r="AH49" i="112"/>
  <c r="AO70" i="112"/>
  <c r="AY34" i="112"/>
  <c r="AL69" i="112"/>
  <c r="AL43" i="112"/>
  <c r="G277" i="29"/>
  <c r="G276" i="29" s="1"/>
  <c r="P69" i="3"/>
  <c r="AJ106" i="112"/>
  <c r="AI102" i="112"/>
  <c r="AI104" i="112"/>
  <c r="AH104" i="112"/>
  <c r="AM106" i="112"/>
  <c r="AF102" i="112"/>
  <c r="AL110" i="112"/>
  <c r="AL111" i="112" s="1"/>
  <c r="AL89" i="112" s="1"/>
  <c r="AJ110" i="112"/>
  <c r="AK111" i="112" s="1"/>
  <c r="AK89" i="112" s="1"/>
  <c r="AL49" i="112"/>
  <c r="AJ49" i="112"/>
  <c r="AF72" i="112"/>
  <c r="AN71" i="112"/>
  <c r="AJ71" i="112"/>
  <c r="AF71" i="112"/>
  <c r="AQ45" i="112"/>
  <c r="AU45" i="112"/>
  <c r="AL45" i="112"/>
  <c r="AJ45" i="112"/>
  <c r="AH45" i="112"/>
  <c r="AF45" i="112"/>
  <c r="AI43" i="112"/>
  <c r="AM43" i="112"/>
  <c r="AK43" i="112"/>
  <c r="AG43" i="112"/>
  <c r="AC43" i="112"/>
  <c r="AQ41" i="112"/>
  <c r="AK41" i="112"/>
  <c r="Y42" i="3"/>
  <c r="Y83" i="3" s="1"/>
  <c r="Y47" i="3"/>
  <c r="Y51" i="3"/>
  <c r="Y88" i="3"/>
  <c r="Y54" i="3"/>
  <c r="S47" i="3"/>
  <c r="S42" i="3"/>
  <c r="S83" i="3" s="1"/>
  <c r="S51" i="3"/>
  <c r="S54" i="3"/>
  <c r="S88" i="3"/>
  <c r="M47" i="3"/>
  <c r="M88" i="3"/>
  <c r="M42" i="3"/>
  <c r="M83" i="3" s="1"/>
  <c r="M51" i="3"/>
  <c r="M54" i="3"/>
  <c r="AN34" i="112"/>
  <c r="AR34" i="112"/>
  <c r="Q34" i="112"/>
  <c r="AP34" i="112"/>
  <c r="AL34" i="112"/>
  <c r="AY32" i="112"/>
  <c r="AW32" i="112"/>
  <c r="AU32" i="112"/>
  <c r="AS32" i="112"/>
  <c r="AA32" i="112"/>
  <c r="AE32" i="112"/>
  <c r="T32" i="112"/>
  <c r="R32" i="112"/>
  <c r="P32" i="112"/>
  <c r="AQ32" i="112"/>
  <c r="AM32" i="112"/>
  <c r="AO32" i="112"/>
  <c r="AF32" i="112"/>
  <c r="AJ32" i="112"/>
  <c r="AM110" i="112"/>
  <c r="AI110" i="112"/>
  <c r="AI111" i="112" s="1"/>
  <c r="AI89" i="112" s="1"/>
  <c r="AM49" i="112"/>
  <c r="AG110" i="112"/>
  <c r="AK49" i="112"/>
  <c r="AA14" i="112"/>
  <c r="M120" i="51"/>
  <c r="AM130" i="112"/>
  <c r="AO47" i="112"/>
  <c r="AM47" i="112"/>
  <c r="AK47" i="112"/>
  <c r="AI47" i="112"/>
  <c r="AG47" i="112"/>
  <c r="AC47" i="112"/>
  <c r="AO45" i="112"/>
  <c r="AM45" i="112"/>
  <c r="AK45" i="112"/>
  <c r="AG45" i="112"/>
  <c r="AC45" i="112"/>
  <c r="AQ43" i="112"/>
  <c r="AU43" i="112"/>
  <c r="AP43" i="112"/>
  <c r="AJ43" i="112"/>
  <c r="AN43" i="112"/>
  <c r="AF69" i="112"/>
  <c r="AB104" i="112"/>
  <c r="AN68" i="112"/>
  <c r="AJ68" i="112"/>
  <c r="AK120" i="51"/>
  <c r="AE120" i="51"/>
  <c r="G120" i="51"/>
  <c r="AF34" i="112"/>
  <c r="AJ34" i="112"/>
  <c r="AX32" i="112"/>
  <c r="Z32" i="112"/>
  <c r="AD32" i="112"/>
  <c r="AN32" i="112"/>
  <c r="AE106" i="112"/>
  <c r="AG104" i="112"/>
  <c r="AB106" i="112"/>
  <c r="W36" i="112"/>
  <c r="AM133" i="51"/>
  <c r="AB111" i="112"/>
  <c r="AC111" i="112"/>
  <c r="AB49" i="112"/>
  <c r="AF49" i="112"/>
  <c r="Z49" i="112"/>
  <c r="AD49" i="112"/>
  <c r="X49" i="112"/>
  <c r="V49" i="112"/>
  <c r="T49" i="112"/>
  <c r="R49" i="112"/>
  <c r="P49" i="112"/>
  <c r="AQ47" i="112"/>
  <c r="AU47" i="112"/>
  <c r="AL47" i="112"/>
  <c r="AP47" i="112"/>
  <c r="AJ47" i="112"/>
  <c r="AN47" i="112"/>
  <c r="AH47" i="112"/>
  <c r="AB47" i="112"/>
  <c r="AF47" i="112"/>
  <c r="AB108" i="112"/>
  <c r="AJ70" i="112"/>
  <c r="AN70" i="112"/>
  <c r="AF70" i="112"/>
  <c r="AB103" i="112"/>
  <c r="Q36" i="112"/>
  <c r="Z34" i="112"/>
  <c r="AD34" i="112"/>
  <c r="AD111" i="112"/>
  <c r="AE49" i="112"/>
  <c r="AC49" i="112"/>
  <c r="AA49" i="112"/>
  <c r="Y49" i="112"/>
  <c r="W49" i="112"/>
  <c r="U49" i="112"/>
  <c r="S49" i="112"/>
  <c r="Q49" i="112"/>
  <c r="BC127" i="51"/>
  <c r="BC122" i="51"/>
  <c r="BC123" i="51"/>
  <c r="AP71" i="112"/>
  <c r="AP70" i="112"/>
  <c r="AI70" i="112"/>
  <c r="AE45" i="112"/>
  <c r="AQ69" i="112"/>
  <c r="AO69" i="112"/>
  <c r="AJ69" i="112"/>
  <c r="AN69" i="112"/>
  <c r="AH43" i="112"/>
  <c r="AB43" i="112"/>
  <c r="AF43" i="112"/>
  <c r="AD43" i="112"/>
  <c r="AP41" i="112"/>
  <c r="AJ41" i="112"/>
  <c r="AC102" i="112"/>
  <c r="AD103" i="112" s="1"/>
  <c r="AW127" i="51"/>
  <c r="AW123" i="51"/>
  <c r="AW122" i="51"/>
  <c r="AQ122" i="51" s="1"/>
  <c r="AK88" i="3"/>
  <c r="AK47" i="3"/>
  <c r="AQ60" i="3"/>
  <c r="AQ61" i="3" s="1"/>
  <c r="AQ99" i="3"/>
  <c r="AK42" i="3"/>
  <c r="AK83" i="3" s="1"/>
  <c r="AK54" i="3"/>
  <c r="AK51" i="3"/>
  <c r="AQ54" i="3"/>
  <c r="AK60" i="3"/>
  <c r="AK61" i="3" s="1"/>
  <c r="AE47" i="3"/>
  <c r="AE88" i="3"/>
  <c r="AE42" i="3"/>
  <c r="AE83" i="3" s="1"/>
  <c r="AE51" i="3"/>
  <c r="AE54" i="3"/>
  <c r="G88" i="3"/>
  <c r="G47" i="3"/>
  <c r="G42" i="3"/>
  <c r="G83" i="3" s="1"/>
  <c r="G51" i="3"/>
  <c r="AC36" i="112"/>
  <c r="AG36" i="112"/>
  <c r="R36" i="112"/>
  <c r="V36" i="112"/>
  <c r="P36" i="112"/>
  <c r="T36" i="112"/>
  <c r="AU34" i="112"/>
  <c r="AS34" i="112"/>
  <c r="AO34" i="112"/>
  <c r="P34" i="112"/>
  <c r="T34" i="112"/>
  <c r="R34" i="112"/>
  <c r="AQ34" i="112"/>
  <c r="AM34" i="112"/>
  <c r="AT32" i="112"/>
  <c r="AR32" i="112"/>
  <c r="W32" i="112"/>
  <c r="Q32" i="112"/>
  <c r="AL32" i="112"/>
  <c r="AP32" i="112"/>
  <c r="AK32" i="112"/>
  <c r="AG32" i="112"/>
  <c r="AE105" i="112"/>
  <c r="AB49" i="3"/>
  <c r="AB69" i="3"/>
  <c r="V69" i="3"/>
  <c r="V49" i="3"/>
  <c r="BC49" i="3"/>
  <c r="Q49" i="3"/>
  <c r="BG142" i="3"/>
  <c r="BF49" i="3"/>
  <c r="AS32" i="3"/>
  <c r="BB32" i="3"/>
  <c r="AY32" i="3"/>
  <c r="AM32" i="3"/>
  <c r="U32" i="3"/>
  <c r="BA32" i="3"/>
  <c r="BE122" i="51"/>
  <c r="BE127" i="51"/>
  <c r="BE123" i="51"/>
  <c r="BC36" i="29"/>
  <c r="AU132" i="29"/>
  <c r="AE263" i="29"/>
  <c r="AZ211" i="29"/>
  <c r="AZ215" i="29" s="1"/>
  <c r="AW163" i="29"/>
  <c r="AW164" i="29" s="1"/>
  <c r="AQ249" i="29"/>
  <c r="AK244" i="29"/>
  <c r="AK249" i="29" s="1"/>
  <c r="AQ164" i="29"/>
  <c r="CG214" i="29"/>
  <c r="AW214" i="29"/>
  <c r="CA214" i="29"/>
  <c r="BU214" i="29"/>
  <c r="AI131" i="29"/>
  <c r="AJ131" i="29" s="1"/>
  <c r="AK131" i="29" s="1"/>
  <c r="AM214" i="29" s="1"/>
  <c r="AZ135" i="29"/>
  <c r="BA135" i="29" s="1"/>
  <c r="AN136" i="29"/>
  <c r="AO136" i="29" s="1"/>
  <c r="AO219" i="29" s="1"/>
  <c r="AY211" i="29"/>
  <c r="AE249" i="29"/>
  <c r="BI213" i="29"/>
  <c r="BI214" i="29"/>
  <c r="AV215" i="29"/>
  <c r="AD261" i="29"/>
  <c r="AE261" i="29" s="1"/>
  <c r="BE219" i="29"/>
  <c r="BE224" i="29" s="1"/>
  <c r="AY218" i="29"/>
  <c r="AY224" i="29" s="1"/>
  <c r="S164" i="29"/>
  <c r="BF219" i="29"/>
  <c r="BO214" i="29"/>
  <c r="BG219" i="29"/>
  <c r="BC141" i="29"/>
  <c r="BC144" i="29" s="1"/>
  <c r="AY132" i="29"/>
  <c r="AT215" i="29"/>
  <c r="M223" i="29"/>
  <c r="M224" i="29" s="1"/>
  <c r="M225" i="29" s="1"/>
  <c r="AH219" i="29"/>
  <c r="M164" i="29"/>
  <c r="AJ219" i="29"/>
  <c r="BI164" i="29"/>
  <c r="CG213" i="29"/>
  <c r="CA213" i="29"/>
  <c r="BH221" i="29"/>
  <c r="BI221" i="29" s="1"/>
  <c r="AJ220" i="29"/>
  <c r="AK220" i="29" s="1"/>
  <c r="AU219" i="29"/>
  <c r="AW219" i="29" s="1"/>
  <c r="AZ219" i="29"/>
  <c r="AU204" i="29"/>
  <c r="AW204" i="29" s="1"/>
  <c r="BB222" i="29"/>
  <c r="BC222" i="29" s="1"/>
  <c r="BO213" i="29"/>
  <c r="AT206" i="29"/>
  <c r="AW206" i="29" s="1"/>
  <c r="AW249" i="29"/>
  <c r="BF218" i="29"/>
  <c r="BG135" i="29"/>
  <c r="BH135" i="29" s="1"/>
  <c r="BI135" i="29" s="1"/>
  <c r="BU213" i="29"/>
  <c r="AE215" i="29"/>
  <c r="AE223" i="29" s="1"/>
  <c r="AE224" i="29" s="1"/>
  <c r="AE225" i="29" s="1"/>
  <c r="Y223" i="29"/>
  <c r="Y224" i="29" s="1"/>
  <c r="Y225" i="29" s="1"/>
  <c r="S223" i="29"/>
  <c r="S224" i="29" s="1"/>
  <c r="S225" i="29" s="1"/>
  <c r="AQ171" i="104"/>
  <c r="M277" i="29"/>
  <c r="M276" i="29" s="1"/>
  <c r="BF98" i="104"/>
  <c r="AZ171" i="104"/>
  <c r="BI13" i="104"/>
  <c r="AK143" i="104"/>
  <c r="AK144" i="104" s="1"/>
  <c r="AD88" i="104"/>
  <c r="AK87" i="104"/>
  <c r="AK88" i="104" s="1"/>
  <c r="AI171" i="104"/>
  <c r="BB171" i="104"/>
  <c r="BC293" i="29"/>
  <c r="BC292" i="29" s="1"/>
  <c r="BC171" i="104"/>
  <c r="S277" i="29"/>
  <c r="S276" i="29" s="1"/>
  <c r="CG13" i="104"/>
  <c r="G13" i="104"/>
  <c r="W13" i="104"/>
  <c r="AS11" i="104"/>
  <c r="AS12" i="104" s="1"/>
  <c r="AV11" i="104"/>
  <c r="AV12" i="104" s="1"/>
  <c r="Y87" i="104"/>
  <c r="Y88" i="104" s="1"/>
  <c r="Y277" i="29"/>
  <c r="Y276" i="29" s="1"/>
  <c r="AM171" i="104"/>
  <c r="BU13" i="104"/>
  <c r="E172" i="104"/>
  <c r="W172" i="104"/>
  <c r="K172" i="104"/>
  <c r="AO172" i="104"/>
  <c r="AD172" i="104"/>
  <c r="AI172" i="104"/>
  <c r="BC172" i="104"/>
  <c r="AU172" i="104"/>
  <c r="Q172" i="104"/>
  <c r="BG72" i="104"/>
  <c r="BA11" i="104"/>
  <c r="BA12" i="104" s="1"/>
  <c r="AY12" i="104"/>
  <c r="AN13" i="104"/>
  <c r="AH13" i="104"/>
  <c r="BG16" i="104"/>
  <c r="BG15" i="104"/>
  <c r="BF16" i="104"/>
  <c r="BF15" i="104"/>
  <c r="AT13" i="104"/>
  <c r="P13" i="104"/>
  <c r="AB13" i="104"/>
  <c r="BA45" i="104"/>
  <c r="BA46" i="104" s="1"/>
  <c r="BA26" i="104"/>
  <c r="R52" i="104"/>
  <c r="BG75" i="104"/>
  <c r="AT171" i="104"/>
  <c r="AQ293" i="29"/>
  <c r="AQ292" i="29" s="1"/>
  <c r="AK293" i="29"/>
  <c r="AK292" i="29" s="1"/>
  <c r="BA227" i="29"/>
  <c r="BE75" i="104"/>
  <c r="BC32" i="3"/>
  <c r="AG215" i="29"/>
  <c r="BH137" i="29"/>
  <c r="BH220" i="29" s="1"/>
  <c r="BF139" i="29"/>
  <c r="BF140" i="29" s="1"/>
  <c r="AW213" i="29"/>
  <c r="AG159" i="29"/>
  <c r="AK159" i="29" s="1"/>
  <c r="AH128" i="29"/>
  <c r="AH212" i="29" s="1"/>
  <c r="M261" i="29"/>
  <c r="M266" i="29" s="1"/>
  <c r="I266" i="29"/>
  <c r="AI120" i="29"/>
  <c r="BA215" i="29"/>
  <c r="AJ261" i="29"/>
  <c r="AK261" i="29" s="1"/>
  <c r="AK254" i="29"/>
  <c r="AM254" i="29" s="1"/>
  <c r="BW238" i="29"/>
  <c r="BX238" i="29" s="1"/>
  <c r="BY238" i="29" s="1"/>
  <c r="BZ238" i="29" s="1"/>
  <c r="BU238" i="29"/>
  <c r="AO131" i="29"/>
  <c r="BE215" i="29"/>
  <c r="BI211" i="29"/>
  <c r="BG119" i="29"/>
  <c r="BF124" i="29"/>
  <c r="BF143" i="29" s="1"/>
  <c r="BF302" i="29" s="1"/>
  <c r="AU221" i="29"/>
  <c r="AW221" i="29" s="1"/>
  <c r="BO211" i="29"/>
  <c r="G261" i="29"/>
  <c r="G266" i="29" s="1"/>
  <c r="BA137" i="29"/>
  <c r="BB220" i="29" s="1"/>
  <c r="AU123" i="29"/>
  <c r="AV207" i="29" s="1"/>
  <c r="BE140" i="29"/>
  <c r="BG123" i="29"/>
  <c r="BG207" i="29" s="1"/>
  <c r="BF207" i="29"/>
  <c r="BF215" i="29"/>
  <c r="AU220" i="29"/>
  <c r="BA138" i="29"/>
  <c r="BB221" i="29" s="1"/>
  <c r="BA121" i="29"/>
  <c r="BB205" i="29" s="1"/>
  <c r="BC214" i="29"/>
  <c r="BQ211" i="29"/>
  <c r="BH136" i="29"/>
  <c r="BI136" i="29" s="1"/>
  <c r="Y249" i="29"/>
  <c r="AU121" i="29"/>
  <c r="AV205" i="29" s="1"/>
  <c r="AE163" i="29"/>
  <c r="AE164" i="29" s="1"/>
  <c r="AT119" i="29"/>
  <c r="AT203" i="29" s="1"/>
  <c r="AS124" i="29"/>
  <c r="BG220" i="29"/>
  <c r="I249" i="29"/>
  <c r="M244" i="29"/>
  <c r="M249" i="29" s="1"/>
  <c r="AI123" i="29"/>
  <c r="AI207" i="29" s="1"/>
  <c r="AH207" i="29"/>
  <c r="BC213" i="29"/>
  <c r="AU139" i="29"/>
  <c r="AV222" i="29" s="1"/>
  <c r="BA119" i="29"/>
  <c r="AZ124" i="29"/>
  <c r="AS203" i="29"/>
  <c r="AJ135" i="29"/>
  <c r="AJ218" i="29" s="1"/>
  <c r="BA120" i="29"/>
  <c r="BB204" i="29" s="1"/>
  <c r="Y266" i="29"/>
  <c r="BH235" i="29"/>
  <c r="BG240" i="29"/>
  <c r="AK168" i="29"/>
  <c r="BU239" i="29"/>
  <c r="BW239" i="29"/>
  <c r="BX239" i="29" s="1"/>
  <c r="BY239" i="29" s="1"/>
  <c r="BZ239" i="29" s="1"/>
  <c r="AJ119" i="29"/>
  <c r="AJ203" i="29" s="1"/>
  <c r="BB219" i="29"/>
  <c r="AN214" i="29"/>
  <c r="CG211" i="29"/>
  <c r="AY141" i="29"/>
  <c r="CA211" i="29"/>
  <c r="AH204" i="29"/>
  <c r="AY215" i="29"/>
  <c r="AI130" i="29"/>
  <c r="AI213" i="29" s="1"/>
  <c r="AZ204" i="29"/>
  <c r="BH122" i="29"/>
  <c r="AI139" i="29"/>
  <c r="AI222" i="29" s="1"/>
  <c r="AG263" i="29"/>
  <c r="AH256" i="29"/>
  <c r="AI214" i="29"/>
  <c r="AI203" i="29"/>
  <c r="AW212" i="29"/>
  <c r="BC212" i="29"/>
  <c r="AK150" i="29"/>
  <c r="AT222" i="29"/>
  <c r="AG158" i="29"/>
  <c r="AG132" i="29"/>
  <c r="AG121" i="29" s="1"/>
  <c r="AH127" i="29"/>
  <c r="AH211" i="29" s="1"/>
  <c r="BA218" i="29"/>
  <c r="AY208" i="29"/>
  <c r="AI218" i="29"/>
  <c r="BA207" i="29"/>
  <c r="BC207" i="29" s="1"/>
  <c r="AD265" i="29"/>
  <c r="AE265" i="29" s="1"/>
  <c r="AE258" i="29"/>
  <c r="AG258" i="29" s="1"/>
  <c r="O266" i="29"/>
  <c r="S261" i="29"/>
  <c r="S266" i="29" s="1"/>
  <c r="AE257" i="29"/>
  <c r="AG257" i="29" s="1"/>
  <c r="AD264" i="29"/>
  <c r="AE264" i="29" s="1"/>
  <c r="BC249" i="29"/>
  <c r="S244" i="29"/>
  <c r="S249" i="29" s="1"/>
  <c r="AP137" i="29"/>
  <c r="AQ137" i="29" s="1"/>
  <c r="AS220" i="29" s="1"/>
  <c r="Y164" i="29"/>
  <c r="AT135" i="29"/>
  <c r="AT218" i="29" s="1"/>
  <c r="AS140" i="29"/>
  <c r="AW211" i="29"/>
  <c r="BE208" i="29"/>
  <c r="BK138" i="29"/>
  <c r="BK221" i="29" s="1"/>
  <c r="BG121" i="29"/>
  <c r="BG205" i="29" s="1"/>
  <c r="AZ203" i="29"/>
  <c r="BA206" i="29"/>
  <c r="BC206" i="29" s="1"/>
  <c r="BG120" i="29"/>
  <c r="BG204" i="29" s="1"/>
  <c r="AI122" i="29"/>
  <c r="M22" i="104"/>
  <c r="R22" i="104"/>
  <c r="X22" i="104"/>
  <c r="W22" i="104" s="1"/>
  <c r="AV21" i="104"/>
  <c r="AU22" i="104"/>
  <c r="AI22" i="104"/>
  <c r="AJ21" i="104"/>
  <c r="AJ43" i="104" s="1"/>
  <c r="BC21" i="104"/>
  <c r="BC22" i="104" s="1"/>
  <c r="AF130" i="112"/>
  <c r="AB129" i="112"/>
  <c r="AI128" i="112"/>
  <c r="AK130" i="112"/>
  <c r="AC128" i="112"/>
  <c r="AE108" i="112"/>
  <c r="AE128" i="112"/>
  <c r="BB26" i="104"/>
  <c r="BB28" i="104"/>
  <c r="I72" i="104"/>
  <c r="I52" i="104" s="1"/>
  <c r="M69" i="104"/>
  <c r="M72" i="104" s="1"/>
  <c r="AN79" i="104"/>
  <c r="AM80" i="104"/>
  <c r="AM79" i="104" s="1"/>
  <c r="AP21" i="104"/>
  <c r="AO22" i="104"/>
  <c r="AU33" i="104"/>
  <c r="AU44" i="104" s="1"/>
  <c r="AT34" i="104"/>
  <c r="AA72" i="104"/>
  <c r="AA52" i="104" s="1"/>
  <c r="AE69" i="104"/>
  <c r="AE72" i="104" s="1"/>
  <c r="AO167" i="104"/>
  <c r="BB88" i="104"/>
  <c r="BB81" i="104"/>
  <c r="BB85" i="104" s="1"/>
  <c r="AZ31" i="104"/>
  <c r="AZ81" i="104" s="1"/>
  <c r="AY32" i="104"/>
  <c r="AY31" i="104" s="1"/>
  <c r="W82" i="104"/>
  <c r="S69" i="104"/>
  <c r="S72" i="104" s="1"/>
  <c r="O72" i="104"/>
  <c r="O52" i="104" s="1"/>
  <c r="AQ69" i="104"/>
  <c r="AQ72" i="104" s="1"/>
  <c r="AM72" i="104"/>
  <c r="AM52" i="104" s="1"/>
  <c r="U58" i="104"/>
  <c r="U52" i="104" s="1"/>
  <c r="Y56" i="104"/>
  <c r="Y58" i="104" s="1"/>
  <c r="AI168" i="104"/>
  <c r="AI167" i="104" s="1"/>
  <c r="AH168" i="104"/>
  <c r="AH167" i="104" s="1"/>
  <c r="AG167" i="104"/>
  <c r="AW171" i="104"/>
  <c r="AQ87" i="104"/>
  <c r="AQ88" i="104" s="1"/>
  <c r="BC88" i="104"/>
  <c r="AH72" i="104"/>
  <c r="AH52" i="104" s="1"/>
  <c r="AK69" i="104"/>
  <c r="AK72" i="104" s="1"/>
  <c r="G56" i="104"/>
  <c r="G58" i="104" s="1"/>
  <c r="C58" i="104"/>
  <c r="AY44" i="104"/>
  <c r="AZ79" i="104"/>
  <c r="AY80" i="104"/>
  <c r="AY79" i="104" s="1"/>
  <c r="AP34" i="104"/>
  <c r="AK34" i="104"/>
  <c r="BA167" i="104"/>
  <c r="AK90" i="104"/>
  <c r="AK94" i="104" s="1"/>
  <c r="AW87" i="104"/>
  <c r="AW88" i="104" s="1"/>
  <c r="AE82" i="104"/>
  <c r="AT82" i="104"/>
  <c r="AY82" i="104"/>
  <c r="AK32" i="104"/>
  <c r="AP32" i="104"/>
  <c r="BR88" i="104"/>
  <c r="BS88" i="104" s="1"/>
  <c r="BT88" i="104" s="1"/>
  <c r="BW88" i="104" s="1"/>
  <c r="Y69" i="104"/>
  <c r="Y72" i="104" s="1"/>
  <c r="AE20" i="104"/>
  <c r="AJ20" i="104"/>
  <c r="AY72" i="104"/>
  <c r="BC69" i="104"/>
  <c r="BC72" i="104" s="1"/>
  <c r="C72" i="104"/>
  <c r="G69" i="104"/>
  <c r="G72" i="104" s="1"/>
  <c r="AV31" i="104"/>
  <c r="AU32" i="104"/>
  <c r="AO20" i="104"/>
  <c r="AP19" i="104"/>
  <c r="AE90" i="104"/>
  <c r="AE94" i="104" s="1"/>
  <c r="BA81" i="104"/>
  <c r="BA85" i="104" s="1"/>
  <c r="AU167" i="104"/>
  <c r="BO88" i="104"/>
  <c r="AZ19" i="104"/>
  <c r="AY20" i="104"/>
  <c r="AY19" i="104" s="1"/>
  <c r="BA13" i="104"/>
  <c r="AT11" i="104"/>
  <c r="AT12" i="104" s="1"/>
  <c r="BX130" i="104"/>
  <c r="K13" i="104"/>
  <c r="AH111" i="112" l="1"/>
  <c r="AH89" i="112" s="1"/>
  <c r="AN219" i="29"/>
  <c r="BE141" i="29"/>
  <c r="BE144" i="29" s="1"/>
  <c r="BE301" i="29" s="1"/>
  <c r="AT79" i="104"/>
  <c r="BW237" i="29"/>
  <c r="BX237" i="29" s="1"/>
  <c r="BY237" i="29" s="1"/>
  <c r="BZ237" i="29" s="1"/>
  <c r="AK52" i="104"/>
  <c r="S52" i="104"/>
  <c r="BC33" i="104"/>
  <c r="BC34" i="104" s="1"/>
  <c r="AD80" i="104"/>
  <c r="Y80" i="104"/>
  <c r="AI80" i="104"/>
  <c r="AJ79" i="104"/>
  <c r="AJ167" i="104" s="1"/>
  <c r="AW52" i="104"/>
  <c r="AM138" i="112"/>
  <c r="AI106" i="112"/>
  <c r="AJ107" i="112" s="1"/>
  <c r="AJ87" i="112" s="1"/>
  <c r="S32" i="112"/>
  <c r="AF104" i="112"/>
  <c r="AG105" i="112" s="1"/>
  <c r="AG86" i="112" s="1"/>
  <c r="AJ130" i="112"/>
  <c r="AJ138" i="112" s="1"/>
  <c r="AE126" i="112"/>
  <c r="BG67" i="106"/>
  <c r="BG69" i="106"/>
  <c r="AT67" i="106"/>
  <c r="AT69" i="106"/>
  <c r="AI67" i="106"/>
  <c r="AI69" i="106"/>
  <c r="AO67" i="106"/>
  <c r="AO69" i="106"/>
  <c r="AN67" i="106"/>
  <c r="AN69" i="106"/>
  <c r="R67" i="106"/>
  <c r="R69" i="106"/>
  <c r="AD67" i="106"/>
  <c r="AD69" i="106"/>
  <c r="W67" i="106"/>
  <c r="W69" i="106"/>
  <c r="AH67" i="106"/>
  <c r="AH69" i="106"/>
  <c r="K67" i="106"/>
  <c r="K69" i="106"/>
  <c r="AH49" i="3"/>
  <c r="K49" i="3"/>
  <c r="AO69" i="3"/>
  <c r="AG111" i="112"/>
  <c r="AG89" i="112" s="1"/>
  <c r="BG69" i="3"/>
  <c r="AC22" i="104"/>
  <c r="AB22" i="104" s="1"/>
  <c r="AE52" i="104"/>
  <c r="AY52" i="104"/>
  <c r="AT19" i="104"/>
  <c r="AW19" i="104" s="1"/>
  <c r="M52" i="104"/>
  <c r="AV26" i="104"/>
  <c r="X21" i="104"/>
  <c r="X43" i="104" s="1"/>
  <c r="AQ52" i="104"/>
  <c r="M85" i="3"/>
  <c r="L172" i="104"/>
  <c r="AT69" i="3"/>
  <c r="AZ69" i="3"/>
  <c r="AN69" i="3"/>
  <c r="AZ218" i="29"/>
  <c r="AZ224" i="29" s="1"/>
  <c r="BC128" i="51"/>
  <c r="BI131" i="51" s="1"/>
  <c r="AI105" i="112"/>
  <c r="AI86" i="112" s="1"/>
  <c r="AD32" i="3"/>
  <c r="R172" i="104"/>
  <c r="AB32" i="3"/>
  <c r="W32" i="3"/>
  <c r="AE89" i="3"/>
  <c r="AP26" i="104"/>
  <c r="AD130" i="112"/>
  <c r="AH105" i="112"/>
  <c r="AH86" i="112" s="1"/>
  <c r="AJ111" i="112"/>
  <c r="AJ89" i="112" s="1"/>
  <c r="AB14" i="112"/>
  <c r="AN38" i="112"/>
  <c r="AY133" i="51"/>
  <c r="AH133" i="51"/>
  <c r="AB126" i="112"/>
  <c r="AM163" i="112"/>
  <c r="AV133" i="51"/>
  <c r="AH108" i="112"/>
  <c r="AC133" i="51"/>
  <c r="AI133" i="51"/>
  <c r="AB133" i="51"/>
  <c r="BB133" i="51"/>
  <c r="AE129" i="112"/>
  <c r="AQ106" i="112"/>
  <c r="AU133" i="51"/>
  <c r="AP133" i="51"/>
  <c r="AM102" i="112"/>
  <c r="AF128" i="112"/>
  <c r="AF136" i="112" s="1"/>
  <c r="AF38" i="112"/>
  <c r="AS133" i="51"/>
  <c r="AJ104" i="112"/>
  <c r="AJ105" i="112" s="1"/>
  <c r="AE84" i="3"/>
  <c r="AE99" i="3" s="1"/>
  <c r="AE85" i="3"/>
  <c r="AK85" i="3"/>
  <c r="AK84" i="3"/>
  <c r="AK99" i="3" s="1"/>
  <c r="AQ100" i="3" s="1"/>
  <c r="AQ85" i="3"/>
  <c r="AQ89" i="3"/>
  <c r="AK89" i="3"/>
  <c r="AK122" i="51"/>
  <c r="AN122" i="51"/>
  <c r="AN121" i="51" s="1"/>
  <c r="AP122" i="51"/>
  <c r="AP121" i="51" s="1"/>
  <c r="AM122" i="51"/>
  <c r="AM121" i="51" s="1"/>
  <c r="AO122" i="51"/>
  <c r="AO121" i="51" s="1"/>
  <c r="BC129" i="51"/>
  <c r="AW128" i="51"/>
  <c r="CK122" i="51"/>
  <c r="CK121" i="51" s="1"/>
  <c r="CK120" i="51" s="1"/>
  <c r="BN122" i="51"/>
  <c r="BX122" i="51"/>
  <c r="BX121" i="51" s="1"/>
  <c r="BX120" i="51" s="1"/>
  <c r="CL122" i="51"/>
  <c r="CE122" i="51"/>
  <c r="CE121" i="51" s="1"/>
  <c r="CE120" i="51" s="1"/>
  <c r="BT122" i="51"/>
  <c r="CD122" i="51"/>
  <c r="CD121" i="51" s="1"/>
  <c r="BY122" i="51"/>
  <c r="BY121" i="51" s="1"/>
  <c r="BY120" i="51" s="1"/>
  <c r="BL122" i="51"/>
  <c r="BL121" i="51" s="1"/>
  <c r="BL120" i="51" s="1"/>
  <c r="CJ122" i="51"/>
  <c r="CJ121" i="51" s="1"/>
  <c r="CJ120" i="51" s="1"/>
  <c r="BZ122" i="51"/>
  <c r="CF122" i="51"/>
  <c r="BG122" i="51"/>
  <c r="BG121" i="51" s="1"/>
  <c r="BG120" i="51" s="1"/>
  <c r="BS122" i="51"/>
  <c r="BS121" i="51" s="1"/>
  <c r="BS120" i="51" s="1"/>
  <c r="CC122" i="51"/>
  <c r="CC121" i="51" s="1"/>
  <c r="CC120" i="51" s="1"/>
  <c r="BQ122" i="51"/>
  <c r="BQ121" i="51" s="1"/>
  <c r="BM122" i="51"/>
  <c r="BM121" i="51" s="1"/>
  <c r="BM120" i="51" s="1"/>
  <c r="BW122" i="51"/>
  <c r="BW121" i="51" s="1"/>
  <c r="BF122" i="51"/>
  <c r="BF121" i="51" s="1"/>
  <c r="CI122" i="51"/>
  <c r="CI121" i="51" s="1"/>
  <c r="BR122" i="51"/>
  <c r="BR121" i="51" s="1"/>
  <c r="BR120" i="51" s="1"/>
  <c r="BK122" i="51"/>
  <c r="BK121" i="51" s="1"/>
  <c r="BH122" i="51"/>
  <c r="BH121" i="51" s="1"/>
  <c r="BH120" i="51" s="1"/>
  <c r="AB109" i="112"/>
  <c r="AC109" i="112"/>
  <c r="AF108" i="112"/>
  <c r="AF109" i="112" s="1"/>
  <c r="AF88" i="112" s="1"/>
  <c r="AG106" i="112"/>
  <c r="AF106" i="112"/>
  <c r="S85" i="3"/>
  <c r="S84" i="3"/>
  <c r="S99" i="3" s="1"/>
  <c r="S100" i="3" s="1"/>
  <c r="Y84" i="3"/>
  <c r="Y99" i="3" s="1"/>
  <c r="Y85" i="3"/>
  <c r="AM111" i="112"/>
  <c r="AM89" i="112" s="1"/>
  <c r="S36" i="112"/>
  <c r="AA34" i="112"/>
  <c r="AE34" i="112"/>
  <c r="AE109" i="112"/>
  <c r="AO133" i="51"/>
  <c r="AH106" i="112"/>
  <c r="AA38" i="112"/>
  <c r="AD133" i="51"/>
  <c r="AJ102" i="112"/>
  <c r="AJ103" i="112" s="1"/>
  <c r="AZ133" i="51"/>
  <c r="AM104" i="112"/>
  <c r="AM108" i="112"/>
  <c r="BA133" i="51"/>
  <c r="AI136" i="112"/>
  <c r="AD127" i="112"/>
  <c r="AH102" i="112"/>
  <c r="AI103" i="112" s="1"/>
  <c r="AI85" i="112" s="1"/>
  <c r="AJ108" i="112"/>
  <c r="AN106" i="112"/>
  <c r="AN107" i="112" s="1"/>
  <c r="AN133" i="51"/>
  <c r="AT133" i="51"/>
  <c r="AB127" i="112"/>
  <c r="AK104" i="112"/>
  <c r="AH130" i="112"/>
  <c r="AL130" i="112"/>
  <c r="AW100" i="3"/>
  <c r="BC130" i="51"/>
  <c r="AW98" i="51"/>
  <c r="AG102" i="112"/>
  <c r="AG103" i="112" s="1"/>
  <c r="BI126" i="51"/>
  <c r="BC98" i="51"/>
  <c r="BI132" i="51"/>
  <c r="AC103" i="112"/>
  <c r="AG108" i="112"/>
  <c r="AC129" i="112"/>
  <c r="AM64" i="3"/>
  <c r="AC107" i="112"/>
  <c r="AB107" i="112"/>
  <c r="AE107" i="112"/>
  <c r="AC105" i="112"/>
  <c r="AB105" i="112"/>
  <c r="M89" i="3"/>
  <c r="S89" i="3"/>
  <c r="Y89" i="3"/>
  <c r="AF103" i="112"/>
  <c r="AF85" i="112" s="1"/>
  <c r="AI108" i="112"/>
  <c r="AI49" i="3"/>
  <c r="AI69" i="3"/>
  <c r="AO49" i="3"/>
  <c r="R49" i="3"/>
  <c r="Q69" i="3"/>
  <c r="AT49" i="3"/>
  <c r="AH69" i="3"/>
  <c r="BH142" i="3"/>
  <c r="AD49" i="3"/>
  <c r="BG49" i="3"/>
  <c r="W69" i="3"/>
  <c r="W49" i="3"/>
  <c r="AC69" i="3"/>
  <c r="AN49" i="3"/>
  <c r="V32" i="3"/>
  <c r="AN32" i="3"/>
  <c r="AT32" i="3"/>
  <c r="BF32" i="3"/>
  <c r="J32" i="3"/>
  <c r="AH32" i="3"/>
  <c r="P32" i="3"/>
  <c r="BE130" i="51"/>
  <c r="BK126" i="51"/>
  <c r="BK130" i="51"/>
  <c r="BK133" i="51" s="1"/>
  <c r="BE129" i="51"/>
  <c r="BE128" i="51"/>
  <c r="BI127" i="51"/>
  <c r="BK129" i="51"/>
  <c r="BC211" i="29"/>
  <c r="BC215" i="29" s="1"/>
  <c r="AZ140" i="29"/>
  <c r="AT208" i="29"/>
  <c r="AK219" i="29"/>
  <c r="AW215" i="29"/>
  <c r="AW220" i="29"/>
  <c r="AK218" i="29"/>
  <c r="AY225" i="29"/>
  <c r="AP220" i="29"/>
  <c r="AQ220" i="29" s="1"/>
  <c r="AK203" i="29"/>
  <c r="BG218" i="29"/>
  <c r="AU205" i="29"/>
  <c r="AW205" i="29" s="1"/>
  <c r="BH219" i="29"/>
  <c r="BI219" i="29" s="1"/>
  <c r="AU207" i="29"/>
  <c r="AW207" i="29" s="1"/>
  <c r="BA220" i="29"/>
  <c r="BC220" i="29" s="1"/>
  <c r="AK171" i="104"/>
  <c r="AE172" i="104"/>
  <c r="BF129" i="104"/>
  <c r="BA28" i="104"/>
  <c r="BB129" i="104"/>
  <c r="BG129" i="104"/>
  <c r="X13" i="104"/>
  <c r="Y13" i="104" s="1"/>
  <c r="AU11" i="104"/>
  <c r="AU12" i="104" s="1"/>
  <c r="AU15" i="104"/>
  <c r="BC11" i="104"/>
  <c r="BC12" i="104" s="1"/>
  <c r="AV172" i="104"/>
  <c r="AJ172" i="104"/>
  <c r="AP172" i="104"/>
  <c r="F172" i="104"/>
  <c r="X172" i="104"/>
  <c r="AC13" i="104"/>
  <c r="Q13" i="104"/>
  <c r="BB16" i="104"/>
  <c r="BF114" i="104"/>
  <c r="BG114" i="104"/>
  <c r="AI13" i="104"/>
  <c r="AO13" i="104"/>
  <c r="BA16" i="104"/>
  <c r="AZ16" i="104"/>
  <c r="AU13" i="104"/>
  <c r="BF14" i="104"/>
  <c r="BF115" i="104"/>
  <c r="BF113" i="104"/>
  <c r="BF150" i="104"/>
  <c r="BL151" i="104" s="1"/>
  <c r="BG14" i="104"/>
  <c r="BG115" i="104"/>
  <c r="BG150" i="104"/>
  <c r="BM151" i="104" s="1"/>
  <c r="BG113" i="104"/>
  <c r="AY16" i="104"/>
  <c r="Y52" i="104"/>
  <c r="BU88" i="104"/>
  <c r="G52" i="104"/>
  <c r="BB227" i="29"/>
  <c r="BC227" i="29" s="1"/>
  <c r="BF75" i="104"/>
  <c r="BG27" i="104"/>
  <c r="BG88" i="51" s="1"/>
  <c r="BK16" i="104"/>
  <c r="BK15" i="104"/>
  <c r="BM16" i="104"/>
  <c r="BM126" i="104" s="1"/>
  <c r="BM15" i="104"/>
  <c r="BR130" i="104"/>
  <c r="BH16" i="104"/>
  <c r="BH15" i="104"/>
  <c r="BL16" i="104"/>
  <c r="BL126" i="104" s="1"/>
  <c r="BL15" i="104"/>
  <c r="BH120" i="29"/>
  <c r="AT140" i="29"/>
  <c r="AU135" i="29"/>
  <c r="BB218" i="29"/>
  <c r="BB224" i="29" s="1"/>
  <c r="BA140" i="29"/>
  <c r="AK119" i="29"/>
  <c r="AM119" i="29"/>
  <c r="BU211" i="29"/>
  <c r="AM261" i="29"/>
  <c r="AN254" i="29"/>
  <c r="AJ120" i="29"/>
  <c r="BF222" i="29"/>
  <c r="AJ214" i="29"/>
  <c r="AK214" i="29" s="1"/>
  <c r="BH240" i="29"/>
  <c r="BK235" i="29"/>
  <c r="BI235" i="29"/>
  <c r="BI240" i="29" s="1"/>
  <c r="AP131" i="29"/>
  <c r="AP132" i="29" s="1"/>
  <c r="BL138" i="29"/>
  <c r="AI128" i="29"/>
  <c r="BE225" i="29"/>
  <c r="AH132" i="29"/>
  <c r="AI127" i="29"/>
  <c r="AI211" i="29" s="1"/>
  <c r="AH263" i="29"/>
  <c r="AI256" i="29"/>
  <c r="CC239" i="29"/>
  <c r="CD239" i="29" s="1"/>
  <c r="CE239" i="29" s="1"/>
  <c r="CF239" i="29" s="1"/>
  <c r="CA239" i="29"/>
  <c r="AS208" i="29"/>
  <c r="AU222" i="29"/>
  <c r="AW222" i="29" s="1"/>
  <c r="AP136" i="29"/>
  <c r="AP219" i="29" s="1"/>
  <c r="AQ219" i="29" s="1"/>
  <c r="BI220" i="29"/>
  <c r="AO214" i="29"/>
  <c r="AD266" i="29"/>
  <c r="AD269" i="29" s="1"/>
  <c r="AE269" i="29" s="1"/>
  <c r="AI204" i="29"/>
  <c r="AH215" i="29"/>
  <c r="BH121" i="29"/>
  <c r="AG265" i="29"/>
  <c r="AH258" i="29"/>
  <c r="BA219" i="29"/>
  <c r="BC219" i="29" s="1"/>
  <c r="BK136" i="29"/>
  <c r="BL136" i="29" s="1"/>
  <c r="AG264" i="29"/>
  <c r="AH257" i="29"/>
  <c r="AG205" i="29"/>
  <c r="AG152" i="29"/>
  <c r="AH121" i="29"/>
  <c r="AH205" i="29" s="1"/>
  <c r="AH208" i="29" s="1"/>
  <c r="AG124" i="29"/>
  <c r="BI122" i="29"/>
  <c r="BK122" i="29"/>
  <c r="AS141" i="29"/>
  <c r="CA237" i="29"/>
  <c r="CC237" i="29"/>
  <c r="CD237" i="29" s="1"/>
  <c r="CE237" i="29" s="1"/>
  <c r="CF237" i="29" s="1"/>
  <c r="BF208" i="29"/>
  <c r="AJ122" i="29"/>
  <c r="AJ139" i="29"/>
  <c r="AJ222" i="29" s="1"/>
  <c r="AK222" i="29" s="1"/>
  <c r="BB203" i="29"/>
  <c r="BB208" i="29" s="1"/>
  <c r="BA124" i="29"/>
  <c r="BH119" i="29"/>
  <c r="BH203" i="29" s="1"/>
  <c r="BG124" i="29"/>
  <c r="BG143" i="29" s="1"/>
  <c r="AI206" i="29"/>
  <c r="AJ130" i="29"/>
  <c r="AJ213" i="29" s="1"/>
  <c r="AK213" i="29" s="1"/>
  <c r="BA204" i="29"/>
  <c r="BC204" i="29" s="1"/>
  <c r="BA203" i="29"/>
  <c r="BG203" i="29"/>
  <c r="AT224" i="29"/>
  <c r="AM135" i="29"/>
  <c r="AK135" i="29"/>
  <c r="AJ123" i="29"/>
  <c r="AJ207" i="29" s="1"/>
  <c r="AK207" i="29" s="1"/>
  <c r="BA221" i="29"/>
  <c r="BC221" i="29" s="1"/>
  <c r="AE266" i="29"/>
  <c r="BG139" i="29"/>
  <c r="BG140" i="29" s="1"/>
  <c r="AZ208" i="29"/>
  <c r="AK158" i="29"/>
  <c r="AK163" i="29" s="1"/>
  <c r="AG163" i="29"/>
  <c r="AS224" i="29"/>
  <c r="BH206" i="29"/>
  <c r="BI206" i="29" s="1"/>
  <c r="AZ141" i="29"/>
  <c r="AT124" i="29"/>
  <c r="AU119" i="29"/>
  <c r="BA205" i="29"/>
  <c r="BC205" i="29" s="1"/>
  <c r="BH123" i="29"/>
  <c r="BH207" i="29" s="1"/>
  <c r="BI207" i="29" s="1"/>
  <c r="BF141" i="29"/>
  <c r="BF144" i="29" s="1"/>
  <c r="BF301" i="29" s="1"/>
  <c r="CC238" i="29"/>
  <c r="CD238" i="29" s="1"/>
  <c r="CE238" i="29" s="1"/>
  <c r="CF238" i="29" s="1"/>
  <c r="CA238" i="29"/>
  <c r="BK137" i="29"/>
  <c r="BI137" i="29"/>
  <c r="R21" i="104"/>
  <c r="R43" i="104" s="1"/>
  <c r="Q22" i="104"/>
  <c r="G22" i="104"/>
  <c r="F22" i="104" s="1"/>
  <c r="L22" i="104"/>
  <c r="AU21" i="104"/>
  <c r="AT22" i="104"/>
  <c r="AV43" i="104"/>
  <c r="AV45" i="104" s="1"/>
  <c r="AV46" i="104" s="1"/>
  <c r="AV28" i="104"/>
  <c r="AI21" i="104"/>
  <c r="AI43" i="104" s="1"/>
  <c r="AH22" i="104"/>
  <c r="AD126" i="112"/>
  <c r="AN128" i="112"/>
  <c r="AD128" i="112"/>
  <c r="AI126" i="112"/>
  <c r="AD129" i="112"/>
  <c r="AI129" i="112"/>
  <c r="AF129" i="112"/>
  <c r="AF137" i="112" s="1"/>
  <c r="AV81" i="104"/>
  <c r="AV85" i="104" s="1"/>
  <c r="AN82" i="104"/>
  <c r="AP33" i="104"/>
  <c r="AP44" i="104" s="1"/>
  <c r="AO34" i="104"/>
  <c r="Q82" i="104"/>
  <c r="AM167" i="104"/>
  <c r="AQ79" i="104"/>
  <c r="BH173" i="104"/>
  <c r="BG98" i="104"/>
  <c r="BH98" i="104" s="1"/>
  <c r="BC44" i="104"/>
  <c r="AY45" i="104"/>
  <c r="BC45" i="104" s="1"/>
  <c r="BC52" i="104"/>
  <c r="AN167" i="104"/>
  <c r="AN20" i="104"/>
  <c r="AO19" i="104"/>
  <c r="AJ19" i="104"/>
  <c r="AI20" i="104"/>
  <c r="AO32" i="104"/>
  <c r="AP31" i="104"/>
  <c r="AS34" i="104"/>
  <c r="AS33" i="104" s="1"/>
  <c r="AT33" i="104"/>
  <c r="AT44" i="104" s="1"/>
  <c r="AD20" i="104"/>
  <c r="Y20" i="104"/>
  <c r="AE32" i="104"/>
  <c r="AJ32" i="104"/>
  <c r="Y82" i="104"/>
  <c r="AY167" i="104"/>
  <c r="BC79" i="104"/>
  <c r="C52" i="104"/>
  <c r="AS167" i="104"/>
  <c r="AW79" i="104"/>
  <c r="AZ167" i="104"/>
  <c r="AZ85" i="104"/>
  <c r="BC31" i="104"/>
  <c r="BC19" i="104"/>
  <c r="AY26" i="104"/>
  <c r="AY28" i="104"/>
  <c r="BX88" i="104"/>
  <c r="BY88" i="104" s="1"/>
  <c r="BZ88" i="104" s="1"/>
  <c r="CC88" i="104" s="1"/>
  <c r="AT167" i="104"/>
  <c r="W21" i="104"/>
  <c r="V22" i="104"/>
  <c r="AZ26" i="104"/>
  <c r="AZ28" i="104"/>
  <c r="AO21" i="104"/>
  <c r="AN22" i="104"/>
  <c r="AT32" i="104"/>
  <c r="AU31" i="104"/>
  <c r="AD43" i="104"/>
  <c r="AY81" i="104"/>
  <c r="AY85" i="104" s="1"/>
  <c r="AS82" i="104"/>
  <c r="AE34" i="104"/>
  <c r="AJ34" i="104"/>
  <c r="AP43" i="104"/>
  <c r="AW172" i="104"/>
  <c r="BH129" i="104"/>
  <c r="BB13" i="104"/>
  <c r="CD130" i="104"/>
  <c r="L13" i="104"/>
  <c r="M13" i="104" s="1"/>
  <c r="AY15" i="104"/>
  <c r="BM40" i="104"/>
  <c r="BM129" i="104"/>
  <c r="AZ15" i="104"/>
  <c r="BF130" i="104"/>
  <c r="BM130" i="104"/>
  <c r="BL40" i="104"/>
  <c r="AT225" i="29" l="1"/>
  <c r="AC21" i="104"/>
  <c r="AI107" i="112"/>
  <c r="AI87" i="112" s="1"/>
  <c r="AZ225" i="29"/>
  <c r="AZ115" i="104"/>
  <c r="AZ154" i="104" s="1"/>
  <c r="AC80" i="104"/>
  <c r="AD79" i="104"/>
  <c r="AI79" i="104"/>
  <c r="AH80" i="104"/>
  <c r="X80" i="104"/>
  <c r="S80" i="104"/>
  <c r="AF105" i="112"/>
  <c r="AF86" i="112" s="1"/>
  <c r="AJ86" i="112"/>
  <c r="AI134" i="112"/>
  <c r="AE127" i="112"/>
  <c r="S86" i="3"/>
  <c r="AN87" i="112"/>
  <c r="AJ38" i="112"/>
  <c r="AH109" i="112"/>
  <c r="AH88" i="112" s="1"/>
  <c r="AH138" i="112"/>
  <c r="L67" i="106"/>
  <c r="L69" i="106"/>
  <c r="F67" i="106"/>
  <c r="F69" i="106"/>
  <c r="X67" i="106"/>
  <c r="X69" i="106"/>
  <c r="BH69" i="106"/>
  <c r="BH67" i="106"/>
  <c r="AU67" i="106"/>
  <c r="AU69" i="106"/>
  <c r="AE67" i="106"/>
  <c r="AE69" i="106"/>
  <c r="AV67" i="106"/>
  <c r="AV69" i="106"/>
  <c r="L49" i="3"/>
  <c r="X69" i="3"/>
  <c r="AQ62" i="3"/>
  <c r="BH69" i="3"/>
  <c r="AG107" i="112"/>
  <c r="AG87" i="112" s="1"/>
  <c r="AV131" i="104"/>
  <c r="BB131" i="104"/>
  <c r="Y86" i="3"/>
  <c r="AD69" i="3"/>
  <c r="X49" i="3"/>
  <c r="AU69" i="3"/>
  <c r="BA69" i="3"/>
  <c r="BB69" i="3"/>
  <c r="AH103" i="112"/>
  <c r="AH85" i="112" s="1"/>
  <c r="AJ109" i="112"/>
  <c r="AJ88" i="112" s="1"/>
  <c r="AE90" i="3"/>
  <c r="Y100" i="3"/>
  <c r="AK90" i="3"/>
  <c r="AK86" i="3"/>
  <c r="S90" i="3"/>
  <c r="AF107" i="112"/>
  <c r="AF87" i="112" s="1"/>
  <c r="AL38" i="112"/>
  <c r="AJ85" i="112"/>
  <c r="BC133" i="51"/>
  <c r="BC132" i="51" s="1"/>
  <c r="W38" i="112"/>
  <c r="X133" i="51"/>
  <c r="AD134" i="51" s="1"/>
  <c r="AQ108" i="112"/>
  <c r="AL108" i="112"/>
  <c r="AM109" i="112" s="1"/>
  <c r="AM88" i="112" s="1"/>
  <c r="AG127" i="112"/>
  <c r="AF126" i="112"/>
  <c r="AW133" i="51"/>
  <c r="AP104" i="112"/>
  <c r="AI127" i="112"/>
  <c r="AQ128" i="112"/>
  <c r="AM128" i="112"/>
  <c r="AM136" i="112" s="1"/>
  <c r="AK102" i="112"/>
  <c r="AK103" i="112" s="1"/>
  <c r="AT64" i="3"/>
  <c r="AG163" i="112"/>
  <c r="AK163" i="112"/>
  <c r="AN64" i="3"/>
  <c r="BA134" i="51"/>
  <c r="BA132" i="51"/>
  <c r="BG134" i="51"/>
  <c r="AZ64" i="3"/>
  <c r="AK38" i="112"/>
  <c r="AD64" i="3"/>
  <c r="AO64" i="3"/>
  <c r="AH107" i="112"/>
  <c r="AH87" i="112" s="1"/>
  <c r="AG109" i="112"/>
  <c r="AG88" i="112" s="1"/>
  <c r="BF120" i="51"/>
  <c r="BI120" i="51" s="1"/>
  <c r="BI121" i="51"/>
  <c r="CD120" i="51"/>
  <c r="AO123" i="51"/>
  <c r="AO127" i="51"/>
  <c r="AP127" i="51"/>
  <c r="AP123" i="51"/>
  <c r="AE122" i="51"/>
  <c r="AJ122" i="51"/>
  <c r="AJ121" i="51" s="1"/>
  <c r="AI122" i="51"/>
  <c r="AI121" i="51" s="1"/>
  <c r="AG122" i="51"/>
  <c r="AG121" i="51" s="1"/>
  <c r="AH122" i="51"/>
  <c r="AH121" i="51" s="1"/>
  <c r="AQ90" i="3"/>
  <c r="AW90" i="3"/>
  <c r="AK100" i="3"/>
  <c r="AE86" i="3"/>
  <c r="AF163" i="112"/>
  <c r="AJ163" i="112"/>
  <c r="AJ128" i="112"/>
  <c r="AJ136" i="112" s="1"/>
  <c r="AE14" i="112"/>
  <c r="AP134" i="51"/>
  <c r="AI38" i="112"/>
  <c r="AE38" i="112"/>
  <c r="AU64" i="3"/>
  <c r="AH14" i="112"/>
  <c r="AU134" i="51"/>
  <c r="AI137" i="112"/>
  <c r="BB132" i="51"/>
  <c r="BB134" i="51"/>
  <c r="BH134" i="51"/>
  <c r="U14" i="112"/>
  <c r="Y38" i="112"/>
  <c r="AI64" i="3"/>
  <c r="Z14" i="112"/>
  <c r="AI134" i="51"/>
  <c r="V14" i="112"/>
  <c r="Z38" i="112"/>
  <c r="AI14" i="112"/>
  <c r="AV134" i="51"/>
  <c r="AM38" i="112"/>
  <c r="AK106" i="112"/>
  <c r="Y14" i="112"/>
  <c r="AH134" i="51"/>
  <c r="AC38" i="112"/>
  <c r="BC62" i="3"/>
  <c r="AY64" i="3"/>
  <c r="AO106" i="112"/>
  <c r="AO107" i="112" s="1"/>
  <c r="AN108" i="112"/>
  <c r="AA133" i="51"/>
  <c r="AG128" i="112"/>
  <c r="AG136" i="112" s="1"/>
  <c r="AG133" i="51"/>
  <c r="AQ133" i="51"/>
  <c r="AQ102" i="112"/>
  <c r="AO104" i="112"/>
  <c r="AN104" i="112"/>
  <c r="AN105" i="112" s="1"/>
  <c r="AF127" i="112"/>
  <c r="AF135" i="112" s="1"/>
  <c r="AN102" i="112"/>
  <c r="AN103" i="112" s="1"/>
  <c r="AL106" i="112"/>
  <c r="AM107" i="112" s="1"/>
  <c r="AM87" i="112" s="1"/>
  <c r="AL102" i="112"/>
  <c r="AM103" i="112" s="1"/>
  <c r="AM85" i="112" s="1"/>
  <c r="AQ104" i="112"/>
  <c r="AG85" i="112"/>
  <c r="Y90" i="3"/>
  <c r="AK108" i="112"/>
  <c r="AG129" i="112"/>
  <c r="AG137" i="112" s="1"/>
  <c r="AC126" i="112"/>
  <c r="AL138" i="112"/>
  <c r="AG14" i="112"/>
  <c r="AT134" i="51"/>
  <c r="AC14" i="112"/>
  <c r="AN134" i="51"/>
  <c r="AG38" i="112"/>
  <c r="BA64" i="3"/>
  <c r="AZ134" i="51"/>
  <c r="BF134" i="51"/>
  <c r="AZ132" i="51"/>
  <c r="W14" i="112"/>
  <c r="AJ134" i="51"/>
  <c r="AD14" i="112"/>
  <c r="AO134" i="51"/>
  <c r="AD38" i="112"/>
  <c r="AH38" i="112"/>
  <c r="BK120" i="51"/>
  <c r="CI120" i="51"/>
  <c r="BW120" i="51"/>
  <c r="BQ120" i="51"/>
  <c r="AM127" i="51"/>
  <c r="AQ121" i="51"/>
  <c r="AM123" i="51"/>
  <c r="AN127" i="51"/>
  <c r="AN123" i="51"/>
  <c r="AQ86" i="3"/>
  <c r="AW86" i="3"/>
  <c r="AE100" i="3"/>
  <c r="AC127" i="112"/>
  <c r="AK105" i="112"/>
  <c r="AK86" i="112" s="1"/>
  <c r="AS64" i="3"/>
  <c r="AW62" i="3"/>
  <c r="AF14" i="112"/>
  <c r="AS134" i="51"/>
  <c r="AP64" i="3"/>
  <c r="AI163" i="112"/>
  <c r="AE163" i="112"/>
  <c r="AL104" i="112"/>
  <c r="AM105" i="112" s="1"/>
  <c r="AM86" i="112" s="1"/>
  <c r="AH163" i="112"/>
  <c r="AL163" i="112"/>
  <c r="AB64" i="3"/>
  <c r="AD163" i="112"/>
  <c r="AC64" i="3"/>
  <c r="AI109" i="112"/>
  <c r="AI88" i="112" s="1"/>
  <c r="AV64" i="3"/>
  <c r="AH64" i="3"/>
  <c r="AC163" i="112"/>
  <c r="AY134" i="51"/>
  <c r="AY132" i="51"/>
  <c r="AY130" i="104" s="1"/>
  <c r="AE49" i="3"/>
  <c r="BH49" i="3"/>
  <c r="AV49" i="3"/>
  <c r="R69" i="3"/>
  <c r="AU49" i="3"/>
  <c r="AV32" i="3"/>
  <c r="AI32" i="3"/>
  <c r="AU32" i="3"/>
  <c r="X32" i="3"/>
  <c r="AE32" i="3"/>
  <c r="Q32" i="3"/>
  <c r="R32" i="3"/>
  <c r="AO32" i="3"/>
  <c r="K32" i="3"/>
  <c r="BQ134" i="51"/>
  <c r="BE81" i="51"/>
  <c r="BE86" i="51" s="1"/>
  <c r="BE85" i="51" s="1"/>
  <c r="BE100" i="51"/>
  <c r="BI128" i="51"/>
  <c r="BI100" i="51" s="1"/>
  <c r="BI129" i="51"/>
  <c r="BF27" i="104"/>
  <c r="BF88" i="51" s="1"/>
  <c r="AT141" i="29"/>
  <c r="BK219" i="29"/>
  <c r="BG222" i="29"/>
  <c r="BG224" i="29" s="1"/>
  <c r="BC218" i="29"/>
  <c r="BC224" i="29" s="1"/>
  <c r="BA224" i="29"/>
  <c r="S172" i="104"/>
  <c r="BL129" i="104"/>
  <c r="BL127" i="104" s="1"/>
  <c r="BG130" i="104"/>
  <c r="AY129" i="104"/>
  <c r="AM11" i="104"/>
  <c r="AS16" i="104"/>
  <c r="AS15" i="104"/>
  <c r="AW11" i="104"/>
  <c r="AW12" i="104" s="1"/>
  <c r="AV16" i="104"/>
  <c r="BH126" i="104"/>
  <c r="BH127" i="104" s="1"/>
  <c r="AU16" i="104"/>
  <c r="BK40" i="104"/>
  <c r="AQ172" i="104"/>
  <c r="AK172" i="104"/>
  <c r="G172" i="104"/>
  <c r="Y172" i="104"/>
  <c r="M172" i="104"/>
  <c r="BA129" i="104"/>
  <c r="AT16" i="104"/>
  <c r="AY29" i="104"/>
  <c r="AY14" i="104"/>
  <c r="BC16" i="104"/>
  <c r="BF125" i="104"/>
  <c r="AV13" i="104"/>
  <c r="AV15" i="104"/>
  <c r="AP13" i="104"/>
  <c r="AQ13" i="104" s="1"/>
  <c r="BF126" i="104"/>
  <c r="R13" i="104"/>
  <c r="S13" i="104" s="1"/>
  <c r="AD13" i="104"/>
  <c r="AE13" i="104" s="1"/>
  <c r="AZ29" i="104"/>
  <c r="AZ14" i="104"/>
  <c r="BC13" i="104"/>
  <c r="AU14" i="104"/>
  <c r="AJ13" i="104"/>
  <c r="AK13" i="104" s="1"/>
  <c r="BG126" i="104"/>
  <c r="AZ129" i="104"/>
  <c r="AY46" i="104"/>
  <c r="AY115" i="104" s="1"/>
  <c r="AY154" i="104" s="1"/>
  <c r="BC46" i="104"/>
  <c r="K143" i="104"/>
  <c r="K144" i="104" s="1"/>
  <c r="I143" i="104"/>
  <c r="C143" i="104"/>
  <c r="V143" i="104"/>
  <c r="V144" i="104" s="1"/>
  <c r="BG51" i="104"/>
  <c r="BG105" i="51" s="1"/>
  <c r="BG109" i="104"/>
  <c r="BG108" i="104"/>
  <c r="BG147" i="104" s="1"/>
  <c r="BG26" i="104"/>
  <c r="BL115" i="104"/>
  <c r="BL14" i="104"/>
  <c r="BL125" i="104"/>
  <c r="BM125" i="104"/>
  <c r="BM14" i="104"/>
  <c r="BM115" i="104"/>
  <c r="BM128" i="104"/>
  <c r="BM127" i="104"/>
  <c r="BN130" i="104"/>
  <c r="BR15" i="104"/>
  <c r="BR16" i="104"/>
  <c r="BH14" i="104"/>
  <c r="BH115" i="104"/>
  <c r="BK115" i="104"/>
  <c r="BK14" i="104"/>
  <c r="BL158" i="104"/>
  <c r="BL133" i="104"/>
  <c r="BL113" i="104"/>
  <c r="BL150" i="104"/>
  <c r="BL114" i="104"/>
  <c r="BM113" i="104"/>
  <c r="BM158" i="104"/>
  <c r="BM133" i="104"/>
  <c r="BM150" i="104"/>
  <c r="BM114" i="104"/>
  <c r="CG238" i="29"/>
  <c r="CI238" i="29"/>
  <c r="CJ238" i="29" s="1"/>
  <c r="CK238" i="29" s="1"/>
  <c r="CL238" i="29" s="1"/>
  <c r="CM238" i="29" s="1"/>
  <c r="BI121" i="29"/>
  <c r="BK121" i="29"/>
  <c r="CI239" i="29"/>
  <c r="CJ239" i="29" s="1"/>
  <c r="CK239" i="29" s="1"/>
  <c r="CL239" i="29" s="1"/>
  <c r="CM239" i="29" s="1"/>
  <c r="CG239" i="29"/>
  <c r="AN135" i="29"/>
  <c r="BL122" i="29"/>
  <c r="BL206" i="29" s="1"/>
  <c r="AI257" i="29"/>
  <c r="AH264" i="29"/>
  <c r="BH205" i="29"/>
  <c r="BI205" i="29" s="1"/>
  <c r="AJ128" i="29"/>
  <c r="BG141" i="29"/>
  <c r="AM122" i="29"/>
  <c r="AK122" i="29"/>
  <c r="BK206" i="29"/>
  <c r="AI263" i="29"/>
  <c r="AJ256" i="29"/>
  <c r="AI212" i="29"/>
  <c r="BL235" i="29"/>
  <c r="BK240" i="29"/>
  <c r="BF224" i="29"/>
  <c r="BF225" i="29" s="1"/>
  <c r="AN119" i="29"/>
  <c r="AN203" i="29" s="1"/>
  <c r="BK123" i="29"/>
  <c r="BI123" i="29"/>
  <c r="AJ206" i="29"/>
  <c r="AK206" i="29" s="1"/>
  <c r="BM138" i="29"/>
  <c r="AM120" i="29"/>
  <c r="AK120" i="29"/>
  <c r="AV218" i="29"/>
  <c r="AV224" i="29" s="1"/>
  <c r="AU140" i="29"/>
  <c r="BG208" i="29"/>
  <c r="BI203" i="29"/>
  <c r="BH124" i="29"/>
  <c r="BI119" i="29"/>
  <c r="BK119" i="29"/>
  <c r="AG138" i="29"/>
  <c r="BL219" i="29"/>
  <c r="AI132" i="29"/>
  <c r="AJ127" i="29"/>
  <c r="BL221" i="29"/>
  <c r="AJ204" i="29"/>
  <c r="AM203" i="29"/>
  <c r="BK220" i="29"/>
  <c r="AV203" i="29"/>
  <c r="AV208" i="29" s="1"/>
  <c r="AU124" i="29"/>
  <c r="AK123" i="29"/>
  <c r="AM123" i="29"/>
  <c r="BA208" i="29"/>
  <c r="BC203" i="29"/>
  <c r="BC208" i="29" s="1"/>
  <c r="BA141" i="29"/>
  <c r="AI121" i="29"/>
  <c r="AI205" i="29" s="1"/>
  <c r="AI208" i="29" s="1"/>
  <c r="AH124" i="29"/>
  <c r="AN261" i="29"/>
  <c r="AO254" i="29"/>
  <c r="AU218" i="29"/>
  <c r="AG266" i="29"/>
  <c r="AG269" i="29" s="1"/>
  <c r="BL137" i="29"/>
  <c r="BB225" i="29"/>
  <c r="CI237" i="29"/>
  <c r="CJ237" i="29" s="1"/>
  <c r="CK237" i="29" s="1"/>
  <c r="CL237" i="29" s="1"/>
  <c r="CM237" i="29" s="1"/>
  <c r="CG237" i="29"/>
  <c r="AK152" i="29"/>
  <c r="AK155" i="29" s="1"/>
  <c r="AK164" i="29" s="1"/>
  <c r="AG155" i="29"/>
  <c r="AG164" i="29" s="1"/>
  <c r="AH265" i="29"/>
  <c r="AI258" i="29"/>
  <c r="AS225" i="29"/>
  <c r="AI215" i="29"/>
  <c r="BI120" i="29"/>
  <c r="BK120" i="29"/>
  <c r="AU203" i="29"/>
  <c r="BH139" i="29"/>
  <c r="BH140" i="29" s="1"/>
  <c r="AM218" i="29"/>
  <c r="AK130" i="29"/>
  <c r="AM130" i="29"/>
  <c r="AK139" i="29"/>
  <c r="AM139" i="29"/>
  <c r="AG208" i="29"/>
  <c r="AP214" i="29"/>
  <c r="AQ214" i="29" s="1"/>
  <c r="BH218" i="29"/>
  <c r="BH204" i="29"/>
  <c r="BI204" i="29" s="1"/>
  <c r="P22" i="104"/>
  <c r="Q21" i="104"/>
  <c r="Q43" i="104" s="1"/>
  <c r="L21" i="104"/>
  <c r="L43" i="104" s="1"/>
  <c r="K22" i="104"/>
  <c r="F21" i="104"/>
  <c r="F43" i="104" s="1"/>
  <c r="E22" i="104"/>
  <c r="AO26" i="104"/>
  <c r="AS22" i="104"/>
  <c r="AS21" i="104" s="1"/>
  <c r="AT21" i="104"/>
  <c r="AU43" i="104"/>
  <c r="AU26" i="104"/>
  <c r="AU28" i="104"/>
  <c r="BC28" i="104"/>
  <c r="AG22" i="104"/>
  <c r="AG21" i="104" s="1"/>
  <c r="AH21" i="104"/>
  <c r="AH43" i="104" s="1"/>
  <c r="AH129" i="112"/>
  <c r="AH137" i="112" s="1"/>
  <c r="AN126" i="112"/>
  <c r="AH126" i="112"/>
  <c r="AH134" i="112" s="1"/>
  <c r="AO128" i="112"/>
  <c r="AH128" i="112"/>
  <c r="AH136" i="112" s="1"/>
  <c r="AB130" i="112"/>
  <c r="AF138" i="112" s="1"/>
  <c r="AE130" i="112"/>
  <c r="AI138" i="112" s="1"/>
  <c r="AM82" i="104"/>
  <c r="AS32" i="104"/>
  <c r="AS31" i="104" s="1"/>
  <c r="AS81" i="104" s="1"/>
  <c r="AS85" i="104" s="1"/>
  <c r="AT31" i="104"/>
  <c r="CD88" i="104"/>
  <c r="CE88" i="104" s="1"/>
  <c r="CF88" i="104" s="1"/>
  <c r="Y32" i="104"/>
  <c r="AD32" i="104"/>
  <c r="K82" i="104"/>
  <c r="AA22" i="104"/>
  <c r="AA21" i="104" s="1"/>
  <c r="AB21" i="104"/>
  <c r="AJ33" i="104"/>
  <c r="AJ44" i="104" s="1"/>
  <c r="AI34" i="104"/>
  <c r="Y34" i="104"/>
  <c r="AD34" i="104"/>
  <c r="BC81" i="104"/>
  <c r="BC85" i="104" s="1"/>
  <c r="BC36" i="104"/>
  <c r="BB36" i="104" s="1"/>
  <c r="BC32" i="104"/>
  <c r="BC40" i="104"/>
  <c r="AW167" i="104"/>
  <c r="AW33" i="104"/>
  <c r="AS44" i="104"/>
  <c r="AM20" i="104"/>
  <c r="AM19" i="104" s="1"/>
  <c r="AN19" i="104"/>
  <c r="AQ167" i="104"/>
  <c r="S20" i="104"/>
  <c r="X20" i="104"/>
  <c r="AZ107" i="104"/>
  <c r="AZ27" i="104"/>
  <c r="V21" i="104"/>
  <c r="U22" i="104"/>
  <c r="U21" i="104" s="1"/>
  <c r="BC167" i="104"/>
  <c r="BC80" i="104"/>
  <c r="AC20" i="104"/>
  <c r="AD19" i="104"/>
  <c r="AP81" i="104"/>
  <c r="AP85" i="104" s="1"/>
  <c r="AP45" i="104"/>
  <c r="AP46" i="104" s="1"/>
  <c r="W43" i="104"/>
  <c r="AY107" i="104"/>
  <c r="AY27" i="104"/>
  <c r="AO31" i="104"/>
  <c r="AN32" i="104"/>
  <c r="AH82" i="104"/>
  <c r="AN21" i="104"/>
  <c r="AM22" i="104"/>
  <c r="AM21" i="104" s="1"/>
  <c r="BC26" i="104"/>
  <c r="S82" i="104"/>
  <c r="AI19" i="104"/>
  <c r="AH20" i="104"/>
  <c r="AN34" i="104"/>
  <c r="AO33" i="104"/>
  <c r="AO44" i="104" s="1"/>
  <c r="AU81" i="104"/>
  <c r="AU85" i="104" s="1"/>
  <c r="AO43" i="104"/>
  <c r="CA88" i="104"/>
  <c r="AI32" i="104"/>
  <c r="AJ31" i="104"/>
  <c r="AJ26" i="104"/>
  <c r="AC43" i="104"/>
  <c r="BG100" i="104"/>
  <c r="BL27" i="104"/>
  <c r="BL88" i="51" s="1"/>
  <c r="BR40" i="104"/>
  <c r="BH11" i="104"/>
  <c r="BA15" i="104"/>
  <c r="BH40" i="104"/>
  <c r="AT15" i="104"/>
  <c r="BX129" i="104"/>
  <c r="AN85" i="112" l="1"/>
  <c r="AO87" i="112"/>
  <c r="AV115" i="104"/>
  <c r="AV154" i="104" s="1"/>
  <c r="AZ126" i="104"/>
  <c r="AZ127" i="104" s="1"/>
  <c r="BA126" i="104"/>
  <c r="BA127" i="104" s="1"/>
  <c r="BB163" i="104"/>
  <c r="AY82" i="51"/>
  <c r="AY83" i="51" s="1"/>
  <c r="AY86" i="51" s="1"/>
  <c r="AY85" i="51" s="1"/>
  <c r="AY101" i="51" s="1"/>
  <c r="AY103" i="51" s="1"/>
  <c r="AZ82" i="51"/>
  <c r="AZ83" i="51" s="1"/>
  <c r="AZ86" i="51" s="1"/>
  <c r="AZ85" i="51" s="1"/>
  <c r="AZ101" i="51" s="1"/>
  <c r="AZ103" i="51" s="1"/>
  <c r="W80" i="104"/>
  <c r="X79" i="104"/>
  <c r="M80" i="104"/>
  <c r="R80" i="104"/>
  <c r="AH79" i="104"/>
  <c r="AG80" i="104"/>
  <c r="AG79" i="104" s="1"/>
  <c r="AC79" i="104"/>
  <c r="AB80" i="104"/>
  <c r="AK85" i="112"/>
  <c r="AI135" i="112"/>
  <c r="AL109" i="112"/>
  <c r="AL88" i="112" s="1"/>
  <c r="M67" i="106"/>
  <c r="M69" i="106"/>
  <c r="AW67" i="106"/>
  <c r="AW69" i="106"/>
  <c r="S67" i="106"/>
  <c r="S69" i="106"/>
  <c r="AQ67" i="106"/>
  <c r="AQ69" i="106"/>
  <c r="G67" i="106"/>
  <c r="G69" i="106"/>
  <c r="AK67" i="106"/>
  <c r="AK69" i="106"/>
  <c r="AP67" i="106"/>
  <c r="AP69" i="106"/>
  <c r="AJ67" i="106"/>
  <c r="AJ69" i="106"/>
  <c r="Y67" i="106"/>
  <c r="Y69" i="106"/>
  <c r="M49" i="3"/>
  <c r="AE69" i="3"/>
  <c r="S32" i="3"/>
  <c r="AJ32" i="3"/>
  <c r="AW69" i="3"/>
  <c r="BC69" i="3"/>
  <c r="AQ69" i="3"/>
  <c r="AP69" i="3"/>
  <c r="AV69" i="3"/>
  <c r="AQ105" i="112"/>
  <c r="AQ86" i="112" s="1"/>
  <c r="AO105" i="112"/>
  <c r="AO86" i="112" s="1"/>
  <c r="AN86" i="112"/>
  <c r="AQ136" i="112"/>
  <c r="BI123" i="51"/>
  <c r="AN129" i="112"/>
  <c r="AJ129" i="112"/>
  <c r="AJ137" i="112" s="1"/>
  <c r="AV132" i="51"/>
  <c r="AI13" i="112" s="1"/>
  <c r="AP127" i="112"/>
  <c r="AP106" i="112"/>
  <c r="AQ107" i="112" s="1"/>
  <c r="AQ87" i="112" s="1"/>
  <c r="AQ126" i="112"/>
  <c r="AM126" i="112"/>
  <c r="AM134" i="112" s="1"/>
  <c r="AP102" i="112"/>
  <c r="AQ103" i="112" s="1"/>
  <c r="AQ85" i="112" s="1"/>
  <c r="AM129" i="112"/>
  <c r="AM137" i="112" s="1"/>
  <c r="AQ129" i="112"/>
  <c r="AN98" i="51"/>
  <c r="AT130" i="51"/>
  <c r="AM98" i="51"/>
  <c r="AS130" i="51"/>
  <c r="AP105" i="112"/>
  <c r="AP86" i="112" s="1"/>
  <c r="AG64" i="3"/>
  <c r="AK62" i="3"/>
  <c r="X14" i="112"/>
  <c r="AG134" i="51"/>
  <c r="AM134" i="51"/>
  <c r="T14" i="112"/>
  <c r="AL107" i="112"/>
  <c r="AL87" i="112" s="1"/>
  <c r="AK107" i="112"/>
  <c r="AK87" i="112" s="1"/>
  <c r="AG127" i="51"/>
  <c r="AM129" i="51" s="1"/>
  <c r="AG123" i="51"/>
  <c r="AK121" i="51"/>
  <c r="AJ127" i="51"/>
  <c r="AJ96" i="51"/>
  <c r="AJ123" i="51"/>
  <c r="AP130" i="51" s="1"/>
  <c r="AP98" i="51"/>
  <c r="AV130" i="51"/>
  <c r="AO128" i="51"/>
  <c r="AU129" i="51"/>
  <c r="BI122" i="51"/>
  <c r="AK109" i="112"/>
  <c r="AK88" i="112" s="1"/>
  <c r="AL103" i="112"/>
  <c r="AL85" i="112" s="1"/>
  <c r="BC63" i="3"/>
  <c r="BC61" i="3" s="1"/>
  <c r="AN136" i="112"/>
  <c r="AJ126" i="112"/>
  <c r="AN134" i="112" s="1"/>
  <c r="AG135" i="112"/>
  <c r="S14" i="112"/>
  <c r="BC134" i="51"/>
  <c r="BI134" i="51"/>
  <c r="AT132" i="51"/>
  <c r="AG13" i="112" s="1"/>
  <c r="AE133" i="51"/>
  <c r="AQ127" i="112"/>
  <c r="AM127" i="112"/>
  <c r="AM135" i="112" s="1"/>
  <c r="AK133" i="51"/>
  <c r="AP108" i="112"/>
  <c r="AQ109" i="112" s="1"/>
  <c r="AQ88" i="112" s="1"/>
  <c r="AN128" i="51"/>
  <c r="AT129" i="51"/>
  <c r="AQ127" i="51"/>
  <c r="AQ123" i="51"/>
  <c r="AM128" i="51"/>
  <c r="AS129" i="51"/>
  <c r="AO108" i="112"/>
  <c r="AA36" i="112"/>
  <c r="AE36" i="112"/>
  <c r="AH127" i="112"/>
  <c r="AH135" i="112" s="1"/>
  <c r="AB163" i="112"/>
  <c r="X38" i="112"/>
  <c r="AB38" i="112"/>
  <c r="AK128" i="112"/>
  <c r="AK136" i="112" s="1"/>
  <c r="AA64" i="3"/>
  <c r="AE62" i="3"/>
  <c r="AH127" i="51"/>
  <c r="AN129" i="51" s="1"/>
  <c r="AH123" i="51"/>
  <c r="AI127" i="51"/>
  <c r="AI123" i="51"/>
  <c r="AO130" i="51" s="1"/>
  <c r="AC122" i="51"/>
  <c r="AC121" i="51" s="1"/>
  <c r="AD122" i="51"/>
  <c r="AD121" i="51" s="1"/>
  <c r="AB122" i="51"/>
  <c r="AB121" i="51" s="1"/>
  <c r="Y122" i="51"/>
  <c r="AA122" i="51"/>
  <c r="AA121" i="51" s="1"/>
  <c r="AP128" i="51"/>
  <c r="AV129" i="51"/>
  <c r="AU132" i="51"/>
  <c r="AH13" i="112" s="1"/>
  <c r="AO98" i="51"/>
  <c r="AU130" i="51"/>
  <c r="AN109" i="112"/>
  <c r="AN88" i="112" s="1"/>
  <c r="AL105" i="112"/>
  <c r="AL86" i="112" s="1"/>
  <c r="AG126" i="112"/>
  <c r="AG134" i="112" s="1"/>
  <c r="AW134" i="51"/>
  <c r="AF134" i="112"/>
  <c r="AQ49" i="3"/>
  <c r="AK69" i="3"/>
  <c r="AK49" i="3"/>
  <c r="AP49" i="3"/>
  <c r="AW49" i="3"/>
  <c r="S49" i="3"/>
  <c r="S69" i="3"/>
  <c r="Y69" i="3"/>
  <c r="Y49" i="3"/>
  <c r="AJ49" i="3"/>
  <c r="AJ69" i="3"/>
  <c r="L32" i="3"/>
  <c r="AP32" i="3"/>
  <c r="Y32" i="3"/>
  <c r="BF51" i="104"/>
  <c r="BF105" i="51" s="1"/>
  <c r="BF109" i="104"/>
  <c r="BF110" i="104" s="1"/>
  <c r="BE101" i="51"/>
  <c r="BE103" i="51" s="1"/>
  <c r="BE104" i="51" s="1"/>
  <c r="BE82" i="51"/>
  <c r="BF108" i="104"/>
  <c r="BF147" i="104" s="1"/>
  <c r="BF26" i="104"/>
  <c r="BL26" i="104"/>
  <c r="J143" i="104"/>
  <c r="J144" i="104" s="1"/>
  <c r="BC225" i="29"/>
  <c r="BA225" i="29"/>
  <c r="BH222" i="29"/>
  <c r="BI222" i="29" s="1"/>
  <c r="AM207" i="29"/>
  <c r="AU141" i="29"/>
  <c r="AM222" i="29"/>
  <c r="BK204" i="29"/>
  <c r="BK205" i="29"/>
  <c r="AH266" i="29"/>
  <c r="AH269" i="29" s="1"/>
  <c r="BR129" i="104"/>
  <c r="BK129" i="104"/>
  <c r="D143" i="104"/>
  <c r="D144" i="104" s="1"/>
  <c r="D171" i="104" s="1"/>
  <c r="R143" i="104"/>
  <c r="R144" i="104" s="1"/>
  <c r="E143" i="104"/>
  <c r="AY125" i="104"/>
  <c r="AO11" i="104"/>
  <c r="AO12" i="104" s="1"/>
  <c r="AP11" i="104"/>
  <c r="AP12" i="104" s="1"/>
  <c r="AS29" i="104"/>
  <c r="AS14" i="104"/>
  <c r="AI11" i="104"/>
  <c r="AI12" i="104" s="1"/>
  <c r="AU29" i="104"/>
  <c r="AN11" i="104"/>
  <c r="AN12" i="104" s="1"/>
  <c r="AY126" i="104"/>
  <c r="AY127" i="104" s="1"/>
  <c r="BB126" i="104"/>
  <c r="BB127" i="104" s="1"/>
  <c r="AW16" i="104"/>
  <c r="BA130" i="104"/>
  <c r="BB130" i="104"/>
  <c r="AT29" i="104"/>
  <c r="AT14" i="104"/>
  <c r="BA29" i="104"/>
  <c r="BA125" i="104"/>
  <c r="BA27" i="104"/>
  <c r="BA107" i="104"/>
  <c r="BA115" i="104"/>
  <c r="BA154" i="104" s="1"/>
  <c r="BA14" i="104"/>
  <c r="BG125" i="104"/>
  <c r="BG127" i="104"/>
  <c r="BG128" i="104"/>
  <c r="AZ125" i="104"/>
  <c r="AV14" i="104"/>
  <c r="AW13" i="104"/>
  <c r="AW15" i="104"/>
  <c r="AZ130" i="104"/>
  <c r="BF127" i="104"/>
  <c r="BF128" i="104"/>
  <c r="AV29" i="104"/>
  <c r="AV27" i="104"/>
  <c r="AV107" i="104"/>
  <c r="AN26" i="104"/>
  <c r="AU131" i="104"/>
  <c r="O143" i="104"/>
  <c r="BG107" i="104"/>
  <c r="BG131" i="104"/>
  <c r="BG163" i="104"/>
  <c r="BG148" i="104"/>
  <c r="BG149" i="104" s="1"/>
  <c r="BG110" i="104"/>
  <c r="BG172" i="104"/>
  <c r="C144" i="104"/>
  <c r="I144" i="104"/>
  <c r="L143" i="104"/>
  <c r="L144" i="104" s="1"/>
  <c r="W143" i="104"/>
  <c r="W144" i="104" s="1"/>
  <c r="P143" i="104"/>
  <c r="P144" i="104" s="1"/>
  <c r="X143" i="104"/>
  <c r="X144" i="104" s="1"/>
  <c r="Q143" i="104"/>
  <c r="Q144" i="104" s="1"/>
  <c r="BG117" i="104"/>
  <c r="BG116" i="104"/>
  <c r="V171" i="104"/>
  <c r="K171" i="104"/>
  <c r="G32" i="3"/>
  <c r="M32" i="3"/>
  <c r="AW32" i="3"/>
  <c r="AK32" i="3"/>
  <c r="BH150" i="104"/>
  <c r="BN151" i="104" s="1"/>
  <c r="BH113" i="104"/>
  <c r="BH114" i="104"/>
  <c r="BR114" i="104"/>
  <c r="BR158" i="104"/>
  <c r="BR161" i="104" s="1"/>
  <c r="BR150" i="104"/>
  <c r="BR133" i="104"/>
  <c r="BR113" i="104"/>
  <c r="BM27" i="104"/>
  <c r="BM88" i="51" s="1"/>
  <c r="BH27" i="104"/>
  <c r="BH88" i="51" s="1"/>
  <c r="BS151" i="104"/>
  <c r="BM152" i="104"/>
  <c r="BK150" i="104"/>
  <c r="BQ151" i="104" s="1"/>
  <c r="BK113" i="104"/>
  <c r="BK114" i="104"/>
  <c r="BR14" i="104"/>
  <c r="BR115" i="104"/>
  <c r="BR125" i="104"/>
  <c r="BL152" i="104"/>
  <c r="BR151" i="104"/>
  <c r="BX15" i="104"/>
  <c r="BX16" i="104"/>
  <c r="BQ15" i="104"/>
  <c r="BQ16" i="104"/>
  <c r="BQ129" i="104"/>
  <c r="BL132" i="104"/>
  <c r="BL109" i="104"/>
  <c r="BL108" i="104"/>
  <c r="BL147" i="104" s="1"/>
  <c r="BL51" i="104"/>
  <c r="BL105" i="51" s="1"/>
  <c r="BL157" i="104"/>
  <c r="BR126" i="104"/>
  <c r="AJ132" i="29"/>
  <c r="AK127" i="29"/>
  <c r="AM127" i="29"/>
  <c r="BL119" i="29"/>
  <c r="BL203" i="29" s="1"/>
  <c r="BK124" i="29"/>
  <c r="AU208" i="29"/>
  <c r="AW203" i="29"/>
  <c r="AW208" i="29" s="1"/>
  <c r="BM137" i="29"/>
  <c r="BM220" i="29" s="1"/>
  <c r="BK203" i="29"/>
  <c r="BI124" i="29"/>
  <c r="AN139" i="29"/>
  <c r="AJ258" i="29"/>
  <c r="AI265" i="29"/>
  <c r="BL220" i="29"/>
  <c r="AJ121" i="29"/>
  <c r="AJ205" i="29" s="1"/>
  <c r="AI124" i="29"/>
  <c r="AJ211" i="29"/>
  <c r="BH141" i="29"/>
  <c r="AM204" i="29"/>
  <c r="BH208" i="29"/>
  <c r="AM206" i="29"/>
  <c r="BM122" i="29"/>
  <c r="AI264" i="29"/>
  <c r="AJ257" i="29"/>
  <c r="BL120" i="29"/>
  <c r="BL204" i="29" s="1"/>
  <c r="AV225" i="29"/>
  <c r="BI208" i="29"/>
  <c r="AN120" i="29"/>
  <c r="BK207" i="29"/>
  <c r="BL240" i="29"/>
  <c r="BM235" i="29"/>
  <c r="AN122" i="29"/>
  <c r="AN206" i="29" s="1"/>
  <c r="BL121" i="29"/>
  <c r="BL205" i="29" s="1"/>
  <c r="AM213" i="29"/>
  <c r="AG221" i="29"/>
  <c r="AG170" i="29"/>
  <c r="AH138" i="29"/>
  <c r="AH221" i="29" s="1"/>
  <c r="AH224" i="29" s="1"/>
  <c r="AH225" i="29" s="1"/>
  <c r="AG140" i="29"/>
  <c r="AG141" i="29" s="1"/>
  <c r="BN138" i="29"/>
  <c r="BO138" i="29" s="1"/>
  <c r="AM128" i="29"/>
  <c r="AK128" i="29"/>
  <c r="AO135" i="29"/>
  <c r="AO218" i="29" s="1"/>
  <c r="BK135" i="29"/>
  <c r="AK204" i="29"/>
  <c r="BM221" i="29"/>
  <c r="AO119" i="29"/>
  <c r="AO203" i="29" s="1"/>
  <c r="AJ263" i="29"/>
  <c r="AK256" i="29"/>
  <c r="AM256" i="29" s="1"/>
  <c r="AJ212" i="29"/>
  <c r="AK212" i="29" s="1"/>
  <c r="BI218" i="29"/>
  <c r="BI224" i="29" s="1"/>
  <c r="AN130" i="29"/>
  <c r="AN213" i="29" s="1"/>
  <c r="AU224" i="29"/>
  <c r="AW218" i="29"/>
  <c r="AW224" i="29" s="1"/>
  <c r="BM136" i="29"/>
  <c r="BL123" i="29"/>
  <c r="BI139" i="29"/>
  <c r="BK139" i="29"/>
  <c r="AO261" i="29"/>
  <c r="AP254" i="29"/>
  <c r="AN123" i="29"/>
  <c r="AN218" i="29"/>
  <c r="AW21" i="104"/>
  <c r="AW26" i="104" s="1"/>
  <c r="BC131" i="104" s="1"/>
  <c r="AS43" i="104"/>
  <c r="AS45" i="104" s="1"/>
  <c r="AS46" i="104" s="1"/>
  <c r="AS115" i="104" s="1"/>
  <c r="AS154" i="104" s="1"/>
  <c r="AS26" i="104"/>
  <c r="AS28" i="104"/>
  <c r="AT43" i="104"/>
  <c r="AT26" i="104"/>
  <c r="AT28" i="104"/>
  <c r="BA131" i="104"/>
  <c r="AU27" i="104"/>
  <c r="BA163" i="104"/>
  <c r="AU107" i="104"/>
  <c r="O22" i="104"/>
  <c r="O21" i="104" s="1"/>
  <c r="P21" i="104"/>
  <c r="P43" i="104" s="1"/>
  <c r="AU45" i="104"/>
  <c r="AU46" i="104" s="1"/>
  <c r="AU115" i="104" s="1"/>
  <c r="AU154" i="104" s="1"/>
  <c r="AG43" i="104"/>
  <c r="AK43" i="104" s="1"/>
  <c r="AK21" i="104"/>
  <c r="J22" i="104"/>
  <c r="K21" i="104"/>
  <c r="K43" i="104" s="1"/>
  <c r="D22" i="104"/>
  <c r="E21" i="104"/>
  <c r="E43" i="104" s="1"/>
  <c r="AN96" i="51"/>
  <c r="AP96" i="51"/>
  <c r="AH96" i="51"/>
  <c r="BF11" i="104"/>
  <c r="AT96" i="51"/>
  <c r="AV96" i="51"/>
  <c r="AU96" i="51"/>
  <c r="AM96" i="51"/>
  <c r="BK11" i="104"/>
  <c r="BA96" i="51"/>
  <c r="BB96" i="51"/>
  <c r="AO96" i="51"/>
  <c r="AI96" i="51"/>
  <c r="AM12" i="104"/>
  <c r="AZ96" i="51"/>
  <c r="M82" i="104"/>
  <c r="AQ19" i="104"/>
  <c r="AM26" i="104"/>
  <c r="AH34" i="104"/>
  <c r="AI33" i="104"/>
  <c r="AI44" i="104" s="1"/>
  <c r="AD31" i="104"/>
  <c r="AC32" i="104"/>
  <c r="AW44" i="104"/>
  <c r="AI31" i="104"/>
  <c r="AH32" i="104"/>
  <c r="M20" i="104"/>
  <c r="R20" i="104"/>
  <c r="BC114" i="104"/>
  <c r="AH19" i="104"/>
  <c r="AG20" i="104"/>
  <c r="AG19" i="104" s="1"/>
  <c r="AQ21" i="104"/>
  <c r="AM43" i="104"/>
  <c r="AM28" i="104"/>
  <c r="AD26" i="104"/>
  <c r="BA36" i="104"/>
  <c r="BB35" i="104"/>
  <c r="BB40" i="104" s="1"/>
  <c r="AJ45" i="104"/>
  <c r="AJ46" i="104" s="1"/>
  <c r="E82" i="104"/>
  <c r="S32" i="104"/>
  <c r="X32" i="104"/>
  <c r="CG88" i="104"/>
  <c r="AJ81" i="104"/>
  <c r="AJ85" i="104" s="1"/>
  <c r="AB82" i="104"/>
  <c r="W20" i="104"/>
  <c r="X19" i="104"/>
  <c r="AD33" i="104"/>
  <c r="AD44" i="104" s="1"/>
  <c r="AC34" i="104"/>
  <c r="V43" i="104"/>
  <c r="AY109" i="104"/>
  <c r="AY108" i="104"/>
  <c r="AP131" i="104"/>
  <c r="AO45" i="104"/>
  <c r="AO46" i="104" s="1"/>
  <c r="AI26" i="104"/>
  <c r="AN43" i="104"/>
  <c r="AB20" i="104"/>
  <c r="AC19" i="104"/>
  <c r="AZ109" i="104"/>
  <c r="AZ108" i="104"/>
  <c r="BF157" i="104"/>
  <c r="BF132" i="104"/>
  <c r="AB43" i="104"/>
  <c r="AT81" i="104"/>
  <c r="AT85" i="104" s="1"/>
  <c r="AE21" i="104"/>
  <c r="AA43" i="104"/>
  <c r="AW31" i="104"/>
  <c r="Y21" i="104"/>
  <c r="U43" i="104"/>
  <c r="AM32" i="104"/>
  <c r="AM31" i="104" s="1"/>
  <c r="AM81" i="104" s="1"/>
  <c r="AM85" i="104" s="1"/>
  <c r="AN31" i="104"/>
  <c r="X34" i="104"/>
  <c r="S34" i="104"/>
  <c r="AO81" i="104"/>
  <c r="AO85" i="104" s="1"/>
  <c r="AM34" i="104"/>
  <c r="AM33" i="104" s="1"/>
  <c r="AN33" i="104"/>
  <c r="AN44" i="104" s="1"/>
  <c r="AG82" i="104"/>
  <c r="CD129" i="104"/>
  <c r="BX40" i="104"/>
  <c r="BW129" i="104"/>
  <c r="AP107" i="112" l="1"/>
  <c r="AI266" i="29"/>
  <c r="AI269" i="29" s="1"/>
  <c r="AZ128" i="104"/>
  <c r="BA128" i="104"/>
  <c r="AY147" i="104"/>
  <c r="AU82" i="51"/>
  <c r="AU83" i="51" s="1"/>
  <c r="AU86" i="51" s="1"/>
  <c r="AU85" i="51" s="1"/>
  <c r="AU101" i="51" s="1"/>
  <c r="AU103" i="51" s="1"/>
  <c r="BA82" i="51"/>
  <c r="BA83" i="51" s="1"/>
  <c r="BA86" i="51" s="1"/>
  <c r="BA85" i="51" s="1"/>
  <c r="BA101" i="51" s="1"/>
  <c r="BA103" i="51" s="1"/>
  <c r="BC126" i="104"/>
  <c r="AZ147" i="104"/>
  <c r="AV82" i="51"/>
  <c r="AV83" i="51" s="1"/>
  <c r="AV86" i="51" s="1"/>
  <c r="AV85" i="51" s="1"/>
  <c r="AV101" i="51" s="1"/>
  <c r="AV103" i="51" s="1"/>
  <c r="AK79" i="104"/>
  <c r="AK167" i="104" s="1"/>
  <c r="R79" i="104"/>
  <c r="Q80" i="104"/>
  <c r="AA80" i="104"/>
  <c r="AA79" i="104" s="1"/>
  <c r="AB79" i="104"/>
  <c r="L80" i="104"/>
  <c r="G80" i="104"/>
  <c r="F80" i="104" s="1"/>
  <c r="W79" i="104"/>
  <c r="V80" i="104"/>
  <c r="AL127" i="112"/>
  <c r="AL135" i="112" s="1"/>
  <c r="AP87" i="112"/>
  <c r="BF163" i="104"/>
  <c r="AT131" i="104"/>
  <c r="AV131" i="51"/>
  <c r="AQ134" i="51"/>
  <c r="AJ134" i="112"/>
  <c r="AP109" i="112"/>
  <c r="AP88" i="112" s="1"/>
  <c r="BF116" i="104"/>
  <c r="BF117" i="104"/>
  <c r="BF118" i="104" s="1"/>
  <c r="BF74" i="104"/>
  <c r="BF85" i="104" s="1"/>
  <c r="BF89" i="104" s="1"/>
  <c r="BB93" i="51"/>
  <c r="AQ137" i="112"/>
  <c r="AU131" i="51"/>
  <c r="BO126" i="51"/>
  <c r="BI130" i="51"/>
  <c r="AW132" i="51"/>
  <c r="AL126" i="112"/>
  <c r="AL134" i="112" s="1"/>
  <c r="AP126" i="112"/>
  <c r="V38" i="112"/>
  <c r="W133" i="51"/>
  <c r="AO72" i="112"/>
  <c r="AO110" i="112"/>
  <c r="AZ80" i="51"/>
  <c r="AZ81" i="51" s="1"/>
  <c r="AO68" i="112"/>
  <c r="AO102" i="112"/>
  <c r="X122" i="51"/>
  <c r="X121" i="51" s="1"/>
  <c r="W122" i="51"/>
  <c r="W121" i="51" s="1"/>
  <c r="V122" i="51"/>
  <c r="V121" i="51" s="1"/>
  <c r="S122" i="51"/>
  <c r="U122" i="51"/>
  <c r="U121" i="51" s="1"/>
  <c r="AD96" i="51"/>
  <c r="AD127" i="51"/>
  <c r="AJ129" i="51" s="1"/>
  <c r="AD123" i="51"/>
  <c r="AJ132" i="51" s="1"/>
  <c r="AA13" i="112" s="1"/>
  <c r="AO132" i="51"/>
  <c r="AD13" i="112" s="1"/>
  <c r="AI98" i="51"/>
  <c r="AN132" i="51"/>
  <c r="AC13" i="112" s="1"/>
  <c r="AH98" i="51"/>
  <c r="AN127" i="112"/>
  <c r="AJ127" i="112"/>
  <c r="AJ135" i="112" s="1"/>
  <c r="AK127" i="112"/>
  <c r="AK135" i="112" s="1"/>
  <c r="AO127" i="112"/>
  <c r="AP132" i="51"/>
  <c r="AE13" i="112" s="1"/>
  <c r="AJ98" i="51"/>
  <c r="AP129" i="51"/>
  <c r="AJ128" i="51"/>
  <c r="AG98" i="51"/>
  <c r="AG128" i="51"/>
  <c r="AT131" i="51"/>
  <c r="AQ134" i="112"/>
  <c r="AN137" i="112"/>
  <c r="AP128" i="112"/>
  <c r="AL128" i="112"/>
  <c r="AL136" i="112" s="1"/>
  <c r="AS132" i="51"/>
  <c r="AF13" i="112" s="1"/>
  <c r="AP129" i="112"/>
  <c r="AL129" i="112"/>
  <c r="AL137" i="112" s="1"/>
  <c r="AQ49" i="112"/>
  <c r="AQ72" i="112"/>
  <c r="AQ110" i="112"/>
  <c r="AK126" i="112"/>
  <c r="AK134" i="112" s="1"/>
  <c r="AO126" i="112"/>
  <c r="AA127" i="51"/>
  <c r="AA123" i="51"/>
  <c r="AE121" i="51"/>
  <c r="AB96" i="51"/>
  <c r="AB127" i="51"/>
  <c r="AB123" i="51"/>
  <c r="AC127" i="51"/>
  <c r="AC123" i="51"/>
  <c r="AC96" i="51"/>
  <c r="AO129" i="51"/>
  <c r="AI128" i="51"/>
  <c r="AH128" i="51"/>
  <c r="AK129" i="112"/>
  <c r="AK137" i="112" s="1"/>
  <c r="AO129" i="112"/>
  <c r="AQ98" i="51"/>
  <c r="AW130" i="51"/>
  <c r="AQ128" i="51"/>
  <c r="AW129" i="51"/>
  <c r="AO136" i="112"/>
  <c r="AK134" i="51"/>
  <c r="AQ135" i="112"/>
  <c r="AK127" i="51"/>
  <c r="AQ129" i="51" s="1"/>
  <c r="AK123" i="51"/>
  <c r="X61" i="3"/>
  <c r="Y61" i="3" s="1"/>
  <c r="Y63" i="3"/>
  <c r="AO109" i="112"/>
  <c r="AO88" i="112" s="1"/>
  <c r="AM130" i="51"/>
  <c r="AN130" i="51"/>
  <c r="AM132" i="51"/>
  <c r="AB13" i="112" s="1"/>
  <c r="AY80" i="51"/>
  <c r="AY81" i="51" s="1"/>
  <c r="AQ32" i="3"/>
  <c r="BF148" i="104"/>
  <c r="BF149" i="104" s="1"/>
  <c r="BE83" i="51"/>
  <c r="BI82" i="51"/>
  <c r="BI83" i="51" s="1"/>
  <c r="BI86" i="51" s="1"/>
  <c r="BI85" i="51" s="1"/>
  <c r="BI101" i="51" s="1"/>
  <c r="BI103" i="51" s="1"/>
  <c r="BI104" i="51" s="1"/>
  <c r="BE162" i="3"/>
  <c r="J171" i="104"/>
  <c r="BL107" i="104"/>
  <c r="BL163" i="104"/>
  <c r="BL131" i="104"/>
  <c r="BF131" i="104"/>
  <c r="BF107" i="104"/>
  <c r="BN221" i="29"/>
  <c r="BO221" i="29" s="1"/>
  <c r="BH224" i="29"/>
  <c r="BK222" i="29"/>
  <c r="BN159" i="29"/>
  <c r="BH128" i="29" s="1"/>
  <c r="BI140" i="29"/>
  <c r="BI141" i="29" s="1"/>
  <c r="AM212" i="29"/>
  <c r="AW225" i="29"/>
  <c r="AM211" i="29"/>
  <c r="AY128" i="104"/>
  <c r="AN28" i="104"/>
  <c r="F143" i="104"/>
  <c r="F144" i="104" s="1"/>
  <c r="U143" i="104"/>
  <c r="U144" i="104" s="1"/>
  <c r="E144" i="104"/>
  <c r="AQ11" i="104"/>
  <c r="AQ12" i="104" s="1"/>
  <c r="AB11" i="104"/>
  <c r="AB12" i="104" s="1"/>
  <c r="AJ11" i="104"/>
  <c r="AJ12" i="104" s="1"/>
  <c r="AP28" i="104"/>
  <c r="AH11" i="104"/>
  <c r="AH12" i="104" s="1"/>
  <c r="AG11" i="104"/>
  <c r="AG28" i="104" s="1"/>
  <c r="AO28" i="104"/>
  <c r="BC163" i="104"/>
  <c r="BB128" i="104"/>
  <c r="BG164" i="104"/>
  <c r="BC127" i="104"/>
  <c r="BC130" i="104"/>
  <c r="AT130" i="104"/>
  <c r="BK27" i="104"/>
  <c r="BK88" i="51" s="1"/>
  <c r="CE130" i="104"/>
  <c r="BL160" i="104"/>
  <c r="AM16" i="104"/>
  <c r="BB15" i="104"/>
  <c r="AO16" i="104"/>
  <c r="AV109" i="104"/>
  <c r="AV108" i="104"/>
  <c r="AW14" i="104"/>
  <c r="BC129" i="104"/>
  <c r="AW29" i="104"/>
  <c r="BA108" i="104"/>
  <c r="BA109" i="104"/>
  <c r="BG157" i="104"/>
  <c r="BG132" i="104"/>
  <c r="AN16" i="104"/>
  <c r="AB143" i="104"/>
  <c r="AB144" i="104" s="1"/>
  <c r="AA143" i="104"/>
  <c r="X171" i="104"/>
  <c r="W171" i="104"/>
  <c r="I171" i="104"/>
  <c r="O144" i="104"/>
  <c r="S143" i="104"/>
  <c r="S144" i="104" s="1"/>
  <c r="S171" i="104" s="1"/>
  <c r="BG118" i="104"/>
  <c r="Q171" i="104"/>
  <c r="P171" i="104"/>
  <c r="L171" i="104"/>
  <c r="M143" i="104"/>
  <c r="M144" i="104" s="1"/>
  <c r="M171" i="104" s="1"/>
  <c r="C171" i="104"/>
  <c r="R171" i="104"/>
  <c r="BL148" i="104"/>
  <c r="BL149" i="104" s="1"/>
  <c r="BL110" i="104"/>
  <c r="BQ126" i="104"/>
  <c r="AQ130" i="112"/>
  <c r="AQ138" i="112" s="1"/>
  <c r="BR127" i="104"/>
  <c r="BR128" i="104"/>
  <c r="BQ14" i="104"/>
  <c r="BQ125" i="104"/>
  <c r="BQ115" i="104"/>
  <c r="BH51" i="104"/>
  <c r="BH105" i="51" s="1"/>
  <c r="BH109" i="104"/>
  <c r="BH108" i="104"/>
  <c r="BH147" i="104" s="1"/>
  <c r="BH26" i="104"/>
  <c r="BX150" i="104"/>
  <c r="BR152" i="104"/>
  <c r="BR153" i="104" s="1"/>
  <c r="BS16" i="104"/>
  <c r="BS15" i="104"/>
  <c r="BR27" i="104"/>
  <c r="BR88" i="51" s="1"/>
  <c r="BX158" i="104"/>
  <c r="BX133" i="104"/>
  <c r="BX151" i="104"/>
  <c r="BX114" i="104"/>
  <c r="BX113" i="104"/>
  <c r="CD16" i="104"/>
  <c r="CD15" i="104"/>
  <c r="BX14" i="104"/>
  <c r="BX115" i="104"/>
  <c r="BX125" i="104"/>
  <c r="BM157" i="104"/>
  <c r="BM132" i="104"/>
  <c r="BM109" i="104"/>
  <c r="BM108" i="104"/>
  <c r="BM147" i="104" s="1"/>
  <c r="BM51" i="104"/>
  <c r="BM105" i="51" s="1"/>
  <c r="BM26" i="104"/>
  <c r="BX126" i="104"/>
  <c r="BL159" i="104"/>
  <c r="BL117" i="104"/>
  <c r="BL134" i="104"/>
  <c r="BL120" i="104"/>
  <c r="BL116" i="104"/>
  <c r="BY130" i="104"/>
  <c r="BW15" i="104"/>
  <c r="BW16" i="104"/>
  <c r="BS129" i="104"/>
  <c r="BM219" i="29"/>
  <c r="AK205" i="29"/>
  <c r="AK208" i="29" s="1"/>
  <c r="AJ208" i="29"/>
  <c r="AO123" i="29"/>
  <c r="AO207" i="29" s="1"/>
  <c r="BM123" i="29"/>
  <c r="AM263" i="29"/>
  <c r="AN256" i="29"/>
  <c r="BL135" i="29"/>
  <c r="BL218" i="29" s="1"/>
  <c r="BK140" i="29"/>
  <c r="BK141" i="29" s="1"/>
  <c r="AO120" i="29"/>
  <c r="AO204" i="29" s="1"/>
  <c r="AN207" i="29"/>
  <c r="BL207" i="29"/>
  <c r="BL208" i="29" s="1"/>
  <c r="AN128" i="29"/>
  <c r="AN212" i="29" s="1"/>
  <c r="AK170" i="29"/>
  <c r="AK172" i="29" s="1"/>
  <c r="AG172" i="29"/>
  <c r="BM121" i="29"/>
  <c r="AN204" i="29"/>
  <c r="AJ264" i="29"/>
  <c r="AK264" i="29" s="1"/>
  <c r="AK257" i="29"/>
  <c r="AM257" i="29" s="1"/>
  <c r="AO139" i="29"/>
  <c r="AO222" i="29" s="1"/>
  <c r="AP261" i="29"/>
  <c r="AQ261" i="29" s="1"/>
  <c r="AQ254" i="29"/>
  <c r="AS254" i="29" s="1"/>
  <c r="AO130" i="29"/>
  <c r="AP213" i="29" s="1"/>
  <c r="BK218" i="29"/>
  <c r="AG224" i="29"/>
  <c r="AG225" i="29" s="1"/>
  <c r="AO122" i="29"/>
  <c r="AO206" i="29" s="1"/>
  <c r="AJ215" i="29"/>
  <c r="AK211" i="29"/>
  <c r="AK215" i="29" s="1"/>
  <c r="AN222" i="29"/>
  <c r="AU225" i="29"/>
  <c r="BN122" i="29"/>
  <c r="AK263" i="29"/>
  <c r="BL139" i="29"/>
  <c r="BL222" i="29" s="1"/>
  <c r="BQ138" i="29"/>
  <c r="BM240" i="29"/>
  <c r="BN235" i="29"/>
  <c r="BM206" i="29"/>
  <c r="AK121" i="29"/>
  <c r="AJ124" i="29"/>
  <c r="BK208" i="29"/>
  <c r="BM119" i="29"/>
  <c r="BM203" i="29" s="1"/>
  <c r="BL124" i="29"/>
  <c r="AP135" i="29"/>
  <c r="AP218" i="29" s="1"/>
  <c r="BM120" i="29"/>
  <c r="AN127" i="29"/>
  <c r="AN211" i="29" s="1"/>
  <c r="AM132" i="29"/>
  <c r="AM121" i="29" s="1"/>
  <c r="AJ265" i="29"/>
  <c r="AK265" i="29" s="1"/>
  <c r="AK258" i="29"/>
  <c r="AM258" i="29" s="1"/>
  <c r="BM163" i="29"/>
  <c r="BM164" i="29" s="1"/>
  <c r="AP119" i="29"/>
  <c r="AI138" i="29"/>
  <c r="AI221" i="29" s="1"/>
  <c r="AI224" i="29" s="1"/>
  <c r="AI225" i="29" s="1"/>
  <c r="AH140" i="29"/>
  <c r="AH141" i="29" s="1"/>
  <c r="BN137" i="29"/>
  <c r="O43" i="104"/>
  <c r="S43" i="104" s="1"/>
  <c r="S21" i="104"/>
  <c r="AW28" i="104"/>
  <c r="AT27" i="104"/>
  <c r="AZ131" i="104"/>
  <c r="AT107" i="104"/>
  <c r="AZ163" i="104"/>
  <c r="AS107" i="104"/>
  <c r="AY131" i="104"/>
  <c r="AS27" i="104"/>
  <c r="AY163" i="104"/>
  <c r="I22" i="104"/>
  <c r="I21" i="104" s="1"/>
  <c r="J21" i="104"/>
  <c r="J43" i="104" s="1"/>
  <c r="AT45" i="104"/>
  <c r="AW45" i="104" s="1"/>
  <c r="AW43" i="104"/>
  <c r="C22" i="104"/>
  <c r="C21" i="104" s="1"/>
  <c r="D21" i="104"/>
  <c r="D43" i="104" s="1"/>
  <c r="AW27" i="104"/>
  <c r="AW107" i="104"/>
  <c r="BA132" i="104"/>
  <c r="BA157" i="104"/>
  <c r="AU108" i="104"/>
  <c r="AU109" i="104"/>
  <c r="BR11" i="104"/>
  <c r="BG11" i="104"/>
  <c r="BI11" i="104" s="1"/>
  <c r="AQ96" i="51"/>
  <c r="BM11" i="104"/>
  <c r="BL11" i="104"/>
  <c r="AS96" i="51"/>
  <c r="AW96" i="51"/>
  <c r="AY96" i="51"/>
  <c r="BE119" i="51"/>
  <c r="AI28" i="104"/>
  <c r="G82" i="104"/>
  <c r="Y43" i="104"/>
  <c r="V20" i="104"/>
  <c r="W19" i="104"/>
  <c r="AW81" i="104"/>
  <c r="AW85" i="104" s="1"/>
  <c r="AW36" i="104"/>
  <c r="AW40" i="104"/>
  <c r="AE43" i="104"/>
  <c r="V82" i="104"/>
  <c r="W32" i="104"/>
  <c r="X31" i="104"/>
  <c r="AB32" i="104"/>
  <c r="AC31" i="104"/>
  <c r="AA82" i="104"/>
  <c r="AM44" i="104"/>
  <c r="AQ44" i="104" s="1"/>
  <c r="AQ33" i="104"/>
  <c r="AZ148" i="104"/>
  <c r="AZ149" i="104" s="1"/>
  <c r="AZ110" i="104"/>
  <c r="AC26" i="104"/>
  <c r="M32" i="104"/>
  <c r="R32" i="104"/>
  <c r="AD81" i="104"/>
  <c r="AD85" i="104" s="1"/>
  <c r="AN81" i="104"/>
  <c r="AN85" i="104" s="1"/>
  <c r="W34" i="104"/>
  <c r="X33" i="104"/>
  <c r="X44" i="104" s="1"/>
  <c r="AZ36" i="104"/>
  <c r="BA35" i="104"/>
  <c r="BA40" i="104" s="1"/>
  <c r="BA93" i="51" s="1"/>
  <c r="AA20" i="104"/>
  <c r="AA19" i="104" s="1"/>
  <c r="AB19" i="104"/>
  <c r="AB34" i="104"/>
  <c r="AC33" i="104"/>
  <c r="AC44" i="104" s="1"/>
  <c r="AQ43" i="104"/>
  <c r="AG32" i="104"/>
  <c r="AG31" i="104" s="1"/>
  <c r="AG81" i="104" s="1"/>
  <c r="AG85" i="104" s="1"/>
  <c r="AH31" i="104"/>
  <c r="AI45" i="104"/>
  <c r="AI46" i="104" s="1"/>
  <c r="AN45" i="104"/>
  <c r="AN46" i="104" s="1"/>
  <c r="AY148" i="104"/>
  <c r="AY149" i="104" s="1"/>
  <c r="AY110" i="104"/>
  <c r="AD45" i="104"/>
  <c r="AD46" i="104" s="1"/>
  <c r="AI81" i="104"/>
  <c r="AI85" i="104" s="1"/>
  <c r="AH33" i="104"/>
  <c r="AH44" i="104" s="1"/>
  <c r="AG34" i="104"/>
  <c r="AG33" i="104" s="1"/>
  <c r="BB114" i="104"/>
  <c r="BH158" i="104"/>
  <c r="BH133" i="104"/>
  <c r="AO131" i="104"/>
  <c r="AJ131" i="104"/>
  <c r="AK19" i="104"/>
  <c r="AK26" i="104" s="1"/>
  <c r="AG26" i="104"/>
  <c r="Q20" i="104"/>
  <c r="R19" i="104"/>
  <c r="AS131" i="104"/>
  <c r="M34" i="104"/>
  <c r="R34" i="104"/>
  <c r="X26" i="104"/>
  <c r="AQ31" i="104"/>
  <c r="AH26" i="104"/>
  <c r="L20" i="104"/>
  <c r="G20" i="104"/>
  <c r="F20" i="104" s="1"/>
  <c r="AQ26" i="104"/>
  <c r="CC129" i="104"/>
  <c r="BQ130" i="104"/>
  <c r="BQ11" i="104"/>
  <c r="BX11" i="104"/>
  <c r="BQ40" i="104"/>
  <c r="BS40" i="104"/>
  <c r="BK128" i="29" l="1"/>
  <c r="AM215" i="29"/>
  <c r="AP135" i="112"/>
  <c r="BN136" i="29"/>
  <c r="BO136" i="29" s="1"/>
  <c r="BL128" i="29"/>
  <c r="BO159" i="29"/>
  <c r="BO163" i="29" s="1"/>
  <c r="BO164" i="29" s="1"/>
  <c r="AS163" i="104"/>
  <c r="AY164" i="104" s="1"/>
  <c r="AU163" i="104"/>
  <c r="BA164" i="104" s="1"/>
  <c r="AT163" i="104"/>
  <c r="AZ164" i="104" s="1"/>
  <c r="AS82" i="51"/>
  <c r="AS83" i="51" s="1"/>
  <c r="AS86" i="51" s="1"/>
  <c r="AS85" i="51" s="1"/>
  <c r="AS101" i="51" s="1"/>
  <c r="AS103" i="51" s="1"/>
  <c r="AT82" i="51"/>
  <c r="AT83" i="51" s="1"/>
  <c r="AT86" i="51" s="1"/>
  <c r="AT85" i="51" s="1"/>
  <c r="AT101" i="51" s="1"/>
  <c r="AT103" i="51" s="1"/>
  <c r="BA147" i="104"/>
  <c r="AV147" i="104"/>
  <c r="AU147" i="104"/>
  <c r="U80" i="104"/>
  <c r="U79" i="104" s="1"/>
  <c r="V79" i="104"/>
  <c r="F79" i="104"/>
  <c r="E80" i="104"/>
  <c r="K80" i="104"/>
  <c r="L79" i="104"/>
  <c r="P80" i="104"/>
  <c r="Q79" i="104"/>
  <c r="AE79" i="104"/>
  <c r="AM131" i="104"/>
  <c r="AU49" i="112"/>
  <c r="BL164" i="104"/>
  <c r="BF164" i="104"/>
  <c r="AO49" i="112"/>
  <c r="AS49" i="112"/>
  <c r="AO135" i="112"/>
  <c r="AN131" i="51"/>
  <c r="BF121" i="104"/>
  <c r="AS131" i="51"/>
  <c r="AS129" i="104" s="1"/>
  <c r="AS130" i="104"/>
  <c r="BB91" i="51"/>
  <c r="BB92" i="51" s="1"/>
  <c r="BB94" i="51"/>
  <c r="BA91" i="51"/>
  <c r="BA92" i="51" s="1"/>
  <c r="BA94" i="51"/>
  <c r="AY87" i="51"/>
  <c r="AZ87" i="51"/>
  <c r="AZ88" i="51"/>
  <c r="AP137" i="112"/>
  <c r="AP134" i="112"/>
  <c r="AO131" i="51"/>
  <c r="AO129" i="104" s="1"/>
  <c r="AM131" i="51"/>
  <c r="AP131" i="51"/>
  <c r="U38" i="112"/>
  <c r="V133" i="51"/>
  <c r="AG132" i="51"/>
  <c r="X13" i="112" s="1"/>
  <c r="BA80" i="51"/>
  <c r="AY88" i="51"/>
  <c r="AQ130" i="51"/>
  <c r="AK98" i="51"/>
  <c r="AK128" i="51"/>
  <c r="AW131" i="51"/>
  <c r="AO137" i="112"/>
  <c r="AI132" i="51"/>
  <c r="Z13" i="112" s="1"/>
  <c r="AC98" i="51"/>
  <c r="AH132" i="51"/>
  <c r="Y13" i="112" s="1"/>
  <c r="AB98" i="51"/>
  <c r="AE127" i="51"/>
  <c r="AE123" i="51"/>
  <c r="AG129" i="51"/>
  <c r="AA128" i="51"/>
  <c r="AO134" i="112"/>
  <c r="AQ132" i="51"/>
  <c r="AP136" i="112"/>
  <c r="AG130" i="112"/>
  <c r="AC130" i="112"/>
  <c r="AN135" i="112"/>
  <c r="AH130" i="51"/>
  <c r="AI130" i="51"/>
  <c r="AD128" i="51"/>
  <c r="U127" i="51"/>
  <c r="Y121" i="51"/>
  <c r="U123" i="51"/>
  <c r="AA130" i="51" s="1"/>
  <c r="V127" i="51"/>
  <c r="V123" i="51"/>
  <c r="X127" i="51"/>
  <c r="X123" i="51"/>
  <c r="AD130" i="51" s="1"/>
  <c r="AP103" i="112"/>
  <c r="AP85" i="112" s="1"/>
  <c r="AO103" i="112"/>
  <c r="AO85" i="112" s="1"/>
  <c r="AS41" i="112"/>
  <c r="AO41" i="112"/>
  <c r="AP49" i="112"/>
  <c r="AP72" i="112"/>
  <c r="AP110" i="112"/>
  <c r="AQ111" i="112" s="1"/>
  <c r="AQ89" i="112" s="1"/>
  <c r="BC96" i="51"/>
  <c r="AI129" i="51"/>
  <c r="AC128" i="51"/>
  <c r="AH129" i="51"/>
  <c r="AB128" i="51"/>
  <c r="AA98" i="51"/>
  <c r="AG130" i="51"/>
  <c r="AJ130" i="51"/>
  <c r="AJ131" i="51" s="1"/>
  <c r="AD98" i="51"/>
  <c r="M122" i="51"/>
  <c r="Q122" i="51"/>
  <c r="Q121" i="51" s="1"/>
  <c r="O122" i="51"/>
  <c r="O121" i="51" s="1"/>
  <c r="P122" i="51"/>
  <c r="P121" i="51" s="1"/>
  <c r="R122" i="51"/>
  <c r="R121" i="51" s="1"/>
  <c r="W127" i="51"/>
  <c r="W123" i="51"/>
  <c r="R14" i="112"/>
  <c r="AC134" i="51"/>
  <c r="AV80" i="51"/>
  <c r="AV88" i="51" s="1"/>
  <c r="BE163" i="3"/>
  <c r="AU80" i="51"/>
  <c r="BE133" i="51"/>
  <c r="BE118" i="51"/>
  <c r="BI162" i="3"/>
  <c r="BK51" i="104"/>
  <c r="BK105" i="51" s="1"/>
  <c r="AT129" i="104"/>
  <c r="AP16" i="104"/>
  <c r="AV130" i="104"/>
  <c r="AO213" i="29"/>
  <c r="AQ213" i="29" s="1"/>
  <c r="BL224" i="29"/>
  <c r="BN163" i="29"/>
  <c r="BN164" i="29" s="1"/>
  <c r="AO130" i="104"/>
  <c r="Y143" i="104"/>
  <c r="Y144" i="104" s="1"/>
  <c r="Y171" i="104" s="1"/>
  <c r="F171" i="104"/>
  <c r="U171" i="104"/>
  <c r="BB113" i="104"/>
  <c r="BB150" i="104" s="1"/>
  <c r="BH151" i="104" s="1"/>
  <c r="AG12" i="104"/>
  <c r="G143" i="104"/>
  <c r="G144" i="104" s="1"/>
  <c r="G171" i="104" s="1"/>
  <c r="E171" i="104"/>
  <c r="AU130" i="104"/>
  <c r="AD11" i="104"/>
  <c r="AD12" i="104" s="1"/>
  <c r="AC11" i="104"/>
  <c r="AC12" i="104" s="1"/>
  <c r="AA11" i="104"/>
  <c r="AA12" i="104" s="1"/>
  <c r="AK11" i="104"/>
  <c r="AK12" i="104" s="1"/>
  <c r="AJ28" i="104"/>
  <c r="AH28" i="104"/>
  <c r="AQ28" i="104"/>
  <c r="AT126" i="104"/>
  <c r="BC128" i="104"/>
  <c r="AU126" i="104"/>
  <c r="BN219" i="29"/>
  <c r="BO219" i="29" s="1"/>
  <c r="AO130" i="112"/>
  <c r="AO138" i="112" s="1"/>
  <c r="AS126" i="104"/>
  <c r="BG160" i="104"/>
  <c r="AP15" i="104"/>
  <c r="AN15" i="104"/>
  <c r="BA148" i="104"/>
  <c r="BA149" i="104" s="1"/>
  <c r="BA110" i="104"/>
  <c r="AV148" i="104"/>
  <c r="AV149" i="104" s="1"/>
  <c r="AV110" i="104"/>
  <c r="BB29" i="104"/>
  <c r="BB125" i="104"/>
  <c r="BB115" i="104"/>
  <c r="BB154" i="104" s="1"/>
  <c r="BB107" i="104"/>
  <c r="BB27" i="104"/>
  <c r="BB14" i="104"/>
  <c r="BH125" i="104"/>
  <c r="BC15" i="104"/>
  <c r="AI16" i="104"/>
  <c r="AM15" i="104"/>
  <c r="AW46" i="104"/>
  <c r="AW115" i="104" s="1"/>
  <c r="AW154" i="104" s="1"/>
  <c r="AA144" i="104"/>
  <c r="AE143" i="104"/>
  <c r="AE144" i="104" s="1"/>
  <c r="AE171" i="104" s="1"/>
  <c r="AB171" i="104"/>
  <c r="O171" i="104"/>
  <c r="BM148" i="104"/>
  <c r="BM149" i="104" s="1"/>
  <c r="BM110" i="104"/>
  <c r="CD150" i="104"/>
  <c r="CD152" i="104" s="1"/>
  <c r="BX152" i="104"/>
  <c r="BX153" i="104" s="1"/>
  <c r="BW126" i="104"/>
  <c r="BL118" i="104"/>
  <c r="BX161" i="104"/>
  <c r="BH107" i="104"/>
  <c r="BH131" i="104"/>
  <c r="BH163" i="104"/>
  <c r="BW14" i="104"/>
  <c r="BW125" i="104"/>
  <c r="BW115" i="104"/>
  <c r="BM160" i="104"/>
  <c r="BY129" i="104"/>
  <c r="CD14" i="104"/>
  <c r="CD125" i="104"/>
  <c r="CD40" i="104"/>
  <c r="CD115" i="104"/>
  <c r="BS14" i="104"/>
  <c r="BS125" i="104"/>
  <c r="BS115" i="104"/>
  <c r="BK109" i="104"/>
  <c r="BK108" i="104"/>
  <c r="BK147" i="104" s="1"/>
  <c r="BK26" i="104"/>
  <c r="BQ150" i="104"/>
  <c r="BQ113" i="104"/>
  <c r="BQ133" i="104"/>
  <c r="BQ114" i="104"/>
  <c r="BQ158" i="104"/>
  <c r="BM107" i="104"/>
  <c r="BM131" i="104"/>
  <c r="BM163" i="104"/>
  <c r="BH148" i="104"/>
  <c r="BH149" i="104" s="1"/>
  <c r="BH110" i="104"/>
  <c r="BQ127" i="104"/>
  <c r="BQ128" i="104"/>
  <c r="CC16" i="104"/>
  <c r="CC15" i="104"/>
  <c r="BX128" i="104"/>
  <c r="BX127" i="104"/>
  <c r="BM116" i="104"/>
  <c r="BM117" i="104"/>
  <c r="BM159" i="104"/>
  <c r="BM134" i="104"/>
  <c r="BM120" i="104"/>
  <c r="BH116" i="104"/>
  <c r="BH117" i="104"/>
  <c r="BX27" i="104"/>
  <c r="BX88" i="51" s="1"/>
  <c r="CD126" i="104"/>
  <c r="BS114" i="104"/>
  <c r="BS126" i="104"/>
  <c r="BS158" i="104"/>
  <c r="BS150" i="104"/>
  <c r="BS133" i="104"/>
  <c r="BS113" i="104"/>
  <c r="BY15" i="104"/>
  <c r="BY16" i="104"/>
  <c r="BR108" i="104"/>
  <c r="BR147" i="104" s="1"/>
  <c r="BR109" i="104"/>
  <c r="BR51" i="104"/>
  <c r="BR105" i="51" s="1"/>
  <c r="BR157" i="104"/>
  <c r="BR132" i="104"/>
  <c r="BR26" i="104"/>
  <c r="AN258" i="29"/>
  <c r="AM265" i="29"/>
  <c r="AJ138" i="29"/>
  <c r="AJ221" i="29" s="1"/>
  <c r="AJ224" i="29" s="1"/>
  <c r="AJ225" i="29" s="1"/>
  <c r="AI140" i="29"/>
  <c r="AI141" i="29" s="1"/>
  <c r="BL212" i="29"/>
  <c r="BL215" i="29" s="1"/>
  <c r="BK132" i="29"/>
  <c r="BK143" i="29" s="1"/>
  <c r="BK302" i="29" s="1"/>
  <c r="BM139" i="29"/>
  <c r="BM222" i="29" s="1"/>
  <c r="BL140" i="29"/>
  <c r="BL141" i="29" s="1"/>
  <c r="BM135" i="29"/>
  <c r="BM218" i="29" s="1"/>
  <c r="AP123" i="29"/>
  <c r="AP207" i="29" s="1"/>
  <c r="AQ207" i="29" s="1"/>
  <c r="BH212" i="29"/>
  <c r="BH215" i="29" s="1"/>
  <c r="BH225" i="29" s="1"/>
  <c r="BG212" i="29"/>
  <c r="AM264" i="29"/>
  <c r="AN257" i="29"/>
  <c r="BL132" i="29"/>
  <c r="BL143" i="29" s="1"/>
  <c r="BL302" i="29" s="1"/>
  <c r="AN132" i="29"/>
  <c r="AN121" i="29" s="1"/>
  <c r="AN205" i="29" s="1"/>
  <c r="AN208" i="29" s="1"/>
  <c r="AO127" i="29"/>
  <c r="BN240" i="29"/>
  <c r="BQ235" i="29"/>
  <c r="BO235" i="29"/>
  <c r="BO240" i="29" s="1"/>
  <c r="AK266" i="29"/>
  <c r="AJ266" i="29"/>
  <c r="AJ269" i="29" s="1"/>
  <c r="AK269" i="29" s="1"/>
  <c r="AN263" i="29"/>
  <c r="AO256" i="29"/>
  <c r="BQ137" i="29"/>
  <c r="BO137" i="29"/>
  <c r="BI128" i="29"/>
  <c r="BH132" i="29"/>
  <c r="BH143" i="29" s="1"/>
  <c r="BH302" i="29" s="1"/>
  <c r="AN215" i="29"/>
  <c r="BO122" i="29"/>
  <c r="BQ122" i="29"/>
  <c r="BR138" i="29"/>
  <c r="BR221" i="29" s="1"/>
  <c r="AP139" i="29"/>
  <c r="AP222" i="29" s="1"/>
  <c r="AQ222" i="29" s="1"/>
  <c r="BN220" i="29"/>
  <c r="BO220" i="29" s="1"/>
  <c r="BN120" i="29"/>
  <c r="BN206" i="29"/>
  <c r="BO206" i="29" s="1"/>
  <c r="AS261" i="29"/>
  <c r="AT254" i="29"/>
  <c r="BN121" i="29"/>
  <c r="BN205" i="29" s="1"/>
  <c r="BN123" i="29"/>
  <c r="AM124" i="29"/>
  <c r="AM205" i="29"/>
  <c r="BK224" i="29"/>
  <c r="AO128" i="29"/>
  <c r="AP212" i="29" s="1"/>
  <c r="AP203" i="29"/>
  <c r="BM204" i="29"/>
  <c r="BM124" i="29"/>
  <c r="BN119" i="29"/>
  <c r="BQ221" i="29"/>
  <c r="AQ218" i="29"/>
  <c r="AP122" i="29"/>
  <c r="BM205" i="29"/>
  <c r="AP120" i="29"/>
  <c r="AP204" i="29" s="1"/>
  <c r="AQ204" i="29" s="1"/>
  <c r="BM207" i="29"/>
  <c r="BQ136" i="29"/>
  <c r="BQ219" i="29" s="1"/>
  <c r="AU148" i="104"/>
  <c r="AU149" i="104" s="1"/>
  <c r="AU110" i="104"/>
  <c r="AD131" i="104"/>
  <c r="AT46" i="104"/>
  <c r="AT115" i="104" s="1"/>
  <c r="AT154" i="104" s="1"/>
  <c r="AY157" i="104"/>
  <c r="AS109" i="104"/>
  <c r="AY132" i="104"/>
  <c r="AS108" i="104"/>
  <c r="AT108" i="104"/>
  <c r="AT109" i="104"/>
  <c r="AZ157" i="104"/>
  <c r="BF160" i="104" s="1"/>
  <c r="AZ132" i="104"/>
  <c r="AW108" i="104"/>
  <c r="AW109" i="104"/>
  <c r="C43" i="104"/>
  <c r="G43" i="104" s="1"/>
  <c r="G21" i="104"/>
  <c r="I43" i="104"/>
  <c r="M43" i="104" s="1"/>
  <c r="M21" i="104"/>
  <c r="BI9" i="104"/>
  <c r="AM130" i="104"/>
  <c r="AG16" i="104"/>
  <c r="BE12" i="104"/>
  <c r="AG96" i="51"/>
  <c r="AV129" i="104"/>
  <c r="AK96" i="51"/>
  <c r="AA96" i="51"/>
  <c r="AE96" i="51"/>
  <c r="AN130" i="112"/>
  <c r="AN138" i="112" s="1"/>
  <c r="AW49" i="112"/>
  <c r="AC45" i="104"/>
  <c r="AC46" i="104" s="1"/>
  <c r="AB31" i="104"/>
  <c r="AA32" i="104"/>
  <c r="AA31" i="104" s="1"/>
  <c r="BA114" i="104"/>
  <c r="BA113" i="104"/>
  <c r="BA150" i="104" s="1"/>
  <c r="BG158" i="104"/>
  <c r="BM161" i="104" s="1"/>
  <c r="BG133" i="104"/>
  <c r="BA51" i="104"/>
  <c r="Q32" i="104"/>
  <c r="R31" i="104"/>
  <c r="W26" i="104"/>
  <c r="AM45" i="104"/>
  <c r="AE19" i="104"/>
  <c r="AE26" i="104" s="1"/>
  <c r="AA26" i="104"/>
  <c r="AY36" i="104"/>
  <c r="AY35" i="104" s="1"/>
  <c r="AY40" i="104" s="1"/>
  <c r="AZ35" i="104"/>
  <c r="AZ40" i="104" s="1"/>
  <c r="G32" i="104"/>
  <c r="F32" i="104" s="1"/>
  <c r="L32" i="104"/>
  <c r="X81" i="104"/>
  <c r="X85" i="104" s="1"/>
  <c r="U20" i="104"/>
  <c r="U19" i="104" s="1"/>
  <c r="V19" i="104"/>
  <c r="AA34" i="104"/>
  <c r="AA33" i="104" s="1"/>
  <c r="AB33" i="104"/>
  <c r="AB44" i="104" s="1"/>
  <c r="AB26" i="104"/>
  <c r="AB28" i="104"/>
  <c r="U82" i="104"/>
  <c r="AQ131" i="104"/>
  <c r="AW131" i="104"/>
  <c r="Q34" i="104"/>
  <c r="R33" i="104"/>
  <c r="R44" i="104" s="1"/>
  <c r="R26" i="104"/>
  <c r="X45" i="104"/>
  <c r="X46" i="104" s="1"/>
  <c r="V32" i="104"/>
  <c r="W31" i="104"/>
  <c r="P20" i="104"/>
  <c r="Q19" i="104"/>
  <c r="AH81" i="104"/>
  <c r="AH85" i="104" s="1"/>
  <c r="L19" i="104"/>
  <c r="K20" i="104"/>
  <c r="AH45" i="104"/>
  <c r="AH46" i="104" s="1"/>
  <c r="AK31" i="104"/>
  <c r="AW113" i="104"/>
  <c r="AW150" i="104" s="1"/>
  <c r="AW114" i="104"/>
  <c r="AW51" i="104"/>
  <c r="BC158" i="104"/>
  <c r="BC133" i="104"/>
  <c r="E20" i="104"/>
  <c r="F19" i="104"/>
  <c r="AK33" i="104"/>
  <c r="AG44" i="104"/>
  <c r="V34" i="104"/>
  <c r="W33" i="104"/>
  <c r="W44" i="104" s="1"/>
  <c r="AQ81" i="104"/>
  <c r="AQ85" i="104" s="1"/>
  <c r="AI131" i="104"/>
  <c r="AQ36" i="104"/>
  <c r="AK36" i="104" s="1"/>
  <c r="AE36" i="104" s="1"/>
  <c r="Y36" i="104" s="1"/>
  <c r="S36" i="104" s="1"/>
  <c r="M36" i="104" s="1"/>
  <c r="G36" i="104" s="1"/>
  <c r="AV36" i="104"/>
  <c r="G34" i="104"/>
  <c r="F34" i="104" s="1"/>
  <c r="L34" i="104"/>
  <c r="P82" i="104"/>
  <c r="AN131" i="104"/>
  <c r="AK131" i="104"/>
  <c r="AC81" i="104"/>
  <c r="AC85" i="104" s="1"/>
  <c r="U11" i="104"/>
  <c r="V11" i="104"/>
  <c r="V12" i="104" s="1"/>
  <c r="CE129" i="104"/>
  <c r="CD11" i="104"/>
  <c r="BY40" i="104"/>
  <c r="BW130" i="104"/>
  <c r="BW11" i="104"/>
  <c r="BW40" i="104"/>
  <c r="AT49" i="112" l="1"/>
  <c r="AW82" i="51"/>
  <c r="AW83" i="51" s="1"/>
  <c r="AW86" i="51" s="1"/>
  <c r="AW85" i="51" s="1"/>
  <c r="AW101" i="51" s="1"/>
  <c r="AW103" i="51" s="1"/>
  <c r="AS125" i="104"/>
  <c r="AM163" i="104"/>
  <c r="AS164" i="104" s="1"/>
  <c r="AN27" i="104"/>
  <c r="AN82" i="51" s="1"/>
  <c r="AN83" i="51" s="1"/>
  <c r="AN86" i="51" s="1"/>
  <c r="AN85" i="51" s="1"/>
  <c r="AN101" i="51" s="1"/>
  <c r="AN103" i="51" s="1"/>
  <c r="AV163" i="104"/>
  <c r="BB164" i="104" s="1"/>
  <c r="AW147" i="104"/>
  <c r="AT147" i="104"/>
  <c r="BA151" i="3"/>
  <c r="AS147" i="104"/>
  <c r="BB82" i="51"/>
  <c r="BC82" i="51" s="1"/>
  <c r="BC83" i="51" s="1"/>
  <c r="Y79" i="104"/>
  <c r="P79" i="104"/>
  <c r="O80" i="104"/>
  <c r="O79" i="104" s="1"/>
  <c r="K79" i="104"/>
  <c r="J80" i="104"/>
  <c r="D80" i="104"/>
  <c r="E79" i="104"/>
  <c r="BL144" i="29"/>
  <c r="AP111" i="112"/>
  <c r="AP89" i="112" s="1"/>
  <c r="AK132" i="51"/>
  <c r="AG131" i="51"/>
  <c r="BA99" i="51"/>
  <c r="BA105" i="51" s="1"/>
  <c r="AH131" i="51"/>
  <c r="AZ93" i="51"/>
  <c r="AY93" i="51"/>
  <c r="BA88" i="51"/>
  <c r="AW151" i="3"/>
  <c r="AV81" i="51"/>
  <c r="BA87" i="51"/>
  <c r="AV87" i="51"/>
  <c r="BA81" i="51"/>
  <c r="AA132" i="51"/>
  <c r="T13" i="112" s="1"/>
  <c r="AI131" i="51"/>
  <c r="AQ131" i="51"/>
  <c r="U133" i="51"/>
  <c r="Y62" i="3"/>
  <c r="AC132" i="51"/>
  <c r="V13" i="112" s="1"/>
  <c r="W98" i="51"/>
  <c r="W128" i="51"/>
  <c r="P96" i="51"/>
  <c r="P127" i="51"/>
  <c r="V129" i="51" s="1"/>
  <c r="P123" i="51"/>
  <c r="Q96" i="51"/>
  <c r="Q127" i="51"/>
  <c r="W129" i="51" s="1"/>
  <c r="Q123" i="51"/>
  <c r="AD129" i="51"/>
  <c r="X128" i="51"/>
  <c r="AB130" i="51"/>
  <c r="V98" i="51"/>
  <c r="AB132" i="51"/>
  <c r="U13" i="112" s="1"/>
  <c r="AB129" i="51"/>
  <c r="V128" i="51"/>
  <c r="Y127" i="51"/>
  <c r="AE129" i="51" s="1"/>
  <c r="Y123" i="51"/>
  <c r="AE132" i="51" s="1"/>
  <c r="AA129" i="51"/>
  <c r="U128" i="51"/>
  <c r="AE128" i="51"/>
  <c r="R127" i="51"/>
  <c r="R123" i="51"/>
  <c r="R96" i="51"/>
  <c r="O127" i="51"/>
  <c r="O96" i="51"/>
  <c r="S121" i="51"/>
  <c r="O123" i="51"/>
  <c r="U130" i="51" s="1"/>
  <c r="J122" i="51"/>
  <c r="J121" i="51" s="1"/>
  <c r="I122" i="51"/>
  <c r="I121" i="51" s="1"/>
  <c r="K122" i="51"/>
  <c r="K121" i="51" s="1"/>
  <c r="L122" i="51"/>
  <c r="L121" i="51" s="1"/>
  <c r="G122" i="51"/>
  <c r="F122" i="51" s="1"/>
  <c r="AC129" i="51"/>
  <c r="X98" i="51"/>
  <c r="AD132" i="51"/>
  <c r="W13" i="112" s="1"/>
  <c r="U98" i="51"/>
  <c r="AG138" i="112"/>
  <c r="AK138" i="112"/>
  <c r="AE98" i="51"/>
  <c r="AC130" i="51"/>
  <c r="AK129" i="51"/>
  <c r="AK130" i="51"/>
  <c r="Q14" i="112"/>
  <c r="AB134" i="51"/>
  <c r="AS80" i="51"/>
  <c r="AS88" i="51" s="1"/>
  <c r="AN49" i="112"/>
  <c r="BH49" i="112" s="1"/>
  <c r="AN72" i="112"/>
  <c r="AN110" i="112"/>
  <c r="AM150" i="112"/>
  <c r="BI163" i="3"/>
  <c r="AU87" i="51"/>
  <c r="AU81" i="51"/>
  <c r="AU88" i="51"/>
  <c r="AT80" i="51"/>
  <c r="BE134" i="51"/>
  <c r="BK134" i="51"/>
  <c r="BE132" i="51"/>
  <c r="BH152" i="104"/>
  <c r="AV126" i="104"/>
  <c r="AV128" i="104" s="1"/>
  <c r="AP29" i="104"/>
  <c r="AQ16" i="104"/>
  <c r="AU129" i="104"/>
  <c r="AU127" i="104" s="1"/>
  <c r="BL225" i="29"/>
  <c r="AM266" i="29"/>
  <c r="AM269" i="29" s="1"/>
  <c r="AO212" i="29"/>
  <c r="AQ212" i="29" s="1"/>
  <c r="AP121" i="29"/>
  <c r="AP124" i="29" s="1"/>
  <c r="BQ220" i="29"/>
  <c r="AD28" i="104"/>
  <c r="AO15" i="104"/>
  <c r="W11" i="104"/>
  <c r="W12" i="104" s="1"/>
  <c r="X11" i="104"/>
  <c r="X28" i="104" s="1"/>
  <c r="AA28" i="104"/>
  <c r="AC28" i="104"/>
  <c r="AN130" i="104"/>
  <c r="AE11" i="104"/>
  <c r="AE12" i="104" s="1"/>
  <c r="BF12" i="104"/>
  <c r="AP130" i="104"/>
  <c r="AK28" i="104"/>
  <c r="AJ16" i="104"/>
  <c r="AT128" i="104"/>
  <c r="AH16" i="104"/>
  <c r="AT127" i="104"/>
  <c r="AP115" i="104"/>
  <c r="AP154" i="104" s="1"/>
  <c r="AP27" i="104"/>
  <c r="AM14" i="104"/>
  <c r="AM129" i="104"/>
  <c r="AT125" i="104"/>
  <c r="AN107" i="104"/>
  <c r="AS128" i="104"/>
  <c r="AM107" i="104"/>
  <c r="AM27" i="104"/>
  <c r="AM29" i="104"/>
  <c r="BL301" i="29"/>
  <c r="BK144" i="29"/>
  <c r="BK301" i="29" s="1"/>
  <c r="CD153" i="104"/>
  <c r="AP107" i="104"/>
  <c r="AP130" i="112"/>
  <c r="AP138" i="112" s="1"/>
  <c r="AV125" i="104"/>
  <c r="AN29" i="104"/>
  <c r="AP14" i="104"/>
  <c r="BA49" i="112"/>
  <c r="AN14" i="104"/>
  <c r="AN115" i="104"/>
  <c r="AN154" i="104" s="1"/>
  <c r="AG15" i="104"/>
  <c r="AB16" i="104"/>
  <c r="AG130" i="104"/>
  <c r="BB132" i="104"/>
  <c r="BB109" i="104"/>
  <c r="BB157" i="104"/>
  <c r="BB108" i="104"/>
  <c r="BH157" i="104"/>
  <c r="BH132" i="104"/>
  <c r="BB51" i="104"/>
  <c r="BC29" i="104"/>
  <c r="AH130" i="104"/>
  <c r="AI15" i="104"/>
  <c r="AO126" i="104"/>
  <c r="AO163" i="104"/>
  <c r="AU164" i="104" s="1"/>
  <c r="BC125" i="104"/>
  <c r="BC20" i="104"/>
  <c r="BI129" i="104"/>
  <c r="BC14" i="104"/>
  <c r="BC27" i="104"/>
  <c r="BC115" i="104"/>
  <c r="BC154" i="104" s="1"/>
  <c r="BC107" i="104"/>
  <c r="BC113" i="104"/>
  <c r="BC150" i="104" s="1"/>
  <c r="BC152" i="104" s="1"/>
  <c r="AA171" i="104"/>
  <c r="CC126" i="104"/>
  <c r="BR107" i="104"/>
  <c r="BR131" i="104"/>
  <c r="BR163" i="104"/>
  <c r="BX51" i="104"/>
  <c r="BX105" i="51" s="1"/>
  <c r="BX157" i="104"/>
  <c r="BX160" i="104" s="1"/>
  <c r="BX132" i="104"/>
  <c r="BX108" i="104"/>
  <c r="BX147" i="104" s="1"/>
  <c r="BX109" i="104"/>
  <c r="BX26" i="104"/>
  <c r="BK110" i="104"/>
  <c r="BK148" i="104"/>
  <c r="BK149" i="104" s="1"/>
  <c r="BW127" i="104"/>
  <c r="BW128" i="104"/>
  <c r="BS127" i="104"/>
  <c r="BS128" i="104"/>
  <c r="BM164" i="104"/>
  <c r="BW113" i="104"/>
  <c r="BW158" i="104"/>
  <c r="BW161" i="104" s="1"/>
  <c r="BW133" i="104"/>
  <c r="BW114" i="104"/>
  <c r="BW151" i="104"/>
  <c r="BY126" i="104"/>
  <c r="BR160" i="104"/>
  <c r="BS152" i="104"/>
  <c r="BS153" i="104" s="1"/>
  <c r="BY150" i="104"/>
  <c r="BH118" i="104"/>
  <c r="CC40" i="104"/>
  <c r="CC14" i="104"/>
  <c r="CC125" i="104"/>
  <c r="CC115" i="104"/>
  <c r="BK116" i="104"/>
  <c r="BK117" i="104"/>
  <c r="BR117" i="104"/>
  <c r="BR116" i="104"/>
  <c r="BR120" i="104"/>
  <c r="BR159" i="104"/>
  <c r="BR134" i="104"/>
  <c r="BS161" i="104"/>
  <c r="CD158" i="104"/>
  <c r="CD161" i="104" s="1"/>
  <c r="CD151" i="104"/>
  <c r="CD133" i="104"/>
  <c r="CD114" i="104"/>
  <c r="CD113" i="104"/>
  <c r="BL119" i="104"/>
  <c r="BY14" i="104"/>
  <c r="BY115" i="104"/>
  <c r="BY125" i="104"/>
  <c r="BQ27" i="104"/>
  <c r="BQ88" i="51" s="1"/>
  <c r="BY158" i="104"/>
  <c r="BY151" i="104"/>
  <c r="BY133" i="104"/>
  <c r="BY113" i="104"/>
  <c r="BY114" i="104"/>
  <c r="CD27" i="104"/>
  <c r="CD88" i="51" s="1"/>
  <c r="BS27" i="104"/>
  <c r="BS88" i="51" s="1"/>
  <c r="BR148" i="104"/>
  <c r="BR149" i="104" s="1"/>
  <c r="BR110" i="104"/>
  <c r="CD128" i="104"/>
  <c r="CD127" i="104"/>
  <c r="BK107" i="104"/>
  <c r="BM118" i="104"/>
  <c r="CE16" i="104"/>
  <c r="CE15" i="104"/>
  <c r="BW150" i="104"/>
  <c r="BQ152" i="104"/>
  <c r="BH164" i="104"/>
  <c r="BM224" i="29"/>
  <c r="AQ203" i="29"/>
  <c r="AU254" i="29"/>
  <c r="AT261" i="29"/>
  <c r="BQ206" i="29"/>
  <c r="BR137" i="29"/>
  <c r="BR220" i="29" s="1"/>
  <c r="AN264" i="29"/>
  <c r="AO257" i="29"/>
  <c r="BR136" i="29"/>
  <c r="BS159" i="29" s="1"/>
  <c r="AP206" i="29"/>
  <c r="AQ206" i="29" s="1"/>
  <c r="BQ240" i="29"/>
  <c r="BR235" i="29"/>
  <c r="BO123" i="29"/>
  <c r="BQ123" i="29"/>
  <c r="AN124" i="29"/>
  <c r="BR122" i="29"/>
  <c r="BR206" i="29" s="1"/>
  <c r="AP211" i="29"/>
  <c r="AP215" i="29" s="1"/>
  <c r="AO132" i="29"/>
  <c r="AO121" i="29" s="1"/>
  <c r="AO258" i="29"/>
  <c r="AN265" i="29"/>
  <c r="BQ119" i="29"/>
  <c r="BN124" i="29"/>
  <c r="BO119" i="29"/>
  <c r="BN207" i="29"/>
  <c r="BO207" i="29" s="1"/>
  <c r="BO120" i="29"/>
  <c r="BQ120" i="29"/>
  <c r="BI143" i="29"/>
  <c r="BI144" i="29" s="1"/>
  <c r="BH144" i="29"/>
  <c r="BH301" i="29" s="1"/>
  <c r="AO211" i="29"/>
  <c r="BM208" i="29"/>
  <c r="BN135" i="29"/>
  <c r="BN218" i="29" s="1"/>
  <c r="BM140" i="29"/>
  <c r="BM141" i="29" s="1"/>
  <c r="AM208" i="29"/>
  <c r="BN204" i="29"/>
  <c r="BO204" i="29" s="1"/>
  <c r="BK212" i="29"/>
  <c r="BI132" i="29"/>
  <c r="BG302" i="29"/>
  <c r="BG144" i="29"/>
  <c r="BG301" i="29" s="1"/>
  <c r="AK221" i="29"/>
  <c r="AK224" i="29" s="1"/>
  <c r="AK225" i="29" s="1"/>
  <c r="BS138" i="29"/>
  <c r="BS221" i="29" s="1"/>
  <c r="AO263" i="29"/>
  <c r="AP256" i="29"/>
  <c r="BO205" i="29"/>
  <c r="BN203" i="29"/>
  <c r="AM138" i="29"/>
  <c r="BO121" i="29"/>
  <c r="BQ121" i="29"/>
  <c r="BG215" i="29"/>
  <c r="BG225" i="29" s="1"/>
  <c r="BI212" i="29"/>
  <c r="BI215" i="29" s="1"/>
  <c r="BI225" i="29" s="1"/>
  <c r="BN139" i="29"/>
  <c r="AK138" i="29"/>
  <c r="AJ140" i="29"/>
  <c r="AJ141" i="29" s="1"/>
  <c r="AH131" i="104"/>
  <c r="AW110" i="104"/>
  <c r="AW148" i="104"/>
  <c r="AW149" i="104" s="1"/>
  <c r="AS110" i="104"/>
  <c r="AS148" i="104"/>
  <c r="AS149" i="104" s="1"/>
  <c r="AC131" i="104"/>
  <c r="AT148" i="104"/>
  <c r="AT149" i="104" s="1"/>
  <c r="AT110" i="104"/>
  <c r="BS11" i="104"/>
  <c r="U12" i="104"/>
  <c r="BH12" i="104"/>
  <c r="W96" i="51"/>
  <c r="AS127" i="104"/>
  <c r="AM126" i="104"/>
  <c r="AX49" i="112"/>
  <c r="L26" i="104"/>
  <c r="AY114" i="104"/>
  <c r="AY113" i="104"/>
  <c r="AY150" i="104" s="1"/>
  <c r="AY51" i="104"/>
  <c r="AE31" i="104"/>
  <c r="K34" i="104"/>
  <c r="L33" i="104"/>
  <c r="L44" i="104" s="1"/>
  <c r="AW116" i="104"/>
  <c r="AW117" i="104"/>
  <c r="AW153" i="3" s="1"/>
  <c r="AW74" i="104"/>
  <c r="Q33" i="104"/>
  <c r="Q44" i="104" s="1"/>
  <c r="P34" i="104"/>
  <c r="AU36" i="104"/>
  <c r="AP36" i="104"/>
  <c r="AV35" i="104"/>
  <c r="AV40" i="104" s="1"/>
  <c r="AV93" i="51" s="1"/>
  <c r="U32" i="104"/>
  <c r="U31" i="104" s="1"/>
  <c r="U81" i="104" s="1"/>
  <c r="U85" i="104" s="1"/>
  <c r="V31" i="104"/>
  <c r="BA116" i="104"/>
  <c r="BA74" i="104"/>
  <c r="BA117" i="104"/>
  <c r="BA153" i="3" s="1"/>
  <c r="BG159" i="104"/>
  <c r="BM162" i="104" s="1"/>
  <c r="BG134" i="104"/>
  <c r="BG120" i="104"/>
  <c r="AK35" i="104"/>
  <c r="AK40" i="104" s="1"/>
  <c r="AK81" i="104"/>
  <c r="AK85" i="104" s="1"/>
  <c r="AB45" i="104"/>
  <c r="AB46" i="104" s="1"/>
  <c r="R81" i="104"/>
  <c r="R85" i="104" s="1"/>
  <c r="F33" i="104"/>
  <c r="F44" i="104" s="1"/>
  <c r="E34" i="104"/>
  <c r="P32" i="104"/>
  <c r="Q31" i="104"/>
  <c r="AG131" i="104"/>
  <c r="F26" i="104"/>
  <c r="AQ45" i="104"/>
  <c r="AQ46" i="104" s="1"/>
  <c r="AM46" i="104"/>
  <c r="AM115" i="104" s="1"/>
  <c r="AM154" i="104" s="1"/>
  <c r="W45" i="104"/>
  <c r="W46" i="104" s="1"/>
  <c r="AB81" i="104"/>
  <c r="AB85" i="104" s="1"/>
  <c r="AK44" i="104"/>
  <c r="AG45" i="104"/>
  <c r="AK45" i="104" s="1"/>
  <c r="W81" i="104"/>
  <c r="W85" i="104" s="1"/>
  <c r="D20" i="104"/>
  <c r="E19" i="104"/>
  <c r="O82" i="104"/>
  <c r="K32" i="104"/>
  <c r="L31" i="104"/>
  <c r="Y19" i="104"/>
  <c r="Y26" i="104" s="1"/>
  <c r="U26" i="104"/>
  <c r="U28" i="104"/>
  <c r="U34" i="104"/>
  <c r="U33" i="104" s="1"/>
  <c r="V33" i="104"/>
  <c r="V44" i="104" s="1"/>
  <c r="R45" i="104"/>
  <c r="R46" i="104" s="1"/>
  <c r="AA81" i="104"/>
  <c r="AA85" i="104" s="1"/>
  <c r="E32" i="104"/>
  <c r="F31" i="104"/>
  <c r="X131" i="104"/>
  <c r="Q26" i="104"/>
  <c r="P19" i="104"/>
  <c r="O20" i="104"/>
  <c r="O19" i="104" s="1"/>
  <c r="AA44" i="104"/>
  <c r="AE33" i="104"/>
  <c r="J82" i="104"/>
  <c r="AQ35" i="104"/>
  <c r="AQ40" i="104" s="1"/>
  <c r="J20" i="104"/>
  <c r="K19" i="104"/>
  <c r="V26" i="104"/>
  <c r="V28" i="104"/>
  <c r="AZ114" i="104"/>
  <c r="AZ113" i="104"/>
  <c r="AZ150" i="104" s="1"/>
  <c r="BF158" i="104"/>
  <c r="BL161" i="104" s="1"/>
  <c r="BF133" i="104"/>
  <c r="AZ51" i="104"/>
  <c r="BG151" i="104"/>
  <c r="BG152" i="104"/>
  <c r="R11" i="104"/>
  <c r="Q11" i="104"/>
  <c r="Q12" i="104" s="1"/>
  <c r="O11" i="104"/>
  <c r="P11" i="104"/>
  <c r="P12" i="104" s="1"/>
  <c r="CC130" i="104"/>
  <c r="CC11" i="104"/>
  <c r="AM221" i="29" l="1"/>
  <c r="BB83" i="51"/>
  <c r="BB86" i="51" s="1"/>
  <c r="BB85" i="51" s="1"/>
  <c r="BB101" i="51" s="1"/>
  <c r="BB103" i="51" s="1"/>
  <c r="AN108" i="104"/>
  <c r="AT157" i="104"/>
  <c r="AZ160" i="104" s="1"/>
  <c r="BG170" i="3"/>
  <c r="AP126" i="104"/>
  <c r="BA166" i="3"/>
  <c r="AN163" i="104"/>
  <c r="AT164" i="104" s="1"/>
  <c r="AI107" i="104"/>
  <c r="AN109" i="104"/>
  <c r="AN148" i="104" s="1"/>
  <c r="AN149" i="104" s="1"/>
  <c r="AG14" i="104"/>
  <c r="AT132" i="104"/>
  <c r="AO29" i="104"/>
  <c r="AW152" i="3"/>
  <c r="BB151" i="3"/>
  <c r="AM82" i="51"/>
  <c r="AM83" i="51" s="1"/>
  <c r="AM86" i="51" s="1"/>
  <c r="AM85" i="51" s="1"/>
  <c r="AM101" i="51" s="1"/>
  <c r="AM103" i="51" s="1"/>
  <c r="AW163" i="104"/>
  <c r="BC164" i="104" s="1"/>
  <c r="BA152" i="3"/>
  <c r="BB147" i="104"/>
  <c r="AP82" i="51"/>
  <c r="AP83" i="51" s="1"/>
  <c r="AP86" i="51" s="1"/>
  <c r="AP85" i="51" s="1"/>
  <c r="AP101" i="51" s="1"/>
  <c r="AP103" i="51" s="1"/>
  <c r="D79" i="104"/>
  <c r="C80" i="104"/>
  <c r="C79" i="104" s="1"/>
  <c r="I80" i="104"/>
  <c r="I79" i="104" s="1"/>
  <c r="J79" i="104"/>
  <c r="S79" i="104"/>
  <c r="BA104" i="51"/>
  <c r="AQ36" i="112"/>
  <c r="AO36" i="112"/>
  <c r="AK131" i="51"/>
  <c r="BA100" i="51"/>
  <c r="AC131" i="51"/>
  <c r="AB131" i="51"/>
  <c r="AY91" i="51"/>
  <c r="BC93" i="51"/>
  <c r="BC94" i="51" s="1"/>
  <c r="AY94" i="51"/>
  <c r="AS81" i="51"/>
  <c r="AV91" i="51"/>
  <c r="AV94" i="51"/>
  <c r="AZ91" i="51"/>
  <c r="AZ94" i="51"/>
  <c r="AZ151" i="3"/>
  <c r="AY151" i="3"/>
  <c r="AW126" i="104"/>
  <c r="AW80" i="51"/>
  <c r="AW81" i="51" s="1"/>
  <c r="AS87" i="51"/>
  <c r="AA131" i="51"/>
  <c r="V132" i="51"/>
  <c r="Q13" i="112" s="1"/>
  <c r="L96" i="51"/>
  <c r="L127" i="51"/>
  <c r="R129" i="51" s="1"/>
  <c r="L123" i="51"/>
  <c r="R130" i="51" s="1"/>
  <c r="I127" i="51"/>
  <c r="O129" i="51" s="1"/>
  <c r="I96" i="51"/>
  <c r="M121" i="51"/>
  <c r="I123" i="51"/>
  <c r="O130" i="51" s="1"/>
  <c r="O98" i="51"/>
  <c r="X129" i="51"/>
  <c r="R128" i="51"/>
  <c r="AD131" i="51"/>
  <c r="Q128" i="51"/>
  <c r="V130" i="51"/>
  <c r="P98" i="51"/>
  <c r="W132" i="51"/>
  <c r="R13" i="112" s="1"/>
  <c r="P14" i="112"/>
  <c r="AA134" i="51"/>
  <c r="Y133" i="51"/>
  <c r="F121" i="51"/>
  <c r="E122" i="51"/>
  <c r="K96" i="51"/>
  <c r="K127" i="51"/>
  <c r="Q129" i="51" s="1"/>
  <c r="K123" i="51"/>
  <c r="Q132" i="51" s="1"/>
  <c r="N13" i="112" s="1"/>
  <c r="J96" i="51"/>
  <c r="J127" i="51"/>
  <c r="J123" i="51"/>
  <c r="S127" i="51"/>
  <c r="Y129" i="51" s="1"/>
  <c r="S96" i="51"/>
  <c r="S123" i="51"/>
  <c r="Y130" i="51" s="1"/>
  <c r="O128" i="51"/>
  <c r="X130" i="51"/>
  <c r="R98" i="51"/>
  <c r="X132" i="51"/>
  <c r="S13" i="112" s="1"/>
  <c r="U129" i="51"/>
  <c r="AE130" i="51"/>
  <c r="AE131" i="51" s="1"/>
  <c r="Y98" i="51"/>
  <c r="Y128" i="51"/>
  <c r="W130" i="51"/>
  <c r="Q98" i="51"/>
  <c r="P128" i="51"/>
  <c r="T38" i="112"/>
  <c r="AN80" i="51"/>
  <c r="AN88" i="51" s="1"/>
  <c r="AN111" i="112"/>
  <c r="AN89" i="112" s="1"/>
  <c r="AO111" i="112"/>
  <c r="AO89" i="112" s="1"/>
  <c r="AR49" i="112"/>
  <c r="BI49" i="112" s="1"/>
  <c r="AT88" i="51"/>
  <c r="AT81" i="51"/>
  <c r="AT87" i="51"/>
  <c r="AV127" i="104"/>
  <c r="AV49" i="112"/>
  <c r="AU128" i="104"/>
  <c r="AM109" i="104"/>
  <c r="AM148" i="104" s="1"/>
  <c r="AM149" i="104" s="1"/>
  <c r="AP109" i="104"/>
  <c r="AP110" i="104" s="1"/>
  <c r="AO107" i="104"/>
  <c r="W28" i="104"/>
  <c r="AJ130" i="104"/>
  <c r="AJ129" i="104"/>
  <c r="AH15" i="104"/>
  <c r="AU125" i="104"/>
  <c r="AO14" i="104"/>
  <c r="AD16" i="104"/>
  <c r="AI130" i="104"/>
  <c r="Y11" i="104"/>
  <c r="Y12" i="104" s="1"/>
  <c r="BQ207" i="29"/>
  <c r="BQ205" i="29"/>
  <c r="BQ204" i="29"/>
  <c r="AO115" i="104"/>
  <c r="AO154" i="104" s="1"/>
  <c r="AO27" i="104"/>
  <c r="AQ15" i="104"/>
  <c r="X12" i="104"/>
  <c r="AA16" i="104"/>
  <c r="AI129" i="104"/>
  <c r="AC16" i="104"/>
  <c r="AN129" i="104"/>
  <c r="AE28" i="104"/>
  <c r="AN126" i="104"/>
  <c r="AJ15" i="104"/>
  <c r="AH163" i="104"/>
  <c r="AP129" i="104"/>
  <c r="AK16" i="104"/>
  <c r="AP163" i="104"/>
  <c r="AV164" i="104" s="1"/>
  <c r="AP108" i="104"/>
  <c r="AV157" i="104"/>
  <c r="BB160" i="104" s="1"/>
  <c r="AV132" i="104"/>
  <c r="AG129" i="104"/>
  <c r="AS132" i="104"/>
  <c r="AS157" i="104"/>
  <c r="AY160" i="104" s="1"/>
  <c r="AI27" i="104"/>
  <c r="AH126" i="104"/>
  <c r="AM108" i="104"/>
  <c r="AI29" i="104"/>
  <c r="AI14" i="104"/>
  <c r="AI115" i="104"/>
  <c r="AI154" i="104" s="1"/>
  <c r="AD130" i="104"/>
  <c r="AG29" i="104"/>
  <c r="AG27" i="104"/>
  <c r="AH129" i="104"/>
  <c r="AD15" i="104"/>
  <c r="AC15" i="104"/>
  <c r="U16" i="104"/>
  <c r="AQ38" i="112"/>
  <c r="BC157" i="104"/>
  <c r="BC109" i="104"/>
  <c r="BC108" i="104"/>
  <c r="BC51" i="104"/>
  <c r="BC132" i="104"/>
  <c r="AO127" i="104"/>
  <c r="AO128" i="104"/>
  <c r="AO125" i="104"/>
  <c r="BB116" i="104"/>
  <c r="BH120" i="104"/>
  <c r="BB117" i="104"/>
  <c r="BB153" i="3" s="1"/>
  <c r="BB74" i="104"/>
  <c r="BH134" i="104"/>
  <c r="BH159" i="104"/>
  <c r="BH160" i="104"/>
  <c r="AM125" i="104"/>
  <c r="AG107" i="104"/>
  <c r="X16" i="104"/>
  <c r="AA15" i="104"/>
  <c r="W16" i="104"/>
  <c r="AB15" i="104"/>
  <c r="Q28" i="104"/>
  <c r="BB148" i="104"/>
  <c r="BB149" i="104" s="1"/>
  <c r="BB110" i="104"/>
  <c r="AB131" i="104"/>
  <c r="AG46" i="104"/>
  <c r="AG115" i="104" s="1"/>
  <c r="AG154" i="104" s="1"/>
  <c r="CC150" i="104"/>
  <c r="CC152" i="104" s="1"/>
  <c r="BW152" i="104"/>
  <c r="BW153" i="104" s="1"/>
  <c r="BY128" i="104"/>
  <c r="BY127" i="104"/>
  <c r="BX131" i="104"/>
  <c r="BX107" i="104"/>
  <c r="BX163" i="104"/>
  <c r="BX164" i="104" s="1"/>
  <c r="CC128" i="104"/>
  <c r="CC127" i="104"/>
  <c r="CD157" i="104"/>
  <c r="CD160" i="104" s="1"/>
  <c r="CD132" i="104"/>
  <c r="CD108" i="104"/>
  <c r="CD147" i="104" s="1"/>
  <c r="CD109" i="104"/>
  <c r="CD51" i="104"/>
  <c r="CD105" i="51" s="1"/>
  <c r="CD26" i="104"/>
  <c r="BQ26" i="104"/>
  <c r="BQ109" i="104"/>
  <c r="BQ51" i="104"/>
  <c r="BQ105" i="51" s="1"/>
  <c r="BQ132" i="104"/>
  <c r="BQ157" i="104"/>
  <c r="BQ108" i="104"/>
  <c r="BQ147" i="104" s="1"/>
  <c r="BX110" i="104"/>
  <c r="BX148" i="104"/>
  <c r="BX149" i="104" s="1"/>
  <c r="BR162" i="104"/>
  <c r="BW27" i="104"/>
  <c r="BW88" i="51" s="1"/>
  <c r="BK118" i="104"/>
  <c r="CC158" i="104"/>
  <c r="CC161" i="104" s="1"/>
  <c r="CC113" i="104"/>
  <c r="CC114" i="104"/>
  <c r="CC133" i="104"/>
  <c r="CC151" i="104"/>
  <c r="BX159" i="104"/>
  <c r="BX162" i="104" s="1"/>
  <c r="BX134" i="104"/>
  <c r="BX116" i="104"/>
  <c r="BX117" i="104"/>
  <c r="BX120" i="104"/>
  <c r="BY27" i="104"/>
  <c r="BY88" i="51" s="1"/>
  <c r="CE14" i="104"/>
  <c r="CE115" i="104"/>
  <c r="CE40" i="104"/>
  <c r="CE125" i="104"/>
  <c r="BM119" i="104"/>
  <c r="BS132" i="104"/>
  <c r="BS109" i="104"/>
  <c r="BS108" i="104"/>
  <c r="BS147" i="104" s="1"/>
  <c r="BS51" i="104"/>
  <c r="BS105" i="51" s="1"/>
  <c r="BS157" i="104"/>
  <c r="BS26" i="104"/>
  <c r="BR118" i="104"/>
  <c r="BR164" i="104"/>
  <c r="CE126" i="104"/>
  <c r="BY161" i="104"/>
  <c r="CE150" i="104"/>
  <c r="CE152" i="104" s="1"/>
  <c r="BY152" i="104"/>
  <c r="BY153" i="104" s="1"/>
  <c r="BK215" i="29"/>
  <c r="BK225" i="29" s="1"/>
  <c r="BQ139" i="29"/>
  <c r="BO139" i="29"/>
  <c r="BN208" i="29"/>
  <c r="BO203" i="29"/>
  <c r="BO208" i="29" s="1"/>
  <c r="BS136" i="29"/>
  <c r="BR121" i="29"/>
  <c r="BR205" i="29" s="1"/>
  <c r="BT138" i="29"/>
  <c r="BU138" i="29" s="1"/>
  <c r="BN140" i="29"/>
  <c r="BN141" i="29" s="1"/>
  <c r="BO135" i="29"/>
  <c r="AO264" i="29"/>
  <c r="AP257" i="29"/>
  <c r="AO265" i="29"/>
  <c r="AP258" i="29"/>
  <c r="AM224" i="29"/>
  <c r="AM225" i="29" s="1"/>
  <c r="AM140" i="29"/>
  <c r="AM141" i="29" s="1"/>
  <c r="BR120" i="29"/>
  <c r="BR204" i="29" s="1"/>
  <c r="AP205" i="29"/>
  <c r="AP208" i="29" s="1"/>
  <c r="AO124" i="29"/>
  <c r="AO205" i="29"/>
  <c r="AP138" i="29"/>
  <c r="AP140" i="29" s="1"/>
  <c r="AP141" i="29" s="1"/>
  <c r="AO215" i="29"/>
  <c r="AQ211" i="29"/>
  <c r="AQ215" i="29" s="1"/>
  <c r="BQ203" i="29"/>
  <c r="BO124" i="29"/>
  <c r="BS122" i="29"/>
  <c r="BS206" i="29" s="1"/>
  <c r="BR219" i="29"/>
  <c r="BO218" i="29"/>
  <c r="AN138" i="29"/>
  <c r="AN221" i="29" s="1"/>
  <c r="BR240" i="29"/>
  <c r="BS235" i="29"/>
  <c r="AP263" i="29"/>
  <c r="AQ256" i="29"/>
  <c r="AS256" i="29" s="1"/>
  <c r="AN266" i="29"/>
  <c r="AN269" i="29" s="1"/>
  <c r="BS137" i="29"/>
  <c r="BS220" i="29" s="1"/>
  <c r="BN222" i="29"/>
  <c r="BO222" i="29" s="1"/>
  <c r="BQ124" i="29"/>
  <c r="BR119" i="29"/>
  <c r="BR123" i="29"/>
  <c r="BR207" i="29" s="1"/>
  <c r="AU261" i="29"/>
  <c r="AV254" i="29"/>
  <c r="W131" i="104"/>
  <c r="AK46" i="104"/>
  <c r="AA131" i="104"/>
  <c r="R131" i="104"/>
  <c r="BY11" i="104"/>
  <c r="AM128" i="104"/>
  <c r="AM127" i="104"/>
  <c r="S11" i="104"/>
  <c r="S12" i="104" s="1"/>
  <c r="O12" i="104"/>
  <c r="AC130" i="104"/>
  <c r="AB130" i="104"/>
  <c r="V16" i="104"/>
  <c r="V96" i="51"/>
  <c r="R12" i="104"/>
  <c r="R28" i="104"/>
  <c r="BB49" i="112"/>
  <c r="K26" i="104"/>
  <c r="D32" i="104"/>
  <c r="E31" i="104"/>
  <c r="V45" i="104"/>
  <c r="V46" i="104" s="1"/>
  <c r="V81" i="104"/>
  <c r="V85" i="104" s="1"/>
  <c r="O34" i="104"/>
  <c r="O33" i="104" s="1"/>
  <c r="P33" i="104"/>
  <c r="P44" i="104" s="1"/>
  <c r="L45" i="104"/>
  <c r="L46" i="104" s="1"/>
  <c r="BF151" i="104"/>
  <c r="BF152" i="104"/>
  <c r="I20" i="104"/>
  <c r="I19" i="104" s="1"/>
  <c r="J19" i="104"/>
  <c r="Y33" i="104"/>
  <c r="U44" i="104"/>
  <c r="BA118" i="104"/>
  <c r="BA154" i="3" s="1"/>
  <c r="Y31" i="104"/>
  <c r="Q45" i="104"/>
  <c r="Q46" i="104" s="1"/>
  <c r="J34" i="104"/>
  <c r="K33" i="104"/>
  <c r="K44" i="104" s="1"/>
  <c r="BM153" i="104"/>
  <c r="E33" i="104"/>
  <c r="E44" i="104" s="1"/>
  <c r="D34" i="104"/>
  <c r="AQ158" i="104"/>
  <c r="AQ133" i="104"/>
  <c r="AQ114" i="104"/>
  <c r="AW158" i="104"/>
  <c r="BC161" i="104" s="1"/>
  <c r="AW133" i="104"/>
  <c r="K31" i="104"/>
  <c r="J32" i="104"/>
  <c r="F45" i="104"/>
  <c r="F46" i="104" s="1"/>
  <c r="BA121" i="104"/>
  <c r="BA89" i="104"/>
  <c r="BA95" i="104" s="1"/>
  <c r="BA75" i="104"/>
  <c r="AW118" i="104"/>
  <c r="AW154" i="3" s="1"/>
  <c r="F81" i="104"/>
  <c r="F85" i="104" s="1"/>
  <c r="D82" i="104"/>
  <c r="I82" i="104"/>
  <c r="E26" i="104"/>
  <c r="Q81" i="104"/>
  <c r="Q85" i="104" s="1"/>
  <c r="AE131" i="104"/>
  <c r="AV113" i="104"/>
  <c r="AV150" i="104" s="1"/>
  <c r="AV114" i="104"/>
  <c r="AV51" i="104"/>
  <c r="BB158" i="104"/>
  <c r="BH161" i="104" s="1"/>
  <c r="BB133" i="104"/>
  <c r="AE35" i="104"/>
  <c r="AE40" i="104" s="1"/>
  <c r="AE81" i="104"/>
  <c r="AE85" i="104" s="1"/>
  <c r="L131" i="104"/>
  <c r="AE44" i="104"/>
  <c r="AA45" i="104"/>
  <c r="AE45" i="104" s="1"/>
  <c r="BE151" i="104"/>
  <c r="L81" i="104"/>
  <c r="L85" i="104" s="1"/>
  <c r="AZ116" i="104"/>
  <c r="AZ117" i="104"/>
  <c r="AZ153" i="3" s="1"/>
  <c r="AZ74" i="104"/>
  <c r="BF159" i="104"/>
  <c r="BL162" i="104" s="1"/>
  <c r="BF134" i="104"/>
  <c r="BF120" i="104"/>
  <c r="O26" i="104"/>
  <c r="S19" i="104"/>
  <c r="S26" i="104" s="1"/>
  <c r="O28" i="104"/>
  <c r="C20" i="104"/>
  <c r="C19" i="104" s="1"/>
  <c r="D19" i="104"/>
  <c r="O32" i="104"/>
  <c r="O31" i="104" s="1"/>
  <c r="O81" i="104" s="1"/>
  <c r="O85" i="104" s="1"/>
  <c r="P31" i="104"/>
  <c r="AJ36" i="104"/>
  <c r="AP35" i="104"/>
  <c r="AP40" i="104" s="1"/>
  <c r="AP93" i="51" s="1"/>
  <c r="AY116" i="104"/>
  <c r="AY74" i="104"/>
  <c r="AY117" i="104"/>
  <c r="AY153" i="3" s="1"/>
  <c r="AW89" i="104"/>
  <c r="AW95" i="104" s="1"/>
  <c r="AW121" i="104"/>
  <c r="AW75" i="104"/>
  <c r="P26" i="104"/>
  <c r="P28" i="104"/>
  <c r="AT36" i="104"/>
  <c r="AO36" i="104"/>
  <c r="AU35" i="104"/>
  <c r="AU40" i="104" s="1"/>
  <c r="AU93" i="51" s="1"/>
  <c r="AA130" i="104"/>
  <c r="L11" i="104"/>
  <c r="K11" i="104"/>
  <c r="K12" i="104" s="1"/>
  <c r="I11" i="104"/>
  <c r="J11" i="104"/>
  <c r="J12" i="104" s="1"/>
  <c r="AZ49" i="112" l="1"/>
  <c r="BB80" i="51"/>
  <c r="BB81" i="51" s="1"/>
  <c r="AN110" i="104"/>
  <c r="AN147" i="104"/>
  <c r="BG168" i="3"/>
  <c r="AP128" i="104"/>
  <c r="BB166" i="3"/>
  <c r="BH170" i="3"/>
  <c r="AB115" i="104"/>
  <c r="AB154" i="104" s="1"/>
  <c r="AJ126" i="104"/>
  <c r="AJ127" i="104" s="1"/>
  <c r="AD27" i="104"/>
  <c r="AD82" i="51" s="1"/>
  <c r="AD83" i="51" s="1"/>
  <c r="AD86" i="51" s="1"/>
  <c r="AD85" i="51" s="1"/>
  <c r="AD101" i="51" s="1"/>
  <c r="AD103" i="51" s="1"/>
  <c r="AH27" i="104"/>
  <c r="AN157" i="104" s="1"/>
  <c r="AT160" i="104" s="1"/>
  <c r="AA14" i="104"/>
  <c r="AI163" i="104"/>
  <c r="AO164" i="104" s="1"/>
  <c r="AN164" i="104"/>
  <c r="AG163" i="104"/>
  <c r="AM164" i="104" s="1"/>
  <c r="AC107" i="104"/>
  <c r="AQ29" i="104"/>
  <c r="AJ27" i="104"/>
  <c r="AY152" i="3"/>
  <c r="AZ152" i="3"/>
  <c r="BB152" i="3"/>
  <c r="BC147" i="104"/>
  <c r="AG82" i="51"/>
  <c r="AG83" i="51" s="1"/>
  <c r="AG86" i="51" s="1"/>
  <c r="AG85" i="51" s="1"/>
  <c r="AG101" i="51" s="1"/>
  <c r="AG103" i="51" s="1"/>
  <c r="AM147" i="104"/>
  <c r="AI82" i="51"/>
  <c r="AI83" i="51" s="1"/>
  <c r="AI86" i="51" s="1"/>
  <c r="AI85" i="51" s="1"/>
  <c r="AI101" i="51" s="1"/>
  <c r="AI103" i="51" s="1"/>
  <c r="AP147" i="104"/>
  <c r="AQ126" i="104"/>
  <c r="AO82" i="51"/>
  <c r="AO83" i="51" s="1"/>
  <c r="AO86" i="51" s="1"/>
  <c r="AO85" i="51" s="1"/>
  <c r="AO101" i="51" s="1"/>
  <c r="AO103" i="51" s="1"/>
  <c r="M79" i="104"/>
  <c r="G79" i="104"/>
  <c r="BI34" i="29"/>
  <c r="BI65" i="29" s="1"/>
  <c r="AO38" i="112"/>
  <c r="Q131" i="104"/>
  <c r="AW88" i="51"/>
  <c r="V131" i="51"/>
  <c r="BC151" i="3"/>
  <c r="AQ27" i="104"/>
  <c r="AW87" i="51"/>
  <c r="W131" i="51"/>
  <c r="BG155" i="3"/>
  <c r="R132" i="51"/>
  <c r="O13" i="112" s="1"/>
  <c r="AP91" i="51"/>
  <c r="AP92" i="51" s="1"/>
  <c r="AP94" i="51"/>
  <c r="AV92" i="51"/>
  <c r="AV99" i="51"/>
  <c r="AV105" i="51" s="1"/>
  <c r="AZ92" i="51"/>
  <c r="AZ99" i="51"/>
  <c r="BF170" i="3"/>
  <c r="AZ166" i="3"/>
  <c r="AY166" i="3"/>
  <c r="AU91" i="51"/>
  <c r="AU94" i="51"/>
  <c r="AV151" i="3"/>
  <c r="BC91" i="51"/>
  <c r="BC92" i="51" s="1"/>
  <c r="AY92" i="51"/>
  <c r="AY99" i="51"/>
  <c r="AN87" i="51"/>
  <c r="S38" i="112"/>
  <c r="R133" i="51"/>
  <c r="AN81" i="51"/>
  <c r="P132" i="51"/>
  <c r="M13" i="112" s="1"/>
  <c r="J98" i="51"/>
  <c r="Q130" i="51"/>
  <c r="K98" i="51"/>
  <c r="F96" i="51"/>
  <c r="F127" i="51"/>
  <c r="L129" i="51" s="1"/>
  <c r="F123" i="51"/>
  <c r="L130" i="51" s="1"/>
  <c r="P130" i="51"/>
  <c r="M127" i="51"/>
  <c r="M96" i="51"/>
  <c r="M123" i="51"/>
  <c r="S132" i="51" s="1"/>
  <c r="I128" i="51"/>
  <c r="L98" i="51"/>
  <c r="X131" i="51"/>
  <c r="S98" i="51"/>
  <c r="S128" i="51"/>
  <c r="P129" i="51"/>
  <c r="J128" i="51"/>
  <c r="K128" i="51"/>
  <c r="E121" i="51"/>
  <c r="D122" i="51"/>
  <c r="AE134" i="51"/>
  <c r="O132" i="51"/>
  <c r="L13" i="112" s="1"/>
  <c r="I98" i="51"/>
  <c r="L128" i="51"/>
  <c r="AM80" i="51"/>
  <c r="AM87" i="51" s="1"/>
  <c r="AP80" i="51"/>
  <c r="AP148" i="104"/>
  <c r="AP149" i="104" s="1"/>
  <c r="Y28" i="104"/>
  <c r="AD126" i="104"/>
  <c r="AH115" i="104"/>
  <c r="AH154" i="104" s="1"/>
  <c r="AU132" i="104"/>
  <c r="AM110" i="104"/>
  <c r="AH14" i="104"/>
  <c r="AU157" i="104"/>
  <c r="BA160" i="104" s="1"/>
  <c r="AJ163" i="104"/>
  <c r="AP164" i="104" s="1"/>
  <c r="AH107" i="104"/>
  <c r="AO157" i="104"/>
  <c r="AG108" i="104"/>
  <c r="AH29" i="104"/>
  <c r="AO109" i="104"/>
  <c r="AN125" i="104"/>
  <c r="AO108" i="104"/>
  <c r="BI33" i="29"/>
  <c r="BQ222" i="29"/>
  <c r="BO224" i="29"/>
  <c r="BN224" i="29"/>
  <c r="AN127" i="104"/>
  <c r="AQ14" i="104"/>
  <c r="AQ115" i="104"/>
  <c r="AQ154" i="104" s="1"/>
  <c r="AC126" i="104"/>
  <c r="AW125" i="104"/>
  <c r="AW130" i="104"/>
  <c r="AQ107" i="104"/>
  <c r="AQ113" i="104"/>
  <c r="AQ150" i="104" s="1"/>
  <c r="AW152" i="104" s="1"/>
  <c r="AW129" i="104"/>
  <c r="AW127" i="104"/>
  <c r="AI126" i="104"/>
  <c r="AI127" i="104" s="1"/>
  <c r="AK15" i="104"/>
  <c r="AG126" i="104"/>
  <c r="AG127" i="104" s="1"/>
  <c r="AN128" i="104"/>
  <c r="AA126" i="104"/>
  <c r="AJ14" i="104"/>
  <c r="AJ29" i="104"/>
  <c r="AJ107" i="104"/>
  <c r="AE16" i="104"/>
  <c r="AP127" i="104"/>
  <c r="AP125" i="104"/>
  <c r="AJ115" i="104"/>
  <c r="AJ154" i="104" s="1"/>
  <c r="AK114" i="104"/>
  <c r="AQ163" i="104"/>
  <c r="AW164" i="104" s="1"/>
  <c r="AO132" i="104"/>
  <c r="AI109" i="104"/>
  <c r="AI148" i="104" s="1"/>
  <c r="AI149" i="104" s="1"/>
  <c r="AI108" i="104"/>
  <c r="AD107" i="104"/>
  <c r="AB14" i="104"/>
  <c r="AD129" i="104"/>
  <c r="AH128" i="104"/>
  <c r="AC163" i="104"/>
  <c r="AC29" i="104"/>
  <c r="AC14" i="104"/>
  <c r="AB27" i="104"/>
  <c r="AD29" i="104"/>
  <c r="AB29" i="104"/>
  <c r="AD14" i="104"/>
  <c r="AD115" i="104"/>
  <c r="AD154" i="104" s="1"/>
  <c r="AJ125" i="104"/>
  <c r="AD163" i="104"/>
  <c r="AA163" i="104"/>
  <c r="AM157" i="104"/>
  <c r="AS160" i="104" s="1"/>
  <c r="AG109" i="104"/>
  <c r="AM132" i="104"/>
  <c r="W130" i="104"/>
  <c r="AE15" i="104"/>
  <c r="AH127" i="104"/>
  <c r="AA29" i="104"/>
  <c r="Y16" i="104"/>
  <c r="AC27" i="104"/>
  <c r="R16" i="104"/>
  <c r="U15" i="104"/>
  <c r="V15" i="104"/>
  <c r="W15" i="104"/>
  <c r="AA107" i="104"/>
  <c r="AG125" i="104"/>
  <c r="AA27" i="104"/>
  <c r="BB89" i="104"/>
  <c r="BB95" i="104" s="1"/>
  <c r="BB121" i="104"/>
  <c r="BB75" i="104"/>
  <c r="BC117" i="104"/>
  <c r="BC153" i="3" s="1"/>
  <c r="BC116" i="104"/>
  <c r="BC74" i="104"/>
  <c r="BC159" i="104"/>
  <c r="BC120" i="104"/>
  <c r="BC134" i="104"/>
  <c r="BC148" i="104"/>
  <c r="BC149" i="104" s="1"/>
  <c r="BC110" i="104"/>
  <c r="AC115" i="104"/>
  <c r="AC154" i="104" s="1"/>
  <c r="AI125" i="104"/>
  <c r="AA129" i="104"/>
  <c r="Q16" i="104"/>
  <c r="X15" i="104"/>
  <c r="P16" i="104"/>
  <c r="AB107" i="104"/>
  <c r="AH125" i="104"/>
  <c r="BB118" i="104"/>
  <c r="BB154" i="3" s="1"/>
  <c r="AW161" i="104"/>
  <c r="BK119" i="104"/>
  <c r="CE128" i="104"/>
  <c r="CE127" i="104"/>
  <c r="BS131" i="104"/>
  <c r="BS107" i="104"/>
  <c r="BS163" i="104"/>
  <c r="CC153" i="104"/>
  <c r="BS160" i="104"/>
  <c r="BQ159" i="104"/>
  <c r="BQ120" i="104"/>
  <c r="BQ117" i="104"/>
  <c r="BQ116" i="104"/>
  <c r="BQ134" i="104"/>
  <c r="BS134" i="104"/>
  <c r="BS120" i="104"/>
  <c r="BS116" i="104"/>
  <c r="BS117" i="104"/>
  <c r="BS159" i="104"/>
  <c r="BQ107" i="104"/>
  <c r="BQ131" i="104"/>
  <c r="BQ163" i="104"/>
  <c r="CE27" i="104"/>
  <c r="CE88" i="51" s="1"/>
  <c r="CC27" i="104"/>
  <c r="CC88" i="51" s="1"/>
  <c r="BS148" i="104"/>
  <c r="BS149" i="104" s="1"/>
  <c r="BS110" i="104"/>
  <c r="BY132" i="104"/>
  <c r="BY108" i="104"/>
  <c r="BY147" i="104" s="1"/>
  <c r="BY109" i="104"/>
  <c r="BY51" i="104"/>
  <c r="BY105" i="51" s="1"/>
  <c r="BY26" i="104"/>
  <c r="BW109" i="104"/>
  <c r="BW108" i="104"/>
  <c r="BW147" i="104" s="1"/>
  <c r="BW51" i="104"/>
  <c r="BW105" i="51" s="1"/>
  <c r="BW132" i="104"/>
  <c r="BW157" i="104"/>
  <c r="BW160" i="104" s="1"/>
  <c r="BW26" i="104"/>
  <c r="CD107" i="104"/>
  <c r="CD131" i="104"/>
  <c r="CD163" i="104"/>
  <c r="CD164" i="104" s="1"/>
  <c r="BQ148" i="104"/>
  <c r="BQ149" i="104" s="1"/>
  <c r="BQ110" i="104"/>
  <c r="CE153" i="104"/>
  <c r="BR119" i="104"/>
  <c r="BX118" i="104"/>
  <c r="CD120" i="104"/>
  <c r="CD159" i="104"/>
  <c r="CD162" i="104" s="1"/>
  <c r="CD134" i="104"/>
  <c r="CD116" i="104"/>
  <c r="CD117" i="104"/>
  <c r="BY157" i="104"/>
  <c r="CE114" i="104"/>
  <c r="CE113" i="104"/>
  <c r="CE151" i="104"/>
  <c r="CE158" i="104"/>
  <c r="CE161" i="104" s="1"/>
  <c r="CE133" i="104"/>
  <c r="CD148" i="104"/>
  <c r="CD149" i="104" s="1"/>
  <c r="CD110" i="104"/>
  <c r="AN224" i="29"/>
  <c r="AN225" i="29" s="1"/>
  <c r="BR124" i="29"/>
  <c r="BS119" i="29"/>
  <c r="BS203" i="29" s="1"/>
  <c r="BR203" i="29"/>
  <c r="BR208" i="29" s="1"/>
  <c r="BT235" i="29"/>
  <c r="BS240" i="29"/>
  <c r="BT122" i="29"/>
  <c r="AP264" i="29"/>
  <c r="AQ257" i="29"/>
  <c r="AS257" i="29" s="1"/>
  <c r="BS121" i="29"/>
  <c r="AO208" i="29"/>
  <c r="AQ205" i="29"/>
  <c r="AQ208" i="29" s="1"/>
  <c r="BT136" i="29"/>
  <c r="BU136" i="29" s="1"/>
  <c r="AW254" i="29"/>
  <c r="AY254" i="29" s="1"/>
  <c r="AV261" i="29"/>
  <c r="AW261" i="29" s="1"/>
  <c r="AO138" i="29"/>
  <c r="AO221" i="29" s="1"/>
  <c r="AO224" i="29" s="1"/>
  <c r="BS163" i="29"/>
  <c r="BS164" i="29" s="1"/>
  <c r="BQ128" i="29"/>
  <c r="BM128" i="29"/>
  <c r="BU159" i="29"/>
  <c r="BU163" i="29" s="1"/>
  <c r="BU164" i="29" s="1"/>
  <c r="BN128" i="29"/>
  <c r="BR128" i="29"/>
  <c r="BW138" i="29"/>
  <c r="BT221" i="29"/>
  <c r="BU221" i="29" s="1"/>
  <c r="AN140" i="29"/>
  <c r="AN141" i="29" s="1"/>
  <c r="BQ208" i="29"/>
  <c r="AP265" i="29"/>
  <c r="AQ265" i="29" s="1"/>
  <c r="AQ258" i="29"/>
  <c r="AS258" i="29" s="1"/>
  <c r="BO140" i="29"/>
  <c r="BO141" i="29" s="1"/>
  <c r="BQ135" i="29"/>
  <c r="BQ218" i="29" s="1"/>
  <c r="BS219" i="29"/>
  <c r="AQ263" i="29"/>
  <c r="BT137" i="29"/>
  <c r="BT220" i="29" s="1"/>
  <c r="BU220" i="29" s="1"/>
  <c r="BR139" i="29"/>
  <c r="BS123" i="29"/>
  <c r="BS207" i="29" s="1"/>
  <c r="AO266" i="29"/>
  <c r="AO269" i="29" s="1"/>
  <c r="AS263" i="29"/>
  <c r="AT256" i="29"/>
  <c r="BS120" i="29"/>
  <c r="AK158" i="104"/>
  <c r="AQ161" i="104" s="1"/>
  <c r="AK133" i="104"/>
  <c r="Y132" i="51"/>
  <c r="Y131" i="51" s="1"/>
  <c r="K28" i="104"/>
  <c r="AB163" i="104"/>
  <c r="AH164" i="104" s="1"/>
  <c r="AB126" i="104"/>
  <c r="O16" i="104"/>
  <c r="BG12" i="104"/>
  <c r="BI10" i="104"/>
  <c r="BI12" i="104" s="1"/>
  <c r="AC129" i="104"/>
  <c r="L12" i="104"/>
  <c r="L28" i="104"/>
  <c r="I12" i="104"/>
  <c r="M11" i="104"/>
  <c r="M12" i="104" s="1"/>
  <c r="CE11" i="104"/>
  <c r="AB129" i="104"/>
  <c r="AP113" i="104"/>
  <c r="AP150" i="104" s="1"/>
  <c r="AV152" i="104" s="1"/>
  <c r="AP114" i="104"/>
  <c r="AP51" i="104"/>
  <c r="AD36" i="104"/>
  <c r="AJ35" i="104"/>
  <c r="AJ40" i="104" s="1"/>
  <c r="AJ93" i="51" s="1"/>
  <c r="K45" i="104"/>
  <c r="K46" i="104" s="1"/>
  <c r="AU113" i="104"/>
  <c r="AU150" i="104" s="1"/>
  <c r="AU114" i="104"/>
  <c r="AU51" i="104"/>
  <c r="BA158" i="104"/>
  <c r="BG161" i="104" s="1"/>
  <c r="BA133" i="104"/>
  <c r="AY121" i="104"/>
  <c r="AY89" i="104"/>
  <c r="AY95" i="104" s="1"/>
  <c r="AY75" i="104"/>
  <c r="AZ121" i="104"/>
  <c r="AZ89" i="104"/>
  <c r="AZ95" i="104" s="1"/>
  <c r="AZ75" i="104"/>
  <c r="C82" i="104"/>
  <c r="E45" i="104"/>
  <c r="E46" i="104" s="1"/>
  <c r="Y35" i="104"/>
  <c r="Y40" i="104" s="1"/>
  <c r="Y81" i="104"/>
  <c r="Y85" i="104" s="1"/>
  <c r="AZ118" i="104"/>
  <c r="AZ154" i="3" s="1"/>
  <c r="P81" i="104"/>
  <c r="P85" i="104" s="1"/>
  <c r="K81" i="104"/>
  <c r="K85" i="104" s="1"/>
  <c r="J33" i="104"/>
  <c r="J44" i="104" s="1"/>
  <c r="I34" i="104"/>
  <c r="I33" i="104" s="1"/>
  <c r="AV117" i="104"/>
  <c r="AV153" i="3" s="1"/>
  <c r="AV116" i="104"/>
  <c r="AV74" i="104"/>
  <c r="BB120" i="104"/>
  <c r="BB134" i="104"/>
  <c r="BB159" i="104"/>
  <c r="BH162" i="104" s="1"/>
  <c r="K131" i="104"/>
  <c r="S28" i="104"/>
  <c r="S31" i="104"/>
  <c r="BB152" i="104"/>
  <c r="Y44" i="104"/>
  <c r="U45" i="104"/>
  <c r="Y45" i="104" s="1"/>
  <c r="P45" i="104"/>
  <c r="P46" i="104" s="1"/>
  <c r="E81" i="104"/>
  <c r="E85" i="104" s="1"/>
  <c r="D26" i="104"/>
  <c r="G19" i="104"/>
  <c r="G26" i="104" s="1"/>
  <c r="C26" i="104"/>
  <c r="AV133" i="104"/>
  <c r="Y131" i="104"/>
  <c r="BA139" i="104"/>
  <c r="BA104" i="104"/>
  <c r="BA122" i="104"/>
  <c r="J26" i="104"/>
  <c r="J28" i="104"/>
  <c r="O44" i="104"/>
  <c r="S33" i="104"/>
  <c r="D31" i="104"/>
  <c r="D81" i="104" s="1"/>
  <c r="D85" i="104" s="1"/>
  <c r="C32" i="104"/>
  <c r="C31" i="104" s="1"/>
  <c r="AN36" i="104"/>
  <c r="AS36" i="104"/>
  <c r="AT35" i="104"/>
  <c r="AT40" i="104" s="1"/>
  <c r="AT93" i="51" s="1"/>
  <c r="I32" i="104"/>
  <c r="I31" i="104" s="1"/>
  <c r="J31" i="104"/>
  <c r="AA46" i="104"/>
  <c r="AA115" i="104" s="1"/>
  <c r="AA154" i="104" s="1"/>
  <c r="AV158" i="104"/>
  <c r="BB161" i="104" s="1"/>
  <c r="I26" i="104"/>
  <c r="M19" i="104"/>
  <c r="M26" i="104" s="1"/>
  <c r="I28" i="104"/>
  <c r="AI36" i="104"/>
  <c r="AO35" i="104"/>
  <c r="AO40" i="104" s="1"/>
  <c r="AW122" i="104"/>
  <c r="V131" i="104"/>
  <c r="AY118" i="104"/>
  <c r="AY154" i="3" s="1"/>
  <c r="AE46" i="104"/>
  <c r="U131" i="104"/>
  <c r="C34" i="104"/>
  <c r="C33" i="104" s="1"/>
  <c r="D33" i="104"/>
  <c r="D44" i="104" s="1"/>
  <c r="BL153" i="104"/>
  <c r="L16" i="104"/>
  <c r="F11" i="104"/>
  <c r="V130" i="104"/>
  <c r="J16" i="104"/>
  <c r="I16" i="104"/>
  <c r="K16" i="104"/>
  <c r="X130" i="104"/>
  <c r="BC80" i="51" l="1"/>
  <c r="BB99" i="51"/>
  <c r="BB88" i="51"/>
  <c r="BB87" i="51"/>
  <c r="AJ157" i="104"/>
  <c r="AH82" i="51"/>
  <c r="AH83" i="51" s="1"/>
  <c r="AH86" i="51" s="1"/>
  <c r="AH85" i="51" s="1"/>
  <c r="AH101" i="51" s="1"/>
  <c r="AH103" i="51" s="1"/>
  <c r="AN132" i="104"/>
  <c r="AH108" i="104"/>
  <c r="AH147" i="104" s="1"/>
  <c r="AH109" i="104"/>
  <c r="AH110" i="104" s="1"/>
  <c r="BF168" i="3"/>
  <c r="AI164" i="104"/>
  <c r="AJ128" i="104"/>
  <c r="AG164" i="104"/>
  <c r="BH168" i="3"/>
  <c r="U163" i="104"/>
  <c r="AA164" i="104" s="1"/>
  <c r="AJ108" i="104"/>
  <c r="AJ147" i="104" s="1"/>
  <c r="AD109" i="104"/>
  <c r="AD110" i="104" s="1"/>
  <c r="W27" i="104"/>
  <c r="AC157" i="104" s="1"/>
  <c r="AQ82" i="51"/>
  <c r="AQ83" i="51" s="1"/>
  <c r="AQ86" i="51" s="1"/>
  <c r="AQ85" i="51" s="1"/>
  <c r="AQ101" i="51" s="1"/>
  <c r="AQ103" i="51" s="1"/>
  <c r="AJ82" i="51"/>
  <c r="AP132" i="104"/>
  <c r="U29" i="104"/>
  <c r="V126" i="104"/>
  <c r="X126" i="104"/>
  <c r="AP157" i="104"/>
  <c r="AV160" i="104" s="1"/>
  <c r="AD108" i="104"/>
  <c r="AJ132" i="104"/>
  <c r="X27" i="104"/>
  <c r="AD132" i="104" s="1"/>
  <c r="V115" i="104"/>
  <c r="V154" i="104" s="1"/>
  <c r="AJ109" i="104"/>
  <c r="AJ148" i="104" s="1"/>
  <c r="AJ149" i="104" s="1"/>
  <c r="W163" i="104"/>
  <c r="AC164" i="104" s="1"/>
  <c r="AV152" i="3"/>
  <c r="AC82" i="51"/>
  <c r="AC83" i="51" s="1"/>
  <c r="AC86" i="51" s="1"/>
  <c r="AC85" i="51" s="1"/>
  <c r="AC101" i="51" s="1"/>
  <c r="AC103" i="51" s="1"/>
  <c r="AK130" i="104"/>
  <c r="AI147" i="104"/>
  <c r="AO147" i="104"/>
  <c r="AG147" i="104"/>
  <c r="AP151" i="3"/>
  <c r="AP166" i="3" s="1"/>
  <c r="AA82" i="51"/>
  <c r="AA83" i="51" s="1"/>
  <c r="AA86" i="51" s="1"/>
  <c r="AA85" i="51" s="1"/>
  <c r="AA101" i="51" s="1"/>
  <c r="AA103" i="51" s="1"/>
  <c r="AB82" i="51"/>
  <c r="AB83" i="51" s="1"/>
  <c r="AB86" i="51" s="1"/>
  <c r="AB85" i="51" s="1"/>
  <c r="AB101" i="51" s="1"/>
  <c r="AB103" i="51" s="1"/>
  <c r="AE114" i="104"/>
  <c r="AQ129" i="104"/>
  <c r="AQ109" i="104"/>
  <c r="AQ110" i="104" s="1"/>
  <c r="AV166" i="3"/>
  <c r="BO65" i="29"/>
  <c r="BI35" i="29"/>
  <c r="BI36" i="29" s="1"/>
  <c r="AR36" i="112"/>
  <c r="AP36" i="112"/>
  <c r="AW157" i="104"/>
  <c r="BC160" i="104" s="1"/>
  <c r="AQ51" i="104"/>
  <c r="AW132" i="104"/>
  <c r="AQ108" i="104"/>
  <c r="R131" i="51"/>
  <c r="AM88" i="51"/>
  <c r="AM81" i="51"/>
  <c r="BE155" i="3"/>
  <c r="BF155" i="3"/>
  <c r="BH155" i="3"/>
  <c r="BB170" i="3"/>
  <c r="AU133" i="104"/>
  <c r="AO93" i="51"/>
  <c r="AJ91" i="51"/>
  <c r="AJ92" i="51" s="1"/>
  <c r="AJ94" i="51"/>
  <c r="AT91" i="51"/>
  <c r="AT94" i="51"/>
  <c r="AU92" i="51"/>
  <c r="AU99" i="51"/>
  <c r="AU105" i="51" s="1"/>
  <c r="AV104" i="51"/>
  <c r="AV100" i="51"/>
  <c r="BC166" i="3"/>
  <c r="AZ104" i="51"/>
  <c r="AZ100" i="51"/>
  <c r="AZ105" i="51"/>
  <c r="AY104" i="51"/>
  <c r="AY100" i="51"/>
  <c r="AY105" i="51"/>
  <c r="BC152" i="3"/>
  <c r="AU151" i="3"/>
  <c r="R38" i="112"/>
  <c r="Q133" i="51"/>
  <c r="Q131" i="51" s="1"/>
  <c r="AD80" i="51"/>
  <c r="E127" i="51"/>
  <c r="E96" i="51"/>
  <c r="E123" i="51"/>
  <c r="S129" i="51"/>
  <c r="M128" i="51"/>
  <c r="F128" i="51"/>
  <c r="O14" i="112"/>
  <c r="X134" i="51"/>
  <c r="U132" i="51"/>
  <c r="C122" i="51"/>
  <c r="C121" i="51" s="1"/>
  <c r="D121" i="51"/>
  <c r="S130" i="51"/>
  <c r="M98" i="51"/>
  <c r="L132" i="51"/>
  <c r="F98" i="51"/>
  <c r="AG80" i="51"/>
  <c r="AG87" i="51" s="1"/>
  <c r="AI80" i="51"/>
  <c r="AI87" i="51" s="1"/>
  <c r="BB167" i="3"/>
  <c r="AP88" i="51"/>
  <c r="AP87" i="51"/>
  <c r="AP81" i="51"/>
  <c r="AP99" i="51"/>
  <c r="BC87" i="51"/>
  <c r="BC88" i="51"/>
  <c r="BC81" i="51"/>
  <c r="BC86" i="51" s="1"/>
  <c r="BC85" i="51" s="1"/>
  <c r="BC101" i="51" s="1"/>
  <c r="BC103" i="51" s="1"/>
  <c r="BC99" i="51"/>
  <c r="BB100" i="51"/>
  <c r="BB105" i="51"/>
  <c r="BB104" i="51"/>
  <c r="AO80" i="51"/>
  <c r="AU160" i="104"/>
  <c r="AJ164" i="104"/>
  <c r="AY167" i="3"/>
  <c r="AD128" i="104"/>
  <c r="BA167" i="3"/>
  <c r="AB108" i="104"/>
  <c r="AO148" i="104"/>
  <c r="AO149" i="104" s="1"/>
  <c r="AO110" i="104"/>
  <c r="AI132" i="104"/>
  <c r="BK12" i="104"/>
  <c r="AI128" i="104"/>
  <c r="AP266" i="29"/>
  <c r="AP269" i="29" s="1"/>
  <c r="AQ269" i="29" s="1"/>
  <c r="AG128" i="104"/>
  <c r="AW128" i="104"/>
  <c r="AK107" i="104"/>
  <c r="AK115" i="104"/>
  <c r="AK154" i="104" s="1"/>
  <c r="AK27" i="104"/>
  <c r="AQ130" i="104"/>
  <c r="AQ127" i="104"/>
  <c r="AQ125" i="104"/>
  <c r="AK14" i="104"/>
  <c r="AK126" i="104"/>
  <c r="AK113" i="104"/>
  <c r="AK150" i="104" s="1"/>
  <c r="AQ152" i="104" s="1"/>
  <c r="AW153" i="104" s="1"/>
  <c r="AA127" i="104"/>
  <c r="AK29" i="104"/>
  <c r="AK163" i="104"/>
  <c r="AQ164" i="104" s="1"/>
  <c r="AE126" i="104"/>
  <c r="AI110" i="104"/>
  <c r="AD127" i="104"/>
  <c r="V14" i="104"/>
  <c r="W107" i="104"/>
  <c r="W126" i="104"/>
  <c r="BB122" i="104"/>
  <c r="AE107" i="104"/>
  <c r="V163" i="104"/>
  <c r="AB164" i="104" s="1"/>
  <c r="W129" i="104"/>
  <c r="AB109" i="104"/>
  <c r="AE29" i="104"/>
  <c r="AH157" i="104"/>
  <c r="AN160" i="104" s="1"/>
  <c r="AE14" i="104"/>
  <c r="X107" i="104"/>
  <c r="P126" i="104"/>
  <c r="AH132" i="104"/>
  <c r="BB139" i="104"/>
  <c r="W29" i="104"/>
  <c r="BB104" i="104"/>
  <c r="X115" i="104"/>
  <c r="X154" i="104" s="1"/>
  <c r="W14" i="104"/>
  <c r="X14" i="104"/>
  <c r="AC125" i="104"/>
  <c r="X29" i="104"/>
  <c r="AE163" i="104"/>
  <c r="V29" i="104"/>
  <c r="AK127" i="104"/>
  <c r="AK129" i="104"/>
  <c r="Q126" i="104"/>
  <c r="AE115" i="104"/>
  <c r="AE154" i="104" s="1"/>
  <c r="AE113" i="104"/>
  <c r="AE150" i="104" s="1"/>
  <c r="AK125" i="104"/>
  <c r="AE27" i="104"/>
  <c r="AG148" i="104"/>
  <c r="AG149" i="104" s="1"/>
  <c r="AG110" i="104"/>
  <c r="Y15" i="104"/>
  <c r="BT219" i="29"/>
  <c r="BU219" i="29" s="1"/>
  <c r="AI157" i="104"/>
  <c r="AO160" i="104" s="1"/>
  <c r="X163" i="104"/>
  <c r="AD164" i="104" s="1"/>
  <c r="R126" i="104"/>
  <c r="AC109" i="104"/>
  <c r="AC148" i="104" s="1"/>
  <c r="AC149" i="104" s="1"/>
  <c r="U14" i="104"/>
  <c r="AA128" i="104"/>
  <c r="AC108" i="104"/>
  <c r="P15" i="104"/>
  <c r="R130" i="104"/>
  <c r="BC121" i="104"/>
  <c r="BC75" i="104"/>
  <c r="BC89" i="104"/>
  <c r="BC95" i="104" s="1"/>
  <c r="BC118" i="104"/>
  <c r="BC154" i="3" s="1"/>
  <c r="AA109" i="104"/>
  <c r="AG132" i="104"/>
  <c r="AG157" i="104"/>
  <c r="AM160" i="104" s="1"/>
  <c r="AA108" i="104"/>
  <c r="W115" i="104"/>
  <c r="W154" i="104" s="1"/>
  <c r="V107" i="104"/>
  <c r="AB125" i="104"/>
  <c r="V27" i="104"/>
  <c r="U27" i="104"/>
  <c r="AA125" i="104"/>
  <c r="U107" i="104"/>
  <c r="Q15" i="104"/>
  <c r="R15" i="104"/>
  <c r="O15" i="104"/>
  <c r="AD125" i="104"/>
  <c r="P131" i="104"/>
  <c r="BW148" i="104"/>
  <c r="BW149" i="104" s="1"/>
  <c r="BW110" i="104"/>
  <c r="BS118" i="104"/>
  <c r="BS162" i="104"/>
  <c r="BY107" i="104"/>
  <c r="BY131" i="104"/>
  <c r="BY163" i="104"/>
  <c r="BY164" i="104" s="1"/>
  <c r="CC157" i="104"/>
  <c r="CC160" i="104" s="1"/>
  <c r="CC108" i="104"/>
  <c r="CC147" i="104" s="1"/>
  <c r="CC51" i="104"/>
  <c r="CC105" i="51" s="1"/>
  <c r="CC109" i="104"/>
  <c r="CC132" i="104"/>
  <c r="CC26" i="104"/>
  <c r="BQ118" i="104"/>
  <c r="BY160" i="104"/>
  <c r="BY116" i="104"/>
  <c r="BY117" i="104"/>
  <c r="BY134" i="104"/>
  <c r="BY159" i="104"/>
  <c r="CD118" i="104"/>
  <c r="BY148" i="104"/>
  <c r="BY149" i="104" s="1"/>
  <c r="BY110" i="104"/>
  <c r="CE132" i="104"/>
  <c r="CE108" i="104"/>
  <c r="CE147" i="104" s="1"/>
  <c r="CE109" i="104"/>
  <c r="CE157" i="104"/>
  <c r="CE160" i="104" s="1"/>
  <c r="CE51" i="104"/>
  <c r="CE105" i="51" s="1"/>
  <c r="CE26" i="104"/>
  <c r="BY120" i="104"/>
  <c r="BW131" i="104"/>
  <c r="BW107" i="104"/>
  <c r="BW163" i="104"/>
  <c r="BW164" i="104" s="1"/>
  <c r="BX119" i="104"/>
  <c r="BW116" i="104"/>
  <c r="BW117" i="104"/>
  <c r="BW159" i="104"/>
  <c r="BW134" i="104"/>
  <c r="BW120" i="104"/>
  <c r="BS164" i="104"/>
  <c r="AY261" i="29"/>
  <c r="AZ254" i="29"/>
  <c r="BQ224" i="29"/>
  <c r="BN212" i="29"/>
  <c r="BN215" i="29" s="1"/>
  <c r="BN225" i="29" s="1"/>
  <c r="BM132" i="29"/>
  <c r="BM143" i="29" s="1"/>
  <c r="BM212" i="29"/>
  <c r="BW122" i="29"/>
  <c r="BU122" i="29"/>
  <c r="BT123" i="29"/>
  <c r="BT207" i="29" s="1"/>
  <c r="BU207" i="29" s="1"/>
  <c r="AS265" i="29"/>
  <c r="AT258" i="29"/>
  <c r="BR212" i="29"/>
  <c r="BR215" i="29" s="1"/>
  <c r="BQ132" i="29"/>
  <c r="BQ143" i="29" s="1"/>
  <c r="BQ302" i="29" s="1"/>
  <c r="BW136" i="29"/>
  <c r="BT206" i="29"/>
  <c r="BU206" i="29" s="1"/>
  <c r="BT120" i="29"/>
  <c r="BS139" i="29"/>
  <c r="BS222" i="29" s="1"/>
  <c r="BX138" i="29"/>
  <c r="BX221" i="29" s="1"/>
  <c r="BU235" i="29"/>
  <c r="BU240" i="29" s="1"/>
  <c r="BT240" i="29"/>
  <c r="BW235" i="29"/>
  <c r="AQ264" i="29"/>
  <c r="AQ266" i="29" s="1"/>
  <c r="BS204" i="29"/>
  <c r="BR222" i="29"/>
  <c r="BW221" i="29"/>
  <c r="AP221" i="29"/>
  <c r="AP224" i="29" s="1"/>
  <c r="AP225" i="29" s="1"/>
  <c r="AO140" i="29"/>
  <c r="AO141" i="29" s="1"/>
  <c r="AO225" i="29"/>
  <c r="BT121" i="29"/>
  <c r="AT263" i="29"/>
  <c r="AU256" i="29"/>
  <c r="BR132" i="29"/>
  <c r="BR143" i="29" s="1"/>
  <c r="BR302" i="29" s="1"/>
  <c r="BS205" i="29"/>
  <c r="BU137" i="29"/>
  <c r="BW137" i="29"/>
  <c r="BQ140" i="29"/>
  <c r="BQ141" i="29" s="1"/>
  <c r="BR135" i="29"/>
  <c r="BR218" i="29" s="1"/>
  <c r="BO128" i="29"/>
  <c r="BN132" i="29"/>
  <c r="BN143" i="29" s="1"/>
  <c r="AS264" i="29"/>
  <c r="AT257" i="29"/>
  <c r="BS124" i="29"/>
  <c r="BT119" i="29"/>
  <c r="BT203" i="29" s="1"/>
  <c r="S131" i="104"/>
  <c r="Y46" i="104"/>
  <c r="AP133" i="104"/>
  <c r="O131" i="104"/>
  <c r="AU158" i="104"/>
  <c r="BA161" i="104" s="1"/>
  <c r="U46" i="104"/>
  <c r="U115" i="104" s="1"/>
  <c r="U154" i="104" s="1"/>
  <c r="M16" i="104"/>
  <c r="AC127" i="104"/>
  <c r="AC128" i="104"/>
  <c r="S16" i="104"/>
  <c r="O126" i="104"/>
  <c r="U126" i="104"/>
  <c r="P163" i="104"/>
  <c r="AP38" i="112"/>
  <c r="BH38" i="112" s="1"/>
  <c r="Y96" i="51"/>
  <c r="AB128" i="104"/>
  <c r="AB127" i="104"/>
  <c r="U96" i="51"/>
  <c r="R163" i="104"/>
  <c r="V129" i="104"/>
  <c r="Q163" i="104"/>
  <c r="Q130" i="104"/>
  <c r="O130" i="104"/>
  <c r="F12" i="104"/>
  <c r="F28" i="104"/>
  <c r="Y114" i="104"/>
  <c r="AP116" i="104"/>
  <c r="AP74" i="104"/>
  <c r="AP117" i="104"/>
  <c r="AP153" i="3" s="1"/>
  <c r="J81" i="104"/>
  <c r="J85" i="104" s="1"/>
  <c r="G31" i="104"/>
  <c r="AV120" i="104"/>
  <c r="M28" i="104"/>
  <c r="M31" i="104"/>
  <c r="AV121" i="104"/>
  <c r="AV89" i="104"/>
  <c r="AV95" i="104" s="1"/>
  <c r="AV75" i="104"/>
  <c r="M33" i="104"/>
  <c r="I44" i="104"/>
  <c r="M131" i="104"/>
  <c r="D45" i="104"/>
  <c r="D46" i="104" s="1"/>
  <c r="I131" i="104"/>
  <c r="AM36" i="104"/>
  <c r="AS35" i="104"/>
  <c r="AS40" i="104" s="1"/>
  <c r="AS93" i="51" s="1"/>
  <c r="S44" i="104"/>
  <c r="O45" i="104"/>
  <c r="S45" i="104" s="1"/>
  <c r="AE133" i="104"/>
  <c r="AV118" i="104"/>
  <c r="AV154" i="3" s="1"/>
  <c r="C81" i="104"/>
  <c r="C85" i="104" s="1"/>
  <c r="AZ139" i="104"/>
  <c r="AZ104" i="104"/>
  <c r="AZ122" i="104"/>
  <c r="AY122" i="104"/>
  <c r="AY104" i="104"/>
  <c r="AY139" i="104"/>
  <c r="J45" i="104"/>
  <c r="J46" i="104" s="1"/>
  <c r="AU117" i="104"/>
  <c r="AU153" i="3" s="1"/>
  <c r="AU116" i="104"/>
  <c r="AU74" i="104"/>
  <c r="BA134" i="104"/>
  <c r="BA120" i="104"/>
  <c r="BA159" i="104"/>
  <c r="BG162" i="104" s="1"/>
  <c r="G33" i="104"/>
  <c r="C44" i="104"/>
  <c r="AO113" i="104"/>
  <c r="AO150" i="104" s="1"/>
  <c r="AU152" i="104" s="1"/>
  <c r="AO114" i="104"/>
  <c r="AO51" i="104"/>
  <c r="AH36" i="104"/>
  <c r="AN35" i="104"/>
  <c r="AN40" i="104" s="1"/>
  <c r="AN93" i="51" s="1"/>
  <c r="AE158" i="104"/>
  <c r="AK161" i="104" s="1"/>
  <c r="AV134" i="104"/>
  <c r="I81" i="104"/>
  <c r="I85" i="104" s="1"/>
  <c r="AJ113" i="104"/>
  <c r="AJ150" i="104" s="1"/>
  <c r="AJ114" i="104"/>
  <c r="AJ51" i="104"/>
  <c r="AP158" i="104"/>
  <c r="AV161" i="104" s="1"/>
  <c r="BB153" i="104"/>
  <c r="BH153" i="104"/>
  <c r="AT114" i="104"/>
  <c r="AT113" i="104"/>
  <c r="AT150" i="104" s="1"/>
  <c r="AT51" i="104"/>
  <c r="AZ158" i="104"/>
  <c r="BF161" i="104" s="1"/>
  <c r="AZ133" i="104"/>
  <c r="BC153" i="104"/>
  <c r="AC36" i="104"/>
  <c r="AI35" i="104"/>
  <c r="AI40" i="104" s="1"/>
  <c r="AI93" i="51" s="1"/>
  <c r="J131" i="104"/>
  <c r="O163" i="104"/>
  <c r="S35" i="104"/>
  <c r="S40" i="104" s="1"/>
  <c r="S81" i="104"/>
  <c r="S85" i="104" s="1"/>
  <c r="AV159" i="104"/>
  <c r="BB162" i="104" s="1"/>
  <c r="BA152" i="104"/>
  <c r="X36" i="104"/>
  <c r="AD35" i="104"/>
  <c r="AD40" i="104" s="1"/>
  <c r="AD93" i="51" s="1"/>
  <c r="F16" i="104"/>
  <c r="E11" i="104"/>
  <c r="I15" i="104"/>
  <c r="P130" i="104"/>
  <c r="K15" i="104"/>
  <c r="L15" i="104"/>
  <c r="J15" i="104"/>
  <c r="X129" i="104"/>
  <c r="AH80" i="51" l="1"/>
  <c r="AH87" i="51" s="1"/>
  <c r="BI66" i="29"/>
  <c r="V127" i="104"/>
  <c r="AD148" i="104"/>
  <c r="AD149" i="104" s="1"/>
  <c r="AH148" i="104"/>
  <c r="AH149" i="104" s="1"/>
  <c r="BI94" i="29"/>
  <c r="X82" i="51"/>
  <c r="X83" i="51" s="1"/>
  <c r="X86" i="51" s="1"/>
  <c r="X85" i="51" s="1"/>
  <c r="X101" i="51" s="1"/>
  <c r="X103" i="51" s="1"/>
  <c r="AQ148" i="104"/>
  <c r="AQ149" i="104" s="1"/>
  <c r="W82" i="51"/>
  <c r="W83" i="51" s="1"/>
  <c r="W86" i="51" s="1"/>
  <c r="W85" i="51" s="1"/>
  <c r="W101" i="51" s="1"/>
  <c r="W103" i="51" s="1"/>
  <c r="AE82" i="51"/>
  <c r="AE83" i="51" s="1"/>
  <c r="AE86" i="51" s="1"/>
  <c r="AE85" i="51" s="1"/>
  <c r="AE101" i="51" s="1"/>
  <c r="AE103" i="51" s="1"/>
  <c r="AC132" i="104"/>
  <c r="AP160" i="104"/>
  <c r="W109" i="104"/>
  <c r="W110" i="104" s="1"/>
  <c r="AD147" i="104"/>
  <c r="W164" i="104"/>
  <c r="AD157" i="104"/>
  <c r="AJ160" i="104" s="1"/>
  <c r="X109" i="104"/>
  <c r="X148" i="104" s="1"/>
  <c r="X149" i="104" s="1"/>
  <c r="O27" i="104"/>
  <c r="U157" i="104" s="1"/>
  <c r="L126" i="104"/>
  <c r="R107" i="104"/>
  <c r="Q29" i="104"/>
  <c r="AQ128" i="104"/>
  <c r="I27" i="104"/>
  <c r="X127" i="104"/>
  <c r="W108" i="104"/>
  <c r="W147" i="104" s="1"/>
  <c r="X108" i="104"/>
  <c r="X147" i="104" s="1"/>
  <c r="AJ83" i="51"/>
  <c r="AJ86" i="51" s="1"/>
  <c r="AJ85" i="51" s="1"/>
  <c r="AK82" i="51"/>
  <c r="AK83" i="51" s="1"/>
  <c r="AK86" i="51" s="1"/>
  <c r="AK85" i="51" s="1"/>
  <c r="AK101" i="51" s="1"/>
  <c r="AK103" i="51" s="1"/>
  <c r="P115" i="104"/>
  <c r="P154" i="104" s="1"/>
  <c r="AJ110" i="104"/>
  <c r="AO151" i="3"/>
  <c r="AO166" i="3" s="1"/>
  <c r="AP152" i="3"/>
  <c r="U82" i="51"/>
  <c r="U83" i="51" s="1"/>
  <c r="U86" i="51" s="1"/>
  <c r="U85" i="51" s="1"/>
  <c r="U101" i="51" s="1"/>
  <c r="U103" i="51" s="1"/>
  <c r="V82" i="51"/>
  <c r="AA147" i="104"/>
  <c r="AC147" i="104"/>
  <c r="AB147" i="104"/>
  <c r="AU152" i="3"/>
  <c r="AK51" i="104"/>
  <c r="AK74" i="104" s="1"/>
  <c r="AK121" i="104" s="1"/>
  <c r="AQ147" i="104"/>
  <c r="AQ151" i="3"/>
  <c r="AV170" i="3"/>
  <c r="AW159" i="104"/>
  <c r="AW120" i="104"/>
  <c r="AW134" i="104"/>
  <c r="BB168" i="3"/>
  <c r="BC170" i="3"/>
  <c r="AQ117" i="104"/>
  <c r="AQ153" i="3" s="1"/>
  <c r="BB155" i="3"/>
  <c r="AR38" i="112"/>
  <c r="AQ74" i="104"/>
  <c r="AQ121" i="104" s="1"/>
  <c r="AQ116" i="104"/>
  <c r="AI88" i="51"/>
  <c r="AG81" i="51"/>
  <c r="AG88" i="51"/>
  <c r="AI81" i="51"/>
  <c r="BC155" i="3"/>
  <c r="BI155" i="3"/>
  <c r="AS91" i="51"/>
  <c r="AW93" i="51"/>
  <c r="AW94" i="51" s="1"/>
  <c r="AS94" i="51"/>
  <c r="AH81" i="51"/>
  <c r="AT133" i="104"/>
  <c r="AO91" i="51"/>
  <c r="AO92" i="51" s="1"/>
  <c r="AO94" i="51"/>
  <c r="AU166" i="3"/>
  <c r="BA170" i="3"/>
  <c r="AT92" i="51"/>
  <c r="AT99" i="51"/>
  <c r="AT105" i="51" s="1"/>
  <c r="AD91" i="51"/>
  <c r="AD92" i="51" s="1"/>
  <c r="AD94" i="51"/>
  <c r="AI91" i="51"/>
  <c r="AI92" i="51" s="1"/>
  <c r="AI94" i="51"/>
  <c r="AN91" i="51"/>
  <c r="AN94" i="51"/>
  <c r="AT151" i="3"/>
  <c r="AH88" i="51"/>
  <c r="AT158" i="104"/>
  <c r="AZ161" i="104" s="1"/>
  <c r="AU104" i="51"/>
  <c r="AU100" i="51"/>
  <c r="AD88" i="51"/>
  <c r="AD81" i="51"/>
  <c r="BC104" i="51"/>
  <c r="AD87" i="51"/>
  <c r="C127" i="51"/>
  <c r="C123" i="51"/>
  <c r="I132" i="51" s="1"/>
  <c r="G121" i="51"/>
  <c r="C96" i="51"/>
  <c r="N14" i="112"/>
  <c r="W134" i="51"/>
  <c r="Q38" i="112"/>
  <c r="P133" i="51"/>
  <c r="D96" i="51"/>
  <c r="D123" i="51"/>
  <c r="J132" i="51" s="1"/>
  <c r="D127" i="51"/>
  <c r="P13" i="112"/>
  <c r="U131" i="51"/>
  <c r="U129" i="104" s="1"/>
  <c r="K132" i="51"/>
  <c r="E98" i="51"/>
  <c r="K130" i="51"/>
  <c r="E128" i="51"/>
  <c r="K129" i="51"/>
  <c r="AB80" i="51"/>
  <c r="AB81" i="51" s="1"/>
  <c r="AC80" i="51"/>
  <c r="AC87" i="51" s="1"/>
  <c r="AP167" i="3"/>
  <c r="AV167" i="3"/>
  <c r="BC167" i="3"/>
  <c r="AO81" i="51"/>
  <c r="AO87" i="51"/>
  <c r="AO88" i="51"/>
  <c r="AQ80" i="51"/>
  <c r="AP105" i="51"/>
  <c r="AP100" i="51"/>
  <c r="AP104" i="51"/>
  <c r="AA80" i="51"/>
  <c r="BC100" i="51"/>
  <c r="BC105" i="51"/>
  <c r="AZ167" i="3"/>
  <c r="AQ132" i="104"/>
  <c r="AK157" i="104"/>
  <c r="BQ144" i="29"/>
  <c r="BQ301" i="29" s="1"/>
  <c r="BW206" i="29"/>
  <c r="AK128" i="104"/>
  <c r="AK108" i="104"/>
  <c r="AK109" i="104"/>
  <c r="AK110" i="104" s="1"/>
  <c r="AK152" i="104"/>
  <c r="AQ153" i="104" s="1"/>
  <c r="AK164" i="104"/>
  <c r="AQ157" i="104"/>
  <c r="AW160" i="104" s="1"/>
  <c r="W127" i="104"/>
  <c r="W128" i="104"/>
  <c r="AE108" i="104"/>
  <c r="V164" i="104"/>
  <c r="R14" i="104"/>
  <c r="AB110" i="104"/>
  <c r="AB148" i="104"/>
  <c r="AB149" i="104" s="1"/>
  <c r="R29" i="104"/>
  <c r="P14" i="104"/>
  <c r="AE109" i="104"/>
  <c r="AE110" i="104" s="1"/>
  <c r="Q14" i="104"/>
  <c r="AK132" i="104"/>
  <c r="Y29" i="104"/>
  <c r="P107" i="104"/>
  <c r="V125" i="104"/>
  <c r="AE51" i="104"/>
  <c r="P29" i="104"/>
  <c r="Y27" i="104"/>
  <c r="Q125" i="104"/>
  <c r="Y113" i="104"/>
  <c r="Y150" i="104" s="1"/>
  <c r="AE152" i="104" s="1"/>
  <c r="Y107" i="104"/>
  <c r="Y14" i="104"/>
  <c r="Q164" i="104"/>
  <c r="AE129" i="104"/>
  <c r="AE130" i="104"/>
  <c r="Q107" i="104"/>
  <c r="AE125" i="104"/>
  <c r="Q27" i="104"/>
  <c r="Y115" i="104"/>
  <c r="Y154" i="104" s="1"/>
  <c r="S15" i="104"/>
  <c r="AC110" i="104"/>
  <c r="O29" i="104"/>
  <c r="AI160" i="104"/>
  <c r="O14" i="104"/>
  <c r="R115" i="104"/>
  <c r="R154" i="104" s="1"/>
  <c r="R27" i="104"/>
  <c r="R129" i="104"/>
  <c r="R127" i="104" s="1"/>
  <c r="J107" i="104"/>
  <c r="K115" i="104"/>
  <c r="K154" i="104" s="1"/>
  <c r="X128" i="104"/>
  <c r="V128" i="104"/>
  <c r="U125" i="104"/>
  <c r="O107" i="104"/>
  <c r="X125" i="104"/>
  <c r="W125" i="104"/>
  <c r="Q115" i="104"/>
  <c r="Q154" i="104" s="1"/>
  <c r="AA148" i="104"/>
  <c r="AA149" i="104" s="1"/>
  <c r="AA110" i="104"/>
  <c r="P125" i="104"/>
  <c r="L130" i="104"/>
  <c r="J27" i="104"/>
  <c r="J115" i="104"/>
  <c r="J154" i="104" s="1"/>
  <c r="O125" i="104"/>
  <c r="U109" i="104"/>
  <c r="U108" i="104"/>
  <c r="AA132" i="104"/>
  <c r="AA157" i="104"/>
  <c r="AG160" i="104" s="1"/>
  <c r="AB157" i="104"/>
  <c r="AH160" i="104" s="1"/>
  <c r="AB132" i="104"/>
  <c r="V108" i="104"/>
  <c r="V109" i="104"/>
  <c r="BC135" i="104"/>
  <c r="BC122" i="104"/>
  <c r="P27" i="104"/>
  <c r="P164" i="104"/>
  <c r="AE127" i="104"/>
  <c r="S163" i="104"/>
  <c r="S164" i="104" s="1"/>
  <c r="CE159" i="104"/>
  <c r="CE162" i="104" s="1"/>
  <c r="CE120" i="104"/>
  <c r="CE116" i="104"/>
  <c r="CE117" i="104"/>
  <c r="CE134" i="104"/>
  <c r="BY118" i="104"/>
  <c r="BW118" i="104"/>
  <c r="BW162" i="104"/>
  <c r="CE148" i="104"/>
  <c r="CE149" i="104" s="1"/>
  <c r="CE110" i="104"/>
  <c r="BQ119" i="104"/>
  <c r="CD119" i="104"/>
  <c r="CC110" i="104"/>
  <c r="CC148" i="104"/>
  <c r="CC149" i="104" s="1"/>
  <c r="BS119" i="104"/>
  <c r="CC117" i="104"/>
  <c r="CC116" i="104"/>
  <c r="CC159" i="104"/>
  <c r="CC162" i="104" s="1"/>
  <c r="CC134" i="104"/>
  <c r="CC120" i="104"/>
  <c r="CC131" i="104"/>
  <c r="CC107" i="104"/>
  <c r="CC163" i="104"/>
  <c r="CC164" i="104" s="1"/>
  <c r="CE131" i="104"/>
  <c r="CE107" i="104"/>
  <c r="CE163" i="104"/>
  <c r="CE164" i="104" s="1"/>
  <c r="BY162" i="104"/>
  <c r="BU203" i="29"/>
  <c r="BR224" i="29"/>
  <c r="BR225" i="29" s="1"/>
  <c r="AT264" i="29"/>
  <c r="AU257" i="29"/>
  <c r="BX122" i="29"/>
  <c r="BX206" i="29" s="1"/>
  <c r="BX136" i="29"/>
  <c r="BX219" i="29" s="1"/>
  <c r="BW240" i="29"/>
  <c r="BX235" i="29"/>
  <c r="BX137" i="29"/>
  <c r="BX220" i="29" s="1"/>
  <c r="BU120" i="29"/>
  <c r="BW120" i="29"/>
  <c r="BM215" i="29"/>
  <c r="BM225" i="29" s="1"/>
  <c r="BO212" i="29"/>
  <c r="BO215" i="29" s="1"/>
  <c r="BO225" i="29" s="1"/>
  <c r="BA254" i="29"/>
  <c r="AZ261" i="29"/>
  <c r="BR140" i="29"/>
  <c r="BR141" i="29" s="1"/>
  <c r="BR144" i="29" s="1"/>
  <c r="BR301" i="29" s="1"/>
  <c r="BS135" i="29"/>
  <c r="BS208" i="29"/>
  <c r="BW219" i="29"/>
  <c r="BW220" i="29"/>
  <c r="AU263" i="29"/>
  <c r="AV256" i="29"/>
  <c r="BT204" i="29"/>
  <c r="AT265" i="29"/>
  <c r="AU258" i="29"/>
  <c r="BM302" i="29"/>
  <c r="BM144" i="29"/>
  <c r="BM301" i="29" s="1"/>
  <c r="BT139" i="29"/>
  <c r="BT222" i="29" s="1"/>
  <c r="BU222" i="29" s="1"/>
  <c r="AS266" i="29"/>
  <c r="AS269" i="29" s="1"/>
  <c r="AQ221" i="29"/>
  <c r="AQ224" i="29" s="1"/>
  <c r="AQ225" i="29" s="1"/>
  <c r="BU119" i="29"/>
  <c r="BW119" i="29"/>
  <c r="BT124" i="29"/>
  <c r="BQ212" i="29"/>
  <c r="BO132" i="29"/>
  <c r="BW121" i="29"/>
  <c r="BU121" i="29"/>
  <c r="BT205" i="29"/>
  <c r="BU205" i="29" s="1"/>
  <c r="BO143" i="29"/>
  <c r="BO144" i="29" s="1"/>
  <c r="BN302" i="29"/>
  <c r="BN144" i="29"/>
  <c r="BN301" i="29" s="1"/>
  <c r="BY138" i="29"/>
  <c r="BY221" i="29" s="1"/>
  <c r="BU123" i="29"/>
  <c r="BW123" i="29"/>
  <c r="BC139" i="104"/>
  <c r="AU134" i="104"/>
  <c r="AP159" i="104"/>
  <c r="AV162" i="104" s="1"/>
  <c r="AJ158" i="104"/>
  <c r="AP161" i="104" s="1"/>
  <c r="O46" i="104"/>
  <c r="O115" i="104" s="1"/>
  <c r="O154" i="104" s="1"/>
  <c r="X164" i="104"/>
  <c r="R164" i="104"/>
  <c r="BQ12" i="104"/>
  <c r="X96" i="51"/>
  <c r="L29" i="104"/>
  <c r="L14" i="104"/>
  <c r="L107" i="104"/>
  <c r="L27" i="104"/>
  <c r="L115" i="104"/>
  <c r="L154" i="104" s="1"/>
  <c r="R125" i="104"/>
  <c r="K14" i="104"/>
  <c r="K29" i="104"/>
  <c r="K107" i="104"/>
  <c r="K27" i="104"/>
  <c r="M15" i="104"/>
  <c r="I29" i="104"/>
  <c r="I14" i="104"/>
  <c r="I107" i="104"/>
  <c r="E12" i="104"/>
  <c r="E28" i="104"/>
  <c r="S126" i="104"/>
  <c r="Y126" i="104"/>
  <c r="Y163" i="104"/>
  <c r="AE164" i="104" s="1"/>
  <c r="BL12" i="104"/>
  <c r="U130" i="104"/>
  <c r="Q129" i="104"/>
  <c r="J29" i="104"/>
  <c r="J14" i="104"/>
  <c r="AP134" i="104"/>
  <c r="S114" i="104"/>
  <c r="Y133" i="104"/>
  <c r="Y158" i="104"/>
  <c r="AE161" i="104" s="1"/>
  <c r="BC104" i="104"/>
  <c r="AP121" i="104"/>
  <c r="AP89" i="104"/>
  <c r="AP95" i="104" s="1"/>
  <c r="AP75" i="104"/>
  <c r="AJ133" i="104"/>
  <c r="AS114" i="104"/>
  <c r="AS113" i="104"/>
  <c r="AS150" i="104" s="1"/>
  <c r="AS51" i="104"/>
  <c r="AY158" i="104"/>
  <c r="AY133" i="104"/>
  <c r="AI113" i="104"/>
  <c r="AI150" i="104" s="1"/>
  <c r="AO152" i="104" s="1"/>
  <c r="AU153" i="104" s="1"/>
  <c r="AI114" i="104"/>
  <c r="AI51" i="104"/>
  <c r="AO74" i="104"/>
  <c r="AO117" i="104"/>
  <c r="AO153" i="3" s="1"/>
  <c r="AO116" i="104"/>
  <c r="W36" i="104"/>
  <c r="AC35" i="104"/>
  <c r="AC40" i="104" s="1"/>
  <c r="S46" i="104"/>
  <c r="AT117" i="104"/>
  <c r="AT153" i="3" s="1"/>
  <c r="AT116" i="104"/>
  <c r="AT74" i="104"/>
  <c r="AZ159" i="104"/>
  <c r="BF162" i="104" s="1"/>
  <c r="AZ134" i="104"/>
  <c r="AZ120" i="104"/>
  <c r="AG36" i="104"/>
  <c r="AM35" i="104"/>
  <c r="AM40" i="104" s="1"/>
  <c r="AP120" i="104"/>
  <c r="BA153" i="104"/>
  <c r="BG153" i="104"/>
  <c r="AB36" i="104"/>
  <c r="AH35" i="104"/>
  <c r="AH40" i="104" s="1"/>
  <c r="AH93" i="51" s="1"/>
  <c r="AO133" i="104"/>
  <c r="AU121" i="104"/>
  <c r="AU89" i="104"/>
  <c r="AU95" i="104" s="1"/>
  <c r="AU75" i="104"/>
  <c r="M44" i="104"/>
  <c r="I45" i="104"/>
  <c r="M45" i="104" s="1"/>
  <c r="AU118" i="104"/>
  <c r="AU154" i="3" s="1"/>
  <c r="AD113" i="104"/>
  <c r="AD150" i="104" s="1"/>
  <c r="AD114" i="104"/>
  <c r="AD51" i="104"/>
  <c r="U164" i="104"/>
  <c r="O164" i="104"/>
  <c r="AZ152" i="104"/>
  <c r="AO158" i="104"/>
  <c r="AU161" i="104" s="1"/>
  <c r="G35" i="104"/>
  <c r="G40" i="104" s="1"/>
  <c r="G81" i="104"/>
  <c r="G85" i="104" s="1"/>
  <c r="AV139" i="104"/>
  <c r="AV104" i="104"/>
  <c r="AV122" i="104"/>
  <c r="BB135" i="104"/>
  <c r="AP118" i="104"/>
  <c r="AP154" i="3" s="1"/>
  <c r="M35" i="104"/>
  <c r="M40" i="104" s="1"/>
  <c r="M81" i="104"/>
  <c r="M85" i="104" s="1"/>
  <c r="AU159" i="104"/>
  <c r="BA162" i="104" s="1"/>
  <c r="R36" i="104"/>
  <c r="X35" i="104"/>
  <c r="X40" i="104" s="1"/>
  <c r="X93" i="51" s="1"/>
  <c r="AP152" i="104"/>
  <c r="AJ116" i="104"/>
  <c r="AJ117" i="104"/>
  <c r="AJ74" i="104"/>
  <c r="AN114" i="104"/>
  <c r="AN113" i="104"/>
  <c r="AN150" i="104" s="1"/>
  <c r="AN51" i="104"/>
  <c r="G44" i="104"/>
  <c r="C45" i="104"/>
  <c r="G45" i="104" s="1"/>
  <c r="AU120" i="104"/>
  <c r="E16" i="104"/>
  <c r="C11" i="104"/>
  <c r="D11" i="104"/>
  <c r="F15" i="104"/>
  <c r="I109" i="104" l="1"/>
  <c r="I108" i="104"/>
  <c r="I82" i="51"/>
  <c r="I83" i="51" s="1"/>
  <c r="I86" i="51" s="1"/>
  <c r="I85" i="51" s="1"/>
  <c r="I101" i="51" s="1"/>
  <c r="I103" i="51" s="1"/>
  <c r="X80" i="51"/>
  <c r="X87" i="51" s="1"/>
  <c r="X110" i="104"/>
  <c r="W80" i="51"/>
  <c r="W81" i="51" s="1"/>
  <c r="W148" i="104"/>
  <c r="W149" i="104" s="1"/>
  <c r="O108" i="104"/>
  <c r="O147" i="104" s="1"/>
  <c r="O132" i="104"/>
  <c r="BA168" i="3"/>
  <c r="AQ159" i="104"/>
  <c r="O82" i="51"/>
  <c r="O83" i="51" s="1"/>
  <c r="O86" i="51" s="1"/>
  <c r="O85" i="51" s="1"/>
  <c r="O101" i="51" s="1"/>
  <c r="O103" i="51" s="1"/>
  <c r="AK117" i="104"/>
  <c r="AQ120" i="104"/>
  <c r="AQ134" i="104"/>
  <c r="O157" i="104"/>
  <c r="U160" i="104" s="1"/>
  <c r="AK116" i="104"/>
  <c r="Y82" i="51"/>
  <c r="Y83" i="51" s="1"/>
  <c r="Y86" i="51" s="1"/>
  <c r="Y85" i="51" s="1"/>
  <c r="Y101" i="51" s="1"/>
  <c r="Y103" i="51" s="1"/>
  <c r="O109" i="104"/>
  <c r="O110" i="104" s="1"/>
  <c r="U132" i="104"/>
  <c r="V83" i="51"/>
  <c r="V86" i="51" s="1"/>
  <c r="V85" i="51" s="1"/>
  <c r="V101" i="51" s="1"/>
  <c r="V103" i="51" s="1"/>
  <c r="AJ101" i="51"/>
  <c r="AJ103" i="51" s="1"/>
  <c r="AJ80" i="51"/>
  <c r="K126" i="104"/>
  <c r="AN151" i="3"/>
  <c r="AN166" i="3" s="1"/>
  <c r="AT152" i="3"/>
  <c r="L82" i="51"/>
  <c r="L83" i="51" s="1"/>
  <c r="L86" i="51" s="1"/>
  <c r="L85" i="51" s="1"/>
  <c r="L101" i="51" s="1"/>
  <c r="L103" i="51" s="1"/>
  <c r="U147" i="104"/>
  <c r="Q82" i="51"/>
  <c r="Q83" i="51" s="1"/>
  <c r="Q86" i="51" s="1"/>
  <c r="Q85" i="51" s="1"/>
  <c r="Q101" i="51" s="1"/>
  <c r="Q103" i="51" s="1"/>
  <c r="Y108" i="104"/>
  <c r="AK147" i="104"/>
  <c r="AQ152" i="3"/>
  <c r="I147" i="104"/>
  <c r="AO152" i="3"/>
  <c r="K82" i="51"/>
  <c r="K83" i="51" s="1"/>
  <c r="K86" i="51" s="1"/>
  <c r="K85" i="51" s="1"/>
  <c r="K101" i="51" s="1"/>
  <c r="K103" i="51" s="1"/>
  <c r="P82" i="51"/>
  <c r="P83" i="51" s="1"/>
  <c r="P86" i="51" s="1"/>
  <c r="P85" i="51" s="1"/>
  <c r="P101" i="51" s="1"/>
  <c r="P103" i="51" s="1"/>
  <c r="V147" i="104"/>
  <c r="J82" i="51"/>
  <c r="R82" i="51"/>
  <c r="R83" i="51" s="1"/>
  <c r="R86" i="51" s="1"/>
  <c r="R85" i="51" s="1"/>
  <c r="R101" i="51" s="1"/>
  <c r="R103" i="51" s="1"/>
  <c r="AE147" i="104"/>
  <c r="BC162" i="104"/>
  <c r="AQ118" i="104"/>
  <c r="AQ154" i="3" s="1"/>
  <c r="AW155" i="3" s="1"/>
  <c r="AO167" i="3"/>
  <c r="AV155" i="3"/>
  <c r="BH169" i="3"/>
  <c r="AU170" i="3"/>
  <c r="BC168" i="3"/>
  <c r="AV168" i="3"/>
  <c r="AQ89" i="104"/>
  <c r="AQ95" i="104" s="1"/>
  <c r="AQ75" i="104"/>
  <c r="AO99" i="51"/>
  <c r="AO104" i="51" s="1"/>
  <c r="AU167" i="3"/>
  <c r="BA155" i="3"/>
  <c r="AI99" i="51"/>
  <c r="AI104" i="51" s="1"/>
  <c r="AB87" i="51"/>
  <c r="AH91" i="51"/>
  <c r="AH94" i="51"/>
  <c r="AN92" i="51"/>
  <c r="AN99" i="51"/>
  <c r="AN105" i="51" s="1"/>
  <c r="X91" i="51"/>
  <c r="X92" i="51" s="1"/>
  <c r="X94" i="51"/>
  <c r="AT166" i="3"/>
  <c r="AZ170" i="3"/>
  <c r="AL153" i="112"/>
  <c r="AD99" i="51"/>
  <c r="AD105" i="51" s="1"/>
  <c r="AS133" i="104"/>
  <c r="AM93" i="51"/>
  <c r="AT100" i="51"/>
  <c r="AT104" i="51"/>
  <c r="AI158" i="104"/>
  <c r="AO161" i="104" s="1"/>
  <c r="AC93" i="51"/>
  <c r="AS151" i="3"/>
  <c r="AW91" i="51"/>
  <c r="AW92" i="51" s="1"/>
  <c r="AS92" i="51"/>
  <c r="AS99" i="51"/>
  <c r="AS105" i="51" s="1"/>
  <c r="AC81" i="51"/>
  <c r="AC88" i="51"/>
  <c r="AB88" i="51"/>
  <c r="P38" i="112"/>
  <c r="O133" i="51"/>
  <c r="S62" i="3"/>
  <c r="D128" i="51"/>
  <c r="J129" i="51"/>
  <c r="G96" i="51"/>
  <c r="G127" i="51"/>
  <c r="G123" i="51"/>
  <c r="C128" i="51"/>
  <c r="I129" i="51"/>
  <c r="D98" i="51"/>
  <c r="J130" i="51"/>
  <c r="M14" i="112"/>
  <c r="V134" i="51"/>
  <c r="P131" i="51"/>
  <c r="P129" i="104" s="1"/>
  <c r="P128" i="104" s="1"/>
  <c r="C98" i="51"/>
  <c r="I130" i="51"/>
  <c r="I80" i="51"/>
  <c r="I81" i="51" s="1"/>
  <c r="AL152" i="112"/>
  <c r="AL155" i="112"/>
  <c r="AE80" i="51"/>
  <c r="AA88" i="51"/>
  <c r="AA81" i="51"/>
  <c r="AA87" i="51"/>
  <c r="AQ81" i="51"/>
  <c r="AQ87" i="51"/>
  <c r="AQ88" i="51"/>
  <c r="U80" i="51"/>
  <c r="W157" i="104"/>
  <c r="AC160" i="104" s="1"/>
  <c r="AK89" i="104"/>
  <c r="AK95" i="104" s="1"/>
  <c r="R108" i="104"/>
  <c r="AK75" i="104"/>
  <c r="J108" i="104"/>
  <c r="BW205" i="29"/>
  <c r="AT266" i="29"/>
  <c r="AT269" i="29" s="1"/>
  <c r="BT208" i="29"/>
  <c r="BU204" i="29"/>
  <c r="AQ160" i="104"/>
  <c r="AK148" i="104"/>
  <c r="AK149" i="104" s="1"/>
  <c r="Q109" i="104"/>
  <c r="Q110" i="104" s="1"/>
  <c r="Y51" i="104"/>
  <c r="AE148" i="104"/>
  <c r="AE149" i="104" s="1"/>
  <c r="S29" i="104"/>
  <c r="Y130" i="104"/>
  <c r="W132" i="104"/>
  <c r="AE157" i="104"/>
  <c r="AK160" i="104" s="1"/>
  <c r="AE132" i="104"/>
  <c r="S113" i="104"/>
  <c r="S150" i="104" s="1"/>
  <c r="Y152" i="104" s="1"/>
  <c r="AE153" i="104" s="1"/>
  <c r="Y109" i="104"/>
  <c r="Y110" i="104" s="1"/>
  <c r="AE128" i="104"/>
  <c r="AE117" i="104"/>
  <c r="AK134" i="104"/>
  <c r="Y129" i="104"/>
  <c r="AK120" i="104"/>
  <c r="S14" i="104"/>
  <c r="AK159" i="104"/>
  <c r="AE74" i="104"/>
  <c r="AE121" i="104" s="1"/>
  <c r="AE116" i="104"/>
  <c r="X132" i="104"/>
  <c r="X157" i="104"/>
  <c r="AD160" i="104" s="1"/>
  <c r="Q108" i="104"/>
  <c r="Q157" i="104"/>
  <c r="Y125" i="104"/>
  <c r="S27" i="104"/>
  <c r="R109" i="104"/>
  <c r="R148" i="104" s="1"/>
  <c r="R149" i="104" s="1"/>
  <c r="S115" i="104"/>
  <c r="S154" i="104" s="1"/>
  <c r="S107" i="104"/>
  <c r="R128" i="104"/>
  <c r="P157" i="104"/>
  <c r="J109" i="104"/>
  <c r="J148" i="104" s="1"/>
  <c r="J149" i="104" s="1"/>
  <c r="L125" i="104"/>
  <c r="V148" i="104"/>
  <c r="V149" i="104" s="1"/>
  <c r="V110" i="104"/>
  <c r="U148" i="104"/>
  <c r="U149" i="104" s="1"/>
  <c r="U110" i="104"/>
  <c r="V157" i="104"/>
  <c r="AB160" i="104" s="1"/>
  <c r="P109" i="104"/>
  <c r="P108" i="104"/>
  <c r="V132" i="104"/>
  <c r="AA160" i="104"/>
  <c r="P132" i="104"/>
  <c r="Q132" i="104"/>
  <c r="AI133" i="104"/>
  <c r="S130" i="104"/>
  <c r="CE118" i="104"/>
  <c r="BY119" i="104"/>
  <c r="CC118" i="104"/>
  <c r="BW119" i="104"/>
  <c r="BW203" i="29"/>
  <c r="BU124" i="29"/>
  <c r="BT135" i="29"/>
  <c r="BT218" i="29" s="1"/>
  <c r="BT224" i="29" s="1"/>
  <c r="BS140" i="29"/>
  <c r="BS141" i="29" s="1"/>
  <c r="BW204" i="29"/>
  <c r="BY159" i="29"/>
  <c r="BY136" i="29" s="1"/>
  <c r="BY137" i="29"/>
  <c r="BY122" i="29"/>
  <c r="AV258" i="29"/>
  <c r="AU265" i="29"/>
  <c r="BX121" i="29"/>
  <c r="AV263" i="29"/>
  <c r="AW256" i="29"/>
  <c r="AY256" i="29" s="1"/>
  <c r="BX119" i="29"/>
  <c r="BX203" i="29" s="1"/>
  <c r="BW124" i="29"/>
  <c r="BA261" i="29"/>
  <c r="BB254" i="29"/>
  <c r="BX240" i="29"/>
  <c r="BY235" i="29"/>
  <c r="BX123" i="29"/>
  <c r="BQ215" i="29"/>
  <c r="BQ225" i="29" s="1"/>
  <c r="BU208" i="29"/>
  <c r="BZ138" i="29"/>
  <c r="CA138" i="29" s="1"/>
  <c r="BX120" i="29"/>
  <c r="BS218" i="29"/>
  <c r="BW207" i="29"/>
  <c r="BW139" i="29"/>
  <c r="BU139" i="29"/>
  <c r="AV257" i="29"/>
  <c r="AU264" i="29"/>
  <c r="AD133" i="104"/>
  <c r="AJ159" i="104"/>
  <c r="AP162" i="104" s="1"/>
  <c r="G46" i="104"/>
  <c r="I46" i="104"/>
  <c r="I115" i="104" s="1"/>
  <c r="I154" i="104" s="1"/>
  <c r="Y164" i="104"/>
  <c r="AJ134" i="104"/>
  <c r="AJ120" i="104"/>
  <c r="AN133" i="104"/>
  <c r="M46" i="104"/>
  <c r="M115" i="104" s="1"/>
  <c r="M154" i="104" s="1"/>
  <c r="AN158" i="104"/>
  <c r="AT161" i="104" s="1"/>
  <c r="U128" i="104"/>
  <c r="L108" i="104"/>
  <c r="L109" i="104"/>
  <c r="Q128" i="104"/>
  <c r="Q127" i="104"/>
  <c r="R132" i="104"/>
  <c r="D12" i="104"/>
  <c r="D28" i="104"/>
  <c r="C12" i="104"/>
  <c r="G11" i="104"/>
  <c r="G12" i="104" s="1"/>
  <c r="C28" i="104"/>
  <c r="M29" i="104"/>
  <c r="R157" i="104"/>
  <c r="F29" i="104"/>
  <c r="F14" i="104"/>
  <c r="F107" i="104"/>
  <c r="F27" i="104"/>
  <c r="F115" i="104"/>
  <c r="F154" i="104" s="1"/>
  <c r="M14" i="104"/>
  <c r="M27" i="104"/>
  <c r="M107" i="104"/>
  <c r="S125" i="104"/>
  <c r="K130" i="104"/>
  <c r="U127" i="104"/>
  <c r="Y127" i="104" s="1"/>
  <c r="K109" i="104"/>
  <c r="K108" i="104"/>
  <c r="M158" i="104"/>
  <c r="M133" i="104"/>
  <c r="M114" i="104"/>
  <c r="M113" i="104"/>
  <c r="M150" i="104" s="1"/>
  <c r="S158" i="104"/>
  <c r="Y161" i="104" s="1"/>
  <c r="S133" i="104"/>
  <c r="AI116" i="104"/>
  <c r="AI117" i="104"/>
  <c r="AI74" i="104"/>
  <c r="AN117" i="104"/>
  <c r="AN153" i="3" s="1"/>
  <c r="AN116" i="104"/>
  <c r="AN74" i="104"/>
  <c r="AM114" i="104"/>
  <c r="AM113" i="104"/>
  <c r="AM150" i="104" s="1"/>
  <c r="AS152" i="104" s="1"/>
  <c r="AM51" i="104"/>
  <c r="AS116" i="104"/>
  <c r="AS117" i="104"/>
  <c r="AS153" i="3" s="1"/>
  <c r="AS74" i="104"/>
  <c r="AY120" i="104"/>
  <c r="AY159" i="104"/>
  <c r="AY134" i="104"/>
  <c r="AH113" i="104"/>
  <c r="AH150" i="104" s="1"/>
  <c r="AN152" i="104" s="1"/>
  <c r="AH114" i="104"/>
  <c r="AH51" i="104"/>
  <c r="AA36" i="104"/>
  <c r="AG35" i="104"/>
  <c r="AG40" i="104" s="1"/>
  <c r="AG93" i="51" s="1"/>
  <c r="AT120" i="104"/>
  <c r="AO134" i="104"/>
  <c r="AP139" i="104"/>
  <c r="AP122" i="104"/>
  <c r="AP104" i="104"/>
  <c r="L36" i="104"/>
  <c r="R35" i="104"/>
  <c r="R40" i="104" s="1"/>
  <c r="R93" i="51" s="1"/>
  <c r="AT118" i="104"/>
  <c r="AT154" i="3" s="1"/>
  <c r="AO118" i="104"/>
  <c r="AO154" i="3" s="1"/>
  <c r="AY152" i="104"/>
  <c r="AJ121" i="104"/>
  <c r="AJ89" i="104"/>
  <c r="AJ95" i="104" s="1"/>
  <c r="AJ75" i="104"/>
  <c r="AT121" i="104"/>
  <c r="AT89" i="104"/>
  <c r="AT95" i="104" s="1"/>
  <c r="AT75" i="104"/>
  <c r="BF153" i="104"/>
  <c r="AJ152" i="104"/>
  <c r="AP153" i="104" s="1"/>
  <c r="AT159" i="104"/>
  <c r="AZ162" i="104" s="1"/>
  <c r="AO121" i="104"/>
  <c r="AO89" i="104"/>
  <c r="AO95" i="104" s="1"/>
  <c r="AO75" i="104"/>
  <c r="Q36" i="104"/>
  <c r="W35" i="104"/>
  <c r="W40" i="104" s="1"/>
  <c r="W93" i="51" s="1"/>
  <c r="X114" i="104"/>
  <c r="X113" i="104"/>
  <c r="X150" i="104" s="1"/>
  <c r="AD152" i="104" s="1"/>
  <c r="X51" i="104"/>
  <c r="I148" i="104"/>
  <c r="I149" i="104" s="1"/>
  <c r="I110" i="104"/>
  <c r="AV153" i="104"/>
  <c r="BB136" i="104"/>
  <c r="AT152" i="104"/>
  <c r="AD116" i="104"/>
  <c r="AD74" i="104"/>
  <c r="AD117" i="104"/>
  <c r="AT134" i="104"/>
  <c r="AO120" i="104"/>
  <c r="AK153" i="104"/>
  <c r="AS158" i="104"/>
  <c r="AY161" i="104" s="1"/>
  <c r="AD158" i="104"/>
  <c r="AJ161" i="104" s="1"/>
  <c r="V36" i="104"/>
  <c r="AB35" i="104"/>
  <c r="AB40" i="104" s="1"/>
  <c r="AB93" i="51" s="1"/>
  <c r="C46" i="104"/>
  <c r="AV135" i="104"/>
  <c r="AU139" i="104"/>
  <c r="AU104" i="104"/>
  <c r="AU122" i="104"/>
  <c r="BA135" i="104"/>
  <c r="AC113" i="104"/>
  <c r="AC150" i="104" s="1"/>
  <c r="AI152" i="104" s="1"/>
  <c r="AC114" i="104"/>
  <c r="AC51" i="104"/>
  <c r="AO159" i="104"/>
  <c r="AU162" i="104" s="1"/>
  <c r="D16" i="104"/>
  <c r="C16" i="104"/>
  <c r="E15" i="104"/>
  <c r="X81" i="51" l="1"/>
  <c r="X88" i="51"/>
  <c r="W88" i="51"/>
  <c r="W87" i="51"/>
  <c r="BG169" i="3"/>
  <c r="AW162" i="104"/>
  <c r="O148" i="104"/>
  <c r="O149" i="104" s="1"/>
  <c r="AQ162" i="104"/>
  <c r="O80" i="51"/>
  <c r="O87" i="51" s="1"/>
  <c r="M82" i="51"/>
  <c r="M83" i="51" s="1"/>
  <c r="M86" i="51" s="1"/>
  <c r="M85" i="51" s="1"/>
  <c r="M101" i="51" s="1"/>
  <c r="M103" i="51" s="1"/>
  <c r="S82" i="51"/>
  <c r="S83" i="51" s="1"/>
  <c r="S86" i="51" s="1"/>
  <c r="S85" i="51" s="1"/>
  <c r="S101" i="51" s="1"/>
  <c r="S103" i="51" s="1"/>
  <c r="AL154" i="112"/>
  <c r="AU266" i="29"/>
  <c r="AU269" i="29" s="1"/>
  <c r="J83" i="51"/>
  <c r="J86" i="51" s="1"/>
  <c r="J85" i="51" s="1"/>
  <c r="J101" i="51" s="1"/>
  <c r="J103" i="51" s="1"/>
  <c r="AZ168" i="3"/>
  <c r="AP135" i="104"/>
  <c r="AK122" i="104"/>
  <c r="V80" i="51"/>
  <c r="V87" i="51" s="1"/>
  <c r="J126" i="104"/>
  <c r="AU135" i="104"/>
  <c r="AQ122" i="104"/>
  <c r="AJ87" i="51"/>
  <c r="AJ99" i="51"/>
  <c r="AK80" i="51"/>
  <c r="AJ88" i="51"/>
  <c r="AJ81" i="51"/>
  <c r="AD159" i="104"/>
  <c r="AJ162" i="104" s="1"/>
  <c r="AS152" i="3"/>
  <c r="AN152" i="3"/>
  <c r="M51" i="104"/>
  <c r="M117" i="104" s="1"/>
  <c r="P147" i="104"/>
  <c r="Q147" i="104"/>
  <c r="J147" i="104"/>
  <c r="R147" i="104"/>
  <c r="AM151" i="3"/>
  <c r="AM166" i="3" s="1"/>
  <c r="K147" i="104"/>
  <c r="L147" i="104"/>
  <c r="Y132" i="104"/>
  <c r="AE159" i="104"/>
  <c r="AK162" i="104" s="1"/>
  <c r="Y147" i="104"/>
  <c r="X133" i="104"/>
  <c r="AU168" i="3"/>
  <c r="AW135" i="104"/>
  <c r="AY168" i="3"/>
  <c r="AS36" i="112"/>
  <c r="AO100" i="51"/>
  <c r="AO105" i="51"/>
  <c r="AI105" i="51"/>
  <c r="I88" i="51"/>
  <c r="I87" i="51"/>
  <c r="X99" i="51"/>
  <c r="X100" i="51" s="1"/>
  <c r="AI100" i="51"/>
  <c r="AZ155" i="3"/>
  <c r="AU155" i="3"/>
  <c r="R91" i="51"/>
  <c r="R92" i="51" s="1"/>
  <c r="R94" i="51"/>
  <c r="AC91" i="51"/>
  <c r="AC94" i="51"/>
  <c r="AS166" i="3"/>
  <c r="AY170" i="3"/>
  <c r="AH92" i="51"/>
  <c r="AH99" i="51"/>
  <c r="AT170" i="3"/>
  <c r="W91" i="51"/>
  <c r="W94" i="51"/>
  <c r="AD104" i="51"/>
  <c r="AD100" i="51"/>
  <c r="AS104" i="51"/>
  <c r="AS100" i="51"/>
  <c r="AW99" i="51"/>
  <c r="AB91" i="51"/>
  <c r="AB94" i="51"/>
  <c r="AM91" i="51"/>
  <c r="AQ93" i="51"/>
  <c r="AM94" i="51"/>
  <c r="AG91" i="51"/>
  <c r="AK93" i="51"/>
  <c r="AK91" i="51" s="1"/>
  <c r="AK92" i="51" s="1"/>
  <c r="AG94" i="51"/>
  <c r="AT167" i="3"/>
  <c r="AN104" i="51"/>
  <c r="AN100" i="51"/>
  <c r="Q80" i="51"/>
  <c r="Q87" i="51" s="1"/>
  <c r="K80" i="51"/>
  <c r="K81" i="51" s="1"/>
  <c r="P80" i="51"/>
  <c r="P87" i="51" s="1"/>
  <c r="G128" i="51"/>
  <c r="M129" i="51"/>
  <c r="S133" i="51"/>
  <c r="M132" i="51"/>
  <c r="G98" i="51"/>
  <c r="M130" i="51"/>
  <c r="L14" i="112"/>
  <c r="U134" i="51"/>
  <c r="O131" i="51"/>
  <c r="O129" i="104" s="1"/>
  <c r="R80" i="51"/>
  <c r="R88" i="51" s="1"/>
  <c r="L80" i="51"/>
  <c r="L88" i="51" s="1"/>
  <c r="AV169" i="3"/>
  <c r="BB169" i="3"/>
  <c r="U87" i="51"/>
  <c r="U81" i="51"/>
  <c r="U88" i="51"/>
  <c r="AE81" i="51"/>
  <c r="AE88" i="51"/>
  <c r="AE87" i="51"/>
  <c r="P127" i="104"/>
  <c r="AQ135" i="104"/>
  <c r="W160" i="104"/>
  <c r="Q148" i="104"/>
  <c r="Q149" i="104" s="1"/>
  <c r="Y74" i="104"/>
  <c r="Y75" i="104" s="1"/>
  <c r="Y116" i="104"/>
  <c r="AE134" i="104"/>
  <c r="AE120" i="104"/>
  <c r="Y117" i="104"/>
  <c r="S51" i="104"/>
  <c r="S109" i="104"/>
  <c r="S110" i="104" s="1"/>
  <c r="Y128" i="104"/>
  <c r="AE89" i="104"/>
  <c r="AE95" i="104" s="1"/>
  <c r="Y148" i="104"/>
  <c r="Y149" i="104" s="1"/>
  <c r="S152" i="104"/>
  <c r="Y153" i="104" s="1"/>
  <c r="Y157" i="104"/>
  <c r="AE160" i="104" s="1"/>
  <c r="J110" i="104"/>
  <c r="AE75" i="104"/>
  <c r="X160" i="104"/>
  <c r="J130" i="104"/>
  <c r="R110" i="104"/>
  <c r="S108" i="104"/>
  <c r="V160" i="104"/>
  <c r="P110" i="104"/>
  <c r="P148" i="104"/>
  <c r="P149" i="104" s="1"/>
  <c r="CC119" i="104"/>
  <c r="CE119" i="104"/>
  <c r="BY123" i="29"/>
  <c r="BY207" i="29" s="1"/>
  <c r="BX207" i="29"/>
  <c r="AV264" i="29"/>
  <c r="AW264" i="29" s="1"/>
  <c r="AW257" i="29"/>
  <c r="AY257" i="29" s="1"/>
  <c r="AV265" i="29"/>
  <c r="AW265" i="29" s="1"/>
  <c r="AW258" i="29"/>
  <c r="AY258" i="29" s="1"/>
  <c r="BY120" i="29"/>
  <c r="AW263" i="29"/>
  <c r="BZ122" i="29"/>
  <c r="BY163" i="29"/>
  <c r="BY164" i="29" s="1"/>
  <c r="BX128" i="29"/>
  <c r="BT128" i="29"/>
  <c r="BW128" i="29"/>
  <c r="BS128" i="29"/>
  <c r="CA159" i="29"/>
  <c r="CA163" i="29" s="1"/>
  <c r="CA164" i="29" s="1"/>
  <c r="BX139" i="29"/>
  <c r="BS224" i="29"/>
  <c r="BU218" i="29"/>
  <c r="BU224" i="29" s="1"/>
  <c r="BZ136" i="29"/>
  <c r="CA136" i="29" s="1"/>
  <c r="BX204" i="29"/>
  <c r="BY121" i="29"/>
  <c r="BY206" i="29"/>
  <c r="BY219" i="29"/>
  <c r="BW208" i="29"/>
  <c r="CC138" i="29"/>
  <c r="BB261" i="29"/>
  <c r="BC254" i="29"/>
  <c r="BE254" i="29" s="1"/>
  <c r="BX205" i="29"/>
  <c r="BZ137" i="29"/>
  <c r="BT140" i="29"/>
  <c r="BT141" i="29" s="1"/>
  <c r="BU135" i="29"/>
  <c r="BY240" i="29"/>
  <c r="BZ235" i="29"/>
  <c r="AZ256" i="29"/>
  <c r="AY263" i="29"/>
  <c r="BW222" i="29"/>
  <c r="BZ221" i="29"/>
  <c r="CA221" i="29" s="1"/>
  <c r="BX124" i="29"/>
  <c r="BY119" i="29"/>
  <c r="BY220" i="29"/>
  <c r="X158" i="104"/>
  <c r="AD161" i="104" s="1"/>
  <c r="AC158" i="104"/>
  <c r="AI161" i="104" s="1"/>
  <c r="AV136" i="104"/>
  <c r="AD134" i="104"/>
  <c r="AN120" i="104"/>
  <c r="AI134" i="104"/>
  <c r="AS120" i="104"/>
  <c r="AM158" i="104"/>
  <c r="AS161" i="104" s="1"/>
  <c r="G16" i="104"/>
  <c r="I126" i="104"/>
  <c r="F109" i="104"/>
  <c r="F108" i="104"/>
  <c r="L148" i="104"/>
  <c r="L149" i="104" s="1"/>
  <c r="L110" i="104"/>
  <c r="AI120" i="104"/>
  <c r="BW12" i="104"/>
  <c r="S157" i="104"/>
  <c r="E14" i="104"/>
  <c r="E29" i="104"/>
  <c r="E27" i="104"/>
  <c r="E107" i="104"/>
  <c r="E115" i="104"/>
  <c r="E154" i="104" s="1"/>
  <c r="K125" i="104"/>
  <c r="AI159" i="104"/>
  <c r="AO162" i="104" s="1"/>
  <c r="L132" i="104"/>
  <c r="K148" i="104"/>
  <c r="K149" i="104" s="1"/>
  <c r="K110" i="104"/>
  <c r="M108" i="104"/>
  <c r="M109" i="104"/>
  <c r="I130" i="104"/>
  <c r="AD120" i="104"/>
  <c r="G28" i="104"/>
  <c r="L157" i="104"/>
  <c r="S132" i="104"/>
  <c r="AO153" i="104"/>
  <c r="U36" i="104"/>
  <c r="AA35" i="104"/>
  <c r="AA40" i="104" s="1"/>
  <c r="AA93" i="51" s="1"/>
  <c r="AS121" i="104"/>
  <c r="AS89" i="104"/>
  <c r="AS95" i="104" s="1"/>
  <c r="AS75" i="104"/>
  <c r="AC133" i="104"/>
  <c r="BA136" i="104"/>
  <c r="AT153" i="104"/>
  <c r="AT139" i="104"/>
  <c r="AT122" i="104"/>
  <c r="AT104" i="104"/>
  <c r="AZ135" i="104"/>
  <c r="AH117" i="104"/>
  <c r="AH116" i="104"/>
  <c r="AH74" i="104"/>
  <c r="AS118" i="104"/>
  <c r="AS154" i="3" s="1"/>
  <c r="AM117" i="104"/>
  <c r="AM153" i="3" s="1"/>
  <c r="AM74" i="104"/>
  <c r="AM116" i="104"/>
  <c r="AN134" i="104"/>
  <c r="AB113" i="104"/>
  <c r="AB150" i="104" s="1"/>
  <c r="AH152" i="104" s="1"/>
  <c r="AB114" i="104"/>
  <c r="AB51" i="104"/>
  <c r="AO122" i="104"/>
  <c r="AO139" i="104"/>
  <c r="AO104" i="104"/>
  <c r="AN159" i="104"/>
  <c r="AT162" i="104" s="1"/>
  <c r="W113" i="104"/>
  <c r="W150" i="104" s="1"/>
  <c r="W114" i="104"/>
  <c r="W51" i="104"/>
  <c r="AD121" i="104"/>
  <c r="AD89" i="104"/>
  <c r="AD95" i="104" s="1"/>
  <c r="AD75" i="104"/>
  <c r="K36" i="104"/>
  <c r="Q35" i="104"/>
  <c r="Q40" i="104" s="1"/>
  <c r="Q93" i="51" s="1"/>
  <c r="AJ122" i="104"/>
  <c r="AJ139" i="104"/>
  <c r="AJ104" i="104"/>
  <c r="R114" i="104"/>
  <c r="R113" i="104"/>
  <c r="R150" i="104" s="1"/>
  <c r="X152" i="104" s="1"/>
  <c r="R51" i="104"/>
  <c r="AS134" i="104"/>
  <c r="AC116" i="104"/>
  <c r="AC117" i="104"/>
  <c r="AC74" i="104"/>
  <c r="X116" i="104"/>
  <c r="X117" i="104"/>
  <c r="X74" i="104"/>
  <c r="AJ153" i="104"/>
  <c r="F36" i="104"/>
  <c r="F35" i="104" s="1"/>
  <c r="F40" i="104" s="1"/>
  <c r="F93" i="51" s="1"/>
  <c r="L35" i="104"/>
  <c r="L40" i="104" s="1"/>
  <c r="AH133" i="104"/>
  <c r="AS159" i="104"/>
  <c r="AY162" i="104" s="1"/>
  <c r="AM133" i="104"/>
  <c r="AN121" i="104"/>
  <c r="AN89" i="104"/>
  <c r="AN95" i="104" s="1"/>
  <c r="AN75" i="104"/>
  <c r="AI89" i="104"/>
  <c r="AI95" i="104" s="1"/>
  <c r="AI121" i="104"/>
  <c r="AI75" i="104"/>
  <c r="AY153" i="104"/>
  <c r="AH158" i="104"/>
  <c r="AN161" i="104" s="1"/>
  <c r="P36" i="104"/>
  <c r="V35" i="104"/>
  <c r="V40" i="104" s="1"/>
  <c r="V93" i="51" s="1"/>
  <c r="AZ153" i="104"/>
  <c r="AG114" i="104"/>
  <c r="AG113" i="104"/>
  <c r="AG150" i="104" s="1"/>
  <c r="AM152" i="104" s="1"/>
  <c r="AS153" i="104" s="1"/>
  <c r="AG51" i="104"/>
  <c r="AN118" i="104"/>
  <c r="AN154" i="3" s="1"/>
  <c r="M161" i="104"/>
  <c r="S161" i="104"/>
  <c r="C15" i="104"/>
  <c r="D15" i="104"/>
  <c r="AG158" i="104" l="1"/>
  <c r="AG133" i="104"/>
  <c r="AV36" i="112"/>
  <c r="AZ36" i="112"/>
  <c r="M74" i="104"/>
  <c r="M75" i="104" s="1"/>
  <c r="M116" i="104"/>
  <c r="V88" i="51"/>
  <c r="O88" i="51"/>
  <c r="O81" i="51"/>
  <c r="V81" i="51"/>
  <c r="Y80" i="51"/>
  <c r="Y88" i="51" s="1"/>
  <c r="J80" i="51"/>
  <c r="J87" i="51" s="1"/>
  <c r="AV266" i="29"/>
  <c r="AV269" i="29" s="1"/>
  <c r="AW269" i="29" s="1"/>
  <c r="BF169" i="3"/>
  <c r="AK135" i="104"/>
  <c r="AJ135" i="104"/>
  <c r="AJ104" i="51"/>
  <c r="AJ100" i="51"/>
  <c r="AJ105" i="51"/>
  <c r="AK87" i="51"/>
  <c r="AK88" i="51"/>
  <c r="AK81" i="51"/>
  <c r="M147" i="104"/>
  <c r="F147" i="104"/>
  <c r="S147" i="104"/>
  <c r="X134" i="104"/>
  <c r="AM152" i="3"/>
  <c r="Y120" i="104"/>
  <c r="X170" i="104" s="1"/>
  <c r="X167" i="104" s="1"/>
  <c r="AS170" i="3"/>
  <c r="AT168" i="3"/>
  <c r="AT155" i="3"/>
  <c r="AQ166" i="3"/>
  <c r="AS38" i="112"/>
  <c r="K87" i="51"/>
  <c r="X104" i="51"/>
  <c r="X105" i="51"/>
  <c r="Q81" i="51"/>
  <c r="L81" i="51"/>
  <c r="R81" i="51"/>
  <c r="Q88" i="51"/>
  <c r="K88" i="51"/>
  <c r="AY155" i="3"/>
  <c r="AM92" i="51"/>
  <c r="AM99" i="51"/>
  <c r="R158" i="104"/>
  <c r="X161" i="104" s="1"/>
  <c r="L93" i="51"/>
  <c r="AW100" i="51"/>
  <c r="AW105" i="51"/>
  <c r="AW104" i="51"/>
  <c r="AC92" i="51"/>
  <c r="AC99" i="51"/>
  <c r="F91" i="51"/>
  <c r="F92" i="51" s="1"/>
  <c r="F94" i="51"/>
  <c r="AA91" i="51"/>
  <c r="AE93" i="51"/>
  <c r="AA94" i="51"/>
  <c r="AW166" i="3"/>
  <c r="AB92" i="51"/>
  <c r="AB99" i="51"/>
  <c r="Q91" i="51"/>
  <c r="Q94" i="51"/>
  <c r="AG92" i="51"/>
  <c r="AG99" i="51"/>
  <c r="AK99" i="51" s="1"/>
  <c r="AH104" i="51"/>
  <c r="AH100" i="51"/>
  <c r="AQ91" i="51"/>
  <c r="AQ92" i="51" s="1"/>
  <c r="AQ94" i="51"/>
  <c r="W92" i="51"/>
  <c r="W99" i="51"/>
  <c r="W105" i="51" s="1"/>
  <c r="V91" i="51"/>
  <c r="V94" i="51"/>
  <c r="AH105" i="51"/>
  <c r="S80" i="51"/>
  <c r="S81" i="51" s="1"/>
  <c r="R87" i="51"/>
  <c r="P88" i="51"/>
  <c r="P81" i="51"/>
  <c r="R99" i="51"/>
  <c r="R104" i="51" s="1"/>
  <c r="L133" i="51"/>
  <c r="L87" i="51"/>
  <c r="Y134" i="51"/>
  <c r="S131" i="51"/>
  <c r="AN167" i="3"/>
  <c r="AU169" i="3"/>
  <c r="BA169" i="3"/>
  <c r="AS167" i="3"/>
  <c r="BX208" i="29"/>
  <c r="Y89" i="104"/>
  <c r="Y95" i="104" s="1"/>
  <c r="Y121" i="104"/>
  <c r="S134" i="104"/>
  <c r="Y134" i="104"/>
  <c r="S159" i="104"/>
  <c r="S120" i="104"/>
  <c r="O170" i="104" s="1"/>
  <c r="O167" i="104" s="1"/>
  <c r="S74" i="104"/>
  <c r="S121" i="104" s="1"/>
  <c r="S148" i="104"/>
  <c r="S149" i="104" s="1"/>
  <c r="S117" i="104"/>
  <c r="S116" i="104"/>
  <c r="Y159" i="104"/>
  <c r="AE162" i="104" s="1"/>
  <c r="AE122" i="104"/>
  <c r="Y160" i="104"/>
  <c r="X120" i="104"/>
  <c r="AM161" i="104"/>
  <c r="BF254" i="29"/>
  <c r="BE261" i="29"/>
  <c r="BY139" i="29"/>
  <c r="CA122" i="29"/>
  <c r="CC122" i="29"/>
  <c r="AZ258" i="29"/>
  <c r="AY265" i="29"/>
  <c r="BW135" i="29"/>
  <c r="BW218" i="29" s="1"/>
  <c r="BU140" i="29"/>
  <c r="BU141" i="29" s="1"/>
  <c r="BZ121" i="29"/>
  <c r="BX222" i="29"/>
  <c r="BZ206" i="29"/>
  <c r="CA206" i="29" s="1"/>
  <c r="BY205" i="29"/>
  <c r="AW266" i="29"/>
  <c r="BZ123" i="29"/>
  <c r="BZ207" i="29" s="1"/>
  <c r="CA207" i="29" s="1"/>
  <c r="BZ119" i="29"/>
  <c r="BZ203" i="29" s="1"/>
  <c r="BY124" i="29"/>
  <c r="CD138" i="29"/>
  <c r="CD221" i="29" s="1"/>
  <c r="BT212" i="29"/>
  <c r="BT215" i="29" s="1"/>
  <c r="BT225" i="29" s="1"/>
  <c r="BS132" i="29"/>
  <c r="BS143" i="29" s="1"/>
  <c r="BS212" i="29"/>
  <c r="CA137" i="29"/>
  <c r="CC137" i="29"/>
  <c r="CC221" i="29"/>
  <c r="CC136" i="29"/>
  <c r="BX212" i="29"/>
  <c r="BX215" i="29" s="1"/>
  <c r="BW132" i="29"/>
  <c r="BW143" i="29" s="1"/>
  <c r="BW302" i="29" s="1"/>
  <c r="BY203" i="29"/>
  <c r="BZ220" i="29"/>
  <c r="CA220" i="29" s="1"/>
  <c r="BZ219" i="29"/>
  <c r="CA219" i="29" s="1"/>
  <c r="BU128" i="29"/>
  <c r="BT132" i="29"/>
  <c r="BT143" i="29" s="1"/>
  <c r="BT144" i="29" s="1"/>
  <c r="BT301" i="29" s="1"/>
  <c r="BC261" i="29"/>
  <c r="CC235" i="29"/>
  <c r="CA235" i="29"/>
  <c r="CA240" i="29" s="1"/>
  <c r="BZ240" i="29"/>
  <c r="BX132" i="29"/>
  <c r="BX143" i="29" s="1"/>
  <c r="BX302" i="29" s="1"/>
  <c r="BZ120" i="29"/>
  <c r="AZ263" i="29"/>
  <c r="BA256" i="29"/>
  <c r="AY264" i="29"/>
  <c r="AZ257" i="29"/>
  <c r="BY204" i="29"/>
  <c r="AM134" i="104"/>
  <c r="AM159" i="104"/>
  <c r="AS162" i="104" s="1"/>
  <c r="AB158" i="104"/>
  <c r="AH161" i="104" s="1"/>
  <c r="AP136" i="104"/>
  <c r="R133" i="104"/>
  <c r="X159" i="104"/>
  <c r="AD162" i="104" s="1"/>
  <c r="AH120" i="104"/>
  <c r="R160" i="104"/>
  <c r="L160" i="104"/>
  <c r="M126" i="104"/>
  <c r="G114" i="104"/>
  <c r="BR12" i="104"/>
  <c r="M110" i="104"/>
  <c r="M148" i="104"/>
  <c r="M149" i="104" s="1"/>
  <c r="S129" i="104"/>
  <c r="S128" i="104" s="1"/>
  <c r="O127" i="104"/>
  <c r="S127" i="104" s="1"/>
  <c r="O128" i="104"/>
  <c r="G15" i="104"/>
  <c r="C29" i="104"/>
  <c r="C14" i="104"/>
  <c r="C107" i="104"/>
  <c r="C27" i="104"/>
  <c r="I125" i="104"/>
  <c r="AH134" i="104"/>
  <c r="C115" i="104"/>
  <c r="C154" i="104" s="1"/>
  <c r="F148" i="104"/>
  <c r="F149" i="104" s="1"/>
  <c r="F110" i="104"/>
  <c r="CC12" i="104"/>
  <c r="BM12" i="104"/>
  <c r="D29" i="104"/>
  <c r="D14" i="104"/>
  <c r="D27" i="104"/>
  <c r="D107" i="104"/>
  <c r="D115" i="104"/>
  <c r="D154" i="104" s="1"/>
  <c r="J125" i="104"/>
  <c r="E108" i="104"/>
  <c r="E109" i="104"/>
  <c r="K157" i="104"/>
  <c r="K132" i="104"/>
  <c r="AD153" i="104"/>
  <c r="AN153" i="104"/>
  <c r="Q114" i="104"/>
  <c r="Q113" i="104"/>
  <c r="Q150" i="104" s="1"/>
  <c r="W152" i="104" s="1"/>
  <c r="Q51" i="104"/>
  <c r="J36" i="104"/>
  <c r="P35" i="104"/>
  <c r="P40" i="104" s="1"/>
  <c r="P93" i="51" s="1"/>
  <c r="E36" i="104"/>
  <c r="E35" i="104" s="1"/>
  <c r="E40" i="104" s="1"/>
  <c r="E93" i="51" s="1"/>
  <c r="K35" i="104"/>
  <c r="K40" i="104" s="1"/>
  <c r="K93" i="51" s="1"/>
  <c r="AB133" i="104"/>
  <c r="AG117" i="104"/>
  <c r="AG116" i="104"/>
  <c r="AG74" i="104"/>
  <c r="AN139" i="104"/>
  <c r="AN122" i="104"/>
  <c r="AN104" i="104"/>
  <c r="AC121" i="104"/>
  <c r="AC89" i="104"/>
  <c r="AC95" i="104" s="1"/>
  <c r="AC75" i="104"/>
  <c r="AH159" i="104"/>
  <c r="AN162" i="104" s="1"/>
  <c r="AU136" i="104"/>
  <c r="V113" i="104"/>
  <c r="V150" i="104" s="1"/>
  <c r="AB152" i="104" s="1"/>
  <c r="AH153" i="104" s="1"/>
  <c r="V114" i="104"/>
  <c r="V51" i="104"/>
  <c r="AI139" i="104"/>
  <c r="AI122" i="104"/>
  <c r="AI104" i="104"/>
  <c r="W116" i="104"/>
  <c r="W117" i="104"/>
  <c r="W74" i="104"/>
  <c r="W133" i="104"/>
  <c r="AZ136" i="104"/>
  <c r="AC152" i="104"/>
  <c r="AC120" i="104"/>
  <c r="W158" i="104"/>
  <c r="AC161" i="104" s="1"/>
  <c r="AB116" i="104"/>
  <c r="AB74" i="104"/>
  <c r="AB117" i="104"/>
  <c r="AM121" i="104"/>
  <c r="AM89" i="104"/>
  <c r="AM95" i="104" s="1"/>
  <c r="AM75" i="104"/>
  <c r="AH121" i="104"/>
  <c r="AH89" i="104"/>
  <c r="AH95" i="104" s="1"/>
  <c r="AH75" i="104"/>
  <c r="AS139" i="104"/>
  <c r="AW139" i="104" s="1"/>
  <c r="AS104" i="104"/>
  <c r="AS122" i="104"/>
  <c r="AY135" i="104"/>
  <c r="O36" i="104"/>
  <c r="U35" i="104"/>
  <c r="U40" i="104" s="1"/>
  <c r="U93" i="51" s="1"/>
  <c r="X121" i="104"/>
  <c r="X89" i="104"/>
  <c r="X95" i="104" s="1"/>
  <c r="X75" i="104"/>
  <c r="AO135" i="104"/>
  <c r="AC134" i="104"/>
  <c r="R117" i="104"/>
  <c r="R116" i="104"/>
  <c r="R74" i="104"/>
  <c r="AD139" i="104"/>
  <c r="AD122" i="104"/>
  <c r="AD104" i="104"/>
  <c r="AM118" i="104"/>
  <c r="AM154" i="3" s="1"/>
  <c r="AT135" i="104"/>
  <c r="F113" i="104"/>
  <c r="F150" i="104" s="1"/>
  <c r="F114" i="104"/>
  <c r="F51" i="104"/>
  <c r="L158" i="104"/>
  <c r="L133" i="104"/>
  <c r="L114" i="104"/>
  <c r="L113" i="104"/>
  <c r="L150" i="104" s="1"/>
  <c r="L51" i="104"/>
  <c r="AC159" i="104"/>
  <c r="AI162" i="104" s="1"/>
  <c r="AM120" i="104"/>
  <c r="AA113" i="104"/>
  <c r="AA150" i="104" s="1"/>
  <c r="AA114" i="104"/>
  <c r="AA51" i="104"/>
  <c r="AV38" i="112" l="1"/>
  <c r="AZ38" i="112"/>
  <c r="M89" i="104"/>
  <c r="M95" i="104" s="1"/>
  <c r="M121" i="104"/>
  <c r="J81" i="51"/>
  <c r="Y81" i="51"/>
  <c r="Y87" i="51"/>
  <c r="M80" i="51"/>
  <c r="M87" i="51" s="1"/>
  <c r="J88" i="51"/>
  <c r="W170" i="104"/>
  <c r="W167" i="104" s="1"/>
  <c r="AY266" i="29"/>
  <c r="AY269" i="29" s="1"/>
  <c r="Y122" i="104"/>
  <c r="AI135" i="104"/>
  <c r="AD135" i="104"/>
  <c r="U170" i="104"/>
  <c r="U167" i="104" s="1"/>
  <c r="V170" i="104"/>
  <c r="V167" i="104" s="1"/>
  <c r="AN135" i="104"/>
  <c r="W159" i="104"/>
  <c r="AC162" i="104" s="1"/>
  <c r="E147" i="104"/>
  <c r="M130" i="104"/>
  <c r="AW170" i="3"/>
  <c r="AS168" i="3"/>
  <c r="AS155" i="3"/>
  <c r="AT36" i="112"/>
  <c r="AA133" i="104"/>
  <c r="AG105" i="51"/>
  <c r="P91" i="51"/>
  <c r="P94" i="51"/>
  <c r="K91" i="51"/>
  <c r="K94" i="51"/>
  <c r="Q92" i="51"/>
  <c r="Q99" i="51"/>
  <c r="U91" i="51"/>
  <c r="Y93" i="51"/>
  <c r="U94" i="51"/>
  <c r="AB104" i="51"/>
  <c r="AB100" i="51"/>
  <c r="S88" i="51"/>
  <c r="R105" i="51"/>
  <c r="AB105" i="51"/>
  <c r="AC104" i="51"/>
  <c r="AC100" i="51"/>
  <c r="AC105" i="51"/>
  <c r="AE91" i="51"/>
  <c r="AE92" i="51" s="1"/>
  <c r="AE94" i="51"/>
  <c r="S87" i="51"/>
  <c r="R100" i="51"/>
  <c r="V92" i="51"/>
  <c r="V99" i="51"/>
  <c r="V105" i="51" s="1"/>
  <c r="AK105" i="51"/>
  <c r="AK104" i="51"/>
  <c r="AK100" i="51"/>
  <c r="AM100" i="51"/>
  <c r="AM104" i="51"/>
  <c r="AQ99" i="51"/>
  <c r="AM105" i="51"/>
  <c r="AA92" i="51"/>
  <c r="AA99" i="51"/>
  <c r="AA105" i="51" s="1"/>
  <c r="E91" i="51"/>
  <c r="E92" i="51" s="1"/>
  <c r="E94" i="51"/>
  <c r="L91" i="51"/>
  <c r="L94" i="51"/>
  <c r="W100" i="51"/>
  <c r="W104" i="51"/>
  <c r="AG104" i="51"/>
  <c r="AG100" i="51"/>
  <c r="K133" i="51"/>
  <c r="R134" i="51"/>
  <c r="L131" i="51"/>
  <c r="L129" i="104" s="1"/>
  <c r="AT169" i="3"/>
  <c r="AZ169" i="3"/>
  <c r="AM167" i="3"/>
  <c r="AQ167" i="3"/>
  <c r="AW167" i="3"/>
  <c r="AG159" i="104"/>
  <c r="AM162" i="104" s="1"/>
  <c r="CC206" i="29"/>
  <c r="AE135" i="104"/>
  <c r="S75" i="104"/>
  <c r="S89" i="104"/>
  <c r="S95" i="104" s="1"/>
  <c r="P170" i="104"/>
  <c r="P167" i="104" s="1"/>
  <c r="Q170" i="104"/>
  <c r="Q167" i="104" s="1"/>
  <c r="R170" i="104"/>
  <c r="R167" i="104" s="1"/>
  <c r="Y162" i="104"/>
  <c r="BW212" i="29"/>
  <c r="BU132" i="29"/>
  <c r="BB256" i="29"/>
  <c r="BA263" i="29"/>
  <c r="CD137" i="29"/>
  <c r="CD220" i="29" s="1"/>
  <c r="BZ139" i="29"/>
  <c r="BZ222" i="29" s="1"/>
  <c r="CC220" i="29"/>
  <c r="CA119" i="29"/>
  <c r="CC119" i="29"/>
  <c r="BZ124" i="29"/>
  <c r="BW140" i="29"/>
  <c r="BW141" i="29" s="1"/>
  <c r="BW144" i="29" s="1"/>
  <c r="BW301" i="29" s="1"/>
  <c r="BX135" i="29"/>
  <c r="BX218" i="29" s="1"/>
  <c r="BX224" i="29" s="1"/>
  <c r="BX225" i="29" s="1"/>
  <c r="BY222" i="29"/>
  <c r="BY208" i="29"/>
  <c r="CA203" i="29"/>
  <c r="CA120" i="29"/>
  <c r="CC120" i="29"/>
  <c r="CD235" i="29"/>
  <c r="CC240" i="29"/>
  <c r="BS215" i="29"/>
  <c r="BS225" i="29" s="1"/>
  <c r="BU212" i="29"/>
  <c r="BU215" i="29" s="1"/>
  <c r="BU225" i="29" s="1"/>
  <c r="CC123" i="29"/>
  <c r="CA123" i="29"/>
  <c r="BZ204" i="29"/>
  <c r="CA204" i="29" s="1"/>
  <c r="BS302" i="29"/>
  <c r="BS144" i="29"/>
  <c r="BS301" i="29" s="1"/>
  <c r="BG254" i="29"/>
  <c r="BF261" i="29"/>
  <c r="BW224" i="29"/>
  <c r="AZ264" i="29"/>
  <c r="BA257" i="29"/>
  <c r="CD136" i="29"/>
  <c r="CD219" i="29" s="1"/>
  <c r="CA121" i="29"/>
  <c r="CC121" i="29"/>
  <c r="BA258" i="29"/>
  <c r="AZ265" i="29"/>
  <c r="BU143" i="29"/>
  <c r="BU144" i="29" s="1"/>
  <c r="BT302" i="29"/>
  <c r="CC219" i="29"/>
  <c r="CE138" i="29"/>
  <c r="CE221" i="29" s="1"/>
  <c r="BZ205" i="29"/>
  <c r="CA205" i="29" s="1"/>
  <c r="CD122" i="29"/>
  <c r="CD206" i="29" s="1"/>
  <c r="L152" i="104"/>
  <c r="AT136" i="104"/>
  <c r="W134" i="104"/>
  <c r="R159" i="104"/>
  <c r="X162" i="104" s="1"/>
  <c r="AO136" i="104"/>
  <c r="AG120" i="104"/>
  <c r="AB120" i="104"/>
  <c r="V133" i="104"/>
  <c r="C108" i="104"/>
  <c r="I132" i="104"/>
  <c r="C109" i="104"/>
  <c r="I157" i="104"/>
  <c r="Q160" i="104"/>
  <c r="K160" i="104"/>
  <c r="G29" i="104"/>
  <c r="J132" i="104"/>
  <c r="J157" i="104"/>
  <c r="D109" i="104"/>
  <c r="D108" i="104"/>
  <c r="E110" i="104"/>
  <c r="E148" i="104"/>
  <c r="E149" i="104" s="1"/>
  <c r="G14" i="104"/>
  <c r="G107" i="104"/>
  <c r="G27" i="104"/>
  <c r="G115" i="104"/>
  <c r="G154" i="104" s="1"/>
  <c r="M125" i="104"/>
  <c r="G113" i="104"/>
  <c r="G150" i="104" s="1"/>
  <c r="M152" i="104" s="1"/>
  <c r="S153" i="104" s="1"/>
  <c r="W120" i="104"/>
  <c r="W121" i="104"/>
  <c r="W89" i="104"/>
  <c r="W95" i="104" s="1"/>
  <c r="W75" i="104"/>
  <c r="U113" i="104"/>
  <c r="U150" i="104" s="1"/>
  <c r="AA152" i="104" s="1"/>
  <c r="U114" i="104"/>
  <c r="U51" i="104"/>
  <c r="AB121" i="104"/>
  <c r="AB89" i="104"/>
  <c r="AB95" i="104" s="1"/>
  <c r="AB75" i="104"/>
  <c r="K158" i="104"/>
  <c r="K133" i="104"/>
  <c r="K114" i="104"/>
  <c r="K113" i="104"/>
  <c r="K150" i="104" s="1"/>
  <c r="Q152" i="104" s="1"/>
  <c r="K51" i="104"/>
  <c r="D36" i="104"/>
  <c r="D35" i="104" s="1"/>
  <c r="D40" i="104" s="1"/>
  <c r="D93" i="51" s="1"/>
  <c r="J35" i="104"/>
  <c r="J40" i="104" s="1"/>
  <c r="Q133" i="104"/>
  <c r="AA158" i="104"/>
  <c r="AG161" i="104" s="1"/>
  <c r="F116" i="104"/>
  <c r="F117" i="104"/>
  <c r="F74" i="104"/>
  <c r="I36" i="104"/>
  <c r="O35" i="104"/>
  <c r="O40" i="104" s="1"/>
  <c r="AH139" i="104"/>
  <c r="AH122" i="104"/>
  <c r="AH104" i="104"/>
  <c r="E113" i="104"/>
  <c r="E150" i="104" s="1"/>
  <c r="E114" i="104"/>
  <c r="E51" i="104"/>
  <c r="Q158" i="104"/>
  <c r="W161" i="104" s="1"/>
  <c r="V158" i="104"/>
  <c r="AB161" i="104" s="1"/>
  <c r="V116" i="104"/>
  <c r="V117" i="104"/>
  <c r="V74" i="104"/>
  <c r="R134" i="104"/>
  <c r="AB134" i="104"/>
  <c r="AC153" i="104"/>
  <c r="AI153" i="104"/>
  <c r="AA116" i="104"/>
  <c r="AA74" i="104"/>
  <c r="AA117" i="104"/>
  <c r="AM104" i="104"/>
  <c r="AM139" i="104"/>
  <c r="AQ139" i="104" s="1"/>
  <c r="AM122" i="104"/>
  <c r="AB159" i="104"/>
  <c r="AH162" i="104" s="1"/>
  <c r="Q116" i="104"/>
  <c r="Q117" i="104"/>
  <c r="Q74" i="104"/>
  <c r="R121" i="104"/>
  <c r="R89" i="104"/>
  <c r="R95" i="104" s="1"/>
  <c r="R75" i="104"/>
  <c r="P113" i="104"/>
  <c r="P150" i="104" s="1"/>
  <c r="V152" i="104" s="1"/>
  <c r="P114" i="104"/>
  <c r="P51" i="104"/>
  <c r="L159" i="104"/>
  <c r="L134" i="104"/>
  <c r="L120" i="104"/>
  <c r="L117" i="104"/>
  <c r="L74" i="104"/>
  <c r="L116" i="104"/>
  <c r="R120" i="104"/>
  <c r="AW104" i="104"/>
  <c r="AY136" i="104"/>
  <c r="AJ136" i="104"/>
  <c r="R152" i="104"/>
  <c r="AG121" i="104"/>
  <c r="AG89" i="104"/>
  <c r="AG95" i="104" s="1"/>
  <c r="AG75" i="104"/>
  <c r="L161" i="104"/>
  <c r="R161" i="104"/>
  <c r="AG152" i="104"/>
  <c r="X139" i="104"/>
  <c r="X122" i="104"/>
  <c r="X104" i="104"/>
  <c r="AS135" i="104"/>
  <c r="AC139" i="104"/>
  <c r="AC122" i="104"/>
  <c r="AC104" i="104"/>
  <c r="AG134" i="104"/>
  <c r="M122" i="104" l="1"/>
  <c r="M81" i="51"/>
  <c r="M88" i="51"/>
  <c r="S122" i="104"/>
  <c r="AC135" i="104"/>
  <c r="X135" i="104"/>
  <c r="AH135" i="104"/>
  <c r="D147" i="104"/>
  <c r="C147" i="104"/>
  <c r="AW168" i="3"/>
  <c r="Q100" i="51"/>
  <c r="Q104" i="51"/>
  <c r="P133" i="104"/>
  <c r="J93" i="51"/>
  <c r="L92" i="51"/>
  <c r="L99" i="51"/>
  <c r="K92" i="51"/>
  <c r="K99" i="51"/>
  <c r="K105" i="51" s="1"/>
  <c r="U133" i="104"/>
  <c r="O93" i="51"/>
  <c r="D91" i="51"/>
  <c r="D92" i="51" s="1"/>
  <c r="D94" i="51"/>
  <c r="AQ105" i="51"/>
  <c r="AQ104" i="51"/>
  <c r="AQ100" i="51"/>
  <c r="Q105" i="51"/>
  <c r="AA104" i="51"/>
  <c r="AE99" i="51"/>
  <c r="AA100" i="51"/>
  <c r="U92" i="51"/>
  <c r="U99" i="51"/>
  <c r="V104" i="51"/>
  <c r="V100" i="51"/>
  <c r="Y91" i="51"/>
  <c r="Y92" i="51" s="1"/>
  <c r="Y94" i="51"/>
  <c r="P92" i="51"/>
  <c r="P99" i="51"/>
  <c r="I133" i="51"/>
  <c r="J133" i="51"/>
  <c r="Q134" i="51"/>
  <c r="K131" i="51"/>
  <c r="K129" i="104" s="1"/>
  <c r="AS169" i="3"/>
  <c r="AY169" i="3"/>
  <c r="AT38" i="112"/>
  <c r="AA134" i="104"/>
  <c r="V159" i="104"/>
  <c r="AB162" i="104" s="1"/>
  <c r="CC204" i="29"/>
  <c r="CA222" i="29"/>
  <c r="CC205" i="29"/>
  <c r="CC207" i="29"/>
  <c r="AZ266" i="29"/>
  <c r="AZ269" i="29" s="1"/>
  <c r="S135" i="104"/>
  <c r="Y135" i="104"/>
  <c r="P158" i="104"/>
  <c r="V161" i="104" s="1"/>
  <c r="BY135" i="29"/>
  <c r="BX140" i="29"/>
  <c r="BX141" i="29" s="1"/>
  <c r="BX144" i="29" s="1"/>
  <c r="BX301" i="29" s="1"/>
  <c r="BB263" i="29"/>
  <c r="BC263" i="29" s="1"/>
  <c r="BC256" i="29"/>
  <c r="BE256" i="29" s="1"/>
  <c r="BZ208" i="29"/>
  <c r="BA264" i="29"/>
  <c r="BB257" i="29"/>
  <c r="CA208" i="29"/>
  <c r="CE122" i="29"/>
  <c r="CE159" i="29"/>
  <c r="CE136" i="29" s="1"/>
  <c r="CE219" i="29" s="1"/>
  <c r="CE235" i="29"/>
  <c r="CD240" i="29"/>
  <c r="CD119" i="29"/>
  <c r="CC124" i="29"/>
  <c r="BW215" i="29"/>
  <c r="BW225" i="29" s="1"/>
  <c r="BA265" i="29"/>
  <c r="BB258" i="29"/>
  <c r="BH254" i="29"/>
  <c r="BG261" i="29"/>
  <c r="CC203" i="29"/>
  <c r="CA124" i="29"/>
  <c r="CC139" i="29"/>
  <c r="CA139" i="29"/>
  <c r="CF138" i="29"/>
  <c r="CG138" i="29" s="1"/>
  <c r="CD121" i="29"/>
  <c r="CD123" i="29"/>
  <c r="CD120" i="29"/>
  <c r="CE137" i="29"/>
  <c r="AN136" i="104"/>
  <c r="Q159" i="104"/>
  <c r="W162" i="104" s="1"/>
  <c r="AM135" i="104"/>
  <c r="V134" i="104"/>
  <c r="AA120" i="104"/>
  <c r="AD136" i="104"/>
  <c r="Q134" i="104"/>
  <c r="D148" i="104"/>
  <c r="D149" i="104" s="1"/>
  <c r="D110" i="104"/>
  <c r="AA159" i="104"/>
  <c r="AG162" i="104" s="1"/>
  <c r="BS12" i="104"/>
  <c r="G108" i="104"/>
  <c r="G109" i="104"/>
  <c r="G51" i="104"/>
  <c r="M157" i="104"/>
  <c r="M132" i="104"/>
  <c r="J160" i="104"/>
  <c r="P160" i="104"/>
  <c r="Q120" i="104"/>
  <c r="C110" i="104"/>
  <c r="C148" i="104"/>
  <c r="C149" i="104" s="1"/>
  <c r="I160" i="104"/>
  <c r="O160" i="104"/>
  <c r="BX12" i="104"/>
  <c r="Q121" i="104"/>
  <c r="Q89" i="104"/>
  <c r="Q95" i="104" s="1"/>
  <c r="Q75" i="104"/>
  <c r="AA121" i="104"/>
  <c r="AA89" i="104"/>
  <c r="AA95" i="104" s="1"/>
  <c r="AA75" i="104"/>
  <c r="K161" i="104"/>
  <c r="Q161" i="104"/>
  <c r="L89" i="104"/>
  <c r="L95" i="104" s="1"/>
  <c r="L121" i="104"/>
  <c r="L75" i="104"/>
  <c r="O113" i="104"/>
  <c r="O150" i="104" s="1"/>
  <c r="U152" i="104" s="1"/>
  <c r="AA153" i="104" s="1"/>
  <c r="O114" i="104"/>
  <c r="O51" i="104"/>
  <c r="J158" i="104"/>
  <c r="J133" i="104"/>
  <c r="J114" i="104"/>
  <c r="J113" i="104"/>
  <c r="J150" i="104" s="1"/>
  <c r="P152" i="104" s="1"/>
  <c r="V153" i="104" s="1"/>
  <c r="J51" i="104"/>
  <c r="C36" i="104"/>
  <c r="C35" i="104" s="1"/>
  <c r="C40" i="104" s="1"/>
  <c r="C93" i="51" s="1"/>
  <c r="I35" i="104"/>
  <c r="I40" i="104" s="1"/>
  <c r="D114" i="104"/>
  <c r="D113" i="104"/>
  <c r="D150" i="104" s="1"/>
  <c r="D51" i="104"/>
  <c r="U158" i="104"/>
  <c r="AA161" i="104" s="1"/>
  <c r="AB153" i="104"/>
  <c r="AQ104" i="104"/>
  <c r="V121" i="104"/>
  <c r="V89" i="104"/>
  <c r="V95" i="104" s="1"/>
  <c r="V75" i="104"/>
  <c r="K159" i="104"/>
  <c r="K134" i="104"/>
  <c r="K120" i="104"/>
  <c r="K117" i="104"/>
  <c r="K74" i="104"/>
  <c r="K116" i="104"/>
  <c r="AB139" i="104"/>
  <c r="AB122" i="104"/>
  <c r="AB104" i="104"/>
  <c r="R153" i="104"/>
  <c r="X153" i="104"/>
  <c r="AG153" i="104"/>
  <c r="AM153" i="104"/>
  <c r="F121" i="104"/>
  <c r="F89" i="104"/>
  <c r="F95" i="104" s="1"/>
  <c r="F75" i="104"/>
  <c r="W139" i="104"/>
  <c r="W104" i="104"/>
  <c r="W122" i="104"/>
  <c r="AG139" i="104"/>
  <c r="AK139" i="104" s="1"/>
  <c r="AG122" i="104"/>
  <c r="AG104" i="104"/>
  <c r="BC136" i="104"/>
  <c r="W153" i="104"/>
  <c r="R162" i="104"/>
  <c r="L162" i="104"/>
  <c r="R139" i="104"/>
  <c r="R122" i="104"/>
  <c r="R104" i="104"/>
  <c r="K152" i="104"/>
  <c r="Q153" i="104" s="1"/>
  <c r="U116" i="104"/>
  <c r="U117" i="104"/>
  <c r="U74" i="104"/>
  <c r="E117" i="104"/>
  <c r="E116" i="104"/>
  <c r="E74" i="104"/>
  <c r="AI136" i="104"/>
  <c r="AS136" i="104"/>
  <c r="P116" i="104"/>
  <c r="P117" i="104"/>
  <c r="P74" i="104"/>
  <c r="V120" i="104"/>
  <c r="AW36" i="112" l="1"/>
  <c r="AW169" i="3"/>
  <c r="AB135" i="104"/>
  <c r="W135" i="104"/>
  <c r="R135" i="104"/>
  <c r="G147" i="104"/>
  <c r="O91" i="51"/>
  <c r="S93" i="51"/>
  <c r="O94" i="51"/>
  <c r="J91" i="51"/>
  <c r="J94" i="51"/>
  <c r="O158" i="104"/>
  <c r="U161" i="104" s="1"/>
  <c r="I93" i="51"/>
  <c r="L100" i="51"/>
  <c r="L105" i="51"/>
  <c r="L104" i="51"/>
  <c r="U104" i="51"/>
  <c r="Y99" i="51"/>
  <c r="U100" i="51"/>
  <c r="C91" i="51"/>
  <c r="C92" i="51" s="1"/>
  <c r="G93" i="51"/>
  <c r="C94" i="51"/>
  <c r="P104" i="51"/>
  <c r="P100" i="51"/>
  <c r="P105" i="51"/>
  <c r="K100" i="51"/>
  <c r="K104" i="51"/>
  <c r="U105" i="51"/>
  <c r="AE104" i="51"/>
  <c r="AE100" i="51"/>
  <c r="AE105" i="51"/>
  <c r="M133" i="51"/>
  <c r="BC169" i="3"/>
  <c r="P134" i="51"/>
  <c r="J131" i="51"/>
  <c r="J129" i="104" s="1"/>
  <c r="I131" i="51"/>
  <c r="I129" i="104" s="1"/>
  <c r="O134" i="51"/>
  <c r="BA266" i="29"/>
  <c r="BA269" i="29" s="1"/>
  <c r="CC222" i="29"/>
  <c r="CF221" i="29"/>
  <c r="CG221" i="29" s="1"/>
  <c r="AH136" i="104"/>
  <c r="X136" i="104"/>
  <c r="AC136" i="104"/>
  <c r="CE121" i="29"/>
  <c r="CE205" i="29" s="1"/>
  <c r="CF137" i="29"/>
  <c r="CG137" i="29" s="1"/>
  <c r="CD205" i="29"/>
  <c r="CE119" i="29"/>
  <c r="CD124" i="29"/>
  <c r="CF122" i="29"/>
  <c r="CG122" i="29" s="1"/>
  <c r="CE220" i="29"/>
  <c r="BH261" i="29"/>
  <c r="BI261" i="29" s="1"/>
  <c r="BI254" i="29"/>
  <c r="BK254" i="29" s="1"/>
  <c r="CD203" i="29"/>
  <c r="CG159" i="29"/>
  <c r="CG163" i="29" s="1"/>
  <c r="CG164" i="29" s="1"/>
  <c r="CE163" i="29"/>
  <c r="CE164" i="29" s="1"/>
  <c r="CD128" i="29"/>
  <c r="BZ128" i="29"/>
  <c r="CC128" i="29"/>
  <c r="BY128" i="29"/>
  <c r="CE206" i="29"/>
  <c r="BE263" i="29"/>
  <c r="BF256" i="29"/>
  <c r="CE120" i="29"/>
  <c r="CF136" i="29"/>
  <c r="CG136" i="29" s="1"/>
  <c r="CD204" i="29"/>
  <c r="CD139" i="29"/>
  <c r="CE240" i="29"/>
  <c r="CF235" i="29"/>
  <c r="BY140" i="29"/>
  <c r="BY141" i="29" s="1"/>
  <c r="BZ135" i="29"/>
  <c r="CE123" i="29"/>
  <c r="CE207" i="29" s="1"/>
  <c r="CC208" i="29"/>
  <c r="BB264" i="29"/>
  <c r="BC264" i="29" s="1"/>
  <c r="BC257" i="29"/>
  <c r="BE257" i="29" s="1"/>
  <c r="BY218" i="29"/>
  <c r="BB265" i="29"/>
  <c r="BC265" i="29" s="1"/>
  <c r="BC258" i="29"/>
  <c r="BE258" i="29" s="1"/>
  <c r="CD207" i="29"/>
  <c r="AW136" i="104"/>
  <c r="P159" i="104"/>
  <c r="V162" i="104" s="1"/>
  <c r="U159" i="104"/>
  <c r="AA162" i="104" s="1"/>
  <c r="P134" i="104"/>
  <c r="M160" i="104"/>
  <c r="S160" i="104"/>
  <c r="G148" i="104"/>
  <c r="G149" i="104" s="1"/>
  <c r="G110" i="104"/>
  <c r="P120" i="104"/>
  <c r="G117" i="104"/>
  <c r="M159" i="104"/>
  <c r="G74" i="104"/>
  <c r="M134" i="104"/>
  <c r="G116" i="104"/>
  <c r="M120" i="104"/>
  <c r="I158" i="104"/>
  <c r="I113" i="104"/>
  <c r="I150" i="104" s="1"/>
  <c r="O152" i="104" s="1"/>
  <c r="I133" i="104"/>
  <c r="I114" i="104"/>
  <c r="I51" i="104"/>
  <c r="J161" i="104"/>
  <c r="P161" i="104"/>
  <c r="U121" i="104"/>
  <c r="U89" i="104"/>
  <c r="U95" i="104" s="1"/>
  <c r="U75" i="104"/>
  <c r="K121" i="104"/>
  <c r="K89" i="104"/>
  <c r="K95" i="104" s="1"/>
  <c r="K75" i="104"/>
  <c r="C113" i="104"/>
  <c r="C150" i="104" s="1"/>
  <c r="C114" i="104"/>
  <c r="C51" i="104"/>
  <c r="O116" i="104"/>
  <c r="O117" i="104"/>
  <c r="O74" i="104"/>
  <c r="AA139" i="104"/>
  <c r="AE139" i="104" s="1"/>
  <c r="AA122" i="104"/>
  <c r="AA104" i="104"/>
  <c r="P121" i="104"/>
  <c r="P89" i="104"/>
  <c r="P95" i="104" s="1"/>
  <c r="P75" i="104"/>
  <c r="AK104" i="104"/>
  <c r="F139" i="104"/>
  <c r="F122" i="104"/>
  <c r="F104" i="104"/>
  <c r="AM136" i="104"/>
  <c r="L135" i="104"/>
  <c r="L139" i="104"/>
  <c r="L104" i="104"/>
  <c r="L122" i="104"/>
  <c r="J159" i="104"/>
  <c r="J134" i="104"/>
  <c r="J120" i="104"/>
  <c r="J116" i="104"/>
  <c r="J117" i="104"/>
  <c r="J74" i="104"/>
  <c r="V139" i="104"/>
  <c r="V122" i="104"/>
  <c r="V104" i="104"/>
  <c r="U120" i="104"/>
  <c r="AG135" i="104"/>
  <c r="D116" i="104"/>
  <c r="D117" i="104"/>
  <c r="D74" i="104"/>
  <c r="Q139" i="104"/>
  <c r="Q122" i="104"/>
  <c r="Q104" i="104"/>
  <c r="E121" i="104"/>
  <c r="E89" i="104"/>
  <c r="E95" i="104" s="1"/>
  <c r="E75" i="104"/>
  <c r="U134" i="104"/>
  <c r="K162" i="104"/>
  <c r="Q162" i="104"/>
  <c r="J152" i="104"/>
  <c r="P153" i="104" s="1"/>
  <c r="O133" i="104"/>
  <c r="BA36" i="112" l="1"/>
  <c r="AW38" i="112"/>
  <c r="Q135" i="104"/>
  <c r="V135" i="104"/>
  <c r="AA135" i="104"/>
  <c r="J92" i="51"/>
  <c r="J99" i="51"/>
  <c r="S91" i="51"/>
  <c r="S92" i="51" s="1"/>
  <c r="S94" i="51"/>
  <c r="G91" i="51"/>
  <c r="G92" i="51" s="1"/>
  <c r="G94" i="51"/>
  <c r="I91" i="51"/>
  <c r="M93" i="51"/>
  <c r="I94" i="51"/>
  <c r="Y104" i="51"/>
  <c r="Y100" i="51"/>
  <c r="Y105" i="51"/>
  <c r="O92" i="51"/>
  <c r="O99" i="51"/>
  <c r="M131" i="51"/>
  <c r="S134" i="51"/>
  <c r="BA38" i="112"/>
  <c r="BC266" i="29"/>
  <c r="M129" i="104"/>
  <c r="I152" i="104"/>
  <c r="O153" i="104" s="1"/>
  <c r="CE212" i="29"/>
  <c r="CE215" i="29" s="1"/>
  <c r="CD132" i="29"/>
  <c r="CD143" i="29" s="1"/>
  <c r="CD302" i="29" s="1"/>
  <c r="BY224" i="29"/>
  <c r="CF123" i="29"/>
  <c r="CG123" i="29" s="1"/>
  <c r="CF206" i="29"/>
  <c r="CG206" i="29" s="1"/>
  <c r="CF121" i="29"/>
  <c r="CG121" i="29" s="1"/>
  <c r="CF220" i="29"/>
  <c r="CG220" i="29" s="1"/>
  <c r="BE264" i="29"/>
  <c r="BF257" i="29"/>
  <c r="BF263" i="29"/>
  <c r="BG256" i="29"/>
  <c r="CF219" i="29"/>
  <c r="CG219" i="29" s="1"/>
  <c r="BZ140" i="29"/>
  <c r="BZ141" i="29" s="1"/>
  <c r="CA135" i="29"/>
  <c r="CE139" i="29"/>
  <c r="CE222" i="29" s="1"/>
  <c r="CD208" i="29"/>
  <c r="CF119" i="29"/>
  <c r="CF203" i="29" s="1"/>
  <c r="CE124" i="29"/>
  <c r="BE265" i="29"/>
  <c r="BF258" i="29"/>
  <c r="CD212" i="29"/>
  <c r="CD215" i="29" s="1"/>
  <c r="CC132" i="29"/>
  <c r="CC143" i="29" s="1"/>
  <c r="CC302" i="29" s="1"/>
  <c r="CF240" i="29"/>
  <c r="CI235" i="29"/>
  <c r="CG235" i="29"/>
  <c r="CG240" i="29" s="1"/>
  <c r="CD222" i="29"/>
  <c r="BK261" i="29"/>
  <c r="BL254" i="29"/>
  <c r="CE203" i="29"/>
  <c r="CF120" i="29"/>
  <c r="CG120" i="29" s="1"/>
  <c r="BZ132" i="29"/>
  <c r="BZ143" i="29" s="1"/>
  <c r="CA128" i="29"/>
  <c r="CE204" i="29"/>
  <c r="BB266" i="29"/>
  <c r="BB269" i="29" s="1"/>
  <c r="BC269" i="29" s="1"/>
  <c r="BZ218" i="29"/>
  <c r="BZ224" i="29" s="1"/>
  <c r="BZ212" i="29"/>
  <c r="BZ215" i="29" s="1"/>
  <c r="BY132" i="29"/>
  <c r="BY143" i="29" s="1"/>
  <c r="BY302" i="29" s="1"/>
  <c r="BY212" i="29"/>
  <c r="O120" i="104"/>
  <c r="AQ136" i="104"/>
  <c r="AB136" i="104"/>
  <c r="W136" i="104"/>
  <c r="AG136" i="104"/>
  <c r="L136" i="104"/>
  <c r="G121" i="104"/>
  <c r="G89" i="104"/>
  <c r="G95" i="104" s="1"/>
  <c r="G75" i="104"/>
  <c r="M162" i="104"/>
  <c r="S162" i="104"/>
  <c r="BY12" i="104"/>
  <c r="CD12" i="104"/>
  <c r="L170" i="104"/>
  <c r="L167" i="104" s="1"/>
  <c r="K170" i="104"/>
  <c r="K167" i="104" s="1"/>
  <c r="J170" i="104"/>
  <c r="J167" i="104" s="1"/>
  <c r="I170" i="104"/>
  <c r="I167" i="104" s="1"/>
  <c r="I159" i="104"/>
  <c r="I134" i="104"/>
  <c r="I116" i="104"/>
  <c r="I120" i="104"/>
  <c r="I74" i="104"/>
  <c r="I117" i="104"/>
  <c r="P162" i="104"/>
  <c r="J162" i="104"/>
  <c r="O159" i="104"/>
  <c r="U162" i="104" s="1"/>
  <c r="E139" i="104"/>
  <c r="E122" i="104"/>
  <c r="E104" i="104"/>
  <c r="C116" i="104"/>
  <c r="C117" i="104"/>
  <c r="C74" i="104"/>
  <c r="D121" i="104"/>
  <c r="D89" i="104"/>
  <c r="D95" i="104" s="1"/>
  <c r="D75" i="104"/>
  <c r="R136" i="104"/>
  <c r="U139" i="104"/>
  <c r="Y139" i="104" s="1"/>
  <c r="U104" i="104"/>
  <c r="U122" i="104"/>
  <c r="AE104" i="104"/>
  <c r="J121" i="104"/>
  <c r="J89" i="104"/>
  <c r="J95" i="104" s="1"/>
  <c r="J75" i="104"/>
  <c r="U153" i="104"/>
  <c r="O121" i="104"/>
  <c r="O89" i="104"/>
  <c r="O95" i="104" s="1"/>
  <c r="O75" i="104"/>
  <c r="K135" i="104"/>
  <c r="K122" i="104"/>
  <c r="K104" i="104"/>
  <c r="K139" i="104"/>
  <c r="P139" i="104"/>
  <c r="P104" i="104"/>
  <c r="P122" i="104"/>
  <c r="O134" i="104"/>
  <c r="O161" i="104"/>
  <c r="I161" i="104"/>
  <c r="AX36" i="112" l="1"/>
  <c r="BB36" i="112"/>
  <c r="U135" i="104"/>
  <c r="P135" i="104"/>
  <c r="I92" i="51"/>
  <c r="I99" i="51"/>
  <c r="J104" i="51"/>
  <c r="J100" i="51"/>
  <c r="J105" i="51"/>
  <c r="O104" i="51"/>
  <c r="O100" i="51"/>
  <c r="S99" i="51"/>
  <c r="O105" i="51"/>
  <c r="M91" i="51"/>
  <c r="M92" i="51" s="1"/>
  <c r="M94" i="51"/>
  <c r="CF205" i="29"/>
  <c r="CG205" i="29" s="1"/>
  <c r="CF207" i="29"/>
  <c r="CG207" i="29" s="1"/>
  <c r="AA136" i="104"/>
  <c r="CA218" i="29"/>
  <c r="CA224" i="29" s="1"/>
  <c r="BY215" i="29"/>
  <c r="BY225" i="29" s="1"/>
  <c r="CA212" i="29"/>
  <c r="CA215" i="29" s="1"/>
  <c r="CA143" i="29"/>
  <c r="BZ302" i="29"/>
  <c r="BY144" i="29"/>
  <c r="BY301" i="29" s="1"/>
  <c r="BF265" i="29"/>
  <c r="BG258" i="29"/>
  <c r="CF139" i="29"/>
  <c r="CG139" i="29" s="1"/>
  <c r="BG263" i="29"/>
  <c r="BH256" i="29"/>
  <c r="CE208" i="29"/>
  <c r="CG203" i="29"/>
  <c r="CE143" i="29"/>
  <c r="CE302" i="29" s="1"/>
  <c r="CA140" i="29"/>
  <c r="CA141" i="29" s="1"/>
  <c r="CC135" i="29"/>
  <c r="BF264" i="29"/>
  <c r="BG257" i="29"/>
  <c r="CC212" i="29"/>
  <c r="CA132" i="29"/>
  <c r="BL261" i="29"/>
  <c r="BM254" i="29"/>
  <c r="CI240" i="29"/>
  <c r="CJ235" i="29"/>
  <c r="CF124" i="29"/>
  <c r="CG119" i="29"/>
  <c r="CG124" i="29" s="1"/>
  <c r="BZ144" i="29"/>
  <c r="BZ301" i="29" s="1"/>
  <c r="BZ225" i="29"/>
  <c r="CF204" i="29"/>
  <c r="CG204" i="29" s="1"/>
  <c r="BE266" i="29"/>
  <c r="BE297" i="29" s="1"/>
  <c r="V136" i="104"/>
  <c r="G122" i="104"/>
  <c r="M135" i="104"/>
  <c r="K136" i="104"/>
  <c r="C121" i="104"/>
  <c r="C89" i="104"/>
  <c r="C95" i="104" s="1"/>
  <c r="C75" i="104"/>
  <c r="Y104" i="104"/>
  <c r="I121" i="104"/>
  <c r="I89" i="104"/>
  <c r="I95" i="104" s="1"/>
  <c r="I75" i="104"/>
  <c r="J135" i="104"/>
  <c r="J139" i="104"/>
  <c r="J104" i="104"/>
  <c r="J122" i="104"/>
  <c r="O162" i="104"/>
  <c r="I162" i="104"/>
  <c r="AK136" i="104"/>
  <c r="O122" i="104"/>
  <c r="O139" i="104"/>
  <c r="S139" i="104" s="1"/>
  <c r="O104" i="104"/>
  <c r="Q136" i="104"/>
  <c r="D139" i="104"/>
  <c r="D122" i="104"/>
  <c r="D104" i="104"/>
  <c r="AX38" i="112" l="1"/>
  <c r="BB38" i="112"/>
  <c r="O135" i="104"/>
  <c r="S104" i="51"/>
  <c r="S100" i="51"/>
  <c r="S105" i="51"/>
  <c r="I104" i="51"/>
  <c r="I100" i="51"/>
  <c r="M99" i="51"/>
  <c r="I105" i="51"/>
  <c r="CF222" i="29"/>
  <c r="CG222" i="29" s="1"/>
  <c r="CF208" i="29"/>
  <c r="CA144" i="29"/>
  <c r="CA225" i="29"/>
  <c r="P136" i="104"/>
  <c r="U136" i="104"/>
  <c r="BG264" i="29"/>
  <c r="BH257" i="29"/>
  <c r="BF266" i="29"/>
  <c r="BF297" i="29" s="1"/>
  <c r="CC140" i="29"/>
  <c r="CC141" i="29" s="1"/>
  <c r="CC144" i="29" s="1"/>
  <c r="CC301" i="29" s="1"/>
  <c r="CD135" i="29"/>
  <c r="CD218" i="29" s="1"/>
  <c r="CD224" i="29" s="1"/>
  <c r="CD225" i="29" s="1"/>
  <c r="BH263" i="29"/>
  <c r="BI256" i="29"/>
  <c r="BK256" i="29" s="1"/>
  <c r="BM261" i="29"/>
  <c r="BN254" i="29"/>
  <c r="CC218" i="29"/>
  <c r="CF143" i="29"/>
  <c r="CJ240" i="29"/>
  <c r="CK235" i="29"/>
  <c r="BE269" i="29"/>
  <c r="BB297" i="29"/>
  <c r="CG212" i="29"/>
  <c r="CG215" i="29" s="1"/>
  <c r="CC215" i="29"/>
  <c r="CG208" i="29"/>
  <c r="BH258" i="29"/>
  <c r="BG265" i="29"/>
  <c r="AE136" i="104"/>
  <c r="CE12" i="104"/>
  <c r="J136" i="104"/>
  <c r="I139" i="104"/>
  <c r="M139" i="104" s="1"/>
  <c r="I135" i="104"/>
  <c r="I104" i="104"/>
  <c r="I122" i="104"/>
  <c r="S104" i="104"/>
  <c r="C139" i="104"/>
  <c r="G139" i="104" s="1"/>
  <c r="C122" i="104"/>
  <c r="C104" i="104"/>
  <c r="M100" i="51" l="1"/>
  <c r="M104" i="51"/>
  <c r="M105" i="51"/>
  <c r="BG266" i="29"/>
  <c r="BG297" i="29" s="1"/>
  <c r="BH264" i="29"/>
  <c r="BI264" i="29" s="1"/>
  <c r="BI257" i="29"/>
  <c r="BK257" i="29" s="1"/>
  <c r="CG143" i="29"/>
  <c r="CF302" i="29"/>
  <c r="CD140" i="29"/>
  <c r="CD141" i="29" s="1"/>
  <c r="CD144" i="29" s="1"/>
  <c r="CD301" i="29" s="1"/>
  <c r="CE135" i="29"/>
  <c r="CE218" i="29" s="1"/>
  <c r="CE224" i="29" s="1"/>
  <c r="CE225" i="29" s="1"/>
  <c r="BL256" i="29"/>
  <c r="BK263" i="29"/>
  <c r="BI263" i="29"/>
  <c r="BH265" i="29"/>
  <c r="BI265" i="29" s="1"/>
  <c r="BI258" i="29"/>
  <c r="BK258" i="29" s="1"/>
  <c r="CK240" i="29"/>
  <c r="CL235" i="29"/>
  <c r="CC224" i="29"/>
  <c r="CC225" i="29" s="1"/>
  <c r="BF269" i="29"/>
  <c r="BO254" i="29"/>
  <c r="BQ254" i="29" s="1"/>
  <c r="BN261" i="29"/>
  <c r="BO261" i="29" s="1"/>
  <c r="O136" i="104"/>
  <c r="G104" i="104"/>
  <c r="I136" i="104"/>
  <c r="M104" i="104"/>
  <c r="Y136" i="104"/>
  <c r="S136" i="104" l="1"/>
  <c r="BG269" i="29"/>
  <c r="BH266" i="29"/>
  <c r="BH297" i="29" s="1"/>
  <c r="BI266" i="29"/>
  <c r="BG58" i="104"/>
  <c r="BR254" i="29"/>
  <c r="BQ261" i="29"/>
  <c r="CE140" i="29"/>
  <c r="CE141" i="29" s="1"/>
  <c r="CE144" i="29" s="1"/>
  <c r="CE301" i="29" s="1"/>
  <c r="CF135" i="29"/>
  <c r="BK265" i="29"/>
  <c r="BL258" i="29"/>
  <c r="BL263" i="29"/>
  <c r="BM256" i="29"/>
  <c r="CL240" i="29"/>
  <c r="CM235" i="29"/>
  <c r="CM240" i="29" s="1"/>
  <c r="BK264" i="29"/>
  <c r="BL257" i="29"/>
  <c r="M136" i="104"/>
  <c r="BH269" i="29" l="1"/>
  <c r="BI269" i="29" s="1"/>
  <c r="BK266" i="29"/>
  <c r="BK297" i="29" s="1"/>
  <c r="BG52" i="104"/>
  <c r="BG74" i="104"/>
  <c r="CF140" i="29"/>
  <c r="CF141" i="29" s="1"/>
  <c r="CF144" i="29" s="1"/>
  <c r="CF301" i="29" s="1"/>
  <c r="CG135" i="29"/>
  <c r="CG140" i="29" s="1"/>
  <c r="CG141" i="29" s="1"/>
  <c r="CG144" i="29" s="1"/>
  <c r="CF218" i="29"/>
  <c r="BM258" i="29"/>
  <c r="BL265" i="29"/>
  <c r="BM263" i="29"/>
  <c r="BN256" i="29"/>
  <c r="BL264" i="29"/>
  <c r="BM257" i="29"/>
  <c r="BS254" i="29"/>
  <c r="BR261" i="29"/>
  <c r="BL266" i="29" l="1"/>
  <c r="BL297" i="29" s="1"/>
  <c r="BM264" i="29"/>
  <c r="BN257" i="29"/>
  <c r="BN263" i="29"/>
  <c r="BO256" i="29"/>
  <c r="BQ256" i="29" s="1"/>
  <c r="BK269" i="29"/>
  <c r="CF224" i="29"/>
  <c r="CF225" i="29" s="1"/>
  <c r="CG218" i="29"/>
  <c r="CG224" i="29" s="1"/>
  <c r="CG225" i="29" s="1"/>
  <c r="BN258" i="29"/>
  <c r="BM265" i="29"/>
  <c r="BG121" i="104"/>
  <c r="BG85" i="104"/>
  <c r="BG89" i="104" s="1"/>
  <c r="BT254" i="29"/>
  <c r="BS261" i="29"/>
  <c r="BL269" i="29" l="1"/>
  <c r="BM266" i="29"/>
  <c r="BM297" i="29" s="1"/>
  <c r="BO257" i="29"/>
  <c r="BQ257" i="29" s="1"/>
  <c r="BN264" i="29"/>
  <c r="BO264" i="29" s="1"/>
  <c r="BT261" i="29"/>
  <c r="BU254" i="29"/>
  <c r="BW254" i="29" s="1"/>
  <c r="BH58" i="104"/>
  <c r="BI297" i="29"/>
  <c r="BN265" i="29"/>
  <c r="BO265" i="29" s="1"/>
  <c r="BO258" i="29"/>
  <c r="BQ258" i="29" s="1"/>
  <c r="BO263" i="29"/>
  <c r="BQ263" i="29"/>
  <c r="BR256" i="29"/>
  <c r="BM269" i="29" l="1"/>
  <c r="BN266" i="29"/>
  <c r="BN297" i="29" s="1"/>
  <c r="BK227" i="29"/>
  <c r="BW261" i="29"/>
  <c r="BX254" i="29"/>
  <c r="BQ265" i="29"/>
  <c r="BR258" i="29"/>
  <c r="BR257" i="29"/>
  <c r="BQ264" i="29"/>
  <c r="BO266" i="29"/>
  <c r="BR263" i="29"/>
  <c r="BS256" i="29"/>
  <c r="BU261" i="29"/>
  <c r="BK52" i="104"/>
  <c r="BK74" i="104"/>
  <c r="BH227" i="29"/>
  <c r="BI227" i="29" s="1"/>
  <c r="BI58" i="104"/>
  <c r="BQ266" i="29" l="1"/>
  <c r="BQ297" i="29" s="1"/>
  <c r="BN269" i="29"/>
  <c r="BO269" i="29" s="1"/>
  <c r="BO297" i="29"/>
  <c r="BR265" i="29"/>
  <c r="BS258" i="29"/>
  <c r="BS263" i="29"/>
  <c r="BT256" i="29"/>
  <c r="BL227" i="29"/>
  <c r="BK121" i="104"/>
  <c r="BR264" i="29"/>
  <c r="BS257" i="29"/>
  <c r="BX261" i="29"/>
  <c r="BY254" i="29"/>
  <c r="BR266" i="29" l="1"/>
  <c r="BR297" i="29" s="1"/>
  <c r="BQ269" i="29"/>
  <c r="BR269" i="29"/>
  <c r="BS265" i="29"/>
  <c r="BT258" i="29"/>
  <c r="BZ254" i="29"/>
  <c r="BY261" i="29"/>
  <c r="BS264" i="29"/>
  <c r="BT257" i="29"/>
  <c r="BT263" i="29"/>
  <c r="BU263" i="29" s="1"/>
  <c r="BU256" i="29"/>
  <c r="BW256" i="29" s="1"/>
  <c r="BM227" i="29"/>
  <c r="BS266" i="29" l="1"/>
  <c r="BS297" i="29" s="1"/>
  <c r="CA254" i="29"/>
  <c r="CC254" i="29" s="1"/>
  <c r="BZ261" i="29"/>
  <c r="BT264" i="29"/>
  <c r="BU257" i="29"/>
  <c r="BW257" i="29" s="1"/>
  <c r="BW263" i="29"/>
  <c r="BX256" i="29"/>
  <c r="BU258" i="29"/>
  <c r="BW258" i="29" s="1"/>
  <c r="BT265" i="29"/>
  <c r="BU265" i="29" s="1"/>
  <c r="BS269" i="29" l="1"/>
  <c r="BT266" i="29"/>
  <c r="BT297" i="29" s="1"/>
  <c r="BX263" i="29"/>
  <c r="BY256" i="29"/>
  <c r="CD254" i="29"/>
  <c r="CC261" i="29"/>
  <c r="CA261" i="29"/>
  <c r="BU264" i="29"/>
  <c r="BU266" i="29" s="1"/>
  <c r="BW264" i="29"/>
  <c r="BX257" i="29"/>
  <c r="BW265" i="29"/>
  <c r="BX258" i="29"/>
  <c r="BE15" i="104"/>
  <c r="BE16" i="104"/>
  <c r="BE130" i="104"/>
  <c r="BT269" i="29" l="1"/>
  <c r="BU269" i="29" s="1"/>
  <c r="BW266" i="29"/>
  <c r="BW269" i="29" s="1"/>
  <c r="BU297" i="29"/>
  <c r="BX265" i="29"/>
  <c r="BY258" i="29"/>
  <c r="BY257" i="29"/>
  <c r="BX264" i="29"/>
  <c r="BZ256" i="29"/>
  <c r="BY263" i="29"/>
  <c r="CD261" i="29"/>
  <c r="CE254" i="29"/>
  <c r="BI16" i="104"/>
  <c r="BK126" i="104"/>
  <c r="BE126" i="104"/>
  <c r="BE115" i="104"/>
  <c r="BI15" i="104"/>
  <c r="BK125" i="104"/>
  <c r="BE14" i="104"/>
  <c r="BE125" i="104"/>
  <c r="BE40" i="104"/>
  <c r="BX266" i="29" l="1"/>
  <c r="BX269" i="29" s="1"/>
  <c r="CE261" i="29"/>
  <c r="CF254" i="29"/>
  <c r="BY264" i="29"/>
  <c r="BZ257" i="29"/>
  <c r="CA256" i="29"/>
  <c r="CC256" i="29" s="1"/>
  <c r="BZ263" i="29"/>
  <c r="BY265" i="29"/>
  <c r="BZ258" i="29"/>
  <c r="BE114" i="104"/>
  <c r="BE150" i="104"/>
  <c r="BE113" i="104"/>
  <c r="BE133" i="104"/>
  <c r="BI40" i="104"/>
  <c r="BK158" i="104"/>
  <c r="BQ161" i="104" s="1"/>
  <c r="BK133" i="104"/>
  <c r="BE158" i="104"/>
  <c r="BE27" i="104"/>
  <c r="BE128" i="104"/>
  <c r="BE127" i="104"/>
  <c r="BI127" i="104" s="1"/>
  <c r="BK127" i="104"/>
  <c r="BI125" i="104"/>
  <c r="BI115" i="104"/>
  <c r="BI154" i="104" s="1"/>
  <c r="BI14" i="104"/>
  <c r="BI126" i="104"/>
  <c r="BY266" i="29" l="1"/>
  <c r="BY269" i="29" s="1"/>
  <c r="BW297" i="29"/>
  <c r="BZ265" i="29"/>
  <c r="CA265" i="29" s="1"/>
  <c r="CA258" i="29"/>
  <c r="CC258" i="29" s="1"/>
  <c r="CF261" i="29"/>
  <c r="CG261" i="29" s="1"/>
  <c r="CG254" i="29"/>
  <c r="CI254" i="29" s="1"/>
  <c r="CA263" i="29"/>
  <c r="BZ264" i="29"/>
  <c r="CA264" i="29" s="1"/>
  <c r="CA257" i="29"/>
  <c r="CC257" i="29" s="1"/>
  <c r="CC263" i="29"/>
  <c r="CD256" i="29"/>
  <c r="BI151" i="104"/>
  <c r="BI133" i="104"/>
  <c r="BI158" i="104"/>
  <c r="BI150" i="104"/>
  <c r="BI113" i="104"/>
  <c r="BI114" i="104"/>
  <c r="BK161" i="104"/>
  <c r="BE161" i="104"/>
  <c r="BE108" i="104"/>
  <c r="BE147" i="104" s="1"/>
  <c r="BK157" i="104"/>
  <c r="BQ160" i="104" s="1"/>
  <c r="BK132" i="104"/>
  <c r="BE109" i="104"/>
  <c r="BI27" i="104"/>
  <c r="BE132" i="104"/>
  <c r="BE157" i="104"/>
  <c r="BE51" i="104"/>
  <c r="BE26" i="104"/>
  <c r="BE152" i="104"/>
  <c r="BE153" i="104" s="1"/>
  <c r="BK151" i="104"/>
  <c r="BK152" i="104"/>
  <c r="BX297" i="29" l="1"/>
  <c r="BZ266" i="29"/>
  <c r="BY297" i="29" s="1"/>
  <c r="CC264" i="29"/>
  <c r="CD257" i="29"/>
  <c r="CI261" i="29"/>
  <c r="CJ254" i="29"/>
  <c r="CD263" i="29"/>
  <c r="CE256" i="29"/>
  <c r="CA266" i="29"/>
  <c r="CC265" i="29"/>
  <c r="CD258" i="29"/>
  <c r="BK131" i="104"/>
  <c r="BE107" i="104"/>
  <c r="BE131" i="104"/>
  <c r="BI26" i="104"/>
  <c r="BK163" i="104"/>
  <c r="BQ164" i="104" s="1"/>
  <c r="BE163" i="104"/>
  <c r="BE134" i="104"/>
  <c r="BK159" i="104"/>
  <c r="BQ162" i="104" s="1"/>
  <c r="BK134" i="104"/>
  <c r="BE120" i="104"/>
  <c r="BE74" i="104"/>
  <c r="BE116" i="104"/>
  <c r="BI51" i="104"/>
  <c r="BE117" i="104"/>
  <c r="BE159" i="104"/>
  <c r="BK120" i="104"/>
  <c r="BI152" i="104"/>
  <c r="BI153" i="104" s="1"/>
  <c r="BI161" i="104"/>
  <c r="BI108" i="104"/>
  <c r="BI147" i="104" s="1"/>
  <c r="BI109" i="104"/>
  <c r="BI157" i="104"/>
  <c r="BI132" i="104"/>
  <c r="BK160" i="104"/>
  <c r="BE160" i="104"/>
  <c r="BK153" i="104"/>
  <c r="BQ153" i="104"/>
  <c r="BE110" i="104"/>
  <c r="BE148" i="104"/>
  <c r="BE149" i="104" s="1"/>
  <c r="BZ269" i="29" l="1"/>
  <c r="CA269" i="29" s="1"/>
  <c r="BE166" i="3"/>
  <c r="BI151" i="3"/>
  <c r="CC266" i="29"/>
  <c r="CC269" i="29"/>
  <c r="BZ297" i="29"/>
  <c r="CA297" i="29" s="1"/>
  <c r="CD265" i="29"/>
  <c r="CE258" i="29"/>
  <c r="CE257" i="29"/>
  <c r="CD264" i="29"/>
  <c r="CE263" i="29"/>
  <c r="CF256" i="29"/>
  <c r="CK254" i="29"/>
  <c r="CJ261" i="29"/>
  <c r="BK164" i="104"/>
  <c r="BE164" i="104"/>
  <c r="BE85" i="104"/>
  <c r="BE121" i="104"/>
  <c r="BI107" i="104"/>
  <c r="BI131" i="104"/>
  <c r="BI163" i="104"/>
  <c r="BI148" i="104"/>
  <c r="BI149" i="104" s="1"/>
  <c r="BI110" i="104"/>
  <c r="BK162" i="104"/>
  <c r="BE162" i="104"/>
  <c r="BI134" i="104"/>
  <c r="BI120" i="104"/>
  <c r="BI116" i="104"/>
  <c r="BI117" i="104"/>
  <c r="BI159" i="104"/>
  <c r="BI160" i="104"/>
  <c r="BE118" i="104"/>
  <c r="AM143" i="112" l="1"/>
  <c r="BE170" i="3"/>
  <c r="BE167" i="3"/>
  <c r="BK155" i="3"/>
  <c r="BI166" i="3"/>
  <c r="CD266" i="29"/>
  <c r="CD269" i="29" s="1"/>
  <c r="CF263" i="29"/>
  <c r="CG256" i="29"/>
  <c r="CI256" i="29" s="1"/>
  <c r="CF257" i="29"/>
  <c r="CE264" i="29"/>
  <c r="CL254" i="29"/>
  <c r="CK261" i="29"/>
  <c r="CE265" i="29"/>
  <c r="CF258" i="29"/>
  <c r="CC297" i="29"/>
  <c r="BI164" i="104"/>
  <c r="BI162" i="104"/>
  <c r="BI118" i="104"/>
  <c r="BE89" i="104"/>
  <c r="BI170" i="3" l="1"/>
  <c r="BE168" i="3"/>
  <c r="AM152" i="112"/>
  <c r="BI167" i="3"/>
  <c r="CE266" i="29"/>
  <c r="CD297" i="29" s="1"/>
  <c r="CG263" i="29"/>
  <c r="CF265" i="29"/>
  <c r="CG258" i="29"/>
  <c r="CI258" i="29" s="1"/>
  <c r="CF264" i="29"/>
  <c r="CG264" i="29" s="1"/>
  <c r="CG257" i="29"/>
  <c r="CI257" i="29" s="1"/>
  <c r="CM254" i="29"/>
  <c r="CL261" i="29"/>
  <c r="CM261" i="29" s="1"/>
  <c r="CJ256" i="29"/>
  <c r="CI263" i="29"/>
  <c r="BE94" i="104"/>
  <c r="CE269" i="29" l="1"/>
  <c r="AM155" i="112"/>
  <c r="BI168" i="3"/>
  <c r="BK67" i="106"/>
  <c r="BK69" i="106"/>
  <c r="BK69" i="3"/>
  <c r="BK49" i="3"/>
  <c r="AM153" i="112"/>
  <c r="BE169" i="3"/>
  <c r="CF266" i="29"/>
  <c r="CE297" i="29" s="1"/>
  <c r="BE95" i="104"/>
  <c r="BF94" i="104"/>
  <c r="CG265" i="29"/>
  <c r="CG266" i="29" s="1"/>
  <c r="CJ263" i="29"/>
  <c r="CK256" i="29"/>
  <c r="CI264" i="29"/>
  <c r="CJ257" i="29"/>
  <c r="CI265" i="29"/>
  <c r="CJ258" i="29"/>
  <c r="BE171" i="104"/>
  <c r="CF269" i="29" l="1"/>
  <c r="CG269" i="29" s="1"/>
  <c r="AM154" i="112"/>
  <c r="BI169" i="3"/>
  <c r="BE135" i="104"/>
  <c r="BE122" i="104"/>
  <c r="BE104" i="104"/>
  <c r="BG94" i="104"/>
  <c r="BF171" i="104"/>
  <c r="BF95" i="104"/>
  <c r="CL256" i="29"/>
  <c r="CK263" i="29"/>
  <c r="CJ265" i="29"/>
  <c r="CK258" i="29"/>
  <c r="CI266" i="29"/>
  <c r="CJ264" i="29"/>
  <c r="CK257" i="29"/>
  <c r="BL67" i="106" l="1"/>
  <c r="BL69" i="106"/>
  <c r="BL49" i="3"/>
  <c r="BL69" i="3"/>
  <c r="CJ266" i="29"/>
  <c r="CJ269" i="29" s="1"/>
  <c r="BE136" i="104"/>
  <c r="BF135" i="104"/>
  <c r="BF104" i="104"/>
  <c r="BF122" i="104"/>
  <c r="BG171" i="104"/>
  <c r="BG95" i="104"/>
  <c r="CK264" i="29"/>
  <c r="CL257" i="29"/>
  <c r="CK265" i="29"/>
  <c r="CL258" i="29"/>
  <c r="CI269" i="29"/>
  <c r="CF297" i="29"/>
  <c r="CM256" i="29"/>
  <c r="CL263" i="29"/>
  <c r="CK266" i="29" l="1"/>
  <c r="CK269" i="29" s="1"/>
  <c r="BG122" i="104"/>
  <c r="BG104" i="104"/>
  <c r="BG135" i="104"/>
  <c r="BF136" i="104"/>
  <c r="CL265" i="29"/>
  <c r="CM265" i="29" s="1"/>
  <c r="CM258" i="29"/>
  <c r="CM257" i="29"/>
  <c r="CL264" i="29"/>
  <c r="CM264" i="29" s="1"/>
  <c r="CM263" i="29"/>
  <c r="CG297" i="29"/>
  <c r="CL266" i="29" l="1"/>
  <c r="CL269" i="29" s="1"/>
  <c r="CM269" i="29" s="1"/>
  <c r="BG136" i="104"/>
  <c r="CM266" i="29"/>
  <c r="BH174" i="104" l="1"/>
  <c r="BH100" i="104" s="1"/>
  <c r="BH172" i="104"/>
  <c r="BI142" i="3" l="1"/>
  <c r="BL143" i="3"/>
  <c r="BK142" i="3"/>
  <c r="BI172" i="104"/>
  <c r="BI174" i="104"/>
  <c r="BK172" i="104"/>
  <c r="BQ69" i="3" l="1"/>
  <c r="BQ49" i="3"/>
  <c r="BI102" i="104"/>
  <c r="BK173" i="104" s="1"/>
  <c r="BK174" i="104" s="1"/>
  <c r="BL142" i="3" l="1"/>
  <c r="BM143" i="3"/>
  <c r="BL172" i="104"/>
  <c r="BO173" i="104"/>
  <c r="BI98" i="104"/>
  <c r="BR69" i="3" l="1"/>
  <c r="BM122" i="3"/>
  <c r="BK71" i="3"/>
  <c r="BR49" i="3"/>
  <c r="BI100" i="104"/>
  <c r="BL173" i="104"/>
  <c r="BL174" i="104" l="1"/>
  <c r="BM142" i="3" l="1"/>
  <c r="BM173" i="104"/>
  <c r="BM172" i="104"/>
  <c r="BN122" i="3" l="1"/>
  <c r="BQ143" i="3"/>
  <c r="BM174" i="104"/>
  <c r="BM102" i="104" l="1"/>
  <c r="BM100" i="104"/>
  <c r="BU143" i="3"/>
  <c r="BN123" i="3"/>
  <c r="BN173" i="104"/>
  <c r="BM111" i="106" l="1"/>
  <c r="BM98" i="104"/>
  <c r="BN100" i="104"/>
  <c r="BO100" i="104" s="1"/>
  <c r="BQ142" i="3"/>
  <c r="BQ144" i="3"/>
  <c r="BO123" i="3"/>
  <c r="BQ122" i="3" s="1"/>
  <c r="BN174" i="104"/>
  <c r="BQ172" i="104"/>
  <c r="BN102" i="104" l="1"/>
  <c r="BO102" i="104" s="1"/>
  <c r="BQ123" i="3"/>
  <c r="BR122" i="3" s="1"/>
  <c r="BR123" i="3" s="1"/>
  <c r="BS122" i="3" s="1"/>
  <c r="BU122" i="3"/>
  <c r="BR142" i="3"/>
  <c r="BR143" i="3"/>
  <c r="BQ36" i="3"/>
  <c r="BR172" i="104"/>
  <c r="BO174" i="104"/>
  <c r="BO45" i="107" l="1"/>
  <c r="BQ102" i="104"/>
  <c r="BN98" i="104"/>
  <c r="BO98" i="104" s="1"/>
  <c r="BS172" i="104"/>
  <c r="BS142" i="3"/>
  <c r="BR144" i="3"/>
  <c r="BQ34" i="3"/>
  <c r="BS123" i="3"/>
  <c r="BT122" i="3" s="1"/>
  <c r="BQ173" i="104"/>
  <c r="BQ45" i="107" l="1"/>
  <c r="BQ111" i="106" s="1"/>
  <c r="BQ98" i="104"/>
  <c r="BR36" i="3"/>
  <c r="BS143" i="3"/>
  <c r="BQ35" i="3"/>
  <c r="BQ174" i="104"/>
  <c r="BU173" i="104"/>
  <c r="BQ100" i="104" l="1"/>
  <c r="BR102" i="104"/>
  <c r="BI67" i="106"/>
  <c r="BI69" i="106"/>
  <c r="BM49" i="3"/>
  <c r="BI69" i="3"/>
  <c r="BM69" i="3"/>
  <c r="BS144" i="3"/>
  <c r="BI49" i="3"/>
  <c r="BR34" i="3"/>
  <c r="BR173" i="104"/>
  <c r="BR45" i="107" l="1"/>
  <c r="BR98" i="104"/>
  <c r="BI109" i="3"/>
  <c r="BS69" i="3"/>
  <c r="BT143" i="3"/>
  <c r="BS36" i="3"/>
  <c r="BT123" i="3"/>
  <c r="BU123" i="3" s="1"/>
  <c r="BW122" i="3" s="1"/>
  <c r="BR35" i="3"/>
  <c r="BS49" i="3"/>
  <c r="BR174" i="104"/>
  <c r="BR111" i="106" l="1"/>
  <c r="BR100" i="104"/>
  <c r="BS102" i="104"/>
  <c r="BS34" i="3"/>
  <c r="CA122" i="3"/>
  <c r="BT144" i="3"/>
  <c r="BS173" i="104"/>
  <c r="BS45" i="107" l="1"/>
  <c r="BS111" i="106" s="1"/>
  <c r="BS98" i="104"/>
  <c r="BW123" i="3"/>
  <c r="BX122" i="3" s="1"/>
  <c r="BU144" i="3"/>
  <c r="BT36" i="3"/>
  <c r="BS35" i="3"/>
  <c r="BW172" i="104"/>
  <c r="BW142" i="3"/>
  <c r="BS174" i="104"/>
  <c r="BT102" i="104" l="1"/>
  <c r="BS100" i="104"/>
  <c r="BX172" i="104"/>
  <c r="BX142" i="3"/>
  <c r="BU36" i="3"/>
  <c r="BT34" i="3"/>
  <c r="BX123" i="3"/>
  <c r="BY122" i="3" s="1"/>
  <c r="BW143" i="3"/>
  <c r="BT173" i="104"/>
  <c r="BU34" i="3" l="1"/>
  <c r="BT45" i="107"/>
  <c r="BT98" i="104"/>
  <c r="BW144" i="3"/>
  <c r="CA143" i="3"/>
  <c r="BT35" i="3"/>
  <c r="BT174" i="104"/>
  <c r="BU45" i="107" l="1"/>
  <c r="BT111" i="106"/>
  <c r="BT100" i="104"/>
  <c r="BU102" i="104"/>
  <c r="BY142" i="3"/>
  <c r="BX143" i="3"/>
  <c r="BW36" i="3"/>
  <c r="BU35" i="3"/>
  <c r="BY123" i="3"/>
  <c r="BZ122" i="3" s="1"/>
  <c r="BY172" i="104"/>
  <c r="BU174" i="104"/>
  <c r="BU111" i="106" l="1"/>
  <c r="BW102" i="104"/>
  <c r="BW34" i="3"/>
  <c r="BX144" i="3"/>
  <c r="BW173" i="104"/>
  <c r="BW45" i="107" l="1"/>
  <c r="BW111" i="106" s="1"/>
  <c r="BW98" i="104"/>
  <c r="BY143" i="3"/>
  <c r="BX36" i="3"/>
  <c r="BW35" i="3"/>
  <c r="BW174" i="104"/>
  <c r="CA173" i="104"/>
  <c r="BU98" i="104"/>
  <c r="BX102" i="104" l="1"/>
  <c r="BW100" i="104"/>
  <c r="BZ123" i="3"/>
  <c r="CA123" i="3" s="1"/>
  <c r="CC122" i="3" s="1"/>
  <c r="BX34" i="3"/>
  <c r="BY144" i="3"/>
  <c r="BU100" i="104"/>
  <c r="BX173" i="104"/>
  <c r="BX45" i="107" l="1"/>
  <c r="BX111" i="106" s="1"/>
  <c r="BX98" i="104"/>
  <c r="BZ143" i="3"/>
  <c r="BY36" i="3"/>
  <c r="BX35" i="3"/>
  <c r="CG122" i="3"/>
  <c r="CC123" i="3"/>
  <c r="CD122" i="3" s="1"/>
  <c r="BX174" i="104"/>
  <c r="BX100" i="104" l="1"/>
  <c r="BY102" i="104"/>
  <c r="BY34" i="3"/>
  <c r="CC172" i="104"/>
  <c r="CC142" i="3"/>
  <c r="BZ144" i="3"/>
  <c r="BY173" i="104"/>
  <c r="BY45" i="107" l="1"/>
  <c r="BY98" i="104"/>
  <c r="BY35" i="3"/>
  <c r="CD142" i="3"/>
  <c r="CA144" i="3"/>
  <c r="BZ36" i="3"/>
  <c r="CD123" i="3"/>
  <c r="CE122" i="3" s="1"/>
  <c r="CD172" i="104"/>
  <c r="BY174" i="104"/>
  <c r="BY111" i="106" l="1"/>
  <c r="BY100" i="104"/>
  <c r="BZ102" i="104"/>
  <c r="CE172" i="104"/>
  <c r="CA36" i="3"/>
  <c r="BZ34" i="3"/>
  <c r="CC143" i="3"/>
  <c r="BZ173" i="104"/>
  <c r="BZ45" i="107" l="1"/>
  <c r="BZ111" i="106" s="1"/>
  <c r="BZ98" i="104"/>
  <c r="CE142" i="3"/>
  <c r="CE123" i="3"/>
  <c r="CF122" i="3" s="1"/>
  <c r="CC144" i="3"/>
  <c r="CG143" i="3"/>
  <c r="BZ35" i="3"/>
  <c r="CA34" i="3"/>
  <c r="BZ174" i="104"/>
  <c r="CA45" i="107" l="1"/>
  <c r="CA111" i="106" s="1"/>
  <c r="BZ100" i="104"/>
  <c r="CA102" i="104"/>
  <c r="CA35" i="3"/>
  <c r="CD143" i="3"/>
  <c r="CC36" i="3"/>
  <c r="CA174" i="104"/>
  <c r="CC34" i="3" l="1"/>
  <c r="CD144" i="3"/>
  <c r="CC173" i="104"/>
  <c r="CC35" i="3" l="1"/>
  <c r="CC45" i="107"/>
  <c r="CF123" i="3"/>
  <c r="CG123" i="3" s="1"/>
  <c r="CD36" i="3"/>
  <c r="CE143" i="3"/>
  <c r="CA98" i="104"/>
  <c r="CG173" i="104"/>
  <c r="CC174" i="104"/>
  <c r="CC102" i="104" s="1"/>
  <c r="CC98" i="104" s="1"/>
  <c r="CC100" i="104" l="1"/>
  <c r="CD34" i="3"/>
  <c r="CC111" i="106"/>
  <c r="CE144" i="3"/>
  <c r="CD173" i="104"/>
  <c r="CA100" i="104"/>
  <c r="CD35" i="3" l="1"/>
  <c r="CD45" i="107"/>
  <c r="CE36" i="3"/>
  <c r="CF143" i="3"/>
  <c r="CD174" i="104"/>
  <c r="CD102" i="104" s="1"/>
  <c r="CD98" i="104" s="1"/>
  <c r="CD100" i="104" l="1"/>
  <c r="CE34" i="3"/>
  <c r="CD111" i="106"/>
  <c r="CF144" i="3"/>
  <c r="CE173" i="104"/>
  <c r="CE35" i="3" l="1"/>
  <c r="CE45" i="107"/>
  <c r="CF36" i="3"/>
  <c r="CG144" i="3"/>
  <c r="CE174" i="104"/>
  <c r="CE102" i="104" s="1"/>
  <c r="CE98" i="104" s="1"/>
  <c r="CE100" i="104" l="1"/>
  <c r="CE111" i="106"/>
  <c r="CG36" i="3"/>
  <c r="CF34" i="3"/>
  <c r="CF173" i="104"/>
  <c r="CF45" i="107" l="1"/>
  <c r="CF35" i="3"/>
  <c r="CG34" i="3"/>
  <c r="CF174" i="104"/>
  <c r="CF102" i="104" s="1"/>
  <c r="CF111" i="106" l="1"/>
  <c r="CG102" i="104"/>
  <c r="CF98" i="104"/>
  <c r="CG45" i="107"/>
  <c r="CG35" i="3"/>
  <c r="CG174" i="104"/>
  <c r="CF100" i="104" l="1"/>
  <c r="CG98" i="104"/>
  <c r="CG100" i="104" s="1"/>
  <c r="CG111" i="106"/>
  <c r="BI50" i="104" l="1"/>
  <c r="BG32" i="3" l="1"/>
  <c r="BH72" i="104" l="1"/>
  <c r="BK75" i="104"/>
  <c r="BH75" i="104"/>
  <c r="BL75" i="104"/>
  <c r="BI72" i="104" l="1"/>
  <c r="BI74" i="104" s="1"/>
  <c r="BI121" i="104" s="1"/>
  <c r="BH74" i="104"/>
  <c r="BH121" i="104" s="1"/>
  <c r="BH52" i="104"/>
  <c r="BI52" i="104" s="1"/>
  <c r="BK167" i="104"/>
  <c r="BK85" i="104"/>
  <c r="BK89" i="104" s="1"/>
  <c r="BL167" i="104"/>
  <c r="BH85" i="104" l="1"/>
  <c r="BH89" i="104" s="1"/>
  <c r="BH94" i="104" s="1"/>
  <c r="BI94" i="104" s="1"/>
  <c r="BI171" i="104" s="1"/>
  <c r="BI85" i="104" l="1"/>
  <c r="BI75" i="104" s="1"/>
  <c r="BH171" i="104"/>
  <c r="BH95" i="104"/>
  <c r="BH135" i="104" s="1"/>
  <c r="BQ75" i="104"/>
  <c r="BK94" i="104"/>
  <c r="BH32" i="3" l="1"/>
  <c r="BI89" i="104"/>
  <c r="BI95" i="104" s="1"/>
  <c r="BI135" i="104" s="1"/>
  <c r="BH104" i="104"/>
  <c r="BH122" i="104"/>
  <c r="BR75" i="104"/>
  <c r="BK171" i="104"/>
  <c r="BK95" i="104"/>
  <c r="BQ167" i="104"/>
  <c r="BI32" i="3" l="1"/>
  <c r="BI122" i="104"/>
  <c r="BI104" i="104"/>
  <c r="BH136" i="104"/>
  <c r="BS75" i="104"/>
  <c r="BR167" i="104"/>
  <c r="BK135" i="104"/>
  <c r="BK104" i="104"/>
  <c r="BK122" i="104"/>
  <c r="BK32" i="3" l="1"/>
  <c r="BI136" i="104"/>
  <c r="BT75" i="104"/>
  <c r="BS167" i="104"/>
  <c r="BK136" i="104"/>
  <c r="BT167" i="104" l="1"/>
  <c r="BW75" i="104"/>
  <c r="BI100" i="29" l="1"/>
  <c r="BX75" i="104"/>
  <c r="BW167" i="104"/>
  <c r="BL62" i="104" l="1"/>
  <c r="BX167" i="104"/>
  <c r="BY75" i="104"/>
  <c r="BL74" i="104" l="1"/>
  <c r="BL52" i="104"/>
  <c r="BY167" i="104"/>
  <c r="BZ75" i="104"/>
  <c r="BL121" i="104" l="1"/>
  <c r="BL85" i="104"/>
  <c r="BL89" i="104" s="1"/>
  <c r="CC75" i="104"/>
  <c r="BZ167" i="104"/>
  <c r="CC167" i="104" l="1"/>
  <c r="CD75" i="104"/>
  <c r="BL94" i="104" l="1"/>
  <c r="CE75" i="104"/>
  <c r="CD167" i="104"/>
  <c r="BL171" i="104" l="1"/>
  <c r="BL95" i="104"/>
  <c r="CE167" i="104"/>
  <c r="CF75" i="104"/>
  <c r="BL141" i="3" l="1"/>
  <c r="BL122" i="104"/>
  <c r="BL135" i="104"/>
  <c r="BL104" i="104"/>
  <c r="CF167" i="104"/>
  <c r="BL136" i="104" l="1"/>
  <c r="BL32" i="3" l="1"/>
  <c r="BM62" i="104" l="1"/>
  <c r="BM52" i="104" l="1"/>
  <c r="BM74" i="104"/>
  <c r="BM121" i="104" l="1"/>
  <c r="BM94" i="104" l="1"/>
  <c r="BM171" i="104" l="1"/>
  <c r="BM141" i="3" l="1"/>
  <c r="BM110" i="106"/>
  <c r="BM28" i="107" l="1"/>
  <c r="BM46" i="106"/>
  <c r="BM177" i="106" s="1"/>
  <c r="BH130" i="104"/>
  <c r="BM86" i="106" l="1"/>
  <c r="BM66" i="107"/>
  <c r="BM114" i="106"/>
  <c r="BM50" i="106"/>
  <c r="BI130" i="104"/>
  <c r="BI128" i="104" s="1"/>
  <c r="BH128" i="104"/>
  <c r="BM67" i="107" l="1"/>
  <c r="BM88" i="106" s="1"/>
  <c r="BM87" i="106"/>
  <c r="BM115" i="106"/>
  <c r="BM113" i="106"/>
  <c r="BO113" i="106" s="1"/>
  <c r="BM68" i="107" l="1"/>
  <c r="BO59" i="51"/>
  <c r="AR13" i="112"/>
  <c r="BO61" i="51"/>
  <c r="AR25" i="112" l="1"/>
  <c r="AV25" i="112"/>
  <c r="AR9" i="112"/>
  <c r="AR162" i="112"/>
  <c r="AR163" i="112" s="1"/>
  <c r="BO73" i="51"/>
  <c r="BK132" i="51"/>
  <c r="BK62" i="3"/>
  <c r="BO58" i="51"/>
  <c r="AR14" i="112"/>
  <c r="AR26" i="112" l="1"/>
  <c r="AV26" i="112"/>
  <c r="AV21" i="112"/>
  <c r="AR21" i="112"/>
  <c r="AR161" i="112"/>
  <c r="AR159" i="112" s="1"/>
  <c r="BK130" i="104"/>
  <c r="BK64" i="3"/>
  <c r="BK128" i="104" l="1"/>
  <c r="BO49" i="51" l="1"/>
  <c r="BL50" i="51"/>
  <c r="BO50" i="51" l="1"/>
  <c r="BL52" i="51"/>
  <c r="BO52" i="51" s="1"/>
  <c r="AS8" i="112" l="1"/>
  <c r="AS20" i="112" s="1"/>
  <c r="BI10" i="112" s="1"/>
  <c r="BL72" i="51"/>
  <c r="AW20" i="112" l="1"/>
  <c r="BL62" i="3"/>
  <c r="BL64" i="3" s="1"/>
  <c r="BO72" i="51"/>
  <c r="AS14" i="112"/>
  <c r="AS162" i="112"/>
  <c r="AS163" i="112" s="1"/>
  <c r="BL74" i="51"/>
  <c r="BO70" i="51"/>
  <c r="AS26" i="112" l="1"/>
  <c r="AW26" i="112"/>
  <c r="BO62" i="3"/>
  <c r="AS161" i="112"/>
  <c r="AS159" i="112" s="1"/>
  <c r="BO132" i="51"/>
  <c r="BL132" i="51"/>
  <c r="BL130" i="104" s="1"/>
  <c r="BO130" i="104" s="1"/>
  <c r="BO133" i="51"/>
  <c r="BO74" i="51"/>
  <c r="AN177" i="112" l="1"/>
  <c r="AN178" i="112" s="1"/>
  <c r="AQ172" i="112"/>
  <c r="BO134" i="51"/>
  <c r="BL128" i="104"/>
  <c r="BL29" i="29"/>
  <c r="BL61" i="29" s="1"/>
  <c r="BL60" i="29"/>
  <c r="BN28" i="29"/>
  <c r="BM170" i="106" l="1"/>
  <c r="BQ28" i="29"/>
  <c r="BN29" i="29"/>
  <c r="BM54" i="107" l="1"/>
  <c r="BM58" i="107" s="1"/>
  <c r="BM94" i="29"/>
  <c r="BN95" i="29" s="1"/>
  <c r="BM37" i="106"/>
  <c r="BM52" i="106" s="1"/>
  <c r="BM70" i="106" s="1"/>
  <c r="BO49" i="107"/>
  <c r="BO33" i="106"/>
  <c r="BN57" i="106"/>
  <c r="BN64" i="29"/>
  <c r="BN35" i="29"/>
  <c r="BO60" i="29"/>
  <c r="BO29" i="29"/>
  <c r="BQ29" i="29"/>
  <c r="BQ32" i="29" s="1"/>
  <c r="BQ33" i="106" s="1"/>
  <c r="BQ170" i="106" s="1"/>
  <c r="BR28" i="29"/>
  <c r="BM62" i="107" l="1"/>
  <c r="BN60" i="107" s="1"/>
  <c r="BM85" i="106"/>
  <c r="BQ48" i="107"/>
  <c r="BQ49" i="107"/>
  <c r="BQ37" i="106"/>
  <c r="BQ57" i="106"/>
  <c r="BO57" i="106"/>
  <c r="BM180" i="106"/>
  <c r="BO48" i="107"/>
  <c r="BO54" i="107" s="1"/>
  <c r="BN54" i="107"/>
  <c r="BS28" i="29"/>
  <c r="BR29" i="29"/>
  <c r="BR32" i="29" s="1"/>
  <c r="BR33" i="106" s="1"/>
  <c r="BR170" i="106" s="1"/>
  <c r="BO95" i="29"/>
  <c r="BN58" i="104"/>
  <c r="BO32" i="29"/>
  <c r="BO61" i="29"/>
  <c r="BN94" i="29"/>
  <c r="BQ95" i="29" s="1"/>
  <c r="BN66" i="29"/>
  <c r="BQ64" i="29"/>
  <c r="BQ35" i="29"/>
  <c r="BN33" i="29"/>
  <c r="BN36" i="29"/>
  <c r="BM183" i="106" l="1"/>
  <c r="BM184" i="106"/>
  <c r="BM15" i="106"/>
  <c r="BM63" i="107"/>
  <c r="BR49" i="107"/>
  <c r="BR48" i="107"/>
  <c r="BR37" i="106"/>
  <c r="BR57" i="106"/>
  <c r="BQ54" i="107"/>
  <c r="BQ33" i="29"/>
  <c r="BQ36" i="29"/>
  <c r="BQ58" i="104"/>
  <c r="BQ21" i="3"/>
  <c r="BO35" i="29"/>
  <c r="BO64" i="29"/>
  <c r="BO58" i="104"/>
  <c r="BR64" i="29"/>
  <c r="BR35" i="29"/>
  <c r="BO33" i="29"/>
  <c r="BQ94" i="29"/>
  <c r="BR95" i="29" s="1"/>
  <c r="BQ66" i="29"/>
  <c r="BN227" i="29"/>
  <c r="BO227" i="29" s="1"/>
  <c r="BS29" i="29"/>
  <c r="BS32" i="29" s="1"/>
  <c r="BS33" i="106" s="1"/>
  <c r="BS170" i="106" s="1"/>
  <c r="BT28" i="29"/>
  <c r="BM76" i="106" l="1"/>
  <c r="BM73" i="106"/>
  <c r="BR54" i="107"/>
  <c r="BM22" i="106"/>
  <c r="BS57" i="106"/>
  <c r="BS48" i="107"/>
  <c r="BS49" i="107"/>
  <c r="BS37" i="106"/>
  <c r="BQ68" i="106"/>
  <c r="BQ67" i="106"/>
  <c r="BS64" i="29"/>
  <c r="BS35" i="29"/>
  <c r="BR58" i="104"/>
  <c r="BR21" i="3"/>
  <c r="BR66" i="29"/>
  <c r="BR94" i="29"/>
  <c r="BS95" i="29" s="1"/>
  <c r="BO66" i="29"/>
  <c r="BO94" i="29"/>
  <c r="BU28" i="29"/>
  <c r="BT29" i="29"/>
  <c r="BT32" i="29" s="1"/>
  <c r="BT33" i="106" s="1"/>
  <c r="BT170" i="106" s="1"/>
  <c r="BW28" i="29"/>
  <c r="BO36" i="29"/>
  <c r="BR33" i="29"/>
  <c r="BR36" i="29"/>
  <c r="BQ227" i="29"/>
  <c r="BR68" i="106" l="1"/>
  <c r="BR67" i="106"/>
  <c r="BM54" i="106"/>
  <c r="BU33" i="106"/>
  <c r="BU170" i="106" s="1"/>
  <c r="BT48" i="107"/>
  <c r="BT49" i="107"/>
  <c r="BU49" i="107" s="1"/>
  <c r="BT57" i="106"/>
  <c r="BS54" i="107"/>
  <c r="BT64" i="29"/>
  <c r="BT35" i="29"/>
  <c r="BS66" i="29"/>
  <c r="BS94" i="29"/>
  <c r="BT95" i="29" s="1"/>
  <c r="BW29" i="29"/>
  <c r="BW32" i="29" s="1"/>
  <c r="BW33" i="106" s="1"/>
  <c r="BW170" i="106" s="1"/>
  <c r="BX28" i="29"/>
  <c r="BU60" i="29"/>
  <c r="BU29" i="29"/>
  <c r="BS58" i="104"/>
  <c r="BS21" i="3"/>
  <c r="BR227" i="29"/>
  <c r="BS33" i="29"/>
  <c r="BS36" i="29"/>
  <c r="BU57" i="106" l="1"/>
  <c r="BT54" i="107"/>
  <c r="BU48" i="107"/>
  <c r="BU54" i="107" s="1"/>
  <c r="BW49" i="107"/>
  <c r="BW48" i="107"/>
  <c r="BW37" i="106"/>
  <c r="BW57" i="106"/>
  <c r="BS68" i="106"/>
  <c r="BS67" i="106"/>
  <c r="BW64" i="29"/>
  <c r="BW35" i="29"/>
  <c r="BT36" i="29"/>
  <c r="BT33" i="29"/>
  <c r="BM100" i="29"/>
  <c r="BN102" i="29" s="1"/>
  <c r="BS227" i="29"/>
  <c r="BU32" i="29"/>
  <c r="BU61" i="29"/>
  <c r="BX29" i="29"/>
  <c r="BX32" i="29" s="1"/>
  <c r="BX33" i="106" s="1"/>
  <c r="BX170" i="106" s="1"/>
  <c r="BY28" i="29"/>
  <c r="BT21" i="3"/>
  <c r="BT58" i="104"/>
  <c r="BU95" i="29"/>
  <c r="BT66" i="29"/>
  <c r="BT94" i="29"/>
  <c r="BW95" i="29" s="1"/>
  <c r="BW54" i="107" l="1"/>
  <c r="BX49" i="107"/>
  <c r="BX48" i="107"/>
  <c r="BX37" i="106"/>
  <c r="BX57" i="106"/>
  <c r="BY29" i="29"/>
  <c r="BY32" i="29" s="1"/>
  <c r="BY33" i="106" s="1"/>
  <c r="BY170" i="106" s="1"/>
  <c r="BZ28" i="29"/>
  <c r="BU58" i="104"/>
  <c r="BW33" i="29"/>
  <c r="BW36" i="29"/>
  <c r="BW58" i="104"/>
  <c r="BW21" i="3"/>
  <c r="BT227" i="29"/>
  <c r="BU227" i="29" s="1"/>
  <c r="BX64" i="29"/>
  <c r="BX35" i="29"/>
  <c r="BU64" i="29"/>
  <c r="BU35" i="29"/>
  <c r="BU36" i="29" s="1"/>
  <c r="BU21" i="3"/>
  <c r="BO102" i="29"/>
  <c r="BN62" i="104"/>
  <c r="BU33" i="29"/>
  <c r="BW94" i="29"/>
  <c r="BX95" i="29" s="1"/>
  <c r="BW66" i="29"/>
  <c r="BW68" i="106" l="1"/>
  <c r="BY48" i="107"/>
  <c r="BY49" i="107"/>
  <c r="BY37" i="106"/>
  <c r="BY57" i="106"/>
  <c r="BX54" i="107"/>
  <c r="BU66" i="29"/>
  <c r="BU94" i="29"/>
  <c r="BX94" i="29"/>
  <c r="BY95" i="29" s="1"/>
  <c r="BX66" i="29"/>
  <c r="BW227" i="29"/>
  <c r="BY64" i="29"/>
  <c r="BY35" i="29"/>
  <c r="BX21" i="3"/>
  <c r="BX58" i="104"/>
  <c r="BO62" i="104"/>
  <c r="BN52" i="104"/>
  <c r="BO52" i="104" s="1"/>
  <c r="BX36" i="29"/>
  <c r="BX33" i="29"/>
  <c r="CA28" i="29"/>
  <c r="CC28" i="29"/>
  <c r="BZ29" i="29"/>
  <c r="BZ32" i="29" s="1"/>
  <c r="BZ33" i="106" s="1"/>
  <c r="BZ170" i="106" s="1"/>
  <c r="BY54" i="107" l="1"/>
  <c r="CA33" i="106"/>
  <c r="CA170" i="106" s="1"/>
  <c r="BZ48" i="107"/>
  <c r="CA48" i="107" s="1"/>
  <c r="BZ49" i="107"/>
  <c r="CA49" i="107" s="1"/>
  <c r="BZ57" i="106"/>
  <c r="BX68" i="106"/>
  <c r="BZ64" i="29"/>
  <c r="BZ35" i="29"/>
  <c r="CA60" i="29"/>
  <c r="CA29" i="29"/>
  <c r="BY66" i="29"/>
  <c r="BY94" i="29"/>
  <c r="BZ95" i="29" s="1"/>
  <c r="CD28" i="29"/>
  <c r="CC29" i="29"/>
  <c r="CC32" i="29" s="1"/>
  <c r="CC33" i="106" s="1"/>
  <c r="BX227" i="29"/>
  <c r="BY33" i="29"/>
  <c r="BY36" i="29"/>
  <c r="BY58" i="104"/>
  <c r="BY21" i="3"/>
  <c r="CC170" i="106" l="1"/>
  <c r="BZ54" i="107"/>
  <c r="CA57" i="106"/>
  <c r="CA54" i="107"/>
  <c r="CC48" i="107"/>
  <c r="CC49" i="107"/>
  <c r="CC37" i="106"/>
  <c r="CC57" i="106"/>
  <c r="BY68" i="106"/>
  <c r="CE28" i="29"/>
  <c r="CD29" i="29"/>
  <c r="CD32" i="29" s="1"/>
  <c r="CD33" i="106" s="1"/>
  <c r="BZ36" i="29"/>
  <c r="BZ33" i="29"/>
  <c r="BY227" i="29"/>
  <c r="CC64" i="29"/>
  <c r="CC35" i="29"/>
  <c r="BZ21" i="3"/>
  <c r="BZ58" i="104"/>
  <c r="CA95" i="29"/>
  <c r="CA32" i="29"/>
  <c r="CA61" i="29"/>
  <c r="BZ66" i="29"/>
  <c r="BZ94" i="29"/>
  <c r="CC95" i="29" s="1"/>
  <c r="CD170" i="106" l="1"/>
  <c r="CC54" i="107"/>
  <c r="CD48" i="107"/>
  <c r="CD49" i="107"/>
  <c r="CD37" i="106"/>
  <c r="CD57" i="106"/>
  <c r="CA21" i="3"/>
  <c r="CA64" i="29"/>
  <c r="CA35" i="29"/>
  <c r="CA36" i="29" s="1"/>
  <c r="CC66" i="29"/>
  <c r="CC94" i="29"/>
  <c r="CD95" i="29" s="1"/>
  <c r="CA33" i="29"/>
  <c r="CE29" i="29"/>
  <c r="CE32" i="29" s="1"/>
  <c r="CE33" i="106" s="1"/>
  <c r="CF28" i="29"/>
  <c r="CA58" i="104"/>
  <c r="CC58" i="104"/>
  <c r="CC21" i="3"/>
  <c r="BZ227" i="29"/>
  <c r="CA227" i="29" s="1"/>
  <c r="CC36" i="29"/>
  <c r="CC33" i="29"/>
  <c r="CD64" i="29"/>
  <c r="CD35" i="29"/>
  <c r="CE170" i="106" l="1"/>
  <c r="CD54" i="107"/>
  <c r="CE48" i="107"/>
  <c r="CE49" i="107"/>
  <c r="CE37" i="106"/>
  <c r="CE57" i="106"/>
  <c r="CC68" i="106"/>
  <c r="CD36" i="29"/>
  <c r="CD33" i="29"/>
  <c r="CC227" i="29"/>
  <c r="CF29" i="29"/>
  <c r="CF32" i="29" s="1"/>
  <c r="CF33" i="106" s="1"/>
  <c r="CG28" i="29"/>
  <c r="CD21" i="3"/>
  <c r="CD58" i="104"/>
  <c r="CD66" i="29"/>
  <c r="CD94" i="29"/>
  <c r="CE95" i="29" s="1"/>
  <c r="CE64" i="29"/>
  <c r="CE35" i="29"/>
  <c r="CA66" i="29"/>
  <c r="CA94" i="29"/>
  <c r="CF170" i="106" l="1"/>
  <c r="CE54" i="107"/>
  <c r="CG33" i="106"/>
  <c r="CF48" i="107"/>
  <c r="CF49" i="107"/>
  <c r="CF57" i="106"/>
  <c r="CD68" i="106"/>
  <c r="CE33" i="29"/>
  <c r="CE36" i="29"/>
  <c r="CD227" i="29"/>
  <c r="CF64" i="29"/>
  <c r="CF35" i="29"/>
  <c r="CE66" i="29"/>
  <c r="CE94" i="29"/>
  <c r="CF95" i="29" s="1"/>
  <c r="CG95" i="29" s="1"/>
  <c r="CE58" i="104"/>
  <c r="CE21" i="3"/>
  <c r="CG29" i="29"/>
  <c r="CG60" i="29"/>
  <c r="CG170" i="106" l="1"/>
  <c r="CG49" i="107"/>
  <c r="CG57" i="106"/>
  <c r="CE68" i="106"/>
  <c r="CF54" i="107"/>
  <c r="CG48" i="107"/>
  <c r="CG61" i="29"/>
  <c r="CG32" i="29"/>
  <c r="CF21" i="3"/>
  <c r="CF58" i="104"/>
  <c r="CF66" i="29"/>
  <c r="CF94" i="29"/>
  <c r="CE227" i="29"/>
  <c r="CF33" i="29"/>
  <c r="CF36" i="29"/>
  <c r="CG54" i="107" l="1"/>
  <c r="CG58" i="104"/>
  <c r="CG33" i="29"/>
  <c r="CF227" i="29"/>
  <c r="CG227" i="29" s="1"/>
  <c r="CG21" i="3"/>
  <c r="CG64" i="29"/>
  <c r="CG35" i="29"/>
  <c r="CG36" i="29" s="1"/>
  <c r="CG94" i="29" l="1"/>
  <c r="CG66" i="29"/>
  <c r="BM20" i="3" l="1"/>
  <c r="BM25" i="3" s="1"/>
  <c r="BM26" i="3" l="1"/>
  <c r="BM55" i="3"/>
  <c r="BM29" i="3"/>
  <c r="BM164" i="106" l="1"/>
  <c r="BM165" i="106" s="1"/>
  <c r="BM166" i="106" s="1"/>
  <c r="BM186" i="106" s="1"/>
  <c r="BM136" i="3"/>
  <c r="BM75" i="104"/>
  <c r="BM31" i="3"/>
  <c r="BM167" i="106" l="1"/>
  <c r="BM187" i="106"/>
  <c r="BM64" i="106" s="1"/>
  <c r="BM37" i="3"/>
  <c r="BM56" i="3"/>
  <c r="BM32" i="3"/>
  <c r="BM70" i="3"/>
  <c r="BM74" i="3"/>
  <c r="BM62" i="106"/>
  <c r="BM63" i="106"/>
  <c r="BM85" i="104"/>
  <c r="BM89" i="104" s="1"/>
  <c r="BM95" i="104" s="1"/>
  <c r="BM167" i="104"/>
  <c r="BS74" i="3" l="1"/>
  <c r="BM122" i="104"/>
  <c r="BM135" i="104"/>
  <c r="BM104" i="104"/>
  <c r="BM76" i="107"/>
  <c r="BM71" i="3"/>
  <c r="BM136" i="104" l="1"/>
  <c r="BY74" i="3"/>
  <c r="BU74" i="3"/>
  <c r="CE74" i="3" l="1"/>
  <c r="CA74" i="3"/>
  <c r="CG74" i="3" l="1"/>
  <c r="AS142" i="51" l="1"/>
  <c r="AT142" i="51"/>
  <c r="AU142" i="51"/>
  <c r="AS149" i="51"/>
  <c r="AT149" i="51"/>
  <c r="AU149" i="51"/>
  <c r="AS156" i="51"/>
  <c r="AT156" i="51"/>
  <c r="AU156" i="51"/>
  <c r="BI142" i="51" l="1"/>
  <c r="BI163" i="51" s="1"/>
  <c r="BI164" i="51" s="1"/>
  <c r="BB149" i="51" l="1"/>
  <c r="BH150" i="51" s="1"/>
  <c r="BB156" i="51"/>
  <c r="BB142" i="51"/>
  <c r="BC142" i="51" s="1"/>
  <c r="BI143" i="51" s="1"/>
  <c r="BB163" i="51" l="1"/>
  <c r="BB164" i="51" s="1"/>
  <c r="BH157" i="51"/>
  <c r="AV156" i="51"/>
  <c r="BC156" i="51"/>
  <c r="AV149" i="51"/>
  <c r="BC149" i="51"/>
  <c r="BH143" i="51"/>
  <c r="BH144" i="51" s="1"/>
  <c r="AV142" i="51"/>
  <c r="BC163" i="51" l="1"/>
  <c r="BC164" i="51" s="1"/>
  <c r="BK95" i="51" l="1"/>
  <c r="BL95" i="51"/>
  <c r="BL101" i="51" s="1"/>
  <c r="BM95" i="51"/>
  <c r="BM101" i="51" s="1"/>
  <c r="BM162" i="3" l="1"/>
  <c r="BM103" i="51"/>
  <c r="BM104" i="51" s="1"/>
  <c r="BL103" i="51"/>
  <c r="BL104" i="51" s="1"/>
  <c r="BL162" i="3"/>
  <c r="BL163" i="3" s="1"/>
  <c r="BK101" i="51"/>
  <c r="BN113" i="3"/>
  <c r="BN158" i="107"/>
  <c r="BN159" i="107" s="1"/>
  <c r="BN160" i="107" s="1"/>
  <c r="BS162" i="3" l="1"/>
  <c r="AU150" i="112" s="1"/>
  <c r="BM166" i="3"/>
  <c r="AP152" i="112" s="1"/>
  <c r="BM163" i="3"/>
  <c r="AP150" i="112"/>
  <c r="BN46" i="3"/>
  <c r="BN105" i="3"/>
  <c r="BN48" i="3"/>
  <c r="BN67" i="3"/>
  <c r="BR162" i="3"/>
  <c r="AT150" i="112" s="1"/>
  <c r="BL166" i="3"/>
  <c r="BL167" i="3" s="1"/>
  <c r="AO150" i="112"/>
  <c r="BO160" i="107"/>
  <c r="BN116" i="3"/>
  <c r="BO158" i="107"/>
  <c r="BO159" i="107" s="1"/>
  <c r="BO46" i="3"/>
  <c r="BO48" i="3"/>
  <c r="BO113" i="3"/>
  <c r="BO105" i="3"/>
  <c r="BO67" i="3"/>
  <c r="BK162" i="3"/>
  <c r="BK103" i="51"/>
  <c r="BK104" i="51" s="1"/>
  <c r="BO27" i="106"/>
  <c r="BM170" i="3" l="1"/>
  <c r="BY162" i="3"/>
  <c r="CE162" i="3" s="1"/>
  <c r="CE163" i="3" s="1"/>
  <c r="BS166" i="3"/>
  <c r="BS163" i="3"/>
  <c r="BR166" i="3"/>
  <c r="BR167" i="3" s="1"/>
  <c r="BX162" i="3"/>
  <c r="CD162" i="3" s="1"/>
  <c r="CD163" i="3" s="1"/>
  <c r="BM167" i="3"/>
  <c r="AP153" i="112" s="1"/>
  <c r="BL170" i="3"/>
  <c r="AO155" i="112" s="1"/>
  <c r="AO152" i="112"/>
  <c r="BR163" i="3"/>
  <c r="BN107" i="3"/>
  <c r="BN108" i="3" s="1"/>
  <c r="BT106" i="3"/>
  <c r="BN51" i="3"/>
  <c r="BN153" i="3" s="1"/>
  <c r="BN114" i="3"/>
  <c r="BN151" i="3"/>
  <c r="BN68" i="3"/>
  <c r="BN50" i="3"/>
  <c r="BN54" i="3"/>
  <c r="BN68" i="106"/>
  <c r="BN47" i="3"/>
  <c r="BN52" i="3" s="1"/>
  <c r="BO116" i="3"/>
  <c r="BO24" i="107"/>
  <c r="BO31" i="106"/>
  <c r="BO93" i="106"/>
  <c r="BQ24" i="107"/>
  <c r="BN37" i="106"/>
  <c r="BL168" i="3"/>
  <c r="AO153" i="112"/>
  <c r="AP155" i="112"/>
  <c r="BO68" i="106"/>
  <c r="BO50" i="3"/>
  <c r="BO54" i="3"/>
  <c r="BO114" i="3"/>
  <c r="BO68" i="3"/>
  <c r="BO51" i="3"/>
  <c r="BO153" i="3" s="1"/>
  <c r="BO151" i="3"/>
  <c r="BO47" i="3"/>
  <c r="BO52" i="3" s="1"/>
  <c r="BO14" i="107"/>
  <c r="BN172" i="104"/>
  <c r="AN150" i="112"/>
  <c r="BQ162" i="3"/>
  <c r="BK166" i="3"/>
  <c r="BK163" i="3"/>
  <c r="BY163" i="3"/>
  <c r="BY166" i="3"/>
  <c r="BO107" i="3"/>
  <c r="BO108" i="3" s="1"/>
  <c r="BS170" i="3"/>
  <c r="BS167" i="3"/>
  <c r="AU152" i="112"/>
  <c r="BO161" i="107"/>
  <c r="BM168" i="3" l="1"/>
  <c r="AP154" i="112" s="1"/>
  <c r="BR170" i="3"/>
  <c r="AT155" i="112" s="1"/>
  <c r="AT152" i="112"/>
  <c r="BX166" i="3"/>
  <c r="BX170" i="3" s="1"/>
  <c r="BX163" i="3"/>
  <c r="BN117" i="3"/>
  <c r="BN69" i="3"/>
  <c r="BN67" i="106"/>
  <c r="BN49" i="3"/>
  <c r="AQ143" i="112"/>
  <c r="AQ145" i="112"/>
  <c r="BN154" i="3"/>
  <c r="BN53" i="3"/>
  <c r="BN152" i="3"/>
  <c r="BO37" i="106"/>
  <c r="BO172" i="104"/>
  <c r="AR145" i="112"/>
  <c r="BO152" i="3"/>
  <c r="BY170" i="3"/>
  <c r="BY167" i="3"/>
  <c r="BQ42" i="106"/>
  <c r="BO42" i="106"/>
  <c r="AR143" i="112"/>
  <c r="BO117" i="3"/>
  <c r="AO154" i="112"/>
  <c r="BL169" i="3"/>
  <c r="AU155" i="112"/>
  <c r="BO53" i="3"/>
  <c r="BO154" i="3"/>
  <c r="BO67" i="106"/>
  <c r="BO49" i="3"/>
  <c r="BO69" i="3"/>
  <c r="AT153" i="112"/>
  <c r="BR168" i="3"/>
  <c r="AN152" i="112"/>
  <c r="BK170" i="3"/>
  <c r="BK167" i="3"/>
  <c r="AS150" i="112"/>
  <c r="BQ166" i="3"/>
  <c r="BQ163" i="3"/>
  <c r="BW162" i="3"/>
  <c r="CC162" i="3" s="1"/>
  <c r="CD166" i="3"/>
  <c r="AU153" i="112"/>
  <c r="BS168" i="3"/>
  <c r="CE166" i="3"/>
  <c r="BQ19" i="107"/>
  <c r="BO19" i="107"/>
  <c r="BM169" i="3" l="1"/>
  <c r="BX167" i="3"/>
  <c r="AQ144" i="112"/>
  <c r="AQ146" i="112"/>
  <c r="BN155" i="3"/>
  <c r="CC163" i="3"/>
  <c r="BK168" i="3"/>
  <c r="AN153" i="112"/>
  <c r="AT154" i="112"/>
  <c r="BR169" i="3"/>
  <c r="AR146" i="112"/>
  <c r="BO155" i="3"/>
  <c r="CD170" i="3"/>
  <c r="CD167" i="3"/>
  <c r="AN155" i="112"/>
  <c r="AS152" i="112"/>
  <c r="BQ170" i="3"/>
  <c r="BQ167" i="3"/>
  <c r="CE170" i="3"/>
  <c r="CE167" i="3"/>
  <c r="BR42" i="106"/>
  <c r="BQ109" i="106"/>
  <c r="AR144" i="112"/>
  <c r="BY168" i="3"/>
  <c r="AU154" i="112"/>
  <c r="BS169" i="3"/>
  <c r="BW163" i="3"/>
  <c r="BW166" i="3"/>
  <c r="BO109" i="3"/>
  <c r="BX168" i="3" l="1"/>
  <c r="BN94" i="104"/>
  <c r="BR109" i="106"/>
  <c r="BS42" i="106"/>
  <c r="CE168" i="3"/>
  <c r="BW167" i="3"/>
  <c r="BW170" i="3"/>
  <c r="BX169" i="3"/>
  <c r="BY169" i="3"/>
  <c r="AS155" i="112"/>
  <c r="CD168" i="3"/>
  <c r="CC166" i="3"/>
  <c r="BQ168" i="3"/>
  <c r="AS153" i="112"/>
  <c r="AN154" i="112"/>
  <c r="BK169" i="3"/>
  <c r="BN171" i="104" l="1"/>
  <c r="BO94" i="104"/>
  <c r="BW168" i="3"/>
  <c r="AS154" i="112"/>
  <c r="BQ169" i="3"/>
  <c r="BS109" i="106"/>
  <c r="CC170" i="3"/>
  <c r="CC167" i="3"/>
  <c r="CE169" i="3"/>
  <c r="CD169" i="3"/>
  <c r="BO171" i="104" l="1"/>
  <c r="BW169" i="3"/>
  <c r="CC168" i="3"/>
  <c r="CC169" i="3" l="1"/>
  <c r="BO23" i="3" l="1"/>
  <c r="BN20" i="3"/>
  <c r="BN25" i="3" l="1"/>
  <c r="BN29" i="3"/>
  <c r="BO20" i="3"/>
  <c r="BO25" i="3" s="1"/>
  <c r="BN26" i="3" l="1"/>
  <c r="BN55" i="3"/>
  <c r="BN31" i="3"/>
  <c r="BO26" i="3"/>
  <c r="BO164" i="106" s="1"/>
  <c r="BO165" i="106" s="1"/>
  <c r="BO166" i="106" s="1"/>
  <c r="BO167" i="106" s="1"/>
  <c r="BO55" i="3"/>
  <c r="BO29" i="3"/>
  <c r="BN164" i="106" l="1"/>
  <c r="BN165" i="106" s="1"/>
  <c r="BN166" i="106" s="1"/>
  <c r="BN167" i="106" s="1"/>
  <c r="BN75" i="104"/>
  <c r="BN167" i="104" s="1"/>
  <c r="BN74" i="3"/>
  <c r="BN37" i="3"/>
  <c r="BN70" i="3"/>
  <c r="BN56" i="3"/>
  <c r="BO31" i="3"/>
  <c r="BO156" i="3"/>
  <c r="BO37" i="3" l="1"/>
  <c r="BN71" i="3"/>
  <c r="BN76" i="107"/>
  <c r="BO74" i="3"/>
  <c r="BO157" i="3"/>
  <c r="AR147" i="112"/>
  <c r="BN156" i="3"/>
  <c r="BO70" i="3"/>
  <c r="BO56" i="3"/>
  <c r="BO75" i="3" l="1"/>
  <c r="BO110" i="106" s="1"/>
  <c r="BO71" i="3"/>
  <c r="BO76" i="107"/>
  <c r="AQ147" i="112"/>
  <c r="BN157" i="3"/>
  <c r="BO76" i="3"/>
  <c r="BO9" i="107"/>
  <c r="BN28" i="107"/>
  <c r="BN32" i="3" l="1"/>
  <c r="BN58" i="107"/>
  <c r="BO43" i="106"/>
  <c r="BN46" i="106"/>
  <c r="BO28" i="107"/>
  <c r="BO32" i="3" l="1"/>
  <c r="BO58" i="107"/>
  <c r="BO66" i="107"/>
  <c r="BN50" i="106"/>
  <c r="BN177" i="106"/>
  <c r="BO46" i="106"/>
  <c r="BN67" i="107"/>
  <c r="BN88" i="106" s="1"/>
  <c r="BN62" i="107"/>
  <c r="BO67" i="107" l="1"/>
  <c r="BO88" i="106" s="1"/>
  <c r="BO71" i="107"/>
  <c r="BN100" i="29"/>
  <c r="BO62" i="107"/>
  <c r="BN68" i="107"/>
  <c r="BI69" i="107" s="1"/>
  <c r="BO50" i="106"/>
  <c r="BO177" i="106"/>
  <c r="BN52" i="106"/>
  <c r="BN62" i="106"/>
  <c r="BO62" i="106"/>
  <c r="BN63" i="107" l="1"/>
  <c r="BQ60" i="107"/>
  <c r="BU60" i="107" s="1"/>
  <c r="BO70" i="107"/>
  <c r="BO68" i="107"/>
  <c r="BU108" i="106"/>
  <c r="BQ108" i="106"/>
  <c r="BN70" i="106"/>
  <c r="BO52" i="106"/>
  <c r="BN91" i="106"/>
  <c r="BN74" i="106"/>
  <c r="BN180" i="106"/>
  <c r="BN75" i="106"/>
  <c r="BO9" i="106"/>
  <c r="BN58" i="106"/>
  <c r="BQ101" i="29"/>
  <c r="BN69" i="106" l="1"/>
  <c r="BN59" i="106"/>
  <c r="BN22" i="106"/>
  <c r="BN73" i="106"/>
  <c r="BN76" i="106"/>
  <c r="BN183" i="106"/>
  <c r="BN184" i="106"/>
  <c r="BO75" i="106"/>
  <c r="BO91" i="106"/>
  <c r="BO74" i="106"/>
  <c r="BO100" i="29"/>
  <c r="BO180" i="106"/>
  <c r="BO15" i="106"/>
  <c r="BO58" i="106"/>
  <c r="BO70" i="106"/>
  <c r="BQ22" i="3"/>
  <c r="BQ62" i="104"/>
  <c r="BO63" i="107"/>
  <c r="BO76" i="106" l="1"/>
  <c r="BO73" i="106"/>
  <c r="BO22" i="106"/>
  <c r="BQ52" i="104"/>
  <c r="BQ74" i="104"/>
  <c r="BO184" i="106"/>
  <c r="BN187" i="106"/>
  <c r="BN64" i="106" s="1"/>
  <c r="BO187" i="106"/>
  <c r="BO64" i="106" s="1"/>
  <c r="BO183" i="106"/>
  <c r="BN186" i="106"/>
  <c r="BO186" i="106"/>
  <c r="BO59" i="106"/>
  <c r="BO69" i="106"/>
  <c r="BN63" i="106"/>
  <c r="BO63" i="106"/>
  <c r="BN54" i="106"/>
  <c r="BQ20" i="3"/>
  <c r="BQ25" i="3"/>
  <c r="BQ55" i="3" l="1"/>
  <c r="BQ27" i="3"/>
  <c r="BO54" i="106"/>
  <c r="BQ121" i="104"/>
  <c r="BQ85" i="104"/>
  <c r="BQ29" i="3" l="1"/>
  <c r="BQ89" i="104"/>
  <c r="BQ30" i="3" l="1"/>
  <c r="BQ94" i="104"/>
  <c r="BQ95" i="104" s="1"/>
  <c r="BQ31" i="3"/>
  <c r="BQ70" i="3" l="1"/>
  <c r="BQ37" i="3"/>
  <c r="BQ56" i="3"/>
  <c r="BQ75" i="3"/>
  <c r="BQ135" i="104"/>
  <c r="BQ104" i="104"/>
  <c r="BQ122" i="104"/>
  <c r="BQ171" i="104"/>
  <c r="BQ71" i="3" l="1"/>
  <c r="BQ76" i="107"/>
  <c r="BQ136" i="104"/>
  <c r="BQ141" i="3"/>
  <c r="BQ76" i="3"/>
  <c r="BQ110" i="106"/>
  <c r="BQ9" i="107"/>
  <c r="BQ28" i="107" l="1"/>
  <c r="BQ43" i="106"/>
  <c r="BQ86" i="106" l="1"/>
  <c r="BQ66" i="107"/>
  <c r="BQ58" i="107"/>
  <c r="BQ46" i="106"/>
  <c r="BQ50" i="106" l="1"/>
  <c r="BQ177" i="106"/>
  <c r="BQ114" i="106"/>
  <c r="BQ85" i="106"/>
  <c r="BQ62" i="107"/>
  <c r="BQ87" i="106"/>
  <c r="BQ67" i="107"/>
  <c r="BR60" i="107" l="1"/>
  <c r="BQ9" i="106"/>
  <c r="BR108" i="106"/>
  <c r="BQ115" i="106"/>
  <c r="BQ113" i="106"/>
  <c r="BQ52" i="106"/>
  <c r="BQ62" i="106"/>
  <c r="BQ68" i="107"/>
  <c r="BQ88" i="106"/>
  <c r="BQ70" i="106" l="1"/>
  <c r="BQ74" i="106"/>
  <c r="BQ58" i="106"/>
  <c r="BQ75" i="106"/>
  <c r="BQ91" i="106"/>
  <c r="BQ180" i="106"/>
  <c r="BQ15" i="106"/>
  <c r="BQ100" i="29"/>
  <c r="BR101" i="29" s="1"/>
  <c r="BQ63" i="107"/>
  <c r="BQ69" i="106" l="1"/>
  <c r="BQ59" i="106"/>
  <c r="BR62" i="104"/>
  <c r="BR22" i="3"/>
  <c r="BQ76" i="106"/>
  <c r="BQ73" i="106"/>
  <c r="BQ22" i="106"/>
  <c r="BQ184" i="106"/>
  <c r="BQ187" i="106" s="1"/>
  <c r="BQ64" i="106" s="1"/>
  <c r="BQ183" i="106"/>
  <c r="BQ186" i="106" s="1"/>
  <c r="BR20" i="3" l="1"/>
  <c r="BR25" i="3"/>
  <c r="BQ63" i="106"/>
  <c r="BQ54" i="106"/>
  <c r="BR52" i="104"/>
  <c r="BR74" i="104"/>
  <c r="BR27" i="3" l="1"/>
  <c r="BR55" i="3"/>
  <c r="BR121" i="104"/>
  <c r="BR85" i="104"/>
  <c r="BR89" i="104" s="1"/>
  <c r="BR29" i="3" l="1"/>
  <c r="BR30" i="3" l="1"/>
  <c r="BR94" i="104" l="1"/>
  <c r="BR31" i="3"/>
  <c r="BR70" i="3" l="1"/>
  <c r="BR37" i="3"/>
  <c r="BR56" i="3"/>
  <c r="BR75" i="3"/>
  <c r="BR171" i="104"/>
  <c r="BR95" i="104"/>
  <c r="BR141" i="3" l="1"/>
  <c r="BR76" i="3"/>
  <c r="BR110" i="106"/>
  <c r="BR9" i="107"/>
  <c r="BR71" i="3"/>
  <c r="BR76" i="107"/>
  <c r="BR104" i="104"/>
  <c r="BR135" i="104"/>
  <c r="BR122" i="104"/>
  <c r="BR28" i="107" l="1"/>
  <c r="BR43" i="106"/>
  <c r="BR136" i="104"/>
  <c r="BR46" i="106" l="1"/>
  <c r="BR66" i="107"/>
  <c r="BR86" i="106"/>
  <c r="BR58" i="107"/>
  <c r="BR114" i="106" l="1"/>
  <c r="BR50" i="106"/>
  <c r="BR177" i="106"/>
  <c r="BR85" i="106"/>
  <c r="BR62" i="107"/>
  <c r="BR67" i="107"/>
  <c r="BR87" i="106"/>
  <c r="BS60" i="107" l="1"/>
  <c r="BR9" i="106"/>
  <c r="BR63" i="107" s="1"/>
  <c r="BR52" i="106"/>
  <c r="BR62" i="106"/>
  <c r="BR68" i="107"/>
  <c r="BR88" i="106"/>
  <c r="BR113" i="106"/>
  <c r="BR115" i="106"/>
  <c r="BS108" i="106"/>
  <c r="BR70" i="106" l="1"/>
  <c r="BR91" i="106"/>
  <c r="BR180" i="106"/>
  <c r="BR74" i="106"/>
  <c r="BR75" i="106"/>
  <c r="BR15" i="106"/>
  <c r="BR58" i="106"/>
  <c r="BR100" i="29"/>
  <c r="BS101" i="29" s="1"/>
  <c r="BS22" i="3" l="1"/>
  <c r="BS62" i="104"/>
  <c r="BR73" i="106"/>
  <c r="BR76" i="106"/>
  <c r="BR22" i="106"/>
  <c r="BR184" i="106"/>
  <c r="BR187" i="106" s="1"/>
  <c r="BR64" i="106" s="1"/>
  <c r="BR183" i="106"/>
  <c r="BR186" i="106" s="1"/>
  <c r="BR69" i="106"/>
  <c r="BR59" i="106"/>
  <c r="BR63" i="106" l="1"/>
  <c r="BR54" i="106"/>
  <c r="BS52" i="104"/>
  <c r="BS74" i="104"/>
  <c r="BS20" i="3"/>
  <c r="BS25" i="3"/>
  <c r="BS121" i="104" l="1"/>
  <c r="BS85" i="104"/>
  <c r="BS55" i="3"/>
  <c r="BS27" i="3"/>
  <c r="BS29" i="3" s="1"/>
  <c r="BS30" i="3" l="1"/>
  <c r="BS89" i="104"/>
  <c r="BS94" i="104" l="1"/>
  <c r="BS31" i="3"/>
  <c r="BS70" i="3" l="1"/>
  <c r="BS37" i="3"/>
  <c r="BS56" i="3"/>
  <c r="BS75" i="3"/>
  <c r="BS171" i="104"/>
  <c r="BS95" i="104"/>
  <c r="BS71" i="3" l="1"/>
  <c r="BS76" i="107"/>
  <c r="BS76" i="3"/>
  <c r="BS141" i="3"/>
  <c r="BS110" i="106"/>
  <c r="BS9" i="107"/>
  <c r="BS122" i="104"/>
  <c r="BS135" i="104"/>
  <c r="BS104" i="104"/>
  <c r="BS136" i="104" l="1"/>
  <c r="BS28" i="107"/>
  <c r="BS43" i="106"/>
  <c r="BS66" i="107" l="1"/>
  <c r="BS86" i="106"/>
  <c r="BS58" i="107"/>
  <c r="BS46" i="106"/>
  <c r="BS50" i="106" l="1"/>
  <c r="BS177" i="106"/>
  <c r="BS114" i="106"/>
  <c r="BS85" i="106"/>
  <c r="BS62" i="107"/>
  <c r="BS87" i="106"/>
  <c r="BS67" i="107"/>
  <c r="BS52" i="106" l="1"/>
  <c r="BS62" i="106"/>
  <c r="BT60" i="107"/>
  <c r="BS9" i="106"/>
  <c r="BS63" i="107" s="1"/>
  <c r="BS115" i="106"/>
  <c r="BS113" i="106"/>
  <c r="BT108" i="106"/>
  <c r="BS68" i="107"/>
  <c r="BS88" i="106"/>
  <c r="BS180" i="106" l="1"/>
  <c r="BS74" i="106"/>
  <c r="BS15" i="106"/>
  <c r="BS91" i="106"/>
  <c r="BS75" i="106"/>
  <c r="BS58" i="106"/>
  <c r="BS100" i="29"/>
  <c r="BT101" i="29" s="1"/>
  <c r="BS70" i="106"/>
  <c r="BS22" i="106" l="1"/>
  <c r="BS73" i="106"/>
  <c r="BS76" i="106"/>
  <c r="BS69" i="106"/>
  <c r="BS59" i="106"/>
  <c r="BS183" i="106"/>
  <c r="BS186" i="106" s="1"/>
  <c r="BS184" i="106"/>
  <c r="BS187" i="106" s="1"/>
  <c r="BS64" i="106" s="1"/>
  <c r="BT22" i="3"/>
  <c r="BT62" i="104"/>
  <c r="BU101" i="29"/>
  <c r="BU102" i="29" s="1"/>
  <c r="BT20" i="3" l="1"/>
  <c r="BU22" i="3"/>
  <c r="BS63" i="106"/>
  <c r="BS54" i="106"/>
  <c r="BT52" i="104"/>
  <c r="BU52" i="104" s="1"/>
  <c r="BU62" i="104"/>
  <c r="BU20" i="3" l="1"/>
  <c r="BI153" i="51" l="1"/>
  <c r="BI34" i="51"/>
  <c r="BI160" i="51"/>
  <c r="BI150" i="51"/>
  <c r="BI32" i="51"/>
  <c r="BI31" i="51"/>
  <c r="BI33" i="51"/>
  <c r="BI30" i="51"/>
  <c r="BI157" i="51"/>
  <c r="BI144" i="51"/>
  <c r="BI145" i="51"/>
  <c r="AY77" i="51"/>
  <c r="BB77" i="51"/>
  <c r="BC77" i="51"/>
  <c r="BA77" i="51"/>
  <c r="BE146" i="51"/>
  <c r="AZ77" i="51"/>
  <c r="AT77" i="51"/>
  <c r="BE159" i="51"/>
  <c r="BG159" i="51"/>
  <c r="BG158" i="51" s="1"/>
  <c r="BG161" i="51" s="1"/>
  <c r="BG146" i="51"/>
  <c r="BG147" i="51" s="1"/>
  <c r="BH146" i="51"/>
  <c r="BH147" i="51" s="1"/>
  <c r="AV77" i="51"/>
  <c r="BF159" i="51" l="1"/>
  <c r="BF158" i="51" s="1"/>
  <c r="BF161" i="51" s="1"/>
  <c r="BF152" i="51"/>
  <c r="BF151" i="51" s="1"/>
  <c r="BF154" i="51" s="1"/>
  <c r="BF146" i="51"/>
  <c r="BF147" i="51" s="1"/>
  <c r="BI146" i="51"/>
  <c r="BE147" i="51"/>
  <c r="BH152" i="51"/>
  <c r="BH151" i="51" s="1"/>
  <c r="BH154" i="51" s="1"/>
  <c r="BH159" i="51"/>
  <c r="BH158" i="51" s="1"/>
  <c r="BH161" i="51" s="1"/>
  <c r="BE158" i="51"/>
  <c r="BG152" i="51"/>
  <c r="BG151" i="51" s="1"/>
  <c r="BG154" i="51" s="1"/>
  <c r="BE152" i="51"/>
  <c r="AS77" i="51"/>
  <c r="AU77" i="51"/>
  <c r="BI159" i="51" l="1"/>
  <c r="BI147" i="51"/>
  <c r="BI152" i="51"/>
  <c r="BE151" i="51"/>
  <c r="BE161" i="51"/>
  <c r="BI161" i="51" s="1"/>
  <c r="BI158" i="51"/>
  <c r="BE154" i="51" l="1"/>
  <c r="BI154" i="51" s="1"/>
  <c r="BI151" i="51"/>
  <c r="BN9" i="51"/>
  <c r="BN11" i="51" s="1"/>
  <c r="BO11" i="51" s="1"/>
  <c r="BO15" i="51"/>
  <c r="BU20" i="51" s="1"/>
  <c r="BN16" i="51"/>
  <c r="BO16" i="51" l="1"/>
  <c r="BN18" i="51"/>
  <c r="BO18" i="51" s="1"/>
  <c r="BU152" i="51"/>
  <c r="BU159" i="51"/>
  <c r="BU158" i="51"/>
  <c r="BU17" i="51"/>
  <c r="BU150" i="51"/>
  <c r="BU19" i="51"/>
  <c r="BU154" i="51"/>
  <c r="BU157" i="51"/>
  <c r="BU153" i="51"/>
  <c r="BU160" i="51"/>
  <c r="BU161" i="51"/>
  <c r="BU151" i="51"/>
  <c r="BO45" i="51" l="1"/>
  <c r="BU46" i="51" s="1"/>
  <c r="BN63" i="51"/>
  <c r="BN46" i="51"/>
  <c r="BT45" i="51"/>
  <c r="BZ45" i="51" l="1"/>
  <c r="CA45" i="51" s="1"/>
  <c r="CG52" i="51" s="1"/>
  <c r="BU50" i="51"/>
  <c r="BU49" i="51"/>
  <c r="BU48" i="51"/>
  <c r="BU47" i="51"/>
  <c r="BU51" i="51"/>
  <c r="BU52" i="51"/>
  <c r="BO46" i="51"/>
  <c r="BN48" i="51"/>
  <c r="BO48" i="51" s="1"/>
  <c r="BN142" i="51"/>
  <c r="BN143" i="51" s="1"/>
  <c r="BN144" i="51" s="1"/>
  <c r="BT71" i="51"/>
  <c r="BT73" i="51"/>
  <c r="BT72" i="51"/>
  <c r="BN65" i="51"/>
  <c r="BN66" i="51" s="1"/>
  <c r="BU45" i="51"/>
  <c r="CA47" i="51" s="1"/>
  <c r="CF45" i="51"/>
  <c r="BT63" i="51"/>
  <c r="BN76" i="51"/>
  <c r="BT75" i="51"/>
  <c r="AP169" i="112"/>
  <c r="BT70" i="51"/>
  <c r="BO63" i="51"/>
  <c r="BN127" i="51"/>
  <c r="BN67" i="51"/>
  <c r="BN69" i="51" s="1"/>
  <c r="BT68" i="51"/>
  <c r="BU71" i="51" l="1"/>
  <c r="BO65" i="51"/>
  <c r="BO98" i="51" s="1"/>
  <c r="BZ73" i="51"/>
  <c r="BC13" i="112" s="1"/>
  <c r="CG49" i="51"/>
  <c r="BZ63" i="51"/>
  <c r="CF73" i="51" s="1"/>
  <c r="BO144" i="51"/>
  <c r="BN147" i="51"/>
  <c r="BO147" i="51" s="1"/>
  <c r="BO142" i="51"/>
  <c r="BO143" i="51" s="1"/>
  <c r="BO94" i="51"/>
  <c r="BO92" i="51"/>
  <c r="BO81" i="51"/>
  <c r="BN98" i="51"/>
  <c r="BN92" i="51"/>
  <c r="BN94" i="51"/>
  <c r="BN96" i="51" s="1"/>
  <c r="BN95" i="51" s="1"/>
  <c r="BO95" i="51" s="1"/>
  <c r="BO96" i="51" s="1"/>
  <c r="CA49" i="51"/>
  <c r="CA52" i="51"/>
  <c r="CA46" i="51"/>
  <c r="CG48" i="51"/>
  <c r="BN128" i="51"/>
  <c r="CG46" i="51"/>
  <c r="CA48" i="51"/>
  <c r="CG47" i="51"/>
  <c r="BU68" i="51"/>
  <c r="BN129" i="51"/>
  <c r="BO127" i="51"/>
  <c r="BO129" i="51" s="1"/>
  <c r="BN15" i="104"/>
  <c r="BN16" i="104"/>
  <c r="BN123" i="51"/>
  <c r="BZ75" i="51"/>
  <c r="BT76" i="51"/>
  <c r="AU169" i="112"/>
  <c r="BT142" i="51"/>
  <c r="BT9" i="3"/>
  <c r="BT127" i="51"/>
  <c r="BT65" i="51"/>
  <c r="BU63" i="51"/>
  <c r="BT67" i="51"/>
  <c r="BT69" i="51" s="1"/>
  <c r="BT18" i="51" s="1"/>
  <c r="AY13" i="112"/>
  <c r="BU73" i="51"/>
  <c r="BO69" i="51"/>
  <c r="AU160" i="112"/>
  <c r="AU159" i="112" s="1"/>
  <c r="AP171" i="112"/>
  <c r="AQ171" i="112" s="1"/>
  <c r="BN131" i="51"/>
  <c r="BN63" i="3"/>
  <c r="BO67" i="51"/>
  <c r="BU75" i="51"/>
  <c r="BO76" i="51"/>
  <c r="AQ169" i="112"/>
  <c r="CG45" i="51"/>
  <c r="CM47" i="51" s="1"/>
  <c r="CL45" i="51"/>
  <c r="CF63" i="51"/>
  <c r="CL68" i="51" s="1"/>
  <c r="BU70" i="51"/>
  <c r="AU172" i="112"/>
  <c r="AV172" i="112" s="1"/>
  <c r="BT130" i="104"/>
  <c r="BO66" i="51"/>
  <c r="BZ68" i="51"/>
  <c r="AP170" i="112"/>
  <c r="BZ70" i="51"/>
  <c r="CA73" i="51" l="1"/>
  <c r="CF68" i="51"/>
  <c r="CA63" i="51"/>
  <c r="CA67" i="51" s="1"/>
  <c r="BZ127" i="51"/>
  <c r="BZ129" i="51" s="1"/>
  <c r="BZ142" i="51"/>
  <c r="CA142" i="51" s="1"/>
  <c r="BZ65" i="51"/>
  <c r="BZ66" i="51" s="1"/>
  <c r="CF70" i="51"/>
  <c r="CF130" i="104" s="1"/>
  <c r="CF75" i="51"/>
  <c r="BZ76" i="51"/>
  <c r="BZ9" i="3"/>
  <c r="CL73" i="51"/>
  <c r="BZ60" i="3"/>
  <c r="BZ67" i="51"/>
  <c r="BZ69" i="51" s="1"/>
  <c r="AY25" i="112"/>
  <c r="BC25" i="112"/>
  <c r="BO128" i="51"/>
  <c r="BO100" i="51" s="1"/>
  <c r="BN100" i="51"/>
  <c r="BN81" i="51"/>
  <c r="BN86" i="51" s="1"/>
  <c r="BN85" i="51" s="1"/>
  <c r="BT16" i="51"/>
  <c r="BU18" i="51"/>
  <c r="CM48" i="51"/>
  <c r="CL70" i="51"/>
  <c r="CL72" i="51" s="1"/>
  <c r="CM52" i="51"/>
  <c r="CM46" i="51"/>
  <c r="AP177" i="112"/>
  <c r="AP178" i="112" s="1"/>
  <c r="BO16" i="104"/>
  <c r="BN126" i="104"/>
  <c r="CA70" i="51"/>
  <c r="BZ130" i="104"/>
  <c r="BT165" i="3"/>
  <c r="BT157" i="3"/>
  <c r="BT159" i="3"/>
  <c r="BT161" i="3"/>
  <c r="BT60" i="3"/>
  <c r="BN115" i="104"/>
  <c r="BN14" i="104"/>
  <c r="BN125" i="104"/>
  <c r="BO15" i="104"/>
  <c r="AQ170" i="112"/>
  <c r="AQ177" i="112"/>
  <c r="AQ178" i="112" s="1"/>
  <c r="BU142" i="51"/>
  <c r="BU143" i="51" s="1"/>
  <c r="BT143" i="51"/>
  <c r="BT144" i="51" s="1"/>
  <c r="BN40" i="104"/>
  <c r="BT126" i="51"/>
  <c r="BN130" i="51"/>
  <c r="BN121" i="51"/>
  <c r="BN120" i="51" s="1"/>
  <c r="BT63" i="3"/>
  <c r="BU63" i="3" s="1"/>
  <c r="BU69" i="51"/>
  <c r="BT131" i="51"/>
  <c r="BT11" i="51"/>
  <c r="BU11" i="51" s="1"/>
  <c r="AU171" i="112"/>
  <c r="AV171" i="112" s="1"/>
  <c r="BT129" i="104"/>
  <c r="CL75" i="51"/>
  <c r="CF76" i="51"/>
  <c r="CF9" i="3"/>
  <c r="CG63" i="51"/>
  <c r="CM73" i="51" s="1"/>
  <c r="CF67" i="51"/>
  <c r="CF69" i="51" s="1"/>
  <c r="CF127" i="51"/>
  <c r="CF65" i="51"/>
  <c r="CF142" i="51"/>
  <c r="CM49" i="51"/>
  <c r="BO131" i="51"/>
  <c r="BN129" i="104"/>
  <c r="BO129" i="104" s="1"/>
  <c r="BU76" i="51"/>
  <c r="CA75" i="51"/>
  <c r="BU67" i="51"/>
  <c r="AV169" i="112"/>
  <c r="BU9" i="3"/>
  <c r="BT133" i="51"/>
  <c r="BT134" i="51" s="1"/>
  <c r="AY14" i="112"/>
  <c r="AY26" i="112" s="1"/>
  <c r="BT74" i="51"/>
  <c r="BT62" i="3"/>
  <c r="BU72" i="51"/>
  <c r="BT129" i="51"/>
  <c r="BU127" i="51"/>
  <c r="BU129" i="51" s="1"/>
  <c r="BT16" i="104"/>
  <c r="BT123" i="51"/>
  <c r="BT15" i="104"/>
  <c r="CA68" i="51"/>
  <c r="BZ72" i="51"/>
  <c r="BC14" i="112" s="1"/>
  <c r="BN61" i="3"/>
  <c r="BO63" i="3"/>
  <c r="BO64" i="3" s="1"/>
  <c r="AU170" i="112"/>
  <c r="CM45" i="51"/>
  <c r="CL63" i="51"/>
  <c r="BT98" i="51"/>
  <c r="BT66" i="51"/>
  <c r="BT128" i="51"/>
  <c r="BU128" i="51" s="1"/>
  <c r="BT93" i="51"/>
  <c r="BU65" i="51"/>
  <c r="BT82" i="51"/>
  <c r="BT8" i="3"/>
  <c r="BU131" i="51" l="1"/>
  <c r="BZ143" i="51"/>
  <c r="BZ144" i="51" s="1"/>
  <c r="BZ147" i="51" s="1"/>
  <c r="BZ8" i="3"/>
  <c r="CA65" i="51"/>
  <c r="CA66" i="51" s="1"/>
  <c r="BZ98" i="51"/>
  <c r="BZ93" i="51"/>
  <c r="BZ82" i="51"/>
  <c r="BZ128" i="51"/>
  <c r="CA128" i="51" s="1"/>
  <c r="CG73" i="51"/>
  <c r="CA9" i="3"/>
  <c r="CG68" i="51"/>
  <c r="CG70" i="51"/>
  <c r="CG75" i="51"/>
  <c r="AW169" i="112"/>
  <c r="AW170" i="112" s="1"/>
  <c r="CA76" i="51"/>
  <c r="BZ123" i="51"/>
  <c r="BZ130" i="51" s="1"/>
  <c r="BZ15" i="104"/>
  <c r="BZ125" i="104" s="1"/>
  <c r="BZ16" i="104"/>
  <c r="CA16" i="104" s="1"/>
  <c r="CA127" i="51"/>
  <c r="CA129" i="51" s="1"/>
  <c r="BZ157" i="3"/>
  <c r="BZ161" i="3"/>
  <c r="BZ165" i="3"/>
  <c r="BZ159" i="3"/>
  <c r="CF72" i="51"/>
  <c r="BN27" i="104"/>
  <c r="BN108" i="104" s="1"/>
  <c r="BN147" i="104" s="1"/>
  <c r="BC26" i="112"/>
  <c r="BN82" i="51"/>
  <c r="BN101" i="51"/>
  <c r="BT15" i="51"/>
  <c r="BU16" i="51"/>
  <c r="CA143" i="51"/>
  <c r="BU129" i="104"/>
  <c r="AU177" i="112"/>
  <c r="AU178" i="112" s="1"/>
  <c r="BO120" i="51"/>
  <c r="CG67" i="51"/>
  <c r="CM75" i="51"/>
  <c r="CG76" i="51"/>
  <c r="AX169" i="112"/>
  <c r="CG9" i="3"/>
  <c r="BU98" i="51"/>
  <c r="BU66" i="51"/>
  <c r="BU8" i="3"/>
  <c r="CL74" i="51"/>
  <c r="CM72" i="51"/>
  <c r="CL133" i="51"/>
  <c r="BU93" i="51"/>
  <c r="BU94" i="51" s="1"/>
  <c r="BT91" i="51"/>
  <c r="BT125" i="104"/>
  <c r="BT14" i="104"/>
  <c r="BU15" i="104"/>
  <c r="BT115" i="104"/>
  <c r="BN114" i="104"/>
  <c r="BO40" i="104"/>
  <c r="BN113" i="104"/>
  <c r="BN133" i="104"/>
  <c r="BN150" i="104"/>
  <c r="BN158" i="104"/>
  <c r="BU74" i="51"/>
  <c r="BU133" i="51"/>
  <c r="BU134" i="51" s="1"/>
  <c r="CA69" i="51"/>
  <c r="AW171" i="112" s="1"/>
  <c r="BZ131" i="51"/>
  <c r="CA131" i="51" s="1"/>
  <c r="BZ63" i="3"/>
  <c r="BZ129" i="104"/>
  <c r="BZ11" i="51"/>
  <c r="BT126" i="104"/>
  <c r="BU16" i="104"/>
  <c r="CF66" i="51"/>
  <c r="CF98" i="51"/>
  <c r="CF128" i="51"/>
  <c r="CG128" i="51" s="1"/>
  <c r="CF93" i="51"/>
  <c r="CG65" i="51"/>
  <c r="CF82" i="51"/>
  <c r="CF8" i="3"/>
  <c r="CM70" i="51"/>
  <c r="BU144" i="51"/>
  <c r="BT147" i="51"/>
  <c r="BU147" i="51" s="1"/>
  <c r="BO14" i="104"/>
  <c r="BO115" i="104"/>
  <c r="BO154" i="104" s="1"/>
  <c r="BO125" i="104"/>
  <c r="AW172" i="112"/>
  <c r="BT59" i="3"/>
  <c r="BT162" i="106"/>
  <c r="BT14" i="3"/>
  <c r="BT13" i="106"/>
  <c r="BT121" i="106"/>
  <c r="BT11" i="106"/>
  <c r="BZ59" i="3"/>
  <c r="CM68" i="51"/>
  <c r="BZ126" i="51"/>
  <c r="BT130" i="51"/>
  <c r="BT132" i="51" s="1"/>
  <c r="BT121" i="51"/>
  <c r="BT120" i="51" s="1"/>
  <c r="BU120" i="51" s="1"/>
  <c r="AV170" i="112"/>
  <c r="AV177" i="112"/>
  <c r="AV178" i="112" s="1"/>
  <c r="BO121" i="51"/>
  <c r="BN11" i="104"/>
  <c r="BZ133" i="51"/>
  <c r="BZ134" i="51" s="1"/>
  <c r="BZ74" i="51"/>
  <c r="BZ62" i="3"/>
  <c r="CA72" i="51"/>
  <c r="BU62" i="3"/>
  <c r="CG127" i="51"/>
  <c r="CF129" i="51"/>
  <c r="CF16" i="104"/>
  <c r="CF123" i="51"/>
  <c r="CF15" i="104"/>
  <c r="BN128" i="104"/>
  <c r="BN127" i="104"/>
  <c r="BO127" i="104" s="1"/>
  <c r="BU82" i="51"/>
  <c r="BU83" i="51" s="1"/>
  <c r="BU86" i="51" s="1"/>
  <c r="BU85" i="51" s="1"/>
  <c r="BU101" i="51" s="1"/>
  <c r="BU103" i="51" s="1"/>
  <c r="BT80" i="51"/>
  <c r="CF60" i="3"/>
  <c r="CF159" i="3"/>
  <c r="CF161" i="3"/>
  <c r="CF157" i="3"/>
  <c r="CF165" i="3"/>
  <c r="BT61" i="3"/>
  <c r="BU161" i="3"/>
  <c r="BU165" i="3"/>
  <c r="BU157" i="3"/>
  <c r="BU60" i="3"/>
  <c r="BU159" i="3"/>
  <c r="BO61" i="3"/>
  <c r="BN64" i="3"/>
  <c r="CG142" i="51"/>
  <c r="CG143" i="51" s="1"/>
  <c r="CF143" i="51"/>
  <c r="CF144" i="51" s="1"/>
  <c r="CL76" i="51"/>
  <c r="CM63" i="51"/>
  <c r="CL127" i="51"/>
  <c r="CL65" i="51"/>
  <c r="CL142" i="51"/>
  <c r="CL67" i="51"/>
  <c r="CL69" i="51" s="1"/>
  <c r="CG69" i="51"/>
  <c r="CF131" i="51"/>
  <c r="CF129" i="104"/>
  <c r="CF63" i="3"/>
  <c r="CF11" i="51"/>
  <c r="BO126" i="104"/>
  <c r="BO128" i="104" s="1"/>
  <c r="BU130" i="104"/>
  <c r="BN157" i="104" l="1"/>
  <c r="BN160" i="104" s="1"/>
  <c r="CH156" i="3"/>
  <c r="CA60" i="3"/>
  <c r="CH158" i="3"/>
  <c r="BN132" i="104"/>
  <c r="BN109" i="104"/>
  <c r="BN148" i="104" s="1"/>
  <c r="BN149" i="104" s="1"/>
  <c r="CH160" i="3"/>
  <c r="CH164" i="3"/>
  <c r="BO27" i="104"/>
  <c r="BO132" i="104" s="1"/>
  <c r="BN88" i="51"/>
  <c r="BN51" i="104"/>
  <c r="BN117" i="104" s="1"/>
  <c r="BN26" i="104"/>
  <c r="CG129" i="51"/>
  <c r="AX171" i="112"/>
  <c r="BZ126" i="104"/>
  <c r="CA82" i="51"/>
  <c r="CA83" i="51" s="1"/>
  <c r="CA86" i="51" s="1"/>
  <c r="CA85" i="51" s="1"/>
  <c r="CA101" i="51" s="1"/>
  <c r="CA103" i="51" s="1"/>
  <c r="BZ80" i="51"/>
  <c r="CG131" i="51"/>
  <c r="AX172" i="112"/>
  <c r="BZ91" i="51"/>
  <c r="CA93" i="51"/>
  <c r="CA94" i="51" s="1"/>
  <c r="CF74" i="51"/>
  <c r="CF62" i="3"/>
  <c r="CG72" i="51"/>
  <c r="CF133" i="51"/>
  <c r="CL134" i="51" s="1"/>
  <c r="CA15" i="104"/>
  <c r="CA125" i="104" s="1"/>
  <c r="BZ115" i="104"/>
  <c r="BZ14" i="104"/>
  <c r="CA159" i="3"/>
  <c r="CA165" i="3"/>
  <c r="CA157" i="3"/>
  <c r="CA161" i="3"/>
  <c r="CA8" i="3"/>
  <c r="CA98" i="51"/>
  <c r="CF126" i="51"/>
  <c r="BZ121" i="51"/>
  <c r="BZ11" i="106"/>
  <c r="BZ162" i="106"/>
  <c r="BZ14" i="3"/>
  <c r="BZ13" i="106"/>
  <c r="BZ121" i="106"/>
  <c r="BN103" i="51"/>
  <c r="BN104" i="51" s="1"/>
  <c r="BN162" i="3"/>
  <c r="BN83" i="51"/>
  <c r="BO82" i="51"/>
  <c r="BO83" i="51" s="1"/>
  <c r="BO86" i="51" s="1"/>
  <c r="BO85" i="51" s="1"/>
  <c r="BO101" i="51" s="1"/>
  <c r="BO103" i="51" s="1"/>
  <c r="BO104" i="51" s="1"/>
  <c r="BZ15" i="51"/>
  <c r="BU15" i="51"/>
  <c r="CA152" i="51" s="1"/>
  <c r="BT8" i="51"/>
  <c r="BN131" i="104"/>
  <c r="BN110" i="104"/>
  <c r="AW177" i="112"/>
  <c r="AW178" i="112" s="1"/>
  <c r="BO122" i="51"/>
  <c r="CA129" i="104"/>
  <c r="CA63" i="3"/>
  <c r="BZ61" i="3"/>
  <c r="BO113" i="104"/>
  <c r="BO151" i="104"/>
  <c r="BO133" i="104"/>
  <c r="BO150" i="104"/>
  <c r="BO152" i="104" s="1"/>
  <c r="BO153" i="104" s="1"/>
  <c r="BO114" i="104"/>
  <c r="BO158" i="104"/>
  <c r="BN120" i="104"/>
  <c r="BO50" i="104"/>
  <c r="BN134" i="104"/>
  <c r="CF162" i="106"/>
  <c r="CF59" i="3"/>
  <c r="CF14" i="3"/>
  <c r="CF13" i="106"/>
  <c r="CF121" i="106"/>
  <c r="CF11" i="106"/>
  <c r="CM67" i="51"/>
  <c r="CM76" i="51"/>
  <c r="CF61" i="3"/>
  <c r="CA126" i="104"/>
  <c r="CA74" i="51"/>
  <c r="CA133" i="51"/>
  <c r="CA134" i="51" s="1"/>
  <c r="CG66" i="51"/>
  <c r="CG8" i="3"/>
  <c r="CG98" i="51"/>
  <c r="AY49" i="112"/>
  <c r="BU14" i="3"/>
  <c r="CG82" i="51"/>
  <c r="CG83" i="51" s="1"/>
  <c r="CF80" i="51"/>
  <c r="BU125" i="104"/>
  <c r="BU14" i="104"/>
  <c r="BU115" i="104"/>
  <c r="BU154" i="104" s="1"/>
  <c r="CL131" i="51"/>
  <c r="CM131" i="51" s="1"/>
  <c r="CM69" i="51"/>
  <c r="CL11" i="51"/>
  <c r="CF147" i="51"/>
  <c r="BZ127" i="104"/>
  <c r="CA127" i="104" s="1"/>
  <c r="CF14" i="104"/>
  <c r="CF115" i="104"/>
  <c r="CF125" i="104"/>
  <c r="CG15" i="104"/>
  <c r="CF40" i="104"/>
  <c r="CA62" i="3"/>
  <c r="CG93" i="51"/>
  <c r="CG94" i="51" s="1"/>
  <c r="CF91" i="51"/>
  <c r="BT128" i="104"/>
  <c r="BT127" i="104"/>
  <c r="BU127" i="104" s="1"/>
  <c r="BN161" i="104"/>
  <c r="CG165" i="3"/>
  <c r="CG60" i="3"/>
  <c r="CG161" i="3"/>
  <c r="CG159" i="3"/>
  <c r="CG157" i="3"/>
  <c r="BT22" i="107"/>
  <c r="BU13" i="106"/>
  <c r="CM127" i="51"/>
  <c r="CM129" i="51" s="1"/>
  <c r="CL129" i="51"/>
  <c r="CL123" i="51"/>
  <c r="BU61" i="3"/>
  <c r="BT64" i="3"/>
  <c r="BZ132" i="51"/>
  <c r="BO11" i="104"/>
  <c r="BU126" i="104"/>
  <c r="BU128" i="104" s="1"/>
  <c r="BZ128" i="104"/>
  <c r="BT87" i="51"/>
  <c r="BU80" i="51"/>
  <c r="BT99" i="51"/>
  <c r="BT81" i="51"/>
  <c r="CF130" i="51"/>
  <c r="CL126" i="51"/>
  <c r="CF121" i="51"/>
  <c r="CF120" i="51" s="1"/>
  <c r="CG120" i="51" s="1"/>
  <c r="CA130" i="104"/>
  <c r="BU121" i="51"/>
  <c r="BU122" i="51" s="1"/>
  <c r="BT11" i="104"/>
  <c r="BU79" i="106"/>
  <c r="BT20" i="107"/>
  <c r="BU11" i="106"/>
  <c r="BT151" i="104"/>
  <c r="BN152" i="104"/>
  <c r="BN153" i="104" s="1"/>
  <c r="BU59" i="3"/>
  <c r="BU64" i="3" s="1"/>
  <c r="BU162" i="106"/>
  <c r="AX170" i="112"/>
  <c r="CL98" i="51"/>
  <c r="CL66" i="51"/>
  <c r="CL128" i="51"/>
  <c r="CM128" i="51" s="1"/>
  <c r="CM65" i="51"/>
  <c r="CL93" i="51"/>
  <c r="CL82" i="51"/>
  <c r="CM142" i="51"/>
  <c r="CM143" i="51" s="1"/>
  <c r="CL143" i="51"/>
  <c r="CL144" i="51" s="1"/>
  <c r="CF126" i="104"/>
  <c r="CG16" i="104"/>
  <c r="BT126" i="106"/>
  <c r="BT134" i="106" s="1"/>
  <c r="BU121" i="106"/>
  <c r="BT31" i="107"/>
  <c r="BO9" i="104"/>
  <c r="BU91" i="51"/>
  <c r="BU92" i="51" s="1"/>
  <c r="BT92" i="51"/>
  <c r="BT40" i="104"/>
  <c r="BT13" i="3"/>
  <c r="CM74" i="51"/>
  <c r="CM133" i="51"/>
  <c r="BO123" i="51"/>
  <c r="BN116" i="104" l="1"/>
  <c r="CI159" i="3"/>
  <c r="BN74" i="104"/>
  <c r="BO157" i="104"/>
  <c r="BO160" i="104" s="1"/>
  <c r="BO108" i="104"/>
  <c r="BO147" i="104" s="1"/>
  <c r="BN163" i="104"/>
  <c r="BN164" i="104" s="1"/>
  <c r="BO26" i="104"/>
  <c r="BO51" i="104"/>
  <c r="BO105" i="51" s="1"/>
  <c r="BO109" i="104"/>
  <c r="BN105" i="51"/>
  <c r="BN159" i="104"/>
  <c r="BO88" i="51"/>
  <c r="CA59" i="3"/>
  <c r="CA64" i="3" s="1"/>
  <c r="BN107" i="104"/>
  <c r="AX177" i="112"/>
  <c r="AX178" i="112" s="1"/>
  <c r="CF132" i="51"/>
  <c r="CI165" i="3"/>
  <c r="CI157" i="3"/>
  <c r="CA11" i="106"/>
  <c r="BZ20" i="107"/>
  <c r="CG74" i="51"/>
  <c r="CG133" i="51"/>
  <c r="CM134" i="51" s="1"/>
  <c r="CA162" i="106"/>
  <c r="BZ120" i="51"/>
  <c r="CA120" i="51" s="1"/>
  <c r="CA121" i="51"/>
  <c r="BZ11" i="104"/>
  <c r="CA11" i="104" s="1"/>
  <c r="BZ87" i="51"/>
  <c r="BZ81" i="51"/>
  <c r="BZ99" i="51"/>
  <c r="CA80" i="51"/>
  <c r="BZ92" i="51"/>
  <c r="CA91" i="51"/>
  <c r="CA92" i="51" s="1"/>
  <c r="BZ40" i="104"/>
  <c r="BZ133" i="104" s="1"/>
  <c r="BZ13" i="3"/>
  <c r="BZ67" i="3" s="1"/>
  <c r="CA14" i="3"/>
  <c r="CI161" i="3"/>
  <c r="CF134" i="51"/>
  <c r="CA13" i="106"/>
  <c r="BZ22" i="107"/>
  <c r="CG63" i="3"/>
  <c r="CG130" i="104"/>
  <c r="CA115" i="104"/>
  <c r="CA154" i="104" s="1"/>
  <c r="CA14" i="104"/>
  <c r="BZ31" i="107"/>
  <c r="CA121" i="106"/>
  <c r="CA122" i="106" s="1"/>
  <c r="CG62" i="3"/>
  <c r="CG129" i="104"/>
  <c r="CG86" i="51"/>
  <c r="CG85" i="51" s="1"/>
  <c r="CG101" i="51" s="1"/>
  <c r="CG103" i="51" s="1"/>
  <c r="AQ150" i="112"/>
  <c r="BT162" i="3"/>
  <c r="BN163" i="3"/>
  <c r="BO162" i="3"/>
  <c r="BN166" i="3"/>
  <c r="CA154" i="51"/>
  <c r="CA18" i="51"/>
  <c r="CA157" i="51"/>
  <c r="CA159" i="51"/>
  <c r="CA161" i="51"/>
  <c r="CA16" i="51"/>
  <c r="CA19" i="51"/>
  <c r="CA17" i="51"/>
  <c r="CA153" i="51"/>
  <c r="CA160" i="51"/>
  <c r="CA20" i="51"/>
  <c r="CA158" i="51"/>
  <c r="BT9" i="51"/>
  <c r="BT10" i="51" s="1"/>
  <c r="BU8" i="51"/>
  <c r="CA147" i="51" s="1"/>
  <c r="CF15" i="51"/>
  <c r="CA15" i="51"/>
  <c r="CG17" i="51" s="1"/>
  <c r="BZ8" i="51"/>
  <c r="CA150" i="51"/>
  <c r="CA151" i="51"/>
  <c r="BN118" i="104"/>
  <c r="BN119" i="104" s="1"/>
  <c r="BU31" i="107"/>
  <c r="BT40" i="107"/>
  <c r="BU87" i="51"/>
  <c r="BU81" i="51"/>
  <c r="BU20" i="107"/>
  <c r="CF114" i="104"/>
  <c r="CF151" i="104"/>
  <c r="CG40" i="104"/>
  <c r="CF113" i="104"/>
  <c r="CA128" i="104"/>
  <c r="BN162" i="104"/>
  <c r="BT67" i="3"/>
  <c r="BT158" i="107"/>
  <c r="BT46" i="3"/>
  <c r="BT48" i="3"/>
  <c r="BT27" i="106"/>
  <c r="BT113" i="3"/>
  <c r="BU13" i="3"/>
  <c r="BT105" i="3"/>
  <c r="BT135" i="106"/>
  <c r="BT17" i="106"/>
  <c r="CM82" i="51"/>
  <c r="CM83" i="51" s="1"/>
  <c r="CL80" i="51"/>
  <c r="CG121" i="51"/>
  <c r="CG122" i="51" s="1"/>
  <c r="CF11" i="104"/>
  <c r="BU92" i="106"/>
  <c r="BW22" i="107"/>
  <c r="CG125" i="104"/>
  <c r="CG14" i="104"/>
  <c r="CG115" i="104"/>
  <c r="CG154" i="104" s="1"/>
  <c r="CF64" i="3"/>
  <c r="CG61" i="3"/>
  <c r="CG14" i="3"/>
  <c r="BN121" i="104"/>
  <c r="BN85" i="104"/>
  <c r="BO85" i="104" s="1"/>
  <c r="BO130" i="51"/>
  <c r="BU126" i="51"/>
  <c r="BW20" i="107"/>
  <c r="CA79" i="106"/>
  <c r="CG13" i="106"/>
  <c r="CF22" i="107"/>
  <c r="BU9" i="104"/>
  <c r="BT113" i="104"/>
  <c r="BT133" i="104"/>
  <c r="BT158" i="104"/>
  <c r="BT114" i="104"/>
  <c r="BU40" i="104"/>
  <c r="BT150" i="104"/>
  <c r="BU123" i="51"/>
  <c r="CM93" i="51"/>
  <c r="CM94" i="51" s="1"/>
  <c r="CL91" i="51"/>
  <c r="BU22" i="107"/>
  <c r="CF128" i="104"/>
  <c r="CF127" i="104"/>
  <c r="CG127" i="104" s="1"/>
  <c r="BU11" i="104"/>
  <c r="CL130" i="51"/>
  <c r="CL132" i="51" s="1"/>
  <c r="CL121" i="51"/>
  <c r="CM121" i="51" s="1"/>
  <c r="CG121" i="106"/>
  <c r="CG122" i="106" s="1"/>
  <c r="CF31" i="107"/>
  <c r="CF92" i="51"/>
  <c r="CG91" i="51"/>
  <c r="CG92" i="51" s="1"/>
  <c r="CF13" i="3"/>
  <c r="CL147" i="51"/>
  <c r="CM98" i="51"/>
  <c r="CM66" i="51"/>
  <c r="BC49" i="112"/>
  <c r="CG162" i="106"/>
  <c r="CG59" i="3"/>
  <c r="CA61" i="3"/>
  <c r="BZ64" i="3"/>
  <c r="BT100" i="51"/>
  <c r="BT104" i="51"/>
  <c r="BU99" i="51"/>
  <c r="BO159" i="104"/>
  <c r="BO161" i="104"/>
  <c r="BU122" i="106"/>
  <c r="BU126" i="106"/>
  <c r="CG126" i="104"/>
  <c r="BT27" i="104"/>
  <c r="BT11" i="3"/>
  <c r="CG80" i="51"/>
  <c r="CF87" i="51"/>
  <c r="CF99" i="51"/>
  <c r="CF81" i="51"/>
  <c r="CG11" i="106"/>
  <c r="CF20" i="107"/>
  <c r="BO163" i="104" l="1"/>
  <c r="BO164" i="104" s="1"/>
  <c r="BO131" i="104"/>
  <c r="BO107" i="104"/>
  <c r="BO116" i="104"/>
  <c r="BO120" i="104"/>
  <c r="BO134" i="104"/>
  <c r="BO110" i="104"/>
  <c r="BO148" i="104"/>
  <c r="BO149" i="104" s="1"/>
  <c r="BO74" i="104"/>
  <c r="BO117" i="104"/>
  <c r="CG128" i="104"/>
  <c r="CA122" i="51"/>
  <c r="CG79" i="106"/>
  <c r="BZ40" i="107"/>
  <c r="CA31" i="107"/>
  <c r="CA87" i="51"/>
  <c r="CA81" i="51"/>
  <c r="BZ113" i="104"/>
  <c r="BZ114" i="104"/>
  <c r="BZ151" i="104"/>
  <c r="CA40" i="104"/>
  <c r="CA133" i="104" s="1"/>
  <c r="CG64" i="3"/>
  <c r="CA92" i="106"/>
  <c r="CC22" i="107"/>
  <c r="CF158" i="104"/>
  <c r="CG134" i="51"/>
  <c r="CA99" i="51"/>
  <c r="BZ100" i="51"/>
  <c r="BZ104" i="51"/>
  <c r="BZ48" i="3"/>
  <c r="BZ158" i="107"/>
  <c r="BZ27" i="106"/>
  <c r="BZ46" i="3"/>
  <c r="CA13" i="3"/>
  <c r="BZ113" i="3"/>
  <c r="BZ116" i="3" s="1"/>
  <c r="CF133" i="104"/>
  <c r="BZ27" i="104"/>
  <c r="BZ11" i="3"/>
  <c r="BZ112" i="3" s="1"/>
  <c r="CC20" i="107"/>
  <c r="CA123" i="51"/>
  <c r="CG126" i="51" s="1"/>
  <c r="BZ158" i="104"/>
  <c r="BZ161" i="104" s="1"/>
  <c r="CM86" i="51"/>
  <c r="CM85" i="51" s="1"/>
  <c r="CM101" i="51" s="1"/>
  <c r="CM103" i="51" s="1"/>
  <c r="AR150" i="112"/>
  <c r="BO163" i="3"/>
  <c r="BZ162" i="3"/>
  <c r="AV150" i="112"/>
  <c r="BU162" i="3"/>
  <c r="BT163" i="3"/>
  <c r="AQ152" i="112"/>
  <c r="BO166" i="3"/>
  <c r="BN170" i="3"/>
  <c r="BN167" i="3"/>
  <c r="CA12" i="51"/>
  <c r="CA11" i="51"/>
  <c r="CA146" i="51"/>
  <c r="CA145" i="51"/>
  <c r="CG159" i="51"/>
  <c r="CG16" i="51"/>
  <c r="CG152" i="51"/>
  <c r="CG151" i="51"/>
  <c r="CG158" i="51"/>
  <c r="CG150" i="51"/>
  <c r="CG157" i="51"/>
  <c r="CG154" i="51"/>
  <c r="CG18" i="51"/>
  <c r="CG19" i="51"/>
  <c r="CG161" i="51"/>
  <c r="CG160" i="51"/>
  <c r="CG153" i="51"/>
  <c r="CA144" i="51"/>
  <c r="BU9" i="51"/>
  <c r="BT13" i="51"/>
  <c r="BU10" i="51"/>
  <c r="CA8" i="51"/>
  <c r="CG11" i="51" s="1"/>
  <c r="BZ9" i="51"/>
  <c r="BZ10" i="51" s="1"/>
  <c r="CG20" i="51"/>
  <c r="CG15" i="51"/>
  <c r="CM18" i="51" s="1"/>
  <c r="CL15" i="51"/>
  <c r="CF8" i="51"/>
  <c r="CG114" i="104"/>
  <c r="CG151" i="104"/>
  <c r="CG113" i="104"/>
  <c r="CG150" i="104" s="1"/>
  <c r="CM91" i="51"/>
  <c r="CM92" i="51" s="1"/>
  <c r="CL92" i="51"/>
  <c r="CA22" i="107"/>
  <c r="CL87" i="51"/>
  <c r="CL81" i="51"/>
  <c r="CM80" i="51"/>
  <c r="CL99" i="51"/>
  <c r="BT116" i="3"/>
  <c r="CA126" i="51"/>
  <c r="BU130" i="51"/>
  <c r="BU132" i="51" s="1"/>
  <c r="BO75" i="104"/>
  <c r="BO167" i="104" s="1"/>
  <c r="BU27" i="106"/>
  <c r="BT24" i="107"/>
  <c r="CG31" i="107"/>
  <c r="CF40" i="107"/>
  <c r="CA20" i="107"/>
  <c r="CG123" i="51"/>
  <c r="CL120" i="51"/>
  <c r="CM120" i="51" s="1"/>
  <c r="CM123" i="51" s="1"/>
  <c r="BT161" i="104"/>
  <c r="BU17" i="106"/>
  <c r="BU134" i="106"/>
  <c r="BU135" i="106" s="1"/>
  <c r="BW120" i="106"/>
  <c r="BU158" i="104"/>
  <c r="BU133" i="104"/>
  <c r="BU114" i="104"/>
  <c r="BU151" i="104"/>
  <c r="BU113" i="104"/>
  <c r="BU150" i="104"/>
  <c r="BO162" i="104"/>
  <c r="CF104" i="51"/>
  <c r="CF100" i="51"/>
  <c r="CG99" i="51"/>
  <c r="CG81" i="51"/>
  <c r="CG87" i="51"/>
  <c r="BN89" i="104"/>
  <c r="BN95" i="104" s="1"/>
  <c r="BU40" i="107"/>
  <c r="BT132" i="104"/>
  <c r="BT108" i="104"/>
  <c r="BT147" i="104" s="1"/>
  <c r="BU27" i="104"/>
  <c r="BT109" i="104"/>
  <c r="BT157" i="104"/>
  <c r="BT51" i="104"/>
  <c r="BT26" i="104"/>
  <c r="BT88" i="51"/>
  <c r="BU100" i="51"/>
  <c r="BU104" i="51"/>
  <c r="CF46" i="3"/>
  <c r="CF67" i="3"/>
  <c r="CF48" i="3"/>
  <c r="CF158" i="107"/>
  <c r="CG13" i="3"/>
  <c r="CF113" i="3"/>
  <c r="CF27" i="106"/>
  <c r="BZ150" i="104"/>
  <c r="BT152" i="104"/>
  <c r="BT153" i="104" s="1"/>
  <c r="CG11" i="104"/>
  <c r="CF27" i="104"/>
  <c r="CF11" i="3"/>
  <c r="BZ105" i="3"/>
  <c r="BT107" i="3"/>
  <c r="BT108" i="3" s="1"/>
  <c r="CG92" i="106"/>
  <c r="BU46" i="3"/>
  <c r="BU67" i="3"/>
  <c r="BU48" i="3"/>
  <c r="BU158" i="107"/>
  <c r="BU113" i="3"/>
  <c r="BU105" i="3"/>
  <c r="BO89" i="104"/>
  <c r="BO95" i="104" s="1"/>
  <c r="BO121" i="104"/>
  <c r="BT41" i="3"/>
  <c r="BT112" i="3"/>
  <c r="BT42" i="3"/>
  <c r="BT66" i="3"/>
  <c r="BU11" i="3"/>
  <c r="BT18" i="3"/>
  <c r="BT10" i="3"/>
  <c r="BO118" i="104" l="1"/>
  <c r="BO119" i="104" s="1"/>
  <c r="CA67" i="3"/>
  <c r="CG158" i="104"/>
  <c r="CG161" i="104" s="1"/>
  <c r="CG20" i="107"/>
  <c r="CG133" i="104"/>
  <c r="CA158" i="104"/>
  <c r="CA161" i="104" s="1"/>
  <c r="CA113" i="3"/>
  <c r="CA130" i="51"/>
  <c r="CA132" i="51" s="1"/>
  <c r="CF161" i="104"/>
  <c r="CF116" i="3"/>
  <c r="CA27" i="104"/>
  <c r="CA157" i="104" s="1"/>
  <c r="BZ51" i="104"/>
  <c r="BZ134" i="104" s="1"/>
  <c r="BZ108" i="104"/>
  <c r="BZ147" i="104" s="1"/>
  <c r="BZ88" i="51"/>
  <c r="BZ109" i="104"/>
  <c r="BZ26" i="104"/>
  <c r="BZ163" i="104" s="1"/>
  <c r="BZ66" i="3"/>
  <c r="BZ157" i="104"/>
  <c r="BZ160" i="104" s="1"/>
  <c r="CA158" i="107"/>
  <c r="CA48" i="3"/>
  <c r="CA46" i="3"/>
  <c r="CA105" i="3" s="1"/>
  <c r="CA107" i="3" s="1"/>
  <c r="CA100" i="51"/>
  <c r="CA104" i="51"/>
  <c r="CA151" i="104"/>
  <c r="CA113" i="104"/>
  <c r="CA150" i="104" s="1"/>
  <c r="CG152" i="104" s="1"/>
  <c r="CA114" i="104"/>
  <c r="CA40" i="107"/>
  <c r="CG22" i="107"/>
  <c r="BZ132" i="104"/>
  <c r="CA27" i="106"/>
  <c r="BZ24" i="107"/>
  <c r="BZ42" i="3"/>
  <c r="BZ41" i="3"/>
  <c r="BZ18" i="3"/>
  <c r="BZ114" i="3" s="1"/>
  <c r="CA11" i="3"/>
  <c r="BZ10" i="3"/>
  <c r="BZ118" i="3" s="1"/>
  <c r="AQ155" i="112"/>
  <c r="CF162" i="3"/>
  <c r="CA162" i="3"/>
  <c r="BZ163" i="3"/>
  <c r="AW150" i="112"/>
  <c r="BU163" i="3"/>
  <c r="AR152" i="112"/>
  <c r="BO167" i="3"/>
  <c r="BO170" i="3"/>
  <c r="AQ153" i="112"/>
  <c r="BN168" i="3"/>
  <c r="CG145" i="51"/>
  <c r="CG147" i="51"/>
  <c r="CM160" i="51"/>
  <c r="CM17" i="51"/>
  <c r="CM158" i="51"/>
  <c r="CM161" i="51"/>
  <c r="CM19" i="51"/>
  <c r="CM151" i="51"/>
  <c r="CM152" i="51"/>
  <c r="CG12" i="51"/>
  <c r="CM15" i="51"/>
  <c r="CL8" i="51"/>
  <c r="CF9" i="51"/>
  <c r="CF10" i="51" s="1"/>
  <c r="CG8" i="51"/>
  <c r="CG9" i="51" s="1"/>
  <c r="CM150" i="51"/>
  <c r="CM16" i="51"/>
  <c r="CM157" i="51"/>
  <c r="BU13" i="51"/>
  <c r="AY11" i="112"/>
  <c r="AY23" i="112" s="1"/>
  <c r="CM159" i="51"/>
  <c r="CM154" i="51"/>
  <c r="CG146" i="51"/>
  <c r="CA9" i="51"/>
  <c r="CG144" i="51"/>
  <c r="CM20" i="51"/>
  <c r="CM153" i="51"/>
  <c r="BZ13" i="51"/>
  <c r="CA10" i="51"/>
  <c r="CM130" i="51"/>
  <c r="CM132" i="51" s="1"/>
  <c r="CM122" i="51"/>
  <c r="BT102" i="3"/>
  <c r="CL100" i="51"/>
  <c r="CL104" i="51"/>
  <c r="CM99" i="51"/>
  <c r="BT54" i="3"/>
  <c r="BT68" i="3"/>
  <c r="BT51" i="3"/>
  <c r="BT153" i="3" s="1"/>
  <c r="BT47" i="3"/>
  <c r="BT50" i="3"/>
  <c r="BT68" i="106"/>
  <c r="BT16" i="3"/>
  <c r="BT114" i="3"/>
  <c r="BT151" i="3"/>
  <c r="BT163" i="106"/>
  <c r="BT25" i="3"/>
  <c r="BU107" i="3"/>
  <c r="BU108" i="3" s="1"/>
  <c r="BU152" i="104"/>
  <c r="BU153" i="104" s="1"/>
  <c r="CF132" i="104"/>
  <c r="CF157" i="104"/>
  <c r="CF109" i="104"/>
  <c r="CF108" i="104"/>
  <c r="CF147" i="104" s="1"/>
  <c r="CG27" i="104"/>
  <c r="CF51" i="104"/>
  <c r="CF26" i="104"/>
  <c r="CF88" i="51"/>
  <c r="BN135" i="104"/>
  <c r="BN104" i="104"/>
  <c r="BN122" i="104"/>
  <c r="BT103" i="3"/>
  <c r="BT104" i="3" s="1"/>
  <c r="BT43" i="3"/>
  <c r="CF105" i="3"/>
  <c r="CF107" i="3" s="1"/>
  <c r="BZ107" i="3"/>
  <c r="BZ108" i="3" s="1"/>
  <c r="BU161" i="104"/>
  <c r="BU66" i="3"/>
  <c r="BU42" i="3"/>
  <c r="BU112" i="3"/>
  <c r="BU41" i="3"/>
  <c r="BU18" i="3"/>
  <c r="CF112" i="3"/>
  <c r="CF115" i="3" s="1"/>
  <c r="CF66" i="3"/>
  <c r="CF41" i="3"/>
  <c r="CF42" i="3"/>
  <c r="CF18" i="3"/>
  <c r="CG11" i="3"/>
  <c r="CF10" i="3"/>
  <c r="CG100" i="51"/>
  <c r="CG104" i="51"/>
  <c r="BT65" i="3"/>
  <c r="BT40" i="3"/>
  <c r="BT12" i="106"/>
  <c r="BU10" i="3"/>
  <c r="BT157" i="107"/>
  <c r="BT159" i="107" s="1"/>
  <c r="BT160" i="107" s="1"/>
  <c r="BT26" i="106"/>
  <c r="BT118" i="3"/>
  <c r="CF24" i="107"/>
  <c r="CG27" i="106"/>
  <c r="BT110" i="104"/>
  <c r="BT148" i="104"/>
  <c r="BT149" i="104" s="1"/>
  <c r="CM81" i="51"/>
  <c r="CM87" i="51"/>
  <c r="CG46" i="3"/>
  <c r="CG105" i="3" s="1"/>
  <c r="CG48" i="3"/>
  <c r="CG158" i="107"/>
  <c r="CG113" i="3"/>
  <c r="CG67" i="3"/>
  <c r="BU157" i="104"/>
  <c r="BU109" i="104"/>
  <c r="BU108" i="104"/>
  <c r="BU147" i="104" s="1"/>
  <c r="BU132" i="104"/>
  <c r="BU88" i="51"/>
  <c r="BT115" i="3"/>
  <c r="BZ115" i="3"/>
  <c r="BT131" i="104"/>
  <c r="BT107" i="104"/>
  <c r="BU26" i="104"/>
  <c r="BT163" i="104"/>
  <c r="BT160" i="104"/>
  <c r="BU24" i="107"/>
  <c r="BU93" i="106"/>
  <c r="BW24" i="107"/>
  <c r="CA9" i="104"/>
  <c r="BU116" i="3"/>
  <c r="CA116" i="3"/>
  <c r="BO135" i="104"/>
  <c r="BO122" i="104"/>
  <c r="CG40" i="107"/>
  <c r="CF150" i="104"/>
  <c r="CF152" i="104" s="1"/>
  <c r="BZ152" i="104"/>
  <c r="BZ153" i="104" s="1"/>
  <c r="BT134" i="104"/>
  <c r="BU50" i="104"/>
  <c r="BT120" i="104"/>
  <c r="BT116" i="104"/>
  <c r="BT117" i="104"/>
  <c r="BU51" i="104"/>
  <c r="BT159" i="104"/>
  <c r="BT74" i="104"/>
  <c r="BT105" i="51"/>
  <c r="BW126" i="106"/>
  <c r="BW129" i="106"/>
  <c r="CA120" i="106"/>
  <c r="CA126" i="106" s="1"/>
  <c r="CG130" i="51"/>
  <c r="CG132" i="51" s="1"/>
  <c r="CM126" i="51"/>
  <c r="CA112" i="3" l="1"/>
  <c r="CA115" i="3" s="1"/>
  <c r="CG116" i="3"/>
  <c r="CF160" i="104"/>
  <c r="BZ68" i="3"/>
  <c r="BZ54" i="3"/>
  <c r="CA132" i="104"/>
  <c r="CA152" i="104"/>
  <c r="CA153" i="104" s="1"/>
  <c r="BZ159" i="104"/>
  <c r="BZ162" i="104" s="1"/>
  <c r="BZ120" i="104"/>
  <c r="BZ65" i="3"/>
  <c r="CA66" i="3"/>
  <c r="BZ107" i="104"/>
  <c r="CA26" i="104"/>
  <c r="CA163" i="104" s="1"/>
  <c r="BZ131" i="104"/>
  <c r="BZ110" i="104"/>
  <c r="BZ148" i="104"/>
  <c r="BZ149" i="104" s="1"/>
  <c r="BZ26" i="106"/>
  <c r="BZ12" i="106"/>
  <c r="BZ40" i="3"/>
  <c r="BZ157" i="107"/>
  <c r="BZ159" i="107" s="1"/>
  <c r="BZ160" i="107" s="1"/>
  <c r="CA10" i="3"/>
  <c r="CA118" i="3" s="1"/>
  <c r="CA93" i="106"/>
  <c r="CC24" i="107"/>
  <c r="BZ103" i="3"/>
  <c r="BZ104" i="3" s="1"/>
  <c r="BZ43" i="3"/>
  <c r="CA18" i="3"/>
  <c r="CA41" i="3"/>
  <c r="CA42" i="3"/>
  <c r="BZ102" i="3"/>
  <c r="CG107" i="3"/>
  <c r="CG108" i="3" s="1"/>
  <c r="CA51" i="104"/>
  <c r="CA159" i="104" s="1"/>
  <c r="BZ117" i="104"/>
  <c r="BZ105" i="51"/>
  <c r="BZ116" i="104"/>
  <c r="BZ68" i="106"/>
  <c r="BZ50" i="3"/>
  <c r="BZ151" i="3"/>
  <c r="BZ163" i="106"/>
  <c r="BZ165" i="106" s="1"/>
  <c r="BZ166" i="106" s="1"/>
  <c r="BZ167" i="106" s="1"/>
  <c r="BZ51" i="3"/>
  <c r="BZ153" i="3" s="1"/>
  <c r="BZ47" i="3"/>
  <c r="CA109" i="104"/>
  <c r="CA108" i="104"/>
  <c r="CA147" i="104" s="1"/>
  <c r="CA88" i="51"/>
  <c r="AR155" i="112"/>
  <c r="AX150" i="112"/>
  <c r="CA163" i="3"/>
  <c r="CH162" i="3"/>
  <c r="BO168" i="3"/>
  <c r="AR153" i="112"/>
  <c r="CG162" i="3"/>
  <c r="AY150" i="112" s="1"/>
  <c r="CF163" i="3"/>
  <c r="BN169" i="3"/>
  <c r="AQ154" i="112"/>
  <c r="CM144" i="51"/>
  <c r="CM12" i="51"/>
  <c r="CM147" i="51"/>
  <c r="CM8" i="51"/>
  <c r="CM9" i="51" s="1"/>
  <c r="CL9" i="51"/>
  <c r="CL10" i="51" s="1"/>
  <c r="CF13" i="51"/>
  <c r="CG13" i="51" s="1"/>
  <c r="CG10" i="51"/>
  <c r="CA13" i="51"/>
  <c r="BC11" i="112"/>
  <c r="BC23" i="112" s="1"/>
  <c r="CM11" i="51"/>
  <c r="CM145" i="51"/>
  <c r="CM146" i="51"/>
  <c r="CA108" i="3"/>
  <c r="BT52" i="3"/>
  <c r="BT53" i="3" s="1"/>
  <c r="BU160" i="107"/>
  <c r="BT14" i="107"/>
  <c r="BT69" i="3"/>
  <c r="BT49" i="3"/>
  <c r="BT67" i="106"/>
  <c r="BT121" i="104"/>
  <c r="BT85" i="104"/>
  <c r="BU85" i="104" s="1"/>
  <c r="BU80" i="106"/>
  <c r="BT21" i="107"/>
  <c r="BU12" i="106"/>
  <c r="CC120" i="106"/>
  <c r="BW132" i="106"/>
  <c r="BX128" i="106" s="1"/>
  <c r="BW11" i="107"/>
  <c r="BU116" i="104"/>
  <c r="BU120" i="104"/>
  <c r="BU134" i="104"/>
  <c r="BU117" i="104"/>
  <c r="BU159" i="104"/>
  <c r="BU74" i="104"/>
  <c r="BU105" i="51"/>
  <c r="CF54" i="3"/>
  <c r="CF114" i="3"/>
  <c r="CF117" i="3" s="1"/>
  <c r="CF68" i="106"/>
  <c r="CF50" i="3"/>
  <c r="CF47" i="3"/>
  <c r="CF68" i="3"/>
  <c r="CF163" i="106"/>
  <c r="CF51" i="3"/>
  <c r="CF153" i="3" s="1"/>
  <c r="CF151" i="3"/>
  <c r="CF131" i="104"/>
  <c r="CF107" i="104"/>
  <c r="CG26" i="104"/>
  <c r="CF163" i="104"/>
  <c r="CF164" i="104" s="1"/>
  <c r="BT165" i="106"/>
  <c r="BT166" i="106" s="1"/>
  <c r="CM100" i="51"/>
  <c r="CM104" i="51"/>
  <c r="CG93" i="106"/>
  <c r="BU43" i="3"/>
  <c r="BU103" i="3"/>
  <c r="BU104" i="3" s="1"/>
  <c r="CF153" i="104"/>
  <c r="BX120" i="106"/>
  <c r="BT118" i="104"/>
  <c r="BT119" i="104" s="1"/>
  <c r="CA24" i="107"/>
  <c r="BZ164" i="104"/>
  <c r="BT164" i="104"/>
  <c r="BU110" i="104"/>
  <c r="BU148" i="104"/>
  <c r="BU149" i="104" s="1"/>
  <c r="BU68" i="106"/>
  <c r="BU151" i="3"/>
  <c r="BU50" i="3"/>
  <c r="BU54" i="3"/>
  <c r="BU68" i="3"/>
  <c r="BU114" i="3"/>
  <c r="BU47" i="3"/>
  <c r="BU16" i="3"/>
  <c r="BU163" i="106"/>
  <c r="BU51" i="3"/>
  <c r="BU153" i="3" s="1"/>
  <c r="BU25" i="3"/>
  <c r="CF159" i="104"/>
  <c r="CF120" i="104"/>
  <c r="CF134" i="104"/>
  <c r="CF117" i="104"/>
  <c r="CF116" i="104"/>
  <c r="CG51" i="104"/>
  <c r="CF105" i="51"/>
  <c r="AV143" i="112"/>
  <c r="BT166" i="3"/>
  <c r="AV145" i="112"/>
  <c r="BU65" i="3"/>
  <c r="BU157" i="107"/>
  <c r="BU159" i="107" s="1"/>
  <c r="BU40" i="3"/>
  <c r="BU118" i="3"/>
  <c r="CF108" i="3"/>
  <c r="BT152" i="3"/>
  <c r="CG41" i="3"/>
  <c r="CG112" i="3"/>
  <c r="CG115" i="3" s="1"/>
  <c r="CG42" i="3"/>
  <c r="CG66" i="3"/>
  <c r="CG18" i="3"/>
  <c r="BT55" i="3"/>
  <c r="BT27" i="3"/>
  <c r="BT29" i="3" s="1"/>
  <c r="CA160" i="104"/>
  <c r="BU160" i="104"/>
  <c r="BZ119" i="3"/>
  <c r="BT119" i="3"/>
  <c r="BO10" i="104"/>
  <c r="BO12" i="104" s="1"/>
  <c r="BN12" i="104"/>
  <c r="CF43" i="3"/>
  <c r="CF103" i="3"/>
  <c r="CF104" i="3" s="1"/>
  <c r="BU102" i="3"/>
  <c r="CG109" i="104"/>
  <c r="CG132" i="104"/>
  <c r="CG157" i="104"/>
  <c r="CG160" i="104" s="1"/>
  <c r="CG108" i="104"/>
  <c r="CG147" i="104" s="1"/>
  <c r="CG88" i="51"/>
  <c r="CF148" i="104"/>
  <c r="CF149" i="104" s="1"/>
  <c r="CF110" i="104"/>
  <c r="BO104" i="104"/>
  <c r="BN136" i="104"/>
  <c r="CF40" i="3"/>
  <c r="CF65" i="3"/>
  <c r="CF12" i="106"/>
  <c r="CF157" i="107"/>
  <c r="CF159" i="107" s="1"/>
  <c r="CF160" i="107" s="1"/>
  <c r="CG10" i="3"/>
  <c r="CF26" i="106"/>
  <c r="CF118" i="3"/>
  <c r="CF119" i="3" s="1"/>
  <c r="CG9" i="104"/>
  <c r="BT162" i="104"/>
  <c r="BU131" i="104"/>
  <c r="BU107" i="104"/>
  <c r="BU163" i="104"/>
  <c r="BU81" i="106"/>
  <c r="BT23" i="107"/>
  <c r="BT31" i="106"/>
  <c r="BU26" i="106"/>
  <c r="CF102" i="3"/>
  <c r="BU115" i="3"/>
  <c r="BZ117" i="3"/>
  <c r="BT117" i="3"/>
  <c r="BZ118" i="104" l="1"/>
  <c r="BZ119" i="104" s="1"/>
  <c r="CA114" i="3"/>
  <c r="CF162" i="104"/>
  <c r="CG153" i="104"/>
  <c r="CA131" i="104"/>
  <c r="CA65" i="3"/>
  <c r="CA54" i="3"/>
  <c r="BZ52" i="3"/>
  <c r="BZ154" i="3" s="1"/>
  <c r="CA68" i="3"/>
  <c r="CA102" i="3"/>
  <c r="BZ21" i="107"/>
  <c r="CA12" i="106"/>
  <c r="CG80" i="106" s="1"/>
  <c r="BZ31" i="106"/>
  <c r="CA26" i="106"/>
  <c r="BZ23" i="107"/>
  <c r="CA116" i="104"/>
  <c r="CA117" i="104"/>
  <c r="CA105" i="51"/>
  <c r="CG24" i="107"/>
  <c r="CA40" i="3"/>
  <c r="CA157" i="107"/>
  <c r="CA159" i="107" s="1"/>
  <c r="CA160" i="107"/>
  <c r="BZ14" i="107"/>
  <c r="CA134" i="104"/>
  <c r="BZ152" i="3"/>
  <c r="CA51" i="3"/>
  <c r="CA153" i="3" s="1"/>
  <c r="CA163" i="106"/>
  <c r="CA68" i="106"/>
  <c r="CA47" i="3"/>
  <c r="CA151" i="3"/>
  <c r="CA50" i="3"/>
  <c r="BZ166" i="3"/>
  <c r="CA107" i="104"/>
  <c r="CA120" i="104"/>
  <c r="CA110" i="104"/>
  <c r="CA148" i="104"/>
  <c r="CA149" i="104" s="1"/>
  <c r="CA43" i="3"/>
  <c r="CA103" i="3"/>
  <c r="CA104" i="3" s="1"/>
  <c r="CI163" i="3"/>
  <c r="AR154" i="112"/>
  <c r="BO169" i="3"/>
  <c r="CG163" i="3"/>
  <c r="BU52" i="3"/>
  <c r="BU53" i="3" s="1"/>
  <c r="CM10" i="51"/>
  <c r="CL13" i="51"/>
  <c r="CM13" i="51" s="1"/>
  <c r="BT154" i="3"/>
  <c r="CF118" i="104"/>
  <c r="CF119" i="104" s="1"/>
  <c r="BU118" i="104"/>
  <c r="BU119" i="104" s="1"/>
  <c r="BT89" i="104"/>
  <c r="BT167" i="106"/>
  <c r="CA164" i="104"/>
  <c r="BU164" i="104"/>
  <c r="BU69" i="3"/>
  <c r="BU67" i="106"/>
  <c r="BU49" i="3"/>
  <c r="CG120" i="106"/>
  <c r="CG126" i="106" s="1"/>
  <c r="CC126" i="106"/>
  <c r="CC129" i="106"/>
  <c r="CF165" i="106"/>
  <c r="CF166" i="106" s="1"/>
  <c r="CA162" i="104"/>
  <c r="BU162" i="104"/>
  <c r="CG107" i="104"/>
  <c r="CG131" i="104"/>
  <c r="CG163" i="104"/>
  <c r="CG164" i="104" s="1"/>
  <c r="BU27" i="3"/>
  <c r="BU29" i="3" s="1"/>
  <c r="BX129" i="106"/>
  <c r="BX132" i="106" s="1"/>
  <c r="BY128" i="106" s="1"/>
  <c r="BX126" i="106"/>
  <c r="BU21" i="107"/>
  <c r="BT19" i="107"/>
  <c r="BU23" i="107"/>
  <c r="BU55" i="3"/>
  <c r="CG102" i="3"/>
  <c r="CG134" i="104"/>
  <c r="CG159" i="104"/>
  <c r="CG162" i="104" s="1"/>
  <c r="CG116" i="104"/>
  <c r="CG120" i="104"/>
  <c r="CG117" i="104"/>
  <c r="CG105" i="51"/>
  <c r="AW145" i="112"/>
  <c r="BU152" i="3"/>
  <c r="BW134" i="106"/>
  <c r="CF52" i="3"/>
  <c r="BU82" i="106"/>
  <c r="CG160" i="107"/>
  <c r="CF14" i="107"/>
  <c r="CG148" i="104"/>
  <c r="CG149" i="104" s="1"/>
  <c r="CG110" i="104"/>
  <c r="CF21" i="107"/>
  <c r="CG12" i="106"/>
  <c r="BU161" i="107"/>
  <c r="BT30" i="3"/>
  <c r="CG103" i="3"/>
  <c r="CG104" i="3" s="1"/>
  <c r="CG43" i="3"/>
  <c r="BW21" i="107"/>
  <c r="CA80" i="106"/>
  <c r="BU31" i="106"/>
  <c r="BW23" i="107"/>
  <c r="CA81" i="106"/>
  <c r="CF23" i="107"/>
  <c r="CG26" i="106"/>
  <c r="CF31" i="106"/>
  <c r="CG47" i="3"/>
  <c r="CG68" i="106"/>
  <c r="CG51" i="3"/>
  <c r="CG153" i="3" s="1"/>
  <c r="CG68" i="3"/>
  <c r="CG50" i="3"/>
  <c r="CG114" i="3"/>
  <c r="CG54" i="3"/>
  <c r="CG151" i="3"/>
  <c r="CG163" i="106"/>
  <c r="AV144" i="112"/>
  <c r="BU166" i="3"/>
  <c r="BT167" i="3"/>
  <c r="AV152" i="112"/>
  <c r="BT170" i="3"/>
  <c r="CF166" i="3"/>
  <c r="BW16" i="3"/>
  <c r="AW143" i="112"/>
  <c r="BU121" i="104"/>
  <c r="BU89" i="104"/>
  <c r="BT172" i="104"/>
  <c r="BT142" i="3"/>
  <c r="BU14" i="107"/>
  <c r="BT42" i="106"/>
  <c r="BU117" i="3"/>
  <c r="CA117" i="3"/>
  <c r="BT37" i="106"/>
  <c r="CG65" i="3"/>
  <c r="CG40" i="3"/>
  <c r="CG157" i="107"/>
  <c r="CG159" i="107" s="1"/>
  <c r="CG118" i="3"/>
  <c r="CG119" i="3" s="1"/>
  <c r="BO136" i="104"/>
  <c r="CA119" i="3"/>
  <c r="BU119" i="3"/>
  <c r="CF152" i="3"/>
  <c r="BU75" i="104"/>
  <c r="BU167" i="104" s="1"/>
  <c r="CG117" i="3" l="1"/>
  <c r="AY145" i="112"/>
  <c r="AY143" i="112"/>
  <c r="BZ53" i="3"/>
  <c r="CA161" i="107"/>
  <c r="CG52" i="3"/>
  <c r="CG53" i="3" s="1"/>
  <c r="CG81" i="106"/>
  <c r="CG82" i="106" s="1"/>
  <c r="CA118" i="104"/>
  <c r="CA119" i="104" s="1"/>
  <c r="CA166" i="3"/>
  <c r="BZ167" i="3"/>
  <c r="BZ170" i="3"/>
  <c r="CA152" i="3"/>
  <c r="AX145" i="112"/>
  <c r="BZ19" i="107"/>
  <c r="BZ142" i="3"/>
  <c r="BZ172" i="104"/>
  <c r="CA14" i="107"/>
  <c r="AX143" i="112"/>
  <c r="CC23" i="107"/>
  <c r="CA31" i="106"/>
  <c r="CC21" i="107"/>
  <c r="CG21" i="107" s="1"/>
  <c r="CA52" i="3"/>
  <c r="BZ37" i="106"/>
  <c r="BU154" i="3"/>
  <c r="AV146" i="112"/>
  <c r="CA82" i="106"/>
  <c r="BT155" i="3"/>
  <c r="CG118" i="104"/>
  <c r="CG119" i="104" s="1"/>
  <c r="AV155" i="112"/>
  <c r="CG31" i="106"/>
  <c r="CG152" i="3"/>
  <c r="BT94" i="104"/>
  <c r="BU30" i="3"/>
  <c r="BT31" i="3"/>
  <c r="BU19" i="107"/>
  <c r="BW67" i="106"/>
  <c r="BW49" i="3"/>
  <c r="BW69" i="3"/>
  <c r="BU172" i="104"/>
  <c r="BU142" i="3"/>
  <c r="CA21" i="107"/>
  <c r="BW19" i="107"/>
  <c r="CF53" i="3"/>
  <c r="CF154" i="3"/>
  <c r="BU37" i="106"/>
  <c r="CD120" i="106"/>
  <c r="CF19" i="107"/>
  <c r="BU10" i="104"/>
  <c r="BU12" i="104" s="1"/>
  <c r="BT12" i="104"/>
  <c r="BT168" i="3"/>
  <c r="AV153" i="112"/>
  <c r="BU42" i="106"/>
  <c r="BW42" i="106"/>
  <c r="BT109" i="106"/>
  <c r="BU109" i="106" s="1"/>
  <c r="AW152" i="112"/>
  <c r="BU170" i="3"/>
  <c r="BU167" i="3"/>
  <c r="CF170" i="3"/>
  <c r="CF167" i="3"/>
  <c r="CG166" i="3"/>
  <c r="AY152" i="112" s="1"/>
  <c r="BW17" i="106"/>
  <c r="BW135" i="106"/>
  <c r="BU26" i="3"/>
  <c r="CF142" i="3"/>
  <c r="CF172" i="104"/>
  <c r="CG14" i="107"/>
  <c r="BX134" i="106"/>
  <c r="BY120" i="106"/>
  <c r="CF167" i="106"/>
  <c r="BU109" i="3"/>
  <c r="CF37" i="106"/>
  <c r="CA23" i="107"/>
  <c r="CG161" i="107"/>
  <c r="AW144" i="112"/>
  <c r="AU36" i="112"/>
  <c r="BX11" i="107"/>
  <c r="CC11" i="107"/>
  <c r="AY144" i="112" l="1"/>
  <c r="CG154" i="3"/>
  <c r="CG23" i="107"/>
  <c r="CA37" i="106"/>
  <c r="AX144" i="112"/>
  <c r="CA53" i="3"/>
  <c r="CA154" i="3"/>
  <c r="CA172" i="104"/>
  <c r="CA142" i="3"/>
  <c r="BZ168" i="3"/>
  <c r="CC19" i="107"/>
  <c r="AX152" i="112"/>
  <c r="CA167" i="3"/>
  <c r="CA170" i="3"/>
  <c r="AW146" i="112"/>
  <c r="BU155" i="3"/>
  <c r="CG142" i="3"/>
  <c r="CG172" i="104"/>
  <c r="BU31" i="3"/>
  <c r="BT169" i="3"/>
  <c r="AV154" i="112"/>
  <c r="CG37" i="106"/>
  <c r="CF168" i="3"/>
  <c r="AW155" i="112"/>
  <c r="BW109" i="106"/>
  <c r="BX42" i="106"/>
  <c r="BU168" i="3"/>
  <c r="AW153" i="112"/>
  <c r="CC16" i="3"/>
  <c r="CA19" i="107"/>
  <c r="BX16" i="3"/>
  <c r="CG170" i="3"/>
  <c r="CG167" i="3"/>
  <c r="AY153" i="112" s="1"/>
  <c r="BY129" i="106"/>
  <c r="BY126" i="106"/>
  <c r="BT70" i="3"/>
  <c r="BT56" i="3"/>
  <c r="BT37" i="3"/>
  <c r="BT75" i="3"/>
  <c r="BT171" i="104"/>
  <c r="BU94" i="104"/>
  <c r="BT95" i="104"/>
  <c r="BU164" i="106"/>
  <c r="BU165" i="106" s="1"/>
  <c r="BU166" i="106" s="1"/>
  <c r="BU136" i="3"/>
  <c r="BX135" i="106"/>
  <c r="BX17" i="106"/>
  <c r="AU38" i="112"/>
  <c r="BI38" i="112" s="1"/>
  <c r="CD129" i="106"/>
  <c r="CD126" i="106"/>
  <c r="AY155" i="112" l="1"/>
  <c r="AY146" i="112"/>
  <c r="CG155" i="3"/>
  <c r="CG19" i="107"/>
  <c r="CH154" i="3"/>
  <c r="AX146" i="112"/>
  <c r="AX155" i="112"/>
  <c r="BZ169" i="3"/>
  <c r="CH167" i="3"/>
  <c r="AX153" i="112"/>
  <c r="CA168" i="3"/>
  <c r="CA169" i="3" s="1"/>
  <c r="CA155" i="3"/>
  <c r="BX109" i="106"/>
  <c r="BY42" i="106"/>
  <c r="BU171" i="104"/>
  <c r="BU95" i="104"/>
  <c r="BU70" i="3"/>
  <c r="BU75" i="3"/>
  <c r="BU56" i="3"/>
  <c r="BU37" i="3"/>
  <c r="BY11" i="107"/>
  <c r="BY132" i="106"/>
  <c r="BZ128" i="106" s="1"/>
  <c r="BU167" i="106"/>
  <c r="BU169" i="3"/>
  <c r="AW154" i="112"/>
  <c r="BZ120" i="106"/>
  <c r="AY36" i="112"/>
  <c r="BX49" i="3"/>
  <c r="BX69" i="3"/>
  <c r="BX67" i="106"/>
  <c r="CE120" i="106"/>
  <c r="BT141" i="3"/>
  <c r="BT110" i="106"/>
  <c r="BT76" i="3"/>
  <c r="BT9" i="107"/>
  <c r="CA10" i="104"/>
  <c r="CA12" i="104" s="1"/>
  <c r="BZ12" i="104"/>
  <c r="CF169" i="3"/>
  <c r="CG168" i="3"/>
  <c r="AY154" i="112" s="1"/>
  <c r="CD11" i="107"/>
  <c r="BT122" i="104"/>
  <c r="BT104" i="104"/>
  <c r="BT135" i="104"/>
  <c r="BT76" i="107"/>
  <c r="BT71" i="3"/>
  <c r="CC67" i="106"/>
  <c r="CC49" i="3"/>
  <c r="CC69" i="3"/>
  <c r="CI168" i="3" l="1"/>
  <c r="AX154" i="112"/>
  <c r="CH168" i="3"/>
  <c r="CI155" i="3"/>
  <c r="BU76" i="107"/>
  <c r="BU71" i="3"/>
  <c r="CD16" i="3"/>
  <c r="CG169" i="3"/>
  <c r="BZ126" i="106"/>
  <c r="BZ129" i="106"/>
  <c r="BZ132" i="106" s="1"/>
  <c r="BY16" i="3"/>
  <c r="BT136" i="104"/>
  <c r="BU104" i="104"/>
  <c r="BU135" i="104"/>
  <c r="BU122" i="104"/>
  <c r="BY134" i="106"/>
  <c r="BU141" i="3"/>
  <c r="BU76" i="3"/>
  <c r="BU110" i="106"/>
  <c r="BY109" i="106"/>
  <c r="BZ42" i="106"/>
  <c r="AY38" i="112"/>
  <c r="BC36" i="112"/>
  <c r="CE126" i="106"/>
  <c r="CE129" i="106"/>
  <c r="BU9" i="107"/>
  <c r="BT43" i="106"/>
  <c r="BT28" i="107"/>
  <c r="CD69" i="3" l="1"/>
  <c r="CD49" i="3"/>
  <c r="CD67" i="106"/>
  <c r="BT86" i="106"/>
  <c r="BT66" i="107"/>
  <c r="BT58" i="107"/>
  <c r="CE11" i="107"/>
  <c r="BZ11" i="107"/>
  <c r="CA129" i="106"/>
  <c r="BY67" i="106"/>
  <c r="BY69" i="3"/>
  <c r="BY49" i="3"/>
  <c r="BU43" i="106"/>
  <c r="BT46" i="106"/>
  <c r="CF120" i="106"/>
  <c r="BZ109" i="106"/>
  <c r="CA109" i="106" s="1"/>
  <c r="CA42" i="106"/>
  <c r="CC42" i="106"/>
  <c r="BU136" i="104"/>
  <c r="BZ134" i="106"/>
  <c r="BY135" i="106"/>
  <c r="BY17" i="106"/>
  <c r="CG10" i="104"/>
  <c r="CG12" i="104" s="1"/>
  <c r="CF12" i="104"/>
  <c r="BU28" i="107"/>
  <c r="BC38" i="112" l="1"/>
  <c r="CF126" i="106"/>
  <c r="CF129" i="106"/>
  <c r="BZ16" i="3"/>
  <c r="CA11" i="107"/>
  <c r="BT114" i="106"/>
  <c r="BT177" i="106"/>
  <c r="BT50" i="106"/>
  <c r="CE16" i="3"/>
  <c r="CA132" i="106"/>
  <c r="CA130" i="106"/>
  <c r="CC109" i="106"/>
  <c r="CD42" i="106"/>
  <c r="BT85" i="106"/>
  <c r="BT62" i="107"/>
  <c r="BZ135" i="106"/>
  <c r="BZ17" i="106"/>
  <c r="BU46" i="106"/>
  <c r="BT87" i="106"/>
  <c r="BT67" i="107"/>
  <c r="CA50" i="104"/>
  <c r="BU86" i="106"/>
  <c r="BU66" i="107"/>
  <c r="BU58" i="107"/>
  <c r="CA17" i="106" l="1"/>
  <c r="CC128" i="106"/>
  <c r="CA134" i="106"/>
  <c r="CA135" i="106" s="1"/>
  <c r="CE67" i="106"/>
  <c r="CE49" i="3"/>
  <c r="CE69" i="3"/>
  <c r="BU67" i="107"/>
  <c r="BU71" i="107"/>
  <c r="BU87" i="106"/>
  <c r="BU114" i="106"/>
  <c r="BU50" i="106"/>
  <c r="BU177" i="106"/>
  <c r="BT52" i="106"/>
  <c r="BT62" i="106"/>
  <c r="BU62" i="106"/>
  <c r="BT9" i="106"/>
  <c r="BT63" i="107" s="1"/>
  <c r="BT68" i="107"/>
  <c r="BT88" i="106"/>
  <c r="BT113" i="106"/>
  <c r="BU113" i="106" s="1"/>
  <c r="BT115" i="106"/>
  <c r="CA16" i="3"/>
  <c r="BU85" i="106"/>
  <c r="BU62" i="107"/>
  <c r="CF11" i="107"/>
  <c r="CG129" i="106"/>
  <c r="CG130" i="106" s="1"/>
  <c r="CD109" i="106"/>
  <c r="CE42" i="106"/>
  <c r="BZ69" i="3"/>
  <c r="BZ49" i="3"/>
  <c r="BZ67" i="106"/>
  <c r="BW60" i="107" l="1"/>
  <c r="CA60" i="107" s="1"/>
  <c r="CF42" i="106"/>
  <c r="CE109" i="106"/>
  <c r="CA69" i="3"/>
  <c r="CA67" i="106"/>
  <c r="CA49" i="3"/>
  <c r="CA109" i="3" s="1"/>
  <c r="BT70" i="106"/>
  <c r="BT74" i="106"/>
  <c r="BT180" i="106"/>
  <c r="BT58" i="106"/>
  <c r="BT91" i="106"/>
  <c r="BT15" i="106"/>
  <c r="BT75" i="106"/>
  <c r="BT100" i="29"/>
  <c r="BW101" i="29" s="1"/>
  <c r="BU9" i="106"/>
  <c r="CG128" i="106"/>
  <c r="CG132" i="106" s="1"/>
  <c r="CG134" i="106" s="1"/>
  <c r="CG135" i="106" s="1"/>
  <c r="CC132" i="106"/>
  <c r="BU52" i="106"/>
  <c r="BU88" i="106"/>
  <c r="BU68" i="107"/>
  <c r="BU70" i="107"/>
  <c r="CF16" i="3"/>
  <c r="CG11" i="107"/>
  <c r="CG50" i="104"/>
  <c r="BW108" i="106"/>
  <c r="BU115" i="106"/>
  <c r="CA108" i="106"/>
  <c r="CD128" i="106" l="1"/>
  <c r="CD132" i="106" s="1"/>
  <c r="CC134" i="106"/>
  <c r="CF109" i="106"/>
  <c r="CG109" i="106" s="1"/>
  <c r="CG42" i="106"/>
  <c r="BT184" i="106"/>
  <c r="BT183" i="106"/>
  <c r="BU74" i="106"/>
  <c r="BU58" i="106"/>
  <c r="BU180" i="106"/>
  <c r="BU75" i="106"/>
  <c r="BU15" i="106"/>
  <c r="BU100" i="29"/>
  <c r="BU91" i="106"/>
  <c r="BW22" i="3"/>
  <c r="BW62" i="104"/>
  <c r="CF69" i="3"/>
  <c r="CF67" i="106"/>
  <c r="CF49" i="3"/>
  <c r="BU63" i="107"/>
  <c r="BT73" i="106"/>
  <c r="BT22" i="106"/>
  <c r="BT76" i="106"/>
  <c r="BT59" i="106"/>
  <c r="BT69" i="106"/>
  <c r="CG16" i="3"/>
  <c r="BU70" i="106"/>
  <c r="CG49" i="3" l="1"/>
  <c r="CG109" i="3" s="1"/>
  <c r="CG69" i="3"/>
  <c r="CG67" i="106"/>
  <c r="BU59" i="106"/>
  <c r="BU69" i="106"/>
  <c r="BU184" i="106"/>
  <c r="BT187" i="106"/>
  <c r="BT64" i="106" s="1"/>
  <c r="BU187" i="106"/>
  <c r="BU64" i="106" s="1"/>
  <c r="BW20" i="3"/>
  <c r="BW25" i="3"/>
  <c r="CC17" i="106"/>
  <c r="CC135" i="106"/>
  <c r="BT63" i="106"/>
  <c r="BU63" i="106"/>
  <c r="BT54" i="106"/>
  <c r="BU183" i="106"/>
  <c r="BT186" i="106"/>
  <c r="BU186" i="106"/>
  <c r="BU73" i="106"/>
  <c r="BU76" i="106"/>
  <c r="BU22" i="106"/>
  <c r="BW52" i="104"/>
  <c r="BW74" i="104"/>
  <c r="CE128" i="106"/>
  <c r="CE132" i="106" s="1"/>
  <c r="CD134" i="106"/>
  <c r="CF128" i="106" l="1"/>
  <c r="CF132" i="106" s="1"/>
  <c r="CF134" i="106" s="1"/>
  <c r="CE134" i="106"/>
  <c r="BW121" i="104"/>
  <c r="BW85" i="104"/>
  <c r="BW89" i="104" s="1"/>
  <c r="BU54" i="106"/>
  <c r="CD135" i="106"/>
  <c r="CD17" i="106"/>
  <c r="BW55" i="3"/>
  <c r="BW27" i="3"/>
  <c r="BW29" i="3" s="1"/>
  <c r="BW30" i="3" l="1"/>
  <c r="BW31" i="3" s="1"/>
  <c r="CE17" i="106"/>
  <c r="CE135" i="106"/>
  <c r="CF17" i="106"/>
  <c r="CF135" i="106"/>
  <c r="BW37" i="3" l="1"/>
  <c r="BW70" i="3"/>
  <c r="BW56" i="3"/>
  <c r="BW75" i="3"/>
  <c r="CG17" i="106"/>
  <c r="BW94" i="104"/>
  <c r="BW171" i="104" l="1"/>
  <c r="BW95" i="104"/>
  <c r="BW76" i="107"/>
  <c r="BW71" i="3"/>
  <c r="BW141" i="3"/>
  <c r="BW9" i="107"/>
  <c r="BW110" i="106"/>
  <c r="BW76" i="3"/>
  <c r="BW104" i="104" l="1"/>
  <c r="BW135" i="104"/>
  <c r="BW122" i="104"/>
  <c r="BW28" i="107"/>
  <c r="BW43" i="106"/>
  <c r="BW86" i="106" l="1"/>
  <c r="BW66" i="107"/>
  <c r="BW58" i="107"/>
  <c r="BW46" i="106"/>
  <c r="BW136" i="104"/>
  <c r="BW177" i="106" l="1"/>
  <c r="BW114" i="106"/>
  <c r="BW50" i="106"/>
  <c r="BW85" i="106"/>
  <c r="BW62" i="107"/>
  <c r="BW87" i="106"/>
  <c r="BW67" i="107"/>
  <c r="BW52" i="106" l="1"/>
  <c r="BW62" i="106"/>
  <c r="BX60" i="107"/>
  <c r="BW9" i="106"/>
  <c r="BW88" i="106"/>
  <c r="BW68" i="107"/>
  <c r="BX108" i="106"/>
  <c r="BW113" i="106"/>
  <c r="BW115" i="106"/>
  <c r="BW180" i="106" l="1"/>
  <c r="BW75" i="106"/>
  <c r="BW58" i="106"/>
  <c r="BW74" i="106"/>
  <c r="BW91" i="106"/>
  <c r="BW15" i="106"/>
  <c r="BW100" i="29"/>
  <c r="BX101" i="29" s="1"/>
  <c r="BW63" i="107"/>
  <c r="BW70" i="106"/>
  <c r="BW69" i="106" l="1"/>
  <c r="BW59" i="106"/>
  <c r="BX62" i="104"/>
  <c r="BX22" i="3"/>
  <c r="BW76" i="106"/>
  <c r="BW73" i="106"/>
  <c r="BW22" i="106"/>
  <c r="BW183" i="106"/>
  <c r="BW186" i="106" s="1"/>
  <c r="BW184" i="106"/>
  <c r="BW187" i="106" s="1"/>
  <c r="BW64" i="106" s="1"/>
  <c r="BW63" i="106" l="1"/>
  <c r="BW54" i="106"/>
  <c r="BX52" i="104"/>
  <c r="BX74" i="104"/>
  <c r="BX25" i="3"/>
  <c r="BX20" i="3"/>
  <c r="BX27" i="3" l="1"/>
  <c r="BX55" i="3"/>
  <c r="BX85" i="104"/>
  <c r="BX89" i="104" s="1"/>
  <c r="BX121" i="104"/>
  <c r="BX29" i="3" l="1"/>
  <c r="BX30" i="3" l="1"/>
  <c r="BX31" i="3" s="1"/>
  <c r="BX56" i="3" l="1"/>
  <c r="BX37" i="3"/>
  <c r="BX70" i="3"/>
  <c r="BX75" i="3"/>
  <c r="BX94" i="104"/>
  <c r="BX76" i="3" l="1"/>
  <c r="BX9" i="107"/>
  <c r="BX110" i="106"/>
  <c r="BX141" i="3"/>
  <c r="BX171" i="104"/>
  <c r="BX95" i="104"/>
  <c r="BX76" i="107"/>
  <c r="BX71" i="3"/>
  <c r="BX135" i="104" l="1"/>
  <c r="BX122" i="104"/>
  <c r="BX104" i="104"/>
  <c r="BX28" i="107"/>
  <c r="BX43" i="106"/>
  <c r="BX46" i="106" l="1"/>
  <c r="BX66" i="107"/>
  <c r="BX58" i="107"/>
  <c r="BX86" i="106"/>
  <c r="BX136" i="104"/>
  <c r="BX85" i="106" l="1"/>
  <c r="BX62" i="107"/>
  <c r="BX87" i="106"/>
  <c r="BX67" i="107"/>
  <c r="BX114" i="106"/>
  <c r="BX177" i="106"/>
  <c r="BX50" i="106"/>
  <c r="BY108" i="106" l="1"/>
  <c r="BX113" i="106"/>
  <c r="BX115" i="106"/>
  <c r="BX68" i="107"/>
  <c r="BX88" i="106"/>
  <c r="BX52" i="106"/>
  <c r="BX62" i="106"/>
  <c r="BY60" i="107"/>
  <c r="BX9" i="106"/>
  <c r="BX63" i="107" s="1"/>
  <c r="BX70" i="106" l="1"/>
  <c r="BX91" i="106"/>
  <c r="BX75" i="106"/>
  <c r="BX180" i="106"/>
  <c r="BX15" i="106"/>
  <c r="BX74" i="106"/>
  <c r="BX100" i="29"/>
  <c r="BY101" i="29" s="1"/>
  <c r="BX58" i="106"/>
  <c r="BX69" i="106" l="1"/>
  <c r="BX59" i="106"/>
  <c r="BY22" i="3"/>
  <c r="BY62" i="104"/>
  <c r="BX73" i="106"/>
  <c r="BX76" i="106"/>
  <c r="BX22" i="106"/>
  <c r="BX184" i="106"/>
  <c r="BX187" i="106" s="1"/>
  <c r="BX64" i="106" s="1"/>
  <c r="BX183" i="106"/>
  <c r="BX186" i="106" s="1"/>
  <c r="BX63" i="106" l="1"/>
  <c r="BX54" i="106"/>
  <c r="BY52" i="104"/>
  <c r="BY74" i="104"/>
  <c r="BY20" i="3"/>
  <c r="BY25" i="3"/>
  <c r="BY121" i="104" l="1"/>
  <c r="BY85" i="104"/>
  <c r="BY27" i="3"/>
  <c r="BY29" i="3" s="1"/>
  <c r="BY55" i="3"/>
  <c r="BY30" i="3" l="1"/>
  <c r="BY31" i="3" s="1"/>
  <c r="BY89" i="104"/>
  <c r="BY94" i="104" l="1"/>
  <c r="BY95" i="104" s="1"/>
  <c r="BY37" i="3"/>
  <c r="BY56" i="3"/>
  <c r="BY70" i="3"/>
  <c r="BY75" i="3"/>
  <c r="BY141" i="3" l="1"/>
  <c r="BY110" i="106"/>
  <c r="BY76" i="3"/>
  <c r="BY9" i="107"/>
  <c r="BY122" i="104"/>
  <c r="BY135" i="104"/>
  <c r="BY104" i="104"/>
  <c r="BY71" i="3"/>
  <c r="BY76" i="107"/>
  <c r="BY171" i="104"/>
  <c r="BY28" i="107" l="1"/>
  <c r="BY43" i="106"/>
  <c r="BY136" i="104"/>
  <c r="BY46" i="106" l="1"/>
  <c r="BY86" i="106"/>
  <c r="BY66" i="107"/>
  <c r="BY58" i="107"/>
  <c r="BY85" i="106" l="1"/>
  <c r="BY62" i="107"/>
  <c r="BY67" i="107"/>
  <c r="BY87" i="106"/>
  <c r="BY114" i="106"/>
  <c r="BY50" i="106"/>
  <c r="BY177" i="106"/>
  <c r="BY88" i="106" l="1"/>
  <c r="BY68" i="107"/>
  <c r="BY52" i="106"/>
  <c r="BY62" i="106"/>
  <c r="BY115" i="106"/>
  <c r="BZ108" i="106"/>
  <c r="BY113" i="106"/>
  <c r="BZ60" i="107"/>
  <c r="BY9" i="106"/>
  <c r="BY75" i="106" l="1"/>
  <c r="BY100" i="29"/>
  <c r="BZ101" i="29" s="1"/>
  <c r="BY91" i="106"/>
  <c r="BY74" i="106"/>
  <c r="BY58" i="106"/>
  <c r="BY180" i="106"/>
  <c r="BY15" i="106"/>
  <c r="BY70" i="106"/>
  <c r="BY63" i="107"/>
  <c r="BY183" i="106" l="1"/>
  <c r="BY186" i="106" s="1"/>
  <c r="BY184" i="106"/>
  <c r="BY187" i="106" s="1"/>
  <c r="BY64" i="106" s="1"/>
  <c r="BY59" i="106"/>
  <c r="BY69" i="106"/>
  <c r="BZ62" i="104"/>
  <c r="BZ22" i="3"/>
  <c r="CA101" i="29"/>
  <c r="CA102" i="29" s="1"/>
  <c r="BY73" i="106"/>
  <c r="BY76" i="106"/>
  <c r="BY22" i="106"/>
  <c r="BZ20" i="3" l="1"/>
  <c r="BZ25" i="3"/>
  <c r="CA22" i="3"/>
  <c r="BZ52" i="104"/>
  <c r="CA52" i="104" s="1"/>
  <c r="BZ74" i="104"/>
  <c r="CA62" i="104"/>
  <c r="CA74" i="104" s="1"/>
  <c r="BY63" i="106"/>
  <c r="BY54" i="106"/>
  <c r="BZ121" i="104" l="1"/>
  <c r="BZ85" i="104"/>
  <c r="CA85" i="104" s="1"/>
  <c r="CA75" i="104" s="1"/>
  <c r="CA167" i="104" s="1"/>
  <c r="CA20" i="3"/>
  <c r="CA25" i="3"/>
  <c r="BZ55" i="3"/>
  <c r="BZ27" i="3"/>
  <c r="BZ29" i="3" s="1"/>
  <c r="CA121" i="104"/>
  <c r="BZ89" i="104" l="1"/>
  <c r="CA89" i="104"/>
  <c r="CA55" i="3"/>
  <c r="BZ30" i="3"/>
  <c r="BZ31" i="3" s="1"/>
  <c r="CA27" i="3"/>
  <c r="CA26" i="3" l="1"/>
  <c r="CA29" i="3"/>
  <c r="BZ70" i="3"/>
  <c r="BZ37" i="3"/>
  <c r="BZ56" i="3"/>
  <c r="BZ75" i="3"/>
  <c r="BZ94" i="104"/>
  <c r="CA30" i="3"/>
  <c r="BZ76" i="3" l="1"/>
  <c r="BZ141" i="3"/>
  <c r="BZ9" i="107"/>
  <c r="BZ110" i="106"/>
  <c r="CA31" i="3"/>
  <c r="BZ171" i="104"/>
  <c r="CA94" i="104"/>
  <c r="BZ95" i="104"/>
  <c r="CA164" i="106"/>
  <c r="CA165" i="106" s="1"/>
  <c r="CA166" i="106" s="1"/>
  <c r="CA136" i="3"/>
  <c r="BZ76" i="107"/>
  <c r="BZ71" i="3"/>
  <c r="CA75" i="3" l="1"/>
  <c r="CA56" i="3"/>
  <c r="CA70" i="3"/>
  <c r="CA37" i="3"/>
  <c r="CA167" i="106"/>
  <c r="BZ122" i="104"/>
  <c r="BZ135" i="104"/>
  <c r="BZ104" i="104"/>
  <c r="BZ28" i="107"/>
  <c r="CA9" i="107"/>
  <c r="BZ43" i="106"/>
  <c r="CA171" i="104"/>
  <c r="CA95" i="104"/>
  <c r="CA135" i="104" l="1"/>
  <c r="CA122" i="104"/>
  <c r="CA43" i="106"/>
  <c r="BZ46" i="106"/>
  <c r="BZ136" i="104"/>
  <c r="CA104" i="104"/>
  <c r="CA141" i="3"/>
  <c r="CA76" i="3"/>
  <c r="CA110" i="106"/>
  <c r="CA28" i="107"/>
  <c r="BZ86" i="106"/>
  <c r="BZ66" i="107"/>
  <c r="BZ58" i="107"/>
  <c r="CA71" i="3"/>
  <c r="CA76" i="107"/>
  <c r="BZ114" i="106" l="1"/>
  <c r="BZ177" i="106"/>
  <c r="BZ50" i="106"/>
  <c r="CA136" i="104"/>
  <c r="CA86" i="106"/>
  <c r="CA66" i="107"/>
  <c r="CA58" i="107"/>
  <c r="BZ85" i="106"/>
  <c r="BZ62" i="107"/>
  <c r="CA46" i="106"/>
  <c r="BZ87" i="106"/>
  <c r="BZ67" i="107"/>
  <c r="CA71" i="107" l="1"/>
  <c r="CA87" i="106"/>
  <c r="CA67" i="107"/>
  <c r="BZ52" i="106"/>
  <c r="BZ62" i="106"/>
  <c r="CA62" i="106"/>
  <c r="CA177" i="106"/>
  <c r="CA50" i="106"/>
  <c r="CA114" i="106"/>
  <c r="BZ115" i="106"/>
  <c r="BZ113" i="106"/>
  <c r="CA113" i="106" s="1"/>
  <c r="CA62" i="107"/>
  <c r="CA85" i="106"/>
  <c r="BZ68" i="107"/>
  <c r="BZ88" i="106"/>
  <c r="BZ9" i="106"/>
  <c r="CG108" i="106" l="1"/>
  <c r="CA115" i="106"/>
  <c r="CC108" i="106"/>
  <c r="CA52" i="106"/>
  <c r="BZ15" i="106"/>
  <c r="BZ74" i="106"/>
  <c r="CA9" i="106"/>
  <c r="CA63" i="107" s="1"/>
  <c r="BZ58" i="106"/>
  <c r="BZ180" i="106"/>
  <c r="BZ75" i="106"/>
  <c r="BZ91" i="106"/>
  <c r="BZ100" i="29"/>
  <c r="CC101" i="29" s="1"/>
  <c r="BZ63" i="107"/>
  <c r="BZ70" i="106"/>
  <c r="CA70" i="107"/>
  <c r="CA68" i="107"/>
  <c r="CA88" i="106"/>
  <c r="CC60" i="107"/>
  <c r="CG60" i="107" s="1"/>
  <c r="CA70" i="106" l="1"/>
  <c r="BZ184" i="106"/>
  <c r="BZ183" i="106"/>
  <c r="CA74" i="106"/>
  <c r="CA75" i="106"/>
  <c r="CA15" i="106"/>
  <c r="CA180" i="106"/>
  <c r="CA100" i="29"/>
  <c r="CA58" i="106"/>
  <c r="CA91" i="106"/>
  <c r="CC22" i="3"/>
  <c r="CC62" i="104"/>
  <c r="BZ22" i="106"/>
  <c r="BZ73" i="106"/>
  <c r="BZ76" i="106"/>
  <c r="BZ69" i="106"/>
  <c r="BZ59" i="106"/>
  <c r="BZ63" i="106" l="1"/>
  <c r="CA63" i="106"/>
  <c r="BZ54" i="106"/>
  <c r="CA59" i="106"/>
  <c r="CA69" i="106"/>
  <c r="CA184" i="106"/>
  <c r="BZ187" i="106"/>
  <c r="BZ64" i="106" s="1"/>
  <c r="CA187" i="106"/>
  <c r="CA64" i="106" s="1"/>
  <c r="CC74" i="104"/>
  <c r="CC52" i="104"/>
  <c r="CA73" i="106"/>
  <c r="CA76" i="106"/>
  <c r="CA22" i="106"/>
  <c r="CA183" i="106"/>
  <c r="BZ186" i="106"/>
  <c r="CA186" i="106"/>
  <c r="CC25" i="3"/>
  <c r="CC20" i="3"/>
  <c r="CC55" i="3" l="1"/>
  <c r="CC27" i="3"/>
  <c r="CC121" i="104"/>
  <c r="CC85" i="104"/>
  <c r="CC89" i="104" s="1"/>
  <c r="CA54" i="106"/>
  <c r="CC29" i="3" l="1"/>
  <c r="CC30" i="3" l="1"/>
  <c r="CC31" i="3" s="1"/>
  <c r="CC56" i="3" l="1"/>
  <c r="CC37" i="3"/>
  <c r="CC70" i="3"/>
  <c r="CC75" i="3"/>
  <c r="CC94" i="104"/>
  <c r="CC71" i="3" l="1"/>
  <c r="CC76" i="107"/>
  <c r="CC110" i="106"/>
  <c r="CC141" i="3"/>
  <c r="CC9" i="107"/>
  <c r="CC76" i="3"/>
  <c r="CC171" i="104"/>
  <c r="CC95" i="104"/>
  <c r="CC28" i="107" l="1"/>
  <c r="CC43" i="106"/>
  <c r="CC122" i="104"/>
  <c r="CC104" i="104"/>
  <c r="CC135" i="104"/>
  <c r="CC46" i="106" l="1"/>
  <c r="CC136" i="104"/>
  <c r="CC86" i="106"/>
  <c r="CC66" i="107"/>
  <c r="CC58" i="107"/>
  <c r="CC50" i="106" l="1"/>
  <c r="CC114" i="106"/>
  <c r="CC177" i="106"/>
  <c r="CC85" i="106"/>
  <c r="CC62" i="107"/>
  <c r="CC87" i="106"/>
  <c r="CC67" i="107"/>
  <c r="CD60" i="107" l="1"/>
  <c r="CC9" i="106"/>
  <c r="CC63" i="107" s="1"/>
  <c r="CC115" i="106"/>
  <c r="CC113" i="106"/>
  <c r="CD108" i="106"/>
  <c r="CC52" i="106"/>
  <c r="CC62" i="106"/>
  <c r="CC68" i="107"/>
  <c r="CC88" i="106"/>
  <c r="CC75" i="106" l="1"/>
  <c r="CC58" i="106"/>
  <c r="CC74" i="106"/>
  <c r="CC91" i="106"/>
  <c r="CC180" i="106"/>
  <c r="CC15" i="106"/>
  <c r="CC100" i="29"/>
  <c r="CD101" i="29" s="1"/>
  <c r="CC70" i="106"/>
  <c r="CC183" i="106" l="1"/>
  <c r="CC186" i="106" s="1"/>
  <c r="CC184" i="106"/>
  <c r="CC187" i="106" s="1"/>
  <c r="CC64" i="106" s="1"/>
  <c r="CC59" i="106"/>
  <c r="CC69" i="106"/>
  <c r="CD62" i="104"/>
  <c r="CD22" i="3"/>
  <c r="CC73" i="106"/>
  <c r="CC76" i="106"/>
  <c r="CC22" i="106"/>
  <c r="CC63" i="106" l="1"/>
  <c r="CC54" i="106"/>
  <c r="CD20" i="3"/>
  <c r="CD25" i="3"/>
  <c r="CD74" i="104"/>
  <c r="CD52" i="104"/>
  <c r="CD85" i="104" l="1"/>
  <c r="CD121" i="104"/>
  <c r="CD55" i="3"/>
  <c r="CD27" i="3"/>
  <c r="CD29" i="3" s="1"/>
  <c r="CD30" i="3" l="1"/>
  <c r="CD31" i="3" s="1"/>
  <c r="CD89" i="104"/>
  <c r="CD70" i="3" l="1"/>
  <c r="CD56" i="3"/>
  <c r="CD75" i="3"/>
  <c r="CD37" i="3"/>
  <c r="CD94" i="104"/>
  <c r="CD71" i="3" l="1"/>
  <c r="CD76" i="107"/>
  <c r="CD171" i="104"/>
  <c r="CD141" i="3"/>
  <c r="CD76" i="3"/>
  <c r="CD110" i="106"/>
  <c r="CD9" i="107"/>
  <c r="CD95" i="104"/>
  <c r="CD135" i="104" l="1"/>
  <c r="CD122" i="104"/>
  <c r="CD104" i="104"/>
  <c r="CD28" i="107"/>
  <c r="CD43" i="106"/>
  <c r="CD46" i="106" l="1"/>
  <c r="CD136" i="104"/>
  <c r="CD86" i="106"/>
  <c r="CD58" i="107"/>
  <c r="CD66" i="107"/>
  <c r="CD50" i="106" l="1"/>
  <c r="CD114" i="106"/>
  <c r="CD177" i="106"/>
  <c r="CD67" i="107"/>
  <c r="CD87" i="106"/>
  <c r="CD85" i="106"/>
  <c r="CD62" i="107"/>
  <c r="CD52" i="106" l="1"/>
  <c r="CD62" i="106"/>
  <c r="CD88" i="106"/>
  <c r="CD68" i="107"/>
  <c r="CD113" i="106"/>
  <c r="CD115" i="106"/>
  <c r="CE108" i="106"/>
  <c r="CE60" i="107"/>
  <c r="CD9" i="106"/>
  <c r="CD63" i="107" s="1"/>
  <c r="CD70" i="106" l="1"/>
  <c r="CD74" i="106"/>
  <c r="CD58" i="106"/>
  <c r="CD91" i="106"/>
  <c r="CD75" i="106"/>
  <c r="CD15" i="106"/>
  <c r="CD100" i="29"/>
  <c r="CE101" i="29" s="1"/>
  <c r="CD180" i="106"/>
  <c r="CD69" i="106" l="1"/>
  <c r="CD59" i="106"/>
  <c r="CE62" i="104"/>
  <c r="CE22" i="3"/>
  <c r="CD73" i="106"/>
  <c r="CD22" i="106"/>
  <c r="CD76" i="106"/>
  <c r="CD183" i="106"/>
  <c r="CD186" i="106" s="1"/>
  <c r="CD184" i="106"/>
  <c r="CD187" i="106" s="1"/>
  <c r="CD64" i="106" s="1"/>
  <c r="CE20" i="3" l="1"/>
  <c r="CE25" i="3"/>
  <c r="CE52" i="104"/>
  <c r="CE74" i="104"/>
  <c r="CD63" i="106"/>
  <c r="CD54" i="106"/>
  <c r="CE121" i="104" l="1"/>
  <c r="CE85" i="104"/>
  <c r="CE55" i="3"/>
  <c r="CE27" i="3"/>
  <c r="CE29" i="3" s="1"/>
  <c r="CE30" i="3" l="1"/>
  <c r="CE31" i="3" s="1"/>
  <c r="CE89" i="104"/>
  <c r="CE37" i="3" l="1"/>
  <c r="CE56" i="3"/>
  <c r="CE70" i="3"/>
  <c r="CE75" i="3"/>
  <c r="CE94" i="104"/>
  <c r="CE171" i="104" l="1"/>
  <c r="CE110" i="106"/>
  <c r="CE76" i="3"/>
  <c r="CE141" i="3"/>
  <c r="CE9" i="107"/>
  <c r="CE95" i="104"/>
  <c r="CE71" i="3"/>
  <c r="CE76" i="107"/>
  <c r="CE135" i="104" l="1"/>
  <c r="CE122" i="104"/>
  <c r="CE104" i="104"/>
  <c r="CE28" i="107"/>
  <c r="CE43" i="106"/>
  <c r="CE46" i="106" l="1"/>
  <c r="CE86" i="106"/>
  <c r="CE66" i="107"/>
  <c r="CE58" i="107"/>
  <c r="CE136" i="104"/>
  <c r="CE85" i="106" l="1"/>
  <c r="CE62" i="107"/>
  <c r="CE87" i="106"/>
  <c r="CE67" i="107"/>
  <c r="CE177" i="106"/>
  <c r="CE114" i="106"/>
  <c r="CE50" i="106"/>
  <c r="CF60" i="107" l="1"/>
  <c r="CE9" i="106"/>
  <c r="CE68" i="107"/>
  <c r="CE88" i="106"/>
  <c r="CE52" i="106"/>
  <c r="CE62" i="106"/>
  <c r="CF108" i="106"/>
  <c r="CE115" i="106"/>
  <c r="CE113" i="106"/>
  <c r="CE74" i="106" l="1"/>
  <c r="CE180" i="106"/>
  <c r="CE75" i="106"/>
  <c r="CE58" i="106"/>
  <c r="CE100" i="29"/>
  <c r="CF101" i="29" s="1"/>
  <c r="CE91" i="106"/>
  <c r="CE15" i="106"/>
  <c r="CE63" i="107"/>
  <c r="CE70" i="106"/>
  <c r="CE183" i="106" l="1"/>
  <c r="CE186" i="106" s="1"/>
  <c r="CE184" i="106"/>
  <c r="CE187" i="106" s="1"/>
  <c r="CE64" i="106" s="1"/>
  <c r="CF22" i="3"/>
  <c r="CF62" i="104"/>
  <c r="CG101" i="29"/>
  <c r="CG102" i="29" s="1"/>
  <c r="CE69" i="106"/>
  <c r="CE59" i="106"/>
  <c r="CE76" i="106"/>
  <c r="CE73" i="106"/>
  <c r="CE22" i="106"/>
  <c r="CE63" i="106" l="1"/>
  <c r="CE54" i="106"/>
  <c r="CF20" i="3"/>
  <c r="CF25" i="3"/>
  <c r="CG22" i="3"/>
  <c r="CF52" i="104"/>
  <c r="CG52" i="104" s="1"/>
  <c r="CF74" i="104"/>
  <c r="CG62" i="104"/>
  <c r="CG74" i="104" s="1"/>
  <c r="CF55" i="3" l="1"/>
  <c r="CF27" i="3"/>
  <c r="CG20" i="3"/>
  <c r="CG25" i="3"/>
  <c r="CG121" i="104"/>
  <c r="CF121" i="104"/>
  <c r="CF85" i="104"/>
  <c r="CG85" i="104" s="1"/>
  <c r="CG75" i="104" s="1"/>
  <c r="CG167" i="104" s="1"/>
  <c r="CF89" i="104" l="1"/>
  <c r="CG27" i="3"/>
  <c r="CG29" i="3" s="1"/>
  <c r="CF29" i="3"/>
  <c r="CG55" i="3"/>
  <c r="CG89" i="104"/>
  <c r="CF30" i="3" l="1"/>
  <c r="CG26" i="3"/>
  <c r="CF94" i="104" l="1"/>
  <c r="CG30" i="3"/>
  <c r="CG136" i="3"/>
  <c r="CG164" i="106"/>
  <c r="CG165" i="106" s="1"/>
  <c r="CG166" i="106" s="1"/>
  <c r="CF31" i="3"/>
  <c r="CF70" i="3" l="1"/>
  <c r="CF56" i="3"/>
  <c r="CF37" i="3"/>
  <c r="CF75" i="3"/>
  <c r="CF171" i="104"/>
  <c r="CG94" i="104"/>
  <c r="CF95" i="104"/>
  <c r="CG167" i="106"/>
  <c r="CG31" i="3"/>
  <c r="CF76" i="3" l="1"/>
  <c r="CF110" i="106"/>
  <c r="CF141" i="3"/>
  <c r="CF9" i="107"/>
  <c r="CF104" i="104"/>
  <c r="CF135" i="104"/>
  <c r="CF122" i="104"/>
  <c r="CF76" i="107"/>
  <c r="CF71" i="3"/>
  <c r="CG171" i="104"/>
  <c r="CG95" i="104"/>
  <c r="CG56" i="3"/>
  <c r="CG70" i="3"/>
  <c r="CG75" i="3"/>
  <c r="CG37" i="3"/>
  <c r="CG76" i="3" l="1"/>
  <c r="CG141" i="3"/>
  <c r="CG110" i="106"/>
  <c r="CF136" i="104"/>
  <c r="CG104" i="104"/>
  <c r="CG71" i="3"/>
  <c r="CG76" i="107"/>
  <c r="CF28" i="107"/>
  <c r="CG9" i="107"/>
  <c r="CF43" i="106"/>
  <c r="CG135" i="104"/>
  <c r="CG122" i="104"/>
  <c r="CF66" i="107" l="1"/>
  <c r="CF86" i="106"/>
  <c r="CF58" i="107"/>
  <c r="CG43" i="106"/>
  <c r="CF46" i="106"/>
  <c r="CG28" i="107"/>
  <c r="CG136" i="104"/>
  <c r="CF85" i="106" l="1"/>
  <c r="CF62" i="107"/>
  <c r="CF114" i="106"/>
  <c r="CF177" i="106"/>
  <c r="CF50" i="106"/>
  <c r="CF87" i="106"/>
  <c r="CF67" i="107"/>
  <c r="CG46" i="106"/>
  <c r="CG86" i="106"/>
  <c r="CG66" i="107"/>
  <c r="CG58" i="107"/>
  <c r="CG62" i="107" l="1"/>
  <c r="CG85" i="106"/>
  <c r="CG50" i="106"/>
  <c r="CG114" i="106"/>
  <c r="CG115" i="106" s="1"/>
  <c r="CG177" i="106"/>
  <c r="CF9" i="106"/>
  <c r="CF63" i="107" s="1"/>
  <c r="CF52" i="106"/>
  <c r="CF62" i="106"/>
  <c r="CG62" i="106"/>
  <c r="CF115" i="106"/>
  <c r="CF113" i="106"/>
  <c r="CG113" i="106" s="1"/>
  <c r="CF68" i="107"/>
  <c r="CF88" i="106"/>
  <c r="CG71" i="107"/>
  <c r="CG87" i="106"/>
  <c r="CG67" i="107"/>
  <c r="CF70" i="106" l="1"/>
  <c r="CF180" i="106"/>
  <c r="CF75" i="106"/>
  <c r="CF15" i="106"/>
  <c r="CF100" i="29"/>
  <c r="CF58" i="106"/>
  <c r="CG9" i="106"/>
  <c r="CF91" i="106"/>
  <c r="CF74" i="106"/>
  <c r="CG52" i="106"/>
  <c r="CG68" i="107"/>
  <c r="CG70" i="107"/>
  <c r="CG88" i="106"/>
  <c r="CG75" i="106" l="1"/>
  <c r="CG58" i="106"/>
  <c r="CG100" i="29"/>
  <c r="CG91" i="106"/>
  <c r="CG15" i="106"/>
  <c r="CG74" i="106"/>
  <c r="CG180" i="106"/>
  <c r="CF69" i="106"/>
  <c r="CF59" i="106"/>
  <c r="CF73" i="106"/>
  <c r="CF76" i="106"/>
  <c r="CF22" i="106"/>
  <c r="CF184" i="106"/>
  <c r="CF183" i="106"/>
  <c r="CG70" i="106"/>
  <c r="CG63" i="107"/>
  <c r="CG183" i="106" l="1"/>
  <c r="CF186" i="106"/>
  <c r="CG186" i="106"/>
  <c r="CG184" i="106"/>
  <c r="CF187" i="106"/>
  <c r="CF64" i="106" s="1"/>
  <c r="CG187" i="106"/>
  <c r="CG64" i="106" s="1"/>
  <c r="CG76" i="106"/>
  <c r="CG73" i="106"/>
  <c r="CG22" i="106"/>
  <c r="CG59" i="106"/>
  <c r="CG69" i="106"/>
  <c r="CF63" i="106"/>
  <c r="CG63" i="106"/>
  <c r="CF54" i="106"/>
  <c r="CG54" i="106" l="1"/>
</calcChain>
</file>

<file path=xl/comments1.xml><?xml version="1.0" encoding="utf-8"?>
<comments xmlns="http://schemas.openxmlformats.org/spreadsheetml/2006/main">
  <authors>
    <author>Garcia, Liza (Research)</author>
    <author>Singh, Rahul (Research)</author>
    <author>Steve Beuchaw</author>
    <author>Ramirez, Jose (Research)</author>
  </authors>
  <commentList>
    <comment ref="AY25" authorId="0">
      <text>
        <r>
          <rPr>
            <b/>
            <sz val="9"/>
            <color indexed="81"/>
            <rFont val="Tahoma"/>
            <family val="2"/>
          </rPr>
          <t>Garcia, Liza (Research):</t>
        </r>
        <r>
          <rPr>
            <sz val="9"/>
            <color indexed="81"/>
            <rFont val="Tahoma"/>
            <family val="2"/>
          </rPr>
          <t xml:space="preserve">
Why go back a period</t>
        </r>
      </text>
    </comment>
    <comment ref="B31" authorId="0">
      <text>
        <r>
          <rPr>
            <b/>
            <sz val="9"/>
            <color indexed="81"/>
            <rFont val="Tahoma"/>
            <family val="2"/>
          </rPr>
          <t>Garcia, Liza (Research):</t>
        </r>
        <r>
          <rPr>
            <sz val="9"/>
            <color indexed="81"/>
            <rFont val="Tahoma"/>
            <family val="2"/>
          </rPr>
          <t xml:space="preserve">
1-800-DENTISTS</t>
        </r>
      </text>
    </comment>
    <comment ref="AY39" authorId="0">
      <text>
        <r>
          <rPr>
            <b/>
            <sz val="9"/>
            <color indexed="81"/>
            <rFont val="Tahoma"/>
            <family val="2"/>
          </rPr>
          <t>Garcia, Liza (Research):</t>
        </r>
        <r>
          <rPr>
            <sz val="9"/>
            <color indexed="81"/>
            <rFont val="Tahoma"/>
            <family val="2"/>
          </rPr>
          <t xml:space="preserve">
Why go back a period</t>
        </r>
      </text>
    </comment>
    <comment ref="AY71" authorId="0">
      <text>
        <r>
          <rPr>
            <b/>
            <sz val="9"/>
            <color indexed="81"/>
            <rFont val="Tahoma"/>
            <family val="2"/>
          </rPr>
          <t>Garcia, Liza (Research):</t>
        </r>
        <r>
          <rPr>
            <sz val="9"/>
            <color indexed="81"/>
            <rFont val="Tahoma"/>
            <family val="2"/>
          </rPr>
          <t xml:space="preserve">
Why go back a period</t>
        </r>
      </text>
    </comment>
    <comment ref="AY72" authorId="0">
      <text>
        <r>
          <rPr>
            <b/>
            <sz val="9"/>
            <color indexed="81"/>
            <rFont val="Tahoma"/>
            <family val="2"/>
          </rPr>
          <t>Garcia, Liza (Research):</t>
        </r>
        <r>
          <rPr>
            <sz val="9"/>
            <color indexed="81"/>
            <rFont val="Tahoma"/>
            <family val="2"/>
          </rPr>
          <t xml:space="preserve">
Fixed inconsistent formula</t>
        </r>
      </text>
    </comment>
    <comment ref="AY84" authorId="0">
      <text>
        <r>
          <rPr>
            <b/>
            <sz val="9"/>
            <color indexed="81"/>
            <rFont val="Tahoma"/>
            <family val="2"/>
          </rPr>
          <t>Garcia, Liza (Research):</t>
        </r>
        <r>
          <rPr>
            <sz val="9"/>
            <color indexed="81"/>
            <rFont val="Tahoma"/>
            <family val="2"/>
          </rPr>
          <t xml:space="preserve">
Why go back a period</t>
        </r>
      </text>
    </comment>
    <comment ref="AY93" authorId="0">
      <text>
        <r>
          <rPr>
            <b/>
            <sz val="9"/>
            <color indexed="81"/>
            <rFont val="Tahoma"/>
            <family val="2"/>
          </rPr>
          <t>Garcia, Liza (Research):</t>
        </r>
        <r>
          <rPr>
            <sz val="9"/>
            <color indexed="81"/>
            <rFont val="Tahoma"/>
            <family val="2"/>
          </rPr>
          <t xml:space="preserve">
Why go back a period</t>
        </r>
      </text>
    </comment>
    <comment ref="B98" authorId="1">
      <text>
        <r>
          <rPr>
            <sz val="9"/>
            <color indexed="81"/>
            <rFont val="Tahoma"/>
            <family val="2"/>
          </rPr>
          <t>On February 29, 2016, DENTSPLY merged with Sirona in an all-stock transaction and the registrant was renamed DENSTPLY SIRONA Inc. In
connection with the merger, each former share of Sirona common stock issued and outstanding immediately prior to February 29, 2016, was converted to
1.8142 shares of DENTSPLY common stock. The Company issued approximately 101.8 million shares of DENTSPLY common stock to former shareholders
of Sirona common stock, representing approximately 42% of the approximately 242.2 million of the total shares of DENTSPLY common stock outstanding
on the merger date.</t>
        </r>
      </text>
    </comment>
    <comment ref="B100" authorId="1">
      <text>
        <r>
          <rPr>
            <sz val="9"/>
            <color indexed="81"/>
            <rFont val="Tahoma"/>
            <family val="2"/>
          </rPr>
          <t>Each outstanding share of Sirona common stock will be converted into the right to receive 1.8142 shares of DENTSPLY common stock</t>
        </r>
      </text>
    </comment>
    <comment ref="B102" authorId="1">
      <text>
        <r>
          <rPr>
            <sz val="9"/>
            <color indexed="81"/>
            <rFont val="Tahoma"/>
            <family val="2"/>
          </rPr>
          <t>Each outstanding share of Sirona common stock will be converted into the right to receive 1.8142 shares of DENTSPLY common stock</t>
        </r>
      </text>
    </comment>
    <comment ref="AM110" authorId="2">
      <text>
        <r>
          <rPr>
            <b/>
            <sz val="8"/>
            <color indexed="81"/>
            <rFont val="Tahoma"/>
            <family val="2"/>
          </rPr>
          <t>Steve Beuchaw:</t>
        </r>
        <r>
          <rPr>
            <sz val="8"/>
            <color indexed="81"/>
            <rFont val="Tahoma"/>
            <family val="2"/>
          </rPr>
          <t xml:space="preserve">
XRAY: indicating 40-50 bps actually hitting the GM line</t>
        </r>
      </text>
    </comment>
    <comment ref="AN110" authorId="2">
      <text>
        <r>
          <rPr>
            <b/>
            <sz val="8"/>
            <color indexed="81"/>
            <rFont val="Tahoma"/>
            <family val="2"/>
          </rPr>
          <t>Steve Beuchaw:</t>
        </r>
        <r>
          <rPr>
            <sz val="8"/>
            <color indexed="81"/>
            <rFont val="Tahoma"/>
            <family val="2"/>
          </rPr>
          <t xml:space="preserve">
XRAY: indicating 40-50 bps actually hitting the GM line</t>
        </r>
      </text>
    </comment>
    <comment ref="AO110" authorId="3">
      <text>
        <r>
          <rPr>
            <sz val="9"/>
            <color indexed="81"/>
            <rFont val="Tahoma"/>
            <family val="2"/>
          </rPr>
          <t>XRAY</t>
        </r>
      </text>
    </comment>
    <comment ref="AP110" authorId="3">
      <text>
        <r>
          <rPr>
            <sz val="9"/>
            <color indexed="81"/>
            <rFont val="Tahoma"/>
            <family val="2"/>
          </rPr>
          <t>XRAY</t>
        </r>
      </text>
    </comment>
    <comment ref="AQ110" authorId="2">
      <text>
        <r>
          <rPr>
            <b/>
            <sz val="8"/>
            <color indexed="81"/>
            <rFont val="Tahoma"/>
            <family val="2"/>
          </rPr>
          <t>Steve Beuchaw:</t>
        </r>
        <r>
          <rPr>
            <sz val="8"/>
            <color indexed="81"/>
            <rFont val="Tahoma"/>
            <family val="2"/>
          </rPr>
          <t xml:space="preserve">
XRAY: y/y - +30 organic, +40 A/T, -80 med tech tax</t>
        </r>
      </text>
    </comment>
    <comment ref="AS110" authorId="2">
      <text>
        <r>
          <rPr>
            <b/>
            <sz val="8"/>
            <color indexed="81"/>
            <rFont val="Tahoma"/>
            <family val="2"/>
          </rPr>
          <t>Steve Beuchaw:</t>
        </r>
        <r>
          <rPr>
            <sz val="8"/>
            <color indexed="81"/>
            <rFont val="Tahoma"/>
            <family val="2"/>
          </rPr>
          <t xml:space="preserve">
XRAY: FX pressure higher</t>
        </r>
      </text>
    </comment>
    <comment ref="AW110" authorId="2">
      <text>
        <r>
          <rPr>
            <b/>
            <sz val="8"/>
            <color indexed="81"/>
            <rFont val="Tahoma"/>
            <family val="2"/>
          </rPr>
          <t>Steve Beuchaw:</t>
        </r>
        <r>
          <rPr>
            <sz val="8"/>
            <color indexed="81"/>
            <rFont val="Tahoma"/>
            <family val="2"/>
          </rPr>
          <t xml:space="preserve">
Some drag from Orthodontic discounting</t>
        </r>
      </text>
    </comment>
    <comment ref="AM149" authorId="2">
      <text>
        <r>
          <rPr>
            <b/>
            <sz val="8"/>
            <color indexed="81"/>
            <rFont val="Tahoma"/>
            <family val="2"/>
          </rPr>
          <t>Steve Beuchaw:</t>
        </r>
        <r>
          <rPr>
            <sz val="8"/>
            <color indexed="81"/>
            <rFont val="Tahoma"/>
            <family val="2"/>
          </rPr>
          <t xml:space="preserve">
XRAY: indicating 40-50 bps actually hitting the GM line</t>
        </r>
      </text>
    </comment>
    <comment ref="AN149" authorId="2">
      <text>
        <r>
          <rPr>
            <b/>
            <sz val="8"/>
            <color indexed="81"/>
            <rFont val="Tahoma"/>
            <family val="2"/>
          </rPr>
          <t>Steve Beuchaw:</t>
        </r>
        <r>
          <rPr>
            <sz val="8"/>
            <color indexed="81"/>
            <rFont val="Tahoma"/>
            <family val="2"/>
          </rPr>
          <t xml:space="preserve">
XRAY: indicating 40-50 bps actually hitting the GM line</t>
        </r>
      </text>
    </comment>
    <comment ref="AO149" authorId="3">
      <text>
        <r>
          <rPr>
            <sz val="9"/>
            <color indexed="81"/>
            <rFont val="Tahoma"/>
            <family val="2"/>
          </rPr>
          <t>XRAY</t>
        </r>
      </text>
    </comment>
    <comment ref="AP149" authorId="3">
      <text>
        <r>
          <rPr>
            <sz val="9"/>
            <color indexed="81"/>
            <rFont val="Tahoma"/>
            <family val="2"/>
          </rPr>
          <t>XRAY</t>
        </r>
      </text>
    </comment>
    <comment ref="AQ149" authorId="2">
      <text>
        <r>
          <rPr>
            <b/>
            <sz val="8"/>
            <color indexed="81"/>
            <rFont val="Tahoma"/>
            <family val="2"/>
          </rPr>
          <t>Steve Beuchaw:</t>
        </r>
        <r>
          <rPr>
            <sz val="8"/>
            <color indexed="81"/>
            <rFont val="Tahoma"/>
            <family val="2"/>
          </rPr>
          <t xml:space="preserve">
XRAY: y/y - +30 organic, +40 A/T, -80 med tech tax</t>
        </r>
      </text>
    </comment>
    <comment ref="AS149" authorId="2">
      <text>
        <r>
          <rPr>
            <b/>
            <sz val="8"/>
            <color indexed="81"/>
            <rFont val="Tahoma"/>
            <family val="2"/>
          </rPr>
          <t>Steve Beuchaw:</t>
        </r>
        <r>
          <rPr>
            <sz val="8"/>
            <color indexed="81"/>
            <rFont val="Tahoma"/>
            <family val="2"/>
          </rPr>
          <t xml:space="preserve">
XRAY: FX pressure higher</t>
        </r>
      </text>
    </comment>
    <comment ref="AW149" authorId="2">
      <text>
        <r>
          <rPr>
            <b/>
            <sz val="8"/>
            <color indexed="81"/>
            <rFont val="Tahoma"/>
            <family val="2"/>
          </rPr>
          <t>Steve Beuchaw:</t>
        </r>
        <r>
          <rPr>
            <sz val="8"/>
            <color indexed="81"/>
            <rFont val="Tahoma"/>
            <family val="2"/>
          </rPr>
          <t xml:space="preserve">
Some drag from Orthodontic discounting</t>
        </r>
      </text>
    </comment>
  </commentList>
</comments>
</file>

<file path=xl/comments2.xml><?xml version="1.0" encoding="utf-8"?>
<comments xmlns="http://schemas.openxmlformats.org/spreadsheetml/2006/main">
  <authors>
    <author>carlilew</author>
  </authors>
  <commentList>
    <comment ref="A1" authorId="0">
      <text>
        <r>
          <rPr>
            <b/>
            <sz val="8"/>
            <color indexed="81"/>
            <rFont val="Tahoma"/>
            <family val="2"/>
          </rPr>
          <t>卟䙄_x0003_＀＀㝾䷻ 剁奁䥞彂䅐䝖㐨ㄯ㈯〰ⰷ⼶〳㈯〰⤷ ＀＀ ＀＀_x0008_＀＀_x0008_＀＀_x0001_＀＀_x0001_＀＀_x0001_＀＀薲ܠ谥䀷䆣丯@〳㐮常䕆䕟呓䵉呁⡅䔧卐Ⱗ䴧䅅❎✬䅃㑌Ⱗ㈧㄰✲丬坏Ⱜ✬䘬㈱㴳䅍ⱊ⤧_x001D_＀＀ ＀＀_x0005_＀＀_x0004_＀＀_x0001_＀＀_x0001_＀＀_x0008_＀＀乀A찀䆡丯_x0017_呁䍅䙞彆䅓䕌⡓䅃ⱌㄭ奃착ō＀＀ ＀＀ĵ＀＀_x0008_＀＀_x0001_＀＀_x0001_＀＀_x0001_＀＀䖢蓽䁠摦畳㩰⼯楤敲瑣潩獮䘯呁嘠敩敷㽲捡楴湯唽䑐呁♅牣慥潴㵲慦瑣敳♴奄彎剁升吽啒♅佄彃䅎䕍䘽呁䘺䱑䅟䑕呉义彇䱃䕉呎呟䵅䱐呁⹅䅆♔楤灳慬役瑳楲杮䄽摵瑩嘦剁䬺奅圽奘奖奌䍆♔䅖㩒啑剅㵙歒晚さ䵆噒潍け䵆䍌砰ㅑ火圦义佄㵗䥆卒彔佐啐♐䕈䝉呈㐽〵圦䑉䡔㐽〵匦䅔呒䵟塁䵉婉䑅䘽䱁䕓嘦剁䌺䱁久䅄㵒单嘦剁区䵙佂㵌呁䍅嘦剁䤺䑎塅〽찀䆢丯@䍋幉䕆䕟呓䵉呁⡅匧䱁卅Ⱗ䴧䅅❎✬䅃㑌Ⱗ㈧㄰✲丬坏Ⱜ✬䘬㈱㴳䅍ⱊ⤧!＀＀ ＀＀	＀＀_x0008_＀＀_x0001_＀＀_x0001_＀＀_x0001_＀＀譄ܻ䂡찀펚䷨ 呁䍅䥞彂䅐䝖㔨ㄯ㈯〰ⰷ⼷ㄳ㈯〰⤷ ＀＀ ＀＀_x0008_＀＀_x0008_＀＀_x0001_＀＀_x0001_＀＀_x0001_＀＀ነ뚻箷䀍䆛丯_x0017_䱁乇䙞彆䅓䕌⡓䅃ⱌㄭ奃착ō＀＀ ＀＀ĵ＀＀_x0008_＀＀_x0001_＀＀_x0001_＀＀_x0001_＀＀_xD917_蕓䁳摦畳㩰⼯楤敲瑣潩獮䘯呁嘠敩敷㽲捡楴湯唽䑐呁♅牣慥潴㵲慦瑣敳♴奄彎剁升吽啒♅佄彃䅎䕍䘽呁䘺䱑䅟䑕呉义彇䱃䕉呎呟䵅䱐呁⹅䅆♔楤灳慬役瑳楲杮䄽摵瑩嘦剁䬺奅儽䅔䕒坎䍊♎䅖㩒啑剅㵙歒晚さ䵆噒潍け䵆䍌砰ㅑ火圦义佄㵗䥆卒彔佐啐♐䕈䝉呈㐽〵圦䑉䡔㐽〵匦䅔呒䵟塁䵉婉䑅䘽䱁䕓嘦剁䌺䱁久䅄㵒单嘦剁区䵙佂㵌䱁乇嘦剁䤺䑎塅〽찀䆣丯@㈴㤮帹䕆䕟呓䵉呁⡅䔧卐Ⱗ䴧䅅❎✬䅃㑌Ⱗ㈧㄰✲丬坏Ⱜ✬䘬㈱㴳䅍ⱊ⤧_x001D_＀＀ ＀＀_x0005_＀＀_x0004_＀＀_x0001_＀＀_x0001_＀＀_x0008_＀＀乀A찀䆡丯_x0016_佖䍌䙞彆䅓䕌⡓䅃ⱌ䌰⥙ō＀＀ ＀＀ĵ＀＀_x0008_＀＀_x0001_＀＀_x0001_＀＀_x0001_＀＀鍵И扖䁲摦畳㩰⼯楤敲瑣潩獮䘯呁嘠敩敷㽲捡楴湯唽䑐呁♅牣慥潴㵲慦瑣敳♴奄彎剁升吽啒♅佄彃䅎䕍䘽呁䘺䱑䅟䑕呉义彇䱃䕉呎呟䵅䱐呁⹅䅆♔楤灳慬役瑳楲杮䄽摵瑩嘦剁䬺奅䬽䝒坐啂佘♔䅖㩒啑剅㵙歒晚さ䵆噒潍け䵆䑌䑂南㵫圦义佄㵗䥆卒彔佐啐♐䕈䝉呈㐽〵圦䑉䡔㐽〵匦䅔呒䵟塁䵉婉䑅䘽䱁䕓嘦剁䌺䱁久䅄㵒单嘦剁区䵙佂㵌佖䍌嘦剁䤺䑎塅〽찀됪丞 剘奁䥞彂䅐䝖㐨ㄯ㈯〰ⰷ⼶〳㈯〰⤷ ＀＀ ＀＀_x0008_＀＀_x0008_＀＀_x0001_＀＀_x0001_＀＀_x0001_＀＀롼룤뉓䁁剝䷰ 䅖幒䉉偟噁⡇⼱ㄳ㈯〰ⰷ⼳ㄳ㈯〰⤷ ＀＀ ＀＀_x0008_＀＀_x0008_＀＀_x0001_＀＀_x0001_＀＀_x0001_＀＀剪먊첽䁇暍䷰_x001F_䅖幒䉉偟噁⡇⼴⼱〲㤰㜬㌯⼱〲㤰착 ＀＀ ＀＀_x0008_＀＀_x0008_＀＀_x0001_＀＀_x0001_＀＀_x0001_＀＀瀻裎㻒䁁䆣丯@㐳㤮帳䕆䕟呓䵉呁⡅䔧卐Ⱗ䴧䅅❎✬䅃㑌Ⱗ㈧㄰✲丬坏Ⱜ✬䘬㈱㴳䅍ⱊ⤧_x001D_＀＀ ＀＀_x0005_＀＀_x0004_＀＀_x0001_＀＀_x0001_＀＀_x0008_＀＀乀A찀퐶䷨ 呁䍅䥞彂䅐䝖㈨ㄯ㈯㄰ⰱ⼴〳㈯㄰⤱ ＀＀ ＀＀_x0008_＀＀_x0008_＀＀_x0001_＀＀_x0001_＀＀_x0001_＀＀桄ᬄῗ䀆㟛䷻"剁奁䥞彂䅐䝖ㄨ⼰⼱〲㠰ㄬ⼲ㄳ㈯〰⤸ ＀＀ ＀＀_x0008_＀＀_x0008_＀＀_x0001_＀＀_x0001_＀＀_x0001_＀＀䥷ᖜ卑䀕䆞丯_x0013_佐䑄偞偟䥒䕃㐨㜰〵착!＀＀ ＀＀	＀＀_x0008_＀＀_x0001_＀＀_x0001_＀＀_x0001_＀＀馚香妙䀴찀☬䵿!呁䍅䥞彂䅐䝖ㄨㄯ㈯㄰ⰰ㈱㌯⼱〲〱착 ＀＀ ＀＀_x0008_＀＀_x0008_＀＀_x0001_＀＀_x0001_＀＀_x0001_＀＀_xDEC5_例䀐紹丁 剁奁䥞彂䅐䝖㜨ㄯ㈯〰ⰹ⼹〳㈯〰⤹ ＀＀ ＀＀_x0008_＀＀_x0008_＀＀_x0001_＀＀_x0001_＀＀_x0001_＀＀爩袈䀚䆣丯@㌳㘮帵䕆䕟呓䵉呁⡅䔧卐Ⱗ䴧䅅❎✬䅃㑌Ⱗ㈧㄰✲丬坏Ⱜ✬䘬㈱㴳䅍ⱊ⤧_x001D_＀＀ ＀＀_x0005_＀＀_x0004_＀＀_x0001_＀＀_x0001_＀＀_x0008_＀＀乀A찀㝾䷻ 剁奁䥞彂䅐䝖㘨ㄯ㈯〰ⰶ⼹〳㈯〰⤶ ＀＀ ＀＀_x0008_＀＀_x0008_＀＀_x0001_＀＀_x0001_＀＀_x0001_＀＀豀碵꼝쐕㝾䷻"剁奁䥞彂䅐䝖ㄨ⼰⼱〲㘰ㄬ⼲ㄳ㈯〰⤶ ＀＀ ＀＀_x0008_＀＀_x0008_＀＀_x0001_＀＀_x0001_＀＀_x0001_＀＀豀碵꼝쐕☬䵿"呁䍅䥞彂䅐䝖ㄨ⼰⼱〲〱ㄬ⼲ㄳ㈯㄰⤰ ＀＀ ＀＀_x0008_＀＀_x0008_＀＀_x0001_＀＀_x0001_＀＀_x0001_＀＀Վ叜䀂☬䵿 呁䍅䥞彂䅐䝖㜨ㄯ㈯㄰ⰰ⼹〳㈯㄰⤰ ＀＀ ＀＀_x0008_＀＀_x0008_＀＀_x0001_＀＀_x0001_＀＀_x0001_＀＀됗肐藑䀈䆠丯?剁䍔䙞彅卅䥔䅍䕔✨偅❓✬䕍乁Ⱗ䌧䱁✴✬〲ㄱⰧ低ⱗⰬⰧㅆ㌲䴽䩁✬착!＀＀ ＀＀	＀＀_x0008_＀＀_x0001_＀＀_x0001_＀＀_x0001_＀＀竡긔㿲찀䆢丯_x0013_剘奁偞偟䥒䕃㐨㜰〵착!＀＀ ＀＀	＀＀_x0008_＀＀_x0001_＀＀_x0001_＀＀_x0001_＀＀롑攞䁃찀됪丞"剘奁䥞彂䅐䝖ㄨ⼰⼱〲〱ㄬ⼲ㄳ㈯㄰⤰ ＀＀ ＀＀_x0008_＀＀_x0008_＀＀_x0001_＀＀_x0001_＀＀_x0001_＀＀ꪏ蠦⾺䁀䆛丯_x0016_䥓佒䙞彆䅓䕌⡓䅃ⱌ䌰⥙ō＀＀ ＀＀ĵ＀＀_x0008_＀＀_x0001_＀＀_x0001_＀＀_x0001_＀＀ቮ삃룊䂈摦畳㩰⼯楤敲瑣潩獮䘯呁嘠敩敷㽲捡楴湯唽䑐呁♅牣慥潴㵲慦瑣敳♴奄彎剁升吽啒♅佄彃䅎䕍䘽呁䘺䱑䅟䑕呉义彇䱃䕉呎呟䵅䱐呁⹅䅆♔楤灳慬役瑳楲杮䄽摵瑩嘦剁䬺奅䌽啎啄䵘䝔♎䅖㩒啑剅㵙歒晚さ䵆噒潍け䵆䑌䑂南㵫圦义佄㵗䥆卒彔佐啐♐䕈䝉呈㐽〵圦䑉䡔㐽〵匦䅔呒䵟塁䵉婉䑅䘽䱁䕓嘦剁䌺䱁久䅄㵒单嘦剁区䵙佂㵌䥓佒嘦剁䤺䑎塅〽찀暍䷰!䅖幒䉉偟噁⡇〱ㄯ㈯㄰ⰰ㈱㌯⼱〲〱착 ＀＀ ＀＀_x0008_＀＀_x0008_＀＀_x0001_＀＀_x0001_＀＀_x0001_＀＀뛮촋䱵䁐䆡丯?䙏塉䙞彅卅䥔䅍䕔✨偅❓✬䕍乁Ⱗ䌧䱁✴✬〲ㄱⰧ低ⱗⰬⰧㅆ㌲䴽䩁✬착!＀＀ ＀＀	＀＀_x0008_＀＀_x0001_＀＀_x0001_＀＀_x0001_＀＀塞ǵ_xDE50_㾨찀됪丞 剘奁䥞彂䅐䝖㜨ㄯ㈯〰ⰹ⼹〳㈯〰⤹ ＀＀ ＀＀_x0008_＀＀_x0008_＀＀_x0001_＀＀_x0001_＀＀_x0001_＀＀琕䥻っ䁀䆞丯_x0013_剁䍔偞偟䥒䕃㐨㜰〵착!＀＀ ＀＀	＀＀_x0008_＀＀_x0001_＀＀_x0001_＀＀_x0001_＀＀㌳㌳팳䁀찀䆝丯_x0012_偃協䙞彆偅⡓乁ⱎ⤰!＀＀ ＀＀	＀＀_x0008_＀＀_x0001_＀＀_x0001_＀＀_x0001_＀＀Ẹ롑䀄찀䆞丯_x0013_偃協偞偟䥒䕃㐨㜰〵착!＀＀ ＀＀	＀＀_x0008_＀＀_x0001_＀＀_x0001_＀＀_x0001_＀＀蔟凫麸䀦찀☬䵿"呁䍅䥞彂䅐䝖ㄨ⼰⼱〲㤰ㄬ⼲ㄳ㈯〰⤹ ＀＀ ＀＀_x0008_＀＀_x0008_＀＀_x0001_＀＀_x0001_＀＀_x0001_＀＀幆쓖⼂䀓䆝丯_x0016_呈剗䙞彆䅓䕌⡓䅃ⱌ䌰⥙ō＀＀ ＀＀ĵ＀＀_x0008_＀＀_x0001_＀＀_x0001_＀＀_x0001_＀＀_xDAE8_퀗锋䁋摦畳㩰⼯楤敲瑣潩獮䘯呁嘠敩敷㽲捡楴湯唽䑐呁♅牣慥潴㵲慦瑣敳♴奄彎剁升吽啒♅佄彃䅎䕍䘽呁䘺䱑䅟䑕呉义彇䱃䕉呎呟䵅䱐呁⹅䅆♔楤灳慬役瑳楲杮䄽摵瑩嘦剁䬺奅䤽䥊䅒䝎䍌♐䅖㩒啑剅㵙歒晚さ䵆噒潍け䵆䑌䑂南㵫圦义佄㵗䥆卒彔佐啐♐䕈䝉呈㐽〵圦䑉䡔㐽〵匦䅔呒䵟塁䵉婉䑅䘽䱁䕓嘦剁䌺䱁久䅄㵒单嘦剁区䵙佂㵌呈剗嘦剁䤺䑎塅〽찀됪丞"剘奁䥞彂䅐䝖ㄨ⼰⼱〲㤰ㄬ⼲ㄳ㈯〰⤹ ＀＀ ＀＀_x0008_＀＀_x0008_＀＀_x0001_＀＀_x0001_＀＀_x0001_＀＀Ỏը䂆䁁☬䵿!呁䍅䥞彂䅐䝖ㄨㄯ㈯〰ⰷ㈱㌯⼱〲㜰착 ＀＀ ＀＀_x0008_＀＀_x0008_＀＀_x0001_＀＀_x0001_＀＀_x0001_＀＀丅膶퀻䀏暍䷰ 䅖幒䉉偟噁⡇〱ㄯ㈯〰ⰹ⼹〳㈯㄰⤰ ＀＀ ＀＀_x0008_＀＀_x0008_＀＀_x0001_＀＀_x0001_＀＀_x0001_＀＀曐歪䁉䆝丯P䱁乇⡞䙆䑟䉅⡔瑱Ⱳ⤰䘭彆䅃䡓卟⡔呑ⱒ⤰䀩䘨彆䕄呂儨剔⴬䘱⥑䘭彆䅃䡓卟⡔呑ⱒㄭ兆⤩Ɲ＀＀ ＀＀ƅ＀＀_x0008_＀＀_x0001_＀＀_x0001_＀＀_x0001_＀＀뙆ﷳ仔쁴摦畳㩰⼯楤敲瑣潩獮䘯呁嘠敩敷㽲捡楴湯唽䑐呁♅牣慥潴㵲慦瑣敳♴奄彎剁升吽啒♅佄彃䅎䕍䘽呁䘺䱑䅟䑕呉义彇䱃䕉呎呟䵅䱐呁⹅䅆♔楤灳慬役瑳楲杮䄽摵瑩嘦剁䬺奅䴽䝘奘䥐坖♄䅖㩒啑剅㵙䍋䝨汒䔹啒啊䙋商楕睷卋䜱汒䐹噑䥎ㅘ啎䙋商楕睷卋䅬䕋䝚じ䙒汑潑噕卒䍌砰汒灅啌䝚じ䉎さ晨ㅕ潑噕卒䍌砰汒灅卋㵫圦义佄㵗䥆卒彔佐啐♐䕈䝉呈㐽〵圦䑉䡔㐽〵匦䅔呒䵟塁䵉婉䑅䘽䱁䕓嘦剁䌺䱁久䅄㵒单嘦剁区䵙佂㵌䱁乇嘦剁䤺䑎塅〽찀䆝丯_x0017_偃協䙞彆䅓䕌⡓䅃ⱌㄭ奃착ō＀＀ ＀＀ĵ＀＀_x0008_＀＀_x0001_＀＀_x0001_＀＀_x0001_＀＀⼛ⓝ洆䁠摦畳㩰⼯楤敲瑣潩獮䘯呁嘠敩敷㽲捡楴湯唽䑐呁♅牣慥潴㵲慦瑣敳♴奄彎剁升吽啒♅佄彃䅎䕍䘽呁䘺䱑䅟䑕呉义彇䱃䕉呎呟䵅䱐呁⹅䅆♔楤灳慬役瑳楲杮䄽摵瑩嘦剁䬺奅䄽佘䵌佈奚♘䅖㩒啑剅㵙歒晚さ䵆噒潍け䵆䍌砰ㅑ火圦义佄㵗䥆卒彔佐啐♐䕈䝉呈㐽〵圦䑉䡔㐽〵匦䅔呒䵟塁䵉婉䑅䘽䱁䕓嘦剁䌺䱁久䅄㵒单嘦剁区䵙佂㵌偃協嘦剁䤺䑎塅〽찀틍䷨_x000F_䅖幒䝆偟䥒䕃〨착 ＀＀ ＀＀_x0008_＀＀_x0008_＀＀_x0001_＀＀_x0001_＀＀_x0001_＀＀롒蔞釫䁐☬䵿"呁䍅䥞彂䅐䝖ㄨ⼰⼱〲㜰ㄬ⼲ㄳ㈯〰⤷ ＀＀ ＀＀_x0008_＀＀_x0008_＀＀_x0001_＀＀_x0001_＀＀_x0001_＀＀Ẋ᣸墬䀑䆢丯_x0016_剘奁䙞彆䅓䕌⡓䅃ⱌ䌰⥙ō＀＀ ＀＀ĵ＀＀_x0008_＀＀_x0001_＀＀_x0001_＀＀_x0001_＀＀ొ⬂娇䂡摦畳㩰⼯楤敲瑣潩獮䘯呁嘠敩敷㽲捡楴湯唽䑐呁♅牣慥潴㵲慦瑣敳♴奄彎剁升吽啒♅佄彃䅎䕍䘽呁䘺䱑䅟䑕呉义彇䱃䕉呎呟䵅䱐呁⹅䅆♔楤灳慬役瑳楲杮䄽摵瑩嘦剁䬺奅匽䝈䅊啄坎♘䅖㩒啑剅㵙歒晚さ䵆噒潍け䵆䑌䑂南㵫圦义佄㵗䥆卒彔佐啐♐䕈䝉呈㐽〵圦䑉䡔㐽〵匦䅔呒䵟塁䵉婉䑅䘽䱁䕓嘦剁䌺䱁久䅄㵒单嘦剁区䵙佂㵌剘奁嘦剁䤺䑎塅〽찀䆢丯A䙏塉䙞彅卅䥔䅍䕔✨䅓䕌❓✬䕍乁Ⱗ䌧䱁✴✬〲㈱Ⱗ低ⱗⰬⰧㅆ㌲䴽䩁✬착!＀＀ ＀＀	＀＀_x0008_＀＀_x0001_＀＀_x0001_＀＀_x0001_＀＀馚香䊙䂃찀䆡丯?佖䍌䙞彅卅䥔䅍䕔✨偅❓✬䕍乁Ⱗ䌧䱁✴✬〲ㄱⰧ低ⱗⰬⰧㅆ㌲䴽䩁✬착!＀＀ ＀＀	＀＀_x0008_＀＀_x0001_＀＀_x0001_＀＀_x0001_＀＀ᒓ䛽든㿊찀暍䷰_x001F_䅖幒䉉偟噁⡇⼴⼱〲〱㜬㌯⼱〲〱착 ＀＀ ＀＀_x0008_＀＀_x0008_＀＀_x0001_＀＀_x0001_＀＀_x0001_＀＀䞮竡긔䁊튢䷨_x000F_䭎幅䝆偟䥒䕃〨착 ＀＀ ＀＀_x0008_＀＀_x0008_＀＀_x0001_＀＀_x0001_＀＀_x0001_＀＀馚香䦙䁔됪丞"剘奁䥞彂䅐䝖ㄨ⼰⼱〲㜰ㄬ⼲ㄳ㈯〰⤷ ＀＀ ＀＀_x0008_＀＀_x0008_＀＀_x0001_＀＀_x0001_＀＀_x0001_＀＀T枌胐䁅䆠丯_x0012_呁䍅䙞彆偅⡓乁ⱎ⤰!＀＀ ＀＀	＀＀_x0008_＀＀_x0001_＀＀_x0001_＀＀_x0001_＀＀휊炣਽뿇찀䆞丯_x0011_坅偞偟䥒䕃㐨㜰〵착!＀＀ ＀＀	＀＀_x0008_＀＀_x0001_＀＀_x0001_＀＀_x0001_＀＀蔟凫纸䁒찀䆝丯S低乂䌭幈䘨彆䕄呂焨牴〬⴩䙆䍟十彈呓儨剔〬⤩⡀䙆䑟䉅⡔呑ⱒㄭ兆⴩䙆䍟十彈呓儨剔⴬䘱⥑착Ɵ＀＀ ＀＀Ƈ＀＀_x0008_＀＀_x0001_＀＀_x0001_＀＀_x0001_＀＀㥀剂ꥼ쀟摦畳㩰⼯楤敲瑣潩獮䘯呁嘠敩敷㽲捡楴湯唽䑐呁♅牣慥潴㵲慦瑣敳♴奄彎剁升吽啒♅佄彃䅎䕍䘽呁䘺䱑䅟䑕呉义彇䱃䕉呎呟䵅䱐呁⹅䅆♔楤灳慬役瑳楲杮䄽摵瑩嘦剁䬺奅䬽䅄䝘兂啐♈䅖㩒啑剅㵙䍋䝨汒䔹啒啊䙋商楕睷卋䜱汒䐹噑䥎ㅘ啎䙋商楕睷卋䅬䕋䝚じ䙒汑潑噕卒䍌砰汒灅啌䝚じ䉎さ晨ㅕ潑噕卒䍌砰汒灅卋㵫圦义佄㵗䥆卒彔佐啐♐䕈䝉呈㐽〵圦䑉䡔㐽〵匦䅔呒䵟塁䵉婉䑅䘽䱁䕓嘦剁䌺䱁久䅄㵒单嘦剁区䵙佂㵌㌷㔸㈷嘦剁䤺䑎塅〽찀删䷰ 䅖幒䉉偟噁⡇ㄱㄯ㈯〰ⰶ⼱ㄳ㈯〰⤷ ＀＀ ＀＀_x0008_＀＀_x0008_＀＀_x0001_＀＀_x0001_＀＀_x0001_＀＀둹쑱뱚䁈☬䵿!呁䍅䥞彂䅐䝖ㄨㄯ㈯〰ⰹ㈱㌯⼱〲㤰착 ＀＀ ＀＀_x0008_＀＀_x0008_＀＀_x0001_＀＀_x0001_＀＀_x0001_＀＀㙋갞䀊䆡丯_x0012_啎䅖䙞彆偅⡓乁ⱎ⤰!＀＀ ＀＀	＀＀_x0008_＀＀_x0001_＀＀_x0001_＀＀_x0001_＀＀롑蔞㿻찀昦䷰!䅖幒䉉偟噁⡇〱ㄯ㈯〰ⰷ㈱㌯⼱〲㜰착 ＀＀ ＀＀_x0008_＀＀_x0008_＀＀_x0001_＀＀_x0001_＀＀_x0001_＀＀鉺쵴䁇䆡丯_x0016_䡔剏䙞彆䅓䕌⡓䅃ⱌ䌰⥙ō＀＀ ＀＀ĵ＀＀_x0008_＀＀_x0001_＀＀_x0001_＀＀_x0001_＀＀뀡桲䁷摦畳㩰⼯楤敲瑣潩獮䘯呁嘠敩敷㽲捡楴湯唽䑐呁♅牣慥潴㵲慦瑣敳♴奄彎剁升吽啒♅佄彃䅎䕍䘽呁䘺䱑䅟䑕呉义彇䱃䕉呎呟䵅䱐呁⹅䅆♔楤灳慬役瑳楲杮䄽摵瑩嘦剁䬺奅䤽䵔䥒児䵒♚䅖㩒啑剅㵙歒晚さ䵆噒潍け䵆䑌䑂南㵫圦义佄㵗䥆卒彔佐啐♐䕈䝉呈㐽〵圦䑉䡔㐽〵匦䅔呒䵟塁䵉婉䑅䘽䱁䕓嘦剁䌺䱁久䅄㵒单嘦剁区䵙佂㵌䡔剏嘦剁䤺䑎塅〽찀䆞丯_x0013_啎䅖偞偟䥒䕃㐨㜰〵착!＀＀ ＀＀	＀＀_x0008_＀＀_x0001_＀＀_x0001_＀＀_x0001_＀＀ᑻ䞮竡䀾찀䆛丯A䱁乇䙞彅卅䥔䅍䕔✨䅓䕌❓✬䕍乁Ⱗ䌧䱁✴✬〲㈱Ⱗ低ⱗⰬⰧㅆ㌲䴽䩁✬착!＀＀ ＀＀	＀＀_x0008_＀＀_x0001_＀＀_x0001_＀＀_x0001_＀＀ᛰ偈㡼䂀찀䆞丯_x0013_䙏塉偞偟䥒䕃㐨㜰〵착!＀＀ ＀＀	＀＀_x0008_＀＀_x0001_＀＀_x0001_＀＀_x0001_＀＀蔟凫纸䁅찀紸丁 剁奁䥞彂䅐䝖㜨ㄯ㈯㄰ⰰ⼹〳㈯㄰⤰ ＀＀ ＀＀_x0008_＀＀_x0008_＀＀_x0001_＀＀_x0001_＀＀_x0001_＀＀漻덣産䀙☬䵿 呁䍅䥞彂䅐䝖㜨ㄯ㈯〰ⰸ⼹〳㈯〰⤸ ＀＀ ＀＀_x0008_＀＀_x0008_＀＀_x0001_＀＀_x0001_＀＀_x0001_＀＀뼦ᝅ䀒䆢丯A佖䍌䙞彅卅䥔䅍䕔✨䅓䕌❓✬䕍乁Ⱗ䌧䱁✴✬〲㈱Ⱗ低ⱗⰬⰧㅆ㌲䴽䩁✬착!＀＀ ＀＀	＀＀_x0008_＀＀_x0001_＀＀_x0001_＀＀_x0001_＀＀즅䁹찀䆢丯A啎䅖䙞彅卅䥔䅍䕔✨䅓䕌❓✬䕍乁Ⱗ䌧䱁✴✬〲㈱Ⱗ低ⱗⰬⰧㅆ㌲䴽䩁✬착!＀＀ ＀＀	＀＀_x0008_＀＀_x0001_＀＀_x0001_＀＀_x0001_＀＀_xD980_礽뗘䂂찀䆠丯P呁䍅⡞䙆䑟䉅⡔瑱Ⱳ⤰䘭彆䅃䡓卟⡔呑ⱒ⤰䀩䘨彆䕄呂儨剔⴬䘱⥑䘭彆䅃䡓卟⡔呑ⱒㄭ兆⤩Ɲ＀＀ ＀＀ƅ＀＀_x0008_＀＀_x0001_＀＀_x0001_＀＀_x0001_＀＀퓽楸䀨摦畳㩰⼯楤敲瑣潩獮䘯呁嘠敩敷㽲捡楴湯唽䑐呁♅牣慥潴㵲慦瑣敳♴奄彎剁升吽啒♅佄彃䅎䕍䘽呁䘺䱑䅟䑕呉义彇䱃䕉呎呟䵅䱐呁⹅䅆♔楤灳慬役瑳楲杮䄽摵瑩嘦剁䬺奅䌽䥄佐䕔䍊♚䅖㩒啑剅㵙䍋䝨汒䔹啒啊䙋商楕睷卋䜱汒䐹噑䥎ㅘ啎䙋商楕睷卋䅬䕋䝚じ䙒汑潑噕卒䍌砰汒灅啌䝚じ䉎さ晨ㅕ潑噕卒䍌砰汒灅卋㵫圦义佄㵗䥆卒彔佐啐♐䕈䝉呈㐽〵圦䑉䡔㐽〵匦䅔呒䵟塁䵉婉䑅䘽䱁䕓嘦剁䌺䱁久䅄㵒单嘦剁区䵙佂㵌呁䍅嘦剁䤺䑎塅〽찀㝾䷻ 剁奁䥞彂䅐䝖㔨ㄯ㈯〰ⰶ⼶〳㈯〰⤷ ＀＀ ＀＀_x0008_＀＀_x0008_＀＀_x0001_＀＀_x0001_＀＀_x0001_＀＀鉺쵴⏤䀸暍䷰ 䅖幒䉉偟噁⡇〱ㄯ㈯〰ⰷ⼹〳㈯〰⤸ ＀＀ ＀＀_x0008_＀＀_x0008_＀＀_x0001_＀＀_x0001_＀＀_x0001_＀＀ᆇ쟂䁉㠹䷻ 剁奁䥞彂䅐䝖ㄨㄯ㈯㄰ⰱ⼳ㄳ㈯㄰⤱ ＀＀ ＀＀_x0008_＀＀_x0008_＀＀_x0001_＀＀_x0001_＀＀_x0001_＀＀驳_xDA05_初䀡暍䷰!䅖幒䉉偟噁⡇〱ㄯ㈯〰ⰹ㈱㌯⼱〲㤰착 ＀＀ ＀＀_x0008_＀＀_x0008_＀＀_x0001_＀＀_x0001_＀＀_x0001_＀＀䪢ọᥨ䁆퐟䷨!呁䍅䥞彂䅐䝖㠨ㄯ㈯㄰ⰰ〱㌯⼱〲〱착 ＀＀ ＀＀_x0008_＀＀_x0008_＀＀_x0001_＀＀_x0001_＀＀_x0001_＀＀猕琐઴䀃☬䵿 呁䍅䥞彂䅐䝖ㄨㄯ㈯〰ⰹ⼳ㄳ㈯〰⤹ ＀＀ ＀＀_x0008_＀＀_x0008_＀＀_x0001_＀＀_x0001_＀＀_x0001_＀＀艚肌✊䀀펚䷨!呁䍅䥞彂䅐䝖ㄨ⼱⼱〲㘰ㄬ㌯⼱〲㜰착 ＀＀ ＀＀_x0008_＀＀_x0008_＀＀_x0001_＀＀_x0001_＀＀_x0001_＀＀拏鈩ү䀎䆝丯S呓乍䌭幈䘨彆䕄呂焨牴〬⴩䙆䍟十彈呓儨剔〬⤩⡀䙆䑟䉅⡔呑ⱒㄭ兆⴩䙆䍟十彈呓儨剔⴬䘱⥑착Ɵ＀＀ ＀＀Ƈ＀＀_x0008_＀＀_x0001_＀＀_x0001_＀＀_x0001_＀＀豀碵꼝쐕摦畳㩰⼯楤敲瑣潩獮䘯呁嘠敩敷㽲捡楴湯唽䑐呁♅牣慥潴㵲慦瑣敳♴奄彎剁升吽啒♅佄彃䅎䕍䘽呁䘺䱑䅟䑕呉义彇䱃䕉呎呟䵅䱐呁⹅䅆♔楤灳慬役瑳楲杮䄽摵瑩嘦剁䬺奅圽䝒䭚䵄啎♎䅖㩒啑剅㵙䍋䝨汒䔹啒啊䙋商楕睷卋䜱汒䐹噑䥎ㅘ啎䙋商楕睷卋䅬䕋䝚じ䙒汑潑噕卒䍌砰汒灅啌䝚じ䉎さ晨ㅕ潑噕卒䍌砰汒灅卋㵫圦义佄㵗䥆卒彔佐啐♐䕈䝉呈㐽〵圦䑉䡔㐽〵匦䅔呒䵟塁䵉婉䑅䘽䱁䕓嘦剁䌺䱁久䅄㵒单嘦剁区䵙佂㵌ㄷ㘵㌸嘦剁䤺䑎塅〽찀폵䷨ 呁䍅䥞彂䅐䝖㈨ㄯ㈯〰ⰹ⼴〳㈯〰⤹ ＀＀ ＀＀_x0008_＀＀_x0008_＀＀_x0001_＀＀_x0001_＀＀_x0001_＀＀⤟쌢鸪㿼暍䷰ 䅖幒䉉偟噁⡇⼸⼱〲〱ㄬ⼰ㄳ㈯㄰⤰ ＀＀ ＀＀_x0008_＀＀_x0008_＀＀_x0001_＀＀_x0001_＀＀_x0001_＀＀펚ㅥᶱ䁍䆣丯?⸴㈹䙞彅卅䥔䅍䕔✨偅❓✬䕍乁Ⱗ䌧䱁✴✬〲㈱Ⱗ低ⱗⰬⰧㅆ㌲䴽䩁✬착_x001D_＀＀ ＀＀_x0005_＀＀_x0004_＀＀_x0001_＀＀_x0001_＀＀_x0008_＀＀乀A찀틶䷨"呁䍅䥞彂䅐䝖ㄨ⼱⼱〲㜰ㄬ⼰ㄳ㈯〰⤷ ＀＀ ＀＀_x0008_＀＀_x0008_＀＀_x0001_＀＀_x0001_＀＀_x0001_＀＀⣶轜䀐됪丞 剘奁䥞彂䅐䝖㜨ㄯ㈯㄰ⰰ⼹〳㈯㄰⤰ ＀＀ ＀＀_x0008_＀＀_x0008_＀＀_x0001_＀＀_x0001_＀＀_x0001_＀＀㍞曹᎛䀾䆡丯_x0012_協乏䙞彆偅⡓乁ⱎ⤰!＀＀ ＀＀	＀＀_x0008_＀＀_x0001_＀＀_x0001_＀＀_x0001_＀＀긔ᑺ뿮찀䆢丯A呁䍅䙞彅卅䥔䅍䕔✨䅓䕌❓✬䕍乁Ⱗ䌧䱁✴✬〲㈱Ⱗ低ⱗⰬⰧㅆ㌲䴽䩁✬착!＀＀ ＀＀	＀＀_x0008_＀＀_x0001_＀＀_x0001_＀＀_x0001_＀＀ꊝ뤣䟼䁫찀䆝丯P䱅塇⡞䙆䑟䉅⡔瑱Ⱳ⤰䘭彆䅃䡓卟⡔呑ⱒ⤰䀩䘨彆䕄呂儨剔⴬䘱⥑䘭彆䅃䡓卟⡔呑ⱒㄭ兆⤩Ɲ＀＀ ＀＀ƅ＀＀_x0008_＀＀_x0001_＀＀_x0001_＀＀_x0001_＀＀才堐␹쁁摦畳㩰⼯楤敲瑣潩獮䘯呁嘠敩敷㽲捡楴湯唽䑐呁♅牣慥潴㵲慦瑣敳♴奄彎剁升吽啒♅佄彃䅎䕍䘽呁䘺䱑䅟䑕呉义彇䱃䕉呎呟䵅䱐呁⹅䅆♔楤灳慬役瑳楲杮䄽摵瑩嘦剁䬺奅䬽䍐党佒䥒♆䅖㩒啑剅㵙䍋䝨汒䔹啒啊䙋商楕睷卋䜱汒䐹噑䥎ㅘ啎䙋商楕睷卋䅬䕋䝚じ䙒汑潑噕卒䍌砰汒灅啌䝚じ䉎さ晨ㅕ潑噕卒䍌砰汒灅卋㵫圦义佄㵗䥆卒彔佐啐♐䕈䝉呈㐽〵圦䑉䡔㐽〵匦䅔呒䵟塁䵉婉䑅䘽䱁䕓嘦剁䌺䱁久䅄㵒单嘦剁区䵙佂㵌䱅塇嘦剁䤺䑎塅〽찀폵䷨!呁䍅䥞彂䅐䝖㠨ㄯ㈯〰ⰹ〱㌯⼱〲㤰착 ＀＀ ＀＀_x0008_＀＀_x0008_＀＀_x0001_＀＀_x0001_＀＀_x0001_＀＀ꫣ肊䀒䆡丯P啎䅖⡞䙆䑟䉅⡔瑱Ⱳ⤰䘭彆䅃䡓卟⡔呑ⱒ⤰䀩䘨彆䕄呂儨剔⴬䘱⥑䘭彆䅃䡓卟⡔呑ⱒㄭ兆⤩Ɲ＀＀ ＀＀ƅ＀＀_x0008_＀＀_x0001_＀＀_x0001_＀＀_x0001_＀＀픀ᄦ䀸摦畳㩰⼯楤敲瑣潩獮䘯呁嘠敩敷㽲捡楴湯唽䑐呁♅牣慥潴㵲慦瑣敳♴奄彎剁升吽啒♅佄彃䅎䕍䘽呁䘺䱑䅟䑕呉义彇䱃䕉呎呟䵅䱐呁⹅䅆♔楤灳慬役瑳楲杮䄽摵瑩嘦剁䬺奅匽䕔卄兂䍆♒䅖㩒啑剅㵙䍋䝨汒䔹啒啊䙋商楕睷卋䜱汒䐹噑䥎ㅘ啎䙋商楕睷卋䅬䕋䝚じ䙒汑潑噕卒䍌砰汒灅啌䝚じ䉎さ晨ㅕ潑噕卒䍌砰汒灅卋㵫圦义佄㵗䥆卒彔佐啐♐䕈䝉呈㐽〵圦䑉䡔㐽〵匦䅔呒䵟塁䵉婉䑅䘽䱁䕓嘦剁䌺䱁久䅄㵒单嘦剁区䵙佂㵌啎䅖嘦剁䤺䑎塅〽찀됪丞 剘奁䥞彂䅐䝖ㄨㄯ㈯㄰ⰱ⼳ㄳ㈯㄰⤱ ＀＀ ＀＀_x0008_＀＀_x0008_＀＀_x0001_＀＀_x0001_＀＀_x0001_＀＀⊒갲᧢䁂䆝丯_x0016_呓乍䌭幈䝆䵟呋噟䱁䕕⤨!＀＀ ＀＀	＀＀_x0008_＀＀_x0001_＀＀_x0001_＀＀_x0001_＀＀ꐿ惿䂧찀㠛䷻ 剁奁䥞彂䅐䝖㘨ㄯ㈯〰ⰹ⼹〳㈯〰⤹ ＀＀ ＀＀_x0008_＀＀_x0008_＀＀_x0001_＀＀_x0001_＀＀_x0001_＀＀볟䀚暍䷰ 䅖幒䉉偟噁⡇⼸⼱〲㤰ㄬ⼰ㄳ㈯〰⤹ ＀＀ ＀＀_x0008_＀＀_x0008_＀＀_x0001_＀＀_x0001_＀＀_x0001_＀＀䥢䁄䆠丯P剁䍔⡞䙆䑟䉅⡔瑱Ⱳ⤰䘭彆䅃䡓卟⡔呑ⱒ⤰䀩䘨彆䕄呂儨剔⴬䘱⥑䘭彆䅃䡓卟⡔呑ⱒㄭ兆⤩Ɲ＀＀ ＀＀ƅ＀＀_x0008_＀＀_x0001_＀＀_x0001_＀＀_x0001_＀＀犰酨热쁢摦畳㩰⼯楤敲瑣潩獮䘯呁嘠敩敷㽲捡楴湯唽䑐呁♅牣慥潴㵲慦瑣敳♴奄彎剁升吽啒♅佄彃䅎䕍䘽呁䘺䱑䅟䑕呉义彇䱃䕉呎呟䵅䱐呁⹅䅆♔楤灳慬役瑳楲杮䄽摵瑩嘦剁䬺奅䔽佘半䕆児♚䅖㩒啑剅㵙䍋䝨汒䔹啒啊䙋商楕睷卋䜱汒䐹噑䥎ㅘ啎䙋商楕睷卋䅬䕋䝚じ䙒汑潑噕卒䍌砰汒灅啌䝚じ䉎さ晨ㅕ潑噕卒䍌砰汒灅卋㵫圦义佄㵗䥆卒彔佐啐♐䕈䝉呈㐽〵圦䑉䡔㐽〵匦䅔呒䵟塁䵉婉䑅䘽䱁䕓嘦剁䌺䱁久䅄㵒单嘦剁区䵙佂㵌剁䍔嘦剁䤺䑎塅〽찀䆡丯_x0017_䙏塉䙞彆䅓䕌⡓䅃ⱌㄭ奃착ō＀＀ ＀＀ĵ＀＀_x0008_＀＀_x0001_＀＀_x0001_＀＀_x0001_＀＀䞯竡ഔ䂁摦畳㩰⼯楤敲瑣潩獮䘯呁嘠敩敷㽲捡楴湯唽䑐呁♅牣慥潴㵲慦瑣敳♴奄彎剁升吽啒♅佄彃䅎䕍䘽呁䘺䱑䅟䑕呉义彇䱃䕉呎呟䵅䱐呁⹅䅆♔楤灳慬役瑳楲杮䄽摵瑩嘦剁䬺奅儽䭒䭐坄䥄♂䅖㩒啑剅㵙歒晚さ䵆噒潍け䵆䍌砰ㅑ火圦义佄㵗䥆卒彔佐啐♐䕈䝉呈㐽〵圦䑉䡔㐽〵匦䅔呒䵟塁䵉婉䑅䘽䱁䕓嘦剁䌺䱁久䅄㵒单嘦剁区䵙佂㵌䙏塉嘦剁䤺䑎塅〽찀☬䵿 呁䍅䥞彂䅐䝖㐨ㄯ㈯〰ⰹ⼶〳㈯〰⤹ ＀＀ ＀＀_x0008_＀＀_x0008_＀＀_x0001_＀＀_x0001_＀＀_x0001_＀＀鮦⃄犰䀂펚䷨!呁䍅䥞彂䅐䝖㠨ㄯ㈯〰ⰷ〱㌯⼱〲㜰착 ＀＀ ＀＀_x0008_＀＀_x0008_＀＀_x0001_＀＀_x0001_＀＀_x0001_＀＀밴荙헷䀎᥋丈 剁奁䥞彂䅐䝖㜨ㄯ㈯〰ⰸ⼶〳㈯〰⤹ ＀＀ ＀＀_x0008_＀＀_x0008_＀＀_x0001_＀＀_x0001_＀＀_x0001_＀＀ᝮ숴䀘䆝丯_x0017_䱅塇䙞彆䅓䕌⡓䅃ⱌㄭ奃착ō＀＀ ＀＀ĵ＀＀_x0008_＀＀_x0001_＀＀_x0001_＀＀_x0001_＀＀쒜뀠㡲䁊摦畳㩰⼯楤敲瑣潩獮䘯呁嘠敩敷㽲捡楴湯唽䑐呁♅牣慥潴㵲慦瑣敳♴奄彎剁升吽啒♅佄彃䅎䕍䘽呁䘺䱑䅟䑕呉义彇䱃䕉呎呟䵅䱐呁⹅䅆♔楤灳慬役瑳楲杮䄽摵瑩嘦剁䬺奅䄽䝎卖䥐啐♐䅖㩒啑剅㵙歒晚さ䵆噒潍け䵆䍌砰ㅑ火圦义佄㵗䥆卒彔佐啐♐䕈䝉呈㐽〵圦䑉䡔㐽〵匦䅔呒䵟塁䵉婉䑅䘽䱁䕓嘦剁䌺䱁久䅄㵒单嘦剁区䵙佂㵌䱅塇嘦剁䤺䑎塅〽찀폄䷨"呁䍅䥞彂䅐䝖ㄨ⼱⼱〲㜰ㄬ⼰ㄳ㈯〰⤸ ＀＀ ＀＀_x0008_＀＀_x0008_＀＀_x0001_＀＀_x0001_＀＀_x0001_＀＀噹諒࡯䀓䆢丯A剘奁䙞彅卅䥔䅍䕔✨䅓䕌❓✬䕍乁Ⱗ䌧䱁✴✬〲ㄱⰧ低ⱗⰬⰧㅆ㌲䴽䩁✬착!＀＀ ＀＀	＀＀_x0008_＀＀_x0001_＀＀_x0001_＀＀_x0001_＀＀䎖沋눧䂡찀劌䷰ 䅖幒䉉偟噁⡇⼸⼱〲㜰ㄬ⼰ㄳ㈯〰⤷ ＀＀ ＀＀_x0008_＀＀_x0008_＀＀_x0001_＀＀_x0001_＀＀_x0001_＀＀_xDDEC_䁄䆛丯_x0013_䥓佒偞偟䥒䕃㐨㜰〵착!＀＀ ＀＀	＀＀_x0008_＀＀_x0001_＀＀_x0001_＀＀_x0001_＀＀ᑺ䞮䁊찀䆢丯@䍋幉䕆䕟呓䵉呁⡅匧䱁卅Ⱗ䴧䅅❎✬䅃㑌Ⱗ㈧㄰✱丬坏Ⱜ✬䘬㈱㴳䅍ⱊ⤧!＀＀ ＀＀	＀＀_x0008_＀＀_x0001_＀＀_x0001_＀＀_x0001_＀＀譄夻䂠찀劌䷰_x001F_䅖幒䉉偟噁⡇⼱⼱〲㜰㌬㌯⼱〲㜰착 ＀＀ ＀＀_x0008_＀＀_x0008_＀＀_x0001_＀＀_x0001_＀＀_x0001_＀＀╜᱘䁇됪丞!剘奁䥞彂䅐䝖ㄨㄯ㈯〰ⰸ㈱㌯⼱〲㠰착 ＀＀ ＀＀_x0008_＀＀_x0008_＀＀_x0001_＀＀_x0001_＀＀_x0001_＀＀༓鬨畲䁂䆞丯_x0013_䱅塇偞偟䥒䕃㐨㜰〵착!＀＀ ＀＀	＀＀_x0008_＀＀_x0001_＀＀_x0001_＀＀_x0001_＀＀ꏗ㵰휊䀡찀䆡丯_x0016_䙏塉䙞彆䅓䕌⡓䅃ⱌ䌰⥙ō＀＀ ＀＀ĵ＀＀_x0008_＀＀_x0001_＀＀_x0001_＀＀_x0001_＀＀尨슏ꋵ䂁摦畳㩰⼯楤敲瑣潩獮䘯呁嘠敩敷㽲捡楴湯唽䑐呁♅牣慥潴㵲慦瑣敳♴奄彎剁升吽啒♅佄彃䅎䕍䘽呁䘺䱑䅟䑕呉义彇䱃䕉呎呟䵅䱐呁⹅䅆♔楤灳慬役瑳楲杮䄽摵瑩嘦剁䬺奅䤽䥆䭔啖䵎♘䅖㩒啑剅㵙歒晚さ䵆噒潍け䵆䑌䑂南㵫圦义佄㵗䥆卒彔佐啐♐䕈䝉呈㐽〵圦䑉䡔㐽〵匦䅔呒䵟塁䵉婉䑅䘽䱁䕓嘦剁䌺䱁久䅄㵒单嘦剁区䵙佂㵌䙏塉嘦剁䤺䑎塅〽찀䆟丯_x0012_䍋幉䝆䵟呋噟䱁䕕⤨!＀＀ ＀＀	＀＀_x0008_＀＀_x0001_＀＀_x0001_＀＀_x0001_＀＀凬Ẹ孵䂳찀昦䷰_x001F_䅖幒䉉偟噁⡇⼴⼱〲㠰㜬㌯⼱〲㠰착 ＀＀ ＀＀_x0008_＀＀_x0008_＀＀_x0001_＀＀_x0001_＀＀_x0001_＀＀犰酨곭䁈䆝丯_x0016_偃協䙞彆䅓䕌⡓䅃ⱌ䌰⥙ō＀＀ ＀＀ĵ＀＀_x0008_＀＀_x0001_＀＀_x0001_＀＀_x0001_＀＀롑锞䁡摦畳㩰⼯楤敲瑣潩獮䘯呁嘠敩敷㽲捡楴湯唽䑐呁♅牣慥潴㵲慦瑣敳♴奄彎剁升吽啒♅佄彃䅎䕍䘽呁䘺䱑䅟䑕呉义彇䱃䕉呎呟䵅䱐呁⹅䅆♔楤灳慬役瑳楲杮䄽摵瑩嘦剁䬺奅䜽協䝎䅌協♈䅖㩒啑剅㵙歒晚さ䵆噒潍け䵆䑌䑂南㵫圦义佄㵗䥆卒彔佐啐♐䕈䝉呈㐽〵圦䑉䡔㐽〵匦䅔呒䵟塁䵉婉䑅䘽䱁䕓嘦剁䌺䱁久䅄㵒单嘦剁区䵙佂㵌偃協嘦剁䤺䑎塅〽찀퐟䷨ 呁䍅䥞彂䅐䝖㈨ㄯ㈯㄰ⰰ⼴〳㈯㄰⤰ ＀＀ ＀＀_x0008_＀＀_x0008_＀＀_x0001_＀＀_x0001_＀＀_x0001_＀＀_xDE09_䚐ฅ䀗䆞丯_x0013_䉁䑍偞偟䥒䕃㐨㜰〵착!＀＀ ＀＀	＀＀_x0008_＀＀_x0001_＀＀_x0001_＀＀_x0001_＀＀馚香妙䀰찀紹丁 剁奁䥞彂䅐䝖㜨ㄯ㈯〰ⰸ⼹〳㈯〰⤸ ＀＀ ＀＀_x0008_＀＀_x0008_＀＀_x0001_＀＀_x0001_＀＀_x0001_＀＀ᚘ䧵î䀠䆡丯P協乏⡞䙆䑟䉅⡔瑱Ⱳ⤰䘭彆䅃䡓卟⡔呑ⱒ⤰䀩䘨彆䕄呂儨剔⴬䘱⥑䘭彆䅃䡓卟⡔呑ⱒㄭ兆⤩Ɲ＀＀ ＀＀ƅ＀＀_x0008_＀＀_x0001_＀＀_x0001_＀＀_x0001_＀＀퓾䄦쁂摦畳㩰⼯楤敲瑣潩獮䘯呁嘠敩敷㽲捡楴湯唽䑐呁♅牣慥潴㵲慦瑣敳♴奄彎剁升吽啒♅佄彃䅎䕍䘽呁䘺䱑䅟䑕呉义彇䱃䕉呎呟䵅䱐呁⹅䅆♔楤灳慬役瑳楲杮䄽摵瑩嘦剁䬺奅䄽卐䥌䕄佊♚䅖㩒啑剅㵙䍋䝨汒䔹啒啊䙋商楕睷卋䜱汒䐹噑䥎ㅘ啎䙋商楕睷卋䅬䕋䝚じ䙒汑潑噕卒䍌砰汒灅啌䝚じ䉎さ晨ㅕ潑噕卒䍌砰汒灅卋㵫圦义佄㵗䥆卒彔佐啐♐䕈䝉呈㐽〵圦䑉䡔㐽〵匦䅔呒䵟塁䵉婉䑅䘽䱁䕓嘦剁䌺䱁久䅄㵒单嘦剁区䵙佂㵌協乏嘦剁䤺䑎塅〽찀㟛䷻ 剁奁䥞彂䅐䝖ㄨㄯ㈯〰ⰹ⼳ㄳ㈯〰⤹ ＀＀ ＀＀_x0008_＀＀_x0008_＀＀_x0001_＀＀_x0001_＀＀_x0001_＀＀䄭䁆펅䀔䆛丯A䥓佒䙞彅卅䥔䅍䕔✨䅓䕌❓✬䕍乁Ⱗ䌧䱁✴✬〲㈱Ⱗ低ⱗⰬⰧㅆ㌲䴽䩁✬착!＀＀ ＀＀	＀＀_x0008_＀＀_x0001_＀＀_x0001_＀＀_x0001_＀＀묰༧ﮋ䂍찀㠸䷻ 剁奁䥞彂䅐䝖㘨ㄯ㈯㄰ⰰ⼹〳㈯㄰⤰ ＀＀ ＀＀_x0008_＀＀_x0008_＀＀_x0001_＀＀_x0001_＀＀_x0001_＀＀脸듩덮䀙䆡丯_x0017_佐䑄䙞彆䅓䕌⡓䅃ⱌㄭ奃착ō＀＀ ＀＀ĵ＀＀_x0008_＀＀_x0001_＀＀_x0001_＀＀_x0001_＀＀帵䦺舌䁐摦畳㩰⼯楤敲瑣潩獮䘯呁嘠敩敷㽲捡楴湯唽䑐呁♅牣慥潴㵲慦瑣敳♴奄彎剁升吽啒♅佄彃䅎䕍䘽呁䘺䱑䅟䑕呉义彇䱃䕉呎呟䵅䱐呁⹅䅆♔楤灳慬役瑳楲杮䄽摵瑩嘦剁䬺奅䬽䥚䍘䥐啎♆䅖㩒啑剅㵙歒晚さ䵆噒潍け䵆䍌砰ㅑ火圦义佄㵗䥆卒彔佐啐♐䕈䝉呈㐽〵圦䑉䡔㐽〵匦䅔呒䵟塁䵉婉䑅䘽䱁䕓嘦剁䌺䱁久䅄㵒单嘦剁区䵙佂㵌佐䑄嘦剁䤺䑎塅〽찀䆠丯_x0012_呈剗䙞彆偅⡓乁ⱎ⤰!＀＀ ＀＀	＀＀_x0008_＀＀_x0001_＀＀_x0001_＀＀_x0001_＀＀轜尨쀁찀폵䷨ 呁䍅䥞彂䅐䝖㔨ㄯ㈯〰ⰹ⼷ㄳ㈯〰⤹ ＀＀ ＀＀_x0008_＀＀_x0008_＀＀_x0001_＀＀_x0001_＀＀_x0001_＀＀䄃ಀ묝䀆䆠丯_x0013_佖䍌䙞彇䭍彔䅖啌⡅착!＀＀ ＀＀	＀＀_x0008_＀＀_x0001_＀＀_x0001_＀＀_x0001_＀＀ῲ㛒䂚찀䆞丯A呈剗䙞彅卅䥔䅍䕔✨䅓䕌❓✬䕍乁Ⱗ䌧䱁✴✬〲ㄱⰧ低ⱗⰬⰧㅆ㌲䴽䩁✬착!＀＀ ＀＀	＀＀_x0008_＀＀_x0001_＀＀_x0001_＀＀_x0001_＀＀福렧潘䁕찀☬䵿 呁䍅䥞彂䅐䝖ㄨㄯ㈯㄰ⰰ⼳ㄳ㈯㄰⤰ ＀＀ ＀＀_x0008_＀＀_x0008_＀＀_x0001_＀＀_x0001_＀＀_x0001_＀＀✗_xDABE_䱑䀕䆡丯_x0016_啎䅖䙞彆䅓䕌⡓䅃ⱌ䌰⥙ō＀＀ ＀＀ĵ＀＀_x0008_＀＀_x0001_＀＀_x0001_＀＀_x0001_＀＀ቯ삃䁽摦畳㩰⼯楤敲瑣潩獮䘯呁嘠敩敷㽲捡楴湯唽䑐呁♅牣慥潴㵲慦瑣敳♴奄彎剁升吽啒♅佄彃䅎䕍䘽呁䘺䱑䅟䑕呉义彇䱃䕉呎呟䵅䱐呁⹅䅆♔楤灳慬役瑳楲杮䄽摵瑩嘦剁䬺奅䔽啎佌児坔♔䅖㩒啑剅㵙歒晚さ䵆噒潍け䵆䑌䑂南㵫圦义佄㵗䥆卒彔佐啐♐䕈䝉呈㐽〵圦䑉䡔㐽〵匦䅔呒䵟塁䵉婉䑅䘽䱁䕓嘦剁䌺䱁久䅄㵒单嘦剁区䵙佂㵌啎䅖嘦剁䤺䑎塅〽찀됪丞 剘奁䥞彂䅐䝖㜨ㄯ㈯〰ⰸ⼹〳㈯〰⤸ ＀＀ ＀＀_x0008_＀＀_x0008_＀＀_x0001_＀＀_x0001_＀＀_x0001_＀＀銣ĺ衍䁃م䵿_x0010_呁䍅䙞彇剐䍉⡅⤰ ＀＀ ＀＀_x0008_＀＀_x0008_＀＀_x0001_＀＀_x0001_＀＀_x0001_＀＀竡긔䀄䆡丯_x0017_協乏䙞彆䅓䕌⡓䅃ⱌㄭ奃착ō＀＀ ＀＀ĵ＀＀_x0008_＀＀_x0001_＀＀_x0001_＀＀_x0001_＀＀_xDF3B_赏캗䀽摦畳㩰⼯楤敲瑣潩獮䘯呁嘠敩敷㽲捡楴湯唽䑐呁♅牣慥潴㵲慦瑣敳♴奄彎剁升吽啒♅佄彃䅎䕍䘽呁䘺䱑䅟䑕呉义彇䱃䕉呎呟䵅䱐呁⹅䅆♔楤灳慬役瑳楲杮䄽摵瑩嘦剁䬺奅夽卄䵆䕖坈♐䅖㩒啑剅㵙歒晚さ䵆噒潍け䵆䍌砰ㅑ火圦义佄㵗䥆卒彔佐啐♐䕈䝉呈㐽〵圦䑉䡔㐽〵匦䅔呒䵟塁䵉婉䑅䘽䱁䕓嘦剁䌺䱁久䅄㵒单嘦剁区䵙佂㵌協乏嘦剁䤺䑎塅〽찀䆝丯A偃協䙞彅卅䥔䅍䕔✨䅓䕌❓✬䕍乁Ⱗ䌧䱁✴✬〲㈱Ⱗ低ⱗⰬⰧㅆ㌲䴽䩁✬착!＀＀ ＀＀	＀＀_x0008_＀＀_x0001_＀＀_x0001_＀＀_x0001_＀＀_xDD2F_ؤ鶁䁡찀䆢丯A䙏塉䙞彅卅䥔䅍䕔✨䅓䕌❓✬䕍乁Ⱗ䌧䱁✴✬〲ㄱⰧ低ⱗⰬⰧㅆ㌲䴽䩁✬착!＀＀ ＀＀	＀＀_x0008_＀＀_x0001_＀＀_x0001_＀＀_x0001_＀＀冃鵉Ⰰ䂂찀됪丞 剘奁䥞彂䅐䝖ㄨㄯ㈯〰ⰹ⼳ㄳ㈯〰⤹ ＀＀ ＀＀_x0008_＀＀_x0008_＀＀_x0001_＀＀_x0001_＀＀_x0001_＀＀㪨曤䀹䆢丯A剁䍔䙞彅卅䥔䅍䕔✨䅓䕌❓✬䕍乁Ⱗ䌧䱁✴✬〲㈱Ⱗ低ⱗⰬⰧㅆ㌲䴽䩁✬착!＀＀ ＀＀	＀＀_x0008_＀＀_x0001_＀＀_x0001_＀＀_x0001_＀＀즅꥔䁸찀䆞丯_x0013_呁䍅偞偟䥒䕃㐨㜰〵착!＀＀ ＀＀	＀＀_x0008_＀＀_x0001_＀＀_x0001_＀＀_x0001_＀＀㵱휊炣䀇찀䆠丯&gt;䍋幉䕆䕟呓䵉呁⡅䔧卐Ⱗ䴧䅅❎✬䅃㑌Ⱗ㈧㄰✱丬坏Ⱜ✬䘬㈱㴳䅍ⱊ⤧!＀＀ ＀＀	＀＀_x0008_＀＀_x0001_＀＀_x0001_＀＀_x0001_＀＀ొ⬂ᚇ䀔찀䆛丯A䱁乇䙞彅卅䥔䅍䕔✨䅓䕌❓✬䕍乁Ⱗ䌧䱁✴✬〲ㄱⰧ低ⱗⰬⰧㅆ㌲䴽䩁✬착!＀＀ ＀＀	＀＀_x0008_＀＀_x0001_＀＀_x0001_＀＀_x0001_＀＀ꦓ冂彉䁼찀䆞丯_x0013_協乏偞偟䥒䕃㐨㜰〵착!＀＀ ＀＀	＀＀_x0008_＀＀_x0001_＀＀_x0001_＀＀_x0001_＀＀䞮竡긔䀓찀㟛䷻ 剁奁䥞彂䅐䝖㐨ㄯ㈯〰ⰹ⼶〳㈯〰⤹ ＀＀ ＀＀_x0008_＀＀_x0008_＀＀_x0001_＀＀_x0001_＀＀_x0001_＀＀됃暭솝䀘䆝丯?䱅塇䙞彅卅䥔䅍䕔✨偅❓✬䕍乁Ⱗ䌧䱁✴✬〲ㄱⰧ低ⱗⰬⰧㅆ㌲䴽䩁✬착!＀＀ ＀＀	＀＀_x0008_＀＀_x0001_＀＀_x0001_＀＀_x0001_＀＀긕ᑺ뿞찀퐵䷨!呁䍅䥞彂䅐䝖ㄨ⼱⼱〲〱ㄬ㌯⼱〲ㄱ착 ＀＀ ＀＀_x0008_＀＀_x0008_＀＀_x0001_＀＀_x0001_＀＀_x0001_＀＀岉ٰ὿䀃䆠丯?䡔剏䙞彅卅䥔䅍䕔✨偅❓✬䕍乁Ⱗ䌧䱁✴✬〲ㄱⰧ低ⱗⰬⰧㅆ㌲䴽䩁✬착!＀＀ ＀＀	＀＀_x0008_＀＀_x0001_＀＀_x0001_＀＀_x0001_＀＀䁨ᦽ鼵㿶찀☬䵿 呁䍅䥞彂䅐䝖㐨ㄯ㈯㄰ⰰ⼶〳㈯㄰⤰ ＀＀ ＀＀_x0008_＀＀_x0008_＀＀_x0001_＀＀_x0001_＀＀_x0001_＀＀⺭ҧ쓄䀖䆞丯_x0013_呈剗偞偟䥒䕃㐨㜰〵착!＀＀ ＀＀	＀＀_x0008_＀＀_x0001_＀＀_x0001_＀＀_x0001_＀＀尩슏_xD8F5_䁑찀䆢丯A協乏䙞彅卅䥔䅍䕔✨䅓䕌❓✬䕍乁Ⱗ䌧䱁✴✬〲㈱Ⱗ低ⱗⰬⰧㅆ㌲䴽䩁✬착!＀＀ ＀＀	＀＀_x0008_＀＀_x0001_＀＀_x0001_＀＀_x0001_＀＀嘄ⴎ඲䀼찀䆝丯N坅⡞䙆䑟䉅⡔瑱Ⱳ⤰䘭彆䅃䡓卟⡔呑ⱒ⤰䀩䘨彆䕄呂儨剔⴬䘱⥑䘭彆䅃䡓卟⡔呑ⱒㄭ兆⤩ƛ＀＀ ＀＀ƃ＀＀_x0008_＀＀_x0001_＀＀_x0001_＀＀_x0001_＀＀晦晦噦쁲摦畳㩰⼯楤敲瑣潩獮䘯呁嘠敩敷㽲捡楴湯唽䑐呁♅牣慥潴㵲慦瑣敳♴奄彎剁升吽啒♅佄彃䅎䕍䘽呁䘺䱑䅟䑕呉义彇䱃䕉呎呟䵅䱐呁⹅䅆♔楤灳慬役瑳楲杮䄽摵瑩嘦剁䬺奅䜽䝊䍂䍎卖♆䅖㩒啑剅㵙䍋䝨汒䔹啒啊䙋商楕睷卋䜱汒䐹噑䥎ㅘ啎䙋商楕睷卋䅬䕋䝚じ䙒汑潑噕卒䍌砰汒灅啌䝚じ䉎さ晨ㅕ潑噕卒䍌砰汒灅卋㵫圦义佄㵗䥆卒彔佐啐♐䕈䝉呈㐽〵圦䑉䡔㐽〵匦䅔呒䵟塁䵉婉䑅䘽䱁䕓嘦剁䌺䱁久䅄㵒单嘦剁区䵙佂㵌坅嘦剁䤺䑎塅〽찀旲䷰!呁䍅䥞彂䅐䝖ㄨ⼰⼱〲㘰㤬㌯⼰〲㜰착 ＀＀ ＀＀_x0008_＀＀_x0008_＀＀_x0001_＀＀_x0001_＀＀_x0001_＀＀Ḉ_xDEDF_蠵䀎䆣丯@㈳㈮帴䕆䕟呓䵉呁⡅䔧卐Ⱗ䴧䅅❎✬䅃㑌Ⱗ㈧㄰✲丬坏Ⱜ✬䘬㈱㴳䅍ⱊ⤧_x001D_＀＀ ＀＀_x0005_＀＀_x0004_＀＀_x0001_＀＀_x0001_＀＀_x0008_＀＀乀A찀䆝丯_x0012_䱅塇䙞彆偅⡓乁ⱎ⤰!＀＀ ＀＀	＀＀_x0008_＀＀_x0001_＀＀_x0001_＀＀_x0001_＀＀竡긔㿊찀旾䷰ 䅖幒䉉偟噁⡇〱ㄯ㈯〰ⰶ⼹〳㈯〰⤷ ＀＀ ＀＀_x0008_＀＀_x0008_＀＀_x0001_＀＀_x0001_＀＀_x0001_＀＀၎ή䁆됪丞 剘奁䥞彂䅐䝖㐨ㄯ㈯〰ⰹ⼶〳㈯〰⤹ ＀＀ ＀＀_x0008_＀＀_x0008_＀＀_x0001_＀＀_x0001_＀＀_x0001_＀＀̳華䀼䆡丯A䡔剏䙞彅卅䥔䅍䕔✨䅓䕌❓✬䕍乁Ⱗ䌧䱁✴✬〲㈱Ⱗ低ⱗⰬⰧㅆ㌲䴽䩁✬착!＀＀ ＀＀	＀＀_x0008_＀＀_x0001_＀＀_x0001_＀＀_x0001_＀＀꾸벌䁼찀㠛䷻ 剁奁䥞彂䅐䝖ㄨㄯ㈯㄰ⰰ⼳ㄳ㈯㄰⤰ ＀＀ ＀＀_x0008_＀＀_x0008_＀＀_x0001_＀＀_x0001_＀＀_x0001_＀＀ఛ塵웡䀚☬䵿 呁䍅䥞彂䅐䝖ㄨㄯ㈯〰ⰸ⼳ㄳ㈯〰⤸ ＀＀ ＀＀_x0008_＀＀_x0008_＀＀_x0001_＀＀_x0001_＀＀_x0001_＀＀꼔뚲ษ䀕᥂丈 剁奁䥞彂䅐䝖㜨ㄯ㈯〰ⰹ⼶〳㈯㄰⤰ ＀＀ ＀＀_x0008_＀＀_x0008_＀＀_x0001_＀＀_x0001_＀＀_x0001_＀＀띖乺轺䀙폄䷨ 呁䍅䥞彂䅐䝖㈨ㄯ㈯〰ⰸ⼴〳㈯〰⤸ ＀＀ ＀＀_x0008_＀＀_x0008_＀＀_x0001_＀＀_x0001_＀＀_x0001_＀＀ꧼ틱㉍䀕䆡丯_x0017_䡔剏䙞彆䅓䕌⡓䅃ⱌㄭ奃착ō＀＀ ＀＀ĵ＀＀_x0008_＀＀_x0001_＀＀_x0001_＀＀_x0001_＀＀䖢廽䁷摦畳㩰⼯楤敲瑣潩獮䘯呁嘠敩敷㽲捡楴湯唽䑐呁♅牣慥潴㵲慦瑣敳♴奄彎剁升吽啒♅佄彃䅎䕍䘽呁䘺䱑䅟䑕呉义彇䱃䕉呎呟䵅䱐呁⹅䅆♔楤灳慬役瑳楲杮䄽摵瑩嘦剁䬺奅匽䍂佂兔䅐♚䅖㩒啑剅㵙歒晚さ䵆噒潍け䵆䍌砰ㅑ火圦义佄㵗䥆卒彔佐啐♐䕈䝉呈㐽〵圦䑉䡔㐽〵匦䅔呒䵟塁䵉婉䑅䘽䱁䕓嘦剁䌺䱁久䅄㵒单嘦剁区䵙佂㵌䡔剏嘦剁䤺䑎塅〽찀䆛丯_x0013_䱁乇偞偟䥒䕃㐨㜰〵착!＀＀ ＀＀	＀＀_x0008_＀＀_x0001_＀＀_x0001_＀＀_x0001_＀＀쳍쳌ೌ䀷찀䆢丯A佖䍌䙞彅卅䥔䅍䕔✨䅓䕌❓✬䕍乁Ⱗ䌧䱁✴✬〲ㄱⰧ低ⱗⰬⰧㅆ㌲䴽䩁✬착!＀＀ ＀＀	＀＀_x0008_＀＀_x0001_＀＀_x0001_＀＀_x0001_＀＀桳ꥼ䁵찀䆢丯A啎䅖䙞彅卅䥔䅍䕔✨䅓䕌❓✬䕍乁Ⱗ䌧䱁✴✬〲ㄱⰧ低ⱗⰬⰧㅆ㌲䴽䩁✬착!＀＀ ＀＀	＀＀_x0008_＀＀_x0001_＀＀_x0001_＀＀_x0001_＀＀鞍ቮ솃䂀찀䆝丯_x0017_呈剗䙞彆䅓䕌⡓䅃ⱌㄭ奃착ō＀＀ ＀＀ĵ＀＀_x0008_＀＀_x0001_＀＀_x0001_＀＀_x0001_＀＀ȿ⯹䀸摦畳㩰⼯楤敲瑣潩獮䘯呁嘠敩敷㽲捡楴湯唽䑐呁♅牣慥潴㵲慦瑣敳♴奄彎剁升吽啒♅佄彃䅎䕍䘽呁䘺䱑䅟䑕呉义彇䱃䕉呎呟䵅䱐呁⹅䅆♔楤灳慬役瑳楲杮䄽摵瑩嘦剁䬺奅夽卒䵄䭄䕔♌䅖㩒啑剅㵙歒晚さ䵆噒潍け䵆䍌砰ㅑ火圦义佄㵗䥆卒彔佐啐♐䕈䝉呈㐽〵圦䑉䡔㐽〵匦䅔呒䵟塁䵉婉䑅䘽䱁䕓嘦剁䌺䱁久䅄㵒单嘦剁区䵙佂㵌呈剗嘦剁䤺䑎塅〽찀䆟丯_x0013_佐䑄䙞彇䭍彔䅖啌⡅착!＀＀ ＀＀	＀＀_x0008_＀＀_x0001_＀＀_x0001_＀＀_x0001_＀＀脆䎕㬋䂍찀䆡丯_x0016_呁䍅䙞彆䅓䕌⡓䅃ⱌ䌰⥙ō＀＀ ＀＀ĵ＀＀_x0008_＀＀_x0001_＀＀_x0001_＀＀_x0001_＀＀凬Ẹ玅䁥摦畳㩰⼯楤敲瑣潩獮䘯呁嘠敩敷㽲捡楴湯唽䑐呁♅牣慥潴㵲慦瑣敳♴奄彎剁升吽啒♅佄彃䅎䕍䘽呁䘺䱑䅟䑕呉义彇䱃䕉呎呟䵅䱐呁⹅䅆♔楤灳慬役瑳楲杮䄽摵瑩嘦剁䬺奅䴽兒兒䅚坖♎䅖㩒啑剅㵙歒晚さ䵆噒潍け䵆䑌䑂南㵫圦义佄㵗䥆卒彔佐啐♐䕈䝉呈㐽〵圦䑉䡔㐽〵匦䅔呒䵟塁䵉婉䑅䘽䱁䕓嘦剁䌺䱁久䅄㵒单嘦剁区䵙佂㵌呁䍅嘦剁䤺䑎塅〽찀됪丞 剘奁䥞彂䅐䝖ㄨㄯ㈯㄰ⰰ⼳ㄳ㈯㄰⤰ ＀＀ ＀＀_x0008_＀＀_x0008_＀＀_x0001_＀＀_x0001_＀＀_x0001_＀＀祽◑䁁☬䵿 呁䍅䥞彂䅐䝖㜨ㄯ㈯〰ⰷ⼹〳㈯〰⤷ ＀＀ ＀＀_x0008_＀＀_x0008_＀＀_x0001_＀＀_x0001_＀＀_x0001_＀＀㱹㼭異䀎暍䷰_x001F_䅖幒䉉偟噁⡇⼱⼱〲ㄱ㌬㌯⼱〲ㄱ착 ＀＀ ＀＀_x0008_＀＀_x0008_＀＀_x0001_＀＀_x0001_＀＀_x0001_＀＀_xFFFF_ｄᜄ⸫䁑䆝丯_x0016_低乂䌭幈彐剐䍉⡅〴㔷⤰!＀＀ ＀＀	＀＀_x0008_＀＀_x0001_＀＀_x0001_＀＀_x0001_＀＀ᑺ䞮䀰찀䆡丯_x0016_佐䑄䙞彆䅓䕌⡓䅃ⱌ䌰⥙ō＀＀ ＀＀ĵ＀＀_x0008_＀＀_x0001_＀＀_x0001_＀＀_x0001_＀＀ﯧ㷒䁘摦畳㩰⼯楤敲瑣潩獮䘯呁嘠敩敷㽲捡楴湯唽䑐呁♅牣慥潴㵲慦瑣敳♴奄彎剁升吽啒♅佄彃䅎䕍䘽呁䘺䱑䅟䑕呉义彇䱃䕉呎呟䵅䱐呁⹅䅆♔楤灳慬役瑳楲杮䄽摵瑩嘦剁䬺奅䴽䵈䝂䝚䭒♆䅖㩒啑剅㵙歒晚さ䵆噒潍け䵆䑌䑂南㵫圦义佄㵗䥆卒彔佐啐♐䕈䝉呈㐽〵圦䑉䡔㐽〵匦䅔呒䵟塁䵉婉䑅䘽䱁䕓嘦剁䌺䱁久䅄㵒单嘦剁区䵙佂㵌佐䑄嘦剁䤺䑎塅〽찀㟛䷻ 剁奁䥞彂䅐䝖㘨ㄯ㈯〰ⰸ⼹〳㈯〰⤸ ＀＀ ＀＀_x0008_＀＀_x0008_＀＀_x0001_＀＀_x0001_＀＀_x0001_＀＀㦊㨈啚䀠㠹䷻"剁奁䥞彂䅐䝖ㄨ⼰⼱〲〱ㄬ⼲ㄳ㈯㄰⤰ ＀＀ ＀＀_x0008_＀＀_x0008_＀＀_x0001_＀＀_x0001_＀＀_x0001_＀＀懋᷷揃䀙䆠丯P佐䑄⡞䙆䑟䉅⡔瑱Ⱳ⤰䘭彆䅃䡓卟⡔呑ⱒ⤰䀩䘨彆䕄呂儨剔⴬䘱⥑䘭彆䅃䡓卟⡔呑ⱒㄭ兆⤩Ɲ＀＀ ＀＀ƅ＀＀_x0008_＀＀_x0001_＀＀_x0001_＀＀_x0001_＀＀鮥탄쁀摦畳㩰⼯楤敲瑣潩獮䘯呁嘠敩敷㽲捡楴湯唽䑐呁♅牣慥潴㵲慦瑣敳♴奄彎剁升吽啒♅佄彃䅎䕍䘽呁䘺䱑䅟䑕呉义彇䱃䕉呎呟䵅䱐呁⹅䅆♔楤灳慬役瑳楲杮䄽摵瑩嘦剁䬺奅䜽䍘䥈䵔坚♄䅖㩒啑剅㵙䍋䝨汒䔹啒啊䙋商楕睷卋䜱汒䐹噑䥎ㅘ啎䙋商楕睷卋䅬䕋䝚じ䙒汑潑噕卒䍌砰汒灅啌䝚じ䉎さ晨ㅕ潑噕卒䍌砰汒灅卋㵫圦义佄㵗䥆卒彔佐啐♐䕈䝉呈㐽〵圦䑉䡔㐽〵匦䅔呒䵟塁䵉婉䑅䘽䱁䕓嘦剁䌺䱁久䅄㵒单嘦剁区䵙佂㵌佐䑄嘦剁䤺䑎塅〽찀㠛䷻ 剁奁䥞彂䅐䝖㐨ㄯ㈯㄰ⰰ⼶〳㈯㄰⤰ ＀＀ ＀＀_x0008_＀＀_x0008_＀＀_x0001_＀＀_x0001_＀＀_x0001_＀＀㦎_xD8CF_鲗䀙䆢丯_x0013_剘奁䙞彇䭍彔䅖啌⡅착!＀＀ ＀＀	＀＀_x0008_＀＀_x0001_＀＀_x0001_＀＀_x0001_＀＀䉚咮䂵찀᥋丈 剁奁䥞彂䅐䝖㜨ㄯ㈯〰ⰷ⼶〳㈯〰⤸ ＀＀ ＀＀_x0008_＀＀_x0008_＀＀_x0001_＀＀_x0001_＀＀_x0001_＀＀㏎◶弛䀫퐟䷨ 呁䍅䥞彂䅐䝖㔨ㄯ㈯㄰ⰰ⼷ㄳ㈯㄰⤰ ＀＀ ＀＀_x0008_＀＀_x0008_＀＀_x0001_＀＀_x0001_＀＀_x0001_＀＀骢겒凃䀔䆢丯A呁䍅䙞彅卅䥔䅍䕔✨䅓䕌❓✬䕍乁Ⱗ䌧䱁✴✬〲ㄱⰧ低ⱗⰬⰧㅆ㌲䴽䩁✬착!＀＀ ＀＀	＀＀_x0008_＀＀_x0001_＀＀_x0001_＀＀_x0001_＀＀⢌⏭䁩찀䆞丯_x0013_䡔剏偞偟䥒䕃㐨㜰〵착!＀＀ ＀＀	＀＀_x0008_＀＀_x0001_＀＀_x0001_＀＀_x0001_＀＀ꏗ㵰眊䁁찀ᢩ丈_x0010_剁奁䙞彇剐䍉⡅⤰ ＀＀ ＀＀_x0008_＀＀_x0008_＀＀_x0001_＀＀_x0001_＀＀_x0001_＀＀䞮竡긔䀞䆝丯P偃協⡞䙆䑟䉅⡔瑱Ⱳ⤰䘭彆䅃䡓卟⡔呑ⱒ⤰䀩䘨彆䕄呂儨剔⴬䘱⥑䘭彆䅃䡓卟⡔呑ⱒㄭ兆⤩Ɲ＀＀ ＀＀ƅ＀＀_x0008_＀＀_x0001_＀＀_x0001_＀＀_x0001_＀＀눰䚧䀚摦畳㩰⼯楤敲瑣潩獮䘯呁嘠敩敷㽲捡楴湯唽䑐呁♅牣慥潴㵲慦瑣敳♴奄彎剁升吽啒♅佄彃䅎䕍䘽呁䘺䱑䅟䑕呉义彇䱃䕉呎呟䵅䱐呁⹅䅆♔楤灳慬役瑳楲杮䄽摵瑩嘦剁䬺奅䄽䝒䥐坐佚♐䅖㩒啑剅㵙䍋䝨汒䔹啒啊䙋商楕睷卋䜱汒䐹噑䥎ㅘ啎䙋商楕睷卋䅬䕋䝚じ䙒汑潑噕卒䍌砰汒灅啌䝚じ䉎さ晨ㅕ潑噕卒䍌砰汒灅卋㵫圦义佄㵗䥆卒彔佐啐♐䕈䝉呈㐽〵圦䑉䡔㐽〵匦䅔呒䵟塁䵉婉䑅䘽䱁䕓嘦剁䌺䱁久䅄㵒单嘦剁区䵙佂㵌偃協嘦剁䤺䑎塅〽찀䆝丯A䱅塇䙞彅卅䥔䅍䕔✨䅓䕌❓✬䕍乁Ⱗ䌧䱁✴✬〲㈱Ⱗ低ⱗⰬⰧㅆ㌲䴽䩁✬착!＀＀ ＀＀	＀＀_x0008_＀＀_x0001_＀＀_x0001_＀＀_x0001_＀＀ᬳ鉤辑䁙찀䆟丯_x0013_剁䍔䙞彇䭍彔䅖啌⡅착!＀＀ ＀＀	＀＀_x0008_＀＀_x0001_＀＀_x0001_＀＀_x0001_＀＀▯菤촞䂌찀㠛䷻"剁奁䥞彂䅐䝖ㄨ⼰⼱〲㤰ㄬ⼲ㄳ㈯〰⤹ ＀＀ ＀＀_x0008_＀＀_x0008_＀＀_x0001_＀＀_x0001_＀＀_x0001_＀＀햡ᧉ宊䀗䆞丯_x0013_偃協䙞彇䭍彔䅖啌⡅착!＀＀ ＀＀	＀＀_x0008_＀＀_x0001_＀＀_x0001_＀＀_x0001_＀＀点␠ఋ䁶찀㟛䷻ 剁奁䥞彂䅐䝖㔨ㄯ㈯〰ⰸ⼶〳㈯〰⤹ ＀＀ ＀＀_x0008_＀＀_x0008_＀＀_x0001_＀＀_x0001_＀＀_x0001_＀＀ᐖ攆崚䀚䆡丯_x0012_䙏塉䙞彆偅⡓乁ⱎ⤰!＀＀ ＀＀	＀＀_x0008_＀＀_x0001_＀＀_x0001_＀＀_x0001_＀＀긔ᑺ䀄찀됪丞 剘奁䥞彂䅐䝖㐨ㄯ㈯㄰ⰰ⼶〳㈯㄰⤰ ＀＀ ＀＀_x0008_＀＀_x0008_＀＀_x0001_＀＀_x0001_＀＀_x0001_＀＀ᣨ붐퇞䁀뗄䷹!剁奁䥞彂䅐䝖㜨ㄯ㈯〰ⰷ㤰㌯⼰〲㜰착 ＀＀ ＀＀_x0008_＀＀_x0008_＀＀_x0001_＀＀_x0001_＀＀_x0001_＀＀죊_xD859_䛓䀱劌䷰_x001F_䅖幒䉉偟噁⡇⼴⼱〲㜰㜬㌯⼱〲㜰착 ＀＀ ＀＀_x0008_＀＀_x0008_＀＀_x0001_＀＀_x0001_＀＀_x0001_＀＀ᑑᏨ鉹䁅폵䷨!呁䍅䥞彂䅐䝖ㄨ⼱⼱〲㠰ㄬ㌯⼱〲㤰착 ＀＀ ＀＀_x0008_＀＀_x0008_＀＀_x0001_＀＀_x0001_＀＀_x0001_＀＀쯄맓钢䀄㞵䷻"剁奁䥞彂䅐䝖ㄨ⼰⼱〲㜰ㄬ⼲ㄳ㈯〰⤷ ＀＀ ＀＀_x0008_＀＀_x0008_＀＀_x0001_＀＀_x0001_＀＀_x0001_＀＀剪먊벽䀰☬䵿 呁䍅䥞彂䅐䝖㐨ㄯ㈯〰ⰸ⼶〳㈯〰⤸ ＀＀ ＀＀_x0008_＀＀_x0008_＀＀_x0001_＀＀_x0001_＀＀_x0001_＀＀䄩ꅿ䱇䀓☬䵿"呁䍅䥞彂䅐䝖ㄨ⼰⼱〲㠰ㄬ⼲ㄳ㈯〰⤸ ＀＀ ＀＀_x0008_＀＀_x0008_＀＀_x0001_＀＀_x0001_＀＀_x0001_＀＀戬懘婌䀉䆝丯P䥓佒⡞䙆䑟䉅⡔瑱Ⱳ⤰䘭彆䅃䡓卟⡔呑ⱒ⤰䀩䘨彆䕄呂儨剔⴬䘱⥑䘭彆䅃䡓卟⡔呑ⱒㄭ兆⤩Ɲ＀＀ ＀＀ƅ＀＀_x0008_＀＀_x0001_＀＀_x0001_＀＀_x0001_＀＀ꗤ쒛堠䁔摦畳㩰⼯楤敲瑣潩獮䘯呁嘠敩敷㽲捡楴湯唽䑐呁♅牣慥潴㵲慦瑣敳♴奄彎剁升吽啒♅佄彃䅎䕍䘽呁䘺䱑䅟䑕呉义彇䱃䕉呎呟䵅䱐呁⹅䅆♔楤灳慬役瑳楲杮䄽摵瑩嘦剁䬺奅夽䭖兆䵄啚♄䅖㩒啑剅㵙䍋䝨汒䔹啒啊䙋商楕睷卋䜱汒䐹噑䥎ㅘ啎䙋商楕睷卋䅬䕋䝚じ䙒汑潑噕卒䍌砰汒灅啌䝚じ䉎さ晨ㅕ潑噕卒䍌砰汒灅卋㵫圦义佄㵗䥆卒彔佐啐♐䕈䝉呈㐽〵圦䑉䡔㐽〵匦䅔呒䵟塁䵉婉䑅䘽䱁䕓嘦剁䌺䱁久䅄㵒单嘦剁区䵙佂㵌䥓佒嘦剁䤺䑎塅〽찀됪丞"剘奁䥞彂䅐䝖ㄨ⼰⼱〲㠰ㄬ⼲ㄳ㈯〰⤸ ＀＀ ＀＀_x0008_＀＀_x0008_＀＀_x0001_＀＀_x0001_＀＀_x0001_＀＀濽㬥숶䀼䆞丯_x0011_坅䙞彇䭍彔䅖啌⡅착!＀＀ ＀＀	＀＀_x0008_＀＀_x0001_＀＀_x0001_＀＀_x0001_＀＀긔釺䃀찀䆛丯A䥓佒䙞彅卅䥔䅍䕔✨䅓䕌❓✬䕍乁Ⱗ䌧䱁✴✬〲ㄱⰧ低ⱗⰬⰧㅆ㌲䴽䩁✬착!＀＀ ＀＀	＀＀_x0008_＀＀_x0001_＀＀_x0001_＀＀_x0001_＀＀桳㏼䂌찀級丁 剁奁䥞彂䅐䝖㜨ㄯ㈯〰ⰷ⼹〳㈯〰⤷ ＀＀ ＀＀_x0008_＀＀_x0008_＀＀_x0001_＀＀_x0001_＀＀_x0001_＀＀죊_xD859_䛓䀱䆟丯_x0013_啎䅖䙞彇䭍彔䅖啌⡅착!＀＀ ＀＀	＀＀_x0008_＀＀_x0001_＀＀_x0001_＀＀_x0001_＀＀漀ҁ䂒찀䆠丯O䍋幉䘨彆䕄呂焨牴〬⴩䙆䍟十彈呓儨剔〬⤩⡀䙆䑟䉅⡔呑ⱒㄭ兆⴩䙆䍟十彈呓儨剔⴬䘱⥑착Ɯ＀＀ ＀＀Ƅ＀＀_x0008_＀＀_x0001_＀＀_x0001_＀＀_x0001_＀＀⋒率鑾䂃摦畳㩰⼯楤敲瑣潩獮䘯呁嘠敩敷㽲捡楴湯唽䑐呁♅牣慥潴㵲慦瑣敳♴奄彎剁升吽啒♅佄彃䅎䕍䘽呁䘺䱑䅟䑕呉义彇䱃䕉呎呟䵅䱐呁⹅䅆♔楤灳慬役瑳楲杮䄽摵瑩嘦剁䬺奅䌽䭂䍖䍖䕂♐䅖㩒啑剅㵙䍋䝨汒䔹啒啊䙋商楕睷卋䜱汒䐹噑䥎ㅘ啎䙋商楕睷卋䅬䕋䝚じ䙒汑潑噕卒䍌砰汒灅啌䝚じ䉎さ晨ㅕ潑噕卒䍌砰汒灅卋㵫圦义佄㵗䥆卒彔佐啐♐䕈䝉呈㐽〵圦䑉䡔㐽〵匦䅔呒䵟塁䵉婉䑅䘽䱁䕓嘦剁䌺䱁久䅄㵒单嘦剁区䵙佂㵌䍋♉䅖㩒义䕄㵘0䆟丯_x0013_䙏塉䙞彇䭍彔䅖啌⡅착!＀＀ ＀＀	＀＀_x0008_＀＀_x0001_＀＀_x0001_＀＀_x0001_＀＀뗝粄㛐䂈찀㞵䷻ 剁奁䥞彂䅐䝖ㄨㄯ㈯〰ⰸ⼳ㄳ㈯〰⤸ ＀＀ ＀＀_x0008_＀＀_x0008_＀＀_x0001_＀＀_x0001_＀＀_x0001_＀＀剺㔦ᆴ䀨䆠丯?佐䑄䙞彅卅䥔䅍䕔✨偅❓✬䕍乁Ⱗ䌧䱁✴✬〲ㄱⰧ低ⱗⰬⰧㅆ㌲䴽䩁✬착!＀＀ ＀＀	＀＀_x0008_＀＀_x0001_＀＀_x0001_＀＀_x0001_＀＀霋_xD855_「뿧찀䆛丯_x0016_䱁乇䙞彆䅓䕌⡓䅃ⱌ䌰⥙ō＀＀ ＀＀ĵ＀＀_x0008_＀＀_x0001_＀＀_x0001_＀＀_x0001_＀＀璼ᢓ㈄䁸摦畳㩰⼯楤敲瑣潩獮䘯呁嘠敩敷㽲捡楴湯唽䑐呁♅牣慥潴㵲慦瑣敳♴奄彎剁升吽啒♅佄彃䅎䕍䘽呁䘺䱑䅟䑕呉义彇䱃䕉呎呟䵅䱐呁⹅䅆♔楤灳慬役瑳楲杮䄽摵瑩嘦剁䬺奅䜽䭂但䭐䵖♖䅖㩒啑剅㵙歒晚さ䵆噒潍け䵆䑌䑂南㵫圦义佄㵗䥆卒彔佐啐♐䕈䝉呈㐽〵圦䑉䡔㐽〵匦䅔呒䵟塁䵉婉䑅䘽䱁䕓嘦剁䌺䱁久䅄㵒单嘦剁区䵙佂㵌䱁乇嘦剁䤺䑎塅〽찀☬䵿!呁䍅䥞彂䅐䝖ㄨㄯ㈯〰ⰸ㈱㌯⼱〲㠰착 ＀＀ ＀＀_x0008_＀＀_x0008_＀＀_x0001_＀＀_x0001_＀＀_x0001_＀＀藤硴쌈䀑䆢丯_x0017_剘奁䙞彆䅓䕌⡓䅃ⱌㄭ奃착ō＀＀ ＀＀ĵ＀＀_x0008_＀＀_x0001_＀＀_x0001_＀＀_x0001_＀＀뙆ﷳ_xDFD4_䂠摦畳㩰⼯楤敲瑣潩獮䘯呁嘠敩敷㽲捡楴湯唽䑐呁♅牣慥潴㵲慦瑣敳♴奄彎剁升吽啒♅佄彃䅎䕍䘽呁䘺䱑䅟䑕呉义彇䱃䕉呎呟䵅䱐呁⹅䅆♔楤灳慬役瑳楲杮䄽摵瑩嘦剁䬺奅夽兘䵄児䍊♂䅖㩒啑剅㵙歒晚さ䵆噒潍け䵆䍌砰ㅑ火圦义佄㵗䥆卒彔佐啐♐䕈䝉呈㐽〵圦䑉䡔㐽〵匦䅔呒䵟塁䵉婉䑅䘽䱁䕓嘦剁䌺䱁久䅄㵒单嘦剁区䵙佂㵌剘奁嘦剁䤺䑎塅〽찀됪丞 剘奁䥞彂䅐䝖㜨ㄯ㈯〰ⰷ⼹〳㈯〰⤷ ＀＀ ＀＀_x0008_＀＀_x0008_＀＀_x0001_＀＀_x0001_＀＀_x0001_＀＀៬蛬杭䁃䆢丯A剁䍔䙞彅卅䥔䅍䕔✨䅓䕌❓✬䕍乁Ⱗ䌧䱁✴✬〲ㄱⰧ低ⱗⰬⰧㅆ㌲䴽䩁✬착!＀＀ ＀＀	＀＀_x0008_＀＀_x0001_＀＀_x0001_＀＀_x0001_＀＀⭫韶⇝䁷찀䆡丯_x0016_䍋幉䙆卟䱁卅䌨䱁⴬䌱⥙Ō＀＀ ＀＀Ĵ＀＀_x0008_＀＀_x0001_＀＀_x0001_＀＀_x0001_＀＀橿璼⊓䂟摦畳㩰⼯楤敲瑣潩獮䘯呁嘠敩敷㽲捡楴湯唽䑐呁♅牣慥潴㵲慦瑣敳♴奄彎剁升吽啒♅佄彃䅎䕍䘽呁䘺䱑䅟䑕呉义彇䱃䕉呎呟䵅䱐呁⹅䅆♔楤灳慬役瑳楲杮䄽摵瑩嘦剁䬺奅匽半䵂啈䥒♂䅖㩒啑剅㵙歒晚さ䵆噒潍け䵆䍌砰ㅑ火圦义佄㵗䥆卒彔佐啐♐䕈䝉呈㐽〵圦䑉䡔㐽〵匦䅔呒䵟塁䵉婉䑅䘽䱁䕓嘦剁䌺䱁久䅄㵒单嘦剁区䵙佂㵌䍋♉䅖㩒义䕄㵘0됪丞 剘奁䥞彂䅐䝖ㄨㄯ㈯〰ⰸ⼳ㄳ㈯〰⤸ ＀＀ ＀＀_x0008_＀＀_x0008_＀＀_x0001_＀＀_x0001_＀＀_x0001_＀＀ꈊϮ庐䁄䆝丯_x0013_䥓佒䙞彇䭍彔䅖啌⡅착!＀＀ ＀＀	＀＀_x0008_＀＀_x0001_＀＀_x0001_＀＀_x0001_＀＀긔䂦찀暍䷰!䅖幒䉉偟噁⡇〱ㄯ㈯〰ⰸ㈱㌯⼱〲㠰착 ＀＀ ＀＀_x0008_＀＀_x0008_＀＀_x0001_＀＀_x0001_＀＀_x0001_＀＀휵ꑩ媥䁄暍䷰_x001F_䅖幒䉉偟噁⡇⼱⼱〲㤰㌬㌯⼱〲㤰착 ＀＀ ＀＀_x0008_＀＀_x0008_＀＀_x0001_＀＀_x0001_＀＀_x0001_＀＀Ⓣ朣ꝡ䁀䆠丯_x0012_䡔剏䙞彆偅⡓乁ⱎ⤰!＀＀ ＀＀	＀＀_x0008_＀＀_x0001_＀＀_x0001_＀＀_x0001_＀＀쳍쳌쳌㿬찀䆢丯A協乏䙞彅卅䥔䅍䕔✨䅓䕌❓✬䕍乁Ⱗ䌧䱁✴✬〲ㄱⰧ低ⱗⰬⰧㅆ㌲䴽䩁✬착!＀＀ ＀＀	＀＀_x0008_＀＀_x0001_＀＀_x0001_＀＀_x0001_＀＀䎖沋ᯧ䀵찀䆡丯_x0017_佖䍌䙞彆䅓䕌⡓䅃ⱌㄭ奃착ō＀＀ ＀＀ĵ＀＀_x0008_＀＀_x0001_＀＀_x0001_＀＀_x0001_＀＀됹盈箾䁬摦畳㩰⼯楤敲瑣潩獮䘯呁嘠敩敷㽲捡楴湯唽䑐呁♅牣慥潴㵲慦瑣敳♴奄彎剁升吽啒♅佄彃䅎䕍䘽呁䘺䱑䅟䑕呉义彇䱃䕉呎呟䵅䱐呁⹅䅆♔楤灳慬役瑳楲杮䄽摵瑩嘦剁䬺奅伽䕚坆䭄䵖♊䅖㩒啑剅㵙歒晚さ䵆噒潍け䵆䍌砰ㅑ火圦义佄㵗䥆卒彔佐啐♐䕈䝉呈㐽〵圦䑉䡔㐽〵匦䅔呒䵟塁䵉婉䑅䘽䱁䕓嘦剁䌺䱁久䅄㵒单嘦剁区䵙佂㵌佖䍌嘦剁䤺䑎塅〽찀㞵䷻ 剁奁䥞彂䅐䝖㐨ㄯ㈯〰ⰸ⼶〳㈯〰⤸ ＀＀ ＀＀_x0008_＀＀_x0008_＀＀_x0001_＀＀_x0001_＀＀_x0001_＀＀兾ﺂ⽂䀡폄䷨ 呁䍅䥞彂䅐䝖㔨ㄯ㈯〰ⰸ⼷ㄳ㈯〰⤸ ＀＀ ＀＀_x0008_＀＀_x0008_＀＀_x0001_＀＀_x0001_＀＀_x0001_＀＀ݛ笇㌓䀒䆝丯A偃協䙞彅卅䥔䅍䕔✨䅓䕌❓✬䕍乁Ⱗ䌧䱁✴✬〲ㄱⰧ低ⱗⰬⰧㅆ㌲䴽䩁✬착!＀＀ ＀＀	＀＀_x0008_＀＀_x0001_＀＀_x0001_＀＀_x0001_＀＀䔸遇䁠찀剀䷰!䅖幒䉉偟噁⡇〱ㄯ㈯〰ⰶ㈱㌯⼱〲㘰착 ＀＀ ＀＀_x0008_＀＀_x0008_＀＀_x0001_＀＀_x0001_＀＀_x0001_＀＀뇚蠑䇗䁉昦䷰ 䅖幒䉉偟噁⡇⼸⼱〲㠰ㄬ⼰ㄳ㈯〰⤸ ＀＀ ＀＀_x0008_＀＀_x0008_＀＀_x0001_＀＀_x0001_＀＀_x0001_＀＀귫궁䐒䁌퐟䷨"呁䍅䥞彂䅐䝖ㄨ⼱⼱〲㤰ㄬ⼰ㄳ㈯㄰⤰ ＀＀ ＀＀_x0008_＀＀_x0008_＀＀_x0001_＀＀_x0001_＀＀_x0001_＀＀늖焌஬䀒됪丞 剘奁䥞彂䅐䝖㐨ㄯ㈯〰ⰸ⼶〳㈯〰⤸ ＀＀ ＀＀_x0008_＀＀_x0008_＀＀_x0001_＀＀_x0001_＀＀_x0001_＀＀᏾걜馨䁃䆠丯_x0011_䍋幉䙆䕟卐䄨乎〬착!＀＀ ＀＀	＀＀_x0008_＀＀_x0001_＀＀_x0001_＀＀_x0001_＀＀슏⣵轜䀌찀䆞丯_x0013_䱅塇䙞彇䭍彔䅖啌⡅착!＀＀ ＀＀	＀＀_x0008_＀＀_x0001_＀＀_x0001_＀＀_x0001_＀＀ᒥ筴ꑉ䁿찀䆡丯P䙏塉⡞䙆䑟䉅⡔瑱Ⱳ⤰䘭彆䅃䡓卟⡔呑ⱒ⤰䀩䘨彆䕄呂儨剔⴬䘱⥑䘭彆䅃䡓卟⡔呑ⱒㄭ兆⤩Ɲ＀＀ ＀＀ƅ＀＀_x0008_＀＀_x0001_＀＀_x0001_＀＀_x0001_＀＀⛩࠱Ҭ䁥摦畳㩰⼯楤敲瑣潩獮䘯呁嘠敩敷㽲捡楴湯唽䑐呁♅牣慥潴㵲慦瑣敳♴奄彎剁升吽啒♅佄彃䅎䕍䘽呁䘺䱑䅟䑕呉义彇䱃䕉呎呟䵅䱐呁⹅䅆♔楤灳慬役瑳楲杮䄽摵瑩嘦剁䬺奅夽䭚坊兄奊♔䅖㩒啑剅㵙䍋䝨汒䔹啒啊䙋商楕睷卋䜱汒䐹噑䥎ㅘ啎䙋商楕睷卋䅬䕋䝚じ䙒汑潑噕卒䍌砰汒灅啌䝚じ䉎さ晨ㅕ潑噕卒䍌砰汒灅卋㵫圦义佄㵗䥆卒彔佐啐♐䕈䝉呈㐽〵圦䑉䡔㐽〵匦䅔呒䵟塁䵉婉䑅䘽䱁䕓嘦剁䌺䱁久䅄㵒单嘦剁区䵙佂㵌䙏塉嘦剁䤺䑎塅〽찀䆠丯_x0012_剁䍔䙞彆偅⡓乁ⱎ⤰!＀＀ ＀＀	＀＀_x0008_＀＀_x0001_＀＀_x0001_＀＀_x0001_＀＀ꏗ㵰휊㿳찀펚䷨ 呁䍅䥞彂䅐䝖㈨ㄯ㈯〰ⰷ⼴〳㈯〰⤷ ＀＀ ＀＀_x0008_＀＀_x0008_＀＀_x0001_＀＀_x0001_＀＀_x0001_＀＀延텼漞䀐䆠丯_x0012_佐䑄䙞彆偅⡓乁ⱎ⤰!＀＀ ＀＀	＀＀_x0008_＀＀_x0001_＀＀_x0001_＀＀_x0001_＀＀炤਽ꏗ뿸찀팧䷨"呁䍅䥞彂䅐䝖ㄨ⼱⼱〲㘰ㄬ⼰ㄳ㈯〰⤷ ＀＀ ＀＀_x0008_＀＀_x0008_＀＀_x0001_＀＀_x0001_＀＀_x0001_＀＀閯巐윒䀎䆡丯_x0016_剁䍔䙞彆䅓䕌⡓䅃ⱌ䌰⥙ō＀＀ ＀＀ĵ＀＀_x0008_＀＀_x0001_＀＀_x0001_＀＀_x0001_＀＀ㄧ갈Ⱌ䁵摦畳㩰⼯楤敲瑣潩獮䘯呁嘠敩敷㽲捡楴湯唽䑐呁♅牣慥潴㵲慦瑣敳♴奄彎剁升吽啒♅佄彃䅎䕍䘽呁䘺䱑䅟䑕呉义彇䱃䕉呎呟䵅䱐呁⹅䅆♔楤灳慬役瑳楲杮䄽摵瑩嘦剁䬺奅圽兌䥖䅔商♆䅖㩒啑剅㵙歒晚さ䵆噒潍け䵆䑌䑂南㵫圦义佄㵗䥆卒彔佐啐♐䕈䝉呈㐽〵圦䑉䡔㐽〵匦䅔呒䵟塁䵉婉䑅䘽䱁䕓嘦剁䌺䱁久䅄㵒单嘦剁区䵙佂㵌剁䍔嘦剁䤺䑎塅〽찀䆠丯?呁䍅䙞彅卅䥔䅍䕔✨偅❓✬䕍乁Ⱗ䌧䱁✴✬〲ㄱⰧ低ⱗⰬⰧㅆ㌲䴽䩁✬착!＀＀ ＀＀	＀＀_x0008_＀＀_x0001_＀＀_x0001_＀＀_x0001_＀＀ᑻ䞮竡㾔찀됪丞!剘奁䥞彂䅐䝖ㄨㄯ㈯㄰ⰰ㈱㌯⼱〲〱착 ＀＀ ＀＀_x0008_＀＀_x0008_＀＀_x0001_＀＀_x0001_＀＀_x0001_＀＀㫒骪䨠䁀䆡丯?協乏䙞彅卅䥔䅍䕔✨偅❓✬䕍乁Ⱗ䌧䱁✴✬〲ㄱⰧ低ⱗⰬⰧㅆ㌲䴽䩁✬착!＀＀ ＀＀	＀＀_x0008_＀＀_x0001_＀＀_x0001_＀＀_x0001_＀＀쳍쳌쳌뿬찀䆢丯P剘奁⡞䙆䑟䉅⡔瑱Ⱳ⤰䘭彆䅃䡓卟⡔呑ⱒ⤰䀩䘨彆䕄呂儨剔⴬䘱⥑䘭彆䅃䡓卟⡔呑ⱒㄭ兆⤩Ɲ＀＀ ＀＀ƅ＀＀_x0008_＀＀_x0001_＀＀_x0001_＀＀_x0001_＀＀눨ầ䁖摦畳㩰⼯楤敲瑣潩獮䘯呁嘠敩敷㽲捡楴湯唽䑐呁♅牣慥潴㵲慦瑣敳♴奄彎剁升吽啒♅佄彃䅎䕍䘽呁䘺䱑䅟䑕呉义彇䱃䕉呎呟䵅䱐呁⹅䅆♔楤灳慬役瑳楲杮䄽摵瑩嘦剁䬺奅夽奂䥈䭒奂♖䅖㩒啑剅㵙䍋䝨汒䔹啒啊䙋商楕睷卋䜱汒䐹噑䥎ㅘ啎䙋商楕睷卋䅬䕋䝚じ䙒汑潑噕卒䍌砰汒灅啌䝚じ䉎さ晨ㅕ潑噕卒䍌砰汒灅卋㵫圦义佄㵗䥆卒彔佐啐♐䕈䝉呈㐽〵圦䑉䡔㐽〵匦䅔呒䵟塁䵉婉䑅䘽䱁䕓嘦剁䌺䱁久䅄㵒单嘦剁区䵙佂㵌剘奁嘦剁䤺䑎塅〽찀䆣丯@ㄷ㌮帹䕆䕟呓䵉呁⡅䔧卐Ⱗ䴧䅅❎✬䅃㑌Ⱗ㈧㄰✲丬坏Ⱜ✬䘬㈱㴳䅍ⱊ⤧_x001D_＀＀ ＀＀_x0005_＀＀_x0004_＀＀_x0001_＀＀_x0001_＀＀_x0008_＀＀乀A찀폄䷨!呁䍅䥞彂䅐䝖㠨ㄯ㈯〰ⰸ〱㌯⼱〲㠰착 ＀＀ ＀＀_x0008_＀＀_x0008_＀＀_x0001_＀＀_x0001_＀＀_x0001_＀＀뽞㝠㭬䀒䆡丯A䡔剏䙞彅卅䥔䅍䕔✨䅓䕌❓✬䕍乁Ⱗ䌧䱁✴✬〲ㄱⰧ低ⱗⰬⰧㅆ㌲䴽䩁✬착!＀＀ ＀＀	＀＀_x0008_＀＀_x0001_＀＀_x0001_＀＀_x0001_＀＀춟쾪⇕䁺찀䆡丯_x0016_協乏䙞彆䅓䕌⡓䅃ⱌ䌰⥙ō＀＀ ＀＀ĵ＀＀_x0008_＀＀_x0001_＀＀_x0001_＀＀_x0001_＀＀閁譃❬䀺摦畳㩰⼯楤敲瑣潩獮䘯呁嘠敩敷㽲捡楴湯唽䑐呁♅牣慥潴㵲慦瑣敳♴奄彎剁升吽啒♅佄彃䅎䕍䘽呁䘺䱑䅟䑕呉义彇䱃䕉呎呟䵅䱐呁⹅䅆♔楤灳慬役瑳楲杮䄽摵瑩嘦剁䬺奅䬽䅊䭊䍐奌♘䅖㩒啑剅㵙歒晚さ䵆噒潍け䵆䑌䑂南㵫圦义佄㵗䥆卒彔佐啐♐䕈䝉呈㐽〵圦䑉䡔㐽〵匦䅔呒䵟塁䵉婉䑅䘽䱁䕓嘦剁䌺䱁久䅄㵒单嘦剁区䵙佂㵌協乏嘦剁䤺䑎塅〽찀䆛丯_x0017_䥓佒䙞彆䅓䕌⡓䅃ⱌㄭ奃착ō＀＀ ＀＀ĵ＀＀_x0008_＀＀_x0001_＀＀_x0001_＀＀_x0001_＀＀䦺Ȍ挫䂇摦畳㩰⼯楤敲瑣潩獮䘯呁嘠敩敷㽲捡楴湯唽䑐呁♅牣慥潴㵲慦瑣敳♴奄彎剁升吽啒♅佄彃䅎䕍䘽呁䘺䱑䅟䑕呉义彇䱃䕉呎呟䵅䱐呁⹅䅆♔楤灳慬役瑳楲杮䄽摵瑩嘦剁䬺奅䴽䵊䭎佄党♘䅖㩒啑剅㵙歒晚さ䵆噒潍け䵆䍌砰ㅑ火圦义佄㵗䥆卒彔佐啐♐䕈䝉呈㐽〵圦䑉䡔㐽〵匦䅔呒䵟塁䵉婉䑅䘽䱁䕓嘦剁䌺䱁久䅄㵒单嘦剁区䵙佂㵌䥓佒嘦剁䤺䑎塅〽찀䆞丯_x0013_䉁䑍䙞彇䭍彔䅖啌⡅착!＀＀ ＀＀	＀＀_x0008_＀＀_x0001_＀＀_x0001_＀＀_x0001_＀＀赐溗ꦒ䂃찀䆝丯_x0016_呓乍䌭幈彐剐䍉⡅〴㔷⤰!＀＀ ＀＀	＀＀_x0008_＀＀_x0001_＀＀_x0001_＀＀_x0001_＀＀＀＀＀＀䁧찀㠛䷻ 剁奁䥞彂䅐䝖㔨ㄯ㈯〰ⰹ⼶〳㈯㄰⤰ ＀＀ ＀＀_x0008_＀＀_x0008_＀＀_x0001_＀＀_x0001_＀＀_x0001_＀＀헜좫ꃨ䀙폵䷨"呁䍅䥞彂䅐䝖ㄨ⼱⼱〲㠰ㄬ⼰ㄳ㈯〰⤹ ＀＀ ＀＀_x0008_＀＀_x0008_＀＀_x0001_＀＀_x0001_＀＀_x0001_＀＀⭍䂅넮䀇뇓丞_x0010_剘奁䙞彇剐䍉⡅⤰ ＀＀ ＀＀_x0008_＀＀_x0008_＀＀_x0001_＀＀_x0001_＀＀_x0001_＀＀＀＀＀＀ꀀ䁃䆠丯P呈剗⡞䙆䑟䉅⡔瑱Ⱳ⤰䘭彆䅃䡓卟⡔呑ⱒ⤰䀩䘨彆䕄呂儨剔⴬䘱⥑䘭彆䅃䡓卟⡔呑ⱒㄭ兆⤩Ɲ＀＀ ＀＀ƅ＀＀_x0008_＀＀_x0001_＀＀_x0001_＀＀_x0001_＀＀賞꾚쁞摦畳㩰⼯楤敲瑣潩獮䘯呁嘠敩敷㽲捡楴湯唽䑐呁♅牣慥潴㵲慦瑣敳♴奄彎剁升吽啒♅佄彃䅎䕍䘽呁䘺䱑䅟䑕呉义彇䱃䕉呎呟䵅䱐呁⹅䅆♔楤灳慬役瑳楲杮䄽摵瑩嘦剁䬺奅夽䍌佔䝈啚♄䅖㩒啑剅㵙䍋䝨汒䔹啒啊䙋商楕睷卋䜱汒䐹噑䥎ㅘ啎䙋商楕睷卋䅬䕋䝚じ䙒汑潑噕卒䍌砰汒灅啌䝚じ䉎さ晨ㅕ潑噕卒䍌砰汒灅卋㵫圦义佄㵗䥆卒彔佐啐♐䕈䝉呈㐽〵圦䑉䡔㐽〵匦䅔呒䵟塁䵉婉䑅䘽䱁䕓嘦剁䌺䱁久䅄㵒单嘦剁区䵙佂㵌呈剗嘦剁䤺䑎塅〽찀㞵䷻ 剁奁䥞彂䅐䝖㘨ㄯ㈯〰ⰷ⼹〳㈯〰⤷ ＀＀ ＀＀_x0008_＀＀_x0008_＀＀_x0001_＀＀_x0001_＀＀_x0001_＀＀Ὄꂺ薾䀲퐞䷨!呁䍅䥞彂䅐䝖ㄨ⼱⼱〲㤰ㄬ㌯⼱〲〱착 ＀＀ ＀＀_x0008_＀＀_x0008_＀＀_x0001_＀＀_x0001_＀＀_x0001_＀＀嫀段穂䀓䆡丯_x0012_佖䍌䙞彆偅⡓乁ⱎ⤰!＀＀ ＀＀	＀＀_x0008_＀＀_x0001_＀＀_x0001_＀＀_x0001_＀＀馚香香㾹찀☬䵿 呁䍅䥞彂䅐䝖ㄨㄯ㈯〰ⰷ⼳ㄳ㈯〰⤷ ＀＀ ＀＀_x0008_＀＀_x0008_＀＀_x0001_＀＀_x0001_＀＀_x0001_＀＀枺ꍝ烥䀐됪丞!剘奁䥞彂䅐䝖ㄨㄯ㈯〰ⰹ㈱㌯⼱〲㤰착 ＀＀ ＀＀_x0008_＀＀_x0008_＀＀_x0001_＀＀_x0001_＀＀_x0001_＀＀꤫퀓恄䀾᥋丈 剁奁䥞彂䅐䝖㜨ㄯ㈯〰ⰶ⼶〳㈯〰⤷ ＀＀ ＀＀_x0008_＀＀_x0008_＀＀_x0001_＀＀_x0001_＀＀_x0001_＀＀鉺쵴⏤䀸䆡丯P佖䍌⡞䙆䑟䉅⡔瑱Ⱳ⤰䘭彆䅃䡓卟⡔呑ⱒ⤰䀩䘨彆䕄呂儨剔⴬䘱⥑䘭彆䅃䡓卟⡔呑ⱒㄭ兆⤩Ɲ＀＀ ＀＀ƅ＀＀_x0008_＀＀_x0001_＀＀_x0001_＀＀_x0001_＀＀䖢瓽쁜摦畳㩰⼯楤敲瑣潩獮䘯呁嘠敩敷㽲捡楴湯唽䑐呁♅牣慥潴㵲慦瑣敳♴奄彎剁升吽啒♅佄彃䅎䕍䘽呁䘺䱑䅟䑕呉义彇䱃䕉呎呟䵅䱐呁⹅䅆♔楤灳慬役瑳楲杮䄽摵瑩嘦剁䬺奅䌽奚卌䥎奈♂䅖㩒啑剅㵙䍋䝨汒䔹啒啊䙋商楕睷卋䜱汒䐹噑䥎ㅘ啎䙋商楕睷卋䅬䕋䝚じ䙒汑潑噕卒䍌砰汒灅啌䝚じ䉎さ晨ㅕ潑噕卒䍌砰汒灅卋㵫圦义佄㵗䥆卒彔佐啐♐䕈䝉呈㐽〵圦䑉䡔㐽〵匦䅔呒䵟塁䵉婉䑅䘽䱁䕓嘦剁䌺䱁久䅄㵒单嘦剁区䵙佂㵌佖䍌嘦剁䤺䑎塅〽찀䆡丯_x0017_啎䅖䙞彆䅓䕌⡓䅃ⱌㄭ奃착ō＀＀ ＀＀ĵ＀＀_x0008_＀＀_x0001_＀＀_x0001_＀＀_x0001_＀＀਽ꏗ╰䁷摦畳㩰⼯楤敲瑣潩獮䘯呁嘠敩敷㽲捡楴湯唽䑐呁♅牣慥潴㵲慦瑣敳♴奄彎剁升吽啒♅佄彃䅎䕍䘽呁䘺䱑䅟䑕呉义彇䱃䕉呎呟䵅䱐呁⹅䅆♔楤灳慬役瑳楲杮䄽摵瑩嘦剁䬺奅夽啚䍈䭎䅊♚䅖㩒啑剅㵙歒晚さ䵆噒潍け䵆䍌砰ㅑ火圦义佄㵗䥆卒彔佐啐♐䕈䝉呈㐽〵圦䑉䡔㐽〵匦䅔呒䵟塁䵉婉䑅䘽䱁䕓嘦剁䌺䱁久䅄㵒单嘦剁区䵙佂㵌啎䅖嘦剁䤺䑎塅〽찀됪丞!剘奁䥞彂䅐䝖ㄨㄯ㈯〰ⰷ㈱㌯⼱〲㜰착 ＀＀ ＀＀_x0008_＀＀_x0008_＀＀_x0001_＀＀_x0001_＀＀_x0001_＀＀尩슏鳵䁂䆝丯_x0016_䱅塇䙞彆䅓䕌⡓䅃ⱌ䌰⥙ō＀＀ ＀＀ĵ＀＀_x0008_＀＀_x0001_＀＀_x0001_＀＀_x0001_＀＀틲才퀐䁐摦畳㩰⼯楤敲瑣潩獮䘯呁嘠敩敷㽲捡楴湯唽䑐呁♅牣慥潴㵲慦瑣敳♴奄彎剁升吽啒♅佄彃䅎䕍䘽呁䘺䱑䅟䑕呉义彇䱃䕉呎呟䵅䱐呁⹅䅆♔楤灳慬役瑳楲杮䄽摵瑩嘦剁䬺奅䌽坘䕒奄兂♈䅖㩒啑剅㵙歒晚さ䵆噒潍け䵆䑌䑂南㵫圦义佄㵗䥆卒彔佐啐♐䕈䝉呈㐽〵圦䑉䡔㐽〵匦䅔呒䵟塁䵉婉䑅䘽䱁䕓嘦剁䌺䱁久䅄㵒单嘦剁区䵙佂㵌䱅塇嘦剁䤺䑎塅〽찀䆞丯_x0012_䍋幉彐剐䍉⡅〴㔷⤰!＀＀ ＀＀	＀＀_x0008_＀＀_x0001_＀＀_x0001_＀＀_x0001_＀＀쳍쳌ﳌ䁐찀暍䷰_x001F_䅖幒䉉偟噁⡇⼱⼱〲〱㌬㌯⼱〲〱착 ＀＀ ＀＀_x0008_＀＀_x0008_＀＀_x0001_＀＀_x0001_＀＀_x0001_＀＀጗辛᭫䁉䆣丯@〲㌮帵䕆䕟呓䵉呁⡅䔧卐Ⱗ䴧䅅❎✬䅃㑌Ⱗ㈧㄰✲丬坏Ⱜ✬䘬㈱㴳䅍ⱊ⤧_x001D_＀＀ ＀＀_x0005_＀＀_x0004_＀＀_x0001_＀＀_x0001_＀＀_x0008_＀＀乀A찀䆟丯_x0013_呁䍅䙞彇䭍彔䅖啌⡅착!＀＀ ＀＀	＀＀_x0008_＀＀_x0001_＀＀_x0001_＀＀_x0001_＀＀育_xDC09_刺䁰찀폄䷨!呁䍅䥞彂䅐䝖ㄨ⼱⼱〲㜰ㄬ㌯⼱〲㠰착 ＀＀ ＀＀_x0008_＀＀_x0008_＀＀_x0001_＀＀_x0001_＀＀_x0001_＀＀뒳獓醹䀒䆠丯_x0013_協乏䙞彇䭍彔䅖啌⡅착!＀＀ ＀＀	＀＀_x0008_＀＀_x0001_＀＀_x0001_＀＀_x0001_＀＀౴廈뗯䁙찀☬䵿 呁䍅䥞彂䅐䝖㐨ㄯ㈯〰ⰷ⼶〳㈯〰⤷ ＀＀ ＀＀_x0008_＀＀_x0008_＀＀_x0001_＀＀_x0001_＀＀_x0001_＀＀➿꧖㷲䀍䆝丯A䱅塇䙞彅卅䥔䅍䕔✨䅓䕌❓✬䕍乁Ⱗ䌧䱁✴✬〲ㄱⰧ低ⱗⰬⰧㅆ㌲䴽䩁✬착!＀＀ ＀＀	＀＀_x0008_＀＀_x0001_＀＀_x0001_＀＀_x0001_＀＀㤯铮㨎䁔찀䆠丯?呈剗䙞彅卅䥔䅍䕔✨偅❓✬䕍乁Ⱗ䌧䱁✴✬〲ㄱⰧ低ⱗⰬⰧㅆ㌲䴽䩁✬착!＀＀ ＀＀	＀＀_x0008_＀＀_x0001_＀＀_x0001_＀＀_x0001_＀＀쟳㚴䶍쀅찀䆝丯_x0013_䱁乇䙞彇䭍彔䅖啌⡅착!＀＀ ＀＀	＀＀_x0008_＀＀_x0001_＀＀_x0001_＀＀_x0001_＀＀_xFFFF_Ｎﴡڶ䂜찀䆠丯P䡔剏⡞䙆䑟䉅⡔瑱Ⱳ⤰䘭彆䅃䡓卟⡔呑ⱒ⤰䀩䘨彆䕄呂儨剔⴬䘱⥑䘭彆䅃䡓卟⡔呑ⱒㄭ兆⤩Ɲ＀＀ ＀＀ƅ＀＀_x0008_＀＀_x0001_＀＀_x0001_＀＀_x0001_＀＀䞮竡戔쁱摦畳㩰⼯楤敲瑣潩獮䘯呁嘠敩敷㽲捡楴湯唽䑐呁♅牣慥潴㵲慦瑣敳♴奄彎剁升吽啒♅佄彃䅎䕍䘽呁䘺䱑䅟䑕呉义彇䱃䕉呎呟䵅䱐呁⹅䅆♔楤灳慬役瑳楲杮䄽摵瑩嘦剁䬺奅䴽奆䕂奐䭄♎䅖㩒啑剅㵙䍋䝨汒䔹啒啊䙋商楕睷卋䜱汒䐹噑䥎ㅘ啎䙋商楕睷卋䅬䕋䝚じ䙒汑潑噕卒䍌砰汒灅啌䝚じ䉎さ晨ㅕ潑噕卒䍌砰汒灅卋㵫圦义佄㵗䥆卒彔佐啐♐䕈䝉呈㐽〵圦䑉䡔㐽〵匦䅔呒䵟塁䵉婉䑅䘽䱁䕓嘦剁䌺䱁久䅄㵒单嘦剁区䵙佂㵌䡔剏嘦剁䤺䑎塅〽찀䆞丯_x0013_呈剗䙞彇䭍彔䅖啌⡅착!＀＀ ＀＀	＀＀_x0008_＀＀_x0001_＀＀_x0001_＀＀_x0001_＀＀멞౉ຂ䂏찀☬䵿 呁䍅䥞彂䅐䝖㜨ㄯ㈯〰ⰹ⼹〳㈯〰⤹ ＀＀ ＀＀_x0008_＀＀_x0008_＀＀_x0001_＀＀_x0001_＀＀_x0001_＀＀⊞袇ꎛ䀐㝾䷻ 剁奁䥞彂䅐䝖ㄨㄯ㈯〰ⰷ⼳ㄳ㈯〰⤷ ＀＀ ＀＀_x0008_＀＀_x0008_＀＀_x0001_＀＀_x0001_＀＀_x0001_＀＀թ겆╮䀹㞵䷻ 剁奁䥞彂䅐䝖㔨ㄯ㈯〰ⰷ⼶〳㈯〰⤸ ＀＀ ＀＀_x0008_＀＀_x0008_＀＀_x0001_＀＀_x0001_＀＀_x0001_＀＀쎹㈦ㅳ䀮䆡丯?啎䅖䙞彅卅䥔䅍䕔✨偅❓✬䕍乁Ⱗ䌧䱁✴✬〲ㄱⰧ低ⱗⰬⰧㅆ㌲䴽䩁✬착!＀＀ ＀＀	＀＀_x0008_＀＀_x0001_＀＀_x0001_＀＀_x0001_＀＀ꐞ좧∡㿲찀䆞丯_x0013_佖䍌偞偟䥒䕃㐨㜰〵착!＀＀ ＀＀	＀＀_x0008_＀＀_x0001_＀＀_x0001_＀＀_x0001_＀＀蔟凫Ẹ䁀찀䆝丯_x0016_低乂䌭幈䝆䵟呋噟䱁䕕⤨!＀＀ ＀＀	＀＀_x0008_＀＀_x0001_＀＀_x0001_＀＀_x0001_＀＀폃攫糙䂟찀䆝丯P䉁䑍⡞䙆䑟䉅⡔瑱Ⱳ⤰䘭彆䅃䡓卟⡔呑ⱒ⤰䀩䘨彆䕄呂儨剔⴬䘱⥑䘭彆䅃䡓卟⡔呑ⱒㄭ兆⤩Ɲ＀＀ ＀＀ƅ＀＀_x0008_＀＀_x0001_＀＀_x0001_＀＀_x0001_＀＀ⴎ鶲⟯쁎摦畳㩰⼯楤敲瑣潩獮䘯呁嘠敩敷㽲捡楴湯唽䑐呁♅牣慥潴㵲慦瑣敳♴奄彎剁升吽啒♅佄彃䅎䕍䘽呁䘺䱑䅟䑕呉义彇䱃䕉呎呟䵅䱐呁⹅䅆♔楤灳慬役瑳楲杮䄽摵瑩嘦剁䬺奅䄽䥈䭆䵐単♖䅖㩒啑剅㵙䍋䝨汒䔹啒啊䙋商楕睷卋䜱汒䐹噑䥎ㅘ啎䙋商楕睷卋䅬䕋䝚じ䙒汑潑噕卒䍌砰汒灅啌䝚じ䉎さ晨ㅕ潑噕卒䍌砰汒灅卋㵫圦义佄㵗䥆卒彔佐啐♐䕈䝉呈㐽〵圦䑉䡔㐽〵匦䅔呒䵟塁䵉婉䑅䘽䱁䕓嘦剁䌺䱁久䅄㵒单嘦剁区䵙佂㵌䉁䑍嘦剁䤺䑎塅〽찀暍䷰ 䅖幒䉉偟噁⡇〱ㄯ㈯〰ⰸ⼹〳㈯〰⤹ ＀＀ ＀＀_x0008_＀＀_x0008_＀＀_x0001_＀＀_x0001_＀＀_x0001_＀＀ⱒ뒷戚䁂䆡丯_x0015_䍋幉䙆卟䱁卅䌨䱁〬奃착Ō＀＀ ＀＀Ĵ＀＀_x0008_＀＀_x0001_＀＀_x0001_＀＀_x0001_＀＀멞౉蜂䂟摦畳㩰⼯楤敲瑣潩獮䘯呁嘠敩敷㽲捡楴湯唽䑐呁♅牣慥潴㵲慦瑣敳♴奄彎剁升吽啒♅佄彃䅎䕍䘽呁䘺䱑䅟䑕呉义彇䱃䕉呎呟䵅䱐呁⹅䅆♔楤灳慬役瑳楲杮䄽摵瑩嘦剁䬺奅伽但䅊啊兖♈䅖㩒啑剅㵙歒晚さ䵆噒潍け䵆䑌䑂南㵫圦义佄㵗䥆卒彔佐啐♐䕈䝉呈㐽〵圦䑉䡔㐽〵匦䅔呒䵟塁䵉婉䑅䘽䱁䕓嘦剁䌺䱁久䅄㵒单嘦剁区䵙佂㵌䍋♉䅖㩒义䕄㵘0䆣丯?⸲㌹䙞彅卅䥔䅍䕔✨偅❓✬䕍乁Ⱗ䌧䱁✴✬〲㈱Ⱗ低ⱗⰬⰧㅆ㌲䴽䩁✬착_x001D_＀＀ ＀＀_x0005_＀＀_x0004_＀＀_x0001_＀＀_x0001_＀＀_x0008_＀＀乀A찀䆟丯_x0013_䡔剏䙞彇䭍彔䅖啌⡅착!＀＀ ＀＀	＀＀_x0008_＀＀_x0001_＀＀_x0001_＀＀_x0001_＀＀稐ꬶ㤾䂟찀䆡丯_x0017_剁䍔䙞彆䅓䕌⡓䅃ⱌㄭ奃착ō＀＀ ＀＀ĵ＀＀_x0008_＀＀_x0001_＀＀_x0001_＀＀_x0001_＀＀㽼밵䁳摦畳㩰⼯楤敲瑣潩獮䘯呁嘠敩敷㽲捡楴湯唽䑐呁♅牣慥潴㵲慦瑣敳♴奄彎剁升吽啒♅佄彃䅎䕍䘽呁䘺䱑䅟䑕呉义彇䱃䕉呎呟䵅䱐呁⹅䅆♔楤灳慬役瑳楲杮䄽摵瑩嘦剁䬺奅䤽䝚䭚䝆䕐♔䅖㩒啑剅㵙歒晚さ䵆噒潍け䵆䍌砰ㅑ火圦义佄㵗䥆卒彔佐啐♐䕈䝉呈㐽〵圦䑉䡔㐽〵匦䅔呒䵟塁䵉婉䑅䘽䱁䕓嘦剁䌺䱁久䅄㵒单嘦剁区䵙佂㵌剁䍔嘦剁䤺䑎塅〽찀됪丞 剘奁䥞彂䅐䝖ㄨㄯ㈯〰ⰷ⼳ㄳ㈯〰⤷ ＀＀ ＀＀_x0008_＀＀_x0008_＀＀_x0001_＀＀_x0001_＀＀_x0001_＀＀ॗ蜖輳䀿昦䷰_x001F_䅖幒䉉偟噁⡇⼱⼱〲㠰㌬㌯⼱〲㠰착 ＀＀ ＀＀_x0008_＀＀_x0008_＀＀_x0001_＀＀_x0001_＀＀_x0001_＀＀闿⚕袥䁉䆝丯?偃協䙞彅卅䥔䅍䕔✨偅❓✬䕍乁Ⱗ䌧䱁✴✬〲ㄱⰧ低ⱗⰬⰧㅆ㌲䴽䩁✬착!＀＀ ＀＀	＀＀_x0008_＀＀_x0001_＀＀_x0001_＀＀_x0001_＀＀尨슏㾕찀䆣丯@㜶㤮帵䕆䕟呓䵉呁⡅䔧卐Ⱗ䴧䅅❎✬䅃㑌Ⱗ㈧㄰✲丬坏Ⱜ✬䘬㈱㴳䅍ⱊ⤧_x001D_＀＀ ＀＀_x0005_＀＀_x0004_＀＀_x0001_＀＀_x0001_＀＀_x0008_＀＀乀A찀</t>
        </r>
      </text>
    </comment>
    <comment ref="B1" authorId="0">
      <text>
        <r>
          <rPr>
            <b/>
            <sz val="8"/>
            <color indexed="81"/>
            <rFont val="Tahoma"/>
            <family val="2"/>
          </rPr>
          <t>21062</t>
        </r>
      </text>
    </comment>
  </commentList>
</comments>
</file>

<file path=xl/sharedStrings.xml><?xml version="1.0" encoding="utf-8"?>
<sst xmlns="http://schemas.openxmlformats.org/spreadsheetml/2006/main" count="2106" uniqueCount="1147">
  <si>
    <t>Y/Y Change</t>
  </si>
  <si>
    <t>FX</t>
  </si>
  <si>
    <t>M&amp;A</t>
  </si>
  <si>
    <t>ROW</t>
  </si>
  <si>
    <t>Constant Currency</t>
  </si>
  <si>
    <t>Ex-Precious Metals</t>
  </si>
  <si>
    <t>Cash Paid for Contingent Consideration on Prior Acquisitions</t>
  </si>
  <si>
    <t>Reported (includes FX swaps)</t>
  </si>
  <si>
    <t>715.593984</t>
  </si>
  <si>
    <t>XRAY.O,mscalc:salesConsensusMedian,2015Q1,,FYR</t>
  </si>
  <si>
    <t>XRAY.O,mscalc:epsConsensusMedian,2015Q4,,FYR</t>
  </si>
  <si>
    <t>XRAY.O,mscalc:epsConsensusMedian,2015Q1,,FYR</t>
  </si>
  <si>
    <t>XRAY.O,mscalc:epsConsensusMedian,2015Q3,,FYR</t>
  </si>
  <si>
    <t>XRAY.O,mscalc:salesConsensusMedian,2015Q4,,FYR</t>
  </si>
  <si>
    <t>XRAY.O,mscalc:salesConsensusMedian,2015Q2,,FYR</t>
  </si>
  <si>
    <t>XRAY.O,mscalc:epsConsensusMedian,2015Q2,,FYR</t>
  </si>
  <si>
    <t>XRAY.O,mscalc:salesConsensusMedian,2015FY,,FYR</t>
  </si>
  <si>
    <t>XRAY.O,mscalc:salesConsensusMedian,2015Q3,,FYR</t>
  </si>
  <si>
    <t>XRAY.O,mscalc:epsConsensusMedian,2015FY,,FYR</t>
  </si>
  <si>
    <t>2Y Change</t>
  </si>
  <si>
    <t>Restructuring/Other</t>
  </si>
  <si>
    <t>Revenue Build</t>
  </si>
  <si>
    <t>Net from continuing ops</t>
  </si>
  <si>
    <t xml:space="preserve">Restructuring and other </t>
  </si>
  <si>
    <t>Incremental Op. Profit</t>
  </si>
  <si>
    <t>Net Income from Continuing Ops</t>
  </si>
  <si>
    <t>A/R</t>
  </si>
  <si>
    <t>Prepaid expenses and other CA</t>
  </si>
  <si>
    <t>Retained Earnings</t>
  </si>
  <si>
    <t>Notes payable, current L-T debt</t>
  </si>
  <si>
    <t>Total</t>
  </si>
  <si>
    <t>XRAY.O,mscalc:salesConsensusMedian,,,FYR</t>
  </si>
  <si>
    <t>XRAY.O,mscalc:epsConsensusMedian,2011Q4,,FYR</t>
  </si>
  <si>
    <t>XRAY.O,mscalc:epsConsensusMedian,2011Q2,,FYR</t>
  </si>
  <si>
    <t>XRAY.O,mscalc:salesConsensusMedian,2011Q4,,FYR</t>
  </si>
  <si>
    <t>XRAY.O,mscalc:salesConsensusMedian,2011Q1,,FYR</t>
  </si>
  <si>
    <t>XRAY.O,mscalc:epsConsensusMedian,2011Q1,,FYR</t>
  </si>
  <si>
    <t>XRAY.O,mscalc:salesConsensusMedian,2011Q2,,FYR</t>
  </si>
  <si>
    <t>XRAY.O,mscalc:salesConsensusMedian,2011Q3,,FYR</t>
  </si>
  <si>
    <t>XRAY.O,mscalc:epsConsensusMedian,2011Q3,,FYR</t>
  </si>
  <si>
    <t>0.519999980926514</t>
  </si>
  <si>
    <t>XRAY.O,mscalc:targetPrice</t>
  </si>
  <si>
    <t>1Q07</t>
  </si>
  <si>
    <t>2Q07</t>
  </si>
  <si>
    <t>3Q07</t>
  </si>
  <si>
    <t>4Q07</t>
  </si>
  <si>
    <t>1Q08</t>
  </si>
  <si>
    <t>2Q08</t>
  </si>
  <si>
    <t>3Q08</t>
  </si>
  <si>
    <t>4Q08</t>
  </si>
  <si>
    <t>1Q09</t>
  </si>
  <si>
    <t>2Q09</t>
  </si>
  <si>
    <t>3Q09</t>
  </si>
  <si>
    <t>4Q09</t>
  </si>
  <si>
    <t>1Q10</t>
  </si>
  <si>
    <t>2Q10</t>
  </si>
  <si>
    <t>3Q10</t>
  </si>
  <si>
    <t>4Q10</t>
  </si>
  <si>
    <t>1Q11</t>
  </si>
  <si>
    <t>2Q11</t>
  </si>
  <si>
    <t>3Q11</t>
  </si>
  <si>
    <t>2,970.189824</t>
  </si>
  <si>
    <t>4Q11</t>
  </si>
  <si>
    <t>1Q12</t>
  </si>
  <si>
    <t>2Q12</t>
  </si>
  <si>
    <t>3Q12</t>
  </si>
  <si>
    <t>4Q12</t>
  </si>
  <si>
    <t>Equity in loss of uncons. co.</t>
  </si>
  <si>
    <t>2007A</t>
  </si>
  <si>
    <t>2008A</t>
  </si>
  <si>
    <t>2009A</t>
  </si>
  <si>
    <t>ASSETS</t>
  </si>
  <si>
    <t>Total Current Assets</t>
  </si>
  <si>
    <t>Goodwill</t>
  </si>
  <si>
    <t>Other</t>
  </si>
  <si>
    <t>Total Assets</t>
  </si>
  <si>
    <t>Total Current Liabilities</t>
  </si>
  <si>
    <t>Total Liabilities</t>
  </si>
  <si>
    <t>Dollars in millions, except per share data</t>
  </si>
  <si>
    <t>AOCI</t>
  </si>
  <si>
    <t>Total Liabilities &amp; Equity</t>
  </si>
  <si>
    <t>Check</t>
  </si>
  <si>
    <t>Financial Metrics</t>
  </si>
  <si>
    <t>Total Debt</t>
  </si>
  <si>
    <t>Net debt (debt-cash)</t>
  </si>
  <si>
    <t>Net cash per share</t>
  </si>
  <si>
    <t>Returns</t>
  </si>
  <si>
    <t>Return on Equity (ROE)</t>
  </si>
  <si>
    <t>Return on Assets (ROA)</t>
  </si>
  <si>
    <t>Debt Coverage</t>
  </si>
  <si>
    <t>EBITDA Coverage</t>
  </si>
  <si>
    <t>EBIT Coverage</t>
  </si>
  <si>
    <t>Net Debt / EBITDA</t>
  </si>
  <si>
    <t>Debt / Capital</t>
  </si>
  <si>
    <t>Liquidity</t>
  </si>
  <si>
    <t>Current Ratio (CA/CL)</t>
  </si>
  <si>
    <t>Quick Ratio ((Cash+Mkt Sec+AR)/CL)</t>
  </si>
  <si>
    <t>Cash Ratio</t>
  </si>
  <si>
    <t>Acid-Test Ratio</t>
  </si>
  <si>
    <t>Working Capital Metrics</t>
  </si>
  <si>
    <t>Inventory Days (DIO)</t>
  </si>
  <si>
    <t>Days Payable Outstanding (DPO)</t>
  </si>
  <si>
    <t>Cash Conversion Cycle</t>
  </si>
  <si>
    <t>Additional balance Sheet Metrics</t>
  </si>
  <si>
    <t>Cash &amp; equivalents per share</t>
  </si>
  <si>
    <t>Changes in Shareholders' Equity</t>
  </si>
  <si>
    <t>Opening Balance</t>
  </si>
  <si>
    <t>Issue of Shares (including premium)</t>
  </si>
  <si>
    <t>Net Income</t>
  </si>
  <si>
    <t>Dividend</t>
  </si>
  <si>
    <t>Other AOCI</t>
  </si>
  <si>
    <t>Closing Balance</t>
  </si>
  <si>
    <t>ASSET SCHEDULES</t>
  </si>
  <si>
    <t>PP&amp;E</t>
  </si>
  <si>
    <t>PP&amp;E, gross - BoP</t>
  </si>
  <si>
    <t>Capex</t>
  </si>
  <si>
    <t>% of sales</t>
  </si>
  <si>
    <t>PP&amp;E, gross - EoP</t>
  </si>
  <si>
    <t>Accumulated depreciation - BoP</t>
  </si>
  <si>
    <t>Depreciation</t>
  </si>
  <si>
    <t>% of beg gross</t>
  </si>
  <si>
    <t>Accum Depreciation - EoP</t>
  </si>
  <si>
    <t>PP&amp;E, net</t>
  </si>
  <si>
    <t>Intangibles</t>
  </si>
  <si>
    <t>Intangibles - BoP</t>
  </si>
  <si>
    <t>Amortization</t>
  </si>
  <si>
    <t>% of beg bal</t>
  </si>
  <si>
    <t>Intangibles - EoP</t>
  </si>
  <si>
    <t>Beg Balance</t>
  </si>
  <si>
    <t>ex-PM and Med Tech Tax</t>
  </si>
  <si>
    <t>Ending Balance</t>
  </si>
  <si>
    <t>Net Cash Provided by Operating Activities</t>
  </si>
  <si>
    <t>Net Cash Used in Investing Activities</t>
  </si>
  <si>
    <t>Effect of Exchange Rate on Cash &amp; CE</t>
  </si>
  <si>
    <t>Cash and Cash Equivalents (BOP)</t>
  </si>
  <si>
    <t>Cash and Cash Equivalents (EOP)</t>
  </si>
  <si>
    <t>Accounts payable</t>
  </si>
  <si>
    <t>Revenues</t>
  </si>
  <si>
    <t>Interest income</t>
  </si>
  <si>
    <t>Interest expense</t>
  </si>
  <si>
    <t>y/y growth</t>
  </si>
  <si>
    <t>EBITDA</t>
  </si>
  <si>
    <t>2010A</t>
  </si>
  <si>
    <t>days in period</t>
  </si>
  <si>
    <t>M&amp;A Accounting</t>
  </si>
  <si>
    <t>Total Purchase Price</t>
  </si>
  <si>
    <t xml:space="preserve">Total </t>
  </si>
  <si>
    <t>Additional Financial Metrics</t>
  </si>
  <si>
    <t>Dividends</t>
  </si>
  <si>
    <t>Dividends/Share</t>
  </si>
  <si>
    <t>payout ratio</t>
  </si>
  <si>
    <t>STOCK REPURCHASES / ISSUANCES</t>
  </si>
  <si>
    <t>Options Granted</t>
  </si>
  <si>
    <t>Options Lapsed</t>
  </si>
  <si>
    <t>Y/Y Growth</t>
  </si>
  <si>
    <t>2.51799988746643</t>
  </si>
  <si>
    <t>2.75</t>
  </si>
  <si>
    <t>0.75</t>
  </si>
  <si>
    <t xml:space="preserve"> </t>
  </si>
  <si>
    <t>Exercised shares as a % of outstanding</t>
  </si>
  <si>
    <t>Options lapsed as a % of outstanding</t>
  </si>
  <si>
    <t>Options granted - Y/Y Growth</t>
  </si>
  <si>
    <t>Gross Margin</t>
  </si>
  <si>
    <t>Repurchases</t>
  </si>
  <si>
    <t>Shares repurchased</t>
  </si>
  <si>
    <t>Cost of repurchases</t>
  </si>
  <si>
    <t>Avg cost</t>
  </si>
  <si>
    <t>% change</t>
  </si>
  <si>
    <t>Free Cash Flow (FCF)</t>
  </si>
  <si>
    <t>FCF per share</t>
  </si>
  <si>
    <t>Free Cash Flow Yield</t>
  </si>
  <si>
    <t>Market Price</t>
  </si>
  <si>
    <t>This sheet contains Factset binary data for use with this workbook's =FDS codes.  Modifying the worksheet's contents may damage the workbook's =FDS functionality.</t>
  </si>
  <si>
    <t>Proceeds from stock issuance ($m)</t>
  </si>
  <si>
    <t>Net change in short-term debt</t>
  </si>
  <si>
    <t>Proceeds from long term debt</t>
  </si>
  <si>
    <t>Payments on long term debt</t>
  </si>
  <si>
    <t>Allocations</t>
  </si>
  <si>
    <t>COGS</t>
  </si>
  <si>
    <t>SG&amp;A</t>
  </si>
  <si>
    <t>Margins</t>
  </si>
  <si>
    <t>Gross Profit</t>
  </si>
  <si>
    <t>Sales</t>
  </si>
  <si>
    <t>Base Case</t>
  </si>
  <si>
    <t>Basic Shares (BOP)</t>
  </si>
  <si>
    <t>Basic Shares (EOP)</t>
  </si>
  <si>
    <t>2011A</t>
  </si>
  <si>
    <t>2012A</t>
  </si>
  <si>
    <t>2013A</t>
  </si>
  <si>
    <t>USD</t>
  </si>
  <si>
    <t>Others</t>
  </si>
  <si>
    <t>Unrecorded Goodwill</t>
  </si>
  <si>
    <t>COGS Yield</t>
  </si>
  <si>
    <t>United States</t>
  </si>
  <si>
    <t>Prepaid Expenses &amp; Other (% of revenues)</t>
  </si>
  <si>
    <t>Income Statement</t>
  </si>
  <si>
    <t>Cash and cash equivalents</t>
  </si>
  <si>
    <t>Income taxes payable</t>
  </si>
  <si>
    <t>Long term debt</t>
  </si>
  <si>
    <t>Common stock</t>
  </si>
  <si>
    <t>Treasury stock</t>
  </si>
  <si>
    <t>Ex Medtech Tax</t>
  </si>
  <si>
    <t>Free Cash Flow</t>
  </si>
  <si>
    <t>Preferred stock</t>
  </si>
  <si>
    <t>Tax Rate</t>
  </si>
  <si>
    <t>Tax rate</t>
  </si>
  <si>
    <t>0.689999997615814</t>
  </si>
  <si>
    <t>0.639999985694885</t>
  </si>
  <si>
    <t>0.600000023841858</t>
  </si>
  <si>
    <t>Growth Rates</t>
  </si>
  <si>
    <t>2.03500008583069</t>
  </si>
  <si>
    <t>2,517.599232</t>
  </si>
  <si>
    <t>718.049984</t>
  </si>
  <si>
    <t>Income Taxes</t>
  </si>
  <si>
    <t>Total Revenue</t>
  </si>
  <si>
    <t>NA</t>
  </si>
  <si>
    <t>Diluted EPS</t>
  </si>
  <si>
    <t>Acquisitions and Equity Investments</t>
  </si>
  <si>
    <t>2016E</t>
  </si>
  <si>
    <t>Currency</t>
  </si>
  <si>
    <t>Current Stock Price</t>
  </si>
  <si>
    <t>XRAY.O,mscalc:epsConsensusMedian,2014Q3,,FYR</t>
  </si>
  <si>
    <t>XRAY.O,mscalc:epsConsensusMedian,2014Q2,,FYR</t>
  </si>
  <si>
    <t>XRAY.O,mscalc:epsConsensusMedian,2014Q1,,FYR</t>
  </si>
  <si>
    <t>XRAY.O,mscalc:epsConsensusMedian,2014FY,,FYR</t>
  </si>
  <si>
    <t>XRAY.O,mscalc:salesConsensusMedian,2014FY,,FYR</t>
  </si>
  <si>
    <t>XRAY.O,mscalc:salesConsensusMedian,2014Q3,,FYR</t>
  </si>
  <si>
    <t>Count</t>
  </si>
  <si>
    <t>2.3529999256134</t>
  </si>
  <si>
    <t>0.550000011920929</t>
  </si>
  <si>
    <t>785.12704</t>
  </si>
  <si>
    <t>2 Yr</t>
  </si>
  <si>
    <t>Income to noncontrol. Int.</t>
  </si>
  <si>
    <t>1Q14</t>
  </si>
  <si>
    <t>2Q14</t>
  </si>
  <si>
    <t>3Q14</t>
  </si>
  <si>
    <t>Average Basic Shares</t>
  </si>
  <si>
    <t>Period End Basic Shares</t>
  </si>
  <si>
    <t>Revenue</t>
  </si>
  <si>
    <t>Pre-Tax Income</t>
  </si>
  <si>
    <t>Cost of Revenues</t>
  </si>
  <si>
    <t>Operating Income / Loss</t>
  </si>
  <si>
    <t>Income before Taxes</t>
  </si>
  <si>
    <t>Reconciliation to GAAP</t>
  </si>
  <si>
    <t>GAAP  EPS</t>
  </si>
  <si>
    <t>EQUITY</t>
  </si>
  <si>
    <t>Days Sales Outstanding (DSO)</t>
  </si>
  <si>
    <t>Acquisitions / write-offs</t>
  </si>
  <si>
    <t>Options Outstanding BOP</t>
  </si>
  <si>
    <t>Options Exercised</t>
  </si>
  <si>
    <t>Options Outstanding EOP</t>
  </si>
  <si>
    <t>Wtd Avg Exercise Price (of exercised)</t>
  </si>
  <si>
    <t>Prepaid expenses and other current assets</t>
  </si>
  <si>
    <t>Excess tax benefit from stock-based compensation</t>
  </si>
  <si>
    <t>Loss on disposal of property and equipment</t>
  </si>
  <si>
    <t>Accrued liabilities</t>
  </si>
  <si>
    <t>Extraordinary Items</t>
  </si>
  <si>
    <t>EPS from Continuing Operations</t>
  </si>
  <si>
    <t>GAAP Net Income / Loss</t>
  </si>
  <si>
    <t>Inventories, net</t>
  </si>
  <si>
    <t>Current Assets:</t>
  </si>
  <si>
    <t>Goodwill, net</t>
  </si>
  <si>
    <t>Identifiable intangible assets, net</t>
  </si>
  <si>
    <t>LIABILITIES AND EQUITIES</t>
  </si>
  <si>
    <t>Current Liabilities:</t>
  </si>
  <si>
    <t>Deferred income taxes</t>
  </si>
  <si>
    <t>Other noncurrent liabilities</t>
  </si>
  <si>
    <t>Capital in excess of par value</t>
  </si>
  <si>
    <t>Noncontrolling Interests</t>
  </si>
  <si>
    <t>Total equity</t>
  </si>
  <si>
    <t>Capital expenditure</t>
  </si>
  <si>
    <t>Expenditure for identifiable intangible assets</t>
  </si>
  <si>
    <t>Proceeds from sale of property, plant and equipment, net</t>
  </si>
  <si>
    <t>Cash flow from operating activities:</t>
  </si>
  <si>
    <t>Adjustments:</t>
  </si>
  <si>
    <t>Others, net</t>
  </si>
  <si>
    <t>Cash flows from investing activities:</t>
  </si>
  <si>
    <t>Cash flow from financing activities:</t>
  </si>
  <si>
    <t xml:space="preserve">Proceeds from exercise of stock options </t>
  </si>
  <si>
    <t>Cash dividend paid</t>
  </si>
  <si>
    <t>Cash paid for treasury stocks</t>
  </si>
  <si>
    <t>Net Cash (used in) provided by financing activities</t>
  </si>
  <si>
    <t>Property, plant and equipment, net</t>
  </si>
  <si>
    <t xml:space="preserve">Other noncurrent assets, net </t>
  </si>
  <si>
    <t>Share-based compensation expense</t>
  </si>
  <si>
    <t>Restructuring and other costs-noncash</t>
  </si>
  <si>
    <t>Excess tax benefits from share-based compensation</t>
  </si>
  <si>
    <t>Changes in Operating Assets &amp; Liabilities, net of acquisitions</t>
  </si>
  <si>
    <t>Net increase(decrease)  in Cash and cash equivalents</t>
  </si>
  <si>
    <t>Other income and expenses</t>
  </si>
  <si>
    <t>Other (expense) income, net</t>
  </si>
  <si>
    <t xml:space="preserve">Net Income </t>
  </si>
  <si>
    <t>Short-term investments</t>
  </si>
  <si>
    <t>Net Income Reported</t>
  </si>
  <si>
    <t>Long-term debt</t>
  </si>
  <si>
    <t>Accrued liabilities (% of OpEx)</t>
  </si>
  <si>
    <t>Statutory tax</t>
  </si>
  <si>
    <t xml:space="preserve">State </t>
  </si>
  <si>
    <t xml:space="preserve">Federal </t>
  </si>
  <si>
    <t xml:space="preserve">Foreign </t>
  </si>
  <si>
    <t>Debt Schedule</t>
  </si>
  <si>
    <t>Debt Outstanding</t>
  </si>
  <si>
    <t>Short Term Debt</t>
  </si>
  <si>
    <t>Long Term Debt</t>
  </si>
  <si>
    <t>Issuances / (Repurchases)</t>
  </si>
  <si>
    <t>Interest Rate</t>
  </si>
  <si>
    <t>Wtd Avg Interest Rate (Total Debt)</t>
  </si>
  <si>
    <t>Interest Expense - reported</t>
  </si>
  <si>
    <t>Cash &amp; Equivalent - beg of period</t>
  </si>
  <si>
    <t>Cash &amp; Equivalent - avg</t>
  </si>
  <si>
    <t>Interest rate</t>
  </si>
  <si>
    <t>Notes payable</t>
  </si>
  <si>
    <t>US dollar denominated</t>
  </si>
  <si>
    <t>Taiwan dollar denominated</t>
  </si>
  <si>
    <t>Brazil reais denominated</t>
  </si>
  <si>
    <t>Total notes payable</t>
  </si>
  <si>
    <t>EURO  denominated</t>
  </si>
  <si>
    <t>Total current portion of long term debt</t>
  </si>
  <si>
    <t>Current portion of long term debt</t>
  </si>
  <si>
    <t>Swiss franc denominated</t>
  </si>
  <si>
    <t>Japanese yen denominated</t>
  </si>
  <si>
    <t xml:space="preserve">Total long term debt net of current portion </t>
  </si>
  <si>
    <t>Wtd Avg Interest Rate (Notes payable)</t>
  </si>
  <si>
    <t>Wtd Avg Interest Rate (Current portion )</t>
  </si>
  <si>
    <t>Wtd Avg Interest Rate (Long term debt )</t>
  </si>
  <si>
    <t>Interest expense (Notes payable)</t>
  </si>
  <si>
    <t>Interest expense (Current portion )</t>
  </si>
  <si>
    <t>Interest expense (Long term debt )</t>
  </si>
  <si>
    <t>Interest expense (Total Debt)</t>
  </si>
  <si>
    <t>Polish zloty denominated</t>
  </si>
  <si>
    <t>Brazil real denominated</t>
  </si>
  <si>
    <t>Swiss frank denominated</t>
  </si>
  <si>
    <t>Fiscal year ends Dec 31</t>
  </si>
  <si>
    <t xml:space="preserve">Total current debt </t>
  </si>
  <si>
    <t>$ millions, except per share data</t>
  </si>
  <si>
    <t>XRAY.O</t>
  </si>
  <si>
    <t>Fully Diluted Shares</t>
  </si>
  <si>
    <t>XRAY.O,mscalc:closePriceCurrencyCalc</t>
  </si>
  <si>
    <t>XRAY.O,mscalc:targetPrice,,,,USD</t>
  </si>
  <si>
    <t>XRAY.O,mscalc:sedolCodeCalc</t>
  </si>
  <si>
    <t>Amortization of premium/discounts</t>
  </si>
  <si>
    <t>Gross profit margin</t>
  </si>
  <si>
    <t>FX Impact</t>
  </si>
  <si>
    <t>ex-PM</t>
  </si>
  <si>
    <t>Quality of Income</t>
  </si>
  <si>
    <t>ex-PM Revenues</t>
  </si>
  <si>
    <t>GM Ex-PM</t>
  </si>
  <si>
    <t>SG&amp;A Ex-PM</t>
  </si>
  <si>
    <t>1Q13</t>
  </si>
  <si>
    <t>2Q13</t>
  </si>
  <si>
    <t>3Q13</t>
  </si>
  <si>
    <t>4Q13</t>
  </si>
  <si>
    <t>XRAY.O,mscalc:epsConsensusMedian,2013Q2,,FYR</t>
  </si>
  <si>
    <t>$ Chg</t>
  </si>
  <si>
    <t>XRAY.O,mscalc:epsConsensusMedian,2011FY,,FYR</t>
  </si>
  <si>
    <t>0.649999976158142</t>
  </si>
  <si>
    <t>XRAY.O,mscalc:salesConsensusMedian,2011FY,,FYR</t>
  </si>
  <si>
    <t>XRAY.O,mscalc:salesConsensusMedian,2013Q2,,FYR</t>
  </si>
  <si>
    <t>XRAY.O,mscalc:salesConsensusMedian,2013Q3,,FYR</t>
  </si>
  <si>
    <t>XRAY.O,mscalc:epsConsensusMedian,2013Q3,,FYR</t>
  </si>
  <si>
    <t>XRAY.O,mscalc:epsConsensusMedian,2013FY,,FYR</t>
  </si>
  <si>
    <t>XRAY.O,mscalc:salesConsensusMedian,2013FY,,FYR</t>
  </si>
  <si>
    <t>Dentsply</t>
  </si>
  <si>
    <t>Organic</t>
  </si>
  <si>
    <t>US</t>
  </si>
  <si>
    <t>International</t>
  </si>
  <si>
    <t>Europe</t>
  </si>
  <si>
    <t>0.560000002384186</t>
  </si>
  <si>
    <t>Accounts and note receivable</t>
  </si>
  <si>
    <t>2,956.414976</t>
  </si>
  <si>
    <t>723.20896</t>
  </si>
  <si>
    <t>2,989.899776</t>
  </si>
  <si>
    <t>717.700032</t>
  </si>
  <si>
    <t>730.757056</t>
  </si>
  <si>
    <t>769</t>
  </si>
  <si>
    <t>4Q14</t>
  </si>
  <si>
    <t>2014A</t>
  </si>
  <si>
    <t>% margin</t>
  </si>
  <si>
    <t>Adjusted EBITDA</t>
  </si>
  <si>
    <t>2017E</t>
  </si>
  <si>
    <t>1Q15</t>
  </si>
  <si>
    <t>XRAY</t>
  </si>
  <si>
    <t>2Q15</t>
  </si>
  <si>
    <t xml:space="preserve">      FX impact </t>
  </si>
  <si>
    <t xml:space="preserve">   OM ex-PM and MT Tax</t>
  </si>
  <si>
    <t xml:space="preserve">   OM ex-PM, MT Tax, FX</t>
  </si>
  <si>
    <t xml:space="preserve">  Y/Y Change - Org margin</t>
  </si>
  <si>
    <t xml:space="preserve">  Y/Y Change - Rep margin</t>
  </si>
  <si>
    <t>Summary Cash Flow</t>
  </si>
  <si>
    <t>Net Cash Flow</t>
  </si>
  <si>
    <t>Operating Cash Flow</t>
  </si>
  <si>
    <t>FCF/Share</t>
  </si>
  <si>
    <t>SIRO</t>
  </si>
  <si>
    <t>2018E</t>
  </si>
  <si>
    <t>2019E</t>
  </si>
  <si>
    <t>2020E</t>
  </si>
  <si>
    <t>ex-PM, FX, Med Tech Tax</t>
  </si>
  <si>
    <t>3Q15</t>
  </si>
  <si>
    <t>Operating Margins reported</t>
  </si>
  <si>
    <t>Operating Margins ex-PM</t>
  </si>
  <si>
    <t xml:space="preserve">      Other impact </t>
  </si>
  <si>
    <t>ND</t>
  </si>
  <si>
    <t>Equity</t>
  </si>
  <si>
    <t>Organic Operating Margin %</t>
  </si>
  <si>
    <t>Organic Operating Margin $</t>
  </si>
  <si>
    <t>R&amp;D</t>
  </si>
  <si>
    <t>Instruments</t>
  </si>
  <si>
    <t>Treatment Centers</t>
  </si>
  <si>
    <t>Imaging Systems</t>
  </si>
  <si>
    <t>CAD/CAM</t>
  </si>
  <si>
    <t>Total Gross Profit</t>
  </si>
  <si>
    <t xml:space="preserve">Organic Growth </t>
  </si>
  <si>
    <t>Comp Exp as a % of OpEx</t>
  </si>
  <si>
    <t>Stock Comp Expense</t>
  </si>
  <si>
    <t>Total OpEx</t>
  </si>
  <si>
    <t>STOCK-BASED COMPENSATION</t>
  </si>
  <si>
    <t>Options granted as a % of outstanding</t>
  </si>
  <si>
    <t>Q/Q Growth</t>
  </si>
  <si>
    <t>Wtd Avg Exercise Price (of excercised)</t>
  </si>
  <si>
    <t>Options Oustanding EOP</t>
  </si>
  <si>
    <t>Options Forfeited</t>
  </si>
  <si>
    <t>Options Exchanged</t>
  </si>
  <si>
    <t>Options Expired</t>
  </si>
  <si>
    <t>Options Issued with exchanges</t>
  </si>
  <si>
    <t>Options Oustanding BOP</t>
  </si>
  <si>
    <t>Cash restatement</t>
  </si>
  <si>
    <t>Sale of businesses, net of cash sold</t>
  </si>
  <si>
    <t>Accrued liabilities and deferred income</t>
  </si>
  <si>
    <t>NET INTEREST EXPENSE/ (INCOME)</t>
  </si>
  <si>
    <t>Interest Expense</t>
  </si>
  <si>
    <t>Other debt</t>
  </si>
  <si>
    <t>Senior term loan, Tranche A2</t>
  </si>
  <si>
    <t>Senior term loan, Tranche A1</t>
  </si>
  <si>
    <t>Bank loans</t>
  </si>
  <si>
    <t>Other short-term debt</t>
  </si>
  <si>
    <t>Wtd Avg Interest Rate (LT Debt)</t>
  </si>
  <si>
    <t>Current Portion of Long-Term Debt</t>
  </si>
  <si>
    <t>Total Issuances/ (Repurchases)</t>
  </si>
  <si>
    <t>Minority Interest</t>
  </si>
  <si>
    <t>F4Q16E</t>
  </si>
  <si>
    <t>F3Q16E</t>
  </si>
  <si>
    <t>F3Q15</t>
  </si>
  <si>
    <t>F2Q15</t>
  </si>
  <si>
    <t>F1Q15</t>
  </si>
  <si>
    <t>F4Q14</t>
  </si>
  <si>
    <t>F3Q14</t>
  </si>
  <si>
    <t>F2Q14</t>
  </si>
  <si>
    <t>F1Q14</t>
  </si>
  <si>
    <t>GM</t>
  </si>
  <si>
    <t>Gross Margin - 2 Yr Change</t>
  </si>
  <si>
    <t>Gross Margin - Yr/Yr Change</t>
  </si>
  <si>
    <t>T2Q TREND</t>
  </si>
  <si>
    <t>2 Year Y-Y Constant Currency $ Revenue</t>
  </si>
  <si>
    <t>Y-Y Constant Currency $ Revenue Growth</t>
  </si>
  <si>
    <t>Normalized Growth Trend (T2Q 2 Yr Stacked)</t>
  </si>
  <si>
    <t>Revenue $</t>
  </si>
  <si>
    <t>Two-Year Growth Momentum</t>
  </si>
  <si>
    <t>WW Sales</t>
  </si>
  <si>
    <t>F4Q15</t>
  </si>
  <si>
    <t>F4Q13</t>
  </si>
  <si>
    <t>F3Q13</t>
  </si>
  <si>
    <t>F2Q13</t>
  </si>
  <si>
    <t>F1Q13</t>
  </si>
  <si>
    <t>F4Q12</t>
  </si>
  <si>
    <t>F3Q12</t>
  </si>
  <si>
    <t>F2Q12</t>
  </si>
  <si>
    <t>F1Q12</t>
  </si>
  <si>
    <t>F4Q11</t>
  </si>
  <si>
    <t>F3Q11</t>
  </si>
  <si>
    <t>F2Q11</t>
  </si>
  <si>
    <t>F1Q11</t>
  </si>
  <si>
    <t>F4Q10</t>
  </si>
  <si>
    <t>F3Q10</t>
  </si>
  <si>
    <t>F2Q10</t>
  </si>
  <si>
    <t>F1Q10</t>
  </si>
  <si>
    <t>F4Q09</t>
  </si>
  <si>
    <t>F3Q09</t>
  </si>
  <si>
    <t>F2Q09</t>
  </si>
  <si>
    <t>F1Q09</t>
  </si>
  <si>
    <t>F4Q08</t>
  </si>
  <si>
    <t>F3Q08</t>
  </si>
  <si>
    <t>F2Q08</t>
  </si>
  <si>
    <t>F1Q08</t>
  </si>
  <si>
    <t>F4Q07</t>
  </si>
  <si>
    <t>F3Q07</t>
  </si>
  <si>
    <t>F2Q07</t>
  </si>
  <si>
    <t>F1Q07</t>
  </si>
  <si>
    <t xml:space="preserve">Sirona Organic Growth </t>
  </si>
  <si>
    <t>Use of LC Revs starts in Dec '12 qr</t>
  </si>
  <si>
    <t>Sirona</t>
  </si>
  <si>
    <t>Dentsply Sirona Inc.</t>
  </si>
  <si>
    <t xml:space="preserve">Other (Gain)/loss </t>
  </si>
  <si>
    <t>Income taxes payable / receivable</t>
  </si>
  <si>
    <t>Long-term investments</t>
  </si>
  <si>
    <t>Cash Paid to non-controlling interests of consolidated subsidiaries</t>
  </si>
  <si>
    <t>2021E</t>
  </si>
  <si>
    <t>Quarterly Balance Sheet,  2007A–2020E</t>
  </si>
  <si>
    <t>Quarterly Cash Flow Statement,  2007A–2020E</t>
  </si>
  <si>
    <t xml:space="preserve">Dentsply </t>
  </si>
  <si>
    <t>Net Issunace/repurchase</t>
  </si>
  <si>
    <t>MW Required Tags</t>
  </si>
  <si>
    <t>Total Dentsply Sirona internal equity</t>
  </si>
  <si>
    <t>Consolidated Dentsply Sirona Inc.</t>
  </si>
  <si>
    <t>ex-PM, FX and Med Tech Tax</t>
  </si>
  <si>
    <t>INTEREST INCOME (Dentsply)</t>
  </si>
  <si>
    <t>INTEREST INCOME (Sirona)</t>
  </si>
  <si>
    <t>Dentsply Sirona Inc. (Interest Expense)</t>
  </si>
  <si>
    <t>Interest Expense (IS Linking)</t>
  </si>
  <si>
    <t>Interest Income (Interest Linking)</t>
  </si>
  <si>
    <t>Consolidated</t>
  </si>
  <si>
    <t>Synergies</t>
  </si>
  <si>
    <t xml:space="preserve">        Repurchase from SIRO FCF</t>
  </si>
  <si>
    <t xml:space="preserve">        Repurchase from XRAY FCF</t>
  </si>
  <si>
    <t xml:space="preserve">        Repurchase from deal close</t>
  </si>
  <si>
    <t>SIRO (standalone)</t>
  </si>
  <si>
    <t>XRAY (standalone)</t>
  </si>
  <si>
    <t>Gross Profit Bridge</t>
  </si>
  <si>
    <t>SIRO Gross Profit</t>
  </si>
  <si>
    <t>XRAY Gross Profit</t>
  </si>
  <si>
    <t>% total</t>
  </si>
  <si>
    <t>% SIRO R&amp;D</t>
  </si>
  <si>
    <t>Reclass to COGS</t>
  </si>
  <si>
    <t>Reclass to SG&amp;A</t>
  </si>
  <si>
    <t>Reclass to Others</t>
  </si>
  <si>
    <t>Reclass from SIRO</t>
  </si>
  <si>
    <t xml:space="preserve">SG&amp;A ex-Synergy </t>
  </si>
  <si>
    <t xml:space="preserve">               Cost synergies $</t>
  </si>
  <si>
    <t xml:space="preserve">Reported Growth </t>
  </si>
  <si>
    <t xml:space="preserve">Acquisition </t>
  </si>
  <si>
    <t>2015A</t>
  </si>
  <si>
    <t>Incremental Intangible amortiz.</t>
  </si>
  <si>
    <t>Amortiz and Stk Comp post tax</t>
  </si>
  <si>
    <t xml:space="preserve">      Reps impact $ XRAY </t>
  </si>
  <si>
    <t xml:space="preserve">               Rev synergies COGS $</t>
  </si>
  <si>
    <t>Operating Profit Bridge</t>
  </si>
  <si>
    <t xml:space="preserve">Total Organic Growth </t>
  </si>
  <si>
    <t>$BV$2</t>
  </si>
  <si>
    <t>Organic Growth - 2 year</t>
  </si>
  <si>
    <t>BYNPPC6</t>
  </si>
  <si>
    <t>Operating Profit reported</t>
  </si>
  <si>
    <t>% reported growth y/y</t>
  </si>
  <si>
    <t>% Acquisition / other impact</t>
  </si>
  <si>
    <t>% Constant currency % growth ex PM</t>
  </si>
  <si>
    <t>PM Impact ($mn)</t>
  </si>
  <si>
    <t>% Adjusted internal sales growth</t>
  </si>
  <si>
    <t>% of total revenues</t>
  </si>
  <si>
    <t>XRAY COGS</t>
  </si>
  <si>
    <t>SIRO GAAP COGS</t>
  </si>
  <si>
    <t>SIRO COGS Acquisition</t>
  </si>
  <si>
    <t>SIRO COGS Reclassification</t>
  </si>
  <si>
    <t>XRAY Non-GAAP Adj.</t>
  </si>
  <si>
    <t>SIRO Non-GAAP Adj.</t>
  </si>
  <si>
    <t>SIRO revenues</t>
  </si>
  <si>
    <t>XRAY revenues</t>
  </si>
  <si>
    <t>SIRO GAAP SG&amp;A</t>
  </si>
  <si>
    <t>SIRO SG&amp;A Acquisition</t>
  </si>
  <si>
    <t>XRAY SG&amp;A</t>
  </si>
  <si>
    <t>% of total SG&amp;A</t>
  </si>
  <si>
    <t xml:space="preserve">Restructuring &amp; Other </t>
  </si>
  <si>
    <t xml:space="preserve">SIRO </t>
  </si>
  <si>
    <t>XRAY Int. expense</t>
  </si>
  <si>
    <t>SIRO Interest (income) expense, net</t>
  </si>
  <si>
    <t>Reclassification to XRAY</t>
  </si>
  <si>
    <t>XRAY Int. income</t>
  </si>
  <si>
    <t>XRAY Other (expense) income, net</t>
  </si>
  <si>
    <t>SIRO (Gain) loss on Forex Transaction</t>
  </si>
  <si>
    <t>SIRO (Gain) loss on Derivative Inst.</t>
  </si>
  <si>
    <t>SIRO Other (expense) income, net</t>
  </si>
  <si>
    <t>XRAY Provision for Income Taxes</t>
  </si>
  <si>
    <t>SIRO Provision for Income Taxes</t>
  </si>
  <si>
    <t>SIRO Acquisition Adj.</t>
  </si>
  <si>
    <t>% of total provision</t>
  </si>
  <si>
    <t>% of total Stk Comp in SG&amp;A</t>
  </si>
  <si>
    <t>SIRO Income before taxes</t>
  </si>
  <si>
    <t xml:space="preserve">XRAY Equity in loss of uncons. co. </t>
  </si>
  <si>
    <t>XRAY Income to noncontrol. Int.</t>
  </si>
  <si>
    <t>SIRO Income to noncontrol. Int.</t>
  </si>
  <si>
    <t>SIRO Fully Diluted Shares</t>
  </si>
  <si>
    <t>SIRO Average Basic Shares</t>
  </si>
  <si>
    <t>SIRO R&amp;D Reclassification</t>
  </si>
  <si>
    <t>2016A</t>
  </si>
  <si>
    <t>2017A</t>
  </si>
  <si>
    <t>Cash &amp; Equivalent - beg of period (XRAY + SIRO)</t>
  </si>
  <si>
    <t>Cash &amp; Equivalent - avg (XRAY + SIRO)</t>
  </si>
  <si>
    <t>4Q15</t>
  </si>
  <si>
    <t>1Q16</t>
  </si>
  <si>
    <t>% FX impact</t>
  </si>
  <si>
    <t>*</t>
  </si>
  <si>
    <t>% Constant currency growth</t>
  </si>
  <si>
    <t>% Organic growth</t>
  </si>
  <si>
    <t xml:space="preserve">% Reported Growth </t>
  </si>
  <si>
    <t>% FX Impact</t>
  </si>
  <si>
    <t>% Acquisition / Other</t>
  </si>
  <si>
    <t xml:space="preserve">% Organic Growth </t>
  </si>
  <si>
    <t xml:space="preserve">    % Organic Momentum</t>
  </si>
  <si>
    <t xml:space="preserve">Historical Consolidated Revenue </t>
  </si>
  <si>
    <t>NM</t>
  </si>
  <si>
    <t>Excluded PM revenues</t>
  </si>
  <si>
    <t>XRAY Revenues ex-PM ($mn)</t>
  </si>
  <si>
    <t>SIRO Revenues ($mn)</t>
  </si>
  <si>
    <t>Intercompany revenues ($mn)</t>
  </si>
  <si>
    <t>Revenue Synergies ($mn)</t>
  </si>
  <si>
    <t>Business Segments</t>
  </si>
  <si>
    <t>Consumables Revenues</t>
  </si>
  <si>
    <t>Geographic Segments</t>
  </si>
  <si>
    <t>% Reported adj. internal growth</t>
  </si>
  <si>
    <t>% Pro Forma Growth</t>
  </si>
  <si>
    <t>Consolidated incl. PM Revenues ($mn)</t>
  </si>
  <si>
    <t>% reported growth ex PM y/y</t>
  </si>
  <si>
    <t>Subtotal revenues ($mn)</t>
  </si>
  <si>
    <t>% Local currency growth</t>
  </si>
  <si>
    <t xml:space="preserve">Intercompany revenues </t>
  </si>
  <si>
    <t>Reported Revenues ex-PM</t>
  </si>
  <si>
    <t>Pro Forma Revenues ex-PM</t>
  </si>
  <si>
    <t>Inventory</t>
  </si>
  <si>
    <t>Finished goods</t>
  </si>
  <si>
    <t>% of total inventory</t>
  </si>
  <si>
    <t>Work- in-process</t>
  </si>
  <si>
    <t>Raw materials and supplies</t>
  </si>
  <si>
    <t>Total inventory</t>
  </si>
  <si>
    <t>Acquisitions</t>
  </si>
  <si>
    <t>Gross Margin (%)</t>
  </si>
  <si>
    <t>Modelware Share Calculation</t>
  </si>
  <si>
    <t xml:space="preserve">Organic Operating Margin </t>
  </si>
  <si>
    <t>% pro-forma margin</t>
  </si>
  <si>
    <t>Cost Synergies ($mn)</t>
  </si>
  <si>
    <t>Pro-Forma SG&amp;A ($mn)</t>
  </si>
  <si>
    <t>Total Gross Profit ($mn)</t>
  </si>
  <si>
    <t>Revenue Synergies SG&amp;A ($mn)</t>
  </si>
  <si>
    <t>Total SG&amp;A ($mn)</t>
  </si>
  <si>
    <t>Pro Forma Net Income</t>
  </si>
  <si>
    <t xml:space="preserve">GAAP Net Income </t>
  </si>
  <si>
    <t xml:space="preserve">      Rev synergies OM $</t>
  </si>
  <si>
    <t xml:space="preserve">      Cost synergies $</t>
  </si>
  <si>
    <t>Pro Forma Operating Profit Bridge</t>
  </si>
  <si>
    <t>Consolidated ex-PM</t>
  </si>
  <si>
    <t>Reported Revenues incl. PM</t>
  </si>
  <si>
    <t>% Synergy incremental growth</t>
  </si>
  <si>
    <t>% Incremental growth</t>
  </si>
  <si>
    <t xml:space="preserve">% Organic growth ex-synergies </t>
  </si>
  <si>
    <t>Total Operating Income ($mn)</t>
  </si>
  <si>
    <t>Revenue Synergies contribution ($mn)</t>
  </si>
  <si>
    <t>Incremental Synergies Gross Profit ($mn)</t>
  </si>
  <si>
    <t>Cost Synergies contribution ($mn)</t>
  </si>
  <si>
    <t>% of Total operating income</t>
  </si>
  <si>
    <t>SG&amp;A Bridge &amp; Operating Income Build</t>
  </si>
  <si>
    <t>Incremental Synergies to SG&amp;A ($mn)</t>
  </si>
  <si>
    <t>% of Total Gross Profit</t>
  </si>
  <si>
    <t>Merger Adjustments ($mn)</t>
  </si>
  <si>
    <t>Organic Growth Profile</t>
  </si>
  <si>
    <t>N/A</t>
  </si>
  <si>
    <t>Two Year Organic</t>
  </si>
  <si>
    <t>Constant Currency Growth Tab</t>
  </si>
  <si>
    <t>US (2 year)</t>
  </si>
  <si>
    <t>ROW (2 year)</t>
  </si>
  <si>
    <t>Stand-alone Organic</t>
  </si>
  <si>
    <t>Stand-alone (2 year)</t>
  </si>
  <si>
    <t>2Q16</t>
  </si>
  <si>
    <t>ProForma Gross Profit ex-synergies ($mn)</t>
  </si>
  <si>
    <t>3Q16</t>
  </si>
  <si>
    <t>Other headwinds</t>
  </si>
  <si>
    <t>Pro-forma</t>
  </si>
  <si>
    <t>Organic incremental EBIT margin</t>
  </si>
  <si>
    <t>Organic Incremental margin</t>
  </si>
  <si>
    <t>Misc/Inventory</t>
  </si>
  <si>
    <t xml:space="preserve">      FX impact $ </t>
  </si>
  <si>
    <t xml:space="preserve">      FX impact $</t>
  </si>
  <si>
    <t>4Q16</t>
  </si>
  <si>
    <t>Pre-merger figures</t>
  </si>
  <si>
    <t>Reported Interest Income</t>
  </si>
  <si>
    <t>Implied annual interest rate</t>
  </si>
  <si>
    <t>Private placement notes $250.0 million due February 2016</t>
  </si>
  <si>
    <t>Fixed rate senior notes $300.0 million due August 2016</t>
  </si>
  <si>
    <t>Term loan 65.0 million Swiss francs denominated due September 2016</t>
  </si>
  <si>
    <t>Term loan 12.6 billion Japanese yen denominated due September 2019</t>
  </si>
  <si>
    <t>Term loan $175.0 million due August 2020</t>
  </si>
  <si>
    <t>Fixed rate senior notes $450 million due August 2021</t>
  </si>
  <si>
    <t>Private placement notes 70.0 million euros due October 2024</t>
  </si>
  <si>
    <t>Private placement notes 25.0 million Swiss franc due December 2025</t>
  </si>
  <si>
    <t>Private placement notes 97.0 million euros due December 2025</t>
  </si>
  <si>
    <t>Private placement notes 26.0 million euros due February 2026</t>
  </si>
  <si>
    <t>Private placement notes 58.0 million Swiss franc due August 2026</t>
  </si>
  <si>
    <t>Private placement notes 106.0 million euros due August 2026</t>
  </si>
  <si>
    <t>Private placement notes 70.0 million euros due October 2027</t>
  </si>
  <si>
    <t>Private placement notes 7.5 million Swiss franc due December 20273</t>
  </si>
  <si>
    <t>Private placement notes 15.0 million euros due December 2027</t>
  </si>
  <si>
    <t>Private placement notes 140.0 million Swiss franc due August 2028</t>
  </si>
  <si>
    <t>Private placement notes 70.0 million euros due October 2029</t>
  </si>
  <si>
    <t>Private placement notes 70.0 million euros due October 2030</t>
  </si>
  <si>
    <t>Private placement notes 45.0 million euros due February 2031</t>
  </si>
  <si>
    <t>Private placement notes 65.0 million Swiss franc due August 2031</t>
  </si>
  <si>
    <t>Private placement notes 70.0 million euros due October 2031</t>
  </si>
  <si>
    <t>Other borrowings, various currencies and rates</t>
  </si>
  <si>
    <t>Total debt</t>
  </si>
  <si>
    <t>Less: Current portion</t>
  </si>
  <si>
    <t>Less: Long-term portion of deferred financing costs</t>
  </si>
  <si>
    <t>Total long term debt</t>
  </si>
  <si>
    <t>Long-term portion of total LT debt</t>
  </si>
  <si>
    <t>Short term debt</t>
  </si>
  <si>
    <t>1. Detailed debt breakdown</t>
  </si>
  <si>
    <t>2. Debt Payments / Increases</t>
  </si>
  <si>
    <t>W. average interest rate</t>
  </si>
  <si>
    <t>Reported Interest Expense</t>
  </si>
  <si>
    <t>Implied Interest Expense</t>
  </si>
  <si>
    <t>3. Interest Expense Calculation</t>
  </si>
  <si>
    <t>Interest Income Calculation</t>
  </si>
  <si>
    <t>Europe Organic</t>
  </si>
  <si>
    <t xml:space="preserve">ROW Organic </t>
  </si>
  <si>
    <t xml:space="preserve">  Y/Y Change - Reported margin</t>
  </si>
  <si>
    <t>1Q17</t>
  </si>
  <si>
    <t>% impact of Equipment inventory</t>
  </si>
  <si>
    <t>Technology ex-Inventory</t>
  </si>
  <si>
    <t>Consumables</t>
  </si>
  <si>
    <t>2Q17</t>
  </si>
  <si>
    <t>2-Year Org Growth</t>
  </si>
  <si>
    <t>6mn EBIT</t>
  </si>
  <si>
    <t>US Reported adj. internal</t>
  </si>
  <si>
    <t>F1Q16</t>
  </si>
  <si>
    <t>F2Q16</t>
  </si>
  <si>
    <t>Reported growth % y/y</t>
  </si>
  <si>
    <t>Reported revenues ex-PM $</t>
  </si>
  <si>
    <t>PDCO equipment sell-out</t>
  </si>
  <si>
    <t>HSIC equipment sell-out</t>
  </si>
  <si>
    <t>MSe Organic Revenues $</t>
  </si>
  <si>
    <t xml:space="preserve">  Y/Y % Organic Change</t>
  </si>
  <si>
    <t>HSIC Inventory re-stocking</t>
  </si>
  <si>
    <t>PDCO Inventory de-stocking</t>
  </si>
  <si>
    <t>Acquisition/divestitures</t>
  </si>
  <si>
    <t>MS Organic Revenue Bridge</t>
  </si>
  <si>
    <t>Return on Invested Capital (ROIC)</t>
  </si>
  <si>
    <t xml:space="preserve">Adjusted EBIT </t>
  </si>
  <si>
    <t>Cash Taxes</t>
  </si>
  <si>
    <t>NOPAT (adjusted)</t>
  </si>
  <si>
    <t>NOPAT margin</t>
  </si>
  <si>
    <t>Debt</t>
  </si>
  <si>
    <t>Net Deferred Tax Liabilities</t>
  </si>
  <si>
    <t>Other Long-Term Liabilities</t>
  </si>
  <si>
    <t>Off-balance sheet operating leases</t>
  </si>
  <si>
    <t>Preferred Equity</t>
  </si>
  <si>
    <t>Shareholders Equity</t>
  </si>
  <si>
    <t>Accumulated Asset write-downs</t>
  </si>
  <si>
    <t>Non-performing Assets</t>
  </si>
  <si>
    <t>(Less cash)</t>
  </si>
  <si>
    <t>(Less unconsolidated investments)</t>
  </si>
  <si>
    <t>(Less Goodwill)</t>
  </si>
  <si>
    <t>Total Invested Capital (inc-Goodwill)</t>
  </si>
  <si>
    <t>Total Invested Capital (ex-Goodwill)</t>
  </si>
  <si>
    <t>ROIC (inc-Goodwill)</t>
  </si>
  <si>
    <t>ROIC (ex-Goodwill)</t>
  </si>
  <si>
    <t>Return on invested Capital (ROIC)(ex-Goodwill)</t>
  </si>
  <si>
    <t>3Q17</t>
  </si>
  <si>
    <t>1Q18E</t>
  </si>
  <si>
    <t>2Q18E</t>
  </si>
  <si>
    <t>3Q18E</t>
  </si>
  <si>
    <t>4Q18E</t>
  </si>
  <si>
    <t>Implants, CAD/CAM, Prosthetics &amp; Healthcare</t>
  </si>
  <si>
    <t>Chairside Consumables &amp; Endodontics</t>
  </si>
  <si>
    <t>Imaging, Treatment Centers &amp; Orthodontics</t>
  </si>
  <si>
    <t>Operating income by segment</t>
  </si>
  <si>
    <t>Segment adjusted operating income before income taxes and interest</t>
  </si>
  <si>
    <t>Adjusted non-US GAAP Operating Income</t>
  </si>
  <si>
    <t>EBIT margin %</t>
  </si>
  <si>
    <t>Consolidated Revenue ex-PM</t>
  </si>
  <si>
    <t>4Q17</t>
  </si>
  <si>
    <t>OLD</t>
  </si>
  <si>
    <t>Dental and HC Consumables Revenues</t>
  </si>
  <si>
    <t>Technology Revenues (ex-PM)</t>
  </si>
  <si>
    <t>% Organic growth (ex-stocking)</t>
  </si>
  <si>
    <t>1Q19E</t>
  </si>
  <si>
    <t>2Q19E</t>
  </si>
  <si>
    <t>3Q19E</t>
  </si>
  <si>
    <t>4Q19E</t>
  </si>
  <si>
    <t>1Q20E</t>
  </si>
  <si>
    <t>2Q20E</t>
  </si>
  <si>
    <t>3Q20E</t>
  </si>
  <si>
    <t>4Q20E</t>
  </si>
  <si>
    <t>US Organic (adj. for inventory)</t>
  </si>
  <si>
    <t>Geographic Revenues</t>
  </si>
  <si>
    <t>Product Revenues</t>
  </si>
  <si>
    <t>Org Growth Y/Y</t>
  </si>
  <si>
    <t>Adj. internal (XRAY basis)</t>
  </si>
  <si>
    <t>Organic adj. for inventory (Mse)</t>
  </si>
  <si>
    <t>3Q17 Business Segments split</t>
  </si>
  <si>
    <t>65</t>
  </si>
  <si>
    <t>Research</t>
  </si>
  <si>
    <t>MSA12974</t>
  </si>
  <si>
    <t>e = Morgan Stanley Research estimates unless otherwise noted</t>
  </si>
  <si>
    <t>Source: Morgan Stanley Research unless otherwise noted</t>
  </si>
  <si>
    <t>Stocks ratings are relative to the analyst's industry coverage universe.</t>
  </si>
  <si>
    <t>1585 Broadway</t>
  </si>
  <si>
    <t>New York, NY  10036-8293</t>
  </si>
  <si>
    <t>Tel: +1 (1)212 761 4000</t>
  </si>
  <si>
    <t>Authors: Steve Beuchaw</t>
  </si>
  <si>
    <t>Date: 26 Apr 2018</t>
  </si>
  <si>
    <t>Ticker: XRAY.O</t>
  </si>
  <si>
    <t>Stock Rating: Overweight</t>
  </si>
  <si>
    <t>Industry: Medical Technology</t>
  </si>
  <si>
    <t>Industry View: Attractive</t>
  </si>
  <si>
    <t>Price as of 26 Apr 2018: 49.66</t>
  </si>
  <si>
    <t>Target Price: 65</t>
  </si>
  <si>
    <t>Analyst Certification</t>
  </si>
  <si>
    <t>Unless otherwise stated, the individuals listed on the cover page of this report are research analysts.</t>
  </si>
  <si>
    <t>Global Research Conflict Management Policy</t>
  </si>
  <si>
    <t>Important US Regulatory Disclosures on Subject Companies</t>
  </si>
  <si>
    <t>Morgan Stanley &amp; Co. LLC makes a market in the securities of Dentsply Sirona Inc.</t>
  </si>
  <si>
    <t>STOCK RATINGS</t>
  </si>
  <si>
    <t>Global Stock Ratings Distribution</t>
  </si>
  <si>
    <t>(as of March 31, 2018)</t>
  </si>
  <si>
    <t>Coverage Universe</t>
  </si>
  <si>
    <t>Investment Banking Clients (IBC)</t>
  </si>
  <si>
    <t>Other Material Investment Services Clients (MISC)</t>
  </si>
  <si>
    <t>Stock Rating Category</t>
  </si>
  <si>
    <t>% of Total</t>
  </si>
  <si>
    <t>% of Total IBC</t>
  </si>
  <si>
    <t>% of Rating Category</t>
  </si>
  <si>
    <t>% of Total Other MISC</t>
  </si>
  <si>
    <t>Overweight/Buy</t>
  </si>
  <si>
    <t>Equal-weight/Hold</t>
  </si>
  <si>
    <t>Not-Rated/Hold</t>
  </si>
  <si>
    <t>Underweight/Sell</t>
  </si>
  <si>
    <t>Analyst Stock Ratings</t>
  </si>
  <si>
    <t>Analyst Industry Views</t>
  </si>
  <si>
    <t>.</t>
  </si>
  <si>
    <t>Stock Price, Price Target and Rating History (See Rating Definitions)</t>
  </si>
  <si>
    <t>Important Disclosures for Morgan Stanley Smith Barney LLC Customers</t>
  </si>
  <si>
    <t>Other Important Disclosures</t>
  </si>
  <si>
    <t>Morgan Stanley Research, or any portion thereof may not be reprinted, sold or redistributed without the</t>
  </si>
  <si>
    <t>written consent of Morgan Stanley.</t>
  </si>
  <si>
    <t>The trademarks and service marks contained in Morgan Stanley Research are the property of their</t>
  </si>
  <si>
    <t>respective owners. Third-party data providers make no warranties or representations relating to the</t>
  </si>
  <si>
    <t>accuracy, completeness, or timeliness of the data they provide and shall not have liability for any</t>
  </si>
  <si>
    <t>damages relating to such data. The Global Industry Classification Standard (GICS) was developed by and</t>
  </si>
  <si>
    <t>is the exclusive property of MSCI and S&amp;P.</t>
  </si>
  <si>
    <t>As required by the Capital Markets Board of Turkey, investment information, comments and recommendations</t>
  </si>
  <si>
    <t>stated here, are not within the scope of investment advisory activity. Investment advisory service is</t>
  </si>
  <si>
    <t>provided exclusively to persons based on their risk and income preferences by the authorized firms.</t>
  </si>
  <si>
    <t>Comments and recommendations stated here are general in nature. These opinions may not fit to your</t>
  </si>
  <si>
    <t>financial status, risk and return preferences. For this reason, to make an investment decision by</t>
  </si>
  <si>
    <t>relying solely to this information stated here may not bring about outcomes that fit your expectations.</t>
  </si>
  <si>
    <t>The information in Morgan Stanley Research is being communicated by Morgan Stanley &amp; Co. International</t>
  </si>
  <si>
    <t>plc (QFC Branch), regulated by the Qatar Financial Centre Regulatory Authority (the QFCRA), and is</t>
  </si>
  <si>
    <t>directed at business customers and market counterparties only and is not intended for Retail Customers</t>
  </si>
  <si>
    <t>as defined by the QFCRA.</t>
  </si>
  <si>
    <t>plc (DIFC Branch), regulated by the Dubai Financial Services Authority (the DFSA), and is directed at</t>
  </si>
  <si>
    <t>Professional Clients only, as defined by the DFSA. The financial products or financial services to which</t>
  </si>
  <si>
    <t>this research relates will only be made available to a customer who we are satisfied meets the</t>
  </si>
  <si>
    <t>regulatory criteria to be a Professional Client.</t>
  </si>
  <si>
    <t>Morgan Stanley Research is disseminated in Brazil by Morgan Stanley C.T.V.M. S.A.; in Mexico by Morgan</t>
  </si>
  <si>
    <t>Stanley México, Casa de Bolsa, S.A. de C.V which is regulated by Comision Nacional Bancaria y de</t>
  </si>
  <si>
    <t>Valores. Paseo de los Tamarindos 90, Torre 1, Col. Bosques de las Lomas Floor 29, 05120 Mexico City; in</t>
  </si>
  <si>
    <t>Japan by Morgan Stanley MUFG Securities Co., Ltd. and, for Commodities related research reports only,</t>
  </si>
  <si>
    <t>Morgan Stanley Capital Group Japan Co., Ltd; in Hong Kong by Morgan Stanley Asia Limited (which accepts</t>
  </si>
  <si>
    <t>responsibility for its contents) and by Morgan Stanley Asia International Limited, Hong Kong Branch; in</t>
  </si>
  <si>
    <t>Singapore by Morgan Stanley Asia (Singapore) Pte. (Registration number 199206298Z) and/or Morgan Stanley</t>
  </si>
  <si>
    <t>Asia (Singapore) Securities Pte Ltd (Registration number 200008434H), regulated by the Monetary</t>
  </si>
  <si>
    <t>Authority of Singapore (which accepts legal responsibility for its contents and should be contacted with</t>
  </si>
  <si>
    <t>respect to any matters arising from, or in connection with, Morgan Stanley Research) and by Morgan</t>
  </si>
  <si>
    <t>Stanley Asia International Limited, Singapore Branch (Registration number T11FC0207F); in Australia to</t>
  </si>
  <si>
    <t>"wholesale clients" within the meaning of the Australian Corporations Act by Morgan Stanley Australia</t>
  </si>
  <si>
    <t>Limited A.B.N. 67 003 734 576, holder of Australian financial services license No. 233742, which accepts</t>
  </si>
  <si>
    <t>responsibility for its contents; in Australia to "wholesale clients" and "retail clients" within the</t>
  </si>
  <si>
    <t>meaning of the Australian Corporations Act by Morgan Stanley Wealth Management Australia Pty Ltd (A.B.N.</t>
  </si>
  <si>
    <t>19 009 145 555, holder of Australian financial services license No. 240813, which accepts responsibility</t>
  </si>
  <si>
    <t>for its contents; in Korea by Morgan Stanley &amp; Co International plc, Seoul Branch; in India by Morgan</t>
  </si>
  <si>
    <t>Stanley India Company Private Limited; in Indonesia by PT. Morgan Stanley Sekuritas Indonesia; in Canada</t>
  </si>
  <si>
    <t>by Morgan Stanley Canada Limited, which has approved of and takes responsibility for its contents in</t>
  </si>
  <si>
    <t>Canada; in Germany by Morgan Stanley Bank AG, Frankfurt am Main and Morgan Stanley Private Wealth</t>
  </si>
  <si>
    <t>Management Limited, Niederlassung Deutschland, regulated by Bundesanstalt fuer</t>
  </si>
  <si>
    <t>Finanzdienstleistungsaufsicht (BaFin); in Spain by Morgan Stanley, S.V., S.A., a Morgan Stanley group</t>
  </si>
  <si>
    <t>company, which is supervised by the Spanish Securities Markets Commission (CNMV) and states that Morgan</t>
  </si>
  <si>
    <t>Stanley Research has been written and distributed in accordance with the rules of conduct applicable to</t>
  </si>
  <si>
    <t>financial research as established under Spanish regulations; in the US by Morgan Stanley &amp; Co. LLC,</t>
  </si>
  <si>
    <t>which accepts responsibility for its contents. Morgan Stanley &amp; Co. International plc, authorized by the</t>
  </si>
  <si>
    <t>Prudential Regulatory Authority and regulated by the Financial Conduct Authority and the Prudential</t>
  </si>
  <si>
    <t>Regulatory Authority, disseminates in the UK research that it has prepared, and approves solely for the</t>
  </si>
  <si>
    <t>purposes of section 21 of the Financial Services and Markets Act 2000, research which has been prepared</t>
  </si>
  <si>
    <t>by any of its affiliates. RMB Morgan Stanley Proprietary Limited is a member of the JSE Limited and</t>
  </si>
  <si>
    <t>regulated by the Financial Services Board in South Africa. RMB Morgan Stanley Proprietary Limited is a</t>
  </si>
  <si>
    <t>joint venture owned equally by Morgan Stanley International Holdings Inc. and RMB Investment Advisory</t>
  </si>
  <si>
    <t>(Proprietary) Limited, which is wholly owned by FirstRand Limited. The information in Morgan Stanley</t>
  </si>
  <si>
    <t>Research is being disseminated by Morgan Stanley Saudi Arabia, regulated by the Capital Market Authority</t>
  </si>
  <si>
    <t>in the Kingdom of Saudi Arabia , and is directed at Sophisticated investors only.</t>
  </si>
  <si>
    <t>Morgan Stanley is not incorporated under PRC law and the research in relation to this report is</t>
  </si>
  <si>
    <t>conducted outside the PRC. Morgan Stanley Research does not constitute an offer to sell or the</t>
  </si>
  <si>
    <t>solicitation of an offer to buy any securities in the PRC. PRC investors shall have the relevant</t>
  </si>
  <si>
    <t>qualifications to invest in such securities and shall be responsible for obtaining all relevant</t>
  </si>
  <si>
    <t>approvals, licenses, verifications and/or registrations from the relevant governmental authorities</t>
  </si>
  <si>
    <t>themselves. Neither this report nor any part of it is intended as, or shall constitute, provision of any</t>
  </si>
  <si>
    <t>consultancy or advisory service of securities investment as defined under PRC law. Such information is</t>
  </si>
  <si>
    <t>provided for your reference only.</t>
  </si>
  <si>
    <t>To our readers based in Taiwan or trading in Taiwan securities/instruments: Information on</t>
  </si>
  <si>
    <t>securities/instruments that trade in Taiwan is distributed by Morgan Stanley Taiwan Limited ("MSTL").</t>
  </si>
  <si>
    <t>Such information is for your reference only. The reader should independently evaluate the investment</t>
  </si>
  <si>
    <t>risks and is solely responsible for their investment decisions. Morgan Stanley Research may not be</t>
  </si>
  <si>
    <t>distributed to the public media or quoted or used by the public media without the express written</t>
  </si>
  <si>
    <t>consent of Morgan Stanley. Any non-customer reader within the scope of Article 7-1 of the Taiwan Stock</t>
  </si>
  <si>
    <t>Exchange Recommendation Regulations accessing and/or receiving Morgan Stanley Research is not permitted</t>
  </si>
  <si>
    <t>to provide Morgan Stanley Research to any third party (including but not limited to related parties,</t>
  </si>
  <si>
    <t>affiliated companies and any other third parties) or engage in any activities regarding Morgan Stanley</t>
  </si>
  <si>
    <t>Research which may create or give the appearance of creating a conflict of interest. Information on</t>
  </si>
  <si>
    <t>securities/instruments that do not trade in Taiwan is for informational purposes only and is not to be</t>
  </si>
  <si>
    <t>construed as a recommendation or a solicitation to trade in such securities/instruments. MSTL may not</t>
  </si>
  <si>
    <t>execute transactions for clients in these securities/instruments.</t>
  </si>
  <si>
    <t>Morgan Stanley may make investment decisions that are inconsistent with the recommendations or views in</t>
  </si>
  <si>
    <t>this report.</t>
  </si>
  <si>
    <t>Morgan Stanley Research personnel may participate in company events such as site visits and are</t>
  </si>
  <si>
    <t>generally prohibited from accepting payment by the company of associated expenses unless pre-approved by</t>
  </si>
  <si>
    <t>authorized members of Research management.</t>
  </si>
  <si>
    <t>With the exception of information regarding Morgan Stanley, Morgan Stanley Research is based on public</t>
  </si>
  <si>
    <t>information. Morgan Stanley makes every effort to use reliable, comprehensive information, but we make</t>
  </si>
  <si>
    <t>no representation that it is accurate or complete. We have no obligation to tell you when opinions or</t>
  </si>
  <si>
    <t>information in Morgan Stanley Research change apart from when we intend to discontinue equity research</t>
  </si>
  <si>
    <t>coverage of a subject company. Facts and views presented in Morgan Stanley Research have not been</t>
  </si>
  <si>
    <t>reviewed by, and may not reflect information known to, professionals in other Morgan Stanley business</t>
  </si>
  <si>
    <t>areas, including investment banking personnel.</t>
  </si>
  <si>
    <t>The "Important US Regulatory Disclosures on Subject Companies" section in Morgan Stanley Research lists</t>
  </si>
  <si>
    <t>all companies mentioned where Morgan Stanley owns 1% or more of a class of common equity securities of</t>
  </si>
  <si>
    <t>the companies. For all other companies mentioned in Morgan Stanley Research, Morgan Stanley may have an</t>
  </si>
  <si>
    <t>investment of less than 1% in securities/instruments or derivatives of securities/instruments of</t>
  </si>
  <si>
    <t>companies and may trade them in ways different from those discussed in Morgan Stanley Research.</t>
  </si>
  <si>
    <t>Employees of Morgan Stanley not involved in the preparation of Morgan Stanley Research may have</t>
  </si>
  <si>
    <t>investments in securities/instruments or derivatives of securities/instruments of companies mentioned</t>
  </si>
  <si>
    <t>and may trade them in ways different from those discussed in Morgan Stanley Research. Derivatives may be</t>
  </si>
  <si>
    <t>issued by Morgan Stanley or associated persons.</t>
  </si>
  <si>
    <t>The fixed income research analysts, strategists or economists principally responsible for the</t>
  </si>
  <si>
    <t>preparation of Morgan Stanley Research have received compensation based upon various factors, including</t>
  </si>
  <si>
    <t>quality, accuracy and value of research, firm profitability or revenues (which include fixed income</t>
  </si>
  <si>
    <t>trading and capital markets profitability or revenues), client feedback and competitive factors. Fixed</t>
  </si>
  <si>
    <t>Income Research analysts', strategists' or economists' compensation is not linked to investment banking</t>
  </si>
  <si>
    <t>or capital markets transactions performed by Morgan Stanley or the profitability or revenues of</t>
  </si>
  <si>
    <t>particular trading desks.</t>
  </si>
  <si>
    <t>Morgan Stanley Research does not provide individually tailored investment advice. Morgan Stanley</t>
  </si>
  <si>
    <t>Research has been prepared without regard to the circumstances and objectives of those who receive it.</t>
  </si>
  <si>
    <t>Morgan Stanley recommends that investors independently evaluate particular investments and strategies,</t>
  </si>
  <si>
    <t>and encourages investors to seek the advice of a financial adviser. The appropriateness of an investment</t>
  </si>
  <si>
    <t>or strategy will depend on an investor's circumstances and objectives. The securities, instruments, or</t>
  </si>
  <si>
    <t>strategies discussed in Morgan Stanley Research may not be suitable for all investors, and certain</t>
  </si>
  <si>
    <t>investors may not be eligible to purchase or participate in some or all of them. Morgan Stanley Research</t>
  </si>
  <si>
    <t>is not an offer to buy or sell or the solicitation of an offer to buy or sell any security/instrument or</t>
  </si>
  <si>
    <t>to participate in any particular trading strategy. The value of and income from your investments may</t>
  </si>
  <si>
    <t>vary because of changes in interest rates, foreign exchange rates, default rates, prepayment rates,</t>
  </si>
  <si>
    <t>securities/instruments prices, market indexes, operational or financial conditions of companies or other</t>
  </si>
  <si>
    <t>factors. There may be time limitations on the exercise of options or other rights in</t>
  </si>
  <si>
    <t>securities/instruments transactions. Past performance is not necessarily a guide to future performance.</t>
  </si>
  <si>
    <t>Estimates of future performance are based on assumptions that may not be realized. If provided, and</t>
  </si>
  <si>
    <t>unless otherwise stated, the closing price on the cover page is that of the primary exchange for the</t>
  </si>
  <si>
    <t>subject company's securities/instruments.</t>
  </si>
  <si>
    <t>If you do not agree to our Terms of Use and/or if you do not wish to provide your consent to Morgan</t>
  </si>
  <si>
    <t>Stanley processing your personal data or using cookies please do not access our research.</t>
  </si>
  <si>
    <t>Any access and/or use of Morgan Stanley Research is subject to Morgan Stanley's Terms of Use</t>
  </si>
  <si>
    <t>(http://www.morganstanley.com/terms.html). By accessing and/or using Morgan Stanley Research, you are</t>
  </si>
  <si>
    <t>indicating that you have read and agree to be bound by our Terms of Use</t>
  </si>
  <si>
    <t>(http://www.morganstanley.com/terms.html). In addition you consent to Morgan Stanley processing your</t>
  </si>
  <si>
    <t>personal data and using cookies in accordance with our Privacy Policy and our Global Cookies Policy</t>
  </si>
  <si>
    <t>(http://www.morganstanley.com/privacy_pledge.html), including for the purposes of setting your</t>
  </si>
  <si>
    <t>preferences and to collect readership data so that we can deliver better and more personalized service</t>
  </si>
  <si>
    <t>and products to you. To find out more information about how Morgan Stanley processes personal data, how</t>
  </si>
  <si>
    <t>we use cookies and how to reject cookies see our Privacy Policy and our Global Cookies Policy</t>
  </si>
  <si>
    <t>(http://www.morganstanley.com/privacy_pledge.html).</t>
  </si>
  <si>
    <t>Morgan Stanley Research is provided to our clients through our proprietary research portal on Matrix and</t>
  </si>
  <si>
    <t>also distributed electronically by Morgan Stanley to clients. Certain, but not all, Morgan Stanley</t>
  </si>
  <si>
    <t>Research products are also made available to clients through third-party vendors or redistributed to</t>
  </si>
  <si>
    <t>clients through alternate electronic means as a convenience. For access to all available Morgan Stanley</t>
  </si>
  <si>
    <t>Research, please contact your sales representative or go to Matrix at</t>
  </si>
  <si>
    <t>http://www.morganstanley.com/matrix.</t>
  </si>
  <si>
    <t>Morgan Stanley produces an equity research product called a "Tactical Idea." Views contained in a</t>
  </si>
  <si>
    <t>"Tactical Idea" on a particular stock may be contrary to the recommendations or views expressed in</t>
  </si>
  <si>
    <t>research on the same stock. This may be the result of differing time horizons, methodologies, market</t>
  </si>
  <si>
    <t>events, or other factors. For all research available on a particular stock, please contact your sales</t>
  </si>
  <si>
    <t>representative or go to Matrix at http://www.morganstanley.com/matrix.</t>
  </si>
  <si>
    <t>Morgan Stanley is not acting as a municipal advisor and the opinions or views contained herein are not</t>
  </si>
  <si>
    <t>intended to be, and do not constitute, advice within the meaning of Section 975 of the Dodd-Frank Wall</t>
  </si>
  <si>
    <t>Street Reform and Consumer Protection Act.</t>
  </si>
  <si>
    <t>Morgan Stanley Research policy is to update research reports as and when the Research Analyst and</t>
  </si>
  <si>
    <t>Research Management deem appropriate, based on developments with the issuer, the sector, or the market</t>
  </si>
  <si>
    <t>that may have a material impact on the research views or opinions stated therein. In addition, certain</t>
  </si>
  <si>
    <t>Research publications are intended to be updated on a regular periodic basis</t>
  </si>
  <si>
    <t>(weekly/monthly/quarterly/annual) and will ordinarily be updated with that frequency, unless the</t>
  </si>
  <si>
    <t>Research Analyst and Research Management determine that a different publication schedule is appropriate</t>
  </si>
  <si>
    <t>based on current conditions.</t>
  </si>
  <si>
    <t>Each Morgan Stanley Equity Research report is reviewed and approved on behalf of Morgan Stanley Smith</t>
  </si>
  <si>
    <t>Barney LLC. This review and approval is conducted by the same person who reviews the Equity Research</t>
  </si>
  <si>
    <t>report on behalf of Morgan Stanley. This could create a conflict of interest.</t>
  </si>
  <si>
    <t>Important disclosures regarding the relationship between the companies that are the subject of Morgan</t>
  </si>
  <si>
    <t>Stanley Research and Morgan Stanley Smith Barney LLC or Morgan Stanley or any of their affiliates, are</t>
  </si>
  <si>
    <t>available on the Morgan Stanley Wealth Management disclosure website at</t>
  </si>
  <si>
    <t>www.morganstanley.com/online/researchdisclosures. For Morgan Stanley specific disclosures, you may refer</t>
  </si>
  <si>
    <t>to www.morganstanley.com/researchdisclosures.</t>
  </si>
  <si>
    <t>Benchmarks for each region are as follows: North America - S&amp;P 500; Latin America - relevant MSCI</t>
  </si>
  <si>
    <t>country index or MSCI Latin America Index; Europe - MSCI Europe; Japan - TOPIX; Asia - relevant MSCI</t>
  </si>
  <si>
    <t>country index or MSCI sub-regional index or MSCI AC Asia Pacific ex Japan Index.</t>
  </si>
  <si>
    <t>Cautious (C): The analyst views the performance of his or her industry coverage universe over the next</t>
  </si>
  <si>
    <t>12-18 months with caution vs. the relevant broad market benchmark, as indicated below.</t>
  </si>
  <si>
    <t>In-Line (I): The analyst expects the performance of his or her industry coverage universe over the next</t>
  </si>
  <si>
    <t>12-18 months to be in line with the relevant broad market benchmark, as indicated below.</t>
  </si>
  <si>
    <t>Attractive (A): The analyst expects the performance of his or her industry coverage universe over the</t>
  </si>
  <si>
    <t>next 12-18 months to be attractive vs. the relevant broad market benchmark, as indicated below.</t>
  </si>
  <si>
    <t>Unless otherwise specified, the time frame for price targets included in Morgan Stanley Research is 12</t>
  </si>
  <si>
    <t>to 18 months.</t>
  </si>
  <si>
    <t>Underweight (U). The stock's total return is expected to be below the average total return of the</t>
  </si>
  <si>
    <t>analyst's industry (or industry team's) coverage universe, on a risk-adjusted basis, over the next 12-18</t>
  </si>
  <si>
    <t>months.</t>
  </si>
  <si>
    <t>Not-Rated (NR). Currently the analyst does not have adequate conviction about the stock's total return</t>
  </si>
  <si>
    <t>relative to the average total return of the analyst's industry (or industry team's) coverage universe,</t>
  </si>
  <si>
    <t>on a risk-adjusted basis, over the next 12-18 months.</t>
  </si>
  <si>
    <t>Equal-weight (E). The stock's total return is expected to be in line with the average total return of</t>
  </si>
  <si>
    <t>the analyst's industry (or industry team's) coverage universe, on a risk-adjusted basis, over the next</t>
  </si>
  <si>
    <t>12-18 months.</t>
  </si>
  <si>
    <t>Overweight (O). The stock's total return is expected to exceed the average total return of the analyst's</t>
  </si>
  <si>
    <t>industry (or industry team's) coverage universe, on a risk-adjusted basis, over the next 12-18 months.</t>
  </si>
  <si>
    <t>Data include common stock and ADRs currently assigned ratings. Investment Banking Clients are companies</t>
  </si>
  <si>
    <t>from whom Morgan Stanley received investment banking compensation in the last 12 months. Due to rounding</t>
  </si>
  <si>
    <t>off of decimals, the percentages provided in the "% of total" column may not add up to exactly 100</t>
  </si>
  <si>
    <t>percent.</t>
  </si>
  <si>
    <t>For disclosure purposes only (in accordance with NASD and NYSE requirements), we include the category</t>
  </si>
  <si>
    <t>headings of Buy, Hold, and Sell alongside our ratings of Overweight, Equal-weight, Not-Rated and</t>
  </si>
  <si>
    <t>Underweight. Morgan Stanley does not assign ratings of Buy, Hold or Sell to the stocks we cover.</t>
  </si>
  <si>
    <t>Overweight, Equal-weight, Not-Rated and Underweight are not the equivalent of buy, hold, and sell but</t>
  </si>
  <si>
    <t>represent recommended relative weightings (see definitions below). To satisfy regulatory requirements,</t>
  </si>
  <si>
    <t>we correspond Overweight, our most positive stock rating, with a buy recommendation; we correspond</t>
  </si>
  <si>
    <t>Equal-weight and Not-Rated to hold and Underweight to sell recommendations, respectively.</t>
  </si>
  <si>
    <t>The Stock Ratings described below apply to Morgan Stanley's Fundamental Equity Research and do not apply</t>
  </si>
  <si>
    <t>to Debt Research produced by the Firm.</t>
  </si>
  <si>
    <t>Morgan Stanley uses a relative rating system using terms such as Overweight, Equal-weight, Not-Rated or</t>
  </si>
  <si>
    <t>Underweight (see definitions below). Morgan Stanley does not assign ratings of Buy, Hold or Sell to the</t>
  </si>
  <si>
    <t>stocks we cover. Overweight, Equal-weight, Not-Rated and Underweight are not the equivalent of buy, hold</t>
  </si>
  <si>
    <t>and sell. Investors should carefully read the definitions of all ratings used in Morgan Stanley</t>
  </si>
  <si>
    <t>Research. In addition, since Morgan Stanley Research contains more complete information concerning the</t>
  </si>
  <si>
    <t>analyst's views, investors should carefully read Morgan Stanley Research, in its entirety, and not infer</t>
  </si>
  <si>
    <t>the contents from the rating alone. In any case, ratings (or research) should not be used or relied upon</t>
  </si>
  <si>
    <t>as investment advice. An investor's decision to buy or sell a stock should depend on individual</t>
  </si>
  <si>
    <t>circumstances (such as the investor's existing holdings) and other considerations.</t>
  </si>
  <si>
    <t>Certain disclosures listed above are also for compliance with applicable regulations in non-US</t>
  </si>
  <si>
    <t>jurisdictions.</t>
  </si>
  <si>
    <t>Morgan Stanley and its affiliates do business that relates to companies/instruments covered in Morgan</t>
  </si>
  <si>
    <t>Stanley Research, including market making, providing liquidity, fund management, commercial banking,</t>
  </si>
  <si>
    <t>extension of credit, investment services and investment banking. Morgan Stanley sells to and buys from</t>
  </si>
  <si>
    <t>customers the securities/instruments of companies covered in Morgan Stanley Research on a principal</t>
  </si>
  <si>
    <t>basis. Morgan Stanley may have a position in the debt of the Company or instruments discussed in this</t>
  </si>
  <si>
    <t>report. Morgan Stanley trades or may trade as principal in the debt securities (or in related</t>
  </si>
  <si>
    <t>derivatives) that are the subject of the debt research report.</t>
  </si>
  <si>
    <t>The equity research analysts or strategists principally responsible for the preparation of Morgan</t>
  </si>
  <si>
    <t>Stanley Research have received compensation based upon various factors, including quality of research,</t>
  </si>
  <si>
    <t>investor client feedback, stock picking, competitive factors, firm revenues and overall investment</t>
  </si>
  <si>
    <t>banking revenues. Equity Research analysts' or strategists' compensation is not linked to investment</t>
  </si>
  <si>
    <t>banking or capital markets transactions performed by Morgan Stanley or the profitability or revenues of</t>
  </si>
  <si>
    <t>Within the last 12 months, Morgan Stanley has either provided or is providing non-investment banking,</t>
  </si>
  <si>
    <t>securities-related services to and/or in the past has entered into an agreement to provide services or</t>
  </si>
  <si>
    <t>has a client relationship with the following company: Dentsply Sirona Inc.</t>
  </si>
  <si>
    <t>Within the last 12 months, Morgan Stanley has provided or is providing investment banking services to,</t>
  </si>
  <si>
    <t>or has an investment banking client relationship with, the following company: Dentsply Sirona Inc.</t>
  </si>
  <si>
    <t>In the next 3 months, Morgan Stanley expects to receive or intends to seek compensation for investment</t>
  </si>
  <si>
    <t>banking services from Dentsply Sirona Inc.</t>
  </si>
  <si>
    <t>Morgan Stanley Research has been published in accordance with our conflict management policy, which is</t>
  </si>
  <si>
    <t>available at www.morganstanley.com/institutional/research/conflictpolicies.</t>
  </si>
  <si>
    <t>The following analysts hereby certify that their views about the companies and their securities</t>
  </si>
  <si>
    <t>discussed in this report are accurately expressed and that they have not received and will not receive</t>
  </si>
  <si>
    <t>direct or indirect compensation in exchange for expressing specific recommendations or views in this</t>
  </si>
  <si>
    <t>report: Steve Beuchaw.</t>
  </si>
  <si>
    <t>For valuation methodology and risks associated with any recommendation, rating or price target</t>
  </si>
  <si>
    <t>referenced in this research report, please contact the Client Support Team as follows: US/Canada +1 800</t>
  </si>
  <si>
    <t>303-2495; Hong Kong +852 2848-5999; Latin America +1 718 754-5444 (U.S.); London +44 (0)20-7425-8169;</t>
  </si>
  <si>
    <t>Singapore +65 6834-6860; Sydney +61 (0)2-9770-1505; Tokyo +81 (0)3-6836-9000. Alternatively you may</t>
  </si>
  <si>
    <t>contact your investment representative or Morgan Stanley Research at 1585 Broadway, (Attention: Research</t>
  </si>
  <si>
    <t>Management), New York, NY 10036 USA.</t>
  </si>
  <si>
    <t>For important disclosures, stock price charts and equity rating histories regarding companies that are</t>
  </si>
  <si>
    <t>the subject of this report, please see the Morgan Stanley Research Disclosure Website at</t>
  </si>
  <si>
    <t>www.morganstanley.com/researchdisclosures, or contact your investment representative or Morgan Stanley</t>
  </si>
  <si>
    <t>Research at 1585 Broadway, (Attention: Research Management), New York, NY, 10036 USA.</t>
  </si>
  <si>
    <t>The information and opinions in Morgan Stanley Research were prepared by Morgan Stanley &amp; Co. LLC,</t>
  </si>
  <si>
    <t>and/or Morgan Stanley C.T.V.M. S.A., and/or Morgan Stanley Mexico, Casa de Bolsa, S.A. de C.V., and/or</t>
  </si>
  <si>
    <t>Morgan Stanley Canada Limited. As used in this disclosure section, "Morgan Stanley" includes Morgan</t>
  </si>
  <si>
    <t>Stanley &amp; Co. LLC, Morgan Stanley C.T.V.M. S.A., Morgan Stanley Mexico, Casa de Bolsa, S.A. de C.V.,</t>
  </si>
  <si>
    <t>Morgan Stanley Canada Limited and their affiliates as necessary.</t>
  </si>
  <si>
    <t>Morgan Stanley does and seeks to do business with companies covered in Morgan Stanley Research. As a</t>
  </si>
  <si>
    <t>result, investors should be aware that the firm may have a conflict of interest that could affect the</t>
  </si>
  <si>
    <t>objectivity of Morgan Stanley Research. Investors should consider Morgan Stanley Research as only a</t>
  </si>
  <si>
    <t>single factor in making their investment decision.</t>
  </si>
  <si>
    <t>© Copyright 2018 Morgan Stanley</t>
  </si>
  <si>
    <t>MacroVersion</t>
  </si>
  <si>
    <t>PublishDate</t>
  </si>
  <si>
    <t>Discipline</t>
  </si>
  <si>
    <t>ResearchTopic</t>
  </si>
  <si>
    <t>Company</t>
  </si>
  <si>
    <t>DocType</t>
  </si>
  <si>
    <t>Model</t>
  </si>
  <si>
    <t>SubjectCode</t>
  </si>
  <si>
    <t>Description</t>
  </si>
  <si>
    <t>KeepVersions</t>
  </si>
  <si>
    <t>All</t>
  </si>
  <si>
    <t>Rating</t>
  </si>
  <si>
    <t>CurrYearTotalRevenue*</t>
  </si>
  <si>
    <t>CurrYearEPS*</t>
  </si>
  <si>
    <t>NextYearTotalRevenue*</t>
  </si>
  <si>
    <t>NextYearEPS*</t>
  </si>
  <si>
    <t>FollowingYearTotalRevenue*</t>
  </si>
  <si>
    <t>FollowingYearEPS*</t>
  </si>
  <si>
    <t>5YearGrowthRate</t>
  </si>
  <si>
    <t>UpdateReason</t>
  </si>
  <si>
    <t>Authors</t>
  </si>
  <si>
    <t>Tickers</t>
  </si>
  <si>
    <t>CUSIP</t>
  </si>
  <si>
    <t>RIC</t>
  </si>
  <si>
    <t>SEDOL</t>
  </si>
  <si>
    <t>PathName</t>
  </si>
  <si>
    <t>Distribution</t>
  </si>
  <si>
    <t>Deleted</t>
  </si>
  <si>
    <t>NO</t>
  </si>
  <si>
    <t>EmailAlert</t>
  </si>
  <si>
    <t>YES</t>
  </si>
  <si>
    <t>CurrQtrEPS</t>
  </si>
  <si>
    <t>CYEnd</t>
  </si>
  <si>
    <t>CQEnd</t>
  </si>
  <si>
    <t>CurrYearTotalRevenueActual*</t>
  </si>
  <si>
    <t>NextYearTotalRevenueActual*</t>
  </si>
  <si>
    <t>FollowingYearTotalRevenueActual*</t>
  </si>
  <si>
    <t>Multiplier</t>
  </si>
  <si>
    <t>TemplateRegion</t>
  </si>
  <si>
    <t>ObjectType</t>
  </si>
  <si>
    <t>excel</t>
  </si>
  <si>
    <t>LanguageCode</t>
  </si>
  <si>
    <t>en-US</t>
  </si>
  <si>
    <t>SubmitterUserId</t>
  </si>
  <si>
    <t>IndustryId</t>
  </si>
  <si>
    <t>TickerRegion</t>
  </si>
  <si>
    <t>AdditionalInstructions</t>
  </si>
  <si>
    <t>*Estimated</t>
  </si>
  <si>
    <t>Overweight / Attractive</t>
  </si>
  <si>
    <t>Regular Update</t>
  </si>
  <si>
    <t>NorthAmerica</t>
  </si>
  <si>
    <t>wachter</t>
  </si>
  <si>
    <t>Dentsply Sirona Inc</t>
  </si>
  <si>
    <t>24906P109</t>
  </si>
  <si>
    <t>L:\HEALTH\Tools\Models\Published models\XRAY_Published.xlsm</t>
  </si>
  <si>
    <t>[BRO MSA]</t>
  </si>
  <si>
    <t>[PRODUCT MODEL]</t>
  </si>
  <si>
    <t>[EMAIL_ALERT YES]</t>
  </si>
  <si>
    <t>[DISCIPLINE Company]</t>
  </si>
  <si>
    <t>[SUPPRESSED NO]</t>
  </si>
  <si>
    <t>[DOCDAT 2018-04-26]</t>
  </si>
  <si>
    <t>[DOCTIME 17:58]</t>
  </si>
  <si>
    <t>[PSYM XRAY.O(S&amp;P) (None)]</t>
  </si>
  <si>
    <t>[COU 1]</t>
  </si>
  <si>
    <t>[ANA ]</t>
  </si>
  <si>
    <t>[HL XRAY.O Model]</t>
  </si>
  <si>
    <t>[IND ]</t>
  </si>
  <si>
    <t>[PANA MSA12974]</t>
  </si>
</sst>
</file>

<file path=xl/styles.xml><?xml version="1.0" encoding="utf-8"?>
<styleSheet xmlns="http://schemas.openxmlformats.org/spreadsheetml/2006/main" xmlns:mc="http://schemas.openxmlformats.org/markup-compatibility/2006" xmlns:x14ac="http://schemas.microsoft.com/office/spreadsheetml/2009/9/ac" mc:Ignorable="x14ac">
  <numFmts count="40">
    <numFmt numFmtId="5" formatCode="&quot;$&quot;#,##0_);\(&quot;$&quot;#,##0\)"/>
    <numFmt numFmtId="7" formatCode="&quot;$&quot;#,##0.00_);\(&quot;$&quot;#,##0.00\)"/>
    <numFmt numFmtId="8" formatCode="&quot;$&quot;#,##0.00_);[Red]\(&quot;$&quot;#,##0.00\)"/>
    <numFmt numFmtId="41" formatCode="_(* #,##0_);_(* \(#,##0\);_(* &quot;-&quot;_);_(@_)"/>
    <numFmt numFmtId="44" formatCode="_(&quot;$&quot;* #,##0.00_);_(&quot;$&quot;* \(#,##0.00\);_(&quot;$&quot;* &quot;-&quot;??_);_(@_)"/>
    <numFmt numFmtId="43" formatCode="_(* #,##0.00_);_(* \(#,##0.00\);_(* &quot;-&quot;??_);_(@_)"/>
    <numFmt numFmtId="164" formatCode="_-* #,##0.00_-;\-* #,##0.00_-;_-* &quot;-&quot;??_-;_-@_-"/>
    <numFmt numFmtId="165" formatCode="[$-409]mmm\-yy;@"/>
    <numFmt numFmtId="166" formatCode="_(* #,##0.0_);_(* \(#,##0.0\);_(* &quot;-&quot;??_);_(@_)"/>
    <numFmt numFmtId="167" formatCode="_(* #,##0.000_);_(* \(#,##0.000\);_(* &quot;-&quot;??_);_(@_)"/>
    <numFmt numFmtId="168" formatCode="#,##0.0_);\(#,##0.0\)"/>
    <numFmt numFmtId="169" formatCode="0.0%"/>
    <numFmt numFmtId="170" formatCode="0.0\x"/>
    <numFmt numFmtId="171" formatCode="0.0"/>
    <numFmt numFmtId="172" formatCode="0.0_);\(0.0\)"/>
    <numFmt numFmtId="173" formatCode="_(* #,##0.0_);_(* \(#,##0.0\);_(* &quot;-&quot;?_);_(@_)"/>
    <numFmt numFmtId="174" formatCode="#,##0.000_);\(#,##0.000\)"/>
    <numFmt numFmtId="175" formatCode="#,##0.0%_);\(#,##0.0%\)"/>
    <numFmt numFmtId="176" formatCode="&quot;$&quot;#,##0.0_);\(&quot;$&quot;#,##0.0\)"/>
    <numFmt numFmtId="177" formatCode="_(* #,##0_);_(* \(#,##0\);_(* &quot;-&quot;??_);_(@_)"/>
    <numFmt numFmtId="178" formatCode="[&lt;=9999999]###\-####;\(###\)\ ###\-####"/>
    <numFmt numFmtId="179" formatCode="0.000%"/>
    <numFmt numFmtId="181" formatCode="0_)"/>
    <numFmt numFmtId="184" formatCode="#,##0.0"/>
    <numFmt numFmtId="192" formatCode="[&lt;=9999999]#.\-####;\(#.\)\ ###\-####"/>
    <numFmt numFmtId="193" formatCode="0.0000_);\(0.0000\)"/>
    <numFmt numFmtId="194" formatCode="0.00000"/>
    <numFmt numFmtId="196" formatCode="_(* #,##0.000000_);_(* \(#,##0.000000\);_(* &quot;-&quot;??_);_(@_)"/>
    <numFmt numFmtId="197" formatCode="0&quot;A&quot;_);\(0\)&quot;E&quot;"/>
    <numFmt numFmtId="198" formatCode="&quot;$&quot;#,##0.000_);\(&quot;$&quot;#,##0.000\)"/>
    <numFmt numFmtId="201" formatCode="0.000"/>
    <numFmt numFmtId="202" formatCode="&quot;$&quot;#,##0.0000_);\(&quot;$&quot;#,##0.0000\)"/>
    <numFmt numFmtId="203" formatCode="#,##0.0000_);\(#,##0.0000\)"/>
    <numFmt numFmtId="205" formatCode="_(* #,##0.0000_);_(* \(#,##0.0000\);_(* &quot;-&quot;??_);_(@_)"/>
    <numFmt numFmtId="212" formatCode="#,##0.0;\-#,##0.0"/>
    <numFmt numFmtId="213" formatCode="#,##0.000"/>
    <numFmt numFmtId="216" formatCode="0.000_);\(0.000\)"/>
    <numFmt numFmtId="217" formatCode="_-* #,##0.0_-;\-* #,##0.0_-;_-* &quot;-&quot;?_-;_-@_-"/>
    <numFmt numFmtId="218" formatCode="#,##0.0000000000000"/>
    <numFmt numFmtId="226" formatCode="mm/dd/yy\ hh:mm"/>
  </numFmts>
  <fonts count="132" x14ac:knownFonts="1">
    <font>
      <sz val="10"/>
      <name val="Arial"/>
    </font>
    <font>
      <sz val="11"/>
      <color theme="1"/>
      <name val="Calibri"/>
      <family val="2"/>
      <scheme val="minor"/>
    </font>
    <font>
      <sz val="10"/>
      <name val="Arial"/>
      <family val="2"/>
    </font>
    <font>
      <b/>
      <sz val="8"/>
      <name val="Arial"/>
      <family val="2"/>
    </font>
    <font>
      <sz val="10"/>
      <name val="Arial"/>
      <family val="2"/>
    </font>
    <font>
      <sz val="8"/>
      <name val="Arial"/>
      <family val="2"/>
    </font>
    <font>
      <b/>
      <sz val="8"/>
      <color indexed="9"/>
      <name val="Arial"/>
      <family val="2"/>
    </font>
    <font>
      <b/>
      <sz val="8"/>
      <color indexed="12"/>
      <name val="Arial"/>
      <family val="2"/>
    </font>
    <font>
      <b/>
      <sz val="10"/>
      <color indexed="8"/>
      <name val="Arial"/>
      <family val="2"/>
    </font>
    <font>
      <sz val="8"/>
      <name val="Tms Rmn"/>
    </font>
    <font>
      <i/>
      <sz val="8"/>
      <color indexed="8"/>
      <name val="Arial"/>
      <family val="2"/>
    </font>
    <font>
      <i/>
      <sz val="8"/>
      <name val="Arial"/>
      <family val="2"/>
    </font>
    <font>
      <sz val="8"/>
      <name val="Arial"/>
      <family val="2"/>
    </font>
    <font>
      <sz val="8"/>
      <color indexed="12"/>
      <name val="Arial"/>
      <family val="2"/>
    </font>
    <font>
      <b/>
      <u/>
      <sz val="8"/>
      <name val="Arial"/>
      <family val="2"/>
    </font>
    <font>
      <b/>
      <sz val="8"/>
      <color indexed="81"/>
      <name val="Tahoma"/>
      <family val="2"/>
    </font>
    <font>
      <sz val="8"/>
      <color indexed="81"/>
      <name val="Tahoma"/>
      <family val="2"/>
    </font>
    <font>
      <b/>
      <sz val="10"/>
      <name val="Arial"/>
      <family val="2"/>
    </font>
    <font>
      <b/>
      <sz val="8"/>
      <name val="Arial"/>
      <family val="2"/>
    </font>
    <font>
      <sz val="8"/>
      <name val="Times New Roman"/>
      <family val="1"/>
    </font>
    <font>
      <b/>
      <sz val="10"/>
      <name val="Arial"/>
      <family val="2"/>
    </font>
    <font>
      <sz val="10"/>
      <name val="Arial"/>
      <family val="2"/>
    </font>
    <font>
      <sz val="8"/>
      <color indexed="12"/>
      <name val="Arial"/>
      <family val="2"/>
    </font>
    <font>
      <sz val="8"/>
      <color indexed="10"/>
      <name val="Arial"/>
      <family val="2"/>
    </font>
    <font>
      <sz val="10"/>
      <color indexed="10"/>
      <name val="Arial"/>
      <family val="2"/>
    </font>
    <font>
      <sz val="8"/>
      <color indexed="10"/>
      <name val="Arial"/>
      <family val="2"/>
    </font>
    <font>
      <sz val="10"/>
      <color indexed="10"/>
      <name val="Arial"/>
      <family val="2"/>
    </font>
    <font>
      <i/>
      <sz val="10"/>
      <name val="Arial"/>
      <family val="2"/>
    </font>
    <font>
      <i/>
      <sz val="8"/>
      <color indexed="10"/>
      <name val="Arial"/>
      <family val="2"/>
    </font>
    <font>
      <sz val="8"/>
      <color indexed="17"/>
      <name val="Arial"/>
      <family val="2"/>
    </font>
    <font>
      <i/>
      <sz val="8"/>
      <color indexed="12"/>
      <name val="Arial"/>
      <family val="2"/>
    </font>
    <font>
      <b/>
      <u/>
      <sz val="8"/>
      <name val="Arial"/>
      <family val="2"/>
    </font>
    <font>
      <sz val="11"/>
      <name val="Arial"/>
      <family val="2"/>
    </font>
    <font>
      <i/>
      <sz val="8"/>
      <name val="Arial"/>
      <family val="2"/>
    </font>
    <font>
      <sz val="10"/>
      <name val="MS Sans Serif"/>
      <family val="2"/>
    </font>
    <font>
      <b/>
      <sz val="10"/>
      <color indexed="8"/>
      <name val="Times New Roman"/>
      <family val="1"/>
    </font>
    <font>
      <b/>
      <sz val="12"/>
      <name val="Arial"/>
      <family val="2"/>
    </font>
    <font>
      <sz val="9"/>
      <name val="Times New Roman"/>
      <family val="1"/>
    </font>
    <font>
      <sz val="10"/>
      <color indexed="8"/>
      <name val="Times New Roman"/>
      <family val="1"/>
    </font>
    <font>
      <i/>
      <sz val="8"/>
      <name val="Times New Roman"/>
      <family val="1"/>
    </font>
    <font>
      <b/>
      <sz val="9"/>
      <name val="Arial"/>
      <family val="2"/>
    </font>
    <font>
      <b/>
      <sz val="10"/>
      <color indexed="10"/>
      <name val="Arial"/>
      <family val="2"/>
    </font>
    <font>
      <b/>
      <sz val="8"/>
      <color indexed="10"/>
      <name val="Arial"/>
      <family val="2"/>
    </font>
    <font>
      <sz val="10"/>
      <name val="Times New Roman"/>
      <family val="1"/>
    </font>
    <font>
      <sz val="8"/>
      <color indexed="9"/>
      <name val="Arial"/>
      <family val="2"/>
    </font>
    <font>
      <b/>
      <sz val="8"/>
      <color indexed="17"/>
      <name val="Arial"/>
      <family val="2"/>
    </font>
    <font>
      <sz val="10"/>
      <name val="Courier"/>
      <family val="3"/>
    </font>
    <font>
      <sz val="8"/>
      <color indexed="9"/>
      <name val="Arial"/>
      <family val="2"/>
    </font>
    <font>
      <b/>
      <i/>
      <sz val="8"/>
      <name val="Arial"/>
      <family val="2"/>
    </font>
    <font>
      <b/>
      <sz val="8"/>
      <color indexed="10"/>
      <name val="Arial"/>
      <family val="2"/>
    </font>
    <font>
      <sz val="8"/>
      <color indexed="10"/>
      <name val="Helvetica"/>
      <family val="2"/>
    </font>
    <font>
      <b/>
      <sz val="8"/>
      <color indexed="8"/>
      <name val="Arial"/>
      <family val="2"/>
    </font>
    <font>
      <sz val="10"/>
      <name val="Times"/>
      <family val="1"/>
    </font>
    <font>
      <b/>
      <sz val="12"/>
      <color indexed="9"/>
      <name val="Arial"/>
      <family val="2"/>
    </font>
    <font>
      <i/>
      <sz val="8"/>
      <color indexed="20"/>
      <name val="Arial"/>
      <family val="2"/>
    </font>
    <font>
      <sz val="8"/>
      <color indexed="20"/>
      <name val="Arial"/>
      <family val="2"/>
    </font>
    <font>
      <sz val="8"/>
      <color indexed="2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62"/>
      <name val="Cambria"/>
      <family val="2"/>
    </font>
    <font>
      <b/>
      <sz val="11"/>
      <color indexed="8"/>
      <name val="Calibri"/>
      <family val="2"/>
    </font>
    <font>
      <sz val="11"/>
      <color indexed="10"/>
      <name val="Calibri"/>
      <family val="2"/>
    </font>
    <font>
      <sz val="9"/>
      <name val="Arial"/>
      <family val="2"/>
    </font>
    <font>
      <b/>
      <sz val="8"/>
      <color indexed="18"/>
      <name val="Arial"/>
      <family val="2"/>
    </font>
    <font>
      <sz val="8"/>
      <color indexed="18"/>
      <name val="Arial"/>
      <family val="2"/>
    </font>
    <font>
      <b/>
      <sz val="9"/>
      <color indexed="9"/>
      <name val="Arial"/>
      <family val="2"/>
    </font>
    <font>
      <sz val="9"/>
      <color indexed="81"/>
      <name val="Tahoma"/>
      <family val="2"/>
    </font>
    <font>
      <b/>
      <sz val="9"/>
      <color indexed="81"/>
      <name val="Tahoma"/>
      <family val="2"/>
    </font>
    <font>
      <b/>
      <sz val="8"/>
      <color indexed="24"/>
      <name val="Arial"/>
      <family val="2"/>
    </font>
    <font>
      <sz val="8"/>
      <color indexed="24"/>
      <name val="Arial"/>
      <family val="2"/>
    </font>
    <font>
      <sz val="8"/>
      <color indexed="24"/>
      <name val="Arial"/>
      <family val="2"/>
    </font>
    <font>
      <sz val="10"/>
      <name val="Arial"/>
      <family val="2"/>
    </font>
    <font>
      <sz val="8"/>
      <color indexed="40"/>
      <name val="Arial"/>
      <family val="2"/>
    </font>
    <font>
      <sz val="8"/>
      <color indexed="24"/>
      <name val="Arial"/>
      <family val="2"/>
    </font>
    <font>
      <sz val="10"/>
      <color indexed="8"/>
      <name val="Arial"/>
      <family val="2"/>
    </font>
    <font>
      <sz val="8"/>
      <color indexed="8"/>
      <name val="Arial"/>
      <family val="2"/>
    </font>
    <font>
      <i/>
      <sz val="8"/>
      <color indexed="24"/>
      <name val="Arial"/>
      <family val="2"/>
    </font>
    <font>
      <sz val="10"/>
      <name val="Arial"/>
      <family val="2"/>
    </font>
    <font>
      <sz val="8"/>
      <color indexed="18"/>
      <name val="Arial"/>
      <family val="2"/>
    </font>
    <font>
      <sz val="8"/>
      <name val="Calibri"/>
      <family val="2"/>
    </font>
    <font>
      <sz val="8"/>
      <color indexed="18"/>
      <name val="Arial"/>
      <family val="2"/>
    </font>
    <font>
      <sz val="8"/>
      <color indexed="24"/>
      <name val="Arial"/>
      <family val="2"/>
    </font>
    <font>
      <sz val="8"/>
      <color indexed="10"/>
      <name val="Arial"/>
      <family val="2"/>
    </font>
    <font>
      <sz val="10"/>
      <color indexed="10"/>
      <name val="Arial"/>
      <family val="2"/>
    </font>
    <font>
      <b/>
      <sz val="8"/>
      <color indexed="10"/>
      <name val="Arial"/>
      <family val="2"/>
    </font>
    <font>
      <sz val="8"/>
      <color rgb="FF0070C0"/>
      <name val="Arial"/>
      <family val="2"/>
    </font>
    <font>
      <b/>
      <sz val="8"/>
      <color theme="0"/>
      <name val="Arial"/>
      <family val="2"/>
    </font>
    <font>
      <sz val="8"/>
      <color theme="4"/>
      <name val="Arial"/>
      <family val="2"/>
    </font>
    <font>
      <sz val="8"/>
      <color theme="0"/>
      <name val="Arial"/>
      <family val="2"/>
    </font>
    <font>
      <sz val="8"/>
      <color rgb="FF2270AB"/>
      <name val="Arial"/>
      <family val="2"/>
    </font>
    <font>
      <b/>
      <sz val="8"/>
      <color rgb="FF2270AB"/>
      <name val="Arial"/>
      <family val="2"/>
    </font>
    <font>
      <sz val="8"/>
      <color rgb="FF238B45"/>
      <name val="Arial"/>
      <family val="2"/>
    </font>
    <font>
      <sz val="10"/>
      <color rgb="FFFF0000"/>
      <name val="Arial"/>
      <family val="2"/>
    </font>
    <font>
      <sz val="8"/>
      <color rgb="FFFF0000"/>
      <name val="Arial"/>
      <family val="2"/>
    </font>
    <font>
      <b/>
      <sz val="8"/>
      <color rgb="FFFF0000"/>
      <name val="Arial"/>
      <family val="2"/>
    </font>
    <font>
      <sz val="10"/>
      <name val="Arial"/>
      <family val="2"/>
    </font>
    <font>
      <sz val="10"/>
      <color rgb="FF0070C0"/>
      <name val="Arial"/>
      <family val="2"/>
    </font>
    <font>
      <b/>
      <sz val="8"/>
      <color rgb="FF0070C0"/>
      <name val="Arial"/>
      <family val="2"/>
    </font>
    <font>
      <sz val="8"/>
      <color theme="1"/>
      <name val="Arial"/>
      <family val="2"/>
    </font>
    <font>
      <sz val="10"/>
      <color theme="1"/>
      <name val="Arial"/>
      <family val="2"/>
    </font>
    <font>
      <sz val="8"/>
      <color theme="0" tint="-0.499984740745262"/>
      <name val="Arial"/>
      <family val="2"/>
    </font>
    <font>
      <sz val="10"/>
      <color theme="0" tint="-0.499984740745262"/>
      <name val="Arial"/>
      <family val="2"/>
    </font>
    <font>
      <sz val="8"/>
      <color rgb="FF0073B1"/>
      <name val="Arial"/>
      <family val="2"/>
    </font>
    <font>
      <sz val="8"/>
      <color rgb="FF7030A0"/>
      <name val="Arial"/>
      <family val="2"/>
    </font>
    <font>
      <b/>
      <sz val="8"/>
      <color rgb="FF7030A0"/>
      <name val="Arial"/>
      <family val="2"/>
    </font>
    <font>
      <sz val="8"/>
      <color rgb="FF006699"/>
      <name val="Arial"/>
      <family val="2"/>
    </font>
    <font>
      <i/>
      <sz val="8"/>
      <color rgb="FF7030A0"/>
      <name val="Arial"/>
      <family val="2"/>
    </font>
    <font>
      <sz val="10"/>
      <color rgb="FF7030A0"/>
      <name val="Arial"/>
      <family val="2"/>
    </font>
    <font>
      <sz val="8"/>
      <color rgb="FF137CB1"/>
      <name val="Arial"/>
      <family val="2"/>
    </font>
    <font>
      <i/>
      <sz val="8"/>
      <color rgb="FF238B45"/>
      <name val="Arial"/>
      <family val="2"/>
    </font>
    <font>
      <sz val="8"/>
      <color theme="0" tint="-0.249977111117893"/>
      <name val="Arial"/>
      <family val="2"/>
    </font>
    <font>
      <i/>
      <sz val="8"/>
      <color rgb="FFFF0000"/>
      <name val="Arial"/>
      <family val="2"/>
    </font>
    <font>
      <b/>
      <sz val="8"/>
      <color rgb="FF0073B1"/>
      <name val="Arial"/>
      <family val="2"/>
    </font>
    <font>
      <b/>
      <sz val="8"/>
      <color theme="7"/>
      <name val="Arial"/>
      <family val="2"/>
    </font>
    <font>
      <sz val="8"/>
      <color rgb="FF00B050"/>
      <name val="Arial"/>
      <family val="2"/>
    </font>
    <font>
      <b/>
      <sz val="8"/>
      <color rgb="FF00B050"/>
      <name val="Arial"/>
      <family val="2"/>
    </font>
    <font>
      <sz val="8"/>
      <color rgb="FFC00000"/>
      <name val="Arial"/>
      <family val="2"/>
    </font>
    <font>
      <i/>
      <sz val="8"/>
      <color indexed="17"/>
      <name val="Arial"/>
      <family val="2"/>
    </font>
    <font>
      <sz val="10"/>
      <color rgb="FF000000"/>
      <name val="Arial"/>
      <family val="2"/>
    </font>
    <font>
      <b/>
      <sz val="12"/>
      <color rgb="FF000080"/>
      <name val="Arial"/>
      <family val="2"/>
    </font>
  </fonts>
  <fills count="45">
    <fill>
      <patternFill patternType="none"/>
    </fill>
    <fill>
      <patternFill patternType="gray125"/>
    </fill>
    <fill>
      <patternFill patternType="solid">
        <fgColor indexed="47"/>
      </patternFill>
    </fill>
    <fill>
      <patternFill patternType="solid">
        <fgColor indexed="29"/>
      </patternFill>
    </fill>
    <fill>
      <patternFill patternType="solid">
        <fgColor indexed="43"/>
      </patternFill>
    </fill>
    <fill>
      <patternFill patternType="solid">
        <fgColor indexed="27"/>
      </patternFill>
    </fill>
    <fill>
      <patternFill patternType="solid">
        <fgColor indexed="22"/>
      </patternFill>
    </fill>
    <fill>
      <patternFill patternType="solid">
        <fgColor indexed="44"/>
      </patternFill>
    </fill>
    <fill>
      <patternFill patternType="solid">
        <fgColor indexed="49"/>
      </patternFill>
    </fill>
    <fill>
      <patternFill patternType="solid">
        <fgColor indexed="26"/>
      </patternFill>
    </fill>
    <fill>
      <patternFill patternType="solid">
        <fgColor indexed="54"/>
      </patternFill>
    </fill>
    <fill>
      <patternFill patternType="solid">
        <fgColor indexed="45"/>
      </patternFill>
    </fill>
    <fill>
      <patternFill patternType="solid">
        <fgColor indexed="9"/>
      </patternFill>
    </fill>
    <fill>
      <patternFill patternType="solid">
        <fgColor indexed="55"/>
      </patternFill>
    </fill>
    <fill>
      <patternFill patternType="solid">
        <fgColor indexed="42"/>
      </patternFill>
    </fill>
    <fill>
      <patternFill patternType="solid">
        <fgColor indexed="43"/>
        <bgColor indexed="64"/>
      </patternFill>
    </fill>
    <fill>
      <patternFill patternType="solid">
        <fgColor indexed="8"/>
        <bgColor indexed="64"/>
      </patternFill>
    </fill>
    <fill>
      <patternFill patternType="solid">
        <fgColor indexed="9"/>
        <bgColor indexed="64"/>
      </patternFill>
    </fill>
    <fill>
      <patternFill patternType="solid">
        <fgColor indexed="22"/>
        <bgColor indexed="64"/>
      </patternFill>
    </fill>
    <fill>
      <patternFill patternType="solid">
        <fgColor indexed="42"/>
        <bgColor indexed="64"/>
      </patternFill>
    </fill>
    <fill>
      <patternFill patternType="solid">
        <fgColor indexed="13"/>
        <bgColor indexed="64"/>
      </patternFill>
    </fill>
    <fill>
      <patternFill patternType="solid">
        <fgColor indexed="41"/>
        <bgColor indexed="64"/>
      </patternFill>
    </fill>
    <fill>
      <patternFill patternType="solid">
        <fgColor indexed="60"/>
        <bgColor indexed="64"/>
      </patternFill>
    </fill>
    <fill>
      <patternFill patternType="solid">
        <fgColor indexed="10"/>
        <bgColor indexed="64"/>
      </patternFill>
    </fill>
    <fill>
      <patternFill patternType="solid">
        <fgColor indexed="35"/>
        <bgColor indexed="64"/>
      </patternFill>
    </fill>
    <fill>
      <patternFill patternType="solid">
        <fgColor rgb="FFFFFF00"/>
        <bgColor indexed="64"/>
      </patternFill>
    </fill>
    <fill>
      <patternFill patternType="solid">
        <fgColor theme="0" tint="-0.249977111117893"/>
        <bgColor indexed="64"/>
      </patternFill>
    </fill>
    <fill>
      <patternFill patternType="solid">
        <fgColor theme="1"/>
        <bgColor indexed="64"/>
      </patternFill>
    </fill>
    <fill>
      <patternFill patternType="solid">
        <fgColor theme="0" tint="-0.14999847407452621"/>
        <bgColor indexed="64"/>
      </patternFill>
    </fill>
    <fill>
      <patternFill patternType="solid">
        <fgColor theme="4" tint="-0.249977111117893"/>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C00000"/>
        <bgColor indexed="64"/>
      </patternFill>
    </fill>
    <fill>
      <patternFill patternType="solid">
        <fgColor rgb="FF0070C0"/>
        <bgColor indexed="64"/>
      </patternFill>
    </fill>
    <fill>
      <patternFill patternType="solid">
        <fgColor theme="7" tint="0.39997558519241921"/>
        <bgColor indexed="64"/>
      </patternFill>
    </fill>
    <fill>
      <patternFill patternType="lightGray">
        <fgColor theme="0" tint="-0.499984740745262"/>
        <bgColor theme="0" tint="-4.9989318521683403E-2"/>
      </patternFill>
    </fill>
    <fill>
      <patternFill patternType="lightGray">
        <fgColor theme="0" tint="-0.499984740745262"/>
        <bgColor indexed="65"/>
      </patternFill>
    </fill>
    <fill>
      <patternFill patternType="lightGray">
        <fgColor theme="0" tint="-0.499984740745262"/>
        <bgColor theme="4" tint="0.79998168889431442"/>
      </patternFill>
    </fill>
    <fill>
      <patternFill patternType="lightGray">
        <fgColor theme="0" tint="-0.499984740745262"/>
        <bgColor rgb="FFFFFF00"/>
      </patternFill>
    </fill>
    <fill>
      <patternFill patternType="lightGray">
        <fgColor theme="0" tint="-0.499984740745262"/>
        <bgColor rgb="FFCCFFCC"/>
      </patternFill>
    </fill>
    <fill>
      <patternFill patternType="lightGray">
        <fgColor theme="0" tint="-0.499984740745262"/>
        <bgColor theme="9" tint="-0.249977111117893"/>
      </patternFill>
    </fill>
    <fill>
      <patternFill patternType="lightGray">
        <fgColor theme="0" tint="-0.499984740745262"/>
        <bgColor indexed="9"/>
      </patternFill>
    </fill>
    <fill>
      <patternFill patternType="solid">
        <fgColor indexed="65"/>
        <bgColor indexed="64"/>
      </patternFill>
    </fill>
  </fills>
  <borders count="47">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49"/>
      </bottom>
      <diagonal/>
    </border>
    <border>
      <left/>
      <right/>
      <top/>
      <bottom style="thick">
        <color indexed="22"/>
      </bottom>
      <diagonal/>
    </border>
    <border>
      <left/>
      <right/>
      <top/>
      <bottom style="medium">
        <color indexed="49"/>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thin">
        <color indexed="8"/>
      </bottom>
      <diagonal/>
    </border>
    <border>
      <left/>
      <right/>
      <top style="thin">
        <color indexed="49"/>
      </top>
      <bottom style="double">
        <color indexed="49"/>
      </bottom>
      <diagonal/>
    </border>
    <border>
      <left/>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bottom style="hair">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bottom style="double">
        <color indexed="64"/>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style="dashed">
        <color indexed="64"/>
      </right>
      <top/>
      <bottom/>
      <diagonal/>
    </border>
    <border>
      <left/>
      <right style="dashed">
        <color indexed="64"/>
      </right>
      <top/>
      <bottom style="thin">
        <color indexed="64"/>
      </bottom>
      <diagonal/>
    </border>
    <border>
      <left style="dotted">
        <color indexed="64"/>
      </left>
      <right/>
      <top/>
      <bottom style="thin">
        <color indexed="64"/>
      </bottom>
      <diagonal/>
    </border>
    <border>
      <left style="dotted">
        <color indexed="64"/>
      </left>
      <right/>
      <top/>
      <bottom/>
      <diagonal/>
    </border>
    <border>
      <left style="dotted">
        <color indexed="64"/>
      </left>
      <right style="dotted">
        <color indexed="64"/>
      </right>
      <top/>
      <bottom style="thin">
        <color indexed="64"/>
      </bottom>
      <diagonal/>
    </border>
    <border>
      <left style="dotted">
        <color indexed="64"/>
      </left>
      <right style="dotted">
        <color indexed="64"/>
      </right>
      <top/>
      <bottom/>
      <diagonal/>
    </border>
    <border>
      <left/>
      <right style="dotted">
        <color indexed="64"/>
      </right>
      <top/>
      <bottom/>
      <diagonal/>
    </border>
    <border>
      <left/>
      <right style="dotted">
        <color indexed="64"/>
      </right>
      <top/>
      <bottom style="thin">
        <color indexed="64"/>
      </bottom>
      <diagonal/>
    </border>
    <border>
      <left style="hair">
        <color indexed="64"/>
      </left>
      <right style="thin">
        <color indexed="64"/>
      </right>
      <top/>
      <bottom/>
      <diagonal/>
    </border>
    <border>
      <left style="hair">
        <color indexed="64"/>
      </left>
      <right style="thin">
        <color indexed="64"/>
      </right>
      <top style="thin">
        <color indexed="64"/>
      </top>
      <bottom/>
      <diagonal/>
    </border>
    <border>
      <left style="hair">
        <color indexed="64"/>
      </left>
      <right style="thin">
        <color indexed="64"/>
      </right>
      <top/>
      <bottom style="thin">
        <color indexed="64"/>
      </bottom>
      <diagonal/>
    </border>
    <border>
      <left style="thin">
        <color indexed="64"/>
      </left>
      <right/>
      <top/>
      <bottom style="hair">
        <color indexed="64"/>
      </bottom>
      <diagonal/>
    </border>
    <border>
      <left style="hair">
        <color indexed="64"/>
      </left>
      <right style="thin">
        <color indexed="64"/>
      </right>
      <top/>
      <bottom style="hair">
        <color indexed="64"/>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right/>
      <top/>
      <bottom style="thin">
        <color rgb="FF000000"/>
      </bottom>
      <diagonal/>
    </border>
    <border>
      <left/>
      <right/>
      <top style="thin">
        <color rgb="FF000000"/>
      </top>
      <bottom/>
      <diagonal/>
    </border>
  </borders>
  <cellStyleXfs count="92">
    <xf numFmtId="0" fontId="0" fillId="0" borderId="0" applyNumberFormat="0" applyFill="0" applyBorder="0" applyAlignment="0" applyProtection="0"/>
    <xf numFmtId="0" fontId="2" fillId="0" borderId="0"/>
    <xf numFmtId="0" fontId="4" fillId="0" borderId="0"/>
    <xf numFmtId="0" fontId="89" fillId="0" borderId="0"/>
    <xf numFmtId="0" fontId="4" fillId="0" borderId="0"/>
    <xf numFmtId="0" fontId="4" fillId="0" borderId="0"/>
    <xf numFmtId="0" fontId="4" fillId="0" borderId="0" applyNumberFormat="0" applyFill="0" applyBorder="0" applyAlignment="0" applyProtection="0"/>
    <xf numFmtId="0" fontId="2" fillId="0" borderId="0"/>
    <xf numFmtId="0" fontId="2" fillId="0" borderId="0"/>
    <xf numFmtId="0" fontId="34" fillId="0" borderId="0"/>
    <xf numFmtId="181" fontId="34" fillId="0" borderId="0"/>
    <xf numFmtId="181" fontId="34" fillId="0" borderId="0"/>
    <xf numFmtId="0" fontId="34" fillId="0" borderId="0"/>
    <xf numFmtId="0" fontId="57" fillId="2" borderId="0" applyNumberFormat="0" applyBorder="0" applyAlignment="0" applyProtection="0"/>
    <xf numFmtId="0" fontId="57" fillId="3" borderId="0" applyNumberFormat="0" applyBorder="0" applyAlignment="0" applyProtection="0"/>
    <xf numFmtId="0" fontId="57" fillId="4" borderId="0" applyNumberFormat="0" applyBorder="0" applyAlignment="0" applyProtection="0"/>
    <xf numFmtId="0" fontId="57" fillId="2" borderId="0" applyNumberFormat="0" applyBorder="0" applyAlignment="0" applyProtection="0"/>
    <xf numFmtId="0" fontId="57" fillId="5" borderId="0" applyNumberFormat="0" applyBorder="0" applyAlignment="0" applyProtection="0"/>
    <xf numFmtId="0" fontId="57" fillId="4" borderId="0" applyNumberFormat="0" applyBorder="0" applyAlignment="0" applyProtection="0"/>
    <xf numFmtId="0" fontId="57" fillId="6" borderId="0" applyNumberFormat="0" applyBorder="0" applyAlignment="0" applyProtection="0"/>
    <xf numFmtId="0" fontId="57" fillId="3" borderId="0" applyNumberFormat="0" applyBorder="0" applyAlignment="0" applyProtection="0"/>
    <xf numFmtId="0" fontId="57" fillId="4" borderId="0" applyNumberFormat="0" applyBorder="0" applyAlignment="0" applyProtection="0"/>
    <xf numFmtId="0" fontId="57" fillId="6" borderId="0" applyNumberFormat="0" applyBorder="0" applyAlignment="0" applyProtection="0"/>
    <xf numFmtId="0" fontId="57" fillId="7" borderId="0" applyNumberFormat="0" applyBorder="0" applyAlignment="0" applyProtection="0"/>
    <xf numFmtId="0" fontId="57" fillId="4" borderId="0" applyNumberFormat="0" applyBorder="0" applyAlignment="0" applyProtection="0"/>
    <xf numFmtId="0" fontId="58" fillId="8" borderId="0" applyNumberFormat="0" applyBorder="0" applyAlignment="0" applyProtection="0"/>
    <xf numFmtId="0" fontId="58" fillId="3" borderId="0" applyNumberFormat="0" applyBorder="0" applyAlignment="0" applyProtection="0"/>
    <xf numFmtId="0" fontId="58" fillId="9" borderId="0" applyNumberFormat="0" applyBorder="0" applyAlignment="0" applyProtection="0"/>
    <xf numFmtId="0" fontId="58" fillId="6" borderId="0" applyNumberFormat="0" applyBorder="0" applyAlignment="0" applyProtection="0"/>
    <xf numFmtId="0" fontId="58" fillId="8" borderId="0" applyNumberFormat="0" applyBorder="0" applyAlignment="0" applyProtection="0"/>
    <xf numFmtId="0" fontId="58" fillId="4" borderId="0" applyNumberFormat="0" applyBorder="0" applyAlignment="0" applyProtection="0"/>
    <xf numFmtId="0" fontId="58" fillId="8" borderId="0" applyNumberFormat="0" applyBorder="0" applyAlignment="0" applyProtection="0"/>
    <xf numFmtId="0" fontId="58" fillId="3" borderId="0" applyNumberFormat="0" applyBorder="0" applyAlignment="0" applyProtection="0"/>
    <xf numFmtId="0" fontId="58" fillId="9" borderId="0" applyNumberFormat="0" applyBorder="0" applyAlignment="0" applyProtection="0"/>
    <xf numFmtId="0" fontId="58" fillId="10" borderId="0" applyNumberFormat="0" applyBorder="0" applyAlignment="0" applyProtection="0"/>
    <xf numFmtId="0" fontId="58" fillId="8" borderId="0" applyNumberFormat="0" applyBorder="0" applyAlignment="0" applyProtection="0"/>
    <xf numFmtId="0" fontId="58" fillId="3" borderId="0" applyNumberFormat="0" applyBorder="0" applyAlignment="0" applyProtection="0"/>
    <xf numFmtId="0" fontId="59" fillId="11" borderId="0" applyNumberFormat="0" applyBorder="0" applyAlignment="0" applyProtection="0"/>
    <xf numFmtId="0" fontId="35" fillId="0" borderId="0"/>
    <xf numFmtId="0" fontId="60" fillId="12" borderId="1" applyNumberFormat="0" applyAlignment="0" applyProtection="0"/>
    <xf numFmtId="0" fontId="61" fillId="13" borderId="2" applyNumberFormat="0" applyAlignment="0" applyProtection="0"/>
    <xf numFmtId="43" fontId="2" fillId="0" borderId="0" applyFont="0" applyFill="0" applyBorder="0" applyAlignment="0" applyProtection="0"/>
    <xf numFmtId="43" fontId="4" fillId="0" borderId="0" applyFont="0" applyFill="0" applyBorder="0" applyAlignment="0" applyProtection="0"/>
    <xf numFmtId="43" fontId="83" fillId="0" borderId="0" applyFont="0" applyFill="0" applyBorder="0" applyAlignment="0" applyProtection="0"/>
    <xf numFmtId="44" fontId="2" fillId="0" borderId="0" applyFont="0" applyFill="0" applyBorder="0" applyAlignment="0" applyProtection="0"/>
    <xf numFmtId="44" fontId="4" fillId="0" borderId="0" applyFont="0" applyFill="0" applyBorder="0" applyAlignment="0" applyProtection="0"/>
    <xf numFmtId="0" fontId="62" fillId="0" borderId="0" applyNumberFormat="0" applyFill="0" applyBorder="0" applyAlignment="0" applyProtection="0"/>
    <xf numFmtId="0" fontId="63" fillId="14" borderId="0" applyNumberFormat="0" applyBorder="0" applyAlignment="0" applyProtection="0"/>
    <xf numFmtId="0" fontId="64" fillId="0" borderId="3" applyNumberFormat="0" applyFill="0" applyAlignment="0" applyProtection="0"/>
    <xf numFmtId="0" fontId="65" fillId="0" borderId="4" applyNumberFormat="0" applyFill="0" applyAlignment="0" applyProtection="0"/>
    <xf numFmtId="0" fontId="66" fillId="0" borderId="5" applyNumberFormat="0" applyFill="0" applyAlignment="0" applyProtection="0"/>
    <xf numFmtId="0" fontId="66" fillId="0" borderId="0" applyNumberFormat="0" applyFill="0" applyBorder="0" applyAlignment="0" applyProtection="0"/>
    <xf numFmtId="0" fontId="67" fillId="4" borderId="1" applyNumberFormat="0" applyAlignment="0" applyProtection="0"/>
    <xf numFmtId="0" fontId="68" fillId="0" borderId="6" applyNumberFormat="0" applyFill="0" applyAlignment="0" applyProtection="0"/>
    <xf numFmtId="0" fontId="69" fillId="4" borderId="0" applyNumberFormat="0" applyBorder="0" applyAlignment="0" applyProtection="0"/>
    <xf numFmtId="0" fontId="4" fillId="0" borderId="0"/>
    <xf numFmtId="0" fontId="4" fillId="0" borderId="0" applyNumberFormat="0" applyFill="0" applyBorder="0" applyAlignment="0" applyProtection="0"/>
    <xf numFmtId="0" fontId="9" fillId="0" borderId="0"/>
    <xf numFmtId="0" fontId="9" fillId="0" borderId="0"/>
    <xf numFmtId="0" fontId="9" fillId="0" borderId="0"/>
    <xf numFmtId="0" fontId="2" fillId="0" borderId="0"/>
    <xf numFmtId="0" fontId="19" fillId="0" borderId="0"/>
    <xf numFmtId="0" fontId="2" fillId="0" borderId="0"/>
    <xf numFmtId="0" fontId="2" fillId="4" borderId="7" applyNumberFormat="0" applyFont="0" applyAlignment="0" applyProtection="0"/>
    <xf numFmtId="0" fontId="70" fillId="12" borderId="8" applyNumberFormat="0" applyAlignment="0" applyProtection="0"/>
    <xf numFmtId="0" fontId="37" fillId="0" borderId="0">
      <alignment vertical="center"/>
    </xf>
    <xf numFmtId="9" fontId="2" fillId="0" borderId="0" applyFont="0" applyFill="0" applyBorder="0" applyAlignment="0" applyProtection="0"/>
    <xf numFmtId="9" fontId="4" fillId="0" borderId="0" applyFont="0" applyFill="0" applyBorder="0" applyAlignment="0" applyProtection="0"/>
    <xf numFmtId="9" fontId="83" fillId="0" borderId="0" applyFont="0" applyFill="0" applyBorder="0" applyAlignment="0" applyProtection="0"/>
    <xf numFmtId="0" fontId="38" fillId="0" borderId="0"/>
    <xf numFmtId="0" fontId="38" fillId="0" borderId="9">
      <alignment horizontal="centerContinuous"/>
    </xf>
    <xf numFmtId="0" fontId="39" fillId="0" borderId="9"/>
    <xf numFmtId="0" fontId="71" fillId="0" borderId="0" applyNumberFormat="0" applyFill="0" applyBorder="0" applyAlignment="0" applyProtection="0"/>
    <xf numFmtId="0" fontId="72" fillId="0" borderId="10" applyNumberFormat="0" applyFill="0" applyAlignment="0" applyProtection="0"/>
    <xf numFmtId="0" fontId="73" fillId="0" borderId="0" applyNumberFormat="0" applyFill="0" applyBorder="0" applyAlignment="0" applyProtection="0"/>
    <xf numFmtId="0" fontId="2" fillId="0" borderId="0"/>
    <xf numFmtId="0" fontId="2" fillId="15" borderId="0" applyNumberFormat="0" applyFont="0" applyBorder="0" applyAlignment="0" applyProtection="0"/>
    <xf numFmtId="0" fontId="2" fillId="0" borderId="0" applyNumberFormat="0" applyFill="0" applyBorder="0" applyAlignment="0" applyProtection="0"/>
    <xf numFmtId="0" fontId="107" fillId="0" borderId="0" applyNumberFormat="0" applyFill="0" applyBorder="0" applyAlignment="0" applyProtection="0"/>
    <xf numFmtId="0" fontId="2" fillId="0" borderId="0" applyNumberFormat="0" applyFill="0" applyBorder="0" applyAlignment="0" applyProtection="0"/>
    <xf numFmtId="0" fontId="2" fillId="0" borderId="0"/>
    <xf numFmtId="0" fontId="110" fillId="0" borderId="0"/>
    <xf numFmtId="9" fontId="110" fillId="0" borderId="0" applyFont="0" applyFill="0" applyBorder="0" applyAlignment="0" applyProtection="0"/>
    <xf numFmtId="43" fontId="110" fillId="0" borderId="0" applyFont="0" applyFill="0" applyBorder="0" applyAlignment="0" applyProtection="0"/>
    <xf numFmtId="0" fontId="2" fillId="15" borderId="0" applyNumberFormat="0" applyFont="0" applyBorder="0" applyAlignment="0" applyProtection="0"/>
    <xf numFmtId="0" fontId="2" fillId="0" borderId="0" applyFill="0" applyAlignment="0">
      <protection locked="0"/>
    </xf>
    <xf numFmtId="181" fontId="34" fillId="0" borderId="0"/>
    <xf numFmtId="0" fontId="1" fillId="0" borderId="0"/>
    <xf numFmtId="168" fontId="38" fillId="0" borderId="0"/>
    <xf numFmtId="44" fontId="2" fillId="0" borderId="0" applyFont="0" applyFill="0" applyBorder="0" applyAlignment="0" applyProtection="0"/>
    <xf numFmtId="0" fontId="2" fillId="0" borderId="0" applyNumberFormat="0" applyFill="0" applyBorder="0" applyAlignment="0" applyProtection="0"/>
    <xf numFmtId="0" fontId="46" fillId="0" borderId="0"/>
  </cellStyleXfs>
  <cellXfs count="1740">
    <xf numFmtId="0" fontId="0" fillId="0" borderId="0" xfId="0"/>
    <xf numFmtId="0" fontId="5" fillId="17" borderId="0" xfId="0" applyFont="1" applyFill="1" applyBorder="1"/>
    <xf numFmtId="165" fontId="6" fillId="16" borderId="11" xfId="0" applyNumberFormat="1" applyFont="1" applyFill="1" applyBorder="1" applyAlignment="1">
      <alignment horizontal="center"/>
    </xf>
    <xf numFmtId="0" fontId="7" fillId="17" borderId="0" xfId="0" applyFont="1" applyFill="1" applyBorder="1" applyAlignment="1">
      <alignment horizontal="center"/>
    </xf>
    <xf numFmtId="0" fontId="3" fillId="17" borderId="0" xfId="0" applyFont="1" applyFill="1" applyBorder="1" applyAlignment="1">
      <alignment horizontal="center"/>
    </xf>
    <xf numFmtId="0" fontId="3" fillId="17" borderId="0" xfId="0" applyFont="1" applyFill="1" applyBorder="1"/>
    <xf numFmtId="0" fontId="5" fillId="17" borderId="0" xfId="0" applyFont="1" applyFill="1" applyBorder="1" applyAlignment="1">
      <alignment horizontal="left" indent="1"/>
    </xf>
    <xf numFmtId="0" fontId="8" fillId="17" borderId="11" xfId="58" applyFont="1" applyFill="1" applyBorder="1" applyAlignment="1">
      <alignment horizontal="left"/>
    </xf>
    <xf numFmtId="0" fontId="10" fillId="17" borderId="0" xfId="58" applyFont="1" applyFill="1" applyBorder="1" applyAlignment="1">
      <alignment horizontal="left"/>
    </xf>
    <xf numFmtId="0" fontId="11" fillId="17" borderId="0" xfId="62" applyFont="1" applyFill="1" applyBorder="1" applyAlignment="1">
      <alignment horizontal="left"/>
    </xf>
    <xf numFmtId="0" fontId="8" fillId="17" borderId="0" xfId="58" applyFont="1" applyFill="1" applyBorder="1" applyAlignment="1">
      <alignment horizontal="left"/>
    </xf>
    <xf numFmtId="0" fontId="12" fillId="0" borderId="0" xfId="0" applyFont="1"/>
    <xf numFmtId="0" fontId="14" fillId="17" borderId="0" xfId="0" applyFont="1" applyFill="1" applyBorder="1"/>
    <xf numFmtId="171" fontId="5" fillId="17" borderId="0" xfId="59" applyNumberFormat="1" applyFont="1" applyFill="1" applyBorder="1"/>
    <xf numFmtId="170" fontId="12" fillId="17" borderId="0" xfId="0" applyNumberFormat="1" applyFont="1" applyFill="1" applyAlignment="1">
      <alignment horizontal="right"/>
    </xf>
    <xf numFmtId="0" fontId="14" fillId="0" borderId="0" xfId="0" applyFont="1" applyFill="1" applyBorder="1"/>
    <xf numFmtId="0" fontId="0" fillId="17" borderId="0" xfId="0" applyFill="1" applyBorder="1"/>
    <xf numFmtId="0" fontId="17" fillId="17" borderId="11" xfId="0" applyFont="1" applyFill="1" applyBorder="1"/>
    <xf numFmtId="0" fontId="5" fillId="17" borderId="0" xfId="0" applyFont="1" applyFill="1" applyBorder="1" applyAlignment="1">
      <alignment horizontal="left"/>
    </xf>
    <xf numFmtId="0" fontId="0" fillId="0" borderId="0" xfId="0" applyFill="1" applyBorder="1"/>
    <xf numFmtId="0" fontId="5" fillId="0" borderId="0" xfId="0" applyFont="1" applyFill="1" applyAlignment="1">
      <alignment wrapText="1"/>
    </xf>
    <xf numFmtId="0" fontId="17" fillId="0" borderId="0" xfId="0" applyFont="1"/>
    <xf numFmtId="166" fontId="5" fillId="0" borderId="0" xfId="41" applyNumberFormat="1" applyFont="1" applyFill="1" applyBorder="1"/>
    <xf numFmtId="166" fontId="22" fillId="0" borderId="0" xfId="41" applyNumberFormat="1" applyFont="1" applyFill="1" applyBorder="1" applyAlignment="1">
      <alignment horizontal="right" wrapText="1"/>
    </xf>
    <xf numFmtId="0" fontId="0" fillId="0" borderId="0" xfId="0" applyFill="1"/>
    <xf numFmtId="0" fontId="17" fillId="0" borderId="0" xfId="0" applyFont="1" applyFill="1"/>
    <xf numFmtId="0" fontId="5" fillId="0" borderId="0" xfId="0" applyFont="1" applyFill="1"/>
    <xf numFmtId="0" fontId="24" fillId="0" borderId="0" xfId="0" applyFont="1" applyFill="1"/>
    <xf numFmtId="0" fontId="4" fillId="0" borderId="0" xfId="0" applyFont="1" applyFill="1" applyBorder="1"/>
    <xf numFmtId="0" fontId="3" fillId="0" borderId="0" xfId="0" applyFont="1" applyFill="1" applyBorder="1" applyAlignment="1">
      <alignment horizontal="center"/>
    </xf>
    <xf numFmtId="0" fontId="5" fillId="0" borderId="0" xfId="0" applyFont="1"/>
    <xf numFmtId="0" fontId="4" fillId="0" borderId="0" xfId="0" applyFont="1"/>
    <xf numFmtId="0" fontId="28" fillId="17" borderId="0" xfId="0" applyFont="1" applyFill="1" applyAlignment="1">
      <alignment horizontal="left" indent="1"/>
    </xf>
    <xf numFmtId="0" fontId="28" fillId="17" borderId="0" xfId="0" applyFont="1" applyFill="1" applyAlignment="1">
      <alignment horizontal="center"/>
    </xf>
    <xf numFmtId="0" fontId="4" fillId="17" borderId="0" xfId="0" applyFont="1" applyFill="1" applyBorder="1"/>
    <xf numFmtId="168" fontId="5" fillId="17" borderId="0" xfId="0" applyNumberFormat="1" applyFont="1" applyFill="1" applyAlignment="1">
      <alignment horizontal="right"/>
    </xf>
    <xf numFmtId="0" fontId="0" fillId="0" borderId="0" xfId="0" applyBorder="1"/>
    <xf numFmtId="0" fontId="5" fillId="0" borderId="0" xfId="0" applyFont="1" applyFill="1" applyBorder="1"/>
    <xf numFmtId="9" fontId="12" fillId="17" borderId="0" xfId="66" applyFont="1" applyFill="1"/>
    <xf numFmtId="0" fontId="12" fillId="17" borderId="0" xfId="0" applyFont="1" applyFill="1"/>
    <xf numFmtId="9" fontId="11" fillId="0" borderId="0" xfId="0" applyNumberFormat="1" applyFont="1" applyFill="1" applyAlignment="1">
      <alignment horizontal="right"/>
    </xf>
    <xf numFmtId="0" fontId="11" fillId="0" borderId="0" xfId="0" applyFont="1" applyFill="1" applyBorder="1"/>
    <xf numFmtId="0" fontId="3" fillId="0" borderId="0" xfId="0" applyFont="1" applyFill="1" applyBorder="1"/>
    <xf numFmtId="0" fontId="12" fillId="0" borderId="0" xfId="0" applyFont="1" applyFill="1"/>
    <xf numFmtId="0" fontId="14" fillId="17" borderId="0" xfId="0" applyFont="1" applyFill="1"/>
    <xf numFmtId="0" fontId="12" fillId="17" borderId="0" xfId="0" applyFont="1" applyFill="1" applyAlignment="1">
      <alignment horizontal="left"/>
    </xf>
    <xf numFmtId="169" fontId="12" fillId="17" borderId="0" xfId="0" applyNumberFormat="1" applyFont="1" applyFill="1" applyAlignment="1">
      <alignment horizontal="right"/>
    </xf>
    <xf numFmtId="166" fontId="5" fillId="0" borderId="12" xfId="41" applyNumberFormat="1" applyFont="1" applyFill="1" applyBorder="1" applyAlignment="1">
      <alignment horizontal="right" wrapText="1"/>
    </xf>
    <xf numFmtId="0" fontId="5" fillId="18" borderId="0" xfId="0" applyFont="1" applyFill="1"/>
    <xf numFmtId="170" fontId="12" fillId="0" borderId="0" xfId="0" applyNumberFormat="1" applyFont="1" applyFill="1" applyBorder="1" applyAlignment="1">
      <alignment horizontal="right"/>
    </xf>
    <xf numFmtId="168" fontId="5" fillId="0" borderId="0" xfId="0" applyNumberFormat="1" applyFont="1" applyFill="1" applyBorder="1" applyAlignment="1">
      <alignment horizontal="right"/>
    </xf>
    <xf numFmtId="0" fontId="3" fillId="0" borderId="0" xfId="0" applyFont="1" applyFill="1"/>
    <xf numFmtId="0" fontId="4" fillId="0" borderId="0" xfId="0" applyFont="1" applyFill="1"/>
    <xf numFmtId="0" fontId="3" fillId="18" borderId="0" xfId="0" applyFont="1" applyFill="1"/>
    <xf numFmtId="0" fontId="12" fillId="17" borderId="0" xfId="0" applyFont="1" applyFill="1" applyBorder="1"/>
    <xf numFmtId="0" fontId="17" fillId="0" borderId="0" xfId="0" applyFont="1" applyFill="1" applyBorder="1"/>
    <xf numFmtId="37" fontId="5" fillId="0" borderId="0" xfId="0" applyNumberFormat="1" applyFont="1" applyFill="1" applyBorder="1" applyAlignment="1">
      <alignment horizontal="right"/>
    </xf>
    <xf numFmtId="37" fontId="3" fillId="0" borderId="0" xfId="0" applyNumberFormat="1" applyFont="1" applyFill="1" applyBorder="1" applyAlignment="1">
      <alignment horizontal="right"/>
    </xf>
    <xf numFmtId="172" fontId="5" fillId="0" borderId="0" xfId="0" applyNumberFormat="1" applyFont="1" applyFill="1" applyBorder="1"/>
    <xf numFmtId="0" fontId="5" fillId="0" borderId="0" xfId="0" applyFont="1" applyFill="1" applyBorder="1" applyAlignment="1">
      <alignment horizontal="left" indent="1"/>
    </xf>
    <xf numFmtId="0" fontId="6" fillId="17" borderId="11" xfId="0" applyFont="1" applyFill="1" applyBorder="1"/>
    <xf numFmtId="169" fontId="33" fillId="17" borderId="0" xfId="66" applyNumberFormat="1" applyFont="1" applyFill="1" applyAlignment="1">
      <alignment horizontal="right"/>
    </xf>
    <xf numFmtId="0" fontId="0" fillId="17" borderId="0" xfId="0" applyFill="1"/>
    <xf numFmtId="0" fontId="4" fillId="0" borderId="0" xfId="0" applyFont="1" applyBorder="1"/>
    <xf numFmtId="0" fontId="5" fillId="0" borderId="0" xfId="0" applyFont="1" applyBorder="1"/>
    <xf numFmtId="0" fontId="4" fillId="17" borderId="0" xfId="0" applyFont="1" applyFill="1"/>
    <xf numFmtId="168" fontId="12" fillId="17" borderId="0" xfId="0" applyNumberFormat="1" applyFont="1" applyFill="1" applyAlignment="1">
      <alignment horizontal="left" indent="1"/>
    </xf>
    <xf numFmtId="7" fontId="41" fillId="0" borderId="0" xfId="60" applyNumberFormat="1" applyFont="1" applyFill="1" applyBorder="1"/>
    <xf numFmtId="168" fontId="5" fillId="0" borderId="0" xfId="0" applyNumberFormat="1" applyFont="1" applyFill="1" applyAlignment="1">
      <alignment horizontal="right"/>
    </xf>
    <xf numFmtId="0" fontId="5" fillId="0" borderId="0" xfId="0" applyFont="1" applyFill="1" applyBorder="1" applyAlignment="1">
      <alignment horizontal="right"/>
    </xf>
    <xf numFmtId="172" fontId="5" fillId="0" borderId="0" xfId="0" applyNumberFormat="1" applyFont="1" applyFill="1" applyBorder="1" applyAlignment="1">
      <alignment horizontal="right"/>
    </xf>
    <xf numFmtId="49" fontId="0" fillId="0" borderId="0" xfId="0" applyNumberFormat="1"/>
    <xf numFmtId="38" fontId="23" fillId="17" borderId="0" xfId="0" applyNumberFormat="1" applyFont="1" applyFill="1" applyBorder="1"/>
    <xf numFmtId="178" fontId="50" fillId="0" borderId="0" xfId="0" applyNumberFormat="1" applyFont="1" applyFill="1" applyBorder="1" applyAlignment="1">
      <alignment horizontal="right"/>
    </xf>
    <xf numFmtId="0" fontId="27" fillId="0" borderId="0" xfId="0" applyFont="1" applyFill="1"/>
    <xf numFmtId="165" fontId="3" fillId="0" borderId="11" xfId="0" applyNumberFormat="1" applyFont="1" applyFill="1" applyBorder="1" applyAlignment="1">
      <alignment horizontal="center"/>
    </xf>
    <xf numFmtId="0" fontId="6" fillId="0" borderId="11" xfId="0" applyFont="1" applyFill="1" applyBorder="1"/>
    <xf numFmtId="169" fontId="5" fillId="0" borderId="0" xfId="0" applyNumberFormat="1" applyFont="1" applyFill="1" applyBorder="1"/>
    <xf numFmtId="0" fontId="2" fillId="0" borderId="0" xfId="0" applyFont="1" applyFill="1"/>
    <xf numFmtId="0" fontId="26" fillId="0" borderId="0" xfId="0" applyFont="1" applyFill="1"/>
    <xf numFmtId="0" fontId="17" fillId="17" borderId="0" xfId="0" applyFont="1" applyFill="1"/>
    <xf numFmtId="176" fontId="5" fillId="0" borderId="0" xfId="41" applyNumberFormat="1" applyFont="1" applyFill="1" applyAlignment="1"/>
    <xf numFmtId="166" fontId="51" fillId="0" borderId="0" xfId="41" applyNumberFormat="1" applyFont="1" applyFill="1" applyBorder="1" applyAlignment="1">
      <alignment horizontal="right" wrapText="1"/>
    </xf>
    <xf numFmtId="166" fontId="3" fillId="0" borderId="0" xfId="41" applyNumberFormat="1" applyFont="1" applyFill="1" applyBorder="1" applyAlignment="1">
      <alignment horizontal="right" wrapText="1"/>
    </xf>
    <xf numFmtId="169" fontId="11" fillId="17" borderId="12" xfId="66" applyNumberFormat="1" applyFont="1" applyFill="1" applyBorder="1" applyAlignment="1">
      <alignment horizontal="right"/>
    </xf>
    <xf numFmtId="169" fontId="12" fillId="17" borderId="12" xfId="0" applyNumberFormat="1" applyFont="1" applyFill="1" applyBorder="1" applyAlignment="1">
      <alignment horizontal="right"/>
    </xf>
    <xf numFmtId="168" fontId="5" fillId="17" borderId="0" xfId="0" applyNumberFormat="1" applyFont="1" applyFill="1" applyBorder="1" applyAlignment="1">
      <alignment horizontal="right"/>
    </xf>
    <xf numFmtId="169" fontId="5" fillId="17" borderId="0" xfId="0" applyNumberFormat="1" applyFont="1" applyFill="1" applyAlignment="1">
      <alignment horizontal="right"/>
    </xf>
    <xf numFmtId="169" fontId="5" fillId="17" borderId="12" xfId="0" applyNumberFormat="1" applyFont="1" applyFill="1" applyBorder="1" applyAlignment="1">
      <alignment horizontal="right"/>
    </xf>
    <xf numFmtId="169" fontId="11" fillId="0" borderId="0" xfId="0" applyNumberFormat="1" applyFont="1" applyFill="1" applyAlignment="1">
      <alignment horizontal="right"/>
    </xf>
    <xf numFmtId="169" fontId="30" fillId="0" borderId="0" xfId="0" applyNumberFormat="1" applyFont="1" applyFill="1" applyAlignment="1">
      <alignment horizontal="right"/>
    </xf>
    <xf numFmtId="0" fontId="17" fillId="17" borderId="0" xfId="0" applyFont="1" applyFill="1" applyAlignment="1">
      <alignment wrapText="1"/>
    </xf>
    <xf numFmtId="0" fontId="11" fillId="0" borderId="0" xfId="0" applyFont="1" applyFill="1" applyBorder="1" applyAlignment="1">
      <alignment horizontal="left" indent="1"/>
    </xf>
    <xf numFmtId="0" fontId="5" fillId="0" borderId="0" xfId="0" applyFont="1" applyFill="1" applyBorder="1" applyAlignment="1">
      <alignment horizontal="left" indent="2"/>
    </xf>
    <xf numFmtId="192" fontId="50" fillId="0" borderId="0" xfId="0" applyNumberFormat="1" applyFont="1" applyFill="1" applyBorder="1" applyAlignment="1">
      <alignment horizontal="right"/>
    </xf>
    <xf numFmtId="43" fontId="50" fillId="0" borderId="0" xfId="41" applyFont="1" applyFill="1" applyAlignment="1">
      <alignment horizontal="right"/>
    </xf>
    <xf numFmtId="7" fontId="5" fillId="0" borderId="0" xfId="0" applyNumberFormat="1" applyFont="1" applyFill="1" applyAlignment="1">
      <alignment horizontal="right"/>
    </xf>
    <xf numFmtId="8" fontId="22" fillId="0" borderId="0" xfId="0" applyNumberFormat="1" applyFont="1" applyFill="1" applyAlignment="1">
      <alignment horizontal="right"/>
    </xf>
    <xf numFmtId="8" fontId="5" fillId="0" borderId="0" xfId="0" applyNumberFormat="1" applyFont="1" applyFill="1" applyAlignment="1">
      <alignment horizontal="right"/>
    </xf>
    <xf numFmtId="169" fontId="11" fillId="0" borderId="0" xfId="66" applyNumberFormat="1" applyFont="1" applyFill="1" applyAlignment="1">
      <alignment horizontal="right"/>
    </xf>
    <xf numFmtId="7" fontId="2" fillId="0" borderId="0" xfId="60" applyNumberFormat="1" applyFill="1" applyBorder="1"/>
    <xf numFmtId="0" fontId="5" fillId="0" borderId="0" xfId="61" applyNumberFormat="1" applyFont="1" applyFill="1" applyAlignment="1" applyProtection="1">
      <alignment horizontal="left"/>
    </xf>
    <xf numFmtId="7" fontId="3" fillId="17" borderId="0" xfId="0" applyNumberFormat="1" applyFont="1" applyFill="1" applyBorder="1" applyAlignment="1">
      <alignment horizontal="left" indent="1"/>
    </xf>
    <xf numFmtId="7" fontId="18" fillId="17" borderId="0" xfId="41" applyNumberFormat="1" applyFont="1" applyFill="1" applyBorder="1" applyAlignment="1">
      <alignment horizontal="right"/>
    </xf>
    <xf numFmtId="172" fontId="5" fillId="0" borderId="0" xfId="0" applyNumberFormat="1" applyFont="1" applyFill="1" applyBorder="1" applyAlignment="1">
      <alignment horizontal="left" indent="1"/>
    </xf>
    <xf numFmtId="169" fontId="4" fillId="0" borderId="0" xfId="0" applyNumberFormat="1" applyFont="1" applyFill="1" applyBorder="1"/>
    <xf numFmtId="7" fontId="3" fillId="0" borderId="0" xfId="0" applyNumberFormat="1" applyFont="1" applyFill="1" applyBorder="1" applyAlignment="1">
      <alignment horizontal="right"/>
    </xf>
    <xf numFmtId="0" fontId="3" fillId="0" borderId="0" xfId="0" applyFont="1" applyBorder="1" applyAlignment="1">
      <alignment horizontal="center"/>
    </xf>
    <xf numFmtId="0" fontId="18" fillId="0" borderId="0" xfId="0" applyFont="1"/>
    <xf numFmtId="0" fontId="3" fillId="0" borderId="18" xfId="0" applyFont="1" applyFill="1" applyBorder="1" applyAlignment="1">
      <alignment horizontal="left"/>
    </xf>
    <xf numFmtId="0" fontId="23" fillId="0" borderId="0" xfId="0" applyFont="1"/>
    <xf numFmtId="0" fontId="3" fillId="0" borderId="0" xfId="0" applyFont="1" applyAlignment="1">
      <alignment horizontal="left" indent="1"/>
    </xf>
    <xf numFmtId="0" fontId="11" fillId="0" borderId="0" xfId="0" applyFont="1" applyAlignment="1">
      <alignment horizontal="left" indent="1"/>
    </xf>
    <xf numFmtId="0" fontId="12" fillId="0" borderId="0" xfId="0" applyFont="1" applyAlignment="1">
      <alignment horizontal="left" indent="1"/>
    </xf>
    <xf numFmtId="0" fontId="12" fillId="0" borderId="0" xfId="0" applyFont="1" applyAlignment="1">
      <alignment horizontal="left" indent="2"/>
    </xf>
    <xf numFmtId="0" fontId="12" fillId="0" borderId="0" xfId="0" applyFont="1" applyAlignment="1">
      <alignment horizontal="left"/>
    </xf>
    <xf numFmtId="10" fontId="12" fillId="0" borderId="0" xfId="66" applyNumberFormat="1" applyFont="1" applyAlignment="1">
      <alignment horizontal="left" indent="1"/>
    </xf>
    <xf numFmtId="10" fontId="12" fillId="0" borderId="0" xfId="0" applyNumberFormat="1" applyFont="1" applyAlignment="1">
      <alignment horizontal="left" indent="1"/>
    </xf>
    <xf numFmtId="10" fontId="3" fillId="0" borderId="0" xfId="66" applyNumberFormat="1" applyFont="1" applyAlignment="1">
      <alignment horizontal="left" indent="1"/>
    </xf>
    <xf numFmtId="166" fontId="23" fillId="0" borderId="0" xfId="0" applyNumberFormat="1" applyFont="1" applyFill="1" applyBorder="1"/>
    <xf numFmtId="169" fontId="5" fillId="19" borderId="0" xfId="0" applyNumberFormat="1" applyFont="1" applyFill="1" applyAlignment="1">
      <alignment horizontal="left" vertical="top" wrapText="1" indent="1"/>
    </xf>
    <xf numFmtId="169" fontId="4" fillId="0" borderId="0" xfId="66" applyNumberFormat="1" applyFont="1" applyFill="1"/>
    <xf numFmtId="0" fontId="0" fillId="0" borderId="0" xfId="0" applyAlignment="1">
      <alignment horizontal="right"/>
    </xf>
    <xf numFmtId="0" fontId="4" fillId="17" borderId="0" xfId="0" applyFont="1" applyFill="1" applyBorder="1" applyAlignment="1">
      <alignment horizontal="right"/>
    </xf>
    <xf numFmtId="166" fontId="12" fillId="0" borderId="0" xfId="41" applyNumberFormat="1" applyFont="1" applyFill="1" applyAlignment="1">
      <alignment horizontal="right"/>
    </xf>
    <xf numFmtId="0" fontId="5" fillId="17" borderId="0" xfId="0" applyFont="1" applyFill="1" applyBorder="1" applyAlignment="1">
      <alignment horizontal="right"/>
    </xf>
    <xf numFmtId="194" fontId="0" fillId="0" borderId="0" xfId="0" applyNumberFormat="1" applyAlignment="1">
      <alignment horizontal="right"/>
    </xf>
    <xf numFmtId="168" fontId="3" fillId="0" borderId="0" xfId="0" applyNumberFormat="1" applyFont="1" applyFill="1" applyAlignment="1">
      <alignment horizontal="right"/>
    </xf>
    <xf numFmtId="168" fontId="22" fillId="17" borderId="0" xfId="41" applyNumberFormat="1" applyFont="1" applyFill="1" applyBorder="1" applyAlignment="1">
      <alignment horizontal="right"/>
    </xf>
    <xf numFmtId="169" fontId="11" fillId="17" borderId="0" xfId="66" applyNumberFormat="1" applyFont="1" applyFill="1" applyAlignment="1">
      <alignment horizontal="right"/>
    </xf>
    <xf numFmtId="7" fontId="18" fillId="17" borderId="12" xfId="41" applyNumberFormat="1" applyFont="1" applyFill="1" applyBorder="1" applyAlignment="1">
      <alignment horizontal="right"/>
    </xf>
    <xf numFmtId="7" fontId="18" fillId="17" borderId="0" xfId="0" applyNumberFormat="1" applyFont="1" applyFill="1" applyBorder="1" applyAlignment="1">
      <alignment horizontal="right"/>
    </xf>
    <xf numFmtId="43" fontId="18" fillId="17" borderId="12" xfId="41" applyNumberFormat="1" applyFont="1" applyFill="1" applyBorder="1" applyAlignment="1">
      <alignment horizontal="right"/>
    </xf>
    <xf numFmtId="7" fontId="3" fillId="17" borderId="0" xfId="0" applyNumberFormat="1" applyFont="1" applyFill="1" applyBorder="1" applyAlignment="1">
      <alignment horizontal="right"/>
    </xf>
    <xf numFmtId="0" fontId="0" fillId="0" borderId="0" xfId="0" applyFill="1" applyBorder="1" applyAlignment="1">
      <alignment horizontal="right"/>
    </xf>
    <xf numFmtId="168" fontId="0" fillId="0" borderId="0" xfId="0" applyNumberFormat="1" applyAlignment="1">
      <alignment horizontal="right"/>
    </xf>
    <xf numFmtId="0" fontId="4" fillId="0" borderId="0" xfId="0" applyFont="1" applyAlignment="1">
      <alignment horizontal="right"/>
    </xf>
    <xf numFmtId="0" fontId="4" fillId="0" borderId="12" xfId="0" applyFont="1" applyFill="1" applyBorder="1" applyAlignment="1">
      <alignment horizontal="right"/>
    </xf>
    <xf numFmtId="169" fontId="12" fillId="0" borderId="0" xfId="0" applyNumberFormat="1" applyFont="1" applyFill="1" applyAlignment="1">
      <alignment horizontal="right"/>
    </xf>
    <xf numFmtId="176" fontId="3" fillId="17" borderId="0" xfId="41" applyNumberFormat="1" applyFont="1" applyFill="1" applyBorder="1" applyAlignment="1">
      <alignment horizontal="right"/>
    </xf>
    <xf numFmtId="168" fontId="23" fillId="0" borderId="0" xfId="41" applyNumberFormat="1" applyFont="1" applyFill="1" applyBorder="1" applyAlignment="1">
      <alignment horizontal="right"/>
    </xf>
    <xf numFmtId="168" fontId="22" fillId="0" borderId="0" xfId="0" applyNumberFormat="1" applyFont="1" applyFill="1" applyBorder="1" applyAlignment="1">
      <alignment horizontal="right"/>
    </xf>
    <xf numFmtId="168" fontId="3" fillId="0" borderId="0" xfId="0" applyNumberFormat="1" applyFont="1" applyFill="1" applyBorder="1" applyAlignment="1">
      <alignment horizontal="right"/>
    </xf>
    <xf numFmtId="169" fontId="12" fillId="19" borderId="0" xfId="0" applyNumberFormat="1" applyFont="1" applyFill="1" applyAlignment="1">
      <alignment horizontal="right"/>
    </xf>
    <xf numFmtId="169" fontId="5" fillId="19" borderId="0" xfId="0" applyNumberFormat="1" applyFont="1" applyFill="1" applyAlignment="1">
      <alignment horizontal="right"/>
    </xf>
    <xf numFmtId="166" fontId="5" fillId="17" borderId="0" xfId="41" applyNumberFormat="1" applyFont="1" applyFill="1" applyBorder="1" applyAlignment="1">
      <alignment horizontal="right"/>
    </xf>
    <xf numFmtId="166" fontId="5" fillId="0" borderId="0" xfId="41" applyNumberFormat="1" applyFont="1" applyFill="1" applyBorder="1" applyAlignment="1">
      <alignment horizontal="right"/>
    </xf>
    <xf numFmtId="169" fontId="13" fillId="0" borderId="0" xfId="66" applyNumberFormat="1" applyFont="1" applyFill="1" applyAlignment="1">
      <alignment horizontal="right"/>
    </xf>
    <xf numFmtId="0" fontId="0" fillId="17" borderId="0" xfId="0" applyFill="1" applyBorder="1" applyAlignment="1">
      <alignment horizontal="right"/>
    </xf>
    <xf numFmtId="169" fontId="0" fillId="0" borderId="0" xfId="66" applyNumberFormat="1" applyFont="1" applyFill="1" applyBorder="1" applyAlignment="1">
      <alignment horizontal="right"/>
    </xf>
    <xf numFmtId="0" fontId="6" fillId="17" borderId="11" xfId="0" applyFont="1" applyFill="1" applyBorder="1" applyAlignment="1">
      <alignment horizontal="center"/>
    </xf>
    <xf numFmtId="0" fontId="6" fillId="0" borderId="11" xfId="0" applyFont="1" applyFill="1" applyBorder="1" applyAlignment="1">
      <alignment horizontal="center"/>
    </xf>
    <xf numFmtId="172" fontId="5" fillId="0" borderId="12" xfId="41" applyNumberFormat="1" applyFont="1" applyFill="1" applyBorder="1" applyAlignment="1">
      <alignment horizontal="right" wrapText="1"/>
    </xf>
    <xf numFmtId="172" fontId="5" fillId="0" borderId="0" xfId="41" applyNumberFormat="1" applyFont="1" applyFill="1" applyBorder="1" applyAlignment="1">
      <alignment horizontal="right" wrapText="1"/>
    </xf>
    <xf numFmtId="172" fontId="12" fillId="17" borderId="0" xfId="0" applyNumberFormat="1" applyFont="1" applyFill="1" applyAlignment="1">
      <alignment horizontal="right"/>
    </xf>
    <xf numFmtId="172" fontId="12" fillId="0" borderId="0" xfId="0" applyNumberFormat="1" applyFont="1" applyFill="1" applyAlignment="1">
      <alignment horizontal="right"/>
    </xf>
    <xf numFmtId="172" fontId="22" fillId="17" borderId="0" xfId="41" applyNumberFormat="1" applyFont="1" applyFill="1" applyBorder="1" applyAlignment="1">
      <alignment horizontal="right"/>
    </xf>
    <xf numFmtId="172" fontId="12" fillId="0" borderId="0" xfId="0" applyNumberFormat="1" applyFont="1" applyFill="1" applyBorder="1" applyAlignment="1">
      <alignment horizontal="right"/>
    </xf>
    <xf numFmtId="172" fontId="12" fillId="17" borderId="0" xfId="41" applyNumberFormat="1" applyFont="1" applyFill="1" applyAlignment="1">
      <alignment horizontal="right"/>
    </xf>
    <xf numFmtId="172" fontId="13" fillId="17" borderId="0" xfId="0" applyNumberFormat="1" applyFont="1" applyFill="1" applyAlignment="1">
      <alignment horizontal="right"/>
    </xf>
    <xf numFmtId="172" fontId="13" fillId="17" borderId="12" xfId="0" applyNumberFormat="1" applyFont="1" applyFill="1" applyBorder="1" applyAlignment="1">
      <alignment horizontal="right"/>
    </xf>
    <xf numFmtId="172" fontId="12" fillId="0" borderId="12" xfId="0" applyNumberFormat="1" applyFont="1" applyFill="1" applyBorder="1" applyAlignment="1">
      <alignment horizontal="right"/>
    </xf>
    <xf numFmtId="172" fontId="12" fillId="0" borderId="0" xfId="41" applyNumberFormat="1" applyFont="1" applyFill="1" applyAlignment="1">
      <alignment horizontal="right"/>
    </xf>
    <xf numFmtId="172" fontId="12" fillId="17" borderId="12" xfId="0" applyNumberFormat="1" applyFont="1" applyFill="1" applyBorder="1" applyAlignment="1">
      <alignment horizontal="right"/>
    </xf>
    <xf numFmtId="0" fontId="5" fillId="18" borderId="0" xfId="0" applyFont="1" applyFill="1" applyAlignment="1">
      <alignment horizontal="right"/>
    </xf>
    <xf numFmtId="0" fontId="4" fillId="0" borderId="0" xfId="0" applyFont="1" applyFill="1" applyAlignment="1">
      <alignment horizontal="right"/>
    </xf>
    <xf numFmtId="0" fontId="0" fillId="0" borderId="0" xfId="0" applyFill="1" applyAlignment="1">
      <alignment horizontal="right"/>
    </xf>
    <xf numFmtId="0" fontId="4" fillId="0" borderId="0" xfId="0" applyFont="1" applyFill="1" applyBorder="1" applyAlignment="1">
      <alignment horizontal="right"/>
    </xf>
    <xf numFmtId="0" fontId="3" fillId="0" borderId="0" xfId="0" applyFont="1" applyFill="1" applyBorder="1" applyAlignment="1">
      <alignment horizontal="right"/>
    </xf>
    <xf numFmtId="0" fontId="3" fillId="17" borderId="0" xfId="0" applyFont="1" applyFill="1" applyBorder="1" applyAlignment="1">
      <alignment horizontal="right"/>
    </xf>
    <xf numFmtId="43" fontId="0" fillId="0" borderId="0" xfId="41" applyFont="1" applyFill="1" applyAlignment="1">
      <alignment horizontal="right"/>
    </xf>
    <xf numFmtId="168" fontId="5" fillId="0" borderId="0" xfId="0" applyNumberFormat="1" applyFont="1" applyFill="1" applyBorder="1" applyAlignment="1">
      <alignment horizontal="left" indent="2"/>
    </xf>
    <xf numFmtId="0" fontId="5" fillId="0" borderId="0" xfId="0" applyFont="1" applyFill="1" applyBorder="1" applyAlignment="1">
      <alignment horizontal="left" indent="3"/>
    </xf>
    <xf numFmtId="0" fontId="5" fillId="0" borderId="0" xfId="0" applyFont="1" applyFill="1" applyBorder="1" applyAlignment="1">
      <alignment horizontal="left" wrapText="1" indent="2"/>
    </xf>
    <xf numFmtId="167" fontId="23" fillId="0" borderId="0" xfId="0" applyNumberFormat="1" applyFont="1" applyFill="1" applyBorder="1"/>
    <xf numFmtId="196" fontId="23" fillId="0" borderId="0" xfId="0" applyNumberFormat="1" applyFont="1" applyFill="1" applyBorder="1"/>
    <xf numFmtId="168" fontId="5" fillId="0" borderId="0" xfId="0" applyNumberFormat="1" applyFont="1" applyFill="1" applyAlignment="1">
      <alignment horizontal="left" vertical="top" wrapText="1" indent="1"/>
    </xf>
    <xf numFmtId="168" fontId="22" fillId="0" borderId="0" xfId="41" applyNumberFormat="1" applyFont="1" applyFill="1" applyBorder="1" applyAlignment="1">
      <alignment horizontal="right" wrapText="1"/>
    </xf>
    <xf numFmtId="168" fontId="5" fillId="0" borderId="0" xfId="41" applyNumberFormat="1" applyFont="1" applyFill="1" applyBorder="1" applyAlignment="1">
      <alignment horizontal="right" wrapText="1"/>
    </xf>
    <xf numFmtId="168" fontId="3" fillId="17" borderId="0" xfId="0" applyNumberFormat="1" applyFont="1" applyFill="1" applyBorder="1" applyAlignment="1">
      <alignment horizontal="right"/>
    </xf>
    <xf numFmtId="0" fontId="5" fillId="0" borderId="11" xfId="0" applyFont="1" applyFill="1" applyBorder="1"/>
    <xf numFmtId="0" fontId="3" fillId="0" borderId="0" xfId="0" applyFont="1" applyAlignment="1">
      <alignment horizontal="left"/>
    </xf>
    <xf numFmtId="166" fontId="22" fillId="0" borderId="0" xfId="41" applyNumberFormat="1" applyFont="1" applyAlignment="1">
      <alignment horizontal="right"/>
    </xf>
    <xf numFmtId="0" fontId="5" fillId="0" borderId="0" xfId="0" applyFont="1" applyAlignment="1">
      <alignment horizontal="right"/>
    </xf>
    <xf numFmtId="166" fontId="5" fillId="0" borderId="0" xfId="41" applyNumberFormat="1" applyFont="1" applyFill="1" applyAlignment="1">
      <alignment horizontal="right"/>
    </xf>
    <xf numFmtId="0" fontId="22" fillId="0" borderId="0" xfId="0" applyFont="1" applyAlignment="1">
      <alignment horizontal="right"/>
    </xf>
    <xf numFmtId="166" fontId="22" fillId="0" borderId="0" xfId="41" applyNumberFormat="1" applyFont="1" applyBorder="1" applyAlignment="1">
      <alignment horizontal="right"/>
    </xf>
    <xf numFmtId="166" fontId="5" fillId="0" borderId="0" xfId="41" applyNumberFormat="1" applyFont="1" applyAlignment="1">
      <alignment horizontal="right"/>
    </xf>
    <xf numFmtId="166" fontId="5" fillId="0" borderId="0" xfId="41" applyNumberFormat="1" applyFont="1" applyBorder="1" applyAlignment="1">
      <alignment horizontal="right"/>
    </xf>
    <xf numFmtId="166" fontId="22" fillId="0" borderId="0" xfId="41" applyNumberFormat="1" applyFont="1" applyFill="1" applyAlignment="1">
      <alignment horizontal="right"/>
    </xf>
    <xf numFmtId="166" fontId="23" fillId="0" borderId="0" xfId="41" applyNumberFormat="1" applyFont="1" applyBorder="1" applyAlignment="1">
      <alignment horizontal="right"/>
    </xf>
    <xf numFmtId="167" fontId="5" fillId="0" borderId="0" xfId="41" applyNumberFormat="1" applyFont="1" applyFill="1" applyAlignment="1">
      <alignment horizontal="right"/>
    </xf>
    <xf numFmtId="166" fontId="3" fillId="0" borderId="18" xfId="41" applyNumberFormat="1" applyFont="1" applyFill="1" applyBorder="1" applyAlignment="1">
      <alignment horizontal="right"/>
    </xf>
    <xf numFmtId="0" fontId="5" fillId="0" borderId="0" xfId="0" applyFont="1" applyFill="1" applyAlignment="1">
      <alignment horizontal="right"/>
    </xf>
    <xf numFmtId="0" fontId="23" fillId="0" borderId="0" xfId="0" applyFont="1" applyAlignment="1">
      <alignment horizontal="right"/>
    </xf>
    <xf numFmtId="166" fontId="23" fillId="0" borderId="0" xfId="0" applyNumberFormat="1" applyFont="1" applyFill="1" applyAlignment="1">
      <alignment horizontal="right"/>
    </xf>
    <xf numFmtId="166" fontId="23" fillId="0" borderId="0" xfId="0" applyNumberFormat="1" applyFont="1" applyAlignment="1">
      <alignment horizontal="right"/>
    </xf>
    <xf numFmtId="166" fontId="5" fillId="0" borderId="0" xfId="0" applyNumberFormat="1" applyFont="1" applyAlignment="1">
      <alignment horizontal="right"/>
    </xf>
    <xf numFmtId="166" fontId="5" fillId="0" borderId="0" xfId="0" applyNumberFormat="1" applyFont="1" applyFill="1" applyAlignment="1">
      <alignment horizontal="right"/>
    </xf>
    <xf numFmtId="173" fontId="5" fillId="0" borderId="0" xfId="0" applyNumberFormat="1" applyFont="1" applyAlignment="1">
      <alignment horizontal="right"/>
    </xf>
    <xf numFmtId="173" fontId="5" fillId="0" borderId="0" xfId="0" applyNumberFormat="1" applyFont="1" applyFill="1" applyAlignment="1">
      <alignment horizontal="right"/>
    </xf>
    <xf numFmtId="166" fontId="23" fillId="0" borderId="0" xfId="41" applyNumberFormat="1" applyFont="1" applyAlignment="1">
      <alignment horizontal="right"/>
    </xf>
    <xf numFmtId="166" fontId="4" fillId="0" borderId="0" xfId="41" applyNumberFormat="1" applyFont="1" applyAlignment="1">
      <alignment horizontal="right"/>
    </xf>
    <xf numFmtId="166" fontId="22" fillId="0" borderId="0" xfId="0" applyNumberFormat="1" applyFont="1" applyAlignment="1">
      <alignment horizontal="right"/>
    </xf>
    <xf numFmtId="43" fontId="5" fillId="0" borderId="0" xfId="0" applyNumberFormat="1" applyFont="1" applyAlignment="1">
      <alignment horizontal="right"/>
    </xf>
    <xf numFmtId="166" fontId="3" fillId="0" borderId="0" xfId="0" applyNumberFormat="1" applyFont="1" applyAlignment="1">
      <alignment horizontal="right"/>
    </xf>
    <xf numFmtId="166" fontId="3" fillId="0" borderId="0" xfId="0" applyNumberFormat="1" applyFont="1" applyFill="1" applyAlignment="1">
      <alignment horizontal="right"/>
    </xf>
    <xf numFmtId="0" fontId="3" fillId="0" borderId="0" xfId="0" applyFont="1" applyAlignment="1">
      <alignment horizontal="right"/>
    </xf>
    <xf numFmtId="43" fontId="3" fillId="0" borderId="0" xfId="0" applyNumberFormat="1" applyFont="1" applyAlignment="1">
      <alignment horizontal="right"/>
    </xf>
    <xf numFmtId="0" fontId="17" fillId="0" borderId="0" xfId="0" applyFont="1" applyAlignment="1">
      <alignment horizontal="right"/>
    </xf>
    <xf numFmtId="166" fontId="3" fillId="0" borderId="0" xfId="41" applyNumberFormat="1" applyFont="1" applyAlignment="1">
      <alignment horizontal="right"/>
    </xf>
    <xf numFmtId="166" fontId="3" fillId="0" borderId="0" xfId="41" applyNumberFormat="1" applyFont="1" applyFill="1" applyAlignment="1">
      <alignment horizontal="right"/>
    </xf>
    <xf numFmtId="0" fontId="22" fillId="0" borderId="0" xfId="0" applyFont="1" applyFill="1" applyAlignment="1">
      <alignment horizontal="right"/>
    </xf>
    <xf numFmtId="10" fontId="22" fillId="0" borderId="0" xfId="66" applyNumberFormat="1" applyFont="1" applyAlignment="1">
      <alignment horizontal="right"/>
    </xf>
    <xf numFmtId="10" fontId="22" fillId="0" borderId="0" xfId="66" applyNumberFormat="1" applyFont="1" applyFill="1" applyAlignment="1">
      <alignment horizontal="right"/>
    </xf>
    <xf numFmtId="10" fontId="5" fillId="0" borderId="0" xfId="66" applyNumberFormat="1" applyFont="1" applyAlignment="1">
      <alignment horizontal="right"/>
    </xf>
    <xf numFmtId="10" fontId="22" fillId="0" borderId="0" xfId="66" applyNumberFormat="1" applyFont="1" applyBorder="1" applyAlignment="1">
      <alignment horizontal="right"/>
    </xf>
    <xf numFmtId="10" fontId="4" fillId="0" borderId="0" xfId="66" applyNumberFormat="1" applyFont="1" applyAlignment="1">
      <alignment horizontal="right"/>
    </xf>
    <xf numFmtId="10" fontId="22" fillId="0" borderId="0" xfId="41" applyNumberFormat="1" applyFont="1" applyAlignment="1">
      <alignment horizontal="right"/>
    </xf>
    <xf numFmtId="10" fontId="22" fillId="0" borderId="0" xfId="41" applyNumberFormat="1" applyFont="1" applyFill="1" applyAlignment="1">
      <alignment horizontal="right"/>
    </xf>
    <xf numFmtId="10" fontId="5" fillId="0" borderId="0" xfId="0" applyNumberFormat="1" applyFont="1" applyAlignment="1">
      <alignment horizontal="right"/>
    </xf>
    <xf numFmtId="10" fontId="22" fillId="0" borderId="0" xfId="0" applyNumberFormat="1" applyFont="1" applyAlignment="1">
      <alignment horizontal="right"/>
    </xf>
    <xf numFmtId="10" fontId="22" fillId="0" borderId="0" xfId="41" applyNumberFormat="1" applyFont="1" applyBorder="1" applyAlignment="1">
      <alignment horizontal="right"/>
    </xf>
    <xf numFmtId="10" fontId="4" fillId="0" borderId="0" xfId="0" applyNumberFormat="1" applyFont="1" applyAlignment="1">
      <alignment horizontal="right"/>
    </xf>
    <xf numFmtId="10" fontId="11" fillId="0" borderId="0" xfId="66" applyNumberFormat="1" applyFont="1" applyAlignment="1">
      <alignment horizontal="right"/>
    </xf>
    <xf numFmtId="10" fontId="11" fillId="0" borderId="0" xfId="66" applyNumberFormat="1" applyFont="1" applyFill="1" applyAlignment="1">
      <alignment horizontal="right"/>
    </xf>
    <xf numFmtId="0" fontId="11" fillId="0" borderId="0" xfId="0" applyFont="1" applyAlignment="1">
      <alignment horizontal="right"/>
    </xf>
    <xf numFmtId="10" fontId="30" fillId="0" borderId="0" xfId="66" applyNumberFormat="1" applyFont="1" applyAlignment="1">
      <alignment horizontal="right"/>
    </xf>
    <xf numFmtId="0" fontId="4" fillId="18" borderId="0" xfId="0" applyFont="1" applyFill="1" applyAlignment="1">
      <alignment horizontal="right"/>
    </xf>
    <xf numFmtId="43" fontId="5" fillId="0" borderId="0" xfId="41" applyFont="1" applyAlignment="1">
      <alignment horizontal="right"/>
    </xf>
    <xf numFmtId="43" fontId="3" fillId="0" borderId="0" xfId="41" applyFont="1" applyAlignment="1">
      <alignment horizontal="right"/>
    </xf>
    <xf numFmtId="176" fontId="22" fillId="17" borderId="0" xfId="41" applyNumberFormat="1" applyFont="1" applyFill="1" applyAlignment="1">
      <alignment horizontal="right"/>
    </xf>
    <xf numFmtId="176" fontId="5" fillId="17" borderId="0" xfId="41" applyNumberFormat="1" applyFont="1" applyFill="1" applyAlignment="1">
      <alignment horizontal="right"/>
    </xf>
    <xf numFmtId="168" fontId="22" fillId="17" borderId="0" xfId="41" applyNumberFormat="1" applyFont="1" applyFill="1" applyAlignment="1">
      <alignment horizontal="right"/>
    </xf>
    <xf numFmtId="168" fontId="5" fillId="17" borderId="0" xfId="41" applyNumberFormat="1" applyFont="1" applyFill="1" applyAlignment="1">
      <alignment horizontal="right"/>
    </xf>
    <xf numFmtId="168" fontId="22" fillId="0" borderId="0" xfId="41" applyNumberFormat="1" applyFont="1" applyAlignment="1">
      <alignment horizontal="right"/>
    </xf>
    <xf numFmtId="168" fontId="5" fillId="0" borderId="0" xfId="41" applyNumberFormat="1" applyFont="1" applyAlignment="1">
      <alignment horizontal="right"/>
    </xf>
    <xf numFmtId="168" fontId="5" fillId="0" borderId="0" xfId="41" applyNumberFormat="1" applyFont="1" applyFill="1" applyAlignment="1">
      <alignment horizontal="right"/>
    </xf>
    <xf numFmtId="168" fontId="5" fillId="0" borderId="0" xfId="41" applyNumberFormat="1" applyFont="1" applyFill="1" applyBorder="1" applyAlignment="1">
      <alignment horizontal="right"/>
    </xf>
    <xf numFmtId="168" fontId="22" fillId="0" borderId="0" xfId="41" applyNumberFormat="1" applyFont="1" applyFill="1" applyBorder="1" applyAlignment="1">
      <alignment horizontal="right"/>
    </xf>
    <xf numFmtId="168" fontId="22" fillId="0" borderId="0" xfId="41" applyNumberFormat="1" applyFont="1" applyFill="1" applyAlignment="1">
      <alignment horizontal="right"/>
    </xf>
    <xf numFmtId="168" fontId="3" fillId="0" borderId="0" xfId="41" applyNumberFormat="1" applyFont="1" applyAlignment="1">
      <alignment horizontal="right"/>
    </xf>
    <xf numFmtId="168" fontId="12" fillId="0" borderId="0" xfId="41" applyNumberFormat="1" applyFont="1" applyAlignment="1">
      <alignment horizontal="right"/>
    </xf>
    <xf numFmtId="168" fontId="3" fillId="17" borderId="0" xfId="41" applyNumberFormat="1" applyFont="1" applyFill="1" applyBorder="1" applyAlignment="1">
      <alignment horizontal="right"/>
    </xf>
    <xf numFmtId="168" fontId="3" fillId="0" borderId="0" xfId="41" applyNumberFormat="1" applyFont="1" applyFill="1" applyBorder="1" applyAlignment="1">
      <alignment horizontal="right"/>
    </xf>
    <xf numFmtId="168" fontId="7" fillId="17" borderId="0" xfId="41" applyNumberFormat="1" applyFont="1" applyFill="1" applyBorder="1" applyAlignment="1">
      <alignment horizontal="right"/>
    </xf>
    <xf numFmtId="168" fontId="3" fillId="0" borderId="0" xfId="41" applyNumberFormat="1" applyFont="1" applyFill="1" applyAlignment="1">
      <alignment horizontal="right"/>
    </xf>
    <xf numFmtId="168" fontId="3" fillId="17" borderId="18" xfId="41" applyNumberFormat="1" applyFont="1" applyFill="1" applyBorder="1" applyAlignment="1">
      <alignment horizontal="right"/>
    </xf>
    <xf numFmtId="168" fontId="12" fillId="0" borderId="0" xfId="0" applyNumberFormat="1" applyFont="1" applyAlignment="1">
      <alignment horizontal="right"/>
    </xf>
    <xf numFmtId="176" fontId="7" fillId="0" borderId="0" xfId="41" applyNumberFormat="1" applyFont="1" applyFill="1" applyBorder="1" applyAlignment="1">
      <alignment horizontal="right"/>
    </xf>
    <xf numFmtId="168" fontId="13" fillId="0" borderId="0" xfId="0" applyNumberFormat="1" applyFont="1" applyAlignment="1">
      <alignment horizontal="right"/>
    </xf>
    <xf numFmtId="168" fontId="22" fillId="0" borderId="0" xfId="0" applyNumberFormat="1" applyFont="1" applyFill="1" applyAlignment="1">
      <alignment horizontal="right"/>
    </xf>
    <xf numFmtId="168" fontId="13" fillId="0" borderId="0" xfId="41" applyNumberFormat="1" applyFont="1" applyFill="1" applyAlignment="1">
      <alignment horizontal="right"/>
    </xf>
    <xf numFmtId="175" fontId="5" fillId="0" borderId="0" xfId="0" applyNumberFormat="1" applyFont="1" applyFill="1" applyAlignment="1">
      <alignment horizontal="right"/>
    </xf>
    <xf numFmtId="175" fontId="5" fillId="0" borderId="0" xfId="0" applyNumberFormat="1" applyFont="1" applyFill="1" applyBorder="1" applyAlignment="1">
      <alignment horizontal="right"/>
    </xf>
    <xf numFmtId="0" fontId="12" fillId="0" borderId="0" xfId="0" applyFont="1" applyFill="1" applyBorder="1" applyAlignment="1">
      <alignment horizontal="right"/>
    </xf>
    <xf numFmtId="177" fontId="0" fillId="0" borderId="0" xfId="0" applyNumberFormat="1" applyFill="1" applyAlignment="1">
      <alignment horizontal="right"/>
    </xf>
    <xf numFmtId="169" fontId="5" fillId="0" borderId="0" xfId="66" applyNumberFormat="1" applyFont="1" applyFill="1" applyAlignment="1">
      <alignment horizontal="right"/>
    </xf>
    <xf numFmtId="9" fontId="5" fillId="17" borderId="0" xfId="0" applyNumberFormat="1" applyFont="1" applyFill="1" applyBorder="1" applyAlignment="1">
      <alignment horizontal="right"/>
    </xf>
    <xf numFmtId="193" fontId="0" fillId="0" borderId="0" xfId="0" applyNumberFormat="1" applyFill="1" applyAlignment="1">
      <alignment horizontal="right"/>
    </xf>
    <xf numFmtId="172" fontId="11" fillId="0" borderId="0" xfId="41" applyNumberFormat="1" applyFont="1" applyFill="1" applyAlignment="1">
      <alignment horizontal="right"/>
    </xf>
    <xf numFmtId="172" fontId="11" fillId="0" borderId="0" xfId="41" applyNumberFormat="1" applyFont="1" applyFill="1" applyBorder="1" applyAlignment="1">
      <alignment horizontal="right"/>
    </xf>
    <xf numFmtId="172" fontId="5" fillId="0" borderId="0" xfId="41" applyNumberFormat="1" applyFont="1" applyFill="1" applyAlignment="1">
      <alignment horizontal="right"/>
    </xf>
    <xf numFmtId="166" fontId="5" fillId="0" borderId="14" xfId="41" applyNumberFormat="1" applyFont="1" applyFill="1" applyBorder="1" applyAlignment="1">
      <alignment horizontal="right"/>
    </xf>
    <xf numFmtId="169" fontId="30" fillId="0" borderId="0" xfId="66" applyNumberFormat="1" applyFont="1" applyFill="1" applyAlignment="1">
      <alignment horizontal="right"/>
    </xf>
    <xf numFmtId="166" fontId="23" fillId="0" borderId="0" xfId="41" applyNumberFormat="1" applyFont="1" applyFill="1" applyBorder="1" applyAlignment="1">
      <alignment horizontal="right"/>
    </xf>
    <xf numFmtId="167" fontId="23" fillId="0" borderId="0" xfId="41" applyNumberFormat="1" applyFont="1" applyFill="1" applyBorder="1" applyAlignment="1">
      <alignment horizontal="right"/>
    </xf>
    <xf numFmtId="196" fontId="23" fillId="0" borderId="0" xfId="41" applyNumberFormat="1" applyFont="1" applyFill="1" applyBorder="1" applyAlignment="1">
      <alignment horizontal="right"/>
    </xf>
    <xf numFmtId="196" fontId="24" fillId="0" borderId="0" xfId="0" applyNumberFormat="1" applyFont="1" applyFill="1" applyAlignment="1">
      <alignment horizontal="right"/>
    </xf>
    <xf numFmtId="0" fontId="3" fillId="17" borderId="11" xfId="0" applyFont="1" applyFill="1" applyBorder="1" applyAlignment="1">
      <alignment horizontal="right"/>
    </xf>
    <xf numFmtId="9" fontId="5" fillId="17" borderId="0" xfId="0" applyNumberFormat="1" applyFont="1" applyFill="1" applyAlignment="1">
      <alignment horizontal="right"/>
    </xf>
    <xf numFmtId="176" fontId="22" fillId="0" borderId="0" xfId="41" applyNumberFormat="1" applyFont="1" applyFill="1" applyAlignment="1">
      <alignment horizontal="right"/>
    </xf>
    <xf numFmtId="7" fontId="5" fillId="0" borderId="0" xfId="41" applyNumberFormat="1" applyFont="1" applyFill="1" applyAlignment="1">
      <alignment horizontal="right"/>
    </xf>
    <xf numFmtId="7" fontId="5" fillId="0" borderId="0" xfId="41" applyNumberFormat="1" applyFont="1" applyFill="1" applyBorder="1" applyAlignment="1">
      <alignment horizontal="right"/>
    </xf>
    <xf numFmtId="169" fontId="12" fillId="0" borderId="0" xfId="66" applyNumberFormat="1" applyFont="1" applyFill="1" applyAlignment="1">
      <alignment horizontal="right"/>
    </xf>
    <xf numFmtId="0" fontId="31" fillId="0" borderId="0" xfId="0" applyFont="1" applyFill="1" applyBorder="1" applyAlignment="1">
      <alignment horizontal="right"/>
    </xf>
    <xf numFmtId="0" fontId="11" fillId="0" borderId="0" xfId="0" applyFont="1" applyFill="1" applyBorder="1" applyAlignment="1">
      <alignment horizontal="right"/>
    </xf>
    <xf numFmtId="0" fontId="48" fillId="0" borderId="0" xfId="0" applyFont="1" applyFill="1" applyBorder="1" applyAlignment="1">
      <alignment horizontal="right"/>
    </xf>
    <xf numFmtId="177" fontId="12" fillId="0" borderId="0" xfId="44" applyNumberFormat="1" applyFont="1" applyFill="1" applyAlignment="1">
      <alignment horizontal="right"/>
    </xf>
    <xf numFmtId="9" fontId="5" fillId="0" borderId="0" xfId="0" applyNumberFormat="1" applyFont="1" applyFill="1" applyBorder="1" applyAlignment="1">
      <alignment horizontal="right"/>
    </xf>
    <xf numFmtId="9" fontId="5" fillId="0" borderId="0" xfId="0" applyNumberFormat="1" applyFont="1" applyFill="1" applyAlignment="1">
      <alignment horizontal="right"/>
    </xf>
    <xf numFmtId="168" fontId="5" fillId="17" borderId="0" xfId="0" applyNumberFormat="1" applyFont="1" applyFill="1" applyBorder="1"/>
    <xf numFmtId="168" fontId="5" fillId="0" borderId="0" xfId="41" quotePrefix="1" applyNumberFormat="1" applyFont="1" applyFill="1" applyAlignment="1">
      <alignment horizontal="right"/>
    </xf>
    <xf numFmtId="168" fontId="5" fillId="0" borderId="0" xfId="0" applyNumberFormat="1" applyFont="1" applyFill="1" applyBorder="1"/>
    <xf numFmtId="168" fontId="0" fillId="17" borderId="0" xfId="0" applyNumberFormat="1" applyFill="1" applyBorder="1"/>
    <xf numFmtId="168" fontId="5" fillId="17" borderId="0" xfId="0" applyNumberFormat="1" applyFont="1" applyFill="1" applyBorder="1" applyAlignment="1">
      <alignment horizontal="left" indent="1"/>
    </xf>
    <xf numFmtId="168" fontId="5" fillId="0" borderId="14" xfId="0" applyNumberFormat="1" applyFont="1" applyFill="1" applyBorder="1" applyAlignment="1">
      <alignment horizontal="right"/>
    </xf>
    <xf numFmtId="168" fontId="3" fillId="0" borderId="0" xfId="0" applyNumberFormat="1" applyFont="1" applyFill="1" applyAlignment="1">
      <alignment horizontal="left" vertical="top" wrapText="1"/>
    </xf>
    <xf numFmtId="168" fontId="3" fillId="0" borderId="0" xfId="41" applyNumberFormat="1" applyFont="1" applyFill="1" applyBorder="1" applyAlignment="1">
      <alignment horizontal="right" wrapText="1"/>
    </xf>
    <xf numFmtId="168" fontId="3" fillId="0" borderId="12" xfId="41" applyNumberFormat="1" applyFont="1" applyFill="1" applyBorder="1" applyAlignment="1">
      <alignment horizontal="right" wrapText="1"/>
    </xf>
    <xf numFmtId="168" fontId="17" fillId="0" borderId="0" xfId="0" applyNumberFormat="1" applyFont="1" applyFill="1"/>
    <xf numFmtId="168" fontId="17" fillId="0" borderId="0" xfId="0" applyNumberFormat="1" applyFont="1"/>
    <xf numFmtId="168" fontId="20" fillId="0" borderId="0" xfId="0" applyNumberFormat="1" applyFont="1" applyFill="1"/>
    <xf numFmtId="168" fontId="20" fillId="0" borderId="0" xfId="0" applyNumberFormat="1" applyFont="1"/>
    <xf numFmtId="168" fontId="3" fillId="0" borderId="0" xfId="0" applyNumberFormat="1" applyFont="1" applyFill="1" applyAlignment="1">
      <alignment horizontal="left" vertical="top" wrapText="1" indent="1"/>
    </xf>
    <xf numFmtId="168" fontId="51" fillId="0" borderId="0" xfId="41" applyNumberFormat="1" applyFont="1" applyFill="1" applyBorder="1" applyAlignment="1">
      <alignment horizontal="right" wrapText="1"/>
    </xf>
    <xf numFmtId="168" fontId="17" fillId="17" borderId="0" xfId="0" applyNumberFormat="1" applyFont="1" applyFill="1"/>
    <xf numFmtId="168" fontId="18" fillId="17" borderId="0" xfId="0" applyNumberFormat="1" applyFont="1" applyFill="1"/>
    <xf numFmtId="168" fontId="2" fillId="0" borderId="0" xfId="0" applyNumberFormat="1" applyFont="1" applyFill="1"/>
    <xf numFmtId="168" fontId="0" fillId="17" borderId="0" xfId="0" applyNumberFormat="1" applyFill="1"/>
    <xf numFmtId="168" fontId="0" fillId="0" borderId="0" xfId="0" applyNumberFormat="1" applyFill="1"/>
    <xf numFmtId="168" fontId="0" fillId="0" borderId="0" xfId="0" applyNumberFormat="1"/>
    <xf numFmtId="168" fontId="5" fillId="0" borderId="0" xfId="0" applyNumberFormat="1" applyFont="1" applyFill="1" applyAlignment="1">
      <alignment horizontal="left" vertical="top" wrapText="1" indent="3"/>
    </xf>
    <xf numFmtId="168" fontId="21" fillId="0" borderId="0" xfId="0" applyNumberFormat="1" applyFont="1" applyFill="1"/>
    <xf numFmtId="168" fontId="21" fillId="0" borderId="0" xfId="0" applyNumberFormat="1" applyFont="1"/>
    <xf numFmtId="168" fontId="4" fillId="0" borderId="0" xfId="0" applyNumberFormat="1" applyFont="1" applyFill="1"/>
    <xf numFmtId="168" fontId="4" fillId="0" borderId="0" xfId="0" applyNumberFormat="1" applyFont="1"/>
    <xf numFmtId="168" fontId="5" fillId="0" borderId="0" xfId="0" applyNumberFormat="1" applyFont="1" applyFill="1" applyAlignment="1">
      <alignment wrapText="1"/>
    </xf>
    <xf numFmtId="168" fontId="3" fillId="17" borderId="0" xfId="0" applyNumberFormat="1" applyFont="1" applyFill="1" applyBorder="1" applyAlignment="1">
      <alignment horizontal="left"/>
    </xf>
    <xf numFmtId="168" fontId="17" fillId="0" borderId="0" xfId="0" applyNumberFormat="1" applyFont="1" applyFill="1" applyBorder="1"/>
    <xf numFmtId="168" fontId="17" fillId="17" borderId="0" xfId="0" applyNumberFormat="1" applyFont="1" applyFill="1" applyBorder="1"/>
    <xf numFmtId="168" fontId="5" fillId="0" borderId="0" xfId="0" applyNumberFormat="1" applyFont="1" applyFill="1" applyAlignment="1">
      <alignment horizontal="left" vertical="top" wrapText="1"/>
    </xf>
    <xf numFmtId="168" fontId="12" fillId="17" borderId="0" xfId="0" applyNumberFormat="1" applyFont="1" applyFill="1" applyBorder="1" applyAlignment="1">
      <alignment horizontal="left" vertical="distributed" indent="1"/>
    </xf>
    <xf numFmtId="168" fontId="12" fillId="0" borderId="0" xfId="0" applyNumberFormat="1" applyFont="1" applyFill="1" applyBorder="1" applyAlignment="1">
      <alignment horizontal="right"/>
    </xf>
    <xf numFmtId="168" fontId="2" fillId="0" borderId="0" xfId="0" applyNumberFormat="1" applyFont="1" applyFill="1" applyBorder="1"/>
    <xf numFmtId="168" fontId="4" fillId="0" borderId="0" xfId="0" applyNumberFormat="1" applyFont="1" applyFill="1" applyBorder="1"/>
    <xf numFmtId="168" fontId="4" fillId="17" borderId="0" xfId="0" applyNumberFormat="1" applyFont="1" applyFill="1" applyBorder="1"/>
    <xf numFmtId="169" fontId="11" fillId="17" borderId="0" xfId="66" applyNumberFormat="1" applyFont="1" applyFill="1" applyAlignment="1">
      <alignment horizontal="left" indent="1"/>
    </xf>
    <xf numFmtId="169" fontId="27" fillId="0" borderId="0" xfId="66" applyNumberFormat="1" applyFont="1" applyFill="1"/>
    <xf numFmtId="169" fontId="0" fillId="17" borderId="0" xfId="66" applyNumberFormat="1" applyFont="1" applyFill="1"/>
    <xf numFmtId="168" fontId="12" fillId="0" borderId="0" xfId="0" applyNumberFormat="1" applyFont="1" applyFill="1"/>
    <xf numFmtId="168" fontId="13" fillId="0" borderId="0" xfId="41" applyNumberFormat="1" applyFont="1" applyFill="1" applyBorder="1" applyAlignment="1">
      <alignment horizontal="right" wrapText="1"/>
    </xf>
    <xf numFmtId="168" fontId="12" fillId="0" borderId="0" xfId="0" applyNumberFormat="1" applyFont="1" applyFill="1" applyBorder="1"/>
    <xf numFmtId="168" fontId="12" fillId="0" borderId="0" xfId="41" applyNumberFormat="1" applyFont="1" applyFill="1" applyBorder="1" applyAlignment="1">
      <alignment horizontal="right" wrapText="1"/>
    </xf>
    <xf numFmtId="168" fontId="18" fillId="0" borderId="0" xfId="41" applyNumberFormat="1" applyFont="1" applyFill="1" applyBorder="1" applyAlignment="1">
      <alignment horizontal="right"/>
    </xf>
    <xf numFmtId="168" fontId="21" fillId="0" borderId="0" xfId="0" applyNumberFormat="1" applyFont="1" applyFill="1" applyBorder="1"/>
    <xf numFmtId="169" fontId="12" fillId="0" borderId="0" xfId="66" applyNumberFormat="1" applyFont="1" applyFill="1" applyBorder="1"/>
    <xf numFmtId="169" fontId="0" fillId="0" borderId="0" xfId="66" applyNumberFormat="1" applyFont="1" applyFill="1"/>
    <xf numFmtId="169" fontId="12" fillId="0" borderId="0" xfId="66" applyNumberFormat="1" applyFont="1" applyFill="1" applyBorder="1" applyAlignment="1">
      <alignment horizontal="left" indent="1"/>
    </xf>
    <xf numFmtId="169" fontId="5" fillId="0" borderId="0" xfId="66" applyNumberFormat="1" applyFont="1" applyFill="1" applyBorder="1" applyAlignment="1">
      <alignment horizontal="right"/>
    </xf>
    <xf numFmtId="169" fontId="12" fillId="0" borderId="0" xfId="0" applyNumberFormat="1" applyFont="1" applyFill="1"/>
    <xf numFmtId="169" fontId="0" fillId="0" borderId="0" xfId="0" applyNumberFormat="1" applyFill="1"/>
    <xf numFmtId="169" fontId="21" fillId="0" borderId="0" xfId="0" applyNumberFormat="1" applyFont="1" applyFill="1"/>
    <xf numFmtId="169" fontId="5" fillId="19" borderId="0" xfId="0" applyNumberFormat="1" applyFont="1" applyFill="1"/>
    <xf numFmtId="169" fontId="3" fillId="0" borderId="0" xfId="0" applyNumberFormat="1" applyFont="1" applyFill="1"/>
    <xf numFmtId="169" fontId="3" fillId="19" borderId="0" xfId="0" applyNumberFormat="1" applyFont="1" applyFill="1" applyAlignment="1">
      <alignment horizontal="right"/>
    </xf>
    <xf numFmtId="168" fontId="5" fillId="0" borderId="0" xfId="0" applyNumberFormat="1" applyFont="1" applyFill="1" applyBorder="1" applyAlignment="1">
      <alignment horizontal="left" indent="1"/>
    </xf>
    <xf numFmtId="168" fontId="5" fillId="0" borderId="0" xfId="0" applyNumberFormat="1" applyFont="1" applyFill="1" applyBorder="1" applyAlignment="1">
      <alignment horizontal="left" wrapText="1" indent="2"/>
    </xf>
    <xf numFmtId="168" fontId="5" fillId="0" borderId="0" xfId="0" applyNumberFormat="1" applyFont="1" applyFill="1" applyBorder="1" applyAlignment="1">
      <alignment horizontal="left" wrapText="1" indent="1"/>
    </xf>
    <xf numFmtId="168" fontId="5" fillId="0" borderId="0" xfId="0" applyNumberFormat="1" applyFont="1" applyFill="1" applyBorder="1" applyAlignment="1">
      <alignment horizontal="left" wrapText="1"/>
    </xf>
    <xf numFmtId="168" fontId="5" fillId="0" borderId="0" xfId="61" applyNumberFormat="1" applyFont="1" applyFill="1" applyBorder="1" applyAlignment="1" applyProtection="1">
      <alignment horizontal="left"/>
    </xf>
    <xf numFmtId="168" fontId="3" fillId="17" borderId="21" xfId="41" applyNumberFormat="1" applyFont="1" applyFill="1" applyBorder="1" applyAlignment="1">
      <alignment horizontal="right"/>
    </xf>
    <xf numFmtId="168" fontId="14" fillId="17" borderId="0" xfId="0" applyNumberFormat="1" applyFont="1" applyFill="1" applyBorder="1"/>
    <xf numFmtId="168" fontId="0" fillId="0" borderId="0" xfId="0" applyNumberFormat="1" applyFill="1" applyBorder="1"/>
    <xf numFmtId="43" fontId="28" fillId="18" borderId="15" xfId="41" applyFont="1" applyFill="1" applyBorder="1"/>
    <xf numFmtId="43" fontId="28" fillId="0" borderId="0" xfId="41" applyFont="1"/>
    <xf numFmtId="169" fontId="0" fillId="0" borderId="0" xfId="0" applyNumberFormat="1" applyFill="1" applyAlignment="1">
      <alignment horizontal="right"/>
    </xf>
    <xf numFmtId="168" fontId="3" fillId="0" borderId="0" xfId="0" applyNumberFormat="1" applyFont="1" applyFill="1"/>
    <xf numFmtId="167" fontId="23" fillId="0" borderId="0" xfId="0" applyNumberFormat="1" applyFont="1" applyFill="1" applyAlignment="1">
      <alignment horizontal="right"/>
    </xf>
    <xf numFmtId="168" fontId="5" fillId="0" borderId="0" xfId="0" applyNumberFormat="1" applyFont="1" applyAlignment="1">
      <alignment horizontal="right"/>
    </xf>
    <xf numFmtId="168" fontId="12" fillId="0" borderId="0" xfId="66" applyNumberFormat="1" applyFont="1" applyAlignment="1">
      <alignment horizontal="left" indent="1"/>
    </xf>
    <xf numFmtId="168" fontId="4" fillId="0" borderId="0" xfId="0" applyNumberFormat="1" applyFont="1" applyAlignment="1">
      <alignment horizontal="right"/>
    </xf>
    <xf numFmtId="168" fontId="12" fillId="0" borderId="0" xfId="0" applyNumberFormat="1" applyFont="1" applyAlignment="1">
      <alignment horizontal="left" indent="1"/>
    </xf>
    <xf numFmtId="168" fontId="3" fillId="0" borderId="0" xfId="66" applyNumberFormat="1" applyFont="1" applyAlignment="1">
      <alignment horizontal="left" indent="1"/>
    </xf>
    <xf numFmtId="168" fontId="3" fillId="0" borderId="0" xfId="0" applyNumberFormat="1" applyFont="1" applyAlignment="1">
      <alignment horizontal="right"/>
    </xf>
    <xf numFmtId="168" fontId="17" fillId="0" borderId="0" xfId="0" applyNumberFormat="1" applyFont="1" applyAlignment="1">
      <alignment horizontal="right"/>
    </xf>
    <xf numFmtId="168" fontId="12" fillId="0" borderId="0" xfId="0" applyNumberFormat="1" applyFont="1" applyAlignment="1">
      <alignment horizontal="left" indent="2"/>
    </xf>
    <xf numFmtId="168" fontId="12" fillId="0" borderId="0" xfId="0" applyNumberFormat="1" applyFont="1"/>
    <xf numFmtId="168" fontId="12" fillId="0" borderId="0" xfId="0" applyNumberFormat="1" applyFont="1" applyAlignment="1">
      <alignment horizontal="left"/>
    </xf>
    <xf numFmtId="168" fontId="3" fillId="0" borderId="18" xfId="0" applyNumberFormat="1" applyFont="1" applyFill="1" applyBorder="1" applyAlignment="1">
      <alignment horizontal="left" indent="1"/>
    </xf>
    <xf numFmtId="168" fontId="5" fillId="0" borderId="0" xfId="0" applyNumberFormat="1" applyFont="1" applyAlignment="1">
      <alignment horizontal="left" indent="1"/>
    </xf>
    <xf numFmtId="10" fontId="12" fillId="0" borderId="0" xfId="0" applyNumberFormat="1" applyFont="1" applyAlignment="1">
      <alignment horizontal="left" indent="2"/>
    </xf>
    <xf numFmtId="10" fontId="5" fillId="0" borderId="0" xfId="41" applyNumberFormat="1" applyFont="1" applyFill="1" applyAlignment="1">
      <alignment horizontal="right"/>
    </xf>
    <xf numFmtId="10" fontId="12" fillId="0" borderId="0" xfId="0" applyNumberFormat="1" applyFont="1"/>
    <xf numFmtId="10" fontId="12" fillId="0" borderId="0" xfId="0" applyNumberFormat="1" applyFont="1" applyAlignment="1">
      <alignment horizontal="left"/>
    </xf>
    <xf numFmtId="10" fontId="3" fillId="0" borderId="18" xfId="0" applyNumberFormat="1" applyFont="1" applyFill="1" applyBorder="1" applyAlignment="1">
      <alignment horizontal="left" indent="1"/>
    </xf>
    <xf numFmtId="10" fontId="5" fillId="0" borderId="18" xfId="0" applyNumberFormat="1" applyFont="1" applyBorder="1" applyAlignment="1">
      <alignment horizontal="right"/>
    </xf>
    <xf numFmtId="10" fontId="5" fillId="0" borderId="18" xfId="66" applyNumberFormat="1" applyFont="1" applyFill="1" applyBorder="1" applyAlignment="1">
      <alignment horizontal="right"/>
    </xf>
    <xf numFmtId="10" fontId="5" fillId="0" borderId="18" xfId="66" applyNumberFormat="1" applyFont="1" applyBorder="1" applyAlignment="1">
      <alignment horizontal="right"/>
    </xf>
    <xf numFmtId="168" fontId="5" fillId="0" borderId="0" xfId="66" applyNumberFormat="1" applyFont="1" applyAlignment="1">
      <alignment horizontal="left" indent="1"/>
    </xf>
    <xf numFmtId="168" fontId="5" fillId="0" borderId="11" xfId="41" applyNumberFormat="1" applyFont="1" applyBorder="1" applyAlignment="1">
      <alignment horizontal="right"/>
    </xf>
    <xf numFmtId="168" fontId="5" fillId="0" borderId="11" xfId="41" applyNumberFormat="1" applyFont="1" applyFill="1" applyBorder="1" applyAlignment="1">
      <alignment horizontal="right"/>
    </xf>
    <xf numFmtId="7" fontId="3" fillId="17" borderId="15" xfId="0" applyNumberFormat="1" applyFont="1" applyFill="1" applyBorder="1" applyAlignment="1">
      <alignment horizontal="left"/>
    </xf>
    <xf numFmtId="7" fontId="3" fillId="17" borderId="15" xfId="41" applyNumberFormat="1" applyFont="1" applyFill="1" applyBorder="1" applyAlignment="1"/>
    <xf numFmtId="7" fontId="3" fillId="17" borderId="19" xfId="41" applyNumberFormat="1" applyFont="1" applyFill="1" applyBorder="1"/>
    <xf numFmtId="7" fontId="22" fillId="17" borderId="15" xfId="0" applyNumberFormat="1" applyFont="1" applyFill="1" applyBorder="1" applyAlignment="1"/>
    <xf numFmtId="7" fontId="3" fillId="0" borderId="15" xfId="41" applyNumberFormat="1" applyFont="1" applyFill="1" applyBorder="1" applyAlignment="1">
      <alignment horizontal="right" wrapText="1"/>
    </xf>
    <xf numFmtId="7" fontId="3" fillId="0" borderId="19" xfId="41" applyNumberFormat="1" applyFont="1" applyFill="1" applyBorder="1" applyAlignment="1">
      <alignment horizontal="right" wrapText="1"/>
    </xf>
    <xf numFmtId="0" fontId="3" fillId="17" borderId="0" xfId="0" applyFont="1" applyFill="1"/>
    <xf numFmtId="0" fontId="2" fillId="0" borderId="0" xfId="0" applyFont="1"/>
    <xf numFmtId="0" fontId="2" fillId="0" borderId="0" xfId="0" applyFont="1" applyAlignment="1">
      <alignment horizontal="right"/>
    </xf>
    <xf numFmtId="0" fontId="2" fillId="0" borderId="11" xfId="0" applyFont="1" applyBorder="1"/>
    <xf numFmtId="168" fontId="2" fillId="0" borderId="0" xfId="0" applyNumberFormat="1" applyFont="1" applyAlignment="1">
      <alignment horizontal="right"/>
    </xf>
    <xf numFmtId="0" fontId="2" fillId="0" borderId="12" xfId="0" applyFont="1" applyFill="1" applyBorder="1" applyAlignment="1">
      <alignment horizontal="right"/>
    </xf>
    <xf numFmtId="169" fontId="12" fillId="17" borderId="22" xfId="0" applyNumberFormat="1" applyFont="1" applyFill="1" applyBorder="1" applyAlignment="1">
      <alignment horizontal="right"/>
    </xf>
    <xf numFmtId="168" fontId="2" fillId="0" borderId="0" xfId="0" applyNumberFormat="1" applyFont="1"/>
    <xf numFmtId="169" fontId="5" fillId="0" borderId="0" xfId="0" applyNumberFormat="1" applyFont="1"/>
    <xf numFmtId="0" fontId="5" fillId="0" borderId="0" xfId="0" applyFont="1" applyFill="1" applyAlignment="1">
      <alignment horizontal="left"/>
    </xf>
    <xf numFmtId="9" fontId="0" fillId="0" borderId="0" xfId="66" applyFont="1"/>
    <xf numFmtId="169" fontId="12" fillId="18" borderId="0" xfId="0" applyNumberFormat="1" applyFont="1" applyFill="1" applyAlignment="1">
      <alignment horizontal="right"/>
    </xf>
    <xf numFmtId="168" fontId="7" fillId="0" borderId="0" xfId="41" applyNumberFormat="1" applyFont="1" applyFill="1" applyBorder="1" applyAlignment="1">
      <alignment horizontal="right" wrapText="1"/>
    </xf>
    <xf numFmtId="174" fontId="0" fillId="0" borderId="0" xfId="0" applyNumberFormat="1" applyAlignment="1">
      <alignment horizontal="right"/>
    </xf>
    <xf numFmtId="198" fontId="18" fillId="17" borderId="0" xfId="41" applyNumberFormat="1" applyFont="1" applyFill="1" applyBorder="1" applyAlignment="1">
      <alignment horizontal="right"/>
    </xf>
    <xf numFmtId="167" fontId="12" fillId="0" borderId="0" xfId="41" applyNumberFormat="1" applyFont="1" applyFill="1" applyAlignment="1">
      <alignment horizontal="right"/>
    </xf>
    <xf numFmtId="166" fontId="5" fillId="0" borderId="0" xfId="41" applyNumberFormat="1" applyFont="1" applyFill="1" applyBorder="1" applyAlignment="1">
      <alignment horizontal="right" wrapText="1"/>
    </xf>
    <xf numFmtId="169" fontId="11" fillId="17" borderId="0" xfId="66" applyNumberFormat="1" applyFont="1" applyFill="1" applyBorder="1" applyAlignment="1">
      <alignment horizontal="right"/>
    </xf>
    <xf numFmtId="172" fontId="12" fillId="17" borderId="0" xfId="0" applyNumberFormat="1" applyFont="1" applyFill="1" applyBorder="1" applyAlignment="1">
      <alignment horizontal="right"/>
    </xf>
    <xf numFmtId="169" fontId="12" fillId="17" borderId="0" xfId="0" applyNumberFormat="1" applyFont="1" applyFill="1" applyBorder="1" applyAlignment="1">
      <alignment horizontal="right"/>
    </xf>
    <xf numFmtId="7" fontId="3" fillId="0" borderId="0" xfId="41" applyNumberFormat="1" applyFont="1" applyFill="1" applyBorder="1" applyAlignment="1">
      <alignment horizontal="right" wrapText="1"/>
    </xf>
    <xf numFmtId="0" fontId="2" fillId="0" borderId="0" xfId="0" applyFont="1" applyFill="1" applyAlignment="1">
      <alignment horizontal="right"/>
    </xf>
    <xf numFmtId="169" fontId="2" fillId="0" borderId="0" xfId="66" applyNumberFormat="1" applyFont="1" applyFill="1" applyAlignment="1">
      <alignment horizontal="right"/>
    </xf>
    <xf numFmtId="43" fontId="2" fillId="0" borderId="0" xfId="41" applyFont="1" applyFill="1" applyAlignment="1">
      <alignment horizontal="right"/>
    </xf>
    <xf numFmtId="169" fontId="2" fillId="0" borderId="0" xfId="0" applyNumberFormat="1" applyFont="1" applyFill="1" applyAlignment="1">
      <alignment horizontal="right"/>
    </xf>
    <xf numFmtId="170" fontId="12" fillId="17" borderId="0" xfId="0" applyNumberFormat="1" applyFont="1" applyFill="1" applyBorder="1" applyAlignment="1">
      <alignment horizontal="right"/>
    </xf>
    <xf numFmtId="169" fontId="5" fillId="0" borderId="0" xfId="66" applyNumberFormat="1" applyFont="1" applyFill="1" applyBorder="1" applyAlignment="1">
      <alignment horizontal="right" wrapText="1"/>
    </xf>
    <xf numFmtId="169" fontId="5" fillId="0" borderId="0" xfId="66" applyNumberFormat="1" applyFont="1" applyFill="1"/>
    <xf numFmtId="169" fontId="5" fillId="0" borderId="0" xfId="0" applyNumberFormat="1" applyFont="1" applyFill="1" applyAlignment="1">
      <alignment horizontal="right"/>
    </xf>
    <xf numFmtId="169" fontId="5" fillId="0" borderId="0" xfId="66" applyNumberFormat="1" applyFont="1" applyFill="1" applyBorder="1"/>
    <xf numFmtId="0" fontId="24" fillId="0" borderId="0" xfId="0" applyFont="1" applyFill="1" applyBorder="1"/>
    <xf numFmtId="169" fontId="5" fillId="0" borderId="0" xfId="0" applyNumberFormat="1" applyFont="1" applyFill="1" applyBorder="1" applyAlignment="1">
      <alignment horizontal="right"/>
    </xf>
    <xf numFmtId="169" fontId="3" fillId="0" borderId="0" xfId="0" applyNumberFormat="1" applyFont="1" applyFill="1" applyAlignment="1">
      <alignment horizontal="right"/>
    </xf>
    <xf numFmtId="169" fontId="3" fillId="19" borderId="0" xfId="0" applyNumberFormat="1" applyFont="1" applyFill="1" applyAlignment="1">
      <alignment horizontal="left" vertical="top" wrapText="1"/>
    </xf>
    <xf numFmtId="10" fontId="29" fillId="0" borderId="0" xfId="41" applyNumberFormat="1" applyFont="1" applyAlignment="1">
      <alignment horizontal="right"/>
    </xf>
    <xf numFmtId="174" fontId="2" fillId="0" borderId="0" xfId="0" applyNumberFormat="1" applyFont="1" applyAlignment="1">
      <alignment horizontal="right"/>
    </xf>
    <xf numFmtId="169" fontId="12" fillId="0" borderId="12" xfId="0" applyNumberFormat="1" applyFont="1" applyFill="1" applyBorder="1" applyAlignment="1">
      <alignment horizontal="right"/>
    </xf>
    <xf numFmtId="7" fontId="22" fillId="0" borderId="0" xfId="0" applyNumberFormat="1" applyFont="1" applyFill="1" applyAlignment="1">
      <alignment horizontal="right"/>
    </xf>
    <xf numFmtId="168" fontId="5" fillId="17" borderId="0" xfId="41" applyNumberFormat="1" applyFont="1" applyFill="1" applyAlignment="1">
      <alignment horizontal="left"/>
    </xf>
    <xf numFmtId="169" fontId="3" fillId="17" borderId="0" xfId="0" applyNumberFormat="1" applyFont="1" applyFill="1"/>
    <xf numFmtId="169" fontId="0" fillId="17" borderId="0" xfId="0" applyNumberFormat="1" applyFill="1"/>
    <xf numFmtId="169" fontId="12" fillId="17" borderId="0" xfId="0" applyNumberFormat="1" applyFont="1" applyFill="1"/>
    <xf numFmtId="0" fontId="4" fillId="0" borderId="11" xfId="0" applyFont="1" applyBorder="1" applyAlignment="1">
      <alignment horizontal="right"/>
    </xf>
    <xf numFmtId="0" fontId="4" fillId="0" borderId="11" xfId="0" applyFont="1" applyFill="1" applyBorder="1" applyAlignment="1">
      <alignment horizontal="right"/>
    </xf>
    <xf numFmtId="201" fontId="0" fillId="0" borderId="0" xfId="0" applyNumberFormat="1"/>
    <xf numFmtId="169" fontId="17" fillId="0" borderId="0" xfId="0" applyNumberFormat="1" applyFont="1" applyFill="1"/>
    <xf numFmtId="169" fontId="0" fillId="0" borderId="0" xfId="66" applyNumberFormat="1" applyFont="1"/>
    <xf numFmtId="0" fontId="74" fillId="0" borderId="0" xfId="0" applyFont="1"/>
    <xf numFmtId="169" fontId="33" fillId="0" borderId="0" xfId="66" applyNumberFormat="1" applyFont="1" applyFill="1" applyAlignment="1">
      <alignment horizontal="right"/>
    </xf>
    <xf numFmtId="172" fontId="13" fillId="0" borderId="0" xfId="0" applyNumberFormat="1" applyFont="1" applyFill="1" applyAlignment="1">
      <alignment horizontal="right"/>
    </xf>
    <xf numFmtId="198" fontId="18" fillId="0" borderId="0" xfId="41" applyNumberFormat="1" applyFont="1" applyFill="1" applyBorder="1" applyAlignment="1">
      <alignment horizontal="right"/>
    </xf>
    <xf numFmtId="0" fontId="41" fillId="0" borderId="0" xfId="0" applyFont="1" applyFill="1" applyAlignment="1">
      <alignment horizontal="center"/>
    </xf>
    <xf numFmtId="166" fontId="29" fillId="0" borderId="0" xfId="0" applyNumberFormat="1" applyFont="1" applyAlignment="1">
      <alignment horizontal="right"/>
    </xf>
    <xf numFmtId="168" fontId="29" fillId="0" borderId="0" xfId="41" applyNumberFormat="1" applyFont="1" applyFill="1" applyBorder="1" applyAlignment="1">
      <alignment horizontal="right"/>
    </xf>
    <xf numFmtId="169" fontId="29" fillId="0" borderId="0" xfId="0" applyNumberFormat="1" applyFont="1" applyFill="1" applyAlignment="1">
      <alignment horizontal="right"/>
    </xf>
    <xf numFmtId="174" fontId="5" fillId="0" borderId="0" xfId="41" applyNumberFormat="1" applyFont="1" applyFill="1" applyBorder="1" applyAlignment="1">
      <alignment horizontal="right" wrapText="1"/>
    </xf>
    <xf numFmtId="168" fontId="5" fillId="17" borderId="0" xfId="41" applyNumberFormat="1" applyFont="1" applyFill="1" applyBorder="1" applyAlignment="1">
      <alignment horizontal="right" wrapText="1"/>
    </xf>
    <xf numFmtId="173" fontId="23" fillId="0" borderId="0" xfId="0" applyNumberFormat="1" applyFont="1" applyFill="1" applyAlignment="1">
      <alignment horizontal="right"/>
    </xf>
    <xf numFmtId="0" fontId="23" fillId="0" borderId="0" xfId="0" applyFont="1" applyFill="1" applyAlignment="1">
      <alignment horizontal="right"/>
    </xf>
    <xf numFmtId="173" fontId="23" fillId="0" borderId="0" xfId="0" applyNumberFormat="1" applyFont="1" applyAlignment="1">
      <alignment horizontal="right"/>
    </xf>
    <xf numFmtId="0" fontId="14" fillId="0" borderId="0" xfId="0" applyFont="1"/>
    <xf numFmtId="0" fontId="0" fillId="0" borderId="0" xfId="0" applyBorder="1" applyAlignment="1">
      <alignment horizontal="right"/>
    </xf>
    <xf numFmtId="166" fontId="12" fillId="0" borderId="0" xfId="41" applyNumberFormat="1" applyFont="1" applyFill="1" applyBorder="1" applyAlignment="1">
      <alignment horizontal="right"/>
    </xf>
    <xf numFmtId="202" fontId="18" fillId="17" borderId="0" xfId="41" applyNumberFormat="1" applyFont="1" applyFill="1" applyBorder="1" applyAlignment="1">
      <alignment horizontal="right"/>
    </xf>
    <xf numFmtId="169" fontId="3" fillId="19" borderId="0" xfId="0" applyNumberFormat="1" applyFont="1" applyFill="1" applyAlignment="1">
      <alignment horizontal="left" vertical="top" wrapText="1" indent="1"/>
    </xf>
    <xf numFmtId="169" fontId="29" fillId="19" borderId="0" xfId="0" applyNumberFormat="1" applyFont="1" applyFill="1" applyAlignment="1">
      <alignment horizontal="right"/>
    </xf>
    <xf numFmtId="0" fontId="41" fillId="0" borderId="0" xfId="0" applyFont="1" applyFill="1" applyAlignment="1">
      <alignment horizontal="left"/>
    </xf>
    <xf numFmtId="37" fontId="3" fillId="0" borderId="12" xfId="41" applyNumberFormat="1" applyFont="1" applyFill="1" applyBorder="1" applyAlignment="1">
      <alignment horizontal="right" wrapText="1"/>
    </xf>
    <xf numFmtId="37" fontId="3" fillId="17" borderId="0" xfId="0" applyNumberFormat="1" applyFont="1" applyFill="1" applyBorder="1" applyAlignment="1">
      <alignment horizontal="right"/>
    </xf>
    <xf numFmtId="37" fontId="7" fillId="0" borderId="0" xfId="41" applyNumberFormat="1" applyFont="1" applyFill="1" applyBorder="1" applyAlignment="1">
      <alignment horizontal="right" wrapText="1"/>
    </xf>
    <xf numFmtId="37" fontId="75" fillId="0" borderId="0" xfId="41" applyNumberFormat="1" applyFont="1" applyFill="1" applyBorder="1" applyAlignment="1">
      <alignment horizontal="right" wrapText="1"/>
    </xf>
    <xf numFmtId="37" fontId="3" fillId="0" borderId="0" xfId="41" applyNumberFormat="1" applyFont="1" applyFill="1" applyBorder="1" applyAlignment="1">
      <alignment horizontal="right" wrapText="1"/>
    </xf>
    <xf numFmtId="37" fontId="5" fillId="0" borderId="12" xfId="41" applyNumberFormat="1" applyFont="1" applyFill="1" applyBorder="1" applyAlignment="1">
      <alignment horizontal="right" wrapText="1"/>
    </xf>
    <xf numFmtId="37" fontId="22" fillId="0" borderId="0" xfId="41" applyNumberFormat="1" applyFont="1" applyFill="1" applyBorder="1" applyAlignment="1">
      <alignment horizontal="right" wrapText="1"/>
    </xf>
    <xf numFmtId="37" fontId="5" fillId="0" borderId="0" xfId="41" applyNumberFormat="1" applyFont="1" applyFill="1" applyBorder="1" applyAlignment="1">
      <alignment horizontal="right" wrapText="1"/>
    </xf>
    <xf numFmtId="37" fontId="29" fillId="17" borderId="0" xfId="41" applyNumberFormat="1" applyFont="1" applyFill="1" applyBorder="1" applyAlignment="1">
      <alignment horizontal="right"/>
    </xf>
    <xf numFmtId="37" fontId="76" fillId="0" borderId="0" xfId="41" applyNumberFormat="1" applyFont="1" applyFill="1" applyBorder="1" applyAlignment="1">
      <alignment horizontal="right" wrapText="1"/>
    </xf>
    <xf numFmtId="37" fontId="45" fillId="17" borderId="0" xfId="41" applyNumberFormat="1" applyFont="1" applyFill="1" applyBorder="1" applyAlignment="1">
      <alignment horizontal="right"/>
    </xf>
    <xf numFmtId="37" fontId="3" fillId="17" borderId="0" xfId="0" applyNumberFormat="1" applyFont="1" applyFill="1" applyAlignment="1">
      <alignment horizontal="right"/>
    </xf>
    <xf numFmtId="37" fontId="51" fillId="0" borderId="0" xfId="41" applyNumberFormat="1" applyFont="1" applyFill="1" applyBorder="1" applyAlignment="1">
      <alignment horizontal="right" wrapText="1"/>
    </xf>
    <xf numFmtId="37" fontId="3" fillId="0" borderId="0" xfId="0" applyNumberFormat="1" applyFont="1" applyFill="1" applyAlignment="1">
      <alignment horizontal="right"/>
    </xf>
    <xf numFmtId="37" fontId="12" fillId="17" borderId="0" xfId="0" applyNumberFormat="1" applyFont="1" applyFill="1" applyAlignment="1">
      <alignment horizontal="right"/>
    </xf>
    <xf numFmtId="37" fontId="12" fillId="0" borderId="0" xfId="0" applyNumberFormat="1" applyFont="1" applyFill="1" applyAlignment="1">
      <alignment horizontal="right"/>
    </xf>
    <xf numFmtId="37" fontId="22" fillId="17" borderId="0" xfId="41" applyNumberFormat="1" applyFont="1" applyFill="1" applyBorder="1" applyAlignment="1">
      <alignment horizontal="right"/>
    </xf>
    <xf numFmtId="37" fontId="5" fillId="17" borderId="0" xfId="41" applyNumberFormat="1" applyFont="1" applyFill="1" applyBorder="1" applyAlignment="1">
      <alignment horizontal="right"/>
    </xf>
    <xf numFmtId="37" fontId="3" fillId="17" borderId="0" xfId="41" applyNumberFormat="1" applyFont="1" applyFill="1" applyBorder="1" applyAlignment="1">
      <alignment horizontal="right"/>
    </xf>
    <xf numFmtId="37" fontId="3" fillId="0" borderId="0" xfId="41" applyNumberFormat="1" applyFont="1" applyFill="1" applyBorder="1" applyAlignment="1">
      <alignment horizontal="right"/>
    </xf>
    <xf numFmtId="37" fontId="12" fillId="17" borderId="0" xfId="0" applyNumberFormat="1" applyFont="1" applyFill="1" applyBorder="1" applyAlignment="1">
      <alignment horizontal="right"/>
    </xf>
    <xf numFmtId="37" fontId="13" fillId="0" borderId="0" xfId="0" applyNumberFormat="1" applyFont="1" applyFill="1" applyBorder="1" applyAlignment="1">
      <alignment horizontal="right"/>
    </xf>
    <xf numFmtId="37" fontId="12" fillId="0" borderId="0" xfId="0" applyNumberFormat="1" applyFont="1" applyFill="1" applyBorder="1" applyAlignment="1">
      <alignment horizontal="right"/>
    </xf>
    <xf numFmtId="37" fontId="5" fillId="0" borderId="0" xfId="41" applyNumberFormat="1" applyFont="1" applyFill="1" applyBorder="1" applyAlignment="1">
      <alignment horizontal="right"/>
    </xf>
    <xf numFmtId="168" fontId="49" fillId="0" borderId="0" xfId="41" applyNumberFormat="1" applyFont="1" applyFill="1" applyBorder="1" applyAlignment="1">
      <alignment horizontal="left"/>
    </xf>
    <xf numFmtId="168" fontId="5" fillId="0" borderId="12" xfId="41" applyNumberFormat="1" applyFont="1" applyFill="1" applyBorder="1" applyAlignment="1">
      <alignment horizontal="right" wrapText="1"/>
    </xf>
    <xf numFmtId="172" fontId="76" fillId="0" borderId="0" xfId="41" applyNumberFormat="1" applyFont="1" applyFill="1" applyAlignment="1">
      <alignment horizontal="right"/>
    </xf>
    <xf numFmtId="37" fontId="5" fillId="19" borderId="0" xfId="41" applyNumberFormat="1" applyFont="1" applyFill="1" applyBorder="1" applyAlignment="1">
      <alignment horizontal="right" wrapText="1"/>
    </xf>
    <xf numFmtId="169" fontId="5" fillId="21" borderId="0" xfId="0" applyNumberFormat="1" applyFont="1" applyFill="1" applyAlignment="1">
      <alignment horizontal="left" vertical="top" wrapText="1" indent="1"/>
    </xf>
    <xf numFmtId="169" fontId="12" fillId="21" borderId="0" xfId="0" applyNumberFormat="1" applyFont="1" applyFill="1" applyAlignment="1">
      <alignment horizontal="right"/>
    </xf>
    <xf numFmtId="37" fontId="5" fillId="21" borderId="0" xfId="41" applyNumberFormat="1" applyFont="1" applyFill="1" applyBorder="1" applyAlignment="1">
      <alignment horizontal="right" wrapText="1"/>
    </xf>
    <xf numFmtId="169" fontId="5" fillId="18" borderId="0" xfId="0" applyNumberFormat="1" applyFont="1" applyFill="1" applyAlignment="1">
      <alignment horizontal="left" vertical="top" wrapText="1" indent="1"/>
    </xf>
    <xf numFmtId="174" fontId="4" fillId="0" borderId="0" xfId="0" applyNumberFormat="1" applyFont="1" applyFill="1"/>
    <xf numFmtId="203" fontId="5" fillId="0" borderId="0" xfId="41" applyNumberFormat="1" applyFont="1" applyFill="1" applyBorder="1" applyAlignment="1">
      <alignment horizontal="right" wrapText="1"/>
    </xf>
    <xf numFmtId="168" fontId="5" fillId="17" borderId="0" xfId="41" applyNumberFormat="1" applyFont="1" applyFill="1" applyBorder="1" applyAlignment="1">
      <alignment horizontal="right"/>
    </xf>
    <xf numFmtId="168" fontId="7" fillId="0" borderId="0" xfId="41" applyNumberFormat="1" applyFont="1" applyFill="1" applyBorder="1" applyAlignment="1">
      <alignment horizontal="right"/>
    </xf>
    <xf numFmtId="168" fontId="22" fillId="0" borderId="0" xfId="0" applyNumberFormat="1" applyFont="1" applyAlignment="1">
      <alignment horizontal="right"/>
    </xf>
    <xf numFmtId="168" fontId="3" fillId="0" borderId="18" xfId="41" applyNumberFormat="1" applyFont="1" applyFill="1" applyBorder="1" applyAlignment="1">
      <alignment horizontal="right"/>
    </xf>
    <xf numFmtId="168" fontId="29" fillId="17" borderId="0" xfId="41" applyNumberFormat="1" applyFont="1" applyFill="1" applyBorder="1" applyAlignment="1">
      <alignment horizontal="right"/>
    </xf>
    <xf numFmtId="168" fontId="52" fillId="17" borderId="0" xfId="0" applyNumberFormat="1" applyFont="1" applyFill="1" applyAlignment="1">
      <alignment horizontal="right" wrapText="1"/>
    </xf>
    <xf numFmtId="168" fontId="29" fillId="17" borderId="0" xfId="41" applyNumberFormat="1" applyFont="1" applyFill="1" applyAlignment="1">
      <alignment horizontal="right"/>
    </xf>
    <xf numFmtId="168" fontId="3" fillId="0" borderId="21" xfId="41" applyNumberFormat="1" applyFont="1" applyFill="1" applyBorder="1" applyAlignment="1">
      <alignment horizontal="right"/>
    </xf>
    <xf numFmtId="169" fontId="3" fillId="19" borderId="0" xfId="0" applyNumberFormat="1" applyFont="1" applyFill="1" applyAlignment="1">
      <alignment horizontal="left" vertical="top" wrapText="1" indent="2"/>
    </xf>
    <xf numFmtId="166" fontId="56" fillId="0" borderId="0" xfId="0" applyNumberFormat="1" applyFont="1" applyFill="1" applyAlignment="1">
      <alignment horizontal="right"/>
    </xf>
    <xf numFmtId="0" fontId="11" fillId="17" borderId="0" xfId="58" applyFont="1" applyFill="1" applyBorder="1" applyAlignment="1">
      <alignment horizontal="left"/>
    </xf>
    <xf numFmtId="0" fontId="17" fillId="17" borderId="0" xfId="0" applyFont="1" applyFill="1" applyBorder="1"/>
    <xf numFmtId="0" fontId="2" fillId="0" borderId="0" xfId="0" applyFont="1" applyFill="1" applyBorder="1" applyAlignment="1">
      <alignment horizontal="right"/>
    </xf>
    <xf numFmtId="169" fontId="11" fillId="0" borderId="0" xfId="66" applyNumberFormat="1" applyFont="1" applyAlignment="1">
      <alignment horizontal="right"/>
    </xf>
    <xf numFmtId="169" fontId="12" fillId="17" borderId="11" xfId="0" applyNumberFormat="1" applyFont="1" applyFill="1" applyBorder="1" applyAlignment="1">
      <alignment horizontal="right"/>
    </xf>
    <xf numFmtId="168" fontId="5" fillId="22" borderId="0" xfId="0" applyNumberFormat="1" applyFont="1" applyFill="1" applyBorder="1" applyAlignment="1">
      <alignment horizontal="right"/>
    </xf>
    <xf numFmtId="169" fontId="25" fillId="19" borderId="0" xfId="0" applyNumberFormat="1" applyFont="1" applyFill="1" applyAlignment="1">
      <alignment horizontal="right"/>
    </xf>
    <xf numFmtId="7" fontId="41" fillId="0" borderId="0" xfId="0" applyNumberFormat="1" applyFont="1" applyAlignment="1">
      <alignment horizontal="right"/>
    </xf>
    <xf numFmtId="7" fontId="49" fillId="17" borderId="0" xfId="41" applyNumberFormat="1" applyFont="1" applyFill="1" applyBorder="1" applyAlignment="1">
      <alignment horizontal="right"/>
    </xf>
    <xf numFmtId="7" fontId="23" fillId="17" borderId="0" xfId="41" applyNumberFormat="1" applyFont="1" applyFill="1" applyBorder="1" applyAlignment="1">
      <alignment horizontal="left"/>
    </xf>
    <xf numFmtId="7" fontId="49" fillId="17" borderId="0" xfId="41" applyNumberFormat="1" applyFont="1" applyFill="1" applyBorder="1" applyAlignment="1">
      <alignment horizontal="left"/>
    </xf>
    <xf numFmtId="0" fontId="12" fillId="17" borderId="0" xfId="0" applyFont="1" applyFill="1" applyAlignment="1">
      <alignment horizontal="left" indent="1"/>
    </xf>
    <xf numFmtId="37" fontId="3" fillId="19" borderId="0" xfId="41" applyNumberFormat="1" applyFont="1" applyFill="1" applyBorder="1" applyAlignment="1">
      <alignment horizontal="right" wrapText="1"/>
    </xf>
    <xf numFmtId="37" fontId="3" fillId="21" borderId="0" xfId="41" applyNumberFormat="1" applyFont="1" applyFill="1" applyBorder="1" applyAlignment="1">
      <alignment horizontal="right" wrapText="1"/>
    </xf>
    <xf numFmtId="0" fontId="28" fillId="0" borderId="0" xfId="0" applyFont="1" applyFill="1" applyAlignment="1">
      <alignment horizontal="center"/>
    </xf>
    <xf numFmtId="168" fontId="12" fillId="0" borderId="0" xfId="41" applyNumberFormat="1" applyFont="1" applyFill="1" applyAlignment="1">
      <alignment horizontal="right"/>
    </xf>
    <xf numFmtId="168" fontId="0" fillId="0" borderId="0" xfId="0" applyNumberFormat="1" applyFill="1" applyAlignment="1">
      <alignment horizontal="right"/>
    </xf>
    <xf numFmtId="205" fontId="23" fillId="0" borderId="0" xfId="41" applyNumberFormat="1" applyFont="1" applyAlignment="1">
      <alignment horizontal="right"/>
    </xf>
    <xf numFmtId="37" fontId="5" fillId="18" borderId="0" xfId="41" applyNumberFormat="1" applyFont="1" applyFill="1" applyBorder="1" applyAlignment="1">
      <alignment horizontal="right" wrapText="1"/>
    </xf>
    <xf numFmtId="37" fontId="3" fillId="18" borderId="0" xfId="41" applyNumberFormat="1" applyFont="1" applyFill="1" applyBorder="1" applyAlignment="1">
      <alignment horizontal="right" wrapText="1"/>
    </xf>
    <xf numFmtId="169" fontId="5" fillId="18" borderId="0" xfId="0" applyNumberFormat="1" applyFont="1" applyFill="1" applyAlignment="1">
      <alignment horizontal="left" vertical="top" wrapText="1" indent="2"/>
    </xf>
    <xf numFmtId="9" fontId="12" fillId="17" borderId="0" xfId="0" applyNumberFormat="1" applyFont="1" applyFill="1" applyAlignment="1">
      <alignment horizontal="right"/>
    </xf>
    <xf numFmtId="9" fontId="2" fillId="0" borderId="0" xfId="66" applyFont="1" applyFill="1" applyAlignment="1">
      <alignment horizontal="right"/>
    </xf>
    <xf numFmtId="165" fontId="47" fillId="16" borderId="11" xfId="0" applyNumberFormat="1" applyFont="1" applyFill="1" applyBorder="1" applyAlignment="1">
      <alignment horizontal="center"/>
    </xf>
    <xf numFmtId="0" fontId="47" fillId="17" borderId="11" xfId="0" applyFont="1" applyFill="1" applyBorder="1" applyAlignment="1">
      <alignment horizontal="center"/>
    </xf>
    <xf numFmtId="0" fontId="47" fillId="0" borderId="11" xfId="0" applyFont="1" applyFill="1" applyBorder="1" applyAlignment="1">
      <alignment horizontal="center"/>
    </xf>
    <xf numFmtId="165" fontId="5" fillId="0" borderId="11" xfId="0" applyNumberFormat="1" applyFont="1" applyFill="1" applyBorder="1" applyAlignment="1">
      <alignment horizontal="center"/>
    </xf>
    <xf numFmtId="169" fontId="22" fillId="19" borderId="0" xfId="0" applyNumberFormat="1" applyFont="1" applyFill="1" applyAlignment="1">
      <alignment horizontal="right"/>
    </xf>
    <xf numFmtId="9" fontId="0" fillId="0" borderId="0" xfId="0" applyNumberFormat="1"/>
    <xf numFmtId="0" fontId="2" fillId="0" borderId="0" xfId="0" applyFont="1" applyBorder="1" applyAlignment="1">
      <alignment horizontal="right"/>
    </xf>
    <xf numFmtId="168" fontId="2" fillId="0" borderId="0" xfId="0" applyNumberFormat="1" applyFont="1" applyBorder="1" applyAlignment="1">
      <alignment horizontal="right"/>
    </xf>
    <xf numFmtId="174" fontId="2" fillId="0" borderId="0" xfId="0" applyNumberFormat="1" applyFont="1" applyBorder="1" applyAlignment="1">
      <alignment horizontal="right"/>
    </xf>
    <xf numFmtId="169" fontId="0" fillId="0" borderId="0" xfId="0" applyNumberFormat="1"/>
    <xf numFmtId="0" fontId="44" fillId="17" borderId="11" xfId="0" applyFont="1" applyFill="1" applyBorder="1" applyAlignment="1">
      <alignment horizontal="center"/>
    </xf>
    <xf numFmtId="0" fontId="13" fillId="17" borderId="0" xfId="0" applyFont="1" applyFill="1" applyBorder="1" applyAlignment="1">
      <alignment horizontal="center"/>
    </xf>
    <xf numFmtId="165" fontId="44" fillId="16" borderId="11" xfId="0" applyNumberFormat="1" applyFont="1" applyFill="1" applyBorder="1" applyAlignment="1">
      <alignment horizontal="center"/>
    </xf>
    <xf numFmtId="0" fontId="44" fillId="0" borderId="11" xfId="0" applyFont="1" applyFill="1" applyBorder="1" applyAlignment="1">
      <alignment horizontal="center"/>
    </xf>
    <xf numFmtId="169" fontId="81" fillId="19" borderId="0" xfId="0" applyNumberFormat="1" applyFont="1" applyFill="1" applyAlignment="1">
      <alignment horizontal="right"/>
    </xf>
    <xf numFmtId="172" fontId="81" fillId="0" borderId="0" xfId="41" applyNumberFormat="1" applyFont="1" applyFill="1" applyAlignment="1">
      <alignment horizontal="right"/>
    </xf>
    <xf numFmtId="168" fontId="80" fillId="0" borderId="0" xfId="41" applyNumberFormat="1" applyFont="1" applyFill="1" applyBorder="1" applyAlignment="1">
      <alignment horizontal="right" wrapText="1"/>
    </xf>
    <xf numFmtId="174" fontId="3" fillId="17" borderId="18" xfId="41" applyNumberFormat="1" applyFont="1" applyFill="1" applyBorder="1" applyAlignment="1">
      <alignment horizontal="right"/>
    </xf>
    <xf numFmtId="39" fontId="0" fillId="0" borderId="0" xfId="0" applyNumberFormat="1" applyAlignment="1">
      <alignment horizontal="right"/>
    </xf>
    <xf numFmtId="174" fontId="5" fillId="0" borderId="0" xfId="0" applyNumberFormat="1" applyFont="1" applyAlignment="1">
      <alignment horizontal="right"/>
    </xf>
    <xf numFmtId="169" fontId="12" fillId="0" borderId="0" xfId="0" applyNumberFormat="1" applyFont="1" applyFill="1" applyBorder="1" applyAlignment="1">
      <alignment horizontal="right"/>
    </xf>
    <xf numFmtId="37" fontId="0" fillId="0" borderId="0" xfId="0" applyNumberFormat="1"/>
    <xf numFmtId="9" fontId="0" fillId="0" borderId="0" xfId="0" applyNumberFormat="1" applyFill="1" applyAlignment="1">
      <alignment horizontal="right"/>
    </xf>
    <xf numFmtId="9" fontId="12" fillId="0" borderId="0" xfId="66" applyFont="1" applyAlignment="1">
      <alignment horizontal="right"/>
    </xf>
    <xf numFmtId="168" fontId="13" fillId="17" borderId="0" xfId="41" applyNumberFormat="1" applyFont="1" applyFill="1" applyAlignment="1">
      <alignment horizontal="right"/>
    </xf>
    <xf numFmtId="0" fontId="12" fillId="0" borderId="0" xfId="0" applyFont="1" applyBorder="1" applyAlignment="1">
      <alignment horizontal="left" indent="1"/>
    </xf>
    <xf numFmtId="166" fontId="5" fillId="0" borderId="0" xfId="0" applyNumberFormat="1" applyFont="1" applyBorder="1" applyAlignment="1">
      <alignment horizontal="right"/>
    </xf>
    <xf numFmtId="166" fontId="5" fillId="0" borderId="0" xfId="0" applyNumberFormat="1" applyFont="1" applyFill="1" applyBorder="1" applyAlignment="1">
      <alignment horizontal="right"/>
    </xf>
    <xf numFmtId="0" fontId="5" fillId="0" borderId="0" xfId="0" applyFont="1" applyBorder="1" applyAlignment="1">
      <alignment horizontal="right"/>
    </xf>
    <xf numFmtId="43" fontId="5" fillId="0" borderId="0" xfId="41" applyFont="1" applyBorder="1" applyAlignment="1">
      <alignment horizontal="right"/>
    </xf>
    <xf numFmtId="167" fontId="22" fillId="0" borderId="0" xfId="0" applyNumberFormat="1" applyFont="1" applyAlignment="1">
      <alignment horizontal="right"/>
    </xf>
    <xf numFmtId="167" fontId="5" fillId="0" borderId="0" xfId="0" applyNumberFormat="1" applyFont="1" applyAlignment="1">
      <alignment horizontal="right"/>
    </xf>
    <xf numFmtId="9" fontId="2" fillId="0" borderId="0" xfId="66" applyFont="1" applyBorder="1" applyAlignment="1">
      <alignment horizontal="right"/>
    </xf>
    <xf numFmtId="169" fontId="4" fillId="0" borderId="0" xfId="0" applyNumberFormat="1" applyFont="1"/>
    <xf numFmtId="0" fontId="0" fillId="0" borderId="11" xfId="0" applyBorder="1"/>
    <xf numFmtId="7" fontId="0" fillId="0" borderId="0" xfId="0" applyNumberFormat="1"/>
    <xf numFmtId="7" fontId="0" fillId="0" borderId="0" xfId="0" applyNumberFormat="1" applyAlignment="1">
      <alignment horizontal="right"/>
    </xf>
    <xf numFmtId="9" fontId="5" fillId="17" borderId="0" xfId="66" applyFont="1" applyFill="1" applyAlignment="1">
      <alignment horizontal="right"/>
    </xf>
    <xf numFmtId="9" fontId="2" fillId="0" borderId="0" xfId="66" applyFont="1" applyAlignment="1">
      <alignment horizontal="right"/>
    </xf>
    <xf numFmtId="166" fontId="12" fillId="0" borderId="0" xfId="44" applyNumberFormat="1" applyFont="1" applyFill="1" applyAlignment="1">
      <alignment horizontal="right"/>
    </xf>
    <xf numFmtId="177" fontId="82" fillId="0" borderId="0" xfId="41" applyNumberFormat="1" applyFont="1" applyFill="1" applyAlignment="1">
      <alignment horizontal="right"/>
    </xf>
    <xf numFmtId="166" fontId="85" fillId="0" borderId="0" xfId="41" applyNumberFormat="1" applyFont="1" applyBorder="1" applyAlignment="1">
      <alignment horizontal="right"/>
    </xf>
    <xf numFmtId="166" fontId="85" fillId="0" borderId="0" xfId="41" applyNumberFormat="1" applyFont="1" applyFill="1" applyAlignment="1">
      <alignment horizontal="right"/>
    </xf>
    <xf numFmtId="166" fontId="85" fillId="0" borderId="0" xfId="41" applyNumberFormat="1" applyFont="1" applyFill="1" applyBorder="1" applyAlignment="1">
      <alignment horizontal="right"/>
    </xf>
    <xf numFmtId="9" fontId="0" fillId="0" borderId="0" xfId="0" applyNumberFormat="1" applyFill="1" applyBorder="1"/>
    <xf numFmtId="169" fontId="41" fillId="0" borderId="0" xfId="0" applyNumberFormat="1" applyFont="1" applyAlignment="1">
      <alignment horizontal="right"/>
    </xf>
    <xf numFmtId="169" fontId="84" fillId="0" borderId="0" xfId="66" applyNumberFormat="1" applyFont="1" applyFill="1" applyAlignment="1">
      <alignment horizontal="right"/>
    </xf>
    <xf numFmtId="7" fontId="0" fillId="0" borderId="0" xfId="0" applyNumberFormat="1" applyFill="1" applyAlignment="1">
      <alignment horizontal="right"/>
    </xf>
    <xf numFmtId="8" fontId="0" fillId="0" borderId="0" xfId="0" applyNumberFormat="1" applyFill="1" applyAlignment="1">
      <alignment horizontal="right"/>
    </xf>
    <xf numFmtId="8" fontId="5" fillId="0" borderId="0" xfId="0" applyNumberFormat="1" applyFont="1" applyFill="1" applyBorder="1" applyAlignment="1">
      <alignment horizontal="right"/>
    </xf>
    <xf numFmtId="9" fontId="4" fillId="0" borderId="12" xfId="0" applyNumberFormat="1" applyFont="1" applyFill="1" applyBorder="1" applyAlignment="1">
      <alignment horizontal="right"/>
    </xf>
    <xf numFmtId="10" fontId="0" fillId="0" borderId="0" xfId="0" applyNumberFormat="1"/>
    <xf numFmtId="171" fontId="14" fillId="22" borderId="0" xfId="0" applyNumberFormat="1" applyFont="1" applyFill="1" applyBorder="1"/>
    <xf numFmtId="168" fontId="5" fillId="22" borderId="0" xfId="0" applyNumberFormat="1" applyFont="1" applyFill="1" applyAlignment="1">
      <alignment horizontal="right"/>
    </xf>
    <xf numFmtId="168" fontId="5" fillId="22" borderId="0" xfId="41" applyNumberFormat="1" applyFont="1" applyFill="1" applyAlignment="1">
      <alignment horizontal="right"/>
    </xf>
    <xf numFmtId="168" fontId="5" fillId="22" borderId="0" xfId="41" applyNumberFormat="1" applyFont="1" applyFill="1" applyBorder="1" applyAlignment="1">
      <alignment horizontal="right"/>
    </xf>
    <xf numFmtId="168" fontId="29" fillId="22" borderId="0" xfId="41" applyNumberFormat="1" applyFont="1" applyFill="1" applyBorder="1" applyAlignment="1">
      <alignment horizontal="right"/>
    </xf>
    <xf numFmtId="171" fontId="5" fillId="22" borderId="0" xfId="59" applyNumberFormat="1" applyFont="1" applyFill="1" applyBorder="1"/>
    <xf numFmtId="39" fontId="5" fillId="22" borderId="0" xfId="41" applyNumberFormat="1" applyFont="1" applyFill="1" applyAlignment="1">
      <alignment horizontal="right"/>
    </xf>
    <xf numFmtId="168" fontId="12" fillId="17" borderId="0" xfId="0" applyNumberFormat="1" applyFont="1" applyFill="1" applyBorder="1" applyAlignment="1">
      <alignment horizontal="left" indent="1"/>
    </xf>
    <xf numFmtId="172" fontId="13" fillId="17" borderId="0" xfId="41" applyNumberFormat="1" applyFont="1" applyFill="1" applyBorder="1" applyAlignment="1">
      <alignment horizontal="right"/>
    </xf>
    <xf numFmtId="172" fontId="12" fillId="17" borderId="0" xfId="41" applyNumberFormat="1" applyFont="1" applyFill="1" applyBorder="1" applyAlignment="1">
      <alignment horizontal="right"/>
    </xf>
    <xf numFmtId="172" fontId="12" fillId="0" borderId="0" xfId="41" applyNumberFormat="1" applyFont="1" applyFill="1" applyBorder="1" applyAlignment="1">
      <alignment horizontal="right"/>
    </xf>
    <xf numFmtId="7" fontId="3" fillId="22" borderId="0" xfId="0" applyNumberFormat="1" applyFont="1" applyFill="1" applyBorder="1" applyAlignment="1">
      <alignment horizontal="left" indent="1"/>
    </xf>
    <xf numFmtId="7" fontId="18" fillId="22" borderId="0" xfId="41" applyNumberFormat="1" applyFont="1" applyFill="1" applyBorder="1" applyAlignment="1">
      <alignment horizontal="right"/>
    </xf>
    <xf numFmtId="7" fontId="18" fillId="22" borderId="12" xfId="41" applyNumberFormat="1" applyFont="1" applyFill="1" applyBorder="1" applyAlignment="1">
      <alignment horizontal="right"/>
    </xf>
    <xf numFmtId="7" fontId="18" fillId="22" borderId="0" xfId="0" applyNumberFormat="1" applyFont="1" applyFill="1" applyBorder="1" applyAlignment="1">
      <alignment horizontal="right"/>
    </xf>
    <xf numFmtId="7" fontId="3" fillId="22" borderId="0" xfId="0" applyNumberFormat="1" applyFont="1" applyFill="1" applyBorder="1" applyAlignment="1">
      <alignment horizontal="right"/>
    </xf>
    <xf numFmtId="10" fontId="4" fillId="0" borderId="12" xfId="0" applyNumberFormat="1" applyFont="1" applyFill="1" applyBorder="1" applyAlignment="1">
      <alignment horizontal="right"/>
    </xf>
    <xf numFmtId="0" fontId="3" fillId="0" borderId="11" xfId="0" applyFont="1" applyFill="1" applyBorder="1" applyAlignment="1">
      <alignment horizontal="right"/>
    </xf>
    <xf numFmtId="169" fontId="4" fillId="0" borderId="12" xfId="0" applyNumberFormat="1" applyFont="1" applyFill="1" applyBorder="1" applyAlignment="1">
      <alignment horizontal="right"/>
    </xf>
    <xf numFmtId="168" fontId="3" fillId="0" borderId="0" xfId="0" applyNumberFormat="1" applyFont="1" applyFill="1" applyBorder="1"/>
    <xf numFmtId="169" fontId="3" fillId="0" borderId="0" xfId="66" applyNumberFormat="1" applyFont="1" applyFill="1" applyAlignment="1">
      <alignment horizontal="right"/>
    </xf>
    <xf numFmtId="168" fontId="5" fillId="0" borderId="23" xfId="0" applyNumberFormat="1" applyFont="1" applyFill="1" applyBorder="1" applyAlignment="1">
      <alignment horizontal="left" vertical="top" wrapText="1" indent="1"/>
    </xf>
    <xf numFmtId="168" fontId="3" fillId="0" borderId="23" xfId="0" applyNumberFormat="1" applyFont="1" applyFill="1" applyBorder="1" applyAlignment="1">
      <alignment horizontal="left" vertical="top" wrapText="1" indent="1"/>
    </xf>
    <xf numFmtId="0" fontId="3" fillId="0" borderId="0" xfId="0" applyFont="1"/>
    <xf numFmtId="166" fontId="13" fillId="0" borderId="0" xfId="42" applyNumberFormat="1" applyFont="1" applyFill="1" applyAlignment="1"/>
    <xf numFmtId="0" fontId="5" fillId="0" borderId="0" xfId="0" applyFont="1" applyFill="1" applyAlignment="1">
      <alignment horizontal="left" indent="1"/>
    </xf>
    <xf numFmtId="166" fontId="5" fillId="0" borderId="0" xfId="43" applyNumberFormat="1" applyFont="1" applyFill="1"/>
    <xf numFmtId="166" fontId="5" fillId="0" borderId="0" xfId="0" applyNumberFormat="1" applyFont="1"/>
    <xf numFmtId="166" fontId="3" fillId="0" borderId="0" xfId="43" applyNumberFormat="1" applyFont="1" applyFill="1"/>
    <xf numFmtId="168" fontId="5" fillId="0" borderId="12" xfId="0" applyNumberFormat="1" applyFont="1" applyFill="1" applyBorder="1"/>
    <xf numFmtId="168" fontId="5" fillId="0" borderId="0" xfId="0" applyNumberFormat="1" applyFont="1" applyFill="1" applyAlignment="1">
      <alignment horizontal="left" indent="1"/>
    </xf>
    <xf numFmtId="169" fontId="11" fillId="0" borderId="0" xfId="68" applyNumberFormat="1" applyFont="1" applyFill="1"/>
    <xf numFmtId="0" fontId="7" fillId="0" borderId="0" xfId="0" applyFont="1" applyFill="1" applyBorder="1" applyAlignment="1">
      <alignment horizontal="center"/>
    </xf>
    <xf numFmtId="0" fontId="44" fillId="0" borderId="11" xfId="0" applyFont="1" applyFill="1" applyBorder="1"/>
    <xf numFmtId="165" fontId="5" fillId="17" borderId="11" xfId="0" applyNumberFormat="1" applyFont="1" applyFill="1" applyBorder="1" applyAlignment="1">
      <alignment horizontal="center"/>
    </xf>
    <xf numFmtId="0" fontId="44" fillId="17" borderId="11" xfId="0" applyFont="1" applyFill="1" applyBorder="1"/>
    <xf numFmtId="0" fontId="23" fillId="0" borderId="0" xfId="0" applyFont="1" applyFill="1"/>
    <xf numFmtId="169" fontId="30" fillId="0" borderId="0" xfId="68" applyNumberFormat="1" applyFont="1" applyFill="1"/>
    <xf numFmtId="0" fontId="5" fillId="17" borderId="0" xfId="0" applyFont="1" applyFill="1"/>
    <xf numFmtId="8" fontId="85" fillId="0" borderId="0" xfId="0" applyNumberFormat="1" applyFont="1" applyFill="1" applyAlignment="1">
      <alignment horizontal="right"/>
    </xf>
    <xf numFmtId="8" fontId="13" fillId="0" borderId="0" xfId="0" applyNumberFormat="1" applyFont="1" applyFill="1" applyAlignment="1">
      <alignment horizontal="right"/>
    </xf>
    <xf numFmtId="166" fontId="5" fillId="0" borderId="0" xfId="43" applyNumberFormat="1" applyFont="1" applyFill="1" applyAlignment="1"/>
    <xf numFmtId="166" fontId="85" fillId="0" borderId="0" xfId="43" applyNumberFormat="1" applyFont="1" applyFill="1" applyAlignment="1"/>
    <xf numFmtId="166" fontId="13" fillId="0" borderId="0" xfId="43" applyNumberFormat="1" applyFont="1" applyFill="1" applyAlignment="1"/>
    <xf numFmtId="166" fontId="5" fillId="0" borderId="0" xfId="43" applyNumberFormat="1" applyFont="1"/>
    <xf numFmtId="166" fontId="13" fillId="0" borderId="0" xfId="43" applyNumberFormat="1" applyFont="1"/>
    <xf numFmtId="168" fontId="13" fillId="0" borderId="0" xfId="43" applyNumberFormat="1" applyFont="1" applyFill="1" applyAlignment="1"/>
    <xf numFmtId="171" fontId="5" fillId="0" borderId="0" xfId="59" applyNumberFormat="1" applyFont="1" applyFill="1" applyBorder="1"/>
    <xf numFmtId="167" fontId="23" fillId="18" borderId="11" xfId="0" applyNumberFormat="1" applyFont="1" applyFill="1" applyBorder="1"/>
    <xf numFmtId="166" fontId="23" fillId="18" borderId="11" xfId="0" applyNumberFormat="1" applyFont="1" applyFill="1" applyBorder="1"/>
    <xf numFmtId="166" fontId="5" fillId="18" borderId="0" xfId="0" applyNumberFormat="1" applyFont="1" applyFill="1"/>
    <xf numFmtId="166" fontId="13" fillId="0" borderId="0" xfId="0" applyNumberFormat="1" applyFont="1"/>
    <xf numFmtId="10" fontId="11" fillId="0" borderId="0" xfId="68" applyNumberFormat="1" applyFont="1"/>
    <xf numFmtId="10" fontId="30" fillId="0" borderId="0" xfId="68" applyNumberFormat="1" applyFont="1"/>
    <xf numFmtId="0" fontId="11" fillId="0" borderId="0" xfId="0" applyFont="1"/>
    <xf numFmtId="0" fontId="4" fillId="18" borderId="0" xfId="0" applyFont="1" applyFill="1"/>
    <xf numFmtId="166" fontId="3" fillId="0" borderId="18" xfId="43" applyNumberFormat="1" applyFont="1" applyFill="1" applyBorder="1"/>
    <xf numFmtId="0" fontId="3" fillId="0" borderId="18" xfId="0" applyFont="1" applyBorder="1" applyAlignment="1">
      <alignment horizontal="left" indent="1"/>
    </xf>
    <xf numFmtId="166" fontId="5" fillId="0" borderId="0" xfId="43" applyNumberFormat="1" applyFont="1" applyBorder="1"/>
    <xf numFmtId="0" fontId="13" fillId="0" borderId="0" xfId="0" applyFont="1" applyFill="1" applyBorder="1"/>
    <xf numFmtId="0" fontId="5" fillId="0" borderId="0" xfId="0" applyFont="1" applyAlignment="1">
      <alignment horizontal="left"/>
    </xf>
    <xf numFmtId="0" fontId="5" fillId="0" borderId="0" xfId="0" applyFont="1" applyAlignment="1">
      <alignment horizontal="left" indent="1"/>
    </xf>
    <xf numFmtId="169" fontId="13" fillId="0" borderId="11" xfId="68" applyNumberFormat="1" applyFont="1" applyBorder="1"/>
    <xf numFmtId="169" fontId="13" fillId="0" borderId="0" xfId="0" applyNumberFormat="1" applyFont="1" applyFill="1" applyBorder="1"/>
    <xf numFmtId="179" fontId="13" fillId="0" borderId="11" xfId="68" applyNumberFormat="1" applyFont="1" applyBorder="1"/>
    <xf numFmtId="169" fontId="13" fillId="0" borderId="0" xfId="68" applyNumberFormat="1" applyFont="1" applyBorder="1"/>
    <xf numFmtId="169" fontId="13" fillId="0" borderId="0" xfId="68" applyNumberFormat="1" applyFont="1"/>
    <xf numFmtId="179" fontId="13" fillId="0" borderId="0" xfId="68" applyNumberFormat="1" applyFont="1"/>
    <xf numFmtId="0" fontId="13" fillId="0" borderId="0" xfId="0" applyFont="1" applyFill="1"/>
    <xf numFmtId="166" fontId="3" fillId="0" borderId="0" xfId="43" applyNumberFormat="1" applyFont="1"/>
    <xf numFmtId="166" fontId="5" fillId="0" borderId="0" xfId="0" applyNumberFormat="1" applyFont="1" applyBorder="1"/>
    <xf numFmtId="0" fontId="3" fillId="0" borderId="0" xfId="0" applyFont="1" applyBorder="1" applyAlignment="1">
      <alignment horizontal="left" indent="1"/>
    </xf>
    <xf numFmtId="166" fontId="5" fillId="0" borderId="18" xfId="0" applyNumberFormat="1" applyFont="1" applyBorder="1"/>
    <xf numFmtId="0" fontId="5" fillId="0" borderId="18" xfId="0" applyFont="1" applyBorder="1"/>
    <xf numFmtId="43" fontId="13" fillId="0" borderId="0" xfId="43" applyFont="1"/>
    <xf numFmtId="43" fontId="5" fillId="0" borderId="0" xfId="43" applyFont="1"/>
    <xf numFmtId="43" fontId="13" fillId="0" borderId="0" xfId="43" applyFont="1" applyFill="1"/>
    <xf numFmtId="43" fontId="5" fillId="0" borderId="0" xfId="0" applyNumberFormat="1" applyFont="1"/>
    <xf numFmtId="166" fontId="5" fillId="0" borderId="18" xfId="43" applyNumberFormat="1" applyFont="1" applyBorder="1"/>
    <xf numFmtId="0" fontId="13" fillId="0" borderId="0" xfId="0" applyFont="1"/>
    <xf numFmtId="212" fontId="3" fillId="0" borderId="12" xfId="41" applyNumberFormat="1" applyFont="1" applyFill="1" applyBorder="1" applyAlignment="1">
      <alignment horizontal="right" wrapText="1"/>
    </xf>
    <xf numFmtId="212" fontId="5" fillId="0" borderId="12" xfId="41" applyNumberFormat="1" applyFont="1" applyFill="1" applyBorder="1" applyAlignment="1">
      <alignment horizontal="right" wrapText="1"/>
    </xf>
    <xf numFmtId="0" fontId="0" fillId="20" borderId="0" xfId="0" applyFill="1"/>
    <xf numFmtId="176" fontId="3" fillId="17" borderId="11" xfId="41" applyNumberFormat="1" applyFont="1" applyFill="1" applyBorder="1" applyAlignment="1">
      <alignment horizontal="right"/>
    </xf>
    <xf numFmtId="168" fontId="5" fillId="0" borderId="11" xfId="0" applyNumberFormat="1" applyFont="1" applyFill="1" applyBorder="1" applyAlignment="1">
      <alignment horizontal="right"/>
    </xf>
    <xf numFmtId="176" fontId="5" fillId="0" borderId="0" xfId="41" applyNumberFormat="1" applyFont="1" applyFill="1" applyAlignment="1">
      <alignment horizontal="right"/>
    </xf>
    <xf numFmtId="0" fontId="22" fillId="0" borderId="0" xfId="0" applyFont="1" applyFill="1" applyBorder="1" applyAlignment="1">
      <alignment horizontal="center"/>
    </xf>
    <xf numFmtId="0" fontId="0" fillId="17" borderId="0" xfId="0" applyFill="1" applyAlignment="1">
      <alignment horizontal="right"/>
    </xf>
    <xf numFmtId="0" fontId="22" fillId="17" borderId="0" xfId="0" applyFont="1" applyFill="1" applyBorder="1" applyAlignment="1">
      <alignment horizontal="center"/>
    </xf>
    <xf numFmtId="168" fontId="87" fillId="0" borderId="0" xfId="41" applyNumberFormat="1" applyFont="1" applyFill="1" applyBorder="1" applyAlignment="1">
      <alignment horizontal="right" wrapText="1"/>
    </xf>
    <xf numFmtId="168" fontId="5" fillId="17" borderId="0" xfId="0" applyNumberFormat="1" applyFont="1" applyFill="1"/>
    <xf numFmtId="0" fontId="5" fillId="17" borderId="0" xfId="0" applyFont="1" applyFill="1" applyBorder="1" applyAlignment="1"/>
    <xf numFmtId="169" fontId="5" fillId="17" borderId="0" xfId="0" applyNumberFormat="1" applyFont="1" applyFill="1" applyBorder="1" applyAlignment="1">
      <alignment horizontal="right"/>
    </xf>
    <xf numFmtId="43" fontId="28" fillId="18" borderId="15" xfId="41" applyFont="1" applyFill="1" applyBorder="1" applyAlignment="1">
      <alignment horizontal="right"/>
    </xf>
    <xf numFmtId="43" fontId="5" fillId="18" borderId="15" xfId="41" applyFont="1" applyFill="1" applyBorder="1" applyAlignment="1">
      <alignment horizontal="right"/>
    </xf>
    <xf numFmtId="43" fontId="0" fillId="0" borderId="0" xfId="41" applyFont="1"/>
    <xf numFmtId="0" fontId="5" fillId="20" borderId="0" xfId="0" applyFont="1" applyFill="1" applyAlignment="1">
      <alignment horizontal="right"/>
    </xf>
    <xf numFmtId="39" fontId="5" fillId="0" borderId="0" xfId="41" applyNumberFormat="1" applyFont="1" applyFill="1" applyAlignment="1">
      <alignment horizontal="right"/>
    </xf>
    <xf numFmtId="166" fontId="5" fillId="18" borderId="15" xfId="41" applyNumberFormat="1" applyFont="1" applyFill="1" applyBorder="1" applyAlignment="1">
      <alignment horizontal="right"/>
    </xf>
    <xf numFmtId="0" fontId="3" fillId="20" borderId="0" xfId="0" applyFont="1" applyFill="1"/>
    <xf numFmtId="0" fontId="4" fillId="20" borderId="0" xfId="0" applyFont="1" applyFill="1" applyAlignment="1">
      <alignment horizontal="right"/>
    </xf>
    <xf numFmtId="168" fontId="12" fillId="17" borderId="0" xfId="0" applyNumberFormat="1" applyFont="1" applyFill="1" applyAlignment="1">
      <alignment horizontal="left"/>
    </xf>
    <xf numFmtId="168" fontId="12" fillId="17" borderId="0" xfId="0" applyNumberFormat="1" applyFont="1" applyFill="1"/>
    <xf numFmtId="7" fontId="3" fillId="22" borderId="11" xfId="0" applyNumberFormat="1" applyFont="1" applyFill="1" applyBorder="1" applyAlignment="1">
      <alignment horizontal="left" indent="1"/>
    </xf>
    <xf numFmtId="7" fontId="18" fillId="22" borderId="11" xfId="41" applyNumberFormat="1" applyFont="1" applyFill="1" applyBorder="1" applyAlignment="1">
      <alignment horizontal="right"/>
    </xf>
    <xf numFmtId="7" fontId="18" fillId="22" borderId="22" xfId="41" applyNumberFormat="1" applyFont="1" applyFill="1" applyBorder="1" applyAlignment="1">
      <alignment horizontal="right"/>
    </xf>
    <xf numFmtId="172" fontId="5" fillId="0" borderId="15" xfId="41" applyNumberFormat="1" applyFont="1" applyFill="1" applyBorder="1" applyAlignment="1">
      <alignment horizontal="right" wrapText="1"/>
    </xf>
    <xf numFmtId="0" fontId="5" fillId="0" borderId="15" xfId="0" applyFont="1" applyFill="1" applyBorder="1" applyAlignment="1">
      <alignment wrapText="1"/>
    </xf>
    <xf numFmtId="168" fontId="12" fillId="17" borderId="11" xfId="0" applyNumberFormat="1" applyFont="1" applyFill="1" applyBorder="1"/>
    <xf numFmtId="0" fontId="0" fillId="0" borderId="18" xfId="0" applyBorder="1"/>
    <xf numFmtId="168" fontId="12" fillId="17" borderId="0" xfId="0" applyNumberFormat="1" applyFont="1" applyFill="1" applyBorder="1" applyAlignment="1">
      <alignment horizontal="left"/>
    </xf>
    <xf numFmtId="0" fontId="12" fillId="17" borderId="11" xfId="0" applyFont="1" applyFill="1" applyBorder="1"/>
    <xf numFmtId="168" fontId="3" fillId="0" borderId="11" xfId="41" applyNumberFormat="1" applyFont="1" applyFill="1" applyBorder="1" applyAlignment="1">
      <alignment horizontal="right" wrapText="1"/>
    </xf>
    <xf numFmtId="168" fontId="3" fillId="0" borderId="22" xfId="41" applyNumberFormat="1" applyFont="1" applyFill="1" applyBorder="1" applyAlignment="1">
      <alignment horizontal="right" wrapText="1"/>
    </xf>
    <xf numFmtId="168" fontId="87" fillId="0" borderId="18" xfId="41" applyNumberFormat="1" applyFont="1" applyFill="1" applyBorder="1" applyAlignment="1">
      <alignment horizontal="right" wrapText="1"/>
    </xf>
    <xf numFmtId="168" fontId="5" fillId="0" borderId="27" xfId="41" applyNumberFormat="1" applyFont="1" applyFill="1" applyBorder="1" applyAlignment="1">
      <alignment horizontal="right" wrapText="1"/>
    </xf>
    <xf numFmtId="7" fontId="3" fillId="22" borderId="11" xfId="0" applyNumberFormat="1" applyFont="1" applyFill="1" applyBorder="1" applyAlignment="1"/>
    <xf numFmtId="168" fontId="3" fillId="17" borderId="11" xfId="0" applyNumberFormat="1" applyFont="1" applyFill="1" applyBorder="1" applyAlignment="1">
      <alignment horizontal="left"/>
    </xf>
    <xf numFmtId="7" fontId="87" fillId="17" borderId="0" xfId="41" applyNumberFormat="1" applyFont="1" applyFill="1" applyBorder="1" applyAlignment="1">
      <alignment horizontal="right"/>
    </xf>
    <xf numFmtId="168" fontId="87" fillId="0" borderId="0" xfId="0" applyNumberFormat="1" applyFont="1" applyFill="1" applyBorder="1"/>
    <xf numFmtId="168" fontId="87" fillId="0" borderId="0" xfId="41" applyNumberFormat="1" applyFont="1" applyFill="1" applyAlignment="1">
      <alignment horizontal="right"/>
    </xf>
    <xf numFmtId="168" fontId="87" fillId="0" borderId="0" xfId="41" applyNumberFormat="1" applyFont="1" applyFill="1" applyBorder="1" applyAlignment="1">
      <alignment horizontal="right"/>
    </xf>
    <xf numFmtId="168" fontId="87" fillId="17" borderId="0" xfId="41" applyNumberFormat="1" applyFont="1" applyFill="1" applyBorder="1" applyAlignment="1">
      <alignment horizontal="right"/>
    </xf>
    <xf numFmtId="168" fontId="86" fillId="0" borderId="0" xfId="0" applyNumberFormat="1" applyFont="1" applyFill="1"/>
    <xf numFmtId="169" fontId="12" fillId="0" borderId="0" xfId="66" applyNumberFormat="1" applyFont="1" applyFill="1" applyBorder="1" applyAlignment="1">
      <alignment horizontal="right"/>
    </xf>
    <xf numFmtId="168" fontId="87" fillId="17" borderId="11" xfId="0" applyNumberFormat="1" applyFont="1" applyFill="1" applyBorder="1"/>
    <xf numFmtId="168" fontId="87" fillId="17" borderId="11" xfId="41" applyNumberFormat="1" applyFont="1" applyFill="1" applyBorder="1" applyAlignment="1">
      <alignment horizontal="right"/>
    </xf>
    <xf numFmtId="7" fontId="3" fillId="22" borderId="15" xfId="0" applyNumberFormat="1" applyFont="1" applyFill="1" applyBorder="1" applyAlignment="1"/>
    <xf numFmtId="7" fontId="18" fillId="22" borderId="15" xfId="41" applyNumberFormat="1" applyFont="1" applyFill="1" applyBorder="1" applyAlignment="1">
      <alignment horizontal="right"/>
    </xf>
    <xf numFmtId="7" fontId="18" fillId="22" borderId="19" xfId="41" applyNumberFormat="1" applyFont="1" applyFill="1" applyBorder="1" applyAlignment="1">
      <alignment horizontal="right"/>
    </xf>
    <xf numFmtId="169" fontId="12" fillId="0" borderId="12" xfId="66" applyNumberFormat="1" applyFont="1" applyFill="1" applyBorder="1" applyAlignment="1">
      <alignment horizontal="right"/>
    </xf>
    <xf numFmtId="169" fontId="13" fillId="0" borderId="12" xfId="66" applyNumberFormat="1" applyFont="1" applyFill="1" applyBorder="1" applyAlignment="1">
      <alignment horizontal="right"/>
    </xf>
    <xf numFmtId="168" fontId="22" fillId="17" borderId="12" xfId="41" applyNumberFormat="1" applyFont="1" applyFill="1" applyBorder="1" applyAlignment="1">
      <alignment horizontal="right"/>
    </xf>
    <xf numFmtId="168" fontId="87" fillId="17" borderId="22" xfId="41" applyNumberFormat="1" applyFont="1" applyFill="1" applyBorder="1" applyAlignment="1">
      <alignment horizontal="right"/>
    </xf>
    <xf numFmtId="169" fontId="12" fillId="24" borderId="0" xfId="0" applyNumberFormat="1" applyFont="1" applyFill="1" applyAlignment="1">
      <alignment horizontal="right"/>
    </xf>
    <xf numFmtId="169" fontId="5" fillId="24" borderId="0" xfId="0" applyNumberFormat="1" applyFont="1" applyFill="1" applyAlignment="1">
      <alignment horizontal="left" vertical="top" wrapText="1" indent="1"/>
    </xf>
    <xf numFmtId="168" fontId="85" fillId="0" borderId="0" xfId="41" applyNumberFormat="1" applyFont="1" applyFill="1" applyAlignment="1">
      <alignment horizontal="right"/>
    </xf>
    <xf numFmtId="9" fontId="12" fillId="0" borderId="0" xfId="66" applyFont="1" applyFill="1" applyAlignment="1">
      <alignment horizontal="right"/>
    </xf>
    <xf numFmtId="168" fontId="12" fillId="0" borderId="0" xfId="0" applyNumberFormat="1" applyFont="1" applyFill="1" applyAlignment="1">
      <alignment horizontal="right"/>
    </xf>
    <xf numFmtId="169" fontId="88" fillId="0" borderId="0" xfId="66" applyNumberFormat="1" applyFont="1" applyFill="1" applyAlignment="1">
      <alignment horizontal="right"/>
    </xf>
    <xf numFmtId="9" fontId="88" fillId="0" borderId="0" xfId="66" applyNumberFormat="1" applyFont="1" applyFill="1" applyAlignment="1">
      <alignment horizontal="right"/>
    </xf>
    <xf numFmtId="0" fontId="5" fillId="0" borderId="0" xfId="56" applyFont="1" applyFill="1" applyBorder="1"/>
    <xf numFmtId="0" fontId="5" fillId="0" borderId="0" xfId="56" applyFont="1" applyFill="1" applyBorder="1" applyAlignment="1">
      <alignment horizontal="left" indent="1"/>
    </xf>
    <xf numFmtId="0" fontId="11" fillId="0" borderId="0" xfId="56" applyFont="1" applyFill="1" applyBorder="1"/>
    <xf numFmtId="0" fontId="3" fillId="23" borderId="0" xfId="0" applyFont="1" applyFill="1" applyBorder="1"/>
    <xf numFmtId="0" fontId="14" fillId="0" borderId="0" xfId="56" applyFont="1" applyFill="1" applyBorder="1"/>
    <xf numFmtId="0" fontId="11" fillId="0" borderId="0" xfId="56" applyFont="1" applyFill="1" applyBorder="1" applyAlignment="1">
      <alignment horizontal="left" indent="1"/>
    </xf>
    <xf numFmtId="37" fontId="29" fillId="0" borderId="0" xfId="41" applyNumberFormat="1" applyFont="1" applyFill="1" applyBorder="1" applyAlignment="1">
      <alignment horizontal="right"/>
    </xf>
    <xf numFmtId="166" fontId="29" fillId="0" borderId="0" xfId="41" applyNumberFormat="1" applyFont="1" applyFill="1" applyAlignment="1">
      <alignment horizontal="right"/>
    </xf>
    <xf numFmtId="37" fontId="22" fillId="0" borderId="0" xfId="41" applyNumberFormat="1" applyFont="1" applyFill="1" applyBorder="1" applyAlignment="1">
      <alignment horizontal="right"/>
    </xf>
    <xf numFmtId="172" fontId="22" fillId="0" borderId="0" xfId="41" applyNumberFormat="1" applyFont="1" applyFill="1" applyBorder="1" applyAlignment="1">
      <alignment horizontal="right"/>
    </xf>
    <xf numFmtId="7" fontId="18" fillId="0" borderId="0" xfId="0" applyNumberFormat="1" applyFont="1" applyFill="1" applyBorder="1" applyAlignment="1">
      <alignment horizontal="right"/>
    </xf>
    <xf numFmtId="37" fontId="45" fillId="0" borderId="0" xfId="41" applyNumberFormat="1" applyFont="1" applyFill="1" applyBorder="1" applyAlignment="1">
      <alignment horizontal="right"/>
    </xf>
    <xf numFmtId="7" fontId="49" fillId="0" borderId="0" xfId="41" applyNumberFormat="1" applyFont="1" applyFill="1" applyBorder="1" applyAlignment="1">
      <alignment horizontal="right"/>
    </xf>
    <xf numFmtId="37" fontId="5" fillId="24" borderId="0" xfId="41" applyNumberFormat="1" applyFont="1" applyFill="1" applyBorder="1" applyAlignment="1">
      <alignment horizontal="right" wrapText="1"/>
    </xf>
    <xf numFmtId="37" fontId="3" fillId="24" borderId="0" xfId="41" applyNumberFormat="1" applyFont="1" applyFill="1" applyBorder="1" applyAlignment="1">
      <alignment horizontal="right" wrapText="1"/>
    </xf>
    <xf numFmtId="164" fontId="0" fillId="0" borderId="0" xfId="0" applyNumberFormat="1"/>
    <xf numFmtId="165" fontId="5" fillId="18" borderId="0" xfId="0" applyNumberFormat="1" applyFont="1" applyFill="1" applyAlignment="1">
      <alignment horizontal="right"/>
    </xf>
    <xf numFmtId="165" fontId="5" fillId="18" borderId="0" xfId="0" applyNumberFormat="1" applyFont="1" applyFill="1"/>
    <xf numFmtId="175" fontId="13" fillId="0" borderId="0" xfId="0" applyNumberFormat="1" applyFont="1" applyFill="1" applyBorder="1" applyAlignment="1">
      <alignment horizontal="right"/>
    </xf>
    <xf numFmtId="164" fontId="0" fillId="0" borderId="0" xfId="0" applyNumberFormat="1" applyFill="1" applyAlignment="1">
      <alignment horizontal="right"/>
    </xf>
    <xf numFmtId="179" fontId="0" fillId="0" borderId="0" xfId="66" applyNumberFormat="1" applyFont="1" applyFill="1" applyAlignment="1">
      <alignment horizontal="right"/>
    </xf>
    <xf numFmtId="168" fontId="87" fillId="17" borderId="0" xfId="0" applyNumberFormat="1" applyFont="1" applyFill="1" applyBorder="1"/>
    <xf numFmtId="168" fontId="87" fillId="17" borderId="12" xfId="41" applyNumberFormat="1" applyFont="1" applyFill="1" applyBorder="1" applyAlignment="1">
      <alignment horizontal="right"/>
    </xf>
    <xf numFmtId="176" fontId="22" fillId="0" borderId="0" xfId="0" applyNumberFormat="1" applyFont="1" applyFill="1" applyAlignment="1">
      <alignment horizontal="right"/>
    </xf>
    <xf numFmtId="176" fontId="3" fillId="0" borderId="11" xfId="41" applyNumberFormat="1" applyFont="1" applyFill="1" applyBorder="1" applyAlignment="1">
      <alignment horizontal="right"/>
    </xf>
    <xf numFmtId="43" fontId="0" fillId="0" borderId="0" xfId="41" applyFont="1" applyFill="1"/>
    <xf numFmtId="43" fontId="5" fillId="0" borderId="0" xfId="0" applyNumberFormat="1" applyFont="1" applyFill="1" applyAlignment="1">
      <alignment horizontal="right"/>
    </xf>
    <xf numFmtId="166" fontId="5" fillId="0" borderId="0" xfId="0" applyNumberFormat="1" applyFont="1" applyFill="1" applyAlignment="1">
      <alignment horizontal="right"/>
    </xf>
    <xf numFmtId="167" fontId="5" fillId="0" borderId="0" xfId="0" applyNumberFormat="1" applyFont="1" applyFill="1" applyAlignment="1">
      <alignment horizontal="right"/>
    </xf>
    <xf numFmtId="4" fontId="2" fillId="0" borderId="0" xfId="66" applyNumberFormat="1" applyFont="1" applyBorder="1" applyAlignment="1">
      <alignment horizontal="right"/>
    </xf>
    <xf numFmtId="171" fontId="91" fillId="0" borderId="0" xfId="0" applyNumberFormat="1" applyFont="1"/>
    <xf numFmtId="169" fontId="91" fillId="0" borderId="0" xfId="0" applyNumberFormat="1" applyFont="1"/>
    <xf numFmtId="169" fontId="5" fillId="17" borderId="12" xfId="66" applyNumberFormat="1" applyFont="1" applyFill="1" applyBorder="1" applyAlignment="1">
      <alignment horizontal="right"/>
    </xf>
    <xf numFmtId="0" fontId="14" fillId="0" borderId="11" xfId="0" applyFont="1" applyBorder="1"/>
    <xf numFmtId="168" fontId="3" fillId="0" borderId="23" xfId="41" applyNumberFormat="1" applyFont="1" applyFill="1" applyBorder="1" applyAlignment="1">
      <alignment horizontal="right" wrapText="1"/>
    </xf>
    <xf numFmtId="0" fontId="0" fillId="0" borderId="12" xfId="0" applyBorder="1"/>
    <xf numFmtId="0" fontId="5" fillId="0" borderId="0" xfId="57" applyFont="1"/>
    <xf numFmtId="169" fontId="5" fillId="0" borderId="12" xfId="66" applyNumberFormat="1" applyFont="1" applyFill="1" applyBorder="1"/>
    <xf numFmtId="168" fontId="93" fillId="0" borderId="0" xfId="41" applyNumberFormat="1" applyFont="1" applyFill="1" applyBorder="1" applyAlignment="1">
      <alignment horizontal="right" wrapText="1"/>
    </xf>
    <xf numFmtId="0" fontId="5" fillId="0" borderId="0" xfId="57" applyFont="1" applyFill="1"/>
    <xf numFmtId="41" fontId="5" fillId="0" borderId="0" xfId="57" applyNumberFormat="1" applyFont="1" applyFill="1"/>
    <xf numFmtId="0" fontId="94" fillId="0" borderId="0" xfId="57" applyFont="1" applyFill="1"/>
    <xf numFmtId="168" fontId="94" fillId="0" borderId="0" xfId="0" applyNumberFormat="1" applyFont="1" applyFill="1" applyBorder="1"/>
    <xf numFmtId="168" fontId="94" fillId="0" borderId="0" xfId="0" applyNumberFormat="1" applyFont="1" applyFill="1" applyBorder="1" applyAlignment="1">
      <alignment horizontal="right"/>
    </xf>
    <xf numFmtId="168" fontId="94" fillId="0" borderId="0" xfId="41" applyNumberFormat="1" applyFont="1" applyFill="1" applyBorder="1" applyAlignment="1">
      <alignment horizontal="right"/>
    </xf>
    <xf numFmtId="0" fontId="95" fillId="0" borderId="0" xfId="0" applyFont="1" applyFill="1"/>
    <xf numFmtId="168" fontId="96" fillId="0" borderId="0" xfId="41" applyNumberFormat="1" applyFont="1" applyFill="1" applyBorder="1" applyAlignment="1">
      <alignment horizontal="right"/>
    </xf>
    <xf numFmtId="4" fontId="22" fillId="0" borderId="0" xfId="41" applyNumberFormat="1" applyFont="1" applyFill="1" applyBorder="1" applyAlignment="1">
      <alignment horizontal="right"/>
    </xf>
    <xf numFmtId="3" fontId="22" fillId="0" borderId="0" xfId="41" applyNumberFormat="1" applyFont="1" applyFill="1" applyBorder="1" applyAlignment="1">
      <alignment horizontal="right"/>
    </xf>
    <xf numFmtId="0" fontId="0" fillId="0" borderId="0" xfId="0"/>
    <xf numFmtId="0" fontId="3" fillId="17" borderId="0" xfId="0" applyFont="1" applyFill="1" applyBorder="1" applyAlignment="1">
      <alignment horizontal="center" vertical="center"/>
    </xf>
    <xf numFmtId="169" fontId="5" fillId="0" borderId="12" xfId="66" applyNumberFormat="1" applyFont="1" applyFill="1" applyBorder="1" applyAlignment="1">
      <alignment horizontal="right"/>
    </xf>
    <xf numFmtId="0" fontId="3" fillId="0" borderId="0" xfId="0" applyFont="1" applyAlignment="1">
      <alignment horizontal="center"/>
    </xf>
    <xf numFmtId="0" fontId="3" fillId="0" borderId="0" xfId="0" applyFont="1" applyFill="1" applyAlignment="1">
      <alignment horizontal="center"/>
    </xf>
    <xf numFmtId="0" fontId="20" fillId="0" borderId="0" xfId="0" applyFont="1" applyBorder="1"/>
    <xf numFmtId="0" fontId="42" fillId="0" borderId="0" xfId="0" applyFont="1" applyFill="1" applyAlignment="1">
      <alignment horizontal="center"/>
    </xf>
    <xf numFmtId="0" fontId="3" fillId="17" borderId="0" xfId="0" applyFont="1" applyFill="1" applyAlignment="1">
      <alignment horizontal="center"/>
    </xf>
    <xf numFmtId="0" fontId="3" fillId="0" borderId="0" xfId="0" applyFont="1" applyAlignment="1">
      <alignment horizontal="center"/>
    </xf>
    <xf numFmtId="0" fontId="0" fillId="0" borderId="0" xfId="0"/>
    <xf numFmtId="0" fontId="0" fillId="0" borderId="12" xfId="0" applyFill="1" applyBorder="1"/>
    <xf numFmtId="169" fontId="5" fillId="0" borderId="12" xfId="57" applyNumberFormat="1" applyFont="1" applyFill="1" applyBorder="1"/>
    <xf numFmtId="168" fontId="5" fillId="0" borderId="0" xfId="0" applyNumberFormat="1" applyFont="1" applyFill="1" applyAlignment="1">
      <alignment horizontal="left" vertical="top" wrapText="1" indent="2"/>
    </xf>
    <xf numFmtId="169" fontId="5" fillId="0" borderId="0" xfId="57" applyNumberFormat="1" applyFont="1" applyFill="1"/>
    <xf numFmtId="43" fontId="2" fillId="0" borderId="0" xfId="41" applyFont="1"/>
    <xf numFmtId="43" fontId="5" fillId="17" borderId="0" xfId="41" applyFont="1" applyFill="1" applyBorder="1"/>
    <xf numFmtId="0" fontId="0" fillId="0" borderId="0" xfId="0"/>
    <xf numFmtId="0" fontId="2" fillId="0" borderId="0" xfId="0" applyFont="1" applyFill="1" applyBorder="1"/>
    <xf numFmtId="10" fontId="13" fillId="0" borderId="0" xfId="68" applyNumberFormat="1" applyFont="1"/>
    <xf numFmtId="168" fontId="99" fillId="0" borderId="0" xfId="41" applyNumberFormat="1" applyFont="1" applyFill="1" applyBorder="1" applyAlignment="1">
      <alignment horizontal="right" wrapText="1"/>
    </xf>
    <xf numFmtId="212" fontId="5" fillId="0" borderId="27" xfId="41" applyNumberFormat="1" applyFont="1" applyFill="1" applyBorder="1" applyAlignment="1">
      <alignment horizontal="right" wrapText="1"/>
    </xf>
    <xf numFmtId="7" fontId="18" fillId="22" borderId="27" xfId="41" applyNumberFormat="1" applyFont="1" applyFill="1" applyBorder="1" applyAlignment="1">
      <alignment horizontal="right"/>
    </xf>
    <xf numFmtId="168" fontId="12" fillId="0" borderId="12" xfId="0" applyNumberFormat="1" applyFont="1" applyFill="1" applyBorder="1" applyAlignment="1">
      <alignment horizontal="right"/>
    </xf>
    <xf numFmtId="213" fontId="22" fillId="0" borderId="0" xfId="41" applyNumberFormat="1" applyFont="1" applyFill="1" applyBorder="1" applyAlignment="1">
      <alignment horizontal="right"/>
    </xf>
    <xf numFmtId="184" fontId="45" fillId="0" borderId="0" xfId="41" applyNumberFormat="1" applyFont="1" applyFill="1" applyBorder="1" applyAlignment="1">
      <alignment horizontal="right"/>
    </xf>
    <xf numFmtId="184" fontId="5" fillId="0" borderId="0" xfId="41" applyNumberFormat="1" applyFont="1" applyFill="1" applyBorder="1" applyAlignment="1">
      <alignment horizontal="right" wrapText="1"/>
    </xf>
    <xf numFmtId="169" fontId="12" fillId="0" borderId="22" xfId="0" applyNumberFormat="1" applyFont="1" applyFill="1" applyBorder="1" applyAlignment="1">
      <alignment horizontal="right"/>
    </xf>
    <xf numFmtId="0" fontId="2" fillId="0" borderId="0" xfId="75"/>
    <xf numFmtId="0" fontId="0" fillId="0" borderId="0" xfId="0"/>
    <xf numFmtId="0" fontId="0" fillId="0" borderId="0" xfId="0"/>
    <xf numFmtId="169" fontId="12" fillId="0" borderId="23" xfId="0" applyNumberFormat="1" applyFont="1" applyFill="1" applyBorder="1" applyAlignment="1">
      <alignment horizontal="right"/>
    </xf>
    <xf numFmtId="184" fontId="5" fillId="0" borderId="23" xfId="41" applyNumberFormat="1" applyFont="1" applyFill="1" applyBorder="1" applyAlignment="1">
      <alignment horizontal="right" wrapText="1"/>
    </xf>
    <xf numFmtId="169" fontId="5" fillId="0" borderId="22" xfId="66" applyNumberFormat="1" applyFont="1" applyFill="1" applyBorder="1"/>
    <xf numFmtId="0" fontId="4" fillId="0" borderId="11" xfId="0" applyFont="1" applyFill="1" applyBorder="1"/>
    <xf numFmtId="0" fontId="0" fillId="0" borderId="11" xfId="0" applyFill="1" applyBorder="1"/>
    <xf numFmtId="166" fontId="100" fillId="27" borderId="0" xfId="43" applyNumberFormat="1" applyFont="1" applyFill="1" applyBorder="1"/>
    <xf numFmtId="166" fontId="100" fillId="27" borderId="11" xfId="43" applyNumberFormat="1" applyFont="1" applyFill="1" applyBorder="1"/>
    <xf numFmtId="0" fontId="98" fillId="27" borderId="11" xfId="0" applyFont="1" applyFill="1" applyBorder="1" applyAlignment="1">
      <alignment horizontal="left" vertical="top" wrapText="1"/>
    </xf>
    <xf numFmtId="166" fontId="13" fillId="0" borderId="0" xfId="42" applyNumberFormat="1" applyFont="1" applyFill="1" applyBorder="1" applyAlignment="1"/>
    <xf numFmtId="169" fontId="5" fillId="0" borderId="24" xfId="66" applyNumberFormat="1" applyFont="1" applyFill="1" applyBorder="1"/>
    <xf numFmtId="169" fontId="12" fillId="0" borderId="24" xfId="0" applyNumberFormat="1" applyFont="1" applyFill="1" applyBorder="1" applyAlignment="1">
      <alignment horizontal="right"/>
    </xf>
    <xf numFmtId="169" fontId="12" fillId="0" borderId="11" xfId="0" applyNumberFormat="1" applyFont="1" applyFill="1" applyBorder="1" applyAlignment="1">
      <alignment horizontal="right"/>
    </xf>
    <xf numFmtId="0" fontId="2" fillId="17" borderId="0" xfId="0" applyFont="1" applyFill="1"/>
    <xf numFmtId="169" fontId="101" fillId="0" borderId="0" xfId="66" applyNumberFormat="1" applyFont="1" applyFill="1"/>
    <xf numFmtId="169" fontId="101" fillId="0" borderId="0" xfId="66" applyNumberFormat="1" applyFont="1" applyFill="1" applyBorder="1"/>
    <xf numFmtId="184" fontId="101" fillId="0" borderId="12" xfId="41" applyNumberFormat="1" applyFont="1" applyFill="1" applyBorder="1" applyAlignment="1">
      <alignment horizontal="right" wrapText="1"/>
    </xf>
    <xf numFmtId="169" fontId="103" fillId="0" borderId="0" xfId="66" applyNumberFormat="1" applyFont="1" applyFill="1"/>
    <xf numFmtId="184" fontId="103" fillId="0" borderId="12" xfId="41" applyNumberFormat="1" applyFont="1" applyFill="1" applyBorder="1" applyAlignment="1">
      <alignment horizontal="right" wrapText="1"/>
    </xf>
    <xf numFmtId="9" fontId="104" fillId="0" borderId="0" xfId="0" applyNumberFormat="1" applyFont="1" applyFill="1" applyAlignment="1">
      <alignment horizontal="right"/>
    </xf>
    <xf numFmtId="0" fontId="105" fillId="0" borderId="0" xfId="0" applyFont="1" applyFill="1" applyBorder="1" applyAlignment="1">
      <alignment horizontal="right"/>
    </xf>
    <xf numFmtId="0" fontId="104" fillId="0" borderId="0" xfId="0" applyFont="1" applyFill="1" applyAlignment="1">
      <alignment horizontal="right"/>
    </xf>
    <xf numFmtId="39" fontId="0" fillId="0" borderId="0" xfId="0" applyNumberFormat="1" applyFill="1" applyAlignment="1">
      <alignment horizontal="right"/>
    </xf>
    <xf numFmtId="176" fontId="0" fillId="0" borderId="0" xfId="0" applyNumberFormat="1"/>
    <xf numFmtId="9" fontId="0" fillId="0" borderId="0" xfId="0" applyNumberFormat="1" applyAlignment="1">
      <alignment horizontal="right"/>
    </xf>
    <xf numFmtId="4" fontId="0" fillId="0" borderId="0" xfId="0" applyNumberFormat="1" applyAlignment="1">
      <alignment horizontal="right"/>
    </xf>
    <xf numFmtId="1" fontId="104" fillId="0" borderId="0" xfId="0" applyNumberFormat="1" applyFont="1"/>
    <xf numFmtId="1" fontId="104" fillId="0" borderId="0" xfId="0" applyNumberFormat="1" applyFont="1" applyFill="1"/>
    <xf numFmtId="0" fontId="0" fillId="0" borderId="0" xfId="0"/>
    <xf numFmtId="0" fontId="12" fillId="28" borderId="0" xfId="0" applyFont="1" applyFill="1" applyAlignment="1">
      <alignment horizontal="left" indent="1"/>
    </xf>
    <xf numFmtId="169" fontId="12" fillId="28" borderId="0" xfId="0" applyNumberFormat="1" applyFont="1" applyFill="1" applyAlignment="1">
      <alignment horizontal="right"/>
    </xf>
    <xf numFmtId="169" fontId="12" fillId="28" borderId="12" xfId="0" applyNumberFormat="1" applyFont="1" applyFill="1" applyBorder="1" applyAlignment="1">
      <alignment horizontal="right"/>
    </xf>
    <xf numFmtId="168" fontId="22" fillId="28" borderId="0" xfId="41" applyNumberFormat="1" applyFont="1" applyFill="1" applyBorder="1" applyAlignment="1">
      <alignment horizontal="right"/>
    </xf>
    <xf numFmtId="7" fontId="49" fillId="28" borderId="0" xfId="41" applyNumberFormat="1" applyFont="1" applyFill="1" applyBorder="1" applyAlignment="1">
      <alignment horizontal="right"/>
    </xf>
    <xf numFmtId="0" fontId="5" fillId="28" borderId="0" xfId="0" applyFont="1" applyFill="1" applyAlignment="1">
      <alignment horizontal="left" indent="1"/>
    </xf>
    <xf numFmtId="0" fontId="0" fillId="28" borderId="0" xfId="0" applyFill="1" applyBorder="1" applyAlignment="1">
      <alignment horizontal="right"/>
    </xf>
    <xf numFmtId="0" fontId="12" fillId="28" borderId="0" xfId="0" applyFont="1" applyFill="1"/>
    <xf numFmtId="168" fontId="5" fillId="28" borderId="0" xfId="0" applyNumberFormat="1" applyFont="1" applyFill="1" applyBorder="1" applyAlignment="1">
      <alignment horizontal="right"/>
    </xf>
    <xf numFmtId="0" fontId="0" fillId="28" borderId="0" xfId="0" applyFill="1" applyAlignment="1">
      <alignment horizontal="right"/>
    </xf>
    <xf numFmtId="169" fontId="55" fillId="28" borderId="0" xfId="0" applyNumberFormat="1" applyFont="1" applyFill="1" applyAlignment="1">
      <alignment horizontal="right"/>
    </xf>
    <xf numFmtId="169" fontId="55" fillId="28" borderId="12" xfId="0" applyNumberFormat="1" applyFont="1" applyFill="1" applyBorder="1" applyAlignment="1">
      <alignment horizontal="right"/>
    </xf>
    <xf numFmtId="169" fontId="5" fillId="28" borderId="12" xfId="0" applyNumberFormat="1" applyFont="1" applyFill="1" applyBorder="1" applyAlignment="1">
      <alignment horizontal="right"/>
    </xf>
    <xf numFmtId="169" fontId="12" fillId="28" borderId="0" xfId="0" applyNumberFormat="1" applyFont="1" applyFill="1" applyBorder="1" applyAlignment="1">
      <alignment horizontal="right"/>
    </xf>
    <xf numFmtId="175" fontId="30" fillId="28" borderId="0" xfId="0" applyNumberFormat="1" applyFont="1" applyFill="1" applyBorder="1" applyAlignment="1">
      <alignment horizontal="right"/>
    </xf>
    <xf numFmtId="175" fontId="54" fillId="28" borderId="0" xfId="0" applyNumberFormat="1" applyFont="1" applyFill="1" applyBorder="1" applyAlignment="1">
      <alignment horizontal="right"/>
    </xf>
    <xf numFmtId="169" fontId="13" fillId="28" borderId="12" xfId="0" applyNumberFormat="1" applyFont="1" applyFill="1" applyBorder="1" applyAlignment="1">
      <alignment horizontal="right"/>
    </xf>
    <xf numFmtId="175" fontId="11" fillId="28" borderId="0" xfId="0" applyNumberFormat="1" applyFont="1" applyFill="1" applyBorder="1" applyAlignment="1">
      <alignment horizontal="right"/>
    </xf>
    <xf numFmtId="169" fontId="5" fillId="28" borderId="0" xfId="0" applyNumberFormat="1" applyFont="1" applyFill="1" applyAlignment="1">
      <alignment horizontal="right"/>
    </xf>
    <xf numFmtId="169" fontId="76" fillId="28" borderId="0" xfId="0" applyNumberFormat="1" applyFont="1" applyFill="1" applyAlignment="1">
      <alignment horizontal="right"/>
    </xf>
    <xf numFmtId="169" fontId="90" fillId="28" borderId="0" xfId="0" applyNumberFormat="1" applyFont="1" applyFill="1" applyBorder="1" applyAlignment="1">
      <alignment horizontal="right"/>
    </xf>
    <xf numFmtId="169" fontId="25" fillId="28" borderId="0" xfId="0" applyNumberFormat="1" applyFont="1" applyFill="1" applyAlignment="1">
      <alignment horizontal="right"/>
    </xf>
    <xf numFmtId="169" fontId="5" fillId="28" borderId="0" xfId="0" applyNumberFormat="1" applyFont="1" applyFill="1" applyBorder="1" applyAlignment="1">
      <alignment horizontal="right"/>
    </xf>
    <xf numFmtId="7" fontId="3" fillId="28" borderId="0" xfId="41" applyNumberFormat="1" applyFont="1" applyFill="1" applyBorder="1" applyAlignment="1">
      <alignment horizontal="right"/>
    </xf>
    <xf numFmtId="169" fontId="23" fillId="28" borderId="0" xfId="0" applyNumberFormat="1" applyFont="1" applyFill="1" applyAlignment="1">
      <alignment horizontal="right"/>
    </xf>
    <xf numFmtId="0" fontId="5" fillId="28" borderId="0" xfId="0" applyFont="1" applyFill="1"/>
    <xf numFmtId="0" fontId="2" fillId="28" borderId="0" xfId="0" applyFont="1" applyFill="1" applyAlignment="1">
      <alignment horizontal="right"/>
    </xf>
    <xf numFmtId="0" fontId="2" fillId="28" borderId="0" xfId="0" applyFont="1" applyFill="1" applyBorder="1" applyAlignment="1">
      <alignment horizontal="right"/>
    </xf>
    <xf numFmtId="7" fontId="42" fillId="28" borderId="0" xfId="41" applyNumberFormat="1" applyFont="1" applyFill="1" applyBorder="1" applyAlignment="1">
      <alignment horizontal="right"/>
    </xf>
    <xf numFmtId="0" fontId="0" fillId="0" borderId="0" xfId="0"/>
    <xf numFmtId="168" fontId="106" fillId="0" borderId="0" xfId="0" applyNumberFormat="1" applyFont="1" applyFill="1" applyBorder="1"/>
    <xf numFmtId="168" fontId="105" fillId="0" borderId="0" xfId="0" applyNumberFormat="1" applyFont="1" applyFill="1" applyBorder="1"/>
    <xf numFmtId="169" fontId="105" fillId="0" borderId="0" xfId="0" applyNumberFormat="1" applyFont="1" applyFill="1" applyBorder="1" applyAlignment="1">
      <alignment horizontal="right"/>
    </xf>
    <xf numFmtId="0" fontId="104" fillId="0" borderId="0" xfId="0" applyFont="1" applyFill="1" applyBorder="1"/>
    <xf numFmtId="0" fontId="23" fillId="0" borderId="0" xfId="77" applyFont="1" applyFill="1" applyBorder="1" applyAlignment="1"/>
    <xf numFmtId="0" fontId="2" fillId="0" borderId="0" xfId="77"/>
    <xf numFmtId="197" fontId="42" fillId="0" borderId="0" xfId="77" applyNumberFormat="1" applyFont="1" applyFill="1" applyBorder="1" applyAlignment="1">
      <alignment horizontal="left"/>
    </xf>
    <xf numFmtId="197" fontId="3" fillId="0" borderId="0" xfId="77" applyNumberFormat="1" applyFont="1" applyFill="1" applyBorder="1" applyAlignment="1">
      <alignment horizontal="center"/>
    </xf>
    <xf numFmtId="0" fontId="5" fillId="0" borderId="0" xfId="77" applyFont="1"/>
    <xf numFmtId="0" fontId="41" fillId="0" borderId="0" xfId="77" applyFont="1" applyBorder="1" applyAlignment="1"/>
    <xf numFmtId="197" fontId="42" fillId="0" borderId="0" xfId="77" applyNumberFormat="1" applyFont="1" applyFill="1" applyBorder="1" applyAlignment="1">
      <alignment horizontal="center"/>
    </xf>
    <xf numFmtId="0" fontId="2" fillId="0" borderId="0" xfId="77" applyFont="1" applyBorder="1" applyAlignment="1"/>
    <xf numFmtId="0" fontId="36" fillId="17" borderId="0" xfId="77" applyFont="1" applyFill="1" applyBorder="1" applyAlignment="1">
      <alignment vertical="top"/>
    </xf>
    <xf numFmtId="197" fontId="3" fillId="17" borderId="0" xfId="77" applyNumberFormat="1" applyFont="1" applyFill="1" applyBorder="1" applyAlignment="1">
      <alignment horizontal="center"/>
    </xf>
    <xf numFmtId="0" fontId="5" fillId="17" borderId="0" xfId="77" applyFont="1" applyFill="1"/>
    <xf numFmtId="0" fontId="2" fillId="17" borderId="0" xfId="77" applyFill="1"/>
    <xf numFmtId="0" fontId="53" fillId="29" borderId="0" xfId="77" applyFont="1" applyFill="1" applyBorder="1" applyAlignment="1">
      <alignment vertical="top"/>
    </xf>
    <xf numFmtId="165" fontId="44" fillId="29" borderId="0" xfId="77" applyNumberFormat="1" applyFont="1" applyFill="1" applyBorder="1" applyAlignment="1">
      <alignment horizontal="center"/>
    </xf>
    <xf numFmtId="0" fontId="23" fillId="0" borderId="0" xfId="77" applyFont="1" applyFill="1" applyAlignment="1"/>
    <xf numFmtId="165" fontId="6" fillId="29" borderId="0" xfId="77" applyNumberFormat="1" applyFont="1" applyFill="1" applyBorder="1" applyAlignment="1">
      <alignment horizontal="center"/>
    </xf>
    <xf numFmtId="0" fontId="2" fillId="0" borderId="0" xfId="77" applyBorder="1"/>
    <xf numFmtId="0" fontId="5" fillId="0" borderId="0" xfId="77" applyFont="1" applyFill="1" applyBorder="1" applyAlignment="1">
      <alignment horizontal="left"/>
    </xf>
    <xf numFmtId="175" fontId="5" fillId="0" borderId="0" xfId="77" applyNumberFormat="1" applyFont="1" applyFill="1" applyBorder="1" applyAlignment="1"/>
    <xf numFmtId="0" fontId="5" fillId="30" borderId="0" xfId="77" applyFont="1" applyFill="1" applyBorder="1" applyAlignment="1">
      <alignment horizontal="left"/>
    </xf>
    <xf numFmtId="175" fontId="5" fillId="30" borderId="0" xfId="77" applyNumberFormat="1" applyFont="1" applyFill="1" applyBorder="1" applyAlignment="1"/>
    <xf numFmtId="175" fontId="5" fillId="0" borderId="0" xfId="77" quotePrefix="1" applyNumberFormat="1" applyFont="1" applyFill="1" applyBorder="1" applyAlignment="1">
      <alignment horizontal="right"/>
    </xf>
    <xf numFmtId="9" fontId="11" fillId="0" borderId="0" xfId="77" applyNumberFormat="1" applyFont="1" applyFill="1" applyBorder="1" applyAlignment="1">
      <alignment horizontal="center"/>
    </xf>
    <xf numFmtId="0" fontId="3" fillId="0" borderId="0" xfId="77" applyFont="1" applyFill="1" applyBorder="1" applyAlignment="1"/>
    <xf numFmtId="175" fontId="3" fillId="0" borderId="0" xfId="77" applyNumberFormat="1" applyFont="1" applyFill="1" applyBorder="1" applyAlignment="1"/>
    <xf numFmtId="0" fontId="5" fillId="30" borderId="0" xfId="77" applyFont="1" applyFill="1" applyBorder="1" applyAlignment="1">
      <alignment horizontal="left" indent="1"/>
    </xf>
    <xf numFmtId="0" fontId="5" fillId="0" borderId="0" xfId="77" applyFont="1" applyFill="1" applyBorder="1" applyAlignment="1">
      <alignment horizontal="left" indent="1"/>
    </xf>
    <xf numFmtId="0" fontId="17" fillId="0" borderId="0" xfId="77" applyFont="1"/>
    <xf numFmtId="0" fontId="36" fillId="0" borderId="0" xfId="77" applyFont="1" applyFill="1" applyBorder="1" applyAlignment="1">
      <alignment vertical="top"/>
    </xf>
    <xf numFmtId="0" fontId="2" fillId="29" borderId="0" xfId="77" applyFill="1"/>
    <xf numFmtId="0" fontId="2" fillId="0" borderId="0" xfId="77" applyFill="1"/>
    <xf numFmtId="0" fontId="2" fillId="30" borderId="0" xfId="77" applyFill="1"/>
    <xf numFmtId="0" fontId="3" fillId="0" borderId="0" xfId="77" applyFont="1" applyFill="1" applyBorder="1" applyAlignment="1">
      <alignment horizontal="left"/>
    </xf>
    <xf numFmtId="175" fontId="5" fillId="0" borderId="0" xfId="77" applyNumberFormat="1" applyFont="1"/>
    <xf numFmtId="171" fontId="3" fillId="0" borderId="0" xfId="77" applyNumberFormat="1" applyFont="1" applyFill="1"/>
    <xf numFmtId="171" fontId="5" fillId="0" borderId="0" xfId="77" applyNumberFormat="1" applyFont="1" applyFill="1"/>
    <xf numFmtId="9" fontId="5" fillId="0" borderId="0" xfId="66" applyFont="1" applyFill="1"/>
    <xf numFmtId="9" fontId="3" fillId="0" borderId="0" xfId="66" applyFont="1" applyFill="1"/>
    <xf numFmtId="169" fontId="3" fillId="0" borderId="0" xfId="66" applyNumberFormat="1" applyFont="1" applyFill="1"/>
    <xf numFmtId="171" fontId="5" fillId="0" borderId="0" xfId="77" applyNumberFormat="1" applyFont="1"/>
    <xf numFmtId="0" fontId="5" fillId="0" borderId="0" xfId="77" applyFont="1" applyFill="1"/>
    <xf numFmtId="0" fontId="3" fillId="0" borderId="0" xfId="77" applyFont="1"/>
    <xf numFmtId="175" fontId="23" fillId="0" borderId="0" xfId="77" applyNumberFormat="1" applyFont="1" applyFill="1" applyBorder="1" applyAlignment="1"/>
    <xf numFmtId="175" fontId="42" fillId="0" borderId="0" xfId="77" applyNumberFormat="1" applyFont="1" applyFill="1" applyBorder="1" applyAlignment="1"/>
    <xf numFmtId="175" fontId="3" fillId="30" borderId="0" xfId="77" applyNumberFormat="1" applyFont="1" applyFill="1" applyBorder="1" applyAlignment="1"/>
    <xf numFmtId="0" fontId="5" fillId="30" borderId="0" xfId="77" applyFont="1" applyFill="1"/>
    <xf numFmtId="171" fontId="5" fillId="30" borderId="0" xfId="77" applyNumberFormat="1" applyFont="1" applyFill="1"/>
    <xf numFmtId="171" fontId="3" fillId="30" borderId="0" xfId="77" applyNumberFormat="1" applyFont="1" applyFill="1"/>
    <xf numFmtId="9" fontId="5" fillId="30" borderId="0" xfId="66" applyFont="1" applyFill="1"/>
    <xf numFmtId="169" fontId="3" fillId="30" borderId="0" xfId="66" applyNumberFormat="1" applyFont="1" applyFill="1"/>
    <xf numFmtId="0" fontId="3" fillId="30" borderId="0" xfId="77" applyFont="1" applyFill="1"/>
    <xf numFmtId="0" fontId="5" fillId="30" borderId="0" xfId="77" applyFont="1" applyFill="1" applyAlignment="1">
      <alignment horizontal="left" indent="1"/>
    </xf>
    <xf numFmtId="175" fontId="5" fillId="30" borderId="0" xfId="77" quotePrefix="1" applyNumberFormat="1" applyFont="1" applyFill="1" applyBorder="1" applyAlignment="1">
      <alignment horizontal="right"/>
    </xf>
    <xf numFmtId="169" fontId="2" fillId="0" borderId="0" xfId="0" applyNumberFormat="1" applyFont="1" applyFill="1" applyBorder="1" applyAlignment="1">
      <alignment horizontal="right"/>
    </xf>
    <xf numFmtId="7" fontId="104" fillId="0" borderId="0" xfId="0" applyNumberFormat="1" applyFont="1" applyFill="1" applyAlignment="1">
      <alignment horizontal="right"/>
    </xf>
    <xf numFmtId="44" fontId="104" fillId="0" borderId="0" xfId="44" applyFont="1" applyFill="1" applyAlignment="1">
      <alignment horizontal="right"/>
    </xf>
    <xf numFmtId="0" fontId="0" fillId="0" borderId="0" xfId="0"/>
    <xf numFmtId="169" fontId="2" fillId="0" borderId="0" xfId="0" applyNumberFormat="1" applyFont="1" applyFill="1" applyBorder="1"/>
    <xf numFmtId="169" fontId="5" fillId="0" borderId="11" xfId="42" applyNumberFormat="1" applyFont="1" applyFill="1" applyBorder="1" applyAlignment="1"/>
    <xf numFmtId="169" fontId="0" fillId="0" borderId="0" xfId="0" applyNumberFormat="1" applyFill="1" applyBorder="1"/>
    <xf numFmtId="0" fontId="0" fillId="0" borderId="0" xfId="0"/>
    <xf numFmtId="7" fontId="98" fillId="29" borderId="0" xfId="0" applyNumberFormat="1" applyFont="1" applyFill="1" applyBorder="1" applyAlignment="1">
      <alignment vertical="center"/>
    </xf>
    <xf numFmtId="165" fontId="98" fillId="29" borderId="0" xfId="0" applyNumberFormat="1" applyFont="1" applyFill="1" applyBorder="1" applyAlignment="1">
      <alignment horizontal="center" vertical="center"/>
    </xf>
    <xf numFmtId="0" fontId="5" fillId="0" borderId="0" xfId="77" applyFont="1" applyBorder="1"/>
    <xf numFmtId="0" fontId="98" fillId="29" borderId="28" xfId="0" applyFont="1" applyFill="1" applyBorder="1" applyAlignment="1">
      <alignment horizontal="center" vertical="center"/>
    </xf>
    <xf numFmtId="168" fontId="5" fillId="30" borderId="0" xfId="0" applyNumberFormat="1" applyFont="1" applyFill="1" applyBorder="1"/>
    <xf numFmtId="169" fontId="12" fillId="30" borderId="0" xfId="0" applyNumberFormat="1" applyFont="1" applyFill="1" applyBorder="1" applyAlignment="1">
      <alignment horizontal="right"/>
    </xf>
    <xf numFmtId="169" fontId="5" fillId="30" borderId="0" xfId="66" applyNumberFormat="1" applyFont="1" applyFill="1" applyBorder="1"/>
    <xf numFmtId="166" fontId="13" fillId="30" borderId="0" xfId="42" applyNumberFormat="1" applyFont="1" applyFill="1" applyBorder="1" applyAlignment="1"/>
    <xf numFmtId="184" fontId="12" fillId="30" borderId="0" xfId="0" applyNumberFormat="1" applyFont="1" applyFill="1" applyBorder="1" applyAlignment="1">
      <alignment horizontal="right"/>
    </xf>
    <xf numFmtId="168" fontId="5" fillId="30" borderId="0" xfId="41" applyNumberFormat="1" applyFont="1" applyFill="1" applyBorder="1" applyAlignment="1">
      <alignment horizontal="right" wrapText="1"/>
    </xf>
    <xf numFmtId="212" fontId="5" fillId="30" borderId="0" xfId="41" applyNumberFormat="1" applyFont="1" applyFill="1" applyBorder="1" applyAlignment="1">
      <alignment horizontal="right" wrapText="1"/>
    </xf>
    <xf numFmtId="168" fontId="5" fillId="28" borderId="0" xfId="0" applyNumberFormat="1" applyFont="1" applyFill="1" applyBorder="1"/>
    <xf numFmtId="168" fontId="5" fillId="28" borderId="0" xfId="41" applyNumberFormat="1" applyFont="1" applyFill="1" applyBorder="1" applyAlignment="1">
      <alignment horizontal="right" wrapText="1"/>
    </xf>
    <xf numFmtId="212" fontId="5" fillId="28" borderId="0" xfId="41" applyNumberFormat="1" applyFont="1" applyFill="1" applyBorder="1" applyAlignment="1">
      <alignment horizontal="right" wrapText="1"/>
    </xf>
    <xf numFmtId="0" fontId="0" fillId="0" borderId="0" xfId="0"/>
    <xf numFmtId="0" fontId="0" fillId="0" borderId="0" xfId="0"/>
    <xf numFmtId="169" fontId="3" fillId="30" borderId="0" xfId="0" applyNumberFormat="1" applyFont="1" applyFill="1" applyBorder="1" applyAlignment="1">
      <alignment horizontal="right"/>
    </xf>
    <xf numFmtId="0" fontId="2" fillId="0" borderId="11" xfId="77" applyBorder="1"/>
    <xf numFmtId="0" fontId="5" fillId="0" borderId="11" xfId="77" applyFont="1" applyBorder="1"/>
    <xf numFmtId="0" fontId="17" fillId="30" borderId="0" xfId="77" applyFont="1" applyFill="1"/>
    <xf numFmtId="165" fontId="6" fillId="29" borderId="0" xfId="77" applyNumberFormat="1" applyFont="1" applyFill="1" applyBorder="1" applyAlignment="1">
      <alignment horizontal="left"/>
    </xf>
    <xf numFmtId="0" fontId="0" fillId="0" borderId="0" xfId="0"/>
    <xf numFmtId="168" fontId="75" fillId="17" borderId="0" xfId="41" applyNumberFormat="1" applyFont="1" applyFill="1" applyBorder="1" applyAlignment="1">
      <alignment horizontal="right" wrapText="1"/>
    </xf>
    <xf numFmtId="168" fontId="75" fillId="0" borderId="0" xfId="41" applyNumberFormat="1" applyFont="1" applyFill="1" applyBorder="1" applyAlignment="1">
      <alignment horizontal="right" wrapText="1"/>
    </xf>
    <xf numFmtId="168" fontId="45" fillId="17" borderId="0" xfId="41" applyNumberFormat="1" applyFont="1" applyFill="1" applyBorder="1" applyAlignment="1">
      <alignment horizontal="right"/>
    </xf>
    <xf numFmtId="168" fontId="76" fillId="17" borderId="0" xfId="41" applyNumberFormat="1" applyFont="1" applyFill="1" applyBorder="1" applyAlignment="1">
      <alignment horizontal="right" wrapText="1"/>
    </xf>
    <xf numFmtId="168" fontId="76" fillId="0" borderId="0" xfId="41" applyNumberFormat="1" applyFont="1" applyFill="1" applyBorder="1" applyAlignment="1">
      <alignment horizontal="right" wrapText="1"/>
    </xf>
    <xf numFmtId="169" fontId="5" fillId="0" borderId="23" xfId="66" applyNumberFormat="1" applyFont="1" applyBorder="1" applyAlignment="1">
      <alignment horizontal="left" indent="1"/>
    </xf>
    <xf numFmtId="169" fontId="5" fillId="31" borderId="11" xfId="66" applyNumberFormat="1" applyFont="1" applyFill="1" applyBorder="1"/>
    <xf numFmtId="169" fontId="5" fillId="31" borderId="24" xfId="66" applyNumberFormat="1" applyFont="1" applyFill="1" applyBorder="1"/>
    <xf numFmtId="0" fontId="3" fillId="30" borderId="16" xfId="0" applyFont="1" applyFill="1" applyBorder="1" applyAlignment="1">
      <alignment horizontal="left"/>
    </xf>
    <xf numFmtId="37" fontId="5" fillId="30" borderId="16" xfId="0" applyNumberFormat="1" applyFont="1" applyFill="1" applyBorder="1"/>
    <xf numFmtId="37" fontId="5" fillId="30" borderId="15" xfId="0" applyNumberFormat="1" applyFont="1" applyFill="1" applyBorder="1"/>
    <xf numFmtId="37" fontId="5" fillId="30" borderId="19" xfId="0" applyNumberFormat="1" applyFont="1" applyFill="1" applyBorder="1"/>
    <xf numFmtId="0" fontId="3" fillId="30" borderId="15" xfId="0" applyFont="1" applyFill="1" applyBorder="1" applyAlignment="1">
      <alignment horizontal="left"/>
    </xf>
    <xf numFmtId="166" fontId="109" fillId="31" borderId="25" xfId="41" applyNumberFormat="1" applyFont="1" applyFill="1" applyBorder="1"/>
    <xf numFmtId="166" fontId="109" fillId="31" borderId="18" xfId="41" applyNumberFormat="1" applyFont="1" applyFill="1" applyBorder="1"/>
    <xf numFmtId="166" fontId="109" fillId="31" borderId="23" xfId="41" applyNumberFormat="1" applyFont="1" applyFill="1" applyBorder="1"/>
    <xf numFmtId="166" fontId="109" fillId="31" borderId="0" xfId="41" applyNumberFormat="1" applyFont="1" applyFill="1" applyBorder="1"/>
    <xf numFmtId="166" fontId="3" fillId="31" borderId="12" xfId="41" applyNumberFormat="1" applyFont="1" applyFill="1" applyBorder="1"/>
    <xf numFmtId="166" fontId="5" fillId="31" borderId="23" xfId="41" applyNumberFormat="1" applyFont="1" applyFill="1" applyBorder="1"/>
    <xf numFmtId="166" fontId="4" fillId="31" borderId="0" xfId="41" applyNumberFormat="1" applyFont="1" applyFill="1" applyBorder="1" applyAlignment="1">
      <alignment horizontal="right"/>
    </xf>
    <xf numFmtId="166" fontId="2" fillId="31" borderId="0" xfId="41" applyNumberFormat="1" applyFont="1" applyFill="1" applyBorder="1" applyAlignment="1">
      <alignment horizontal="right"/>
    </xf>
    <xf numFmtId="0" fontId="3" fillId="31" borderId="23" xfId="0" applyFont="1" applyFill="1" applyBorder="1" applyAlignment="1">
      <alignment horizontal="left"/>
    </xf>
    <xf numFmtId="166" fontId="97" fillId="0" borderId="23" xfId="41" applyNumberFormat="1" applyFont="1" applyFill="1" applyBorder="1"/>
    <xf numFmtId="166" fontId="97" fillId="0" borderId="0" xfId="41" applyNumberFormat="1" applyFont="1" applyFill="1" applyBorder="1"/>
    <xf numFmtId="166" fontId="5" fillId="0" borderId="12" xfId="41" applyNumberFormat="1" applyFont="1" applyFill="1" applyBorder="1"/>
    <xf numFmtId="166" fontId="2" fillId="0" borderId="0" xfId="41" applyNumberFormat="1" applyFont="1" applyFill="1" applyBorder="1" applyAlignment="1">
      <alignment horizontal="right"/>
    </xf>
    <xf numFmtId="166" fontId="110" fillId="0" borderId="23" xfId="41" applyNumberFormat="1" applyFont="1" applyFill="1" applyBorder="1"/>
    <xf numFmtId="166" fontId="110" fillId="0" borderId="0" xfId="41" applyNumberFormat="1" applyFont="1" applyFill="1" applyBorder="1"/>
    <xf numFmtId="166" fontId="110" fillId="0" borderId="12" xfId="41" applyNumberFormat="1" applyFont="1" applyFill="1" applyBorder="1"/>
    <xf numFmtId="166" fontId="111" fillId="0" borderId="0" xfId="41" applyNumberFormat="1" applyFont="1" applyFill="1" applyBorder="1" applyAlignment="1">
      <alignment horizontal="right"/>
    </xf>
    <xf numFmtId="166" fontId="103" fillId="0" borderId="23" xfId="41" applyNumberFormat="1" applyFont="1" applyFill="1" applyBorder="1"/>
    <xf numFmtId="166" fontId="103" fillId="0" borderId="0" xfId="41" applyNumberFormat="1" applyFont="1" applyFill="1" applyBorder="1"/>
    <xf numFmtId="169" fontId="5" fillId="0" borderId="12" xfId="66" applyNumberFormat="1" applyFont="1" applyBorder="1" applyAlignment="1">
      <alignment horizontal="left" indent="1"/>
    </xf>
    <xf numFmtId="177" fontId="5" fillId="0" borderId="12" xfId="0" applyNumberFormat="1" applyFont="1" applyFill="1" applyBorder="1"/>
    <xf numFmtId="0" fontId="0" fillId="0" borderId="0" xfId="0"/>
    <xf numFmtId="0" fontId="94" fillId="0" borderId="0" xfId="57" applyFont="1" applyFill="1" applyBorder="1"/>
    <xf numFmtId="0" fontId="5" fillId="0" borderId="0" xfId="57" applyFont="1" applyFill="1" applyBorder="1"/>
    <xf numFmtId="168" fontId="97" fillId="0" borderId="0" xfId="41" applyNumberFormat="1" applyFont="1" applyFill="1" applyBorder="1" applyAlignment="1">
      <alignment horizontal="right" wrapText="1"/>
    </xf>
    <xf numFmtId="0" fontId="108" fillId="0" borderId="0" xfId="0" applyFont="1" applyFill="1"/>
    <xf numFmtId="168" fontId="97" fillId="0" borderId="0" xfId="41" applyNumberFormat="1" applyFont="1" applyFill="1" applyAlignment="1">
      <alignment horizontal="right"/>
    </xf>
    <xf numFmtId="168" fontId="5" fillId="0" borderId="23" xfId="41" applyNumberFormat="1" applyFont="1" applyFill="1" applyBorder="1" applyAlignment="1">
      <alignment horizontal="right" wrapText="1"/>
    </xf>
    <xf numFmtId="169" fontId="5" fillId="0" borderId="0" xfId="57" applyNumberFormat="1" applyFont="1" applyFill="1" applyBorder="1"/>
    <xf numFmtId="168" fontId="97" fillId="0" borderId="23" xfId="41" applyNumberFormat="1" applyFont="1" applyFill="1" applyBorder="1" applyAlignment="1">
      <alignment horizontal="right" wrapText="1"/>
    </xf>
    <xf numFmtId="0" fontId="3" fillId="30" borderId="0" xfId="0" applyFont="1" applyFill="1"/>
    <xf numFmtId="169" fontId="92" fillId="0" borderId="0" xfId="66" applyNumberFormat="1" applyFont="1" applyFill="1" applyBorder="1"/>
    <xf numFmtId="0" fontId="3" fillId="0" borderId="0" xfId="0" applyFont="1" applyFill="1" applyBorder="1" applyAlignment="1">
      <alignment horizontal="center" vertical="center"/>
    </xf>
    <xf numFmtId="0" fontId="13" fillId="0" borderId="0" xfId="0" applyFont="1" applyFill="1" applyBorder="1" applyAlignment="1">
      <alignment horizontal="center"/>
    </xf>
    <xf numFmtId="7" fontId="23" fillId="0" borderId="0" xfId="41" applyNumberFormat="1" applyFont="1" applyFill="1" applyBorder="1" applyAlignment="1">
      <alignment horizontal="left"/>
    </xf>
    <xf numFmtId="202" fontId="18" fillId="0" borderId="0" xfId="41" applyNumberFormat="1" applyFont="1" applyFill="1" applyBorder="1" applyAlignment="1">
      <alignment horizontal="right"/>
    </xf>
    <xf numFmtId="7" fontId="18" fillId="0" borderId="11" xfId="41" applyNumberFormat="1" applyFont="1" applyFill="1" applyBorder="1" applyAlignment="1">
      <alignment horizontal="right"/>
    </xf>
    <xf numFmtId="7" fontId="18" fillId="0" borderId="22" xfId="41" applyNumberFormat="1" applyFont="1" applyFill="1" applyBorder="1" applyAlignment="1">
      <alignment horizontal="right"/>
    </xf>
    <xf numFmtId="179" fontId="0" fillId="0" borderId="0" xfId="0" applyNumberFormat="1" applyFill="1"/>
    <xf numFmtId="0" fontId="86" fillId="0" borderId="0" xfId="0" applyFont="1" applyFill="1"/>
    <xf numFmtId="7" fontId="87" fillId="0" borderId="0" xfId="41" applyNumberFormat="1" applyFont="1" applyFill="1" applyBorder="1" applyAlignment="1">
      <alignment horizontal="right"/>
    </xf>
    <xf numFmtId="172" fontId="97" fillId="0" borderId="0" xfId="41" applyNumberFormat="1" applyFont="1" applyFill="1" applyAlignment="1">
      <alignment horizontal="right"/>
    </xf>
    <xf numFmtId="172" fontId="97" fillId="0" borderId="0" xfId="0" applyNumberFormat="1" applyFont="1" applyFill="1" applyBorder="1" applyAlignment="1">
      <alignment horizontal="right"/>
    </xf>
    <xf numFmtId="43" fontId="97" fillId="0" borderId="0" xfId="43" applyFont="1" applyFill="1" applyAlignment="1"/>
    <xf numFmtId="7" fontId="97" fillId="0" borderId="0" xfId="0" applyNumberFormat="1" applyFont="1" applyFill="1" applyAlignment="1">
      <alignment horizontal="right"/>
    </xf>
    <xf numFmtId="168" fontId="97" fillId="17" borderId="0" xfId="41" applyNumberFormat="1" applyFont="1" applyFill="1" applyAlignment="1">
      <alignment horizontal="right"/>
    </xf>
    <xf numFmtId="168" fontId="97" fillId="0" borderId="0" xfId="41" applyNumberFormat="1" applyFont="1" applyAlignment="1">
      <alignment horizontal="right"/>
    </xf>
    <xf numFmtId="0" fontId="2" fillId="0" borderId="0" xfId="77" applyFont="1"/>
    <xf numFmtId="166" fontId="97" fillId="0" borderId="0" xfId="41" applyNumberFormat="1" applyFont="1" applyFill="1" applyAlignment="1">
      <alignment horizontal="right"/>
    </xf>
    <xf numFmtId="166" fontId="97" fillId="0" borderId="0" xfId="0" applyNumberFormat="1" applyFont="1" applyFill="1" applyAlignment="1">
      <alignment horizontal="right"/>
    </xf>
    <xf numFmtId="0" fontId="97" fillId="0" borderId="0" xfId="0" applyFont="1" applyFill="1" applyAlignment="1">
      <alignment horizontal="right"/>
    </xf>
    <xf numFmtId="0" fontId="108" fillId="0" borderId="0" xfId="0" applyFont="1" applyFill="1" applyAlignment="1">
      <alignment horizontal="right"/>
    </xf>
    <xf numFmtId="166" fontId="97" fillId="0" borderId="0" xfId="43" applyNumberFormat="1" applyFont="1" applyFill="1"/>
    <xf numFmtId="166" fontId="97" fillId="0" borderId="0" xfId="0" applyNumberFormat="1" applyFont="1" applyFill="1"/>
    <xf numFmtId="0" fontId="97" fillId="0" borderId="0" xfId="0" applyFont="1" applyFill="1"/>
    <xf numFmtId="171" fontId="97" fillId="26" borderId="0" xfId="0" applyNumberFormat="1" applyFont="1" applyFill="1"/>
    <xf numFmtId="0" fontId="97" fillId="26" borderId="0" xfId="0" applyFont="1" applyFill="1"/>
    <xf numFmtId="168" fontId="97" fillId="0" borderId="0" xfId="0" applyNumberFormat="1" applyFont="1" applyFill="1" applyBorder="1" applyAlignment="1">
      <alignment horizontal="right"/>
    </xf>
    <xf numFmtId="169" fontId="112" fillId="0" borderId="17" xfId="66" applyNumberFormat="1" applyFont="1" applyFill="1" applyBorder="1"/>
    <xf numFmtId="169" fontId="112" fillId="0" borderId="12" xfId="66" applyNumberFormat="1" applyFont="1" applyFill="1" applyBorder="1"/>
    <xf numFmtId="168" fontId="3" fillId="0" borderId="0" xfId="0" applyNumberFormat="1" applyFont="1" applyFill="1" applyAlignment="1">
      <alignment horizontal="left" vertical="top" wrapText="1" indent="2"/>
    </xf>
    <xf numFmtId="169" fontId="112" fillId="0" borderId="0" xfId="66" applyNumberFormat="1" applyFont="1" applyFill="1" applyBorder="1"/>
    <xf numFmtId="41" fontId="5" fillId="0" borderId="12" xfId="57" applyNumberFormat="1" applyFont="1" applyFill="1" applyBorder="1"/>
    <xf numFmtId="168" fontId="109" fillId="0" borderId="0" xfId="41" applyNumberFormat="1" applyFont="1" applyFill="1" applyBorder="1" applyAlignment="1">
      <alignment horizontal="right" wrapText="1"/>
    </xf>
    <xf numFmtId="168" fontId="3" fillId="0" borderId="0" xfId="0" applyNumberFormat="1" applyFont="1" applyFill="1" applyBorder="1" applyAlignment="1">
      <alignment horizontal="left"/>
    </xf>
    <xf numFmtId="169" fontId="5" fillId="0" borderId="0" xfId="66" applyNumberFormat="1" applyFont="1" applyFill="1" applyAlignment="1">
      <alignment horizontal="left" indent="1"/>
    </xf>
    <xf numFmtId="4" fontId="5" fillId="0" borderId="0" xfId="66" applyNumberFormat="1" applyFont="1" applyFill="1"/>
    <xf numFmtId="4" fontId="5" fillId="0" borderId="0" xfId="66" applyNumberFormat="1" applyFont="1" applyFill="1" applyBorder="1"/>
    <xf numFmtId="4" fontId="5" fillId="0" borderId="12" xfId="66" applyNumberFormat="1" applyFont="1" applyFill="1" applyBorder="1"/>
    <xf numFmtId="43" fontId="5" fillId="0" borderId="0" xfId="41" applyFont="1" applyFill="1" applyBorder="1" applyAlignment="1">
      <alignment horizontal="right" wrapText="1"/>
    </xf>
    <xf numFmtId="43" fontId="5" fillId="0" borderId="12" xfId="41" applyFont="1" applyFill="1" applyBorder="1" applyAlignment="1">
      <alignment horizontal="right" wrapText="1"/>
    </xf>
    <xf numFmtId="9" fontId="5" fillId="0" borderId="12" xfId="41" applyNumberFormat="1" applyFont="1" applyFill="1" applyBorder="1" applyAlignment="1">
      <alignment horizontal="right" wrapText="1"/>
    </xf>
    <xf numFmtId="168" fontId="5" fillId="0" borderId="0" xfId="0" applyNumberFormat="1" applyFont="1" applyFill="1" applyAlignment="1">
      <alignment horizontal="left" indent="2"/>
    </xf>
    <xf numFmtId="169" fontId="101" fillId="0" borderId="12" xfId="66" applyNumberFormat="1" applyFont="1" applyFill="1" applyBorder="1"/>
    <xf numFmtId="0" fontId="0" fillId="0" borderId="0" xfId="0"/>
    <xf numFmtId="0" fontId="0" fillId="0" borderId="0" xfId="0"/>
    <xf numFmtId="0" fontId="2" fillId="0" borderId="12" xfId="0" applyFont="1" applyFill="1" applyBorder="1"/>
    <xf numFmtId="168" fontId="5" fillId="0" borderId="0" xfId="0" applyNumberFormat="1" applyFont="1" applyFill="1" applyBorder="1" applyAlignment="1">
      <alignment horizontal="left" vertical="top" wrapText="1" indent="1"/>
    </xf>
    <xf numFmtId="169" fontId="2" fillId="0" borderId="12" xfId="0" applyNumberFormat="1" applyFont="1" applyFill="1" applyBorder="1" applyAlignment="1">
      <alignment horizontal="right"/>
    </xf>
    <xf numFmtId="166" fontId="5" fillId="31" borderId="0" xfId="41" applyNumberFormat="1" applyFont="1" applyFill="1" applyBorder="1"/>
    <xf numFmtId="169" fontId="5" fillId="0" borderId="23" xfId="66" applyNumberFormat="1" applyFont="1" applyFill="1" applyBorder="1"/>
    <xf numFmtId="169" fontId="101" fillId="0" borderId="23" xfId="66" applyNumberFormat="1" applyFont="1" applyFill="1" applyBorder="1"/>
    <xf numFmtId="166" fontId="3" fillId="31" borderId="23" xfId="41" applyNumberFormat="1" applyFont="1" applyFill="1" applyBorder="1"/>
    <xf numFmtId="166" fontId="3" fillId="31" borderId="0" xfId="41" applyNumberFormat="1" applyFont="1" applyFill="1" applyBorder="1"/>
    <xf numFmtId="169" fontId="97" fillId="0" borderId="0" xfId="66" applyNumberFormat="1" applyFont="1" applyFill="1" applyBorder="1" applyAlignment="1">
      <alignment horizontal="right" wrapText="1"/>
    </xf>
    <xf numFmtId="169" fontId="97" fillId="0" borderId="12" xfId="66" applyNumberFormat="1" applyFont="1" applyFill="1" applyBorder="1"/>
    <xf numFmtId="169" fontId="5" fillId="0" borderId="24" xfId="66" applyNumberFormat="1" applyFont="1" applyBorder="1" applyAlignment="1">
      <alignment horizontal="left" indent="1"/>
    </xf>
    <xf numFmtId="175" fontId="5" fillId="0" borderId="11" xfId="0" applyNumberFormat="1" applyFont="1" applyFill="1" applyBorder="1" applyAlignment="1">
      <alignment horizontal="right"/>
    </xf>
    <xf numFmtId="166" fontId="109" fillId="0" borderId="0" xfId="41" applyNumberFormat="1" applyFont="1" applyFill="1" applyBorder="1"/>
    <xf numFmtId="166" fontId="3" fillId="0" borderId="0" xfId="41" applyNumberFormat="1" applyFont="1" applyFill="1" applyBorder="1"/>
    <xf numFmtId="166" fontId="4" fillId="0" borderId="0" xfId="41" applyNumberFormat="1" applyFont="1" applyFill="1" applyBorder="1" applyAlignment="1">
      <alignment horizontal="right"/>
    </xf>
    <xf numFmtId="0" fontId="104" fillId="0" borderId="0" xfId="0" applyFont="1"/>
    <xf numFmtId="0" fontId="5" fillId="31" borderId="23" xfId="0" applyFont="1" applyFill="1" applyBorder="1" applyAlignment="1">
      <alignment horizontal="left"/>
    </xf>
    <xf numFmtId="169" fontId="5" fillId="31" borderId="23" xfId="66" applyNumberFormat="1" applyFont="1" applyFill="1" applyBorder="1"/>
    <xf numFmtId="169" fontId="5" fillId="31" borderId="0" xfId="66" applyNumberFormat="1" applyFont="1" applyFill="1" applyBorder="1"/>
    <xf numFmtId="169" fontId="5" fillId="31" borderId="12" xfId="66" applyNumberFormat="1" applyFont="1" applyFill="1" applyBorder="1"/>
    <xf numFmtId="169" fontId="97" fillId="0" borderId="23" xfId="66" applyNumberFormat="1" applyFont="1" applyFill="1" applyBorder="1"/>
    <xf numFmtId="169" fontId="97" fillId="0" borderId="0" xfId="66" applyNumberFormat="1" applyFont="1" applyFill="1"/>
    <xf numFmtId="169" fontId="103" fillId="0" borderId="23" xfId="66" applyNumberFormat="1" applyFont="1" applyFill="1" applyBorder="1"/>
    <xf numFmtId="169" fontId="103" fillId="0" borderId="0" xfId="66" applyNumberFormat="1" applyFont="1" applyFill="1" applyBorder="1" applyAlignment="1">
      <alignment horizontal="right" wrapText="1"/>
    </xf>
    <xf numFmtId="166" fontId="5" fillId="0" borderId="23" xfId="41" applyNumberFormat="1" applyFont="1" applyFill="1" applyBorder="1"/>
    <xf numFmtId="169" fontId="5" fillId="31" borderId="0" xfId="43" applyNumberFormat="1" applyFont="1" applyFill="1" applyBorder="1"/>
    <xf numFmtId="169" fontId="4" fillId="31" borderId="0" xfId="0" applyNumberFormat="1" applyFont="1" applyFill="1"/>
    <xf numFmtId="169" fontId="115" fillId="0" borderId="23" xfId="66" applyNumberFormat="1" applyFont="1" applyFill="1" applyBorder="1"/>
    <xf numFmtId="169" fontId="5" fillId="0" borderId="11" xfId="66" applyNumberFormat="1" applyFont="1" applyFill="1" applyBorder="1"/>
    <xf numFmtId="177" fontId="5" fillId="0" borderId="12" xfId="0" applyNumberFormat="1" applyFont="1" applyFill="1" applyBorder="1" applyAlignment="1">
      <alignment horizontal="left" indent="1"/>
    </xf>
    <xf numFmtId="168" fontId="5" fillId="0" borderId="23" xfId="0" applyNumberFormat="1" applyFont="1" applyFill="1" applyBorder="1" applyAlignment="1">
      <alignment horizontal="left" vertical="top" wrapText="1" indent="2"/>
    </xf>
    <xf numFmtId="168" fontId="3" fillId="31" borderId="24" xfId="0" applyNumberFormat="1" applyFont="1" applyFill="1" applyBorder="1" applyAlignment="1">
      <alignment horizontal="left" vertical="top" wrapText="1"/>
    </xf>
    <xf numFmtId="168" fontId="3" fillId="31" borderId="11" xfId="41" applyNumberFormat="1" applyFont="1" applyFill="1" applyBorder="1" applyAlignment="1">
      <alignment horizontal="right" wrapText="1"/>
    </xf>
    <xf numFmtId="212" fontId="3" fillId="31" borderId="22" xfId="41" applyNumberFormat="1" applyFont="1" applyFill="1" applyBorder="1" applyAlignment="1">
      <alignment horizontal="right" wrapText="1"/>
    </xf>
    <xf numFmtId="168" fontId="3" fillId="31" borderId="24" xfId="41" applyNumberFormat="1" applyFont="1" applyFill="1" applyBorder="1" applyAlignment="1">
      <alignment horizontal="right" wrapText="1"/>
    </xf>
    <xf numFmtId="0" fontId="5" fillId="31" borderId="11" xfId="57" applyFont="1" applyFill="1" applyBorder="1"/>
    <xf numFmtId="168" fontId="3" fillId="31" borderId="23" xfId="0" applyNumberFormat="1" applyFont="1" applyFill="1" applyBorder="1"/>
    <xf numFmtId="169" fontId="3" fillId="31" borderId="23" xfId="0" applyNumberFormat="1" applyFont="1" applyFill="1" applyBorder="1" applyAlignment="1">
      <alignment horizontal="right"/>
    </xf>
    <xf numFmtId="169" fontId="3" fillId="31" borderId="0" xfId="0" applyNumberFormat="1" applyFont="1" applyFill="1" applyBorder="1" applyAlignment="1">
      <alignment horizontal="right"/>
    </xf>
    <xf numFmtId="169" fontId="3" fillId="31" borderId="12" xfId="0" applyNumberFormat="1" applyFont="1" applyFill="1" applyBorder="1" applyAlignment="1">
      <alignment horizontal="right"/>
    </xf>
    <xf numFmtId="0" fontId="17" fillId="31" borderId="0" xfId="0" applyFont="1" applyFill="1" applyBorder="1"/>
    <xf numFmtId="168" fontId="115" fillId="0" borderId="0" xfId="41" applyNumberFormat="1" applyFont="1" applyFill="1" applyBorder="1" applyAlignment="1">
      <alignment horizontal="right" wrapText="1"/>
    </xf>
    <xf numFmtId="212" fontId="115" fillId="0" borderId="12" xfId="41" applyNumberFormat="1" applyFont="1" applyFill="1" applyBorder="1" applyAlignment="1">
      <alignment horizontal="right" wrapText="1"/>
    </xf>
    <xf numFmtId="37" fontId="116" fillId="0" borderId="0" xfId="41" applyNumberFormat="1" applyFont="1" applyFill="1" applyBorder="1" applyAlignment="1">
      <alignment horizontal="right"/>
    </xf>
    <xf numFmtId="169" fontId="12" fillId="17" borderId="23" xfId="0" applyNumberFormat="1" applyFont="1" applyFill="1" applyBorder="1" applyAlignment="1">
      <alignment horizontal="right"/>
    </xf>
    <xf numFmtId="168" fontId="115" fillId="0" borderId="23" xfId="41" applyNumberFormat="1" applyFont="1" applyFill="1" applyBorder="1" applyAlignment="1">
      <alignment horizontal="right" wrapText="1"/>
    </xf>
    <xf numFmtId="7" fontId="3" fillId="28" borderId="16" xfId="0" applyNumberFormat="1" applyFont="1" applyFill="1" applyBorder="1" applyAlignment="1"/>
    <xf numFmtId="0" fontId="0" fillId="28" borderId="15" xfId="0" applyFill="1" applyBorder="1"/>
    <xf numFmtId="7" fontId="18" fillId="28" borderId="15" xfId="41" applyNumberFormat="1" applyFont="1" applyFill="1" applyBorder="1" applyAlignment="1">
      <alignment horizontal="right"/>
    </xf>
    <xf numFmtId="7" fontId="18" fillId="28" borderId="19" xfId="41" applyNumberFormat="1" applyFont="1" applyFill="1" applyBorder="1" applyAlignment="1">
      <alignment horizontal="right"/>
    </xf>
    <xf numFmtId="7" fontId="3" fillId="28" borderId="15" xfId="0" applyNumberFormat="1" applyFont="1" applyFill="1" applyBorder="1" applyAlignment="1">
      <alignment horizontal="right"/>
    </xf>
    <xf numFmtId="0" fontId="0" fillId="0" borderId="0" xfId="0"/>
    <xf numFmtId="43" fontId="0" fillId="0" borderId="0" xfId="0" applyNumberFormat="1"/>
    <xf numFmtId="168" fontId="11" fillId="0" borderId="23" xfId="0" applyNumberFormat="1" applyFont="1" applyFill="1" applyBorder="1" applyAlignment="1">
      <alignment horizontal="left" vertical="top" wrapText="1" indent="2"/>
    </xf>
    <xf numFmtId="168" fontId="117" fillId="0" borderId="23" xfId="41" applyNumberFormat="1" applyFont="1" applyFill="1" applyBorder="1" applyAlignment="1">
      <alignment horizontal="right" wrapText="1"/>
    </xf>
    <xf numFmtId="166" fontId="117" fillId="0" borderId="23" xfId="41" applyNumberFormat="1" applyFont="1" applyFill="1" applyBorder="1"/>
    <xf numFmtId="169" fontId="5" fillId="0" borderId="17" xfId="66" applyNumberFormat="1" applyFont="1" applyFill="1" applyBorder="1"/>
    <xf numFmtId="169" fontId="114" fillId="0" borderId="12" xfId="66" applyNumberFormat="1" applyFont="1" applyFill="1" applyBorder="1"/>
    <xf numFmtId="43" fontId="97" fillId="0" borderId="23" xfId="41" applyFont="1" applyFill="1" applyBorder="1"/>
    <xf numFmtId="169" fontId="117" fillId="0" borderId="23" xfId="66" applyNumberFormat="1" applyFont="1" applyFill="1" applyBorder="1"/>
    <xf numFmtId="169" fontId="114" fillId="0" borderId="23" xfId="66" applyNumberFormat="1" applyFont="1" applyFill="1" applyBorder="1"/>
    <xf numFmtId="0" fontId="3" fillId="0" borderId="0" xfId="57" applyFont="1" applyFill="1" applyBorder="1"/>
    <xf numFmtId="169" fontId="115" fillId="0" borderId="0" xfId="66" applyNumberFormat="1" applyFont="1" applyFill="1" applyBorder="1" applyAlignment="1">
      <alignment horizontal="right" wrapText="1"/>
    </xf>
    <xf numFmtId="169" fontId="115" fillId="0" borderId="12" xfId="66" applyNumberFormat="1" applyFont="1" applyFill="1" applyBorder="1" applyAlignment="1">
      <alignment horizontal="right" wrapText="1"/>
    </xf>
    <xf numFmtId="0" fontId="115" fillId="0" borderId="0" xfId="57" applyFont="1" applyFill="1" applyBorder="1"/>
    <xf numFmtId="177" fontId="11" fillId="0" borderId="23" xfId="0" applyNumberFormat="1" applyFont="1" applyFill="1" applyBorder="1" applyAlignment="1">
      <alignment horizontal="left" indent="1"/>
    </xf>
    <xf numFmtId="168" fontId="118" fillId="0" borderId="23" xfId="41" applyNumberFormat="1" applyFont="1" applyFill="1" applyBorder="1" applyAlignment="1">
      <alignment horizontal="right" wrapText="1"/>
    </xf>
    <xf numFmtId="168" fontId="118" fillId="0" borderId="0" xfId="41" applyNumberFormat="1" applyFont="1" applyFill="1" applyBorder="1" applyAlignment="1">
      <alignment horizontal="right" wrapText="1"/>
    </xf>
    <xf numFmtId="212" fontId="118" fillId="0" borderId="12" xfId="41" applyNumberFormat="1" applyFont="1" applyFill="1" applyBorder="1" applyAlignment="1">
      <alignment horizontal="right" wrapText="1"/>
    </xf>
    <xf numFmtId="0" fontId="118" fillId="0" borderId="0" xfId="57" applyFont="1" applyFill="1" applyBorder="1"/>
    <xf numFmtId="169" fontId="115" fillId="0" borderId="0" xfId="66" applyNumberFormat="1" applyFont="1" applyFill="1" applyBorder="1"/>
    <xf numFmtId="169" fontId="115" fillId="0" borderId="17" xfId="66" applyNumberFormat="1" applyFont="1" applyFill="1" applyBorder="1"/>
    <xf numFmtId="0" fontId="119" fillId="0" borderId="0" xfId="0" applyFont="1" applyFill="1"/>
    <xf numFmtId="169" fontId="115" fillId="0" borderId="12" xfId="66" applyNumberFormat="1" applyFont="1" applyFill="1" applyBorder="1"/>
    <xf numFmtId="43" fontId="0" fillId="0" borderId="0" xfId="0" applyNumberFormat="1" applyFill="1" applyAlignment="1">
      <alignment horizontal="right"/>
    </xf>
    <xf numFmtId="0" fontId="5" fillId="0" borderId="23" xfId="0" applyFont="1" applyFill="1" applyBorder="1" applyAlignment="1">
      <alignment horizontal="left"/>
    </xf>
    <xf numFmtId="168" fontId="115" fillId="0" borderId="12" xfId="41" applyNumberFormat="1" applyFont="1" applyFill="1" applyBorder="1" applyAlignment="1">
      <alignment horizontal="right" wrapText="1"/>
    </xf>
    <xf numFmtId="168" fontId="116" fillId="0" borderId="0" xfId="41" applyNumberFormat="1" applyFont="1" applyFill="1" applyBorder="1" applyAlignment="1">
      <alignment horizontal="right" wrapText="1"/>
    </xf>
    <xf numFmtId="212" fontId="116" fillId="0" borderId="12" xfId="41" applyNumberFormat="1" applyFont="1" applyFill="1" applyBorder="1" applyAlignment="1">
      <alignment horizontal="right" wrapText="1"/>
    </xf>
    <xf numFmtId="168" fontId="5" fillId="30" borderId="15" xfId="0" applyNumberFormat="1" applyFont="1" applyFill="1" applyBorder="1"/>
    <xf numFmtId="184" fontId="5" fillId="0" borderId="0" xfId="66" applyNumberFormat="1" applyFont="1" applyFill="1"/>
    <xf numFmtId="184" fontId="5" fillId="0" borderId="0" xfId="66" applyNumberFormat="1" applyFont="1" applyFill="1" applyBorder="1"/>
    <xf numFmtId="169" fontId="0" fillId="0" borderId="0" xfId="0" applyNumberFormat="1" applyAlignment="1">
      <alignment horizontal="right"/>
    </xf>
    <xf numFmtId="0" fontId="0" fillId="0" borderId="0" xfId="0"/>
    <xf numFmtId="0" fontId="0" fillId="0" borderId="0" xfId="0"/>
    <xf numFmtId="168" fontId="114" fillId="0" borderId="23" xfId="41" applyNumberFormat="1" applyFont="1" applyFill="1" applyBorder="1" applyAlignment="1">
      <alignment horizontal="right" wrapText="1"/>
    </xf>
    <xf numFmtId="0" fontId="0" fillId="0" borderId="0" xfId="0"/>
    <xf numFmtId="169" fontId="5" fillId="0" borderId="23" xfId="66" applyNumberFormat="1" applyFont="1" applyFill="1" applyBorder="1" applyAlignment="1">
      <alignment horizontal="left" indent="1"/>
    </xf>
    <xf numFmtId="169" fontId="5" fillId="30" borderId="15" xfId="66" applyNumberFormat="1" applyFont="1" applyFill="1" applyBorder="1"/>
    <xf numFmtId="169" fontId="0" fillId="0" borderId="0" xfId="66" applyNumberFormat="1" applyFont="1" applyFill="1" applyAlignment="1">
      <alignment horizontal="right"/>
    </xf>
    <xf numFmtId="170" fontId="5" fillId="17" borderId="0" xfId="0" applyNumberFormat="1" applyFont="1" applyFill="1" applyAlignment="1">
      <alignment horizontal="right"/>
    </xf>
    <xf numFmtId="171" fontId="5" fillId="17" borderId="0" xfId="0" applyNumberFormat="1" applyFont="1" applyFill="1" applyBorder="1"/>
    <xf numFmtId="170" fontId="5" fillId="0" borderId="0" xfId="0" applyNumberFormat="1" applyFont="1" applyFill="1" applyAlignment="1">
      <alignment horizontal="right"/>
    </xf>
    <xf numFmtId="171" fontId="14" fillId="17" borderId="0" xfId="0" applyNumberFormat="1" applyFont="1" applyFill="1" applyBorder="1"/>
    <xf numFmtId="170" fontId="5" fillId="17" borderId="0" xfId="0" applyNumberFormat="1" applyFont="1" applyFill="1" applyBorder="1"/>
    <xf numFmtId="168" fontId="29" fillId="0" borderId="0" xfId="42" applyNumberFormat="1" applyFont="1" applyFill="1" applyAlignment="1">
      <alignment horizontal="right"/>
    </xf>
    <xf numFmtId="169" fontId="29" fillId="0" borderId="0" xfId="67" applyNumberFormat="1" applyFont="1" applyFill="1" applyAlignment="1">
      <alignment horizontal="right"/>
    </xf>
    <xf numFmtId="9" fontId="5" fillId="0" borderId="0" xfId="0" applyNumberFormat="1" applyFont="1" applyAlignment="1">
      <alignment horizontal="right"/>
    </xf>
    <xf numFmtId="172" fontId="13" fillId="0" borderId="0" xfId="66" applyNumberFormat="1" applyFont="1" applyFill="1" applyAlignment="1">
      <alignment horizontal="right"/>
    </xf>
    <xf numFmtId="172" fontId="5" fillId="0" borderId="0" xfId="66" applyNumberFormat="1" applyFont="1" applyFill="1" applyAlignment="1">
      <alignment horizontal="right"/>
    </xf>
    <xf numFmtId="172" fontId="3" fillId="0" borderId="0" xfId="0" applyNumberFormat="1" applyFont="1" applyFill="1" applyBorder="1" applyAlignment="1">
      <alignment horizontal="right"/>
    </xf>
    <xf numFmtId="172" fontId="81" fillId="0" borderId="0" xfId="0" applyNumberFormat="1" applyFont="1" applyFill="1" applyAlignment="1">
      <alignment horizontal="right"/>
    </xf>
    <xf numFmtId="172" fontId="5" fillId="0" borderId="0" xfId="0" applyNumberFormat="1" applyFont="1" applyFill="1" applyAlignment="1">
      <alignment horizontal="right"/>
    </xf>
    <xf numFmtId="172" fontId="0" fillId="0" borderId="0" xfId="0" applyNumberFormat="1" applyFill="1" applyAlignment="1">
      <alignment horizontal="right"/>
    </xf>
    <xf numFmtId="169" fontId="5" fillId="0" borderId="0" xfId="66" applyNumberFormat="1" applyFont="1" applyFill="1" applyBorder="1" applyAlignment="1">
      <alignment horizontal="left" indent="2"/>
    </xf>
    <xf numFmtId="169" fontId="3" fillId="0" borderId="0" xfId="66" applyNumberFormat="1" applyFont="1" applyFill="1" applyBorder="1" applyAlignment="1">
      <alignment horizontal="right"/>
    </xf>
    <xf numFmtId="172" fontId="5" fillId="0" borderId="0" xfId="0" applyNumberFormat="1" applyFont="1" applyFill="1" applyBorder="1" applyAlignment="1">
      <alignment horizontal="left" indent="2"/>
    </xf>
    <xf numFmtId="216" fontId="23" fillId="0" borderId="0" xfId="0" applyNumberFormat="1" applyFont="1" applyFill="1" applyBorder="1" applyAlignment="1">
      <alignment horizontal="left" indent="2"/>
    </xf>
    <xf numFmtId="216" fontId="23" fillId="0" borderId="0" xfId="66" applyNumberFormat="1" applyFont="1" applyFill="1" applyAlignment="1">
      <alignment horizontal="right"/>
    </xf>
    <xf numFmtId="216" fontId="42" fillId="0" borderId="0" xfId="0" applyNumberFormat="1" applyFont="1" applyFill="1" applyBorder="1" applyAlignment="1">
      <alignment horizontal="right"/>
    </xf>
    <xf numFmtId="216" fontId="23" fillId="0" borderId="0" xfId="0" applyNumberFormat="1" applyFont="1" applyFill="1" applyAlignment="1">
      <alignment horizontal="right"/>
    </xf>
    <xf numFmtId="216" fontId="24" fillId="0" borderId="0" xfId="0" applyNumberFormat="1" applyFont="1" applyFill="1" applyAlignment="1">
      <alignment horizontal="right"/>
    </xf>
    <xf numFmtId="168" fontId="13" fillId="0" borderId="0" xfId="0" applyNumberFormat="1" applyFont="1" applyFill="1" applyAlignment="1">
      <alignment horizontal="right"/>
    </xf>
    <xf numFmtId="168" fontId="13" fillId="0" borderId="0" xfId="0" applyNumberFormat="1" applyFont="1" applyFill="1" applyBorder="1" applyAlignment="1">
      <alignment horizontal="right"/>
    </xf>
    <xf numFmtId="184" fontId="0" fillId="0" borderId="0" xfId="0" applyNumberFormat="1" applyFill="1" applyAlignment="1">
      <alignment horizontal="right"/>
    </xf>
    <xf numFmtId="166" fontId="13" fillId="0" borderId="0" xfId="41" applyNumberFormat="1" applyFont="1" applyFill="1" applyAlignment="1">
      <alignment horizontal="right"/>
    </xf>
    <xf numFmtId="0" fontId="11" fillId="0" borderId="0" xfId="0" applyFont="1" applyFill="1" applyBorder="1" applyAlignment="1">
      <alignment horizontal="left" indent="2"/>
    </xf>
    <xf numFmtId="169" fontId="11" fillId="0" borderId="0" xfId="41" applyNumberFormat="1" applyFont="1" applyFill="1" applyAlignment="1">
      <alignment horizontal="right"/>
    </xf>
    <xf numFmtId="166" fontId="11" fillId="0" borderId="0" xfId="41" applyNumberFormat="1" applyFont="1" applyFill="1" applyBorder="1" applyAlignment="1">
      <alignment horizontal="right"/>
    </xf>
    <xf numFmtId="172" fontId="13" fillId="0" borderId="0" xfId="41" applyNumberFormat="1" applyFont="1" applyFill="1" applyAlignment="1">
      <alignment horizontal="right"/>
    </xf>
    <xf numFmtId="166" fontId="13" fillId="0" borderId="14" xfId="41" applyNumberFormat="1" applyFont="1" applyFill="1" applyBorder="1" applyAlignment="1">
      <alignment horizontal="right"/>
    </xf>
    <xf numFmtId="217" fontId="0" fillId="0" borderId="0" xfId="0" applyNumberFormat="1" applyFill="1" applyAlignment="1">
      <alignment horizontal="right"/>
    </xf>
    <xf numFmtId="9" fontId="13" fillId="0" borderId="0" xfId="0" applyNumberFormat="1" applyFont="1" applyFill="1" applyAlignment="1">
      <alignment horizontal="right"/>
    </xf>
    <xf numFmtId="166" fontId="114" fillId="0" borderId="0" xfId="41" applyNumberFormat="1" applyFont="1" applyFill="1" applyAlignment="1">
      <alignment horizontal="right"/>
    </xf>
    <xf numFmtId="7" fontId="13" fillId="0" borderId="0" xfId="0" applyNumberFormat="1" applyFont="1" applyFill="1" applyAlignment="1">
      <alignment horizontal="right"/>
    </xf>
    <xf numFmtId="7" fontId="5" fillId="0" borderId="0" xfId="0" applyNumberFormat="1" applyFont="1" applyFill="1" applyBorder="1" applyAlignment="1">
      <alignment horizontal="right"/>
    </xf>
    <xf numFmtId="7" fontId="81" fillId="0" borderId="0" xfId="0" applyNumberFormat="1" applyFont="1" applyFill="1" applyAlignment="1">
      <alignment horizontal="right"/>
    </xf>
    <xf numFmtId="7" fontId="120" fillId="0" borderId="0" xfId="0" applyNumberFormat="1" applyFont="1" applyFill="1" applyAlignment="1">
      <alignment horizontal="right"/>
    </xf>
    <xf numFmtId="7" fontId="117" fillId="0" borderId="0" xfId="0" applyNumberFormat="1" applyFont="1" applyFill="1" applyAlignment="1">
      <alignment horizontal="right"/>
    </xf>
    <xf numFmtId="176" fontId="117" fillId="0" borderId="0" xfId="41" applyNumberFormat="1" applyFont="1" applyFill="1" applyAlignment="1">
      <alignment horizontal="right"/>
    </xf>
    <xf numFmtId="37" fontId="116" fillId="0" borderId="0" xfId="0" applyNumberFormat="1" applyFont="1" applyFill="1" applyBorder="1" applyAlignment="1">
      <alignment horizontal="right"/>
    </xf>
    <xf numFmtId="168" fontId="7" fillId="0" borderId="23" xfId="41" applyNumberFormat="1" applyFont="1" applyFill="1" applyBorder="1" applyAlignment="1">
      <alignment horizontal="right" wrapText="1"/>
    </xf>
    <xf numFmtId="168" fontId="87" fillId="0" borderId="25" xfId="41" applyNumberFormat="1" applyFont="1" applyFill="1" applyBorder="1" applyAlignment="1">
      <alignment horizontal="right" wrapText="1"/>
    </xf>
    <xf numFmtId="166" fontId="5" fillId="0" borderId="25" xfId="41" applyNumberFormat="1" applyFont="1" applyFill="1" applyBorder="1" applyAlignment="1">
      <alignment horizontal="right" wrapText="1"/>
    </xf>
    <xf numFmtId="168" fontId="7" fillId="0" borderId="24" xfId="41" applyNumberFormat="1" applyFont="1" applyFill="1" applyBorder="1" applyAlignment="1">
      <alignment horizontal="right" wrapText="1"/>
    </xf>
    <xf numFmtId="168" fontId="3" fillId="0" borderId="24" xfId="41" applyNumberFormat="1" applyFont="1" applyFill="1" applyBorder="1" applyAlignment="1">
      <alignment horizontal="right" wrapText="1"/>
    </xf>
    <xf numFmtId="7" fontId="3" fillId="0" borderId="16" xfId="41" applyNumberFormat="1" applyFont="1" applyFill="1" applyBorder="1" applyAlignment="1">
      <alignment horizontal="right" wrapText="1"/>
    </xf>
    <xf numFmtId="166" fontId="22" fillId="0" borderId="25" xfId="41" applyNumberFormat="1" applyFont="1" applyFill="1" applyBorder="1" applyAlignment="1">
      <alignment horizontal="right" wrapText="1"/>
    </xf>
    <xf numFmtId="7" fontId="3" fillId="17" borderId="16" xfId="41" applyNumberFormat="1" applyFont="1" applyFill="1" applyBorder="1" applyAlignment="1"/>
    <xf numFmtId="166" fontId="22" fillId="0" borderId="18" xfId="41" applyNumberFormat="1" applyFont="1" applyFill="1" applyBorder="1" applyAlignment="1">
      <alignment horizontal="right" wrapText="1"/>
    </xf>
    <xf numFmtId="166" fontId="22" fillId="0" borderId="26" xfId="41" applyNumberFormat="1" applyFont="1" applyFill="1" applyBorder="1" applyAlignment="1">
      <alignment horizontal="right" wrapText="1"/>
    </xf>
    <xf numFmtId="168" fontId="3" fillId="0" borderId="17" xfId="41" applyNumberFormat="1" applyFont="1" applyFill="1" applyBorder="1" applyAlignment="1">
      <alignment horizontal="right" wrapText="1"/>
    </xf>
    <xf numFmtId="7" fontId="3" fillId="17" borderId="20" xfId="41" applyNumberFormat="1" applyFont="1" applyFill="1" applyBorder="1" applyAlignment="1"/>
    <xf numFmtId="7" fontId="41" fillId="0" borderId="25" xfId="0" applyNumberFormat="1" applyFont="1" applyBorder="1" applyAlignment="1">
      <alignment horizontal="right"/>
    </xf>
    <xf numFmtId="169" fontId="12" fillId="28" borderId="23" xfId="0" applyNumberFormat="1" applyFont="1" applyFill="1" applyBorder="1" applyAlignment="1">
      <alignment horizontal="right"/>
    </xf>
    <xf numFmtId="169" fontId="12" fillId="17" borderId="24" xfId="0" applyNumberFormat="1" applyFont="1" applyFill="1" applyBorder="1" applyAlignment="1">
      <alignment horizontal="right"/>
    </xf>
    <xf numFmtId="7" fontId="41" fillId="0" borderId="18" xfId="0" applyNumberFormat="1" applyFont="1" applyBorder="1" applyAlignment="1">
      <alignment horizontal="right"/>
    </xf>
    <xf numFmtId="10" fontId="4" fillId="0" borderId="27" xfId="0" applyNumberFormat="1" applyFont="1" applyFill="1" applyBorder="1" applyAlignment="1">
      <alignment horizontal="right"/>
    </xf>
    <xf numFmtId="168" fontId="114" fillId="0" borderId="0" xfId="41" applyNumberFormat="1" applyFont="1" applyFill="1" applyBorder="1" applyAlignment="1">
      <alignment horizontal="right" wrapText="1"/>
    </xf>
    <xf numFmtId="0" fontId="0" fillId="0" borderId="0" xfId="0"/>
    <xf numFmtId="168" fontId="117" fillId="0" borderId="0" xfId="41" applyNumberFormat="1" applyFont="1" applyFill="1" applyBorder="1" applyAlignment="1">
      <alignment horizontal="right" wrapText="1"/>
    </xf>
    <xf numFmtId="169" fontId="103" fillId="17" borderId="23" xfId="0" applyNumberFormat="1" applyFont="1" applyFill="1" applyBorder="1" applyAlignment="1">
      <alignment horizontal="right"/>
    </xf>
    <xf numFmtId="169" fontId="103" fillId="17" borderId="0" xfId="0" applyNumberFormat="1" applyFont="1" applyFill="1" applyBorder="1" applyAlignment="1">
      <alignment horizontal="right"/>
    </xf>
    <xf numFmtId="168" fontId="99" fillId="0" borderId="23" xfId="41" applyNumberFormat="1" applyFont="1" applyFill="1" applyBorder="1" applyAlignment="1">
      <alignment horizontal="right" wrapText="1"/>
    </xf>
    <xf numFmtId="212" fontId="5" fillId="0" borderId="0" xfId="41" applyNumberFormat="1" applyFont="1" applyFill="1" applyBorder="1" applyAlignment="1">
      <alignment horizontal="right" wrapText="1"/>
    </xf>
    <xf numFmtId="169" fontId="5" fillId="31" borderId="12" xfId="66" applyNumberFormat="1" applyFont="1" applyFill="1" applyBorder="1" applyAlignment="1">
      <alignment horizontal="left" indent="1"/>
    </xf>
    <xf numFmtId="168" fontId="3" fillId="31" borderId="0" xfId="41" applyNumberFormat="1" applyFont="1" applyFill="1" applyBorder="1" applyAlignment="1">
      <alignment horizontal="right" wrapText="1"/>
    </xf>
    <xf numFmtId="212" fontId="3" fillId="31" borderId="12" xfId="41" applyNumberFormat="1" applyFont="1" applyFill="1" applyBorder="1" applyAlignment="1">
      <alignment horizontal="right" wrapText="1"/>
    </xf>
    <xf numFmtId="168" fontId="3" fillId="31" borderId="23" xfId="41" applyNumberFormat="1" applyFont="1" applyFill="1" applyBorder="1" applyAlignment="1">
      <alignment horizontal="right" wrapText="1"/>
    </xf>
    <xf numFmtId="0" fontId="3" fillId="31" borderId="0" xfId="57" applyFont="1" applyFill="1" applyBorder="1"/>
    <xf numFmtId="169" fontId="5" fillId="31" borderId="23" xfId="66" applyNumberFormat="1" applyFont="1" applyFill="1" applyBorder="1" applyAlignment="1">
      <alignment horizontal="left" indent="1"/>
    </xf>
    <xf numFmtId="169" fontId="12" fillId="31" borderId="0" xfId="0" applyNumberFormat="1" applyFont="1" applyFill="1" applyBorder="1" applyAlignment="1">
      <alignment horizontal="right"/>
    </xf>
    <xf numFmtId="169" fontId="12" fillId="31" borderId="12" xfId="0" applyNumberFormat="1" applyFont="1" applyFill="1" applyBorder="1" applyAlignment="1">
      <alignment horizontal="right"/>
    </xf>
    <xf numFmtId="0" fontId="0" fillId="31" borderId="0" xfId="0" applyFill="1" applyBorder="1"/>
    <xf numFmtId="169" fontId="12" fillId="31" borderId="23" xfId="0" applyNumberFormat="1" applyFont="1" applyFill="1" applyBorder="1" applyAlignment="1">
      <alignment horizontal="right"/>
    </xf>
    <xf numFmtId="37" fontId="45" fillId="31" borderId="0" xfId="41" applyNumberFormat="1" applyFont="1" applyFill="1" applyBorder="1" applyAlignment="1">
      <alignment horizontal="right"/>
    </xf>
    <xf numFmtId="168" fontId="116" fillId="31" borderId="23" xfId="41" applyNumberFormat="1" applyFont="1" applyFill="1" applyBorder="1" applyAlignment="1">
      <alignment horizontal="right" wrapText="1"/>
    </xf>
    <xf numFmtId="168" fontId="22" fillId="0" borderId="11" xfId="41" applyNumberFormat="1" applyFont="1" applyFill="1" applyBorder="1" applyAlignment="1">
      <alignment horizontal="right"/>
    </xf>
    <xf numFmtId="184" fontId="5" fillId="0" borderId="12" xfId="66" applyNumberFormat="1" applyFont="1" applyFill="1" applyBorder="1"/>
    <xf numFmtId="168" fontId="109" fillId="0" borderId="17" xfId="41" applyNumberFormat="1" applyFont="1" applyFill="1" applyBorder="1" applyAlignment="1">
      <alignment horizontal="right" wrapText="1"/>
    </xf>
    <xf numFmtId="169" fontId="115" fillId="0" borderId="0" xfId="0" applyNumberFormat="1" applyFont="1" applyFill="1" applyAlignment="1">
      <alignment horizontal="right"/>
    </xf>
    <xf numFmtId="166" fontId="29" fillId="0" borderId="0" xfId="0" applyNumberFormat="1" applyFont="1" applyFill="1" applyAlignment="1">
      <alignment horizontal="right"/>
    </xf>
    <xf numFmtId="166" fontId="115" fillId="0" borderId="0" xfId="41" applyNumberFormat="1" applyFont="1" applyFill="1" applyAlignment="1">
      <alignment horizontal="right"/>
    </xf>
    <xf numFmtId="172" fontId="115" fillId="0" borderId="0" xfId="41" applyNumberFormat="1" applyFont="1" applyFill="1" applyAlignment="1">
      <alignment horizontal="right"/>
    </xf>
    <xf numFmtId="184" fontId="115" fillId="0" borderId="0" xfId="0" applyNumberFormat="1" applyFont="1" applyFill="1" applyAlignment="1">
      <alignment horizontal="right"/>
    </xf>
    <xf numFmtId="168" fontId="3" fillId="0" borderId="11" xfId="0" applyNumberFormat="1" applyFont="1" applyFill="1" applyBorder="1"/>
    <xf numFmtId="169" fontId="3" fillId="0" borderId="11" xfId="66" applyNumberFormat="1" applyFont="1" applyFill="1" applyBorder="1" applyAlignment="1">
      <alignment horizontal="right"/>
    </xf>
    <xf numFmtId="169" fontId="3" fillId="0" borderId="22" xfId="66" applyNumberFormat="1" applyFont="1" applyFill="1" applyBorder="1" applyAlignment="1">
      <alignment horizontal="right"/>
    </xf>
    <xf numFmtId="168" fontId="3" fillId="28" borderId="11" xfId="0" applyNumberFormat="1" applyFont="1" applyFill="1" applyBorder="1"/>
    <xf numFmtId="169" fontId="3" fillId="28" borderId="29" xfId="66" applyNumberFormat="1" applyFont="1" applyFill="1" applyBorder="1" applyAlignment="1">
      <alignment horizontal="right"/>
    </xf>
    <xf numFmtId="169" fontId="3" fillId="28" borderId="11" xfId="66" applyNumberFormat="1" applyFont="1" applyFill="1" applyBorder="1" applyAlignment="1">
      <alignment horizontal="right"/>
    </xf>
    <xf numFmtId="212" fontId="5" fillId="0" borderId="18" xfId="41" applyNumberFormat="1" applyFont="1" applyFill="1" applyBorder="1" applyAlignment="1">
      <alignment horizontal="right" wrapText="1"/>
    </xf>
    <xf numFmtId="7" fontId="18" fillId="0" borderId="24" xfId="41" applyNumberFormat="1" applyFont="1" applyFill="1" applyBorder="1" applyAlignment="1">
      <alignment horizontal="right"/>
    </xf>
    <xf numFmtId="168" fontId="103" fillId="0" borderId="18" xfId="41" applyNumberFormat="1" applyFont="1" applyFill="1" applyBorder="1" applyAlignment="1">
      <alignment horizontal="right" wrapText="1"/>
    </xf>
    <xf numFmtId="168" fontId="103" fillId="0" borderId="25" xfId="41" applyNumberFormat="1" applyFont="1" applyFill="1" applyBorder="1" applyAlignment="1">
      <alignment horizontal="right" wrapText="1"/>
    </xf>
    <xf numFmtId="169" fontId="121" fillId="0" borderId="0" xfId="41" applyNumberFormat="1" applyFont="1" applyFill="1" applyAlignment="1">
      <alignment horizontal="right"/>
    </xf>
    <xf numFmtId="168" fontId="5" fillId="0" borderId="0" xfId="0" applyNumberFormat="1" applyFont="1" applyFill="1" applyBorder="1" applyAlignment="1">
      <alignment horizontal="left"/>
    </xf>
    <xf numFmtId="169" fontId="5" fillId="0" borderId="12" xfId="0" applyNumberFormat="1" applyFont="1" applyFill="1" applyBorder="1" applyAlignment="1">
      <alignment horizontal="right"/>
    </xf>
    <xf numFmtId="168" fontId="13" fillId="0" borderId="0" xfId="41" applyNumberFormat="1" applyFont="1" applyFill="1" applyBorder="1" applyAlignment="1">
      <alignment horizontal="right"/>
    </xf>
    <xf numFmtId="169" fontId="115" fillId="0" borderId="0" xfId="0" applyNumberFormat="1" applyFont="1" applyFill="1" applyBorder="1" applyAlignment="1">
      <alignment horizontal="right"/>
    </xf>
    <xf numFmtId="169" fontId="115" fillId="28" borderId="0" xfId="0" applyNumberFormat="1" applyFont="1" applyFill="1" applyBorder="1" applyAlignment="1">
      <alignment horizontal="right"/>
    </xf>
    <xf numFmtId="169" fontId="115" fillId="28" borderId="0" xfId="0" applyNumberFormat="1" applyFont="1" applyFill="1" applyAlignment="1">
      <alignment horizontal="right"/>
    </xf>
    <xf numFmtId="169" fontId="5" fillId="30" borderId="16" xfId="66" applyNumberFormat="1" applyFont="1" applyFill="1" applyBorder="1"/>
    <xf numFmtId="166" fontId="0" fillId="0" borderId="0" xfId="0" applyNumberFormat="1" applyFill="1"/>
    <xf numFmtId="0" fontId="0" fillId="0" borderId="0" xfId="0"/>
    <xf numFmtId="168" fontId="122" fillId="32" borderId="0" xfId="41" applyNumberFormat="1" applyFont="1" applyFill="1" applyBorder="1" applyAlignment="1">
      <alignment horizontal="right"/>
    </xf>
    <xf numFmtId="168" fontId="122" fillId="32" borderId="11" xfId="41" applyNumberFormat="1" applyFont="1" applyFill="1" applyBorder="1" applyAlignment="1">
      <alignment horizontal="right"/>
    </xf>
    <xf numFmtId="168" fontId="103" fillId="0" borderId="0" xfId="41" applyNumberFormat="1" applyFont="1" applyFill="1" applyAlignment="1">
      <alignment horizontal="right"/>
    </xf>
    <xf numFmtId="176" fontId="0" fillId="0" borderId="0" xfId="0" applyNumberFormat="1" applyFill="1"/>
    <xf numFmtId="0" fontId="5" fillId="31" borderId="0" xfId="57" applyFont="1" applyFill="1" applyBorder="1"/>
    <xf numFmtId="168" fontId="5" fillId="31" borderId="0" xfId="41" applyNumberFormat="1" applyFont="1" applyFill="1" applyBorder="1" applyAlignment="1">
      <alignment horizontal="right" wrapText="1"/>
    </xf>
    <xf numFmtId="212" fontId="5" fillId="31" borderId="12" xfId="41" applyNumberFormat="1" applyFont="1" applyFill="1" applyBorder="1" applyAlignment="1">
      <alignment horizontal="right" wrapText="1"/>
    </xf>
    <xf numFmtId="168" fontId="5" fillId="31" borderId="23" xfId="0" applyNumberFormat="1" applyFont="1" applyFill="1" applyBorder="1" applyAlignment="1">
      <alignment horizontal="left" vertical="top" wrapText="1"/>
    </xf>
    <xf numFmtId="168" fontId="5" fillId="31" borderId="25" xfId="41" applyNumberFormat="1" applyFont="1" applyFill="1" applyBorder="1" applyAlignment="1">
      <alignment horizontal="right" wrapText="1"/>
    </xf>
    <xf numFmtId="0" fontId="3" fillId="31" borderId="24" xfId="0" applyFont="1" applyFill="1" applyBorder="1" applyAlignment="1">
      <alignment horizontal="left"/>
    </xf>
    <xf numFmtId="169" fontId="3" fillId="31" borderId="24" xfId="66" applyNumberFormat="1" applyFont="1" applyFill="1" applyBorder="1"/>
    <xf numFmtId="169" fontId="3" fillId="31" borderId="11" xfId="66" applyNumberFormat="1" applyFont="1" applyFill="1" applyBorder="1"/>
    <xf numFmtId="169" fontId="3" fillId="31" borderId="22" xfId="66" applyNumberFormat="1" applyFont="1" applyFill="1" applyBorder="1"/>
    <xf numFmtId="169" fontId="3" fillId="31" borderId="11" xfId="43" applyNumberFormat="1" applyFont="1" applyFill="1" applyBorder="1"/>
    <xf numFmtId="169" fontId="17" fillId="31" borderId="11" xfId="0" applyNumberFormat="1" applyFont="1" applyFill="1" applyBorder="1"/>
    <xf numFmtId="169" fontId="115" fillId="0" borderId="23" xfId="0" applyNumberFormat="1" applyFont="1" applyFill="1" applyBorder="1" applyAlignment="1">
      <alignment horizontal="right"/>
    </xf>
    <xf numFmtId="169" fontId="115" fillId="0" borderId="12" xfId="0" applyNumberFormat="1" applyFont="1" applyFill="1" applyBorder="1" applyAlignment="1">
      <alignment horizontal="right"/>
    </xf>
    <xf numFmtId="0" fontId="113" fillId="0" borderId="0" xfId="0" applyFont="1" applyFill="1" applyBorder="1"/>
    <xf numFmtId="168" fontId="112" fillId="0" borderId="0" xfId="0" applyNumberFormat="1" applyFont="1" applyFill="1" applyAlignment="1">
      <alignment horizontal="left" vertical="top" wrapText="1" indent="4"/>
    </xf>
    <xf numFmtId="184" fontId="5" fillId="0" borderId="17" xfId="66" applyNumberFormat="1" applyFont="1" applyFill="1" applyBorder="1"/>
    <xf numFmtId="0" fontId="0" fillId="31" borderId="0" xfId="0" applyFill="1"/>
    <xf numFmtId="0" fontId="0" fillId="0" borderId="0" xfId="0"/>
    <xf numFmtId="168" fontId="5" fillId="28" borderId="0" xfId="0" applyNumberFormat="1" applyFont="1" applyFill="1" applyBorder="1" applyAlignment="1">
      <alignment horizontal="left"/>
    </xf>
    <xf numFmtId="168" fontId="5" fillId="28" borderId="0" xfId="0" applyNumberFormat="1" applyFont="1" applyFill="1" applyBorder="1" applyAlignment="1">
      <alignment horizontal="left" indent="1"/>
    </xf>
    <xf numFmtId="169" fontId="101" fillId="0" borderId="24" xfId="66" applyNumberFormat="1" applyFont="1" applyFill="1" applyBorder="1"/>
    <xf numFmtId="169" fontId="101" fillId="0" borderId="11" xfId="66" applyNumberFormat="1" applyFont="1" applyFill="1" applyBorder="1"/>
    <xf numFmtId="169" fontId="97" fillId="0" borderId="11" xfId="66" applyNumberFormat="1" applyFont="1" applyFill="1" applyBorder="1" applyAlignment="1">
      <alignment horizontal="right" wrapText="1"/>
    </xf>
    <xf numFmtId="169" fontId="101" fillId="0" borderId="22" xfId="66" applyNumberFormat="1" applyFont="1" applyFill="1" applyBorder="1"/>
    <xf numFmtId="169" fontId="5" fillId="0" borderId="11" xfId="66" applyNumberFormat="1" applyFont="1" applyFill="1" applyBorder="1" applyAlignment="1">
      <alignment horizontal="right" wrapText="1"/>
    </xf>
    <xf numFmtId="167" fontId="123" fillId="17" borderId="0" xfId="41" applyNumberFormat="1" applyFont="1" applyFill="1" applyBorder="1" applyAlignment="1">
      <alignment horizontal="right"/>
    </xf>
    <xf numFmtId="169" fontId="123" fillId="0" borderId="0" xfId="66" applyNumberFormat="1" applyFont="1" applyBorder="1" applyAlignment="1">
      <alignment horizontal="left" indent="1"/>
    </xf>
    <xf numFmtId="168" fontId="5" fillId="30" borderId="16" xfId="0" applyNumberFormat="1" applyFont="1" applyFill="1" applyBorder="1"/>
    <xf numFmtId="0" fontId="0" fillId="30" borderId="15" xfId="0" applyFill="1" applyBorder="1"/>
    <xf numFmtId="169" fontId="12" fillId="30" borderId="15" xfId="66" applyNumberFormat="1" applyFont="1" applyFill="1" applyBorder="1" applyAlignment="1">
      <alignment horizontal="right"/>
    </xf>
    <xf numFmtId="169" fontId="12" fillId="30" borderId="19" xfId="66" applyNumberFormat="1" applyFont="1" applyFill="1" applyBorder="1" applyAlignment="1">
      <alignment horizontal="right"/>
    </xf>
    <xf numFmtId="0" fontId="0" fillId="0" borderId="0" xfId="0"/>
    <xf numFmtId="0" fontId="36" fillId="0" borderId="0" xfId="77" applyFont="1" applyFill="1" applyBorder="1" applyAlignment="1"/>
    <xf numFmtId="168" fontId="40" fillId="0" borderId="0" xfId="0" applyNumberFormat="1" applyFont="1" applyFill="1" applyBorder="1"/>
    <xf numFmtId="0" fontId="74" fillId="0" borderId="0" xfId="77" applyFont="1"/>
    <xf numFmtId="165" fontId="77" fillId="29" borderId="0" xfId="77" applyNumberFormat="1" applyFont="1" applyFill="1" applyBorder="1" applyAlignment="1">
      <alignment horizontal="center"/>
    </xf>
    <xf numFmtId="168" fontId="124" fillId="0" borderId="11" xfId="41" applyNumberFormat="1" applyFont="1" applyFill="1" applyBorder="1" applyAlignment="1">
      <alignment horizontal="right" wrapText="1"/>
    </xf>
    <xf numFmtId="169" fontId="97" fillId="0" borderId="0" xfId="66" applyNumberFormat="1" applyFont="1" applyFill="1" applyBorder="1"/>
    <xf numFmtId="169" fontId="97" fillId="31" borderId="0" xfId="66" applyNumberFormat="1" applyFont="1" applyFill="1" applyBorder="1"/>
    <xf numFmtId="169" fontId="103" fillId="0" borderId="0" xfId="66" applyNumberFormat="1" applyFont="1" applyFill="1" applyBorder="1"/>
    <xf numFmtId="169" fontId="114" fillId="0" borderId="0" xfId="66" applyNumberFormat="1" applyFont="1" applyFill="1" applyBorder="1"/>
    <xf numFmtId="166" fontId="116" fillId="31" borderId="0" xfId="41" applyNumberFormat="1" applyFont="1" applyFill="1" applyBorder="1"/>
    <xf numFmtId="166" fontId="116" fillId="31" borderId="25" xfId="41" applyNumberFormat="1" applyFont="1" applyFill="1" applyBorder="1"/>
    <xf numFmtId="168" fontId="116" fillId="31" borderId="0" xfId="41" applyNumberFormat="1" applyFont="1" applyFill="1" applyBorder="1" applyAlignment="1">
      <alignment horizontal="right" wrapText="1"/>
    </xf>
    <xf numFmtId="168" fontId="116" fillId="31" borderId="25" xfId="41" applyNumberFormat="1" applyFont="1" applyFill="1" applyBorder="1" applyAlignment="1">
      <alignment horizontal="right" wrapText="1"/>
    </xf>
    <xf numFmtId="166" fontId="103" fillId="0" borderId="0" xfId="42" applyNumberFormat="1" applyFont="1" applyFill="1" applyAlignment="1"/>
    <xf numFmtId="168" fontId="103" fillId="0" borderId="12" xfId="0" applyNumberFormat="1" applyFont="1" applyFill="1" applyBorder="1" applyAlignment="1">
      <alignment horizontal="right"/>
    </xf>
    <xf numFmtId="0" fontId="0" fillId="0" borderId="0" xfId="0"/>
    <xf numFmtId="0" fontId="0" fillId="0" borderId="0" xfId="0"/>
    <xf numFmtId="168" fontId="5" fillId="0" borderId="18" xfId="41" applyNumberFormat="1" applyFont="1" applyFill="1" applyBorder="1" applyAlignment="1">
      <alignment horizontal="right" wrapText="1"/>
    </xf>
    <xf numFmtId="184" fontId="114" fillId="0" borderId="0" xfId="41" applyNumberFormat="1" applyFont="1" applyFill="1" applyBorder="1" applyAlignment="1">
      <alignment horizontal="right" wrapText="1"/>
    </xf>
    <xf numFmtId="169" fontId="103" fillId="0" borderId="17" xfId="66" applyNumberFormat="1" applyFont="1" applyFill="1" applyBorder="1"/>
    <xf numFmtId="166" fontId="103" fillId="0" borderId="23" xfId="42" applyNumberFormat="1" applyFont="1" applyFill="1" applyBorder="1" applyAlignment="1"/>
    <xf numFmtId="166" fontId="103" fillId="0" borderId="0" xfId="42" applyNumberFormat="1" applyFont="1" applyFill="1" applyBorder="1" applyAlignment="1"/>
    <xf numFmtId="166" fontId="103" fillId="0" borderId="17" xfId="42" applyNumberFormat="1" applyFont="1" applyFill="1" applyBorder="1" applyAlignment="1"/>
    <xf numFmtId="166" fontId="97" fillId="0" borderId="0" xfId="42" applyNumberFormat="1" applyFont="1" applyFill="1" applyAlignment="1"/>
    <xf numFmtId="172" fontId="120" fillId="0" borderId="0" xfId="41" applyNumberFormat="1" applyFont="1" applyFill="1" applyAlignment="1">
      <alignment horizontal="right"/>
    </xf>
    <xf numFmtId="176" fontId="97" fillId="0" borderId="0" xfId="41" applyNumberFormat="1" applyFont="1" applyFill="1" applyAlignment="1">
      <alignment horizontal="right"/>
    </xf>
    <xf numFmtId="0" fontId="98" fillId="29" borderId="31" xfId="0" applyFont="1" applyFill="1" applyBorder="1" applyAlignment="1">
      <alignment horizontal="center" vertical="center"/>
    </xf>
    <xf numFmtId="212" fontId="5" fillId="28" borderId="31" xfId="41" applyNumberFormat="1" applyFont="1" applyFill="1" applyBorder="1" applyAlignment="1">
      <alignment horizontal="right" wrapText="1"/>
    </xf>
    <xf numFmtId="169" fontId="12" fillId="28" borderId="31" xfId="0" applyNumberFormat="1" applyFont="1" applyFill="1" applyBorder="1" applyAlignment="1">
      <alignment horizontal="right"/>
    </xf>
    <xf numFmtId="169" fontId="12" fillId="30" borderId="31" xfId="0" applyNumberFormat="1" applyFont="1" applyFill="1" applyBorder="1" applyAlignment="1">
      <alignment horizontal="right"/>
    </xf>
    <xf numFmtId="212" fontId="5" fillId="30" borderId="31" xfId="41" applyNumberFormat="1" applyFont="1" applyFill="1" applyBorder="1" applyAlignment="1">
      <alignment horizontal="right" wrapText="1"/>
    </xf>
    <xf numFmtId="169" fontId="3" fillId="28" borderId="30" xfId="66" applyNumberFormat="1" applyFont="1" applyFill="1" applyBorder="1" applyAlignment="1">
      <alignment horizontal="right"/>
    </xf>
    <xf numFmtId="205" fontId="0" fillId="0" borderId="0" xfId="0" applyNumberFormat="1"/>
    <xf numFmtId="0" fontId="3" fillId="0" borderId="0" xfId="77" applyFont="1" applyFill="1"/>
    <xf numFmtId="166" fontId="120" fillId="0" borderId="0" xfId="41" applyNumberFormat="1" applyFont="1" applyFill="1" applyBorder="1"/>
    <xf numFmtId="184" fontId="120" fillId="0" borderId="0" xfId="41" applyNumberFormat="1" applyFont="1" applyFill="1" applyBorder="1" applyAlignment="1">
      <alignment horizontal="right" wrapText="1"/>
    </xf>
    <xf numFmtId="44" fontId="0" fillId="0" borderId="0" xfId="44" applyFont="1" applyFill="1" applyAlignment="1">
      <alignment horizontal="right"/>
    </xf>
    <xf numFmtId="9" fontId="5" fillId="30" borderId="19" xfId="66" applyFont="1" applyFill="1" applyBorder="1"/>
    <xf numFmtId="169" fontId="120" fillId="31" borderId="0" xfId="66" applyNumberFormat="1" applyFont="1" applyFill="1" applyBorder="1"/>
    <xf numFmtId="166" fontId="123" fillId="17" borderId="0" xfId="41" applyNumberFormat="1" applyFont="1" applyFill="1" applyBorder="1" applyAlignment="1">
      <alignment horizontal="right"/>
    </xf>
    <xf numFmtId="7" fontId="109" fillId="32" borderId="13" xfId="0" applyNumberFormat="1" applyFont="1" applyFill="1" applyBorder="1" applyAlignment="1">
      <alignment horizontal="right"/>
    </xf>
    <xf numFmtId="9" fontId="23" fillId="17" borderId="0" xfId="66" applyFont="1" applyFill="1" applyBorder="1" applyAlignment="1">
      <alignment horizontal="left"/>
    </xf>
    <xf numFmtId="9" fontId="5" fillId="0" borderId="0" xfId="66" applyFont="1" applyFill="1" applyAlignment="1">
      <alignment horizontal="right"/>
    </xf>
    <xf numFmtId="0" fontId="74" fillId="0" borderId="0" xfId="77" applyFont="1" applyAlignment="1">
      <alignment horizontal="left" indent="1"/>
    </xf>
    <xf numFmtId="43" fontId="4" fillId="0" borderId="12" xfId="41" applyFont="1" applyFill="1" applyBorder="1" applyAlignment="1">
      <alignment horizontal="right"/>
    </xf>
    <xf numFmtId="44" fontId="4" fillId="0" borderId="12" xfId="44" applyFont="1" applyFill="1" applyBorder="1" applyAlignment="1">
      <alignment horizontal="right"/>
    </xf>
    <xf numFmtId="169" fontId="5" fillId="25" borderId="0" xfId="66" applyNumberFormat="1" applyFont="1" applyFill="1" applyBorder="1" applyAlignment="1">
      <alignment horizontal="right"/>
    </xf>
    <xf numFmtId="169" fontId="12" fillId="25" borderId="0" xfId="66" applyNumberFormat="1" applyFont="1" applyFill="1" applyBorder="1" applyAlignment="1">
      <alignment horizontal="right"/>
    </xf>
    <xf numFmtId="169" fontId="12" fillId="25" borderId="12" xfId="66" applyNumberFormat="1" applyFont="1" applyFill="1" applyBorder="1" applyAlignment="1">
      <alignment horizontal="right"/>
    </xf>
    <xf numFmtId="0" fontId="0" fillId="0" borderId="0" xfId="0"/>
    <xf numFmtId="169" fontId="115" fillId="0" borderId="0" xfId="66" applyNumberFormat="1" applyFont="1" applyFill="1" applyAlignment="1">
      <alignment horizontal="right"/>
    </xf>
    <xf numFmtId="169" fontId="115" fillId="0" borderId="12" xfId="66" applyNumberFormat="1" applyFont="1" applyFill="1" applyBorder="1" applyAlignment="1">
      <alignment horizontal="right"/>
    </xf>
    <xf numFmtId="212" fontId="115" fillId="0" borderId="27" xfId="41" applyNumberFormat="1" applyFont="1" applyFill="1" applyBorder="1" applyAlignment="1">
      <alignment horizontal="right" wrapText="1"/>
    </xf>
    <xf numFmtId="0" fontId="0" fillId="0" borderId="15" xfId="0" applyBorder="1"/>
    <xf numFmtId="9" fontId="0" fillId="0" borderId="15" xfId="66" applyFont="1" applyBorder="1"/>
    <xf numFmtId="169" fontId="116" fillId="0" borderId="15" xfId="66" applyNumberFormat="1" applyFont="1" applyBorder="1"/>
    <xf numFmtId="0" fontId="0" fillId="0" borderId="19" xfId="0" applyBorder="1"/>
    <xf numFmtId="0" fontId="3" fillId="0" borderId="25" xfId="0" applyFont="1" applyBorder="1" applyAlignment="1">
      <alignment horizontal="left"/>
    </xf>
    <xf numFmtId="0" fontId="3" fillId="0" borderId="18" xfId="0" applyFont="1" applyBorder="1" applyAlignment="1">
      <alignment horizontal="left"/>
    </xf>
    <xf numFmtId="169" fontId="5" fillId="30" borderId="0" xfId="66" applyNumberFormat="1" applyFont="1" applyFill="1" applyBorder="1" applyAlignment="1">
      <alignment horizontal="left" indent="2"/>
    </xf>
    <xf numFmtId="5" fontId="0" fillId="0" borderId="0" xfId="0" applyNumberFormat="1" applyFill="1" applyAlignment="1">
      <alignment horizontal="right"/>
    </xf>
    <xf numFmtId="0" fontId="0" fillId="0" borderId="0" xfId="0"/>
    <xf numFmtId="179" fontId="5" fillId="0" borderId="0" xfId="77" applyNumberFormat="1" applyFont="1"/>
    <xf numFmtId="218" fontId="0" fillId="0" borderId="0" xfId="0" applyNumberFormat="1"/>
    <xf numFmtId="169" fontId="125" fillId="0" borderId="19" xfId="66" applyNumberFormat="1" applyFont="1" applyBorder="1"/>
    <xf numFmtId="169" fontId="125" fillId="0" borderId="15" xfId="0" applyNumberFormat="1" applyFont="1" applyBorder="1"/>
    <xf numFmtId="169" fontId="125" fillId="0" borderId="15" xfId="0" applyNumberFormat="1" applyFont="1" applyFill="1" applyBorder="1"/>
    <xf numFmtId="7" fontId="98" fillId="29" borderId="0" xfId="0" applyNumberFormat="1" applyFont="1" applyFill="1" applyBorder="1" applyAlignment="1">
      <alignment horizontal="center" vertical="center"/>
    </xf>
    <xf numFmtId="168" fontId="13" fillId="30" borderId="0" xfId="42" applyNumberFormat="1" applyFont="1" applyFill="1" applyBorder="1" applyAlignment="1"/>
    <xf numFmtId="0" fontId="12" fillId="30" borderId="0" xfId="0" applyFont="1" applyFill="1" applyBorder="1" applyAlignment="1">
      <alignment horizontal="right"/>
    </xf>
    <xf numFmtId="169" fontId="13" fillId="30" borderId="0" xfId="42" applyNumberFormat="1" applyFont="1" applyFill="1" applyBorder="1" applyAlignment="1"/>
    <xf numFmtId="0" fontId="98" fillId="29" borderId="33" xfId="0" applyFont="1" applyFill="1" applyBorder="1" applyAlignment="1">
      <alignment horizontal="center" vertical="center"/>
    </xf>
    <xf numFmtId="212" fontId="5" fillId="28" borderId="33" xfId="41" applyNumberFormat="1" applyFont="1" applyFill="1" applyBorder="1" applyAlignment="1">
      <alignment horizontal="right" wrapText="1"/>
    </xf>
    <xf numFmtId="169" fontId="12" fillId="28" borderId="33" xfId="0" applyNumberFormat="1" applyFont="1" applyFill="1" applyBorder="1" applyAlignment="1">
      <alignment horizontal="right"/>
    </xf>
    <xf numFmtId="169" fontId="12" fillId="30" borderId="33" xfId="0" applyNumberFormat="1" applyFont="1" applyFill="1" applyBorder="1" applyAlignment="1">
      <alignment horizontal="right"/>
    </xf>
    <xf numFmtId="168" fontId="12" fillId="30" borderId="33" xfId="0" applyNumberFormat="1" applyFont="1" applyFill="1" applyBorder="1" applyAlignment="1">
      <alignment horizontal="right"/>
    </xf>
    <xf numFmtId="184" fontId="12" fillId="30" borderId="33" xfId="0" applyNumberFormat="1" applyFont="1" applyFill="1" applyBorder="1" applyAlignment="1">
      <alignment horizontal="right"/>
    </xf>
    <xf numFmtId="168" fontId="22" fillId="30" borderId="33" xfId="41" applyNumberFormat="1" applyFont="1" applyFill="1" applyBorder="1" applyAlignment="1">
      <alignment horizontal="right"/>
    </xf>
    <xf numFmtId="212" fontId="5" fillId="30" borderId="33" xfId="41" applyNumberFormat="1" applyFont="1" applyFill="1" applyBorder="1" applyAlignment="1">
      <alignment horizontal="right" wrapText="1"/>
    </xf>
    <xf numFmtId="169" fontId="3" fillId="28" borderId="32" xfId="66" applyNumberFormat="1" applyFont="1" applyFill="1" applyBorder="1" applyAlignment="1">
      <alignment horizontal="right"/>
    </xf>
    <xf numFmtId="165" fontId="98" fillId="29" borderId="34" xfId="0" applyNumberFormat="1" applyFont="1" applyFill="1" applyBorder="1" applyAlignment="1">
      <alignment horizontal="center" vertical="center"/>
    </xf>
    <xf numFmtId="168" fontId="5" fillId="28" borderId="34" xfId="41" applyNumberFormat="1" applyFont="1" applyFill="1" applyBorder="1" applyAlignment="1">
      <alignment horizontal="right" wrapText="1"/>
    </xf>
    <xf numFmtId="169" fontId="12" fillId="28" borderId="34" xfId="0" applyNumberFormat="1" applyFont="1" applyFill="1" applyBorder="1" applyAlignment="1">
      <alignment horizontal="right"/>
    </xf>
    <xf numFmtId="169" fontId="12" fillId="0" borderId="34" xfId="0" applyNumberFormat="1" applyFont="1" applyFill="1" applyBorder="1" applyAlignment="1">
      <alignment horizontal="right"/>
    </xf>
    <xf numFmtId="169" fontId="12" fillId="30" borderId="34" xfId="0" applyNumberFormat="1" applyFont="1" applyFill="1" applyBorder="1" applyAlignment="1">
      <alignment horizontal="right"/>
    </xf>
    <xf numFmtId="168" fontId="5" fillId="30" borderId="34" xfId="41" applyNumberFormat="1" applyFont="1" applyFill="1" applyBorder="1" applyAlignment="1">
      <alignment horizontal="right" wrapText="1"/>
    </xf>
    <xf numFmtId="169" fontId="3" fillId="28" borderId="35" xfId="66" applyNumberFormat="1" applyFont="1" applyFill="1" applyBorder="1" applyAlignment="1">
      <alignment horizontal="right"/>
    </xf>
    <xf numFmtId="169" fontId="3" fillId="28" borderId="0" xfId="66" applyNumberFormat="1" applyFont="1" applyFill="1" applyBorder="1"/>
    <xf numFmtId="169" fontId="3" fillId="28" borderId="0" xfId="66" applyNumberFormat="1" applyFont="1" applyFill="1" applyBorder="1" applyAlignment="1">
      <alignment horizontal="right"/>
    </xf>
    <xf numFmtId="169" fontId="3" fillId="28" borderId="33" xfId="66" applyNumberFormat="1" applyFont="1" applyFill="1" applyBorder="1" applyAlignment="1">
      <alignment horizontal="right"/>
    </xf>
    <xf numFmtId="169" fontId="3" fillId="28" borderId="34" xfId="66" applyNumberFormat="1" applyFont="1" applyFill="1" applyBorder="1" applyAlignment="1">
      <alignment horizontal="right"/>
    </xf>
    <xf numFmtId="169" fontId="3" fillId="28" borderId="31" xfId="66" applyNumberFormat="1" applyFont="1" applyFill="1" applyBorder="1" applyAlignment="1">
      <alignment horizontal="right"/>
    </xf>
    <xf numFmtId="0" fontId="3" fillId="0" borderId="0" xfId="0" applyFont="1" applyAlignment="1">
      <alignment horizontal="center"/>
    </xf>
    <xf numFmtId="0" fontId="0" fillId="0" borderId="0" xfId="0"/>
    <xf numFmtId="172" fontId="97" fillId="0" borderId="12" xfId="0" applyNumberFormat="1" applyFont="1" applyFill="1" applyBorder="1" applyAlignment="1">
      <alignment horizontal="right"/>
    </xf>
    <xf numFmtId="168" fontId="87" fillId="0" borderId="11" xfId="41" applyNumberFormat="1" applyFont="1" applyFill="1" applyBorder="1" applyAlignment="1">
      <alignment horizontal="right"/>
    </xf>
    <xf numFmtId="165" fontId="6" fillId="16" borderId="0" xfId="0" applyNumberFormat="1" applyFont="1" applyFill="1" applyBorder="1" applyAlignment="1">
      <alignment horizontal="center"/>
    </xf>
    <xf numFmtId="0" fontId="6" fillId="0" borderId="0" xfId="0" applyFont="1" applyFill="1" applyBorder="1"/>
    <xf numFmtId="0" fontId="6" fillId="17" borderId="0" xfId="0" applyFont="1" applyFill="1" applyBorder="1"/>
    <xf numFmtId="165" fontId="3" fillId="0" borderId="0" xfId="0" applyNumberFormat="1" applyFont="1" applyFill="1" applyBorder="1" applyAlignment="1">
      <alignment horizontal="center"/>
    </xf>
    <xf numFmtId="165" fontId="6" fillId="0" borderId="0" xfId="0" applyNumberFormat="1" applyFont="1" applyFill="1" applyBorder="1" applyAlignment="1">
      <alignment horizontal="center"/>
    </xf>
    <xf numFmtId="0" fontId="18" fillId="0" borderId="0" xfId="0" applyFont="1" applyFill="1" applyBorder="1"/>
    <xf numFmtId="0" fontId="98" fillId="34" borderId="0" xfId="0" applyFont="1" applyFill="1" applyBorder="1"/>
    <xf numFmtId="165" fontId="98" fillId="34" borderId="0" xfId="0" applyNumberFormat="1" applyFont="1" applyFill="1" applyBorder="1" applyAlignment="1">
      <alignment horizontal="center"/>
    </xf>
    <xf numFmtId="0" fontId="98" fillId="34" borderId="0" xfId="0" applyFont="1" applyFill="1" applyBorder="1" applyAlignment="1">
      <alignment horizontal="center"/>
    </xf>
    <xf numFmtId="0" fontId="98" fillId="35" borderId="0" xfId="0" applyFont="1" applyFill="1" applyAlignment="1">
      <alignment horizontal="left"/>
    </xf>
    <xf numFmtId="165" fontId="6" fillId="16" borderId="25" xfId="0" applyNumberFormat="1" applyFont="1" applyFill="1" applyBorder="1" applyAlignment="1">
      <alignment horizontal="center"/>
    </xf>
    <xf numFmtId="0" fontId="6" fillId="17" borderId="37" xfId="0" applyFont="1" applyFill="1" applyBorder="1"/>
    <xf numFmtId="171" fontId="3" fillId="0" borderId="0" xfId="0" applyNumberFormat="1" applyFont="1" applyFill="1" applyBorder="1" applyAlignment="1">
      <alignment horizontal="center"/>
    </xf>
    <xf numFmtId="171" fontId="3" fillId="0" borderId="23" xfId="0" applyNumberFormat="1" applyFont="1" applyFill="1" applyBorder="1" applyAlignment="1">
      <alignment horizontal="center"/>
    </xf>
    <xf numFmtId="171" fontId="3" fillId="0" borderId="36" xfId="0" applyNumberFormat="1" applyFont="1" applyFill="1" applyBorder="1"/>
    <xf numFmtId="0" fontId="98" fillId="27" borderId="0" xfId="0" applyFont="1" applyFill="1" applyBorder="1"/>
    <xf numFmtId="171" fontId="98" fillId="27" borderId="0" xfId="0" applyNumberFormat="1" applyFont="1" applyFill="1" applyBorder="1" applyAlignment="1">
      <alignment horizontal="center"/>
    </xf>
    <xf numFmtId="171" fontId="98" fillId="27" borderId="0" xfId="0" applyNumberFormat="1" applyFont="1" applyFill="1" applyBorder="1"/>
    <xf numFmtId="171" fontId="97" fillId="0" borderId="36" xfId="0" applyNumberFormat="1" applyFont="1" applyFill="1" applyBorder="1"/>
    <xf numFmtId="171" fontId="97" fillId="0" borderId="0" xfId="0" applyNumberFormat="1" applyFont="1" applyFill="1" applyBorder="1" applyAlignment="1">
      <alignment horizontal="center"/>
    </xf>
    <xf numFmtId="171" fontId="97" fillId="0" borderId="23" xfId="0" applyNumberFormat="1" applyFont="1" applyFill="1" applyBorder="1" applyAlignment="1">
      <alignment horizontal="center"/>
    </xf>
    <xf numFmtId="171" fontId="5" fillId="0" borderId="0" xfId="0" applyNumberFormat="1" applyFont="1" applyFill="1" applyBorder="1" applyAlignment="1">
      <alignment horizontal="center"/>
    </xf>
    <xf numFmtId="171" fontId="5" fillId="0" borderId="23" xfId="0" applyNumberFormat="1" applyFont="1" applyFill="1" applyBorder="1" applyAlignment="1">
      <alignment horizontal="center"/>
    </xf>
    <xf numFmtId="171" fontId="5" fillId="0" borderId="36" xfId="0" applyNumberFormat="1" applyFont="1" applyFill="1" applyBorder="1"/>
    <xf numFmtId="171" fontId="97" fillId="0" borderId="0" xfId="0" applyNumberFormat="1" applyFont="1" applyFill="1" applyBorder="1"/>
    <xf numFmtId="171" fontId="97" fillId="0" borderId="0" xfId="0" applyNumberFormat="1" applyFont="1" applyFill="1" applyBorder="1" applyAlignment="1">
      <alignment horizontal="right"/>
    </xf>
    <xf numFmtId="9" fontId="5" fillId="0" borderId="0" xfId="66" applyFont="1" applyFill="1" applyBorder="1" applyAlignment="1">
      <alignment horizontal="center"/>
    </xf>
    <xf numFmtId="169" fontId="97" fillId="0" borderId="36" xfId="66" applyNumberFormat="1" applyFont="1" applyFill="1" applyBorder="1"/>
    <xf numFmtId="169" fontId="5" fillId="0" borderId="0" xfId="66" applyNumberFormat="1" applyFont="1" applyFill="1" applyBorder="1" applyAlignment="1">
      <alignment horizontal="center"/>
    </xf>
    <xf numFmtId="169" fontId="5" fillId="0" borderId="23" xfId="66" applyNumberFormat="1" applyFont="1" applyFill="1" applyBorder="1" applyAlignment="1">
      <alignment horizontal="center"/>
    </xf>
    <xf numFmtId="169" fontId="5" fillId="0" borderId="36" xfId="66" applyNumberFormat="1" applyFont="1" applyFill="1" applyBorder="1"/>
    <xf numFmtId="171" fontId="126" fillId="0" borderId="23" xfId="0" applyNumberFormat="1" applyFont="1" applyFill="1" applyBorder="1" applyAlignment="1">
      <alignment horizontal="center"/>
    </xf>
    <xf numFmtId="171" fontId="126" fillId="0" borderId="0" xfId="0" applyNumberFormat="1" applyFont="1" applyFill="1" applyBorder="1" applyAlignment="1">
      <alignment horizontal="center"/>
    </xf>
    <xf numFmtId="171" fontId="126" fillId="0" borderId="36" xfId="0" applyNumberFormat="1" applyFont="1" applyFill="1" applyBorder="1"/>
    <xf numFmtId="165" fontId="3" fillId="0" borderId="25" xfId="0" applyNumberFormat="1" applyFont="1" applyFill="1" applyBorder="1" applyAlignment="1">
      <alignment horizontal="center"/>
    </xf>
    <xf numFmtId="171" fontId="5" fillId="0" borderId="24" xfId="0" applyNumberFormat="1" applyFont="1" applyFill="1" applyBorder="1" applyAlignment="1">
      <alignment horizontal="center"/>
    </xf>
    <xf numFmtId="171" fontId="5" fillId="0" borderId="11" xfId="0" applyNumberFormat="1" applyFont="1" applyFill="1" applyBorder="1" applyAlignment="1">
      <alignment horizontal="center"/>
    </xf>
    <xf numFmtId="171" fontId="98" fillId="27" borderId="0" xfId="0" applyNumberFormat="1" applyFont="1" applyFill="1" applyBorder="1" applyAlignment="1">
      <alignment horizontal="right"/>
    </xf>
    <xf numFmtId="0" fontId="3" fillId="0" borderId="11" xfId="0" applyFont="1" applyFill="1" applyBorder="1"/>
    <xf numFmtId="171" fontId="3" fillId="0" borderId="24" xfId="0" applyNumberFormat="1" applyFont="1" applyFill="1" applyBorder="1" applyAlignment="1">
      <alignment horizontal="center"/>
    </xf>
    <xf numFmtId="171" fontId="3" fillId="0" borderId="11" xfId="0" applyNumberFormat="1" applyFont="1" applyFill="1" applyBorder="1" applyAlignment="1">
      <alignment horizontal="center"/>
    </xf>
    <xf numFmtId="169" fontId="109" fillId="0" borderId="38" xfId="66" applyNumberFormat="1" applyFont="1" applyFill="1" applyBorder="1"/>
    <xf numFmtId="169" fontId="109" fillId="0" borderId="11" xfId="66" applyNumberFormat="1" applyFont="1" applyFill="1" applyBorder="1" applyAlignment="1">
      <alignment horizontal="center"/>
    </xf>
    <xf numFmtId="169" fontId="109" fillId="0" borderId="24" xfId="66" applyNumberFormat="1" applyFont="1" applyFill="1" applyBorder="1" applyAlignment="1">
      <alignment horizontal="center"/>
    </xf>
    <xf numFmtId="169" fontId="3" fillId="0" borderId="11" xfId="66" applyNumberFormat="1" applyFont="1" applyFill="1" applyBorder="1" applyAlignment="1">
      <alignment horizontal="center"/>
    </xf>
    <xf numFmtId="169" fontId="3" fillId="0" borderId="24" xfId="66" applyNumberFormat="1" applyFont="1" applyFill="1" applyBorder="1" applyAlignment="1">
      <alignment horizontal="center"/>
    </xf>
    <xf numFmtId="169" fontId="3" fillId="0" borderId="38" xfId="66" applyNumberFormat="1" applyFont="1" applyFill="1" applyBorder="1"/>
    <xf numFmtId="0" fontId="3" fillId="0" borderId="0" xfId="0" applyFont="1" applyFill="1" applyBorder="1" applyAlignment="1">
      <alignment wrapText="1"/>
    </xf>
    <xf numFmtId="0" fontId="106" fillId="0" borderId="0" xfId="0" applyFont="1" applyFill="1" applyBorder="1"/>
    <xf numFmtId="171" fontId="106" fillId="0" borderId="23" xfId="0" applyNumberFormat="1" applyFont="1" applyFill="1" applyBorder="1" applyAlignment="1">
      <alignment horizontal="center"/>
    </xf>
    <xf numFmtId="171" fontId="106" fillId="0" borderId="0" xfId="0" applyNumberFormat="1" applyFont="1" applyFill="1" applyBorder="1" applyAlignment="1">
      <alignment horizontal="center"/>
    </xf>
    <xf numFmtId="171" fontId="106" fillId="0" borderId="36" xfId="0" applyNumberFormat="1" applyFont="1" applyFill="1" applyBorder="1"/>
    <xf numFmtId="43" fontId="106" fillId="0" borderId="36" xfId="41" applyFont="1" applyFill="1" applyBorder="1"/>
    <xf numFmtId="165" fontId="6" fillId="26" borderId="23" xfId="0" applyNumberFormat="1" applyFont="1" applyFill="1" applyBorder="1" applyAlignment="1">
      <alignment horizontal="center"/>
    </xf>
    <xf numFmtId="165" fontId="6" fillId="26" borderId="0" xfId="0" applyNumberFormat="1" applyFont="1" applyFill="1" applyBorder="1" applyAlignment="1">
      <alignment horizontal="center"/>
    </xf>
    <xf numFmtId="0" fontId="6" fillId="26" borderId="36" xfId="0" applyFont="1" applyFill="1" applyBorder="1"/>
    <xf numFmtId="0" fontId="7" fillId="26" borderId="0" xfId="0" applyFont="1" applyFill="1" applyBorder="1" applyAlignment="1">
      <alignment horizontal="center"/>
    </xf>
    <xf numFmtId="165" fontId="3" fillId="26" borderId="23" xfId="0" applyNumberFormat="1" applyFont="1" applyFill="1" applyBorder="1" applyAlignment="1">
      <alignment horizontal="center"/>
    </xf>
    <xf numFmtId="165" fontId="3" fillId="26" borderId="0" xfId="0" applyNumberFormat="1" applyFont="1" applyFill="1" applyBorder="1" applyAlignment="1">
      <alignment horizontal="center"/>
    </xf>
    <xf numFmtId="0" fontId="3" fillId="26" borderId="0" xfId="0" applyFont="1" applyFill="1"/>
    <xf numFmtId="0" fontId="5" fillId="0" borderId="14" xfId="0" applyFont="1" applyFill="1" applyBorder="1"/>
    <xf numFmtId="171" fontId="5" fillId="0" borderId="39" xfId="0" applyNumberFormat="1" applyFont="1" applyFill="1" applyBorder="1" applyAlignment="1">
      <alignment horizontal="center"/>
    </xf>
    <xf numFmtId="171" fontId="5" fillId="0" borderId="14" xfId="0" applyNumberFormat="1" applyFont="1" applyFill="1" applyBorder="1" applyAlignment="1">
      <alignment horizontal="center"/>
    </xf>
    <xf numFmtId="171" fontId="5" fillId="0" borderId="40" xfId="0" applyNumberFormat="1" applyFont="1" applyFill="1" applyBorder="1"/>
    <xf numFmtId="171" fontId="97" fillId="0" borderId="40" xfId="0" applyNumberFormat="1" applyFont="1" applyFill="1" applyBorder="1"/>
    <xf numFmtId="171" fontId="3" fillId="0" borderId="0" xfId="0" quotePrefix="1" applyNumberFormat="1" applyFont="1" applyFill="1" applyBorder="1" applyAlignment="1">
      <alignment horizontal="center"/>
    </xf>
    <xf numFmtId="171" fontId="127" fillId="0" borderId="23" xfId="0" applyNumberFormat="1" applyFont="1" applyFill="1" applyBorder="1" applyAlignment="1">
      <alignment horizontal="center"/>
    </xf>
    <xf numFmtId="171" fontId="127" fillId="0" borderId="0" xfId="0" applyNumberFormat="1" applyFont="1" applyFill="1" applyBorder="1" applyAlignment="1">
      <alignment horizontal="center"/>
    </xf>
    <xf numFmtId="171" fontId="127" fillId="0" borderId="0" xfId="0" quotePrefix="1" applyNumberFormat="1" applyFont="1" applyFill="1" applyBorder="1" applyAlignment="1">
      <alignment horizontal="center"/>
    </xf>
    <xf numFmtId="43" fontId="106" fillId="0" borderId="0" xfId="41" applyFont="1" applyFill="1" applyBorder="1" applyAlignment="1">
      <alignment horizontal="center"/>
    </xf>
    <xf numFmtId="43" fontId="106" fillId="0" borderId="23" xfId="41" applyFont="1" applyFill="1" applyBorder="1" applyAlignment="1">
      <alignment horizontal="center"/>
    </xf>
    <xf numFmtId="171" fontId="97" fillId="0" borderId="39" xfId="0" applyNumberFormat="1" applyFont="1" applyFill="1" applyBorder="1" applyAlignment="1">
      <alignment horizontal="center"/>
    </xf>
    <xf numFmtId="171" fontId="97" fillId="0" borderId="14" xfId="0" applyNumberFormat="1" applyFont="1" applyFill="1" applyBorder="1" applyAlignment="1">
      <alignment horizontal="center"/>
    </xf>
    <xf numFmtId="169" fontId="3" fillId="0" borderId="36" xfId="66" applyNumberFormat="1" applyFont="1" applyFill="1" applyBorder="1"/>
    <xf numFmtId="169" fontId="3" fillId="0" borderId="23" xfId="66" applyNumberFormat="1" applyFont="1" applyFill="1" applyBorder="1" applyAlignment="1">
      <alignment horizontal="center"/>
    </xf>
    <xf numFmtId="169" fontId="3" fillId="0" borderId="0" xfId="66" applyNumberFormat="1" applyFont="1" applyFill="1" applyBorder="1" applyAlignment="1">
      <alignment horizontal="center"/>
    </xf>
    <xf numFmtId="169" fontId="97" fillId="0" borderId="36" xfId="66" applyNumberFormat="1" applyFont="1" applyFill="1" applyBorder="1" applyAlignment="1">
      <alignment horizontal="right"/>
    </xf>
    <xf numFmtId="169" fontId="5" fillId="0" borderId="36" xfId="66" applyNumberFormat="1" applyFont="1" applyFill="1" applyBorder="1" applyAlignment="1">
      <alignment horizontal="right"/>
    </xf>
    <xf numFmtId="171" fontId="5" fillId="0" borderId="36" xfId="0" applyNumberFormat="1" applyFont="1" applyFill="1" applyBorder="1" applyAlignment="1">
      <alignment horizontal="right"/>
    </xf>
    <xf numFmtId="171" fontId="97" fillId="0" borderId="38" xfId="0" applyNumberFormat="1" applyFont="1" applyFill="1" applyBorder="1"/>
    <xf numFmtId="171" fontId="97" fillId="0" borderId="11" xfId="0" applyNumberFormat="1" applyFont="1" applyFill="1" applyBorder="1" applyAlignment="1">
      <alignment horizontal="center"/>
    </xf>
    <xf numFmtId="171" fontId="97" fillId="0" borderId="24" xfId="0" applyNumberFormat="1" applyFont="1" applyFill="1" applyBorder="1" applyAlignment="1">
      <alignment horizontal="center"/>
    </xf>
    <xf numFmtId="171" fontId="97" fillId="0" borderId="38" xfId="0" applyNumberFormat="1" applyFont="1" applyFill="1" applyBorder="1" applyAlignment="1">
      <alignment horizontal="right"/>
    </xf>
    <xf numFmtId="169" fontId="127" fillId="0" borderId="23" xfId="66" applyNumberFormat="1" applyFont="1" applyFill="1" applyBorder="1" applyAlignment="1">
      <alignment horizontal="center"/>
    </xf>
    <xf numFmtId="169" fontId="127" fillId="0" borderId="0" xfId="66" applyNumberFormat="1" applyFont="1" applyFill="1" applyBorder="1" applyAlignment="1">
      <alignment horizontal="center"/>
    </xf>
    <xf numFmtId="0" fontId="0" fillId="0" borderId="0" xfId="0"/>
    <xf numFmtId="0" fontId="0" fillId="0" borderId="0" xfId="0"/>
    <xf numFmtId="10" fontId="0" fillId="0" borderId="0" xfId="66" applyNumberFormat="1" applyFont="1"/>
    <xf numFmtId="10" fontId="5" fillId="0" borderId="0" xfId="0" applyNumberFormat="1" applyFont="1" applyFill="1" applyBorder="1" applyAlignment="1">
      <alignment horizontal="right"/>
    </xf>
    <xf numFmtId="169" fontId="5" fillId="0" borderId="0" xfId="66" applyNumberFormat="1" applyFont="1" applyFill="1" applyAlignment="1"/>
    <xf numFmtId="169" fontId="3" fillId="28" borderId="15" xfId="66" applyNumberFormat="1" applyFont="1" applyFill="1" applyBorder="1" applyAlignment="1">
      <alignment horizontal="right"/>
    </xf>
    <xf numFmtId="169" fontId="102" fillId="31" borderId="22" xfId="66" applyNumberFormat="1" applyFont="1" applyFill="1" applyBorder="1"/>
    <xf numFmtId="166" fontId="102" fillId="31" borderId="23" xfId="41" applyNumberFormat="1" applyFont="1" applyFill="1" applyBorder="1"/>
    <xf numFmtId="184" fontId="101" fillId="0" borderId="23" xfId="41" applyNumberFormat="1" applyFont="1" applyFill="1" applyBorder="1" applyAlignment="1">
      <alignment horizontal="right" wrapText="1"/>
    </xf>
    <xf numFmtId="43" fontId="2" fillId="0" borderId="0" xfId="0" applyNumberFormat="1" applyFont="1"/>
    <xf numFmtId="169" fontId="114" fillId="0" borderId="0" xfId="0" applyNumberFormat="1" applyFont="1" applyFill="1" applyAlignment="1">
      <alignment horizontal="right"/>
    </xf>
    <xf numFmtId="212" fontId="114" fillId="28" borderId="0" xfId="41" applyNumberFormat="1" applyFont="1" applyFill="1" applyBorder="1" applyAlignment="1">
      <alignment horizontal="right" wrapText="1"/>
    </xf>
    <xf numFmtId="212" fontId="114" fillId="28" borderId="33" xfId="41" applyNumberFormat="1" applyFont="1" applyFill="1" applyBorder="1" applyAlignment="1">
      <alignment horizontal="right" wrapText="1"/>
    </xf>
    <xf numFmtId="169" fontId="114" fillId="28" borderId="0" xfId="0" applyNumberFormat="1" applyFont="1" applyFill="1" applyBorder="1" applyAlignment="1">
      <alignment horizontal="right"/>
    </xf>
    <xf numFmtId="169" fontId="114" fillId="28" borderId="33" xfId="0" applyNumberFormat="1" applyFont="1" applyFill="1" applyBorder="1" applyAlignment="1">
      <alignment horizontal="right"/>
    </xf>
    <xf numFmtId="169" fontId="114" fillId="30" borderId="0" xfId="0" applyNumberFormat="1" applyFont="1" applyFill="1" applyBorder="1" applyAlignment="1">
      <alignment horizontal="right"/>
    </xf>
    <xf numFmtId="169" fontId="114" fillId="30" borderId="33" xfId="0" applyNumberFormat="1" applyFont="1" applyFill="1" applyBorder="1" applyAlignment="1">
      <alignment horizontal="right"/>
    </xf>
    <xf numFmtId="43" fontId="5" fillId="0" borderId="12" xfId="41" applyFont="1" applyFill="1" applyBorder="1"/>
    <xf numFmtId="169" fontId="114" fillId="0" borderId="0" xfId="66" applyNumberFormat="1" applyFont="1" applyFill="1" applyBorder="1" applyAlignment="1">
      <alignment horizontal="right" wrapText="1"/>
    </xf>
    <xf numFmtId="8" fontId="97" fillId="0" borderId="0" xfId="0" applyNumberFormat="1" applyFont="1" applyFill="1" applyAlignment="1">
      <alignment horizontal="right"/>
    </xf>
    <xf numFmtId="166" fontId="97" fillId="0" borderId="14" xfId="41" applyNumberFormat="1" applyFont="1" applyFill="1" applyBorder="1" applyAlignment="1">
      <alignment horizontal="right"/>
    </xf>
    <xf numFmtId="9" fontId="0" fillId="0" borderId="0" xfId="66" applyFont="1" applyFill="1" applyAlignment="1">
      <alignment horizontal="right"/>
    </xf>
    <xf numFmtId="7" fontId="18" fillId="28" borderId="12" xfId="41" applyNumberFormat="1" applyFont="1" applyFill="1" applyBorder="1" applyAlignment="1">
      <alignment horizontal="right"/>
    </xf>
    <xf numFmtId="7" fontId="3" fillId="28" borderId="0" xfId="0" applyNumberFormat="1" applyFont="1" applyFill="1" applyBorder="1" applyAlignment="1">
      <alignment horizontal="right"/>
    </xf>
    <xf numFmtId="7" fontId="18" fillId="28" borderId="0" xfId="41" applyNumberFormat="1" applyFont="1" applyFill="1" applyBorder="1" applyAlignment="1">
      <alignment horizontal="right"/>
    </xf>
    <xf numFmtId="7" fontId="18" fillId="28" borderId="11" xfId="41" applyNumberFormat="1" applyFont="1" applyFill="1" applyBorder="1" applyAlignment="1">
      <alignment horizontal="right"/>
    </xf>
    <xf numFmtId="7" fontId="18" fillId="28" borderId="22" xfId="41" applyNumberFormat="1" applyFont="1" applyFill="1" applyBorder="1" applyAlignment="1">
      <alignment horizontal="right"/>
    </xf>
    <xf numFmtId="0" fontId="5" fillId="0" borderId="0" xfId="0" applyFont="1" applyFill="1" applyBorder="1" applyAlignment="1" applyProtection="1">
      <protection locked="0"/>
    </xf>
    <xf numFmtId="166" fontId="3" fillId="0" borderId="0" xfId="41" applyNumberFormat="1" applyFont="1" applyFill="1" applyBorder="1" applyAlignment="1" applyProtection="1">
      <alignment horizontal="right"/>
      <protection locked="0"/>
    </xf>
    <xf numFmtId="168" fontId="3" fillId="0" borderId="0" xfId="41" applyNumberFormat="1" applyFont="1" applyFill="1" applyBorder="1" applyAlignment="1" applyProtection="1">
      <alignment horizontal="right"/>
      <protection locked="0"/>
    </xf>
    <xf numFmtId="0" fontId="3" fillId="0" borderId="0" xfId="0" applyFont="1" applyFill="1" applyBorder="1" applyAlignment="1" applyProtection="1">
      <protection locked="0"/>
    </xf>
    <xf numFmtId="0" fontId="98" fillId="29" borderId="0" xfId="0" applyFont="1" applyFill="1" applyBorder="1"/>
    <xf numFmtId="0" fontId="0" fillId="0" borderId="0" xfId="0"/>
    <xf numFmtId="168" fontId="87" fillId="31" borderId="0" xfId="41" applyNumberFormat="1" applyFont="1" applyFill="1" applyBorder="1" applyAlignment="1">
      <alignment horizontal="right"/>
    </xf>
    <xf numFmtId="169" fontId="74" fillId="0" borderId="0" xfId="0" applyNumberFormat="1" applyFont="1"/>
    <xf numFmtId="5" fontId="97" fillId="0" borderId="0" xfId="41" applyNumberFormat="1" applyFont="1" applyFill="1" applyAlignment="1">
      <alignment horizontal="right"/>
    </xf>
    <xf numFmtId="43" fontId="23" fillId="0" borderId="0" xfId="41" applyFont="1" applyFill="1" applyAlignment="1">
      <alignment horizontal="right"/>
    </xf>
    <xf numFmtId="43" fontId="42" fillId="0" borderId="0" xfId="41" applyFont="1" applyFill="1" applyBorder="1" applyAlignment="1">
      <alignment horizontal="right"/>
    </xf>
    <xf numFmtId="168" fontId="12" fillId="36" borderId="0" xfId="41" applyNumberFormat="1" applyFont="1" applyFill="1" applyBorder="1" applyAlignment="1">
      <alignment horizontal="right" wrapText="1"/>
    </xf>
    <xf numFmtId="168" fontId="87" fillId="36" borderId="11" xfId="41" applyNumberFormat="1" applyFont="1" applyFill="1" applyBorder="1" applyAlignment="1">
      <alignment horizontal="right"/>
    </xf>
    <xf numFmtId="166" fontId="5" fillId="0" borderId="0" xfId="42" applyNumberFormat="1" applyFont="1" applyFill="1" applyAlignment="1"/>
    <xf numFmtId="177" fontId="2" fillId="0" borderId="0" xfId="41" applyNumberFormat="1" applyFont="1" applyFill="1" applyBorder="1" applyAlignment="1">
      <alignment horizontal="right"/>
    </xf>
    <xf numFmtId="0" fontId="0" fillId="0" borderId="0" xfId="0"/>
    <xf numFmtId="171" fontId="5" fillId="28" borderId="33" xfId="41" applyNumberFormat="1" applyFont="1" applyFill="1" applyBorder="1" applyAlignment="1">
      <alignment horizontal="right" wrapText="1"/>
    </xf>
    <xf numFmtId="171" fontId="5" fillId="28" borderId="0" xfId="41" applyNumberFormat="1" applyFont="1" applyFill="1" applyBorder="1" applyAlignment="1">
      <alignment horizontal="right" wrapText="1"/>
    </xf>
    <xf numFmtId="171" fontId="5" fillId="28" borderId="34" xfId="41" applyNumberFormat="1" applyFont="1" applyFill="1" applyBorder="1" applyAlignment="1">
      <alignment horizontal="right" wrapText="1"/>
    </xf>
    <xf numFmtId="171" fontId="5" fillId="28" borderId="31" xfId="41" applyNumberFormat="1" applyFont="1" applyFill="1" applyBorder="1" applyAlignment="1">
      <alignment horizontal="right" wrapText="1"/>
    </xf>
    <xf numFmtId="169" fontId="5" fillId="28" borderId="33" xfId="0" applyNumberFormat="1" applyFont="1" applyFill="1" applyBorder="1" applyAlignment="1">
      <alignment horizontal="right"/>
    </xf>
    <xf numFmtId="166" fontId="114" fillId="30" borderId="0" xfId="41" applyNumberFormat="1" applyFont="1" applyFill="1" applyBorder="1" applyAlignment="1">
      <alignment horizontal="right"/>
    </xf>
    <xf numFmtId="166" fontId="12" fillId="30" borderId="33" xfId="41" applyNumberFormat="1" applyFont="1" applyFill="1" applyBorder="1" applyAlignment="1">
      <alignment horizontal="right"/>
    </xf>
    <xf numFmtId="166" fontId="12" fillId="0" borderId="34" xfId="41" applyNumberFormat="1" applyFont="1" applyFill="1" applyBorder="1" applyAlignment="1">
      <alignment horizontal="right"/>
    </xf>
    <xf numFmtId="166" fontId="12" fillId="30" borderId="0" xfId="41" applyNumberFormat="1" applyFont="1" applyFill="1" applyBorder="1" applyAlignment="1">
      <alignment horizontal="right"/>
    </xf>
    <xf numFmtId="166" fontId="12" fillId="30" borderId="31" xfId="41" applyNumberFormat="1" applyFont="1" applyFill="1" applyBorder="1" applyAlignment="1">
      <alignment horizontal="right"/>
    </xf>
    <xf numFmtId="166" fontId="12" fillId="30" borderId="34" xfId="41" applyNumberFormat="1" applyFont="1" applyFill="1" applyBorder="1" applyAlignment="1">
      <alignment horizontal="right"/>
    </xf>
    <xf numFmtId="166" fontId="13" fillId="30" borderId="0" xfId="41" applyNumberFormat="1" applyFont="1" applyFill="1" applyBorder="1" applyAlignment="1"/>
    <xf numFmtId="166" fontId="13" fillId="0" borderId="0" xfId="41" applyNumberFormat="1" applyFont="1" applyFill="1" applyBorder="1" applyAlignment="1"/>
    <xf numFmtId="166" fontId="13" fillId="0" borderId="34" xfId="41" applyNumberFormat="1" applyFont="1" applyFill="1" applyBorder="1" applyAlignment="1"/>
    <xf numFmtId="166" fontId="13" fillId="30" borderId="34" xfId="41" applyNumberFormat="1" applyFont="1" applyFill="1" applyBorder="1" applyAlignment="1"/>
    <xf numFmtId="166" fontId="5" fillId="30" borderId="33" xfId="41" applyNumberFormat="1" applyFont="1" applyFill="1" applyBorder="1" applyAlignment="1">
      <alignment horizontal="right"/>
    </xf>
    <xf numFmtId="169" fontId="5" fillId="28" borderId="0" xfId="66" applyNumberFormat="1" applyFont="1" applyFill="1" applyBorder="1"/>
    <xf numFmtId="169" fontId="5" fillId="28" borderId="0" xfId="66" applyNumberFormat="1" applyFont="1" applyFill="1" applyBorder="1" applyAlignment="1">
      <alignment horizontal="right"/>
    </xf>
    <xf numFmtId="169" fontId="5" fillId="28" borderId="33" xfId="66" applyNumberFormat="1" applyFont="1" applyFill="1" applyBorder="1" applyAlignment="1">
      <alignment horizontal="right"/>
    </xf>
    <xf numFmtId="166" fontId="5" fillId="28" borderId="0" xfId="41" applyNumberFormat="1" applyFont="1" applyFill="1" applyBorder="1" applyAlignment="1">
      <alignment horizontal="right"/>
    </xf>
    <xf numFmtId="171" fontId="5" fillId="28" borderId="33" xfId="41" applyNumberFormat="1" applyFont="1" applyFill="1" applyBorder="1" applyAlignment="1">
      <alignment horizontal="right"/>
    </xf>
    <xf numFmtId="171" fontId="5" fillId="28" borderId="31" xfId="41" applyNumberFormat="1" applyFont="1" applyFill="1" applyBorder="1" applyAlignment="1">
      <alignment horizontal="right"/>
    </xf>
    <xf numFmtId="171" fontId="5" fillId="28" borderId="0" xfId="41" applyNumberFormat="1" applyFont="1" applyFill="1" applyBorder="1" applyAlignment="1">
      <alignment horizontal="right"/>
    </xf>
    <xf numFmtId="171" fontId="5" fillId="28" borderId="34" xfId="41" applyNumberFormat="1" applyFont="1" applyFill="1" applyBorder="1" applyAlignment="1">
      <alignment horizontal="right"/>
    </xf>
    <xf numFmtId="166" fontId="97" fillId="30" borderId="33" xfId="41" applyNumberFormat="1" applyFont="1" applyFill="1" applyBorder="1" applyAlignment="1">
      <alignment horizontal="right"/>
    </xf>
    <xf numFmtId="166" fontId="97" fillId="30" borderId="0" xfId="41" applyNumberFormat="1" applyFont="1" applyFill="1" applyBorder="1" applyAlignment="1">
      <alignment horizontal="right"/>
    </xf>
    <xf numFmtId="166" fontId="97" fillId="30" borderId="34" xfId="41" applyNumberFormat="1" applyFont="1" applyFill="1" applyBorder="1" applyAlignment="1">
      <alignment horizontal="right"/>
    </xf>
    <xf numFmtId="0" fontId="0" fillId="0" borderId="0" xfId="0"/>
    <xf numFmtId="166" fontId="5" fillId="30" borderId="0" xfId="41" applyNumberFormat="1" applyFont="1" applyFill="1" applyBorder="1" applyAlignment="1">
      <alignment horizontal="right"/>
    </xf>
    <xf numFmtId="166" fontId="5" fillId="30" borderId="34" xfId="41" applyNumberFormat="1" applyFont="1" applyFill="1" applyBorder="1" applyAlignment="1">
      <alignment horizontal="right"/>
    </xf>
    <xf numFmtId="166" fontId="5" fillId="0" borderId="0" xfId="42" applyNumberFormat="1" applyFont="1" applyFill="1" applyBorder="1" applyAlignment="1"/>
    <xf numFmtId="168" fontId="5" fillId="30" borderId="33" xfId="0" applyNumberFormat="1" applyFont="1" applyFill="1" applyBorder="1" applyAlignment="1">
      <alignment horizontal="right"/>
    </xf>
    <xf numFmtId="166" fontId="5" fillId="0" borderId="34" xfId="42" applyNumberFormat="1" applyFont="1" applyFill="1" applyBorder="1" applyAlignment="1"/>
    <xf numFmtId="168" fontId="5" fillId="30" borderId="31" xfId="0" applyNumberFormat="1" applyFont="1" applyFill="1" applyBorder="1" applyAlignment="1">
      <alignment horizontal="right"/>
    </xf>
    <xf numFmtId="166" fontId="5" fillId="30" borderId="0" xfId="42" applyNumberFormat="1" applyFont="1" applyFill="1" applyBorder="1" applyAlignment="1"/>
    <xf numFmtId="166" fontId="5" fillId="30" borderId="34" xfId="42" applyNumberFormat="1" applyFont="1" applyFill="1" applyBorder="1" applyAlignment="1"/>
    <xf numFmtId="184" fontId="5" fillId="30" borderId="0" xfId="0" applyNumberFormat="1" applyFont="1" applyFill="1" applyBorder="1" applyAlignment="1">
      <alignment horizontal="right"/>
    </xf>
    <xf numFmtId="184" fontId="5" fillId="30" borderId="33" xfId="0" applyNumberFormat="1" applyFont="1" applyFill="1" applyBorder="1" applyAlignment="1">
      <alignment horizontal="right"/>
    </xf>
    <xf numFmtId="184" fontId="5" fillId="30" borderId="34" xfId="0" applyNumberFormat="1" applyFont="1" applyFill="1" applyBorder="1" applyAlignment="1">
      <alignment horizontal="right"/>
    </xf>
    <xf numFmtId="184" fontId="5" fillId="30" borderId="31" xfId="0" applyNumberFormat="1" applyFont="1" applyFill="1" applyBorder="1" applyAlignment="1">
      <alignment horizontal="right"/>
    </xf>
    <xf numFmtId="168" fontId="5" fillId="30" borderId="33" xfId="41" applyNumberFormat="1" applyFont="1" applyFill="1" applyBorder="1" applyAlignment="1">
      <alignment horizontal="right"/>
    </xf>
    <xf numFmtId="168" fontId="5" fillId="30" borderId="31" xfId="41" applyNumberFormat="1" applyFont="1" applyFill="1" applyBorder="1" applyAlignment="1">
      <alignment horizontal="right"/>
    </xf>
    <xf numFmtId="43" fontId="5" fillId="30" borderId="16" xfId="41" applyFont="1" applyFill="1" applyBorder="1"/>
    <xf numFmtId="0" fontId="0" fillId="0" borderId="0" xfId="0"/>
    <xf numFmtId="0" fontId="14" fillId="0" borderId="0" xfId="0" applyFont="1" applyFill="1" applyBorder="1" applyAlignment="1" applyProtection="1">
      <protection locked="0"/>
    </xf>
    <xf numFmtId="166" fontId="5" fillId="0" borderId="0" xfId="41" applyNumberFormat="1" applyFont="1" applyFill="1" applyBorder="1" applyProtection="1"/>
    <xf numFmtId="166" fontId="5" fillId="0" borderId="0" xfId="41" applyNumberFormat="1" applyFont="1" applyFill="1" applyBorder="1" applyAlignment="1" applyProtection="1">
      <alignment horizontal="right"/>
    </xf>
    <xf numFmtId="170" fontId="5" fillId="0" borderId="0" xfId="41" applyNumberFormat="1" applyFont="1" applyFill="1" applyBorder="1" applyProtection="1"/>
    <xf numFmtId="168" fontId="115" fillId="0" borderId="0" xfId="41" applyNumberFormat="1" applyFont="1" applyFill="1" applyBorder="1" applyAlignment="1" applyProtection="1">
      <alignment horizontal="right"/>
      <protection locked="0"/>
    </xf>
    <xf numFmtId="168" fontId="115" fillId="0" borderId="0" xfId="41" applyNumberFormat="1" applyFont="1" applyFill="1" applyBorder="1" applyProtection="1"/>
    <xf numFmtId="169" fontId="5" fillId="0" borderId="0" xfId="66" applyNumberFormat="1" applyFont="1" applyFill="1" applyBorder="1" applyProtection="1"/>
    <xf numFmtId="169" fontId="115" fillId="0" borderId="0" xfId="66" applyNumberFormat="1" applyFont="1" applyFill="1" applyBorder="1" applyAlignment="1" applyProtection="1">
      <alignment horizontal="right"/>
      <protection locked="0"/>
    </xf>
    <xf numFmtId="168" fontId="5" fillId="0" borderId="0" xfId="41" applyNumberFormat="1" applyFont="1" applyFill="1" applyBorder="1" applyAlignment="1" applyProtection="1">
      <alignment horizontal="right"/>
      <protection locked="0"/>
    </xf>
    <xf numFmtId="168" fontId="5" fillId="0" borderId="0" xfId="66" applyNumberFormat="1" applyFont="1" applyFill="1" applyBorder="1" applyAlignment="1" applyProtection="1">
      <alignment horizontal="right"/>
    </xf>
    <xf numFmtId="168" fontId="5" fillId="0" borderId="0" xfId="66" applyNumberFormat="1" applyFont="1" applyFill="1" applyBorder="1" applyProtection="1"/>
    <xf numFmtId="169" fontId="3" fillId="0" borderId="0" xfId="66" applyNumberFormat="1" applyFont="1" applyFill="1" applyBorder="1" applyProtection="1"/>
    <xf numFmtId="168" fontId="3" fillId="0" borderId="0" xfId="66" applyNumberFormat="1" applyFont="1" applyFill="1" applyBorder="1" applyAlignment="1" applyProtection="1">
      <alignment horizontal="right"/>
    </xf>
    <xf numFmtId="168" fontId="3" fillId="0" borderId="0" xfId="66" applyNumberFormat="1" applyFont="1" applyFill="1" applyBorder="1" applyProtection="1"/>
    <xf numFmtId="9" fontId="3" fillId="0" borderId="0" xfId="66" applyFont="1" applyFill="1" applyBorder="1" applyProtection="1"/>
    <xf numFmtId="169" fontId="3" fillId="0" borderId="0" xfId="66" applyNumberFormat="1" applyFont="1" applyFill="1" applyBorder="1" applyAlignment="1" applyProtection="1">
      <alignment horizontal="right"/>
      <protection locked="0"/>
    </xf>
    <xf numFmtId="169" fontId="3" fillId="0" borderId="0" xfId="66" applyNumberFormat="1" applyFont="1" applyFill="1" applyBorder="1" applyAlignment="1" applyProtection="1">
      <alignment horizontal="right"/>
    </xf>
    <xf numFmtId="9" fontId="5" fillId="0" borderId="0" xfId="66" applyFont="1" applyFill="1" applyBorder="1" applyProtection="1"/>
    <xf numFmtId="169" fontId="5" fillId="0" borderId="0" xfId="66" applyNumberFormat="1" applyFont="1" applyFill="1" applyBorder="1" applyAlignment="1" applyProtection="1">
      <alignment horizontal="right"/>
      <protection locked="0"/>
    </xf>
    <xf numFmtId="9" fontId="5" fillId="0" borderId="0" xfId="66" applyFont="1" applyFill="1" applyBorder="1" applyAlignment="1" applyProtection="1">
      <alignment horizontal="right"/>
    </xf>
    <xf numFmtId="166" fontId="5" fillId="0" borderId="0" xfId="41" applyNumberFormat="1" applyFont="1" applyFill="1" applyBorder="1" applyAlignment="1" applyProtection="1">
      <alignment horizontal="right"/>
      <protection locked="0"/>
    </xf>
    <xf numFmtId="0" fontId="11" fillId="0" borderId="0" xfId="0" applyFont="1" applyFill="1" applyBorder="1" applyAlignment="1" applyProtection="1">
      <protection locked="0"/>
    </xf>
    <xf numFmtId="166" fontId="3" fillId="0" borderId="0" xfId="41" applyNumberFormat="1" applyFont="1" applyFill="1" applyBorder="1" applyAlignment="1" applyProtection="1">
      <alignment horizontal="right"/>
    </xf>
    <xf numFmtId="166" fontId="3" fillId="0" borderId="0" xfId="41" applyNumberFormat="1" applyFont="1" applyFill="1" applyBorder="1" applyProtection="1"/>
    <xf numFmtId="177" fontId="3" fillId="0" borderId="0" xfId="41" applyNumberFormat="1" applyFont="1" applyFill="1" applyBorder="1" applyAlignment="1" applyProtection="1">
      <alignment horizontal="right"/>
      <protection locked="0"/>
    </xf>
    <xf numFmtId="177" fontId="3" fillId="0" borderId="0" xfId="41" applyNumberFormat="1" applyFont="1" applyFill="1" applyBorder="1" applyAlignment="1" applyProtection="1">
      <alignment horizontal="right"/>
    </xf>
    <xf numFmtId="177" fontId="3" fillId="0" borderId="0" xfId="41" applyNumberFormat="1" applyFont="1" applyFill="1" applyBorder="1" applyProtection="1"/>
    <xf numFmtId="177" fontId="5" fillId="0" borderId="0" xfId="66" applyNumberFormat="1" applyFont="1" applyFill="1" applyBorder="1" applyProtection="1"/>
    <xf numFmtId="168" fontId="5" fillId="0" borderId="0" xfId="41" applyNumberFormat="1" applyFont="1" applyFill="1" applyBorder="1" applyProtection="1"/>
    <xf numFmtId="168" fontId="5" fillId="0" borderId="0" xfId="41" applyNumberFormat="1" applyFont="1" applyFill="1" applyBorder="1" applyAlignment="1" applyProtection="1">
      <alignment horizontal="right"/>
    </xf>
    <xf numFmtId="172" fontId="109" fillId="0" borderId="0" xfId="41" applyNumberFormat="1" applyFont="1" applyFill="1" applyAlignment="1">
      <alignment horizontal="right"/>
    </xf>
    <xf numFmtId="0" fontId="0" fillId="0" borderId="0" xfId="0"/>
    <xf numFmtId="0" fontId="0" fillId="0" borderId="0" xfId="0"/>
    <xf numFmtId="0" fontId="3" fillId="0" borderId="0" xfId="0" applyFont="1" applyFill="1" applyBorder="1" applyAlignment="1">
      <alignment horizontal="left"/>
    </xf>
    <xf numFmtId="0" fontId="5" fillId="0" borderId="0" xfId="0" applyFont="1" applyFill="1" applyBorder="1" applyAlignment="1">
      <alignment horizontal="left"/>
    </xf>
    <xf numFmtId="169" fontId="5" fillId="0" borderId="0" xfId="43" applyNumberFormat="1" applyFont="1" applyFill="1" applyBorder="1"/>
    <xf numFmtId="169" fontId="5" fillId="0" borderId="0" xfId="66" applyNumberFormat="1" applyFont="1" applyFill="1" applyBorder="1" applyAlignment="1">
      <alignment horizontal="left" indent="1"/>
    </xf>
    <xf numFmtId="166" fontId="102" fillId="0" borderId="0" xfId="41" applyNumberFormat="1" applyFont="1" applyFill="1" applyBorder="1"/>
    <xf numFmtId="168" fontId="3" fillId="31" borderId="0" xfId="0" applyNumberFormat="1" applyFont="1" applyFill="1" applyBorder="1"/>
    <xf numFmtId="169" fontId="5" fillId="0" borderId="0" xfId="0" applyNumberFormat="1" applyFont="1" applyBorder="1"/>
    <xf numFmtId="0" fontId="0" fillId="0" borderId="0" xfId="0"/>
    <xf numFmtId="166" fontId="5" fillId="30" borderId="19" xfId="41" applyNumberFormat="1" applyFont="1" applyFill="1" applyBorder="1"/>
    <xf numFmtId="169" fontId="129" fillId="0" borderId="0" xfId="0" applyNumberFormat="1" applyFont="1" applyFill="1" applyAlignment="1">
      <alignment horizontal="right"/>
    </xf>
    <xf numFmtId="0" fontId="0" fillId="0" borderId="0" xfId="0"/>
    <xf numFmtId="0" fontId="3" fillId="37" borderId="23" xfId="0" applyFont="1" applyFill="1" applyBorder="1" applyAlignment="1">
      <alignment horizontal="left"/>
    </xf>
    <xf numFmtId="169" fontId="5" fillId="37" borderId="23" xfId="66" applyNumberFormat="1" applyFont="1" applyFill="1" applyBorder="1"/>
    <xf numFmtId="169" fontId="5" fillId="37" borderId="0" xfId="66" applyNumberFormat="1" applyFont="1" applyFill="1" applyBorder="1"/>
    <xf numFmtId="169" fontId="5" fillId="37" borderId="12" xfId="66" applyNumberFormat="1" applyFont="1" applyFill="1" applyBorder="1"/>
    <xf numFmtId="169" fontId="5" fillId="37" borderId="0" xfId="43" applyNumberFormat="1" applyFont="1" applyFill="1" applyBorder="1"/>
    <xf numFmtId="166" fontId="109" fillId="37" borderId="23" xfId="41" applyNumberFormat="1" applyFont="1" applyFill="1" applyBorder="1"/>
    <xf numFmtId="166" fontId="109" fillId="37" borderId="0" xfId="41" applyNumberFormat="1" applyFont="1" applyFill="1" applyBorder="1"/>
    <xf numFmtId="166" fontId="3" fillId="37" borderId="12" xfId="41" applyNumberFormat="1" applyFont="1" applyFill="1" applyBorder="1"/>
    <xf numFmtId="166" fontId="5" fillId="37" borderId="0" xfId="41" applyNumberFormat="1" applyFont="1" applyFill="1" applyBorder="1"/>
    <xf numFmtId="166" fontId="5" fillId="37" borderId="23" xfId="41" applyNumberFormat="1" applyFont="1" applyFill="1" applyBorder="1"/>
    <xf numFmtId="166" fontId="4" fillId="37" borderId="0" xfId="41" applyNumberFormat="1" applyFont="1" applyFill="1" applyBorder="1" applyAlignment="1">
      <alignment horizontal="right"/>
    </xf>
    <xf numFmtId="166" fontId="3" fillId="37" borderId="23" xfId="41" applyNumberFormat="1" applyFont="1" applyFill="1" applyBorder="1"/>
    <xf numFmtId="166" fontId="3" fillId="37" borderId="0" xfId="41" applyNumberFormat="1" applyFont="1" applyFill="1" applyBorder="1"/>
    <xf numFmtId="166" fontId="2" fillId="37" borderId="0" xfId="41" applyNumberFormat="1" applyFont="1" applyFill="1" applyBorder="1" applyAlignment="1">
      <alignment horizontal="right"/>
    </xf>
    <xf numFmtId="166" fontId="102" fillId="37" borderId="23" xfId="41" applyNumberFormat="1" applyFont="1" applyFill="1" applyBorder="1"/>
    <xf numFmtId="169" fontId="5" fillId="38" borderId="23" xfId="66" applyNumberFormat="1" applyFont="1" applyFill="1" applyBorder="1" applyAlignment="1">
      <alignment horizontal="left" indent="1"/>
    </xf>
    <xf numFmtId="169" fontId="5" fillId="38" borderId="23" xfId="66" applyNumberFormat="1" applyFont="1" applyFill="1" applyBorder="1"/>
    <xf numFmtId="169" fontId="5" fillId="38" borderId="0" xfId="66" applyNumberFormat="1" applyFont="1" applyFill="1"/>
    <xf numFmtId="169" fontId="5" fillId="38" borderId="12" xfId="66" applyNumberFormat="1" applyFont="1" applyFill="1" applyBorder="1"/>
    <xf numFmtId="175" fontId="5" fillId="38" borderId="0" xfId="0" applyNumberFormat="1" applyFont="1" applyFill="1" applyBorder="1" applyAlignment="1">
      <alignment horizontal="right"/>
    </xf>
    <xf numFmtId="169" fontId="97" fillId="38" borderId="0" xfId="66" applyNumberFormat="1" applyFont="1" applyFill="1"/>
    <xf numFmtId="169" fontId="97" fillId="38" borderId="23" xfId="66" applyNumberFormat="1" applyFont="1" applyFill="1" applyBorder="1"/>
    <xf numFmtId="169" fontId="114" fillId="38" borderId="23" xfId="66" applyNumberFormat="1" applyFont="1" applyFill="1" applyBorder="1"/>
    <xf numFmtId="169" fontId="101" fillId="38" borderId="23" xfId="66" applyNumberFormat="1" applyFont="1" applyFill="1" applyBorder="1"/>
    <xf numFmtId="169" fontId="101" fillId="38" borderId="0" xfId="66" applyNumberFormat="1" applyFont="1" applyFill="1"/>
    <xf numFmtId="169" fontId="97" fillId="38" borderId="0" xfId="66" applyNumberFormat="1" applyFont="1" applyFill="1" applyBorder="1" applyAlignment="1">
      <alignment horizontal="right" wrapText="1"/>
    </xf>
    <xf numFmtId="175" fontId="13" fillId="38" borderId="0" xfId="0" applyNumberFormat="1" applyFont="1" applyFill="1" applyBorder="1" applyAlignment="1">
      <alignment horizontal="right"/>
    </xf>
    <xf numFmtId="169" fontId="101" fillId="38" borderId="12" xfId="66" applyNumberFormat="1" applyFont="1" applyFill="1" applyBorder="1"/>
    <xf numFmtId="169" fontId="97" fillId="38" borderId="0" xfId="66" applyNumberFormat="1" applyFont="1" applyFill="1" applyBorder="1"/>
    <xf numFmtId="169" fontId="5" fillId="38" borderId="0" xfId="66" applyNumberFormat="1" applyFont="1" applyFill="1" applyBorder="1"/>
    <xf numFmtId="169" fontId="103" fillId="38" borderId="23" xfId="66" applyNumberFormat="1" applyFont="1" applyFill="1" applyBorder="1"/>
    <xf numFmtId="169" fontId="103" fillId="38" borderId="0" xfId="66" applyNumberFormat="1" applyFont="1" applyFill="1"/>
    <xf numFmtId="0" fontId="5" fillId="37" borderId="23" xfId="0" applyFont="1" applyFill="1" applyBorder="1" applyAlignment="1">
      <alignment horizontal="left"/>
    </xf>
    <xf numFmtId="169" fontId="97" fillId="37" borderId="23" xfId="66" applyNumberFormat="1" applyFont="1" applyFill="1" applyBorder="1"/>
    <xf numFmtId="169" fontId="97" fillId="37" borderId="0" xfId="66" applyNumberFormat="1" applyFont="1" applyFill="1" applyBorder="1"/>
    <xf numFmtId="169" fontId="103" fillId="38" borderId="0" xfId="66" applyNumberFormat="1" applyFont="1" applyFill="1" applyBorder="1" applyAlignment="1">
      <alignment horizontal="right" wrapText="1"/>
    </xf>
    <xf numFmtId="169" fontId="101" fillId="38" borderId="0" xfId="66" applyNumberFormat="1" applyFont="1" applyFill="1" applyBorder="1"/>
    <xf numFmtId="169" fontId="103" fillId="38" borderId="0" xfId="66" applyNumberFormat="1" applyFont="1" applyFill="1" applyBorder="1"/>
    <xf numFmtId="169" fontId="5" fillId="37" borderId="24" xfId="66" applyNumberFormat="1" applyFont="1" applyFill="1" applyBorder="1"/>
    <xf numFmtId="43" fontId="5" fillId="38" borderId="12" xfId="41" applyFont="1" applyFill="1" applyBorder="1"/>
    <xf numFmtId="0" fontId="3" fillId="37" borderId="25" xfId="0" applyFont="1" applyFill="1" applyBorder="1" applyAlignment="1">
      <alignment horizontal="left"/>
    </xf>
    <xf numFmtId="169" fontId="5" fillId="37" borderId="25" xfId="66" applyNumberFormat="1" applyFont="1" applyFill="1" applyBorder="1"/>
    <xf numFmtId="169" fontId="5" fillId="37" borderId="18" xfId="66" applyNumberFormat="1" applyFont="1" applyFill="1" applyBorder="1"/>
    <xf numFmtId="169" fontId="5" fillId="37" borderId="27" xfId="66" applyNumberFormat="1" applyFont="1" applyFill="1" applyBorder="1"/>
    <xf numFmtId="169" fontId="5" fillId="37" borderId="18" xfId="43" applyNumberFormat="1" applyFont="1" applyFill="1" applyBorder="1"/>
    <xf numFmtId="43" fontId="5" fillId="37" borderId="18" xfId="41" applyFont="1" applyFill="1" applyBorder="1"/>
    <xf numFmtId="168" fontId="126" fillId="0" borderId="0" xfId="41" applyNumberFormat="1" applyFont="1" applyFill="1" applyAlignment="1">
      <alignment horizontal="right"/>
    </xf>
    <xf numFmtId="5" fontId="5" fillId="0" borderId="0" xfId="41" applyNumberFormat="1" applyFont="1" applyFill="1" applyAlignment="1">
      <alignment horizontal="right"/>
    </xf>
    <xf numFmtId="166" fontId="5" fillId="0" borderId="0" xfId="41" applyNumberFormat="1" applyFont="1" applyFill="1" applyBorder="1" applyAlignment="1"/>
    <xf numFmtId="166" fontId="5" fillId="0" borderId="34" xfId="41" applyNumberFormat="1" applyFont="1" applyFill="1" applyBorder="1" applyAlignment="1"/>
    <xf numFmtId="165" fontId="6" fillId="29" borderId="23" xfId="90" applyNumberFormat="1" applyFont="1" applyFill="1" applyBorder="1" applyAlignment="1">
      <alignment horizontal="right"/>
    </xf>
    <xf numFmtId="165" fontId="6" fillId="29" borderId="0" xfId="90" applyNumberFormat="1" applyFont="1" applyFill="1" applyBorder="1" applyAlignment="1">
      <alignment horizontal="right"/>
    </xf>
    <xf numFmtId="165" fontId="6" fillId="29" borderId="31" xfId="90" applyNumberFormat="1" applyFont="1" applyFill="1" applyBorder="1" applyAlignment="1">
      <alignment horizontal="center"/>
    </xf>
    <xf numFmtId="165" fontId="6" fillId="29" borderId="0" xfId="90" applyNumberFormat="1" applyFont="1" applyFill="1" applyBorder="1" applyAlignment="1">
      <alignment horizontal="center"/>
    </xf>
    <xf numFmtId="168" fontId="48" fillId="28" borderId="0" xfId="0" applyNumberFormat="1" applyFont="1" applyFill="1" applyBorder="1"/>
    <xf numFmtId="0" fontId="5" fillId="28" borderId="0" xfId="77" applyFont="1" applyFill="1"/>
    <xf numFmtId="169" fontId="5" fillId="33" borderId="0" xfId="0" applyNumberFormat="1" applyFont="1" applyFill="1" applyBorder="1" applyAlignment="1">
      <alignment horizontal="right"/>
    </xf>
    <xf numFmtId="169" fontId="5" fillId="30" borderId="0" xfId="0" applyNumberFormat="1" applyFont="1" applyFill="1" applyBorder="1" applyAlignment="1">
      <alignment horizontal="right"/>
    </xf>
    <xf numFmtId="169" fontId="3" fillId="0" borderId="0" xfId="0" applyNumberFormat="1" applyFont="1" applyFill="1" applyBorder="1" applyAlignment="1">
      <alignment horizontal="right"/>
    </xf>
    <xf numFmtId="0" fontId="5" fillId="0" borderId="0" xfId="77" applyFont="1" applyFill="1" applyBorder="1" applyAlignment="1">
      <alignment horizontal="left" indent="2"/>
    </xf>
    <xf numFmtId="0" fontId="3" fillId="0" borderId="0" xfId="77" applyFont="1" applyFill="1" applyBorder="1"/>
    <xf numFmtId="0" fontId="5" fillId="0" borderId="0" xfId="77" applyFont="1" applyAlignment="1">
      <alignment horizontal="left" indent="1"/>
    </xf>
    <xf numFmtId="168" fontId="48" fillId="28" borderId="18" xfId="0" applyNumberFormat="1" applyFont="1" applyFill="1" applyBorder="1"/>
    <xf numFmtId="168" fontId="5" fillId="28" borderId="18" xfId="0" applyNumberFormat="1" applyFont="1" applyFill="1" applyBorder="1"/>
    <xf numFmtId="0" fontId="48" fillId="30" borderId="0" xfId="77" applyFont="1" applyFill="1"/>
    <xf numFmtId="169" fontId="48" fillId="30" borderId="0" xfId="0" applyNumberFormat="1" applyFont="1" applyFill="1" applyBorder="1" applyAlignment="1">
      <alignment horizontal="right"/>
    </xf>
    <xf numFmtId="169" fontId="48" fillId="0" borderId="0" xfId="0" applyNumberFormat="1" applyFont="1" applyFill="1" applyBorder="1" applyAlignment="1">
      <alignment horizontal="right"/>
    </xf>
    <xf numFmtId="0" fontId="48" fillId="0" borderId="0" xfId="77" applyFont="1" applyFill="1"/>
    <xf numFmtId="169" fontId="48" fillId="33" borderId="0" xfId="0" applyNumberFormat="1" applyFont="1" applyFill="1" applyBorder="1" applyAlignment="1">
      <alignment horizontal="right"/>
    </xf>
    <xf numFmtId="0" fontId="5" fillId="28" borderId="31" xfId="77" applyFont="1" applyFill="1" applyBorder="1"/>
    <xf numFmtId="169" fontId="5" fillId="0" borderId="31" xfId="0" applyNumberFormat="1" applyFont="1" applyFill="1" applyBorder="1" applyAlignment="1">
      <alignment horizontal="right"/>
    </xf>
    <xf numFmtId="169" fontId="3" fillId="0" borderId="31" xfId="0" applyNumberFormat="1" applyFont="1" applyFill="1" applyBorder="1" applyAlignment="1">
      <alignment horizontal="right"/>
    </xf>
    <xf numFmtId="0" fontId="5" fillId="28" borderId="31" xfId="0" applyFont="1" applyFill="1" applyBorder="1"/>
    <xf numFmtId="0" fontId="5" fillId="0" borderId="31" xfId="0" applyFont="1" applyBorder="1"/>
    <xf numFmtId="0" fontId="3" fillId="0" borderId="31" xfId="0" applyFont="1" applyBorder="1"/>
    <xf numFmtId="169" fontId="5" fillId="30" borderId="31" xfId="0" applyNumberFormat="1" applyFont="1" applyFill="1" applyBorder="1" applyAlignment="1">
      <alignment horizontal="right"/>
    </xf>
    <xf numFmtId="0" fontId="3" fillId="30" borderId="0" xfId="77" applyFont="1" applyFill="1" applyBorder="1"/>
    <xf numFmtId="169" fontId="3" fillId="30" borderId="31" xfId="0" applyNumberFormat="1" applyFont="1" applyFill="1" applyBorder="1" applyAlignment="1">
      <alignment horizontal="right"/>
    </xf>
    <xf numFmtId="0" fontId="3" fillId="39" borderId="16" xfId="0" applyFont="1" applyFill="1" applyBorder="1" applyAlignment="1">
      <alignment horizontal="left"/>
    </xf>
    <xf numFmtId="37" fontId="5" fillId="39" borderId="16" xfId="0" applyNumberFormat="1" applyFont="1" applyFill="1" applyBorder="1"/>
    <xf numFmtId="37" fontId="5" fillId="39" borderId="15" xfId="0" applyNumberFormat="1" applyFont="1" applyFill="1" applyBorder="1"/>
    <xf numFmtId="37" fontId="5" fillId="39" borderId="19" xfId="0" applyNumberFormat="1" applyFont="1" applyFill="1" applyBorder="1"/>
    <xf numFmtId="0" fontId="3" fillId="39" borderId="15" xfId="0" applyFont="1" applyFill="1" applyBorder="1" applyAlignment="1">
      <alignment horizontal="left"/>
    </xf>
    <xf numFmtId="169" fontId="5" fillId="39" borderId="16" xfId="66" applyNumberFormat="1" applyFont="1" applyFill="1" applyBorder="1"/>
    <xf numFmtId="169" fontId="5" fillId="39" borderId="15" xfId="66" applyNumberFormat="1" applyFont="1" applyFill="1" applyBorder="1"/>
    <xf numFmtId="166" fontId="3" fillId="40" borderId="25" xfId="41" applyNumberFormat="1" applyFont="1" applyFill="1" applyBorder="1"/>
    <xf numFmtId="166" fontId="3" fillId="40" borderId="0" xfId="41" applyNumberFormat="1" applyFont="1" applyFill="1" applyBorder="1"/>
    <xf numFmtId="166" fontId="3" fillId="40" borderId="12" xfId="41" applyNumberFormat="1" applyFont="1" applyFill="1" applyBorder="1"/>
    <xf numFmtId="166" fontId="102" fillId="41" borderId="23" xfId="41" applyNumberFormat="1" applyFont="1" applyFill="1" applyBorder="1"/>
    <xf numFmtId="166" fontId="109" fillId="41" borderId="0" xfId="41" applyNumberFormat="1" applyFont="1" applyFill="1" applyBorder="1"/>
    <xf numFmtId="169" fontId="5" fillId="41" borderId="23" xfId="66" applyNumberFormat="1" applyFont="1" applyFill="1" applyBorder="1"/>
    <xf numFmtId="169" fontId="5" fillId="41" borderId="0" xfId="66" applyNumberFormat="1" applyFont="1" applyFill="1"/>
    <xf numFmtId="169" fontId="101" fillId="41" borderId="0" xfId="66" applyNumberFormat="1" applyFont="1" applyFill="1"/>
    <xf numFmtId="169" fontId="5" fillId="40" borderId="23" xfId="66" applyNumberFormat="1" applyFont="1" applyFill="1" applyBorder="1"/>
    <xf numFmtId="169" fontId="5" fillId="40" borderId="0" xfId="66" applyNumberFormat="1" applyFont="1" applyFill="1" applyBorder="1"/>
    <xf numFmtId="169" fontId="5" fillId="41" borderId="0" xfId="66" applyNumberFormat="1" applyFont="1" applyFill="1" applyBorder="1"/>
    <xf numFmtId="169" fontId="97" fillId="41" borderId="0" xfId="66" applyNumberFormat="1" applyFont="1" applyFill="1" applyBorder="1"/>
    <xf numFmtId="169" fontId="5" fillId="42" borderId="0" xfId="66" applyNumberFormat="1" applyFont="1" applyFill="1" applyBorder="1"/>
    <xf numFmtId="169" fontId="5" fillId="42" borderId="23" xfId="66" applyNumberFormat="1" applyFont="1" applyFill="1" applyBorder="1"/>
    <xf numFmtId="166" fontId="3" fillId="40" borderId="23" xfId="41" applyNumberFormat="1" applyFont="1" applyFill="1" applyBorder="1"/>
    <xf numFmtId="169" fontId="101" fillId="41" borderId="0" xfId="66" applyNumberFormat="1" applyFont="1" applyFill="1" applyBorder="1"/>
    <xf numFmtId="169" fontId="3" fillId="38" borderId="23" xfId="66" applyNumberFormat="1" applyFont="1" applyFill="1" applyBorder="1" applyAlignment="1">
      <alignment horizontal="left"/>
    </xf>
    <xf numFmtId="0" fontId="0" fillId="38" borderId="0" xfId="0" applyFill="1"/>
    <xf numFmtId="166" fontId="3" fillId="38" borderId="23" xfId="41" applyNumberFormat="1" applyFont="1" applyFill="1" applyBorder="1"/>
    <xf numFmtId="166" fontId="3" fillId="38" borderId="0" xfId="41" applyNumberFormat="1" applyFont="1" applyFill="1"/>
    <xf numFmtId="166" fontId="3" fillId="38" borderId="0" xfId="41" applyNumberFormat="1" applyFont="1" applyFill="1" applyBorder="1" applyAlignment="1">
      <alignment horizontal="right" wrapText="1"/>
    </xf>
    <xf numFmtId="166" fontId="3" fillId="38" borderId="12" xfId="41" applyNumberFormat="1" applyFont="1" applyFill="1" applyBorder="1"/>
    <xf numFmtId="166" fontId="5" fillId="38" borderId="0" xfId="41" applyNumberFormat="1" applyFont="1" applyFill="1" applyBorder="1" applyAlignment="1">
      <alignment horizontal="right"/>
    </xf>
    <xf numFmtId="166" fontId="3" fillId="38" borderId="0" xfId="41" applyNumberFormat="1" applyFont="1" applyFill="1" applyBorder="1" applyAlignment="1">
      <alignment horizontal="right"/>
    </xf>
    <xf numFmtId="169" fontId="5" fillId="38" borderId="24" xfId="66" applyNumberFormat="1" applyFont="1" applyFill="1" applyBorder="1" applyAlignment="1">
      <alignment horizontal="left" indent="1"/>
    </xf>
    <xf numFmtId="0" fontId="0" fillId="38" borderId="11" xfId="0" applyFill="1" applyBorder="1"/>
    <xf numFmtId="169" fontId="5" fillId="38" borderId="22" xfId="66" applyNumberFormat="1" applyFont="1" applyFill="1" applyBorder="1"/>
    <xf numFmtId="175" fontId="5" fillId="38" borderId="11" xfId="0" applyNumberFormat="1" applyFont="1" applyFill="1" applyBorder="1" applyAlignment="1">
      <alignment horizontal="right"/>
    </xf>
    <xf numFmtId="169" fontId="101" fillId="38" borderId="24" xfId="66" applyNumberFormat="1" applyFont="1" applyFill="1" applyBorder="1"/>
    <xf numFmtId="169" fontId="101" fillId="38" borderId="11" xfId="66" applyNumberFormat="1" applyFont="1" applyFill="1" applyBorder="1"/>
    <xf numFmtId="169" fontId="97" fillId="38" borderId="11" xfId="66" applyNumberFormat="1" applyFont="1" applyFill="1" applyBorder="1" applyAlignment="1">
      <alignment horizontal="right" wrapText="1"/>
    </xf>
    <xf numFmtId="169" fontId="101" fillId="38" borderId="22" xfId="66" applyNumberFormat="1" applyFont="1" applyFill="1" applyBorder="1"/>
    <xf numFmtId="43" fontId="5" fillId="38" borderId="24" xfId="41" applyFont="1" applyFill="1" applyBorder="1"/>
    <xf numFmtId="43" fontId="5" fillId="38" borderId="11" xfId="41" applyFont="1" applyFill="1" applyBorder="1"/>
    <xf numFmtId="43" fontId="5" fillId="38" borderId="11" xfId="41" applyFont="1" applyFill="1" applyBorder="1" applyAlignment="1">
      <alignment horizontal="right" wrapText="1"/>
    </xf>
    <xf numFmtId="43" fontId="5" fillId="38" borderId="22" xfId="41" applyFont="1" applyFill="1" applyBorder="1"/>
    <xf numFmtId="43" fontId="5" fillId="38" borderId="11" xfId="41" applyFont="1" applyFill="1" applyBorder="1" applyAlignment="1">
      <alignment horizontal="right"/>
    </xf>
    <xf numFmtId="169" fontId="103" fillId="38" borderId="24" xfId="66" applyNumberFormat="1" applyFont="1" applyFill="1" applyBorder="1"/>
    <xf numFmtId="169" fontId="103" fillId="38" borderId="11" xfId="66" applyNumberFormat="1" applyFont="1" applyFill="1" applyBorder="1"/>
    <xf numFmtId="169" fontId="103" fillId="38" borderId="11" xfId="66" applyNumberFormat="1" applyFont="1" applyFill="1" applyBorder="1" applyAlignment="1">
      <alignment horizontal="right" wrapText="1"/>
    </xf>
    <xf numFmtId="0" fontId="0" fillId="38" borderId="0" xfId="0" applyFill="1" applyBorder="1"/>
    <xf numFmtId="0" fontId="0" fillId="43" borderId="0" xfId="0" applyFill="1"/>
    <xf numFmtId="166" fontId="3" fillId="38" borderId="25" xfId="41" applyNumberFormat="1" applyFont="1" applyFill="1" applyBorder="1"/>
    <xf numFmtId="166" fontId="3" fillId="38" borderId="0" xfId="41" applyNumberFormat="1" applyFont="1" applyFill="1" applyBorder="1"/>
    <xf numFmtId="166" fontId="2" fillId="38" borderId="0" xfId="41" applyNumberFormat="1" applyFont="1" applyFill="1" applyBorder="1" applyAlignment="1">
      <alignment horizontal="right"/>
    </xf>
    <xf numFmtId="166" fontId="102" fillId="38" borderId="23" xfId="41" applyNumberFormat="1" applyFont="1" applyFill="1" applyBorder="1"/>
    <xf numFmtId="166" fontId="109" fillId="38" borderId="0" xfId="41" applyNumberFormat="1" applyFont="1" applyFill="1" applyBorder="1"/>
    <xf numFmtId="169" fontId="11" fillId="38" borderId="23" xfId="66" applyNumberFormat="1" applyFont="1" applyFill="1" applyBorder="1" applyAlignment="1">
      <alignment horizontal="left" indent="1"/>
    </xf>
    <xf numFmtId="169" fontId="11" fillId="38" borderId="23" xfId="66" applyNumberFormat="1" applyFont="1" applyFill="1" applyBorder="1"/>
    <xf numFmtId="169" fontId="11" fillId="38" borderId="0" xfId="66" applyNumberFormat="1" applyFont="1" applyFill="1"/>
    <xf numFmtId="169" fontId="11" fillId="38" borderId="0" xfId="66" applyNumberFormat="1" applyFont="1" applyFill="1" applyBorder="1"/>
    <xf numFmtId="169" fontId="5" fillId="38" borderId="0" xfId="43" applyNumberFormat="1" applyFont="1" applyFill="1" applyBorder="1"/>
    <xf numFmtId="166" fontId="3" fillId="38" borderId="23" xfId="66" applyNumberFormat="1" applyFont="1" applyFill="1" applyBorder="1"/>
    <xf numFmtId="166" fontId="3" fillId="38" borderId="0" xfId="66" applyNumberFormat="1" applyFont="1" applyFill="1" applyBorder="1"/>
    <xf numFmtId="166" fontId="3" fillId="38" borderId="12" xfId="66" applyNumberFormat="1" applyFont="1" applyFill="1" applyBorder="1"/>
    <xf numFmtId="166" fontId="3" fillId="38" borderId="0" xfId="43" applyNumberFormat="1" applyFont="1" applyFill="1" applyBorder="1"/>
    <xf numFmtId="169" fontId="128" fillId="38" borderId="23" xfId="66" applyNumberFormat="1" applyFont="1" applyFill="1" applyBorder="1" applyAlignment="1">
      <alignment horizontal="left" indent="1"/>
    </xf>
    <xf numFmtId="166" fontId="128" fillId="38" borderId="23" xfId="41" applyNumberFormat="1" applyFont="1" applyFill="1" applyBorder="1"/>
    <xf numFmtId="166" fontId="128" fillId="38" borderId="0" xfId="41" applyNumberFormat="1" applyFont="1" applyFill="1" applyBorder="1"/>
    <xf numFmtId="169" fontId="128" fillId="38" borderId="0" xfId="66" applyNumberFormat="1" applyFont="1" applyFill="1" applyBorder="1"/>
    <xf numFmtId="169" fontId="128" fillId="38" borderId="12" xfId="66" applyNumberFormat="1" applyFont="1" applyFill="1" applyBorder="1"/>
    <xf numFmtId="175" fontId="128" fillId="38" borderId="0" xfId="0" applyNumberFormat="1" applyFont="1" applyFill="1" applyBorder="1" applyAlignment="1">
      <alignment horizontal="right"/>
    </xf>
    <xf numFmtId="43" fontId="5" fillId="38" borderId="23" xfId="41" applyFont="1" applyFill="1" applyBorder="1"/>
    <xf numFmtId="43" fontId="5" fillId="38" borderId="0" xfId="41" applyFont="1" applyFill="1" applyBorder="1"/>
    <xf numFmtId="0" fontId="0" fillId="0" borderId="0" xfId="0"/>
    <xf numFmtId="2" fontId="12" fillId="0" borderId="0" xfId="66" applyNumberFormat="1" applyFont="1" applyFill="1" applyAlignment="1">
      <alignment horizontal="right"/>
    </xf>
    <xf numFmtId="0" fontId="3" fillId="0" borderId="11" xfId="0" applyFont="1" applyBorder="1" applyAlignment="1">
      <alignment horizontal="center"/>
    </xf>
    <xf numFmtId="0" fontId="3" fillId="0" borderId="0" xfId="0" applyFont="1" applyAlignment="1">
      <alignment horizontal="center"/>
    </xf>
    <xf numFmtId="0" fontId="2" fillId="44" borderId="0" xfId="91" applyFont="1" applyFill="1" applyAlignment="1">
      <alignment vertical="top"/>
    </xf>
    <xf numFmtId="0" fontId="2" fillId="44" borderId="0" xfId="75" applyFill="1" applyAlignment="1">
      <alignment vertical="top"/>
    </xf>
    <xf numFmtId="0" fontId="2" fillId="44" borderId="0" xfId="75" applyFill="1"/>
    <xf numFmtId="0" fontId="32" fillId="44" borderId="0" xfId="91" applyFont="1" applyFill="1" applyAlignment="1">
      <alignment horizontal="left" vertical="top"/>
    </xf>
    <xf numFmtId="0" fontId="2" fillId="44" borderId="0" xfId="75" applyFont="1" applyFill="1" applyAlignment="1">
      <alignment vertical="top"/>
    </xf>
    <xf numFmtId="0" fontId="27" fillId="44" borderId="0" xfId="91" applyFont="1" applyFill="1" applyAlignment="1">
      <alignment vertical="top"/>
    </xf>
    <xf numFmtId="0" fontId="0" fillId="44" borderId="0" xfId="0" applyFill="1" applyAlignment="1">
      <alignment vertical="top"/>
    </xf>
    <xf numFmtId="0" fontId="130" fillId="44" borderId="0" xfId="0" applyFont="1" applyFill="1" applyAlignment="1">
      <alignment vertical="top"/>
    </xf>
    <xf numFmtId="0" fontId="131" fillId="44" borderId="0" xfId="0" applyFont="1" applyFill="1" applyAlignment="1">
      <alignment vertical="top"/>
    </xf>
    <xf numFmtId="0" fontId="131" fillId="44" borderId="0" xfId="0" applyFont="1" applyFill="1" applyAlignment="1">
      <alignment vertical="top"/>
    </xf>
    <xf numFmtId="0" fontId="130" fillId="44" borderId="0" xfId="0" applyFont="1" applyFill="1" applyAlignment="1">
      <alignment vertical="top"/>
    </xf>
    <xf numFmtId="0" fontId="0" fillId="44" borderId="0" xfId="0" applyFill="1" applyAlignment="1">
      <alignment vertical="top"/>
    </xf>
    <xf numFmtId="0" fontId="0" fillId="44" borderId="45" xfId="0" applyFill="1" applyBorder="1" applyAlignment="1">
      <alignment vertical="top"/>
    </xf>
    <xf numFmtId="0" fontId="130" fillId="44" borderId="41" xfId="0" applyFont="1" applyFill="1" applyBorder="1" applyAlignment="1">
      <alignment vertical="top"/>
    </xf>
    <xf numFmtId="0" fontId="130" fillId="44" borderId="42" xfId="0" applyFont="1" applyFill="1" applyBorder="1" applyAlignment="1">
      <alignment vertical="top"/>
    </xf>
    <xf numFmtId="0" fontId="130" fillId="44" borderId="43" xfId="0" applyFont="1" applyFill="1" applyBorder="1" applyAlignment="1">
      <alignment vertical="top"/>
    </xf>
    <xf numFmtId="0" fontId="130" fillId="44" borderId="44" xfId="0" applyFont="1" applyFill="1" applyBorder="1" applyAlignment="1">
      <alignment vertical="top"/>
    </xf>
    <xf numFmtId="9" fontId="130" fillId="44" borderId="41" xfId="0" applyNumberFormat="1" applyFont="1" applyFill="1" applyBorder="1" applyAlignment="1">
      <alignment vertical="top"/>
    </xf>
    <xf numFmtId="3" fontId="130" fillId="44" borderId="41" xfId="0" applyNumberFormat="1" applyFont="1" applyFill="1" applyBorder="1" applyAlignment="1">
      <alignment vertical="top"/>
    </xf>
    <xf numFmtId="0" fontId="0" fillId="44" borderId="46" xfId="0" applyFill="1" applyBorder="1" applyAlignment="1">
      <alignment vertical="top"/>
    </xf>
    <xf numFmtId="2" fontId="2" fillId="0" borderId="0" xfId="75" applyNumberFormat="1" applyAlignment="1">
      <alignment horizontal="left"/>
    </xf>
    <xf numFmtId="0" fontId="2" fillId="0" borderId="0" xfId="75" applyNumberFormat="1" applyAlignment="1">
      <alignment horizontal="left"/>
    </xf>
    <xf numFmtId="1" fontId="2" fillId="0" borderId="0" xfId="75" applyNumberFormat="1" applyAlignment="1">
      <alignment horizontal="left"/>
    </xf>
    <xf numFmtId="0" fontId="2" fillId="0" borderId="0" xfId="75" applyFont="1"/>
    <xf numFmtId="226" fontId="2" fillId="0" borderId="0" xfId="75" applyNumberFormat="1" applyAlignment="1">
      <alignment horizontal="left"/>
    </xf>
    <xf numFmtId="49" fontId="2" fillId="0" borderId="0" xfId="75" applyNumberFormat="1"/>
  </cellXfs>
  <cellStyles count="92">
    <cellStyle name=" 1" xfId="1"/>
    <cellStyle name=" 1 2" xfId="2"/>
    <cellStyle name=" 1 3" xfId="3"/>
    <cellStyle name=" 1 3 2" xfId="4"/>
    <cellStyle name=" 1 4" xfId="5"/>
    <cellStyle name="_x000a_386grabber=M" xfId="80"/>
    <cellStyle name="_COV" xfId="6"/>
    <cellStyle name="_COV_A_Nov20" xfId="78"/>
    <cellStyle name="_COV_A_Nov20 2 2" xfId="79"/>
    <cellStyle name="_SUMMARY " xfId="7"/>
    <cellStyle name="_Wireline Tel Forecast " xfId="85"/>
    <cellStyle name="=C:\WINNT35\SYSTEM32\COMMAND.COM" xfId="8"/>
    <cellStyle name="0_Capex &amp; Depreciation " xfId="9"/>
    <cellStyle name="0_Pension_UTX Example_Acute Care " xfId="10"/>
    <cellStyle name="0_TPP.N Ver 15_Acute Care " xfId="11"/>
    <cellStyle name="0_Valuing BP " xfId="12"/>
    <cellStyle name="0_Wireline Tel Forecast " xfId="86"/>
    <cellStyle name="20% - Accent1" xfId="13" builtinId="30" customBuiltin="1"/>
    <cellStyle name="20% - Accent2" xfId="14" builtinId="34" customBuiltin="1"/>
    <cellStyle name="20% - Accent3" xfId="15" builtinId="38" customBuiltin="1"/>
    <cellStyle name="20% - Accent4" xfId="16" builtinId="42" customBuiltin="1"/>
    <cellStyle name="20% - Accent5" xfId="17" builtinId="46" customBuiltin="1"/>
    <cellStyle name="20% - Accent6" xfId="18" builtinId="50" customBuiltin="1"/>
    <cellStyle name="40% - Accent1" xfId="19" builtinId="31" customBuiltin="1"/>
    <cellStyle name="40% - Accent2" xfId="20" builtinId="35" customBuiltin="1"/>
    <cellStyle name="40% - Accent3" xfId="21" builtinId="39" customBuiltin="1"/>
    <cellStyle name="40% - Accent4" xfId="22" builtinId="43" customBuiltin="1"/>
    <cellStyle name="40% - Accent5" xfId="23" builtinId="47" customBuiltin="1"/>
    <cellStyle name="40% - Accent6" xfId="24" builtinId="51" customBuiltin="1"/>
    <cellStyle name="60% - Accent1" xfId="25" builtinId="32" customBuiltin="1"/>
    <cellStyle name="60% - Accent2" xfId="26" builtinId="36" customBuiltin="1"/>
    <cellStyle name="60% - Accent3" xfId="27" builtinId="40" customBuiltin="1"/>
    <cellStyle name="60% - Accent4" xfId="28" builtinId="44" customBuiltin="1"/>
    <cellStyle name="60% - Accent5" xfId="29" builtinId="48" customBuiltin="1"/>
    <cellStyle name="60% - Accent6" xfId="30" builtinId="52" customBuiltin="1"/>
    <cellStyle name="Accent1" xfId="31" builtinId="29" customBuiltin="1"/>
    <cellStyle name="Accent2" xfId="32" builtinId="33" customBuiltin="1"/>
    <cellStyle name="Accent3" xfId="33" builtinId="37" customBuiltin="1"/>
    <cellStyle name="Accent4" xfId="34" builtinId="41" customBuiltin="1"/>
    <cellStyle name="Accent5" xfId="35" builtinId="45" customBuiltin="1"/>
    <cellStyle name="Accent6" xfId="36" builtinId="49" customBuiltin="1"/>
    <cellStyle name="Bad" xfId="37" builtinId="27" customBuiltin="1"/>
    <cellStyle name="c_HardInc " xfId="38"/>
    <cellStyle name="Calculation" xfId="39" builtinId="22" customBuiltin="1"/>
    <cellStyle name="Check Cell" xfId="40" builtinId="23" customBuiltin="1"/>
    <cellStyle name="Comma" xfId="41" builtinId="3"/>
    <cellStyle name="Comma 2" xfId="42"/>
    <cellStyle name="Comma 3" xfId="43"/>
    <cellStyle name="Comma 5" xfId="83"/>
    <cellStyle name="Currency" xfId="44" builtinId="4"/>
    <cellStyle name="Currency 2" xfId="45"/>
    <cellStyle name="Currency 5 2 2" xfId="89"/>
    <cellStyle name="Explanatory Text" xfId="46" builtinId="53" customBuiltin="1"/>
    <cellStyle name="Good" xfId="47" builtinId="26" customBuiltin="1"/>
    <cellStyle name="Heading 1" xfId="48" builtinId="16" customBuiltin="1"/>
    <cellStyle name="Heading 2" xfId="49" builtinId="17" customBuiltin="1"/>
    <cellStyle name="Heading 3" xfId="50" builtinId="18" customBuiltin="1"/>
    <cellStyle name="Heading 4" xfId="51" builtinId="19" customBuiltin="1"/>
    <cellStyle name="Input" xfId="52" builtinId="20" customBuiltin="1"/>
    <cellStyle name="Linked Cell" xfId="53" builtinId="24" customBuiltin="1"/>
    <cellStyle name="Neutral" xfId="54" builtinId="28" customBuiltin="1"/>
    <cellStyle name="Normal" xfId="0" builtinId="0"/>
    <cellStyle name="Normal 10" xfId="81"/>
    <cellStyle name="Normal 2" xfId="55"/>
    <cellStyle name="Normal 29" xfId="87"/>
    <cellStyle name="Normal 3" xfId="56"/>
    <cellStyle name="Normal 7" xfId="57"/>
    <cellStyle name="Normal 7 2" xfId="90"/>
    <cellStyle name="Normal 8" xfId="75"/>
    <cellStyle name="Normal 9" xfId="77"/>
    <cellStyle name="Normal_bec" xfId="58"/>
    <cellStyle name="Normal_BS" xfId="59"/>
    <cellStyle name="Normal_COV" xfId="60"/>
    <cellStyle name="Normal_CYTC" xfId="61"/>
    <cellStyle name="Normal_DisclaimerSheet Samples" xfId="91"/>
    <cellStyle name="Normal_HOLXcurrent" xfId="62"/>
    <cellStyle name="Note" xfId="63" builtinId="10" customBuiltin="1"/>
    <cellStyle name="Output" xfId="64" builtinId="21" customBuiltin="1"/>
    <cellStyle name="p " xfId="65"/>
    <cellStyle name="Percent" xfId="66" builtinId="5"/>
    <cellStyle name="Percent 2" xfId="67"/>
    <cellStyle name="Percent 3" xfId="68"/>
    <cellStyle name="Percent 5" xfId="82"/>
    <cellStyle name="RRSInstruction" xfId="84"/>
    <cellStyle name="RRSInstruction 3" xfId="76"/>
    <cellStyle name="s_DCFLBO Code_Wireline Tel Forecast " xfId="88"/>
    <cellStyle name="s_HardInc " xfId="69"/>
    <cellStyle name="s_Valuation " xfId="70"/>
    <cellStyle name="ssp " xfId="71"/>
    <cellStyle name="Title" xfId="72" builtinId="15" customBuiltin="1"/>
    <cellStyle name="Total" xfId="73" builtinId="25" customBuiltin="1"/>
    <cellStyle name="Warning Text" xfId="74" builtinId="11" customBuiltin="1"/>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74BE74"/>
      <rgbColor rgb="002270AB"/>
      <rgbColor rgb="00F8CD14"/>
      <rgbColor rgb="00F26163"/>
      <rgbColor rgb="00A8D7E2"/>
      <rgbColor rgb="00B2122B"/>
      <rgbColor rgb="00238B45"/>
      <rgbColor rgb="001B4694"/>
      <rgbColor rgb="0041A95C"/>
      <rgbColor rgb="00800080"/>
      <rgbColor rgb="00238B45"/>
      <rgbColor rgb="00C0C0C0"/>
      <rgbColor rgb="00808080"/>
      <rgbColor rgb="00137CB1"/>
      <rgbColor rgb="00EACC80"/>
      <rgbColor rgb="004AAC6B"/>
      <rgbColor rgb="00A8D7E2"/>
      <rgbColor rgb="00E58061"/>
      <rgbColor rgb="00BCE3A1"/>
      <rgbColor rgb="008E466A"/>
      <rgbColor rgb="00F3A7A9"/>
      <rgbColor rgb="001275A6"/>
      <rgbColor rgb="00E5BF61"/>
      <rgbColor rgb="004AAC6B"/>
      <rgbColor rgb="0097D0DD"/>
      <rgbColor rgb="00763A58"/>
      <rgbColor rgb="00EF8D8F"/>
      <rgbColor rgb="00E2704C"/>
      <rgbColor rgb="00A5D981"/>
      <rgbColor rgb="0069ADCA"/>
      <rgbColor rgb="00C6D9E2"/>
      <rgbColor rgb="00E3EEDE"/>
      <rgbColor rgb="00F3EEA1"/>
      <rgbColor rgb="009DC9DC"/>
      <rgbColor rgb="00EFC1D2"/>
      <rgbColor rgb="009DC9DC"/>
      <rgbColor rgb="00EFC49F"/>
      <rgbColor rgb="004091BF"/>
      <rgbColor rgb="0097D0DD"/>
      <rgbColor rgb="00A5D981"/>
      <rgbColor rgb="00F8CD14"/>
      <rgbColor rgb="00EACC80"/>
      <rgbColor rgb="00FC7114"/>
      <rgbColor rgb="004091BF"/>
      <rgbColor rgb="00969696"/>
      <rgbColor rgb="00003366"/>
      <rgbColor rgb="0041A95C"/>
      <rgbColor rgb="00125A31"/>
      <rgbColor rgb="00125A31"/>
      <rgbColor rgb="00DDDDDD"/>
      <rgbColor rgb="008E466A"/>
      <rgbColor rgb="001B4694"/>
      <rgbColor rgb="00333333"/>
    </indexedColors>
    <mruColors>
      <color rgb="FFCCFFCC"/>
      <color rgb="FF238B45"/>
      <color rgb="FF0073B1"/>
      <color rgb="FF2270AB"/>
      <color rgb="FF006699"/>
      <color rgb="FF137CB1"/>
      <color rgb="FFC6D9E2"/>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10" Target="worksheets/sheet10.xml" Type="http://schemas.openxmlformats.org/officeDocument/2006/relationships/worksheet"/>
<Relationship Id="rId11" Target="worksheets/sheet11.xml" Type="http://schemas.openxmlformats.org/officeDocument/2006/relationships/worksheet"/>
<Relationship Id="rId12" Target="worksheets/sheet12.xml" Type="http://schemas.openxmlformats.org/officeDocument/2006/relationships/worksheet"/>
<Relationship Id="rId13" Target="worksheets/sheet13.xml" Type="http://schemas.openxmlformats.org/officeDocument/2006/relationships/worksheet"/>
<Relationship Id="rId14" Target="externalLinks/externalLink1.xml" Type="http://schemas.openxmlformats.org/officeDocument/2006/relationships/externalLink"/>
<Relationship Id="rId15" Target="externalLinks/externalLink2.xml" Type="http://schemas.openxmlformats.org/officeDocument/2006/relationships/externalLink"/>
<Relationship Id="rId16" Target="externalLinks/externalLink3.xml" Type="http://schemas.openxmlformats.org/officeDocument/2006/relationships/externalLink"/>
<Relationship Id="rId17" Target="externalLinks/externalLink4.xml" Type="http://schemas.openxmlformats.org/officeDocument/2006/relationships/externalLink"/>
<Relationship Id="rId18" Target="externalLinks/externalLink5.xml" Type="http://schemas.openxmlformats.org/officeDocument/2006/relationships/externalLink"/>
<Relationship Id="rId19" Target="externalLinks/externalLink6.xml" Type="http://schemas.openxmlformats.org/officeDocument/2006/relationships/externalLink"/>
<Relationship Id="rId2" Target="worksheets/sheet2.xml" Type="http://schemas.openxmlformats.org/officeDocument/2006/relationships/worksheet"/>
<Relationship Id="rId20" Target="externalLinks/externalLink7.xml" Type="http://schemas.openxmlformats.org/officeDocument/2006/relationships/externalLink"/>
<Relationship Id="rId21" Target="externalLinks/externalLink8.xml" Type="http://schemas.openxmlformats.org/officeDocument/2006/relationships/externalLink"/>
<Relationship Id="rId22" Target="externalLinks/externalLink9.xml" Type="http://schemas.openxmlformats.org/officeDocument/2006/relationships/externalLink"/>
<Relationship Id="rId23" Target="externalLinks/externalLink10.xml" Type="http://schemas.openxmlformats.org/officeDocument/2006/relationships/externalLink"/>
<Relationship Id="rId24" Target="externalLinks/externalLink11.xml" Type="http://schemas.openxmlformats.org/officeDocument/2006/relationships/externalLink"/>
<Relationship Id="rId25" Target="externalLinks/externalLink12.xml" Type="http://schemas.openxmlformats.org/officeDocument/2006/relationships/externalLink"/>
<Relationship Id="rId26" Target="externalLinks/externalLink13.xml" Type="http://schemas.openxmlformats.org/officeDocument/2006/relationships/externalLink"/>
<Relationship Id="rId27" Target="externalLinks/externalLink14.xml" Type="http://schemas.openxmlformats.org/officeDocument/2006/relationships/externalLink"/>
<Relationship Id="rId28" Target="externalLinks/externalLink15.xml" Type="http://schemas.openxmlformats.org/officeDocument/2006/relationships/externalLink"/>
<Relationship Id="rId29" Target="externalLinks/externalLink16.xml" Type="http://schemas.openxmlformats.org/officeDocument/2006/relationships/externalLink"/>
<Relationship Id="rId3" Target="worksheets/sheet3.xml" Type="http://schemas.openxmlformats.org/officeDocument/2006/relationships/worksheet"/>
<Relationship Id="rId30" Target="externalLinks/externalLink17.xml" Type="http://schemas.openxmlformats.org/officeDocument/2006/relationships/externalLink"/>
<Relationship Id="rId31" Target="externalLinks/externalLink18.xml" Type="http://schemas.openxmlformats.org/officeDocument/2006/relationships/externalLink"/>
<Relationship Id="rId32" Target="externalLinks/externalLink19.xml" Type="http://schemas.openxmlformats.org/officeDocument/2006/relationships/externalLink"/>
<Relationship Id="rId33" Target="externalLinks/externalLink20.xml" Type="http://schemas.openxmlformats.org/officeDocument/2006/relationships/externalLink"/>
<Relationship Id="rId34" Target="externalLinks/externalLink21.xml" Type="http://schemas.openxmlformats.org/officeDocument/2006/relationships/externalLink"/>
<Relationship Id="rId35" Target="externalLinks/externalLink22.xml" Type="http://schemas.openxmlformats.org/officeDocument/2006/relationships/externalLink"/>
<Relationship Id="rId36" Target="externalLinks/externalLink23.xml" Type="http://schemas.openxmlformats.org/officeDocument/2006/relationships/externalLink"/>
<Relationship Id="rId37" Target="externalLinks/externalLink24.xml" Type="http://schemas.openxmlformats.org/officeDocument/2006/relationships/externalLink"/>
<Relationship Id="rId38" Target="externalLinks/externalLink25.xml" Type="http://schemas.openxmlformats.org/officeDocument/2006/relationships/externalLink"/>
<Relationship Id="rId39" Target="externalLinks/externalLink26.xml" Type="http://schemas.openxmlformats.org/officeDocument/2006/relationships/externalLink"/>
<Relationship Id="rId4" Target="worksheets/sheet4.xml" Type="http://schemas.openxmlformats.org/officeDocument/2006/relationships/worksheet"/>
<Relationship Id="rId40" Target="externalLinks/externalLink27.xml" Type="http://schemas.openxmlformats.org/officeDocument/2006/relationships/externalLink"/>
<Relationship Id="rId41" Target="externalLinks/externalLink28.xml" Type="http://schemas.openxmlformats.org/officeDocument/2006/relationships/externalLink"/>
<Relationship Id="rId42" Target="externalLinks/externalLink29.xml" Type="http://schemas.openxmlformats.org/officeDocument/2006/relationships/externalLink"/>
<Relationship Id="rId43" Target="externalLinks/externalLink30.xml" Type="http://schemas.openxmlformats.org/officeDocument/2006/relationships/externalLink"/>
<Relationship Id="rId44" Target="externalLinks/externalLink31.xml" Type="http://schemas.openxmlformats.org/officeDocument/2006/relationships/externalLink"/>
<Relationship Id="rId45" Target="externalLinks/externalLink32.xml" Type="http://schemas.openxmlformats.org/officeDocument/2006/relationships/externalLink"/>
<Relationship Id="rId46" Target="externalLinks/externalLink33.xml" Type="http://schemas.openxmlformats.org/officeDocument/2006/relationships/externalLink"/>
<Relationship Id="rId47" Target="externalLinks/externalLink34.xml" Type="http://schemas.openxmlformats.org/officeDocument/2006/relationships/externalLink"/>
<Relationship Id="rId48" Target="externalLinks/externalLink35.xml" Type="http://schemas.openxmlformats.org/officeDocument/2006/relationships/externalLink"/>
<Relationship Id="rId49" Target="externalLinks/externalLink36.xml" Type="http://schemas.openxmlformats.org/officeDocument/2006/relationships/externalLink"/>
<Relationship Id="rId5" Target="worksheets/sheet5.xml" Type="http://schemas.openxmlformats.org/officeDocument/2006/relationships/worksheet"/>
<Relationship Id="rId50" Target="externalLinks/externalLink37.xml" Type="http://schemas.openxmlformats.org/officeDocument/2006/relationships/externalLink"/>
<Relationship Id="rId51" Target="externalLinks/externalLink38.xml" Type="http://schemas.openxmlformats.org/officeDocument/2006/relationships/externalLink"/>
<Relationship Id="rId52" Target="externalLinks/externalLink39.xml" Type="http://schemas.openxmlformats.org/officeDocument/2006/relationships/externalLink"/>
<Relationship Id="rId53" Target="externalLinks/externalLink40.xml" Type="http://schemas.openxmlformats.org/officeDocument/2006/relationships/externalLink"/>
<Relationship Id="rId54" Target="externalLinks/externalLink41.xml" Type="http://schemas.openxmlformats.org/officeDocument/2006/relationships/externalLink"/>
<Relationship Id="rId55" Target="externalLinks/externalLink42.xml" Type="http://schemas.openxmlformats.org/officeDocument/2006/relationships/externalLink"/>
<Relationship Id="rId56" Target="externalLinks/externalLink43.xml" Type="http://schemas.openxmlformats.org/officeDocument/2006/relationships/externalLink"/>
<Relationship Id="rId57" Target="externalLinks/externalLink44.xml" Type="http://schemas.openxmlformats.org/officeDocument/2006/relationships/externalLink"/>
<Relationship Id="rId58" Target="externalLinks/externalLink45.xml" Type="http://schemas.openxmlformats.org/officeDocument/2006/relationships/externalLink"/>
<Relationship Id="rId59" Target="externalLinks/externalLink46.xml" Type="http://schemas.openxmlformats.org/officeDocument/2006/relationships/externalLink"/>
<Relationship Id="rId6" Target="worksheets/sheet6.xml" Type="http://schemas.openxmlformats.org/officeDocument/2006/relationships/worksheet"/>
<Relationship Id="rId60" Target="externalLinks/externalLink47.xml" Type="http://schemas.openxmlformats.org/officeDocument/2006/relationships/externalLink"/>
<Relationship Id="rId61" Target="externalLinks/externalLink48.xml" Type="http://schemas.openxmlformats.org/officeDocument/2006/relationships/externalLink"/>
<Relationship Id="rId62" Target="externalLinks/externalLink49.xml" Type="http://schemas.openxmlformats.org/officeDocument/2006/relationships/externalLink"/>
<Relationship Id="rId63" Target="externalLinks/externalLink50.xml" Type="http://schemas.openxmlformats.org/officeDocument/2006/relationships/externalLink"/>
<Relationship Id="rId64" Target="externalLinks/externalLink51.xml" Type="http://schemas.openxmlformats.org/officeDocument/2006/relationships/externalLink"/>
<Relationship Id="rId65" Target="externalLinks/externalLink52.xml" Type="http://schemas.openxmlformats.org/officeDocument/2006/relationships/externalLink"/>
<Relationship Id="rId66" Target="externalLinks/externalLink53.xml" Type="http://schemas.openxmlformats.org/officeDocument/2006/relationships/externalLink"/>
<Relationship Id="rId67" Target="externalLinks/externalLink54.xml" Type="http://schemas.openxmlformats.org/officeDocument/2006/relationships/externalLink"/>
<Relationship Id="rId68" Target="externalLinks/externalLink55.xml" Type="http://schemas.openxmlformats.org/officeDocument/2006/relationships/externalLink"/>
<Relationship Id="rId69" Target="externalLinks/externalLink56.xml" Type="http://schemas.openxmlformats.org/officeDocument/2006/relationships/externalLink"/>
<Relationship Id="rId7" Target="worksheets/sheet7.xml" Type="http://schemas.openxmlformats.org/officeDocument/2006/relationships/worksheet"/>
<Relationship Id="rId70" Target="externalLinks/externalLink57.xml" Type="http://schemas.openxmlformats.org/officeDocument/2006/relationships/externalLink"/>
<Relationship Id="rId71" Target="externalLinks/externalLink58.xml" Type="http://schemas.openxmlformats.org/officeDocument/2006/relationships/externalLink"/>
<Relationship Id="rId72" Target="externalLinks/externalLink59.xml" Type="http://schemas.openxmlformats.org/officeDocument/2006/relationships/externalLink"/>
<Relationship Id="rId73" Target="externalLinks/externalLink60.xml" Type="http://schemas.openxmlformats.org/officeDocument/2006/relationships/externalLink"/>
<Relationship Id="rId74" Target="externalLinks/externalLink61.xml" Type="http://schemas.openxmlformats.org/officeDocument/2006/relationships/externalLink"/>
<Relationship Id="rId75" Target="externalLinks/externalLink62.xml" Type="http://schemas.openxmlformats.org/officeDocument/2006/relationships/externalLink"/>
<Relationship Id="rId76" Target="externalLinks/externalLink63.xml" Type="http://schemas.openxmlformats.org/officeDocument/2006/relationships/externalLink"/>
<Relationship Id="rId77" Target="externalLinks/externalLink64.xml" Type="http://schemas.openxmlformats.org/officeDocument/2006/relationships/externalLink"/>
<Relationship Id="rId78" Target="externalLinks/externalLink65.xml" Type="http://schemas.openxmlformats.org/officeDocument/2006/relationships/externalLink"/>
<Relationship Id="rId79" Target="externalLinks/externalLink66.xml" Type="http://schemas.openxmlformats.org/officeDocument/2006/relationships/externalLink"/>
<Relationship Id="rId8" Target="worksheets/sheet8.xml" Type="http://schemas.openxmlformats.org/officeDocument/2006/relationships/worksheet"/>
<Relationship Id="rId80" Target="externalLinks/externalLink67.xml" Type="http://schemas.openxmlformats.org/officeDocument/2006/relationships/externalLink"/>
<Relationship Id="rId81" Target="externalLinks/externalLink68.xml" Type="http://schemas.openxmlformats.org/officeDocument/2006/relationships/externalLink"/>
<Relationship Id="rId82" Target="externalLinks/externalLink69.xml" Type="http://schemas.openxmlformats.org/officeDocument/2006/relationships/externalLink"/>
<Relationship Id="rId83" Target="externalLinks/externalLink70.xml" Type="http://schemas.openxmlformats.org/officeDocument/2006/relationships/externalLink"/>
<Relationship Id="rId84" Target="externalLinks/externalLink71.xml" Type="http://schemas.openxmlformats.org/officeDocument/2006/relationships/externalLink"/>
<Relationship Id="rId85" Target="externalLinks/externalLink72.xml" Type="http://schemas.openxmlformats.org/officeDocument/2006/relationships/externalLink"/>
<Relationship Id="rId86" Target="externalLinks/externalLink73.xml" Type="http://schemas.openxmlformats.org/officeDocument/2006/relationships/externalLink"/>
<Relationship Id="rId87" Target="externalLinks/externalLink74.xml" Type="http://schemas.openxmlformats.org/officeDocument/2006/relationships/externalLink"/>
<Relationship Id="rId88" Target="externalLinks/externalLink75.xml" Type="http://schemas.openxmlformats.org/officeDocument/2006/relationships/externalLink"/>
<Relationship Id="rId89" Target="theme/theme1.xml" Type="http://schemas.openxmlformats.org/officeDocument/2006/relationships/theme"/>
<Relationship Id="rId9" Target="worksheets/sheet9.xml" Type="http://schemas.openxmlformats.org/officeDocument/2006/relationships/worksheet"/>
<Relationship Id="rId90" Target="styles.xml" Type="http://schemas.openxmlformats.org/officeDocument/2006/relationships/styles"/>
<Relationship Id="rId91" Target="sharedStrings.xml" Type="http://schemas.openxmlformats.org/officeDocument/2006/relationships/sharedStrings"/>
<Relationship Id="rId92" Target="calcChain.xml" Type="http://schemas.openxmlformats.org/officeDocument/2006/relationships/calcChain"/>
<Relationship Id="rId93" Target="../customXml/item1.xml" Type="http://schemas.openxmlformats.org/officeDocument/2006/relationships/customXml"/>
<Relationship Id="rId94" Target="../customXml/item2.xml" Type="http://schemas.openxmlformats.org/officeDocument/2006/relationships/customXml"/>
</Relationships>

</file>

<file path=xl/ctrlProps/ctrlProp1.xml><?xml version="1.0" encoding="utf-8"?>
<formControlPr xmlns="http://schemas.microsoft.com/office/spreadsheetml/2009/9/main" objectType="Drop" dropStyle="combo" dx="16" fmlaLink="#REF!" fmlaRange="#REF!" noThreeD="1" sel="0" val="0"/>
</file>

<file path=xl/drawings/_rels/drawing1.xml.rels><?xml version="1.0" encoding="UTF-8" standalone="yes"?>
<Relationships xmlns="http://schemas.openxmlformats.org/package/2006/relationships">
<Relationship Id="rId1" Target="../media/image1.png" Type="http://schemas.openxmlformats.org/officeDocument/2006/relationships/image"/>
<Relationship Id="rId2" Target="../media/image2.jpeg" Type="http://schemas.openxmlformats.org/officeDocument/2006/relationships/image"/>
<Relationship Id="rId3" Target="../media/image3.gif" Type="http://schemas.openxmlformats.org/officeDocument/2006/relationships/image"/>
</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28575</xdr:rowOff>
    </xdr:from>
    <xdr:to>
      <xdr:col>0</xdr:col>
      <xdr:colOff>1581150</xdr:colOff>
      <xdr:row>0</xdr:row>
      <xdr:rowOff>323850</xdr:rowOff>
    </xdr:to>
    <xdr:pic>
      <xdr:nvPicPr>
        <xdr:cNvPr id="2"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 y="28575"/>
          <a:ext cx="156210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19050</xdr:colOff>
      <xdr:row>0</xdr:row>
      <xdr:rowOff>95250</xdr:rowOff>
    </xdr:from>
    <xdr:to>
      <xdr:col>1</xdr:col>
      <xdr:colOff>523875</xdr:colOff>
      <xdr:row>0</xdr:row>
      <xdr:rowOff>314325</xdr:rowOff>
    </xdr:to>
    <xdr:pic>
      <xdr:nvPicPr>
        <xdr:cNvPr id="3" name="Picture 6" descr="MSMS_logo_3" hidden="1"/>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050" y="95250"/>
          <a:ext cx="2219325"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171</xdr:row>
      <xdr:rowOff>0</xdr:rowOff>
    </xdr:from>
    <xdr:to>
      <xdr:col>7</xdr:col>
      <xdr:colOff>390525</xdr:colOff>
      <xdr:row>194</xdr:row>
      <xdr:rowOff>104775</xdr:rowOff>
    </xdr:to>
    <xdr:pic>
      <xdr:nvPicPr>
        <xdr:cNvPr id="43977729" name="Picture 1" descr="C:\Users\wachter\AppData\Local\Temp\MercuryPriceRatingHistoryChart\XRAY.O_2018_04_25_18_53_37.gif"/>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26317575"/>
          <a:ext cx="6400800" cy="382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0</xdr:row>
          <xdr:rowOff>19050</xdr:rowOff>
        </xdr:from>
        <xdr:to>
          <xdr:col>0</xdr:col>
          <xdr:colOff>38100</xdr:colOff>
          <xdr:row>0</xdr:row>
          <xdr:rowOff>28575</xdr:rowOff>
        </xdr:to>
        <xdr:sp macro="" textlink="">
          <xdr:nvSpPr>
            <xdr:cNvPr id="4101" name="Drop Down 5" hidden="1">
              <a:extLst>
                <a:ext uri="{63B3BB69-23CF-44E3-9099-C40C66FF867C}">
                  <a14:compatExt spid="_x0000_s4101"/>
                </a:ext>
              </a:extLst>
            </xdr:cNvPr>
            <xdr:cNvSpPr/>
          </xdr:nvSpPr>
          <xdr:spPr>
            <a:xfrm>
              <a:off x="0" y="0"/>
              <a:ext cx="0" cy="0"/>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
<Relationship Id="rId1" Target="Documents%20and%20Settings/rockefel/Local%20Settings/Temporary%20Internet%20Files/OLK56/USERS/LADIWALA/VALTN/BBL/BIO-VL3.XLS" TargetMode="External" Type="http://schemas.microsoft.com/office/2006/relationships/xlExternalLinkPath/xlStartup"/>
</Relationships>

</file>

<file path=xl/externalLinks/_rels/externalLink2.xml.rels><?xml version="1.0" encoding="UTF-8" standalone="yes"?>
<Relationships xmlns="http://schemas.openxmlformats.org/package/2006/relationships">
<Relationship Id="rId1" Target="file://///172.16.68.11/Archimedes/TEMP/Regions%20Fin%20Stmts%20THE%20GOAL%20HC.xls" TargetMode="External" Type="http://schemas.openxmlformats.org/officeDocument/2006/relationships/externalLinkPath"/>
</Relationships>

</file>

<file path=xl/externalLinks/_rels/externalLink3.xml.rels><?xml version="1.0" encoding="UTF-8" standalone="yes"?>
<Relationships xmlns="http://schemas.openxmlformats.org/package/2006/relationships">
<Relationship Id="rId1" Target="TEMP/data/excel/P.XLS" TargetMode="External" Type="http://schemas.microsoft.com/office/2006/relationships/xlExternalLinkPath/xlStartup"/>
</Relationships>

</file>

<file path=xl/externalLinks/_rels/externalLink4.xml.rels><?xml version="1.0" encoding="UTF-8" standalone="yes"?>
<Relationships xmlns="http://schemas.openxmlformats.org/package/2006/relationships">
<Relationship Id="rId1" Target="file://///Sony/c/business/&#38750;&#37444;/&#38750;&#37444;&#20250;~1/&#21516;&#21644;&#37489;&#26989;/5714work.wk4" TargetMode="External" Type="http://schemas.openxmlformats.org/officeDocument/2006/relationships/externalLinkPath"/>
</Relationships>

</file>

<file path=xl/externalLinks/_rels/externalLink5.xml.rels><?xml version="1.0" encoding="UTF-8" standalone="yes"?>
<Relationships xmlns="http://schemas.openxmlformats.org/package/2006/relationships">
<Relationship Id="rId1" Target="na/ny/users/johndasc/Docs/ID/Charts/Chart_Gallery/From%20Vlad/B11_BarSingle_AverageLine.xls" TargetMode="External" Type="http://schemas.microsoft.com/office/2006/relationships/xlExternalLinkPath/xlAlternateStartup"/>
</Relationships>

</file>

<file path=xl/externalLinks/_rels/externalLink6.xml.rels><?xml version="1.0" encoding="UTF-8" standalone="yes"?>
<Relationships xmlns="http://schemas.openxmlformats.org/package/2006/relationships">
<Relationship Id="rId1" Target="lewis/Coverage/Covidien%20(COV)/COV_valuation.xls" TargetMode="External" Type="http://schemas.microsoft.com/office/2006/relationships/xlExternalLinkPath/xlStartup"/>
</Relationships>

</file>

<file path=xl/externalLinks/_rels/externalLink7.xml.rels><?xml version="1.0" encoding="UTF-8" standalone="yes"?>
<Relationships xmlns="http://schemas.openxmlformats.org/package/2006/relationships">
<Relationship Id="rId1" Target="lewis/Coverage/Covidien%20(COV)/Exhibit%20Archive/M&amp;A_Demo.xls" TargetMode="External" Type="http://schemas.microsoft.com/office/2006/relationships/xlExternalLinkPath/xlStartup"/>
</Relationships>

</file>

<file path=xl/externalLinks/_rels/externalLink8.xml.rels><?xml version="1.0" encoding="UTF-8" standalone="yes"?>
<Relationships xmlns="http://schemas.openxmlformats.org/package/2006/relationships">
<Relationship Id="rId1" Target="/NA/NY/LIB/ER/HEALTH/DVeal/KTD/XRAY/XRAY%20initiation%20charts.xls" TargetMode="External" Type="http://schemas.openxmlformats.org/officeDocument/2006/relationships/externalLinkPath"/>
</Relationships>

</file>

<file path=xl/externalLinks/_rels/externalLink9.xml.rels><?xml version="1.0" encoding="UTF-8" standalone="yes"?>
<Relationships xmlns="http://schemas.openxmlformats.org/package/2006/relationships">
<Relationship Id="rId1" Target="file://///nydfs1/root/hayesme/Models/Models/Basic%20Models/casesmodel6.xls" TargetMode="External" Type="http://schemas.openxmlformats.org/officeDocument/2006/relationships/externalLinkPath"/>
</Relationships>

</file>

<file path=xl/externalLinks/_rels/externalLink10.xml.rels><?xml version="1.0" encoding="UTF-8" standalone="yes"?>
<Relationships xmlns="http://schemas.openxmlformats.org/package/2006/relationships">
<Relationship Id="rId1" Target="file://///nydfs1/root/mard/Yeshaya/BMC/Project%20Explorer/Peary/MM%20Model%2010-01-01.xls" TargetMode="External" Type="http://schemas.openxmlformats.org/officeDocument/2006/relationships/externalLinkPath"/>
</Relationships>

</file>

<file path=xl/externalLinks/_rels/externalLink11.xml.rels><?xml version="1.0" encoding="UTF-8" standalone="yes"?>
<Relationships xmlns="http://schemas.openxmlformats.org/package/2006/relationships">
<Relationship Id="rId1" Target="file://///nydfs1/root/health/Smith-Marshall/Project%20Bermuda/Models%20for%20Proj%20Bermuda/Project%20Bermuda%20Model%20-%2008-23-00%20ver4.xls" TargetMode="External" Type="http://schemas.openxmlformats.org/officeDocument/2006/relationships/externalLinkPath"/>
</Relationships>

</file>

<file path=xl/externalLinks/_rels/externalLink12.xml.rels><?xml version="1.0" encoding="UTF-8" standalone="yes"?>
<Relationships xmlns="http://schemas.openxmlformats.org/package/2006/relationships">
<Relationship Id="rId1" Target="file://///nydfs1/root/health/COMPANY/ABT/aqua/Gray%20April%202003/Gray%20Model%205-2-03.xls" TargetMode="External" Type="http://schemas.openxmlformats.org/officeDocument/2006/relationships/externalLinkPath"/>
</Relationships>

</file>

<file path=xl/externalLinks/_rels/externalLink13.xml.rels><?xml version="1.0" encoding="UTF-8" standalone="yes"?>
<Relationships xmlns="http://schemas.openxmlformats.org/package/2006/relationships">
<Relationship Id="rId1" Target="/Users/jerliu/AppData/Local/Microsoft/Windows/Temporary%20Internet%20Files/Content.Outlook/YQIN1JR6/Wearables_GoogleTrends_Region%20Breakout_Fitbit.xlsx" TargetMode="External" Type="http://schemas.openxmlformats.org/officeDocument/2006/relationships/externalLinkPath"/>
</Relationships>

</file>

<file path=xl/externalLinks/_rels/externalLink14.xml.rels><?xml version="1.0" encoding="UTF-8" standalone="yes"?>
<Relationships xmlns="http://schemas.openxmlformats.org/package/2006/relationships">
<Relationship Id="rId1" Target="EU/LN/lib/erpublish/ln/Fidelity/ModelwareRepository/Production/NOVN.VX.xls" TargetMode="External" Type="http://schemas.microsoft.com/office/2006/relationships/xlExternalLinkPath/xlAlternateStartup"/>
</Relationships>

</file>

<file path=xl/externalLinks/_rels/externalLink15.xml.rels><?xml version="1.0" encoding="UTF-8" standalone="yes"?>
<Relationships xmlns="http://schemas.openxmlformats.org/package/2006/relationships">
<Relationship Id="rId1" Target="file://///nydfs1/root/Taylor%20Smith/BMC/Symphony/Model/Chopin%20Model%209-7-03%20v2%20(check).xls" TargetMode="External" Type="http://schemas.openxmlformats.org/officeDocument/2006/relationships/externalLinkPath"/>
</Relationships>

</file>

<file path=xl/externalLinks/_rels/externalLink16.xml.rels><?xml version="1.0" encoding="UTF-8" standalone="yes"?>
<Relationships xmlns="http://schemas.openxmlformats.org/package/2006/relationships">
<Relationship Id="rId1" Target="file://///nydfs1/root/mard/Chiu/MI3/Model/Merger3_23.xls" TargetMode="External" Type="http://schemas.openxmlformats.org/officeDocument/2006/relationships/externalLinkPath"/>
</Relationships>

</file>

<file path=xl/externalLinks/_rels/externalLink17.xml.rels><?xml version="1.0" encoding="UTF-8" standalone="yes"?>
<Relationships xmlns="http://schemas.openxmlformats.org/package/2006/relationships">
<Relationship Id="rId1" Target="file://///nydfs1/root/mard/Lewinsohn/PlacerDome/Models/Placer_Barrick_model_version_v5.xls" TargetMode="External" Type="http://schemas.openxmlformats.org/officeDocument/2006/relationships/externalLinkPath"/>
</Relationships>

</file>

<file path=xl/externalLinks/_rels/externalLink18.xml.rels><?xml version="1.0" encoding="UTF-8" standalone="yes"?>
<Relationships xmlns="http://schemas.openxmlformats.org/package/2006/relationships">
<Relationship Id="rId1" Target="file://///nydfs1/root/mard/smithma/Santa%20Fe/Project%20Superbowl/Financials/Model042301v1.xls" TargetMode="External" Type="http://schemas.openxmlformats.org/officeDocument/2006/relationships/externalLinkPath"/>
</Relationships>

</file>

<file path=xl/externalLinks/_rels/externalLink19.xml.rels><?xml version="1.0" encoding="UTF-8" standalone="yes"?>
<Relationships xmlns="http://schemas.openxmlformats.org/package/2006/relationships">
<Relationship Id="rId1" Target="file://///nydfs1/root/health/COMPANY/ABT/April%202002/Minimerger_04.17.02%20.xls" TargetMode="External" Type="http://schemas.openxmlformats.org/officeDocument/2006/relationships/externalLinkPath"/>
</Relationships>

</file>

<file path=xl/externalLinks/_rels/externalLink20.xml.rels><?xml version="1.0" encoding="UTF-8" standalone="yes"?>
<Relationships xmlns="http://schemas.openxmlformats.org/package/2006/relationships">
<Relationship Id="rId1" Target="file://///nydfs1/root/nr/CHEMICAL/COMPANY/ELM/dexmini1.xls" TargetMode="External" Type="http://schemas.openxmlformats.org/officeDocument/2006/relationships/externalLinkPath"/>
</Relationships>

</file>

<file path=xl/externalLinks/_rels/externalLink21.xml.rels><?xml version="1.0" encoding="UTF-8" standalone="yes"?>
<Relationships xmlns="http://schemas.openxmlformats.org/package/2006/relationships">
<Relationship Id="rId1" Target="file://///nydfs1/root/mard/Rockwell/Amarillo/Model/AM0909.xls" TargetMode="External" Type="http://schemas.openxmlformats.org/officeDocument/2006/relationships/externalLinkPath"/>
</Relationships>

</file>

<file path=xl/externalLinks/_rels/externalLink22.xml.rels><?xml version="1.0" encoding="UTF-8" standalone="yes"?>
<Relationships xmlns="http://schemas.openxmlformats.org/package/2006/relationships">
<Relationship Id="rId1" Target="file://///nydfs1/root/Swomp/SEPR2/Sepracor/Dura%20Mini-Merger%20revised%20by%20MAS.xls" TargetMode="External" Type="http://schemas.openxmlformats.org/officeDocument/2006/relationships/externalLinkPath"/>
</Relationships>

</file>

<file path=xl/externalLinks/_rels/externalLink23.xml.rels><?xml version="1.0" encoding="UTF-8" standalone="yes"?>
<Relationships xmlns="http://schemas.openxmlformats.org/package/2006/relationships">
<Relationship Id="rId1" Target="/Users/clerico/AppData/Local/Microsoft/Windows/Temporary%20Internet%20Files/Content.Outlook/HMBY9NHL/ACT150410-AGN.xlsm" TargetMode="External" Type="http://schemas.openxmlformats.org/officeDocument/2006/relationships/externalLinkPath"/>
</Relationships>

</file>

<file path=xl/externalLinks/_rels/externalLink24.xml.rels><?xml version="1.0" encoding="UTF-8" standalone="yes"?>
<Relationships xmlns="http://schemas.openxmlformats.org/package/2006/relationships">
<Relationship Id="rId1" Target="file://///nydfs1/root/nr/CHEMICAL/STDEXHIB/Comps/2001%20Comps/jessica/Iridium/Models/irval4.xls" TargetMode="External" Type="http://schemas.openxmlformats.org/officeDocument/2006/relationships/externalLinkPath"/>
</Relationships>

</file>

<file path=xl/externalLinks/_rels/externalLink25.xml.rels><?xml version="1.0" encoding="UTF-8" standalone="yes"?>
<Relationships xmlns="http://schemas.openxmlformats.org/package/2006/relationships">
<Relationship Id="rId1" Target="file://///nydfs1/root/lib/ibd/MARD/MARD/Starkand/Copper/Model/Final/01-20-04.xls" TargetMode="External" Type="http://schemas.openxmlformats.org/officeDocument/2006/relationships/externalLinkPath"/>
</Relationships>

</file>

<file path=xl/externalLinks/_rels/externalLink26.xml.rels><?xml version="1.0" encoding="UTF-8" standalone="yes"?>
<Relationships xmlns="http://schemas.openxmlformats.org/package/2006/relationships">
<Relationship Id="rId1" Target="HEALTH/Tools/Companies/XRAY/Models/XRAY_Merger_Model_May0516.xlsm" TargetMode="External" Type="http://schemas.microsoft.com/office/2006/relationships/xlExternalLinkPath/xlAlternateStartup"/>
</Relationships>

</file>

<file path=xl/externalLinks/_rels/externalLink27.xml.rels><?xml version="1.0" encoding="UTF-8" standalone="yes"?>
<Relationships xmlns="http://schemas.openxmlformats.org/package/2006/relationships">
<Relationship Id="rId1" Target="file://///nydfs1/root/mard/Yeshaya/Project%20Merlot/Models/Merlot%20Operating%20Model%2012_6.xls" TargetMode="External" Type="http://schemas.openxmlformats.org/officeDocument/2006/relationships/externalLinkPath"/>
</Relationships>

</file>

<file path=xl/externalLinks/_rels/externalLink28.xml.rels><?xml version="1.0" encoding="UTF-8" standalone="yes"?>
<Relationships xmlns="http://schemas.openxmlformats.org/package/2006/relationships">
<Relationship Id="rId1" Target="file://///nydfs1/root/health/Biotech/Company/Millennium/Presentations/profiles%2004-08-02.xls" TargetMode="External" Type="http://schemas.openxmlformats.org/officeDocument/2006/relationships/externalLinkPath"/>
</Relationships>

</file>

<file path=xl/externalLinks/_rels/externalLink29.xml.rels><?xml version="1.0" encoding="UTF-8" standalone="yes"?>
<Relationships xmlns="http://schemas.openxmlformats.org/package/2006/relationships">
<Relationship Id="rId1" Target="file:///Q:/Fidelity/Inbox/UPS.N.xls" TargetMode="External" Type="http://schemas.openxmlformats.org/officeDocument/2006/relationships/externalLinkPath"/>
</Relationships>

</file>

<file path=xl/externalLinks/_rels/externalLink30.xml.rels><?xml version="1.0" encoding="UTF-8" standalone="yes"?>
<Relationships xmlns="http://schemas.openxmlformats.org/package/2006/relationships">
<Relationship Id="rId1" Target="TEMPLATE/Excel/LINKTAB.XLS" TargetMode="External" Type="http://schemas.microsoft.com/office/2006/relationships/xlExternalLinkPath/xlStartup"/>
</Relationships>

</file>

<file path=xl/externalLinks/_rels/externalLink31.xml.rels><?xml version="1.0" encoding="UTF-8" standalone="yes"?>
<Relationships xmlns="http://schemas.openxmlformats.org/package/2006/relationships">
<Relationship Id="rId1" Target="file://///nydfs1/root/mard/Yeshaya/BMC/Project%20Greek/MM%20Model%2012-5-01A.xls" TargetMode="External" Type="http://schemas.openxmlformats.org/officeDocument/2006/relationships/externalLinkPath"/>
</Relationships>

</file>

<file path=xl/externalLinks/_rels/externalLink32.xml.rels><?xml version="1.0" encoding="UTF-8" standalone="yes"?>
<Relationships xmlns="http://schemas.openxmlformats.org/package/2006/relationships">
<Relationship Id="rId1" Target="file://///nydfs1/root/mard/ZLewis/Training%20Materials/M&amp;A%20Training/Standard%20Models/LBO_Simple.xls" TargetMode="External" Type="http://schemas.openxmlformats.org/officeDocument/2006/relationships/externalLinkPath"/>
</Relationships>

</file>

<file path=xl/externalLinks/_rels/externalLink33.xml.rels><?xml version="1.0" encoding="UTF-8" standalone="yes"?>
<Relationships xmlns="http://schemas.openxmlformats.org/package/2006/relationships">
<Relationship Id="rId1" Target="L" TargetMode="External" Type="http://schemas.microsoft.com/office/2006/relationships/xlExternalLinkPath/xlPathMissing"/>
</Relationships>

</file>

<file path=xl/externalLinks/_rels/externalLink34.xml.rels><?xml version="1.0" encoding="UTF-8" standalone="yes"?>
<Relationships xmlns="http://schemas.openxmlformats.org/package/2006/relationships">
<Relationship Id="rId1" Target="file://///nydfs1/root/nr/CHEMICAL/COMPANY/Tosco/12-3-98/lyodcf.xls" TargetMode="External" Type="http://schemas.openxmlformats.org/officeDocument/2006/relationships/externalLinkPath"/>
</Relationships>

</file>

<file path=xl/externalLinks/_rels/externalLink35.xml.rels><?xml version="1.0" encoding="UTF-8" standalone="yes"?>
<Relationships xmlns="http://schemas.openxmlformats.org/package/2006/relationships">
<Relationship Id="rId1" Target="file://///nydfs1/root/nr/CHEMICAL/Swirsky/Models/DNAMIC97.XLS" TargetMode="External" Type="http://schemas.openxmlformats.org/officeDocument/2006/relationships/externalLinkPath"/>
</Relationships>

</file>

<file path=xl/externalLinks/_rels/externalLink36.xml.rels><?xml version="1.0" encoding="UTF-8" standalone="yes"?>
<Relationships xmlns="http://schemas.openxmlformats.org/package/2006/relationships">
<Relationship Id="rId1" Target="insuranc/nonlife/MODELS/pgr.xls" TargetMode="External" Type="http://schemas.microsoft.com/office/2006/relationships/xlExternalLinkPath/xlStartup"/>
</Relationships>

</file>

<file path=xl/externalLinks/_rels/externalLink37.xml.rels><?xml version="1.0" encoding="UTF-8" standalone="yes"?>
<Relationships xmlns="http://schemas.openxmlformats.org/package/2006/relationships">
<Relationship Id="rId1" Target="PHARM/XLDATA/AstraZeneca/azn.xls" TargetMode="External" Type="http://schemas.microsoft.com/office/2006/relationships/xlExternalLinkPath/xlStartup"/>
</Relationships>

</file>

<file path=xl/externalLinks/_rels/externalLink38.xml.rels><?xml version="1.0" encoding="UTF-8" standalone="yes"?>
<Relationships xmlns="http://schemas.openxmlformats.org/package/2006/relationships">
<Relationship Id="rId1" Target="file://///nydfs1/root/mard/smithma/Santa%20Fe/Project%20Superbowl/Financials/Model042601v2.xls" TargetMode="External" Type="http://schemas.openxmlformats.org/officeDocument/2006/relationships/externalLinkPath"/>
</Relationships>

</file>

<file path=xl/externalLinks/_rels/externalLink39.xml.rels><?xml version="1.0" encoding="UTF-8" standalone="yes"?>
<Relationships xmlns="http://schemas.openxmlformats.org/package/2006/relationships">
<Relationship Id="rId1" Target="file://///nydfs1/root/health/Smith-Marshall/Project%20Bermuda/Models%20for%20Proj%20Bermuda/Project%20Revolution%20Excel%20Files/VALMATRIX.xls" TargetMode="External" Type="http://schemas.openxmlformats.org/officeDocument/2006/relationships/externalLinkPath"/>
</Relationships>

</file>

<file path=xl/externalLinks/_rels/externalLink40.xml.rels><?xml version="1.0" encoding="UTF-8" standalone="yes"?>
<Relationships xmlns="http://schemas.openxmlformats.org/package/2006/relationships">
<Relationship Id="rId1" Target="file://///nydfs1/root/mard/smithma/General/Models/MJS%20New%20Look%20Merger%20Model.xls" TargetMode="External" Type="http://schemas.openxmlformats.org/officeDocument/2006/relationships/externalLinkPath"/>
</Relationships>

</file>

<file path=xl/externalLinks/_rels/externalLink41.xml.rels><?xml version="1.0" encoding="UTF-8" standalone="yes"?>
<Relationships xmlns="http://schemas.openxmlformats.org/package/2006/relationships">
<Relationship Id="rId1" Target="MultipleSecurities" TargetMode="External" Type="http://schemas.microsoft.com/office/2006/relationships/xlExternalLinkPath/xlPathMissing"/>
</Relationships>

</file>

<file path=xl/externalLinks/_rels/externalLink42.xml.rels><?xml version="1.0" encoding="UTF-8" standalone="yes"?>
<Relationships xmlns="http://schemas.openxmlformats.org/package/2006/relationships">
<Relationship Id="rId1" Target="file://///nydfs1/root/Comps/3q99/cro%203Q99%20being%20updated.xls" TargetMode="External" Type="http://schemas.openxmlformats.org/officeDocument/2006/relationships/externalLinkPath"/>
</Relationships>

</file>

<file path=xl/externalLinks/_rels/externalLink43.xml.rels><?xml version="1.0" encoding="UTF-8" standalone="yes"?>
<Relationships xmlns="http://schemas.openxmlformats.org/package/2006/relationships">
<Relationship Id="rId1" Target="file://///nydfs1/root/nr/CHEMICAL/Swirsky/Models/saphire.XLS" TargetMode="External" Type="http://schemas.openxmlformats.org/officeDocument/2006/relationships/externalLinkPath"/>
</Relationships>

</file>

<file path=xl/externalLinks/_rels/externalLink44.xml.rels><?xml version="1.0" encoding="UTF-8" standalone="yes"?>
<Relationships xmlns="http://schemas.openxmlformats.org/package/2006/relationships">
<Relationship Id="rId1" Target="file://///nydfs1/root/mard/Rockwell/Mary/Model/UberStar/upward9.xls" TargetMode="External" Type="http://schemas.openxmlformats.org/officeDocument/2006/relationships/externalLinkPath"/>
</Relationships>

</file>

<file path=xl/externalLinks/_rels/externalLink45.xml.rels><?xml version="1.0" encoding="UTF-8" standalone="yes"?>
<Relationships xmlns="http://schemas.openxmlformats.org/package/2006/relationships">
<Relationship Id="rId1" Target="I" TargetMode="External" Type="http://schemas.microsoft.com/office/2006/relationships/xlExternalLinkPath/xlPathMissing"/>
</Relationships>

</file>

<file path=xl/externalLinks/_rels/externalLink46.xml.rels><?xml version="1.0" encoding="UTF-8" standalone="yes"?>
<Relationships xmlns="http://schemas.openxmlformats.org/package/2006/relationships">
<Relationship Id="rId1" Target="file://///nydfs1/root/mard/Yeshaya/Project%20Merlot/Models/Merlot%20Operating%20Model%2011_28.xls" TargetMode="External" Type="http://schemas.openxmlformats.org/officeDocument/2006/relationships/externalLinkPath"/>
</Relationships>

</file>

<file path=xl/externalLinks/_rels/externalLink47.xml.rels><?xml version="1.0" encoding="UTF-8" standalone="yes"?>
<Relationships xmlns="http://schemas.openxmlformats.org/package/2006/relationships">
<Relationship Id="rId1" Target="file://///nydfs1/root/Biotech/Company/bioMerieux/March2003/Crimson/Project%20Rainbow%20Preliminary%20Crimson%20Valuation_3-14-03.xls" TargetMode="External" Type="http://schemas.openxmlformats.org/officeDocument/2006/relationships/externalLinkPath"/>
</Relationships>

</file>

<file path=xl/externalLinks/_rels/externalLink48.xml.rels><?xml version="1.0" encoding="UTF-8" standalone="yes"?>
<Relationships xmlns="http://schemas.openxmlformats.org/package/2006/relationships">
<Relationship Id="rId1" Target="file://///nydfs1/root/mard/vmignone/King/Queen%20Divestiture/King%20Queen%20Divestiture2.xls" TargetMode="External" Type="http://schemas.openxmlformats.org/officeDocument/2006/relationships/externalLinkPath"/>
</Relationships>

</file>

<file path=xl/externalLinks/_rels/externalLink49.xml.rels><?xml version="1.0" encoding="UTF-8" standalone="yes"?>
<Relationships xmlns="http://schemas.openxmlformats.org/package/2006/relationships">
<Relationship Id="rId1" Target="file://///nydfs1/root/MARD/Lewinsohn/ABG/Models/Minimerger082902.xls" TargetMode="External" Type="http://schemas.openxmlformats.org/officeDocument/2006/relationships/externalLinkPath"/>
</Relationships>

</file>

<file path=xl/externalLinks/_rels/externalLink50.xml.rels><?xml version="1.0" encoding="UTF-8" standalone="yes"?>
<Relationships xmlns="http://schemas.openxmlformats.org/package/2006/relationships">
<Relationship Id="rId1" Target="file://///nydfs1/root/mard/Doshin/Mosaic/Models/mini-merger_ADI_10.1a.xls" TargetMode="External" Type="http://schemas.openxmlformats.org/officeDocument/2006/relationships/externalLinkPath"/>
</Relationships>

</file>

<file path=xl/externalLinks/_rels/externalLink51.xml.rels><?xml version="1.0" encoding="UTF-8" standalone="yes"?>
<Relationships xmlns="http://schemas.openxmlformats.org/package/2006/relationships">
<Relationship Id="rId1" Target="file://///nydfs1/root/mard/mazer/Shadow/Models/Shadow%20Quick%20LBO2.xls" TargetMode="External" Type="http://schemas.openxmlformats.org/officeDocument/2006/relationships/externalLinkPath"/>
</Relationships>

</file>

<file path=xl/externalLinks/_rels/externalLink52.xml.rels><?xml version="1.0" encoding="UTF-8" standalone="yes"?>
<Relationships xmlns="http://schemas.openxmlformats.org/package/2006/relationships">
<Relationship Id="rId1" Target="file://///nydfs1/root/pdg/Excel/MODELS/DCF/PDGDCF1.XLS" TargetMode="External" Type="http://schemas.openxmlformats.org/officeDocument/2006/relationships/externalLinkPath"/>
</Relationships>

</file>

<file path=xl/externalLinks/_rels/externalLink53.xml.rels><?xml version="1.0" encoding="UTF-8" standalone="yes"?>
<Relationships xmlns="http://schemas.openxmlformats.org/package/2006/relationships">
<Relationship Id="rId1" Target="file://///nydfs1/root/health/Modisettj/traiing/Paperboy/Paperboy%20model.xls" TargetMode="External" Type="http://schemas.openxmlformats.org/officeDocument/2006/relationships/externalLinkPath"/>
</Relationships>

</file>

<file path=xl/externalLinks/_rels/externalLink54.xml.rels><?xml version="1.0" encoding="UTF-8" standalone="yes"?>
<Relationships xmlns="http://schemas.openxmlformats.org/package/2006/relationships">
<Relationship Id="rId1" Target="file://///nydfs1/root/edsona/UPWARD/VALUATION/Logistics%20Valuation%20Model.xls" TargetMode="External" Type="http://schemas.openxmlformats.org/officeDocument/2006/relationships/externalLinkPath"/>
</Relationships>

</file>

<file path=xl/externalLinks/_rels/externalLink55.xml.rels><?xml version="1.0" encoding="UTF-8" standalone="yes"?>
<Relationships xmlns="http://schemas.openxmlformats.org/package/2006/relationships">
<Relationship Id="rId1" Target="file://///nydfs1/root/TEMP/KAMAL/GIBRALTA/DCFYN26.XLS" TargetMode="External" Type="http://schemas.openxmlformats.org/officeDocument/2006/relationships/externalLinkPath"/>
</Relationships>

</file>

<file path=xl/externalLinks/_rels/externalLink56.xml.rels><?xml version="1.0" encoding="UTF-8" standalone="yes"?>
<Relationships xmlns="http://schemas.openxmlformats.org/package/2006/relationships">
<Relationship Id="rId1" Target="file:///A:/KIM/PELICAN/NON_CORE/DCF7.XLS" TargetMode="External" Type="http://schemas.openxmlformats.org/officeDocument/2006/relationships/externalLinkPath"/>
</Relationships>

</file>

<file path=xl/externalLinks/_rels/externalLink57.xml.rels><?xml version="1.0" encoding="UTF-8" standalone="yes"?>
<Relationships xmlns="http://schemas.openxmlformats.org/package/2006/relationships">
<Relationship Id="rId1" Target="file:///G:/M&amp;AHEALT/PROJECTS/CAREMATR/HIST20.XLS" TargetMode="External" Type="http://schemas.openxmlformats.org/officeDocument/2006/relationships/externalLinkPath"/>
</Relationships>

</file>

<file path=xl/externalLinks/_rels/externalLink58.xml.rels><?xml version="1.0" encoding="UTF-8" standalone="yes"?>
<Relationships xmlns="http://schemas.openxmlformats.org/package/2006/relationships">
<Relationship Id="rId1" Target="file://///nydfs1/root/KIM/NOAH/LBO_2.XLS" TargetMode="External" Type="http://schemas.openxmlformats.org/officeDocument/2006/relationships/externalLinkPath"/>
</Relationships>

</file>

<file path=xl/externalLinks/_rels/externalLink59.xml.rels><?xml version="1.0" encoding="UTF-8" standalone="yes"?>
<Relationships xmlns="http://schemas.openxmlformats.org/package/2006/relationships">
<Relationship Id="rId1" Target="file://///nydfs1/root/bowless/Vitamin/mini7.xls" TargetMode="External" Type="http://schemas.openxmlformats.org/officeDocument/2006/relationships/externalLinkPath"/>
</Relationships>

</file>

<file path=xl/externalLinks/_rels/externalLink60.xml.rels><?xml version="1.0" encoding="UTF-8" standalone="yes"?>
<Relationships xmlns="http://schemas.openxmlformats.org/package/2006/relationships">
<Relationship Id="rId1" Target="file://///nydfs1/root/KLIMCZAK/georgia/Sep98/models/TURBOMERG63.XLS" TargetMode="External" Type="http://schemas.openxmlformats.org/officeDocument/2006/relationships/externalLinkPath"/>
</Relationships>

</file>

<file path=xl/externalLinks/_rels/externalLink61.xml.rels><?xml version="1.0" encoding="UTF-8" standalone="yes"?>
<Relationships xmlns="http://schemas.openxmlformats.org/package/2006/relationships">
<Relationship Id="rId1" Target="file://///nydfs1/root/MARD/ATabaee/Alchemy/Models/Minimergers/Alchemy%20Minimerger%20-%20v23%202-27-04%20(Emerald).xls" TargetMode="External" Type="http://schemas.openxmlformats.org/officeDocument/2006/relationships/externalLinkPath"/>
</Relationships>

</file>

<file path=xl/externalLinks/_rels/externalLink62.xml.rels><?xml version="1.0" encoding="UTF-8" standalone="yes"?>
<Relationships xmlns="http://schemas.openxmlformats.org/package/2006/relationships">
<Relationship Id="rId1" Target="file://///nydfs1/root/brenner/Hitch/Model/Corwin.xls" TargetMode="External" Type="http://schemas.openxmlformats.org/officeDocument/2006/relationships/externalLinkPath"/>
</Relationships>

</file>

<file path=xl/externalLinks/_rels/externalLink63.xml.rels><?xml version="1.0" encoding="UTF-8" standalone="yes"?>
<Relationships xmlns="http://schemas.openxmlformats.org/package/2006/relationships">
<Relationship Id="rId1" Target="file://///nydfs1/root/HUI/BLUE/MODEL/BLUE36.XLS" TargetMode="External" Type="http://schemas.openxmlformats.org/officeDocument/2006/relationships/externalLinkPath"/>
</Relationships>

</file>

<file path=xl/externalLinks/_rels/externalLink64.xml.rels><?xml version="1.0" encoding="UTF-8" standalone="yes"?>
<Relationships xmlns="http://schemas.openxmlformats.org/package/2006/relationships">
<Relationship Id="rId1" Target="file://///nydfs1/root/mard/Bear/Simpsons/Simple%20Merger/Simple%20Merger%20with%20Macro112600.xls" TargetMode="External" Type="http://schemas.openxmlformats.org/officeDocument/2006/relationships/externalLinkPath"/>
</Relationships>

</file>

<file path=xl/externalLinks/_rels/externalLink65.xml.rels><?xml version="1.0" encoding="UTF-8" standalone="yes"?>
<Relationships xmlns="http://schemas.openxmlformats.org/package/2006/relationships">
<Relationship Id="rId1" Target="file://///nydfs1/root/Documents%20and%20Settings/artat/Local%20Settings/Temp/MEGA%20Model%20v26.xls" TargetMode="External" Type="http://schemas.openxmlformats.org/officeDocument/2006/relationships/externalLinkPath"/>
</Relationships>

</file>

<file path=xl/externalLinks/_rels/externalLink66.xml.rels><?xml version="1.0" encoding="UTF-8" standalone="yes"?>
<Relationships xmlns="http://schemas.openxmlformats.org/package/2006/relationships">
<Relationship Id="rId1" Target="file://///nydfs1/root/MARD/Bellas/Titan/Current%20Documents/Model%204.8v2.xls" TargetMode="External" Type="http://schemas.openxmlformats.org/officeDocument/2006/relationships/externalLinkPath"/>
</Relationships>

</file>

<file path=xl/externalLinks/_rels/externalLink67.xml.rels><?xml version="1.0" encoding="UTF-8" standalone="yes"?>
<Relationships xmlns="http://schemas.openxmlformats.org/package/2006/relationships">
<Relationship Id="rId1" Target="file://///nydfs1/root/data/mlnm/corpdev/vacation/mlnm/corpdev/base%20case/prod%20base%2014.xls" TargetMode="External" Type="http://schemas.openxmlformats.org/officeDocument/2006/relationships/externalLinkPath"/>
</Relationships>

</file>

<file path=xl/externalLinks/_rels/externalLink68.xml.rels><?xml version="1.0" encoding="UTF-8" standalone="yes"?>
<Relationships xmlns="http://schemas.openxmlformats.org/package/2006/relationships">
<Relationship Id="rId1" Target="file://///nydfs1/root/Taylor%20Smith/BMC/Symphony/Model/Chopin%20MOE%20Model%209.7.03%20v2.xls" TargetMode="External" Type="http://schemas.openxmlformats.org/officeDocument/2006/relationships/externalLinkPath"/>
</Relationships>

</file>

<file path=xl/externalLinks/_rels/externalLink69.xml.rels><?xml version="1.0" encoding="UTF-8" standalone="yes"?>
<Relationships xmlns="http://schemas.openxmlformats.org/package/2006/relationships">
<Relationship Id="rId1" Target="file://///nydfs1/root/mard/vmignone/Auto/Asbury%20Mini-Merger2.xls" TargetMode="External" Type="http://schemas.openxmlformats.org/officeDocument/2006/relationships/externalLinkPath"/>
</Relationships>

</file>

<file path=xl/externalLinks/_rels/externalLink70.xml.rels><?xml version="1.0" encoding="UTF-8" standalone="yes"?>
<Relationships xmlns="http://schemas.openxmlformats.org/package/2006/relationships">
<Relationship Id="rId1" Target="file://///nydfs1/root/mard/panossian/General/Mini%20Template2.xls" TargetMode="External" Type="http://schemas.openxmlformats.org/officeDocument/2006/relationships/externalLinkPath"/>
</Relationships>

</file>

<file path=xl/externalLinks/_rels/externalLink71.xml.rels><?xml version="1.0" encoding="UTF-8" standalone="yes"?>
<Relationships xmlns="http://schemas.openxmlformats.org/package/2006/relationships">
<Relationship Id="rId1" Target="file://///nydfs1/root/DANMOSH/TEMPLATE/STANDB.XLS" TargetMode="External" Type="http://schemas.openxmlformats.org/officeDocument/2006/relationships/externalLinkPath"/>
</Relationships>

</file>

<file path=xl/externalLinks/_rels/externalLink72.xml.rels><?xml version="1.0" encoding="UTF-8" standalone="yes"?>
<Relationships xmlns="http://schemas.openxmlformats.org/package/2006/relationships">
<Relationship Id="rId1" Target="file://///nydfs1/root/nr/CHEMICAL/COMPANY/Tosco/10-22-98/TOS_UK2.xls" TargetMode="External" Type="http://schemas.openxmlformats.org/officeDocument/2006/relationships/externalLinkPath"/>
</Relationships>

</file>

<file path=xl/externalLinks/_rels/externalLink73.xml.rels><?xml version="1.0" encoding="UTF-8" standalone="yes"?>
<Relationships xmlns="http://schemas.openxmlformats.org/package/2006/relationships">
<Relationship Id="rId1" Target="Documents%20and%20Settings/pscavo/Local%20Settings/Temporary%20Internet%20Files/OLK33/OIT%20Screening.xls" TargetMode="External" Type="http://schemas.microsoft.com/office/2006/relationships/xlExternalLinkPath/xlAlternateStartup"/>
</Relationships>

</file>

<file path=xl/externalLinks/_rels/externalLink74.xml.rels><?xml version="1.0" encoding="UTF-8" standalone="yes"?>
<Relationships xmlns="http://schemas.openxmlformats.org/package/2006/relationships">
<Relationship Id="rId1" Target="lewis/Coverage/Baxter%20International%20(BAX)/BAX.xls" TargetMode="External" Type="http://schemas.microsoft.com/office/2006/relationships/xlExternalLinkPath/xlStartup"/>
</Relationships>

</file>

<file path=xl/externalLinks/_rels/externalLink75.xml.rels><?xml version="1.0" encoding="UTF-8" standalone="yes"?>
<Relationships xmlns="http://schemas.openxmlformats.org/package/2006/relationships">
<Relationship Id="rId1" Target="HEALTH/Tools/Weekly/Industry%20Multiples.xlsm" TargetMode="External" Type="http://schemas.microsoft.com/office/2006/relationships/xlExternalLinkPath/xlAlternateStartup"/>
</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io"/>
      <sheetName val="Bio (2)"/>
      <sheetName val="Bio (3)"/>
      <sheetName val="Bio (4)"/>
      <sheetName val="Bio (5)"/>
      <sheetName val="Sheet1"/>
      <sheetName val="Sheet2"/>
      <sheetName val="FF-manpwr"/>
    </sheetNames>
    <sheetDataSet>
      <sheetData sheetId="0" refreshError="1">
        <row r="5">
          <cell r="A5" t="str">
            <v>Present Market Value</v>
          </cell>
        </row>
        <row r="6">
          <cell r="A6" t="str">
            <v>(Dollars in millions except per share data)</v>
          </cell>
        </row>
        <row r="8">
          <cell r="C8" t="str">
            <v>PUBLIC</v>
          </cell>
          <cell r="D8" t="str">
            <v>PUBLIC COMPARABLES(2)</v>
          </cell>
          <cell r="H8" t="str">
            <v>TRANSACTION COMPARABLES</v>
          </cell>
        </row>
        <row r="9">
          <cell r="B9" t="str">
            <v>Target</v>
          </cell>
          <cell r="C9" t="str">
            <v>COMP.</v>
          </cell>
          <cell r="J9" t="str">
            <v xml:space="preserve">J &amp; W </v>
          </cell>
          <cell r="K9" t="str">
            <v xml:space="preserve">Baxter </v>
          </cell>
          <cell r="L9" t="str">
            <v>E. Merck/</v>
          </cell>
        </row>
        <row r="10">
          <cell r="B10" t="str">
            <v>@ Offer</v>
          </cell>
          <cell r="C10" t="str">
            <v xml:space="preserve">AVG (1)  </v>
          </cell>
          <cell r="D10" t="str">
            <v>Fisher</v>
          </cell>
          <cell r="E10" t="str">
            <v>VWR</v>
          </cell>
          <cell r="H10" t="str">
            <v>Cosa Rocas</v>
          </cell>
          <cell r="I10" t="str">
            <v>CMS/ FSE</v>
          </cell>
          <cell r="J10" t="str">
            <v>Scientific</v>
          </cell>
          <cell r="K10" t="str">
            <v>Industrial</v>
          </cell>
          <cell r="L10" t="str">
            <v>VWR Equity Purch.</v>
          </cell>
        </row>
        <row r="12">
          <cell r="A12" t="str">
            <v>Market Value or Offer Price</v>
          </cell>
          <cell r="B12">
            <v>123.12350330737669</v>
          </cell>
          <cell r="D12">
            <v>562.5</v>
          </cell>
          <cell r="E12">
            <v>962.55</v>
          </cell>
          <cell r="H12">
            <v>5.5</v>
          </cell>
          <cell r="I12">
            <v>310</v>
          </cell>
          <cell r="J12">
            <v>35</v>
          </cell>
          <cell r="K12">
            <v>475</v>
          </cell>
          <cell r="L12">
            <v>250.88399999999999</v>
          </cell>
        </row>
        <row r="13">
          <cell r="A13" t="str">
            <v>Total Debt (net) (3)</v>
          </cell>
          <cell r="B13">
            <v>-43.806672424171659</v>
          </cell>
          <cell r="D13">
            <v>843.8</v>
          </cell>
          <cell r="E13">
            <v>232.4</v>
          </cell>
          <cell r="H13">
            <v>1</v>
          </cell>
          <cell r="I13">
            <v>0</v>
          </cell>
          <cell r="J13">
            <v>0</v>
          </cell>
          <cell r="K13">
            <v>0</v>
          </cell>
          <cell r="L13">
            <v>408.1</v>
          </cell>
        </row>
        <row r="14">
          <cell r="A14" t="str">
            <v xml:space="preserve">Market Capitalization </v>
          </cell>
          <cell r="B14">
            <v>79.316830883205029</v>
          </cell>
          <cell r="D14">
            <v>1406.3</v>
          </cell>
          <cell r="E14">
            <v>1194.95</v>
          </cell>
          <cell r="H14">
            <v>6.5</v>
          </cell>
          <cell r="I14">
            <v>310</v>
          </cell>
          <cell r="J14">
            <v>35</v>
          </cell>
          <cell r="K14">
            <v>475</v>
          </cell>
          <cell r="L14">
            <v>658.98400000000004</v>
          </cell>
        </row>
        <row r="15">
          <cell r="A15" t="str">
            <v>Annual Sales 1997</v>
          </cell>
          <cell r="B15">
            <v>72.008708029808247</v>
          </cell>
          <cell r="D15">
            <v>2175.3000000000002</v>
          </cell>
          <cell r="E15">
            <v>1230.2</v>
          </cell>
          <cell r="H15">
            <v>10.6</v>
          </cell>
          <cell r="I15">
            <v>764.6</v>
          </cell>
          <cell r="J15">
            <v>21.2</v>
          </cell>
          <cell r="K15">
            <v>479</v>
          </cell>
          <cell r="L15">
            <v>1066</v>
          </cell>
        </row>
        <row r="16">
          <cell r="A16" t="str">
            <v xml:space="preserve">P/E - 1995  </v>
          </cell>
        </row>
        <row r="17">
          <cell r="A17" t="str">
            <v xml:space="preserve">P/E - 1997  </v>
          </cell>
          <cell r="B17">
            <v>20.52516680159685</v>
          </cell>
          <cell r="C17">
            <v>18.990875803081629</v>
          </cell>
          <cell r="D17">
            <v>11.917372881355933</v>
          </cell>
          <cell r="E17">
            <v>32.547169811320757</v>
          </cell>
          <cell r="H17">
            <v>5.6701030927835054</v>
          </cell>
          <cell r="I17">
            <v>19.62025316455696</v>
          </cell>
          <cell r="J17">
            <v>11.29032258064516</v>
          </cell>
          <cell r="K17">
            <v>21.59090909090909</v>
          </cell>
          <cell r="L17">
            <v>30.299999999999997</v>
          </cell>
        </row>
        <row r="18">
          <cell r="A18" t="str">
            <v>P/E - 1998E</v>
          </cell>
          <cell r="B18">
            <v>15.338354997244787</v>
          </cell>
          <cell r="C18">
            <v>16.877516373793622</v>
          </cell>
          <cell r="D18">
            <v>26.533018867924525</v>
          </cell>
          <cell r="E18">
            <v>25.555555555555554</v>
          </cell>
          <cell r="H18">
            <v>4.9107142857142856</v>
          </cell>
          <cell r="I18">
            <v>23.308270676691727</v>
          </cell>
          <cell r="J18">
            <v>10.416666666666668</v>
          </cell>
          <cell r="K18">
            <v>14.660493827160494</v>
          </cell>
          <cell r="L18">
            <v>12.757894736842106</v>
          </cell>
        </row>
        <row r="19">
          <cell r="A19" t="str">
            <v>P/E - 1999E</v>
          </cell>
          <cell r="B19">
            <v>13.649789138902332</v>
          </cell>
          <cell r="C19">
            <v>12.811435440561425</v>
          </cell>
          <cell r="D19">
            <v>13.14252336448598</v>
          </cell>
          <cell r="E19">
            <v>20.17543859649123</v>
          </cell>
          <cell r="H19" t="str">
            <v>na</v>
          </cell>
          <cell r="I19">
            <v>14.761904761904763</v>
          </cell>
          <cell r="J19">
            <v>9.6106150793650809</v>
          </cell>
          <cell r="K19">
            <v>11.098130841121495</v>
          </cell>
          <cell r="L19">
            <v>8.08</v>
          </cell>
        </row>
        <row r="21">
          <cell r="A21" t="str">
            <v xml:space="preserve">Market Value/ Book Value </v>
          </cell>
          <cell r="B21">
            <v>1.8858988512728747</v>
          </cell>
          <cell r="C21">
            <v>2.1165257419001238</v>
          </cell>
          <cell r="D21">
            <v>-1.5818335208098986</v>
          </cell>
          <cell r="E21">
            <v>2.814473684210526</v>
          </cell>
          <cell r="H21">
            <v>1.9642857142857144</v>
          </cell>
          <cell r="I21">
            <v>1.2291831879460746</v>
          </cell>
          <cell r="J21">
            <v>1.8041237113402062</v>
          </cell>
          <cell r="K21">
            <v>6.4189189189189193</v>
          </cell>
          <cell r="L21">
            <v>2.1665284974093262</v>
          </cell>
        </row>
        <row r="22">
          <cell r="A22" t="str">
            <v>Market Cap/ Annual Sales</v>
          </cell>
          <cell r="B22">
            <v>1.1014894316722299</v>
          </cell>
          <cell r="C22">
            <v>0.84246521368052796</v>
          </cell>
          <cell r="D22">
            <v>0.64648554222406096</v>
          </cell>
          <cell r="E22">
            <v>0.97134612258169406</v>
          </cell>
          <cell r="H22">
            <v>0.6132075471698113</v>
          </cell>
          <cell r="I22">
            <v>0.40544075333507718</v>
          </cell>
          <cell r="J22">
            <v>1.6509433962264151</v>
          </cell>
          <cell r="K22">
            <v>0.99164926931106467</v>
          </cell>
          <cell r="L22">
            <v>0.61818386491557231</v>
          </cell>
        </row>
        <row r="23">
          <cell r="A23" t="str">
            <v>Market Cap/1997 EBIT</v>
          </cell>
          <cell r="B23">
            <v>8.328183563424167</v>
          </cell>
          <cell r="C23">
            <v>11.347888984485635</v>
          </cell>
          <cell r="D23">
            <v>12.973247232472323</v>
          </cell>
          <cell r="E23">
            <v>15.458602846054335</v>
          </cell>
          <cell r="H23">
            <v>5</v>
          </cell>
          <cell r="I23">
            <v>14.485981308411215</v>
          </cell>
          <cell r="J23">
            <v>6.7307692307692308</v>
          </cell>
          <cell r="K23">
            <v>10.795454545454545</v>
          </cell>
          <cell r="L23">
            <v>13.991167728237793</v>
          </cell>
        </row>
        <row r="24">
          <cell r="A24" t="str">
            <v>Market Cap/1997  EBITDA</v>
          </cell>
          <cell r="B24">
            <v>7.7583655034326382</v>
          </cell>
          <cell r="C24">
            <v>8.8797536968242294</v>
          </cell>
          <cell r="D24">
            <v>9.0495495495495497</v>
          </cell>
          <cell r="E24">
            <v>12.033736153071501</v>
          </cell>
          <cell r="H24">
            <v>4.6428571428571432</v>
          </cell>
          <cell r="I24">
            <v>8.7570621468926557</v>
          </cell>
          <cell r="J24">
            <v>5.7377049180327875</v>
          </cell>
          <cell r="K24">
            <v>10.416666666666666</v>
          </cell>
          <cell r="L24">
            <v>11.520699300699301</v>
          </cell>
        </row>
        <row r="25">
          <cell r="A25" t="str">
            <v>Market Cap/1998 EBIT</v>
          </cell>
          <cell r="B25">
            <v>7.63972247777241</v>
          </cell>
          <cell r="C25">
            <v>7.949698111747316</v>
          </cell>
          <cell r="D25">
            <v>9.4956110735989192</v>
          </cell>
          <cell r="E25">
            <v>13.687857961053838</v>
          </cell>
          <cell r="H25">
            <v>3.8235294117647061</v>
          </cell>
          <cell r="I25">
            <v>9.1715976331360949</v>
          </cell>
          <cell r="J25">
            <v>6.25</v>
          </cell>
          <cell r="K25">
            <v>7.3302469135802468</v>
          </cell>
          <cell r="L25">
            <v>5.8890437890974088</v>
          </cell>
        </row>
        <row r="26">
          <cell r="A26" t="str">
            <v>Market Cap/1998 EBITDA</v>
          </cell>
          <cell r="B26">
            <v>7.1150894065699646</v>
          </cell>
          <cell r="C26">
            <v>6.4657417325103301</v>
          </cell>
          <cell r="D26">
            <v>7.0279860069965014</v>
          </cell>
          <cell r="E26">
            <v>10.833635539437898</v>
          </cell>
          <cell r="H26">
            <v>3.6111111111111112</v>
          </cell>
          <cell r="I26">
            <v>6.485355648535565</v>
          </cell>
          <cell r="J26">
            <v>5.384615384615385</v>
          </cell>
          <cell r="K26">
            <v>7.0684523809523805</v>
          </cell>
          <cell r="L26">
            <v>4.8490360559234729</v>
          </cell>
        </row>
        <row r="27">
          <cell r="A27" t="str">
            <v>Market Cap/1999 EBIT</v>
          </cell>
          <cell r="B27">
            <v>6.8077486250560355</v>
          </cell>
          <cell r="C27">
            <v>7.7663158778228114</v>
          </cell>
          <cell r="D27">
            <v>9.2763852242744065</v>
          </cell>
          <cell r="E27">
            <v>11.413085004775549</v>
          </cell>
          <cell r="H27" t="str">
            <v>na</v>
          </cell>
          <cell r="I27">
            <v>10.898976412995106</v>
          </cell>
          <cell r="J27">
            <v>5.7294051434676447</v>
          </cell>
          <cell r="K27">
            <v>5.5490654205607477</v>
          </cell>
          <cell r="L27">
            <v>3.7309780608634115</v>
          </cell>
        </row>
        <row r="28">
          <cell r="A28" t="str">
            <v>Market Cap/1999 EBITDA</v>
          </cell>
          <cell r="B28">
            <v>6.3403612624054064</v>
          </cell>
          <cell r="C28">
            <v>5.9545385789637573</v>
          </cell>
          <cell r="D28">
            <v>6.6147695202257761</v>
          </cell>
          <cell r="E28">
            <v>9.2131842713955301</v>
          </cell>
          <cell r="H28" t="str">
            <v>na</v>
          </cell>
          <cell r="I28">
            <v>6.5886467581382835</v>
          </cell>
          <cell r="J28">
            <v>4.8840830731199594</v>
          </cell>
          <cell r="K28">
            <v>5.3543613707165116</v>
          </cell>
          <cell r="L28">
            <v>3.0721864801864802</v>
          </cell>
        </row>
        <row r="30">
          <cell r="A30" t="str">
            <v>Acquisition of Stock</v>
          </cell>
          <cell r="F30" t="str">
            <v>Target Assumptions</v>
          </cell>
        </row>
        <row r="31">
          <cell r="A31" t="str">
            <v>Accretion/(Dilution) To FSH</v>
          </cell>
          <cell r="F31" t="str">
            <v xml:space="preserve">Sales 5 Yr. CAGR </v>
          </cell>
          <cell r="I31">
            <v>7.0000000000000062E-2</v>
          </cell>
        </row>
        <row r="32">
          <cell r="F32" t="str">
            <v>Tax Rate</v>
          </cell>
          <cell r="I32">
            <v>0.4</v>
          </cell>
        </row>
        <row r="33">
          <cell r="B33">
            <v>1998</v>
          </cell>
          <cell r="C33">
            <v>1999</v>
          </cell>
          <cell r="D33">
            <v>2000</v>
          </cell>
          <cell r="F33" t="str">
            <v>Purchase Multiple of 1997 EBIT:</v>
          </cell>
          <cell r="I33">
            <v>8.328183563424167</v>
          </cell>
        </row>
        <row r="34">
          <cell r="A34" t="str">
            <v>Cash for Stock (Debt Financing) (4)</v>
          </cell>
          <cell r="F34" t="str">
            <v>Terminal Multiple of 2002E EBIT:</v>
          </cell>
          <cell r="I34">
            <v>7.204202264628802</v>
          </cell>
        </row>
        <row r="35">
          <cell r="A35" t="str">
            <v xml:space="preserve">            Incremental Net income (chk with Bob)</v>
          </cell>
          <cell r="B35">
            <v>-0.93498943367478837</v>
          </cell>
          <cell r="C35">
            <v>5.8021980701662201E-2</v>
          </cell>
          <cell r="D35">
            <v>1.2004916335835834</v>
          </cell>
        </row>
        <row r="36">
          <cell r="A36" t="str">
            <v xml:space="preserve">            Per share</v>
          </cell>
          <cell r="B36">
            <v>-2.3374735841869665E-2</v>
          </cell>
          <cell r="C36">
            <v>1.4505495175416439E-3</v>
          </cell>
          <cell r="D36">
            <v>3.0012290839589451E-2</v>
          </cell>
          <cell r="F36" t="str">
            <v>Fisher Assumptions</v>
          </cell>
        </row>
        <row r="37">
          <cell r="A37" t="str">
            <v xml:space="preserve">            Dilution Threshold</v>
          </cell>
          <cell r="B37">
            <v>0</v>
          </cell>
          <cell r="C37">
            <v>0</v>
          </cell>
          <cell r="D37">
            <v>0</v>
          </cell>
          <cell r="F37" t="str">
            <v>Tax rate</v>
          </cell>
          <cell r="I37">
            <v>0.4</v>
          </cell>
        </row>
        <row r="38">
          <cell r="F38" t="str">
            <v>Debt financing cost</v>
          </cell>
          <cell r="I38">
            <v>0.09</v>
          </cell>
        </row>
        <row r="39">
          <cell r="A39" t="str">
            <v>Stock for Stock (Purchase)</v>
          </cell>
          <cell r="D39" t="str">
            <v xml:space="preserve"> </v>
          </cell>
          <cell r="F39" t="str">
            <v>Goodwill amortization (Years)</v>
          </cell>
          <cell r="I39">
            <v>25</v>
          </cell>
        </row>
        <row r="40">
          <cell r="A40" t="str">
            <v xml:space="preserve">            Incremental Net income</v>
          </cell>
          <cell r="B40">
            <v>5.713679744923553</v>
          </cell>
          <cell r="C40">
            <v>6.7066911593000036</v>
          </cell>
          <cell r="D40">
            <v>7.8491608121819247</v>
          </cell>
          <cell r="F40" t="str">
            <v>Goodwill Tax Deductible</v>
          </cell>
          <cell r="I40" t="str">
            <v>No</v>
          </cell>
        </row>
        <row r="41">
          <cell r="A41" t="str">
            <v xml:space="preserve">            Per share</v>
          </cell>
          <cell r="B41">
            <v>2.2013779555791091E-2</v>
          </cell>
          <cell r="C41">
            <v>-5.4591629269827857E-2</v>
          </cell>
          <cell r="D41">
            <v>-0.12543788746897855</v>
          </cell>
        </row>
        <row r="42">
          <cell r="A42" t="str">
            <v xml:space="preserve">            Dilution Threshold</v>
          </cell>
          <cell r="B42">
            <v>0</v>
          </cell>
          <cell r="C42">
            <v>0</v>
          </cell>
          <cell r="D42">
            <v>0</v>
          </cell>
          <cell r="I42">
            <v>1998</v>
          </cell>
          <cell r="J42">
            <v>1999</v>
          </cell>
          <cell r="K42">
            <v>2000</v>
          </cell>
        </row>
        <row r="43">
          <cell r="F43" t="str">
            <v>EBIT</v>
          </cell>
          <cell r="I43">
            <v>10.382161277975143</v>
          </cell>
          <cell r="J43">
            <v>11.65096351990408</v>
          </cell>
          <cell r="K43">
            <v>13.0464277509508</v>
          </cell>
        </row>
        <row r="44">
          <cell r="F44" t="str">
            <v>Depreciation &amp; Amortization</v>
          </cell>
          <cell r="I44">
            <v>0.76553151278094744</v>
          </cell>
          <cell r="J44">
            <v>0.85886480068499138</v>
          </cell>
          <cell r="K44">
            <v>0.95085718078720227</v>
          </cell>
        </row>
        <row r="45">
          <cell r="A45" t="str">
            <v>IRR @</v>
          </cell>
          <cell r="B45">
            <v>79.316830883205029</v>
          </cell>
          <cell r="C45" t="str">
            <v>*    equals:</v>
          </cell>
          <cell r="D45">
            <v>0.1455104494284723</v>
          </cell>
          <cell r="F45" t="str">
            <v xml:space="preserve">Working Capital </v>
          </cell>
          <cell r="I45">
            <v>-1.254072741210507</v>
          </cell>
          <cell r="J45">
            <v>-1.3438219478321969</v>
          </cell>
          <cell r="K45">
            <v>-1.4380477381261798</v>
          </cell>
        </row>
        <row r="46">
          <cell r="F46" t="str">
            <v>Capex</v>
          </cell>
          <cell r="I46">
            <v>-1.1557397638784226</v>
          </cell>
          <cell r="J46">
            <v>-1.2366415473499122</v>
          </cell>
          <cell r="K46">
            <v>-1.3232064556644063</v>
          </cell>
        </row>
        <row r="47">
          <cell r="A47" t="str">
            <v>PV @</v>
          </cell>
          <cell r="B47">
            <v>0.15</v>
          </cell>
          <cell r="C47" t="str">
            <v>equals:</v>
          </cell>
          <cell r="D47">
            <v>77.935092001174382</v>
          </cell>
          <cell r="F47" t="str">
            <v>Purchase Accounting Outflows</v>
          </cell>
          <cell r="I47">
            <v>0</v>
          </cell>
          <cell r="J47">
            <v>0</v>
          </cell>
          <cell r="K47">
            <v>0</v>
          </cell>
        </row>
        <row r="48">
          <cell r="A48" t="str">
            <v>NPV @</v>
          </cell>
          <cell r="B48">
            <v>0.15</v>
          </cell>
          <cell r="C48" t="str">
            <v>equals:</v>
          </cell>
          <cell r="D48">
            <v>-1.3817388820306462</v>
          </cell>
          <cell r="F48" t="str">
            <v>Free Cash Flow</v>
          </cell>
          <cell r="I48">
            <v>8.7378802856671616</v>
          </cell>
          <cell r="J48">
            <v>9.929364825406962</v>
          </cell>
          <cell r="K48">
            <v>11.236030737947416</v>
          </cell>
        </row>
        <row r="49">
          <cell r="F49" t="str">
            <v>Interest (after tax)</v>
          </cell>
          <cell r="I49">
            <v>-4.2831088676930715</v>
          </cell>
          <cell r="J49">
            <v>-4.2668058947267342</v>
          </cell>
          <cell r="K49">
            <v>-4.2126885244999297</v>
          </cell>
        </row>
        <row r="50">
          <cell r="B50" t="str">
            <v>* Unlevered</v>
          </cell>
          <cell r="F50" t="str">
            <v>Taxes</v>
          </cell>
          <cell r="I50">
            <v>-4.1528645111900575</v>
          </cell>
          <cell r="J50">
            <v>-4.6603854079616323</v>
          </cell>
          <cell r="K50">
            <v>-5.2185711003803199</v>
          </cell>
        </row>
        <row r="51">
          <cell r="F51" t="str">
            <v>Excess Cash Flow</v>
          </cell>
          <cell r="I51">
            <v>0.30190690678403254</v>
          </cell>
          <cell r="J51">
            <v>1.0021735227185955</v>
          </cell>
          <cell r="K51">
            <v>1.8047711130671669</v>
          </cell>
        </row>
        <row r="52">
          <cell r="A52" t="str">
            <v>Fisher 1997 = Target 1998</v>
          </cell>
        </row>
        <row r="54">
          <cell r="A54" t="str">
            <v>(1) Average multiples include all figures.</v>
          </cell>
        </row>
        <row r="55">
          <cell r="A55" t="str">
            <v>(2) Excludes extraordinary items.  Balance sheet data as of latest quarter.  All data sourced from SEC filings and company earnings releases.</v>
          </cell>
        </row>
        <row r="56">
          <cell r="A56" t="str">
            <v xml:space="preserve">(3) Includes debt less cash.  Target balance sheet estimated as of 06/30/98.  </v>
          </cell>
        </row>
        <row r="57">
          <cell r="A57" t="str">
            <v>(4) Consideration: 100% Debt.</v>
          </cell>
        </row>
        <row r="58">
          <cell r="A58" t="str">
            <v>Present Market Value</v>
          </cell>
        </row>
        <row r="59">
          <cell r="A59" t="str">
            <v>(U.S. $ in millions except per share amounts)</v>
          </cell>
        </row>
        <row r="61">
          <cell r="D61" t="str">
            <v>PUBLIC COMPARABLES(1)</v>
          </cell>
          <cell r="H61" t="str">
            <v>TRANSACTION COMPARABLES</v>
          </cell>
        </row>
        <row r="62">
          <cell r="B62" t="str">
            <v>Target</v>
          </cell>
          <cell r="J62" t="str">
            <v xml:space="preserve">J &amp; W </v>
          </cell>
          <cell r="K62" t="str">
            <v>Baxter</v>
          </cell>
          <cell r="L62" t="str">
            <v>E. Merck/</v>
          </cell>
        </row>
        <row r="63">
          <cell r="A63" t="str">
            <v xml:space="preserve"> </v>
          </cell>
          <cell r="B63" t="str">
            <v>@ Offer</v>
          </cell>
          <cell r="D63" t="str">
            <v>Fisher</v>
          </cell>
          <cell r="E63" t="str">
            <v>VWR</v>
          </cell>
          <cell r="H63" t="str">
            <v>Cosa Rocas</v>
          </cell>
          <cell r="I63" t="str">
            <v>CMS/ FSE</v>
          </cell>
          <cell r="J63" t="str">
            <v>Scientific</v>
          </cell>
          <cell r="K63" t="str">
            <v>Industrial</v>
          </cell>
          <cell r="L63" t="str">
            <v>VWR Equity Purch.</v>
          </cell>
        </row>
        <row r="64">
          <cell r="D64" t="str">
            <v xml:space="preserve"> </v>
          </cell>
        </row>
        <row r="65">
          <cell r="A65" t="str">
            <v>Offer price per share</v>
          </cell>
          <cell r="B65">
            <v>60.118898099305028</v>
          </cell>
          <cell r="D65">
            <v>14.0625</v>
          </cell>
          <cell r="E65">
            <v>34.5</v>
          </cell>
          <cell r="H65">
            <v>5.5</v>
          </cell>
          <cell r="I65">
            <v>310</v>
          </cell>
          <cell r="J65">
            <v>35</v>
          </cell>
          <cell r="K65">
            <v>475</v>
          </cell>
          <cell r="L65">
            <v>12.12</v>
          </cell>
        </row>
        <row r="66">
          <cell r="A66" t="str">
            <v>Shares Outstanding (mms)</v>
          </cell>
          <cell r="B66">
            <v>2.048</v>
          </cell>
          <cell r="D66">
            <v>40</v>
          </cell>
          <cell r="E66">
            <v>27.9</v>
          </cell>
          <cell r="H66">
            <v>1</v>
          </cell>
          <cell r="I66" t="str">
            <v>n/a</v>
          </cell>
          <cell r="J66">
            <v>1</v>
          </cell>
          <cell r="K66" t="str">
            <v>n/a</v>
          </cell>
          <cell r="L66">
            <v>20.7</v>
          </cell>
        </row>
        <row r="68">
          <cell r="A68" t="str">
            <v>EPS - 1997</v>
          </cell>
          <cell r="B68">
            <v>2.9290333511261792</v>
          </cell>
          <cell r="D68">
            <v>1.18</v>
          </cell>
          <cell r="E68">
            <v>1.06</v>
          </cell>
          <cell r="H68">
            <v>0.97</v>
          </cell>
          <cell r="I68">
            <v>15.8</v>
          </cell>
          <cell r="J68">
            <v>3.1</v>
          </cell>
          <cell r="K68">
            <v>22</v>
          </cell>
          <cell r="L68">
            <v>0.4</v>
          </cell>
        </row>
        <row r="69">
          <cell r="A69" t="str">
            <v xml:space="preserve">EPS - 1998E </v>
          </cell>
          <cell r="B69">
            <v>3.9195140619775799</v>
          </cell>
          <cell r="D69">
            <v>0.53</v>
          </cell>
          <cell r="E69">
            <v>1.35</v>
          </cell>
          <cell r="H69">
            <v>1.1200000000000001</v>
          </cell>
          <cell r="I69">
            <v>13.3</v>
          </cell>
          <cell r="J69">
            <v>3.36</v>
          </cell>
          <cell r="K69">
            <v>32.4</v>
          </cell>
          <cell r="L69">
            <v>0.95</v>
          </cell>
        </row>
        <row r="70">
          <cell r="A70" t="str">
            <v>EPS - 1999E</v>
          </cell>
          <cell r="B70">
            <v>4.4043829166535815</v>
          </cell>
          <cell r="D70">
            <v>1.07</v>
          </cell>
          <cell r="E70">
            <v>1.71</v>
          </cell>
          <cell r="H70" t="str">
            <v>na</v>
          </cell>
          <cell r="I70">
            <v>21</v>
          </cell>
          <cell r="J70">
            <v>3.6418064516129025</v>
          </cell>
          <cell r="K70">
            <v>42.8</v>
          </cell>
          <cell r="L70">
            <v>1.5</v>
          </cell>
        </row>
        <row r="72">
          <cell r="A72" t="str">
            <v>Annual Sales (1997)</v>
          </cell>
          <cell r="B72">
            <v>72.008708029808247</v>
          </cell>
          <cell r="D72">
            <v>2175.3000000000002</v>
          </cell>
          <cell r="E72">
            <v>1230.2</v>
          </cell>
          <cell r="H72">
            <v>10.6</v>
          </cell>
          <cell r="I72">
            <v>764.6</v>
          </cell>
          <cell r="J72">
            <v>21.2</v>
          </cell>
          <cell r="K72">
            <v>479</v>
          </cell>
          <cell r="L72">
            <v>1066</v>
          </cell>
        </row>
        <row r="73">
          <cell r="A73" t="str">
            <v>1997 EBIT</v>
          </cell>
          <cell r="B73">
            <v>9.5239052164447724</v>
          </cell>
          <cell r="D73">
            <v>108.4</v>
          </cell>
          <cell r="E73">
            <v>77.3</v>
          </cell>
          <cell r="H73">
            <v>1.3</v>
          </cell>
          <cell r="I73">
            <v>21.4</v>
          </cell>
          <cell r="J73">
            <v>5.2</v>
          </cell>
          <cell r="K73">
            <v>44</v>
          </cell>
          <cell r="L73">
            <v>47.1</v>
          </cell>
        </row>
        <row r="74">
          <cell r="A74" t="str">
            <v>1997 EBITDA</v>
          </cell>
          <cell r="B74">
            <v>10.223394457004096</v>
          </cell>
          <cell r="D74">
            <v>155.4</v>
          </cell>
          <cell r="E74">
            <v>99.3</v>
          </cell>
          <cell r="H74">
            <v>1.4</v>
          </cell>
          <cell r="I74">
            <v>35.4</v>
          </cell>
          <cell r="J74">
            <v>6.1</v>
          </cell>
          <cell r="K74">
            <v>45.6</v>
          </cell>
          <cell r="L74">
            <v>57.2</v>
          </cell>
        </row>
        <row r="75">
          <cell r="A75" t="str">
            <v>1998 EBIT</v>
          </cell>
          <cell r="B75">
            <v>10.382161277975143</v>
          </cell>
          <cell r="D75">
            <v>148.1</v>
          </cell>
          <cell r="E75">
            <v>87.3</v>
          </cell>
          <cell r="H75">
            <v>1.7</v>
          </cell>
          <cell r="I75">
            <v>33.799999999999997</v>
          </cell>
          <cell r="J75">
            <v>5.6</v>
          </cell>
          <cell r="K75">
            <v>64.8</v>
          </cell>
          <cell r="L75">
            <v>111.9</v>
          </cell>
        </row>
        <row r="76">
          <cell r="A76" t="str">
            <v>1998 EBITDA</v>
          </cell>
          <cell r="B76">
            <v>11.147692790756091</v>
          </cell>
          <cell r="D76">
            <v>200.1</v>
          </cell>
          <cell r="E76">
            <v>110.3</v>
          </cell>
          <cell r="H76">
            <v>1.8</v>
          </cell>
          <cell r="I76">
            <v>47.8</v>
          </cell>
          <cell r="J76">
            <v>6.5</v>
          </cell>
          <cell r="K76">
            <v>67.2</v>
          </cell>
          <cell r="L76">
            <v>135.9</v>
          </cell>
        </row>
        <row r="77">
          <cell r="A77" t="str">
            <v>1999 EBIT</v>
          </cell>
          <cell r="B77">
            <v>11.65096351990408</v>
          </cell>
          <cell r="D77">
            <v>151.6</v>
          </cell>
          <cell r="E77">
            <v>104.7</v>
          </cell>
          <cell r="H77" t="str">
            <v>na</v>
          </cell>
          <cell r="I77">
            <v>28.443037974683541</v>
          </cell>
          <cell r="J77">
            <v>6.1088366285119653</v>
          </cell>
          <cell r="K77">
            <v>85.6</v>
          </cell>
          <cell r="L77">
            <v>176.625</v>
          </cell>
        </row>
        <row r="78">
          <cell r="A78" t="str">
            <v>1999 EBITDA</v>
          </cell>
          <cell r="B78">
            <v>12.509828320589071</v>
          </cell>
          <cell r="D78">
            <v>212.6</v>
          </cell>
          <cell r="E78">
            <v>129.69999999999999</v>
          </cell>
          <cell r="H78" t="str">
            <v>na</v>
          </cell>
          <cell r="I78">
            <v>47.050632911392405</v>
          </cell>
          <cell r="J78">
            <v>7.1661352757544208</v>
          </cell>
          <cell r="K78">
            <v>88.712727272727264</v>
          </cell>
          <cell r="L78">
            <v>214.5</v>
          </cell>
        </row>
        <row r="79">
          <cell r="A79" t="str">
            <v>Depreciation &amp; Amortization (1997)</v>
          </cell>
          <cell r="B79">
            <v>0.69948924055932338</v>
          </cell>
          <cell r="D79">
            <v>47</v>
          </cell>
          <cell r="E79">
            <v>22</v>
          </cell>
          <cell r="H79">
            <v>0.8</v>
          </cell>
          <cell r="I79">
            <v>14</v>
          </cell>
          <cell r="J79">
            <v>0.9</v>
          </cell>
          <cell r="K79" t="str">
            <v>n/a</v>
          </cell>
          <cell r="L79">
            <v>9.8000000000000007</v>
          </cell>
        </row>
        <row r="80">
          <cell r="A80" t="str">
            <v>Book Value (1997)</v>
          </cell>
          <cell r="B80">
            <v>65.286376957213434</v>
          </cell>
          <cell r="D80">
            <v>-355.6</v>
          </cell>
          <cell r="E80">
            <v>342</v>
          </cell>
          <cell r="H80">
            <v>2.8</v>
          </cell>
          <cell r="I80">
            <v>252.2</v>
          </cell>
          <cell r="J80">
            <v>19.399999999999999</v>
          </cell>
          <cell r="K80">
            <v>74</v>
          </cell>
          <cell r="L80">
            <v>115.8</v>
          </cell>
        </row>
        <row r="82">
          <cell r="A82" t="str">
            <v>(1) Excludes extraordinary items.  Balance sheet data as of latest quarter.  All data sourced from SEC filings and company earnings releases.</v>
          </cell>
        </row>
        <row r="84">
          <cell r="A84" t="str">
            <v>EPS Analysis</v>
          </cell>
        </row>
        <row r="86">
          <cell r="B86" t="str">
            <v>Acquisition of 100% Of Stock</v>
          </cell>
        </row>
        <row r="87">
          <cell r="A87" t="str">
            <v xml:space="preserve"> </v>
          </cell>
          <cell r="B87" t="str">
            <v xml:space="preserve">        Debt (1)</v>
          </cell>
          <cell r="F87" t="str">
            <v xml:space="preserve">          Stock (Purchase)</v>
          </cell>
          <cell r="J87" t="str">
            <v>Debt Balance</v>
          </cell>
        </row>
        <row r="88">
          <cell r="B88">
            <v>1998</v>
          </cell>
          <cell r="C88">
            <v>1999</v>
          </cell>
          <cell r="D88">
            <v>2000</v>
          </cell>
          <cell r="E88" t="str">
            <v>CAGR</v>
          </cell>
          <cell r="F88">
            <v>1998</v>
          </cell>
          <cell r="G88">
            <v>1999</v>
          </cell>
          <cell r="H88">
            <v>2000</v>
          </cell>
          <cell r="J88">
            <v>1998</v>
          </cell>
          <cell r="K88">
            <v>1999</v>
          </cell>
          <cell r="L88">
            <v>2000</v>
          </cell>
        </row>
        <row r="89">
          <cell r="A89" t="str">
            <v>Net Income (mm)</v>
          </cell>
          <cell r="B89">
            <v>8.0271647989300838</v>
          </cell>
          <cell r="C89">
            <v>9.0201762133065344</v>
          </cell>
          <cell r="D89">
            <v>10.162645866188456</v>
          </cell>
          <cell r="E89">
            <v>0.12518078364180929</v>
          </cell>
          <cell r="F89">
            <v>8.0271647989300838</v>
          </cell>
          <cell r="G89">
            <v>9.0201762133065344</v>
          </cell>
          <cell r="H89">
            <v>10.162645866188456</v>
          </cell>
          <cell r="J89">
            <v>79.316830883205029</v>
          </cell>
          <cell r="K89">
            <v>79.014923976421002</v>
          </cell>
          <cell r="L89">
            <v>78.012750453702409</v>
          </cell>
        </row>
        <row r="90">
          <cell r="A90" t="str">
            <v>Incremental Goodwill Amortization</v>
          </cell>
          <cell r="B90">
            <v>-2.3134850540065304</v>
          </cell>
          <cell r="C90">
            <v>-2.3134850540065304</v>
          </cell>
          <cell r="D90">
            <v>-2.3134850540065304</v>
          </cell>
          <cell r="F90">
            <v>-2.3134850540065304</v>
          </cell>
          <cell r="G90">
            <v>-2.3134850540065304</v>
          </cell>
          <cell r="H90">
            <v>-2.3134850540065304</v>
          </cell>
        </row>
        <row r="91">
          <cell r="A91" t="str">
            <v>Interest on Debt (after tax)</v>
          </cell>
          <cell r="B91">
            <v>-6.6486691785983414</v>
          </cell>
          <cell r="C91">
            <v>-6.6486691785983414</v>
          </cell>
          <cell r="D91">
            <v>-6.6486691785983414</v>
          </cell>
          <cell r="F91">
            <v>0</v>
          </cell>
          <cell r="G91">
            <v>0</v>
          </cell>
          <cell r="H91">
            <v>0</v>
          </cell>
        </row>
        <row r="92">
          <cell r="A92" t="str">
            <v>Incremental Net Income</v>
          </cell>
          <cell r="B92">
            <v>-0.93498943367478837</v>
          </cell>
          <cell r="C92">
            <v>5.8021980701662201E-2</v>
          </cell>
          <cell r="D92">
            <v>1.2004916335835834</v>
          </cell>
          <cell r="F92">
            <v>5.713679744923553</v>
          </cell>
          <cell r="G92">
            <v>6.7066911593000036</v>
          </cell>
          <cell r="H92">
            <v>7.8491608121819247</v>
          </cell>
        </row>
        <row r="93">
          <cell r="A93" t="str">
            <v>Fisher Fully-Diluted Net Income</v>
          </cell>
          <cell r="B93">
            <v>21.200000000000003</v>
          </cell>
          <cell r="C93">
            <v>42.800000000000004</v>
          </cell>
          <cell r="D93">
            <v>63.8</v>
          </cell>
          <cell r="E93">
            <v>0.7347720202563075</v>
          </cell>
          <cell r="F93">
            <v>21.200000000000003</v>
          </cell>
          <cell r="G93">
            <v>42.800000000000004</v>
          </cell>
          <cell r="H93">
            <v>63.8</v>
          </cell>
        </row>
        <row r="94">
          <cell r="A94" t="str">
            <v>Total Net Income</v>
          </cell>
          <cell r="B94">
            <v>20.265010566325216</v>
          </cell>
          <cell r="C94">
            <v>42.858021980701665</v>
          </cell>
          <cell r="D94">
            <v>65.000491633583579</v>
          </cell>
          <cell r="F94">
            <v>26.913679744923556</v>
          </cell>
          <cell r="G94">
            <v>49.506691159300004</v>
          </cell>
          <cell r="H94">
            <v>71.649160812181918</v>
          </cell>
        </row>
        <row r="95">
          <cell r="A95" t="str">
            <v>Fisher Shares (fully diluted) - pre-Acq.</v>
          </cell>
          <cell r="B95">
            <v>40</v>
          </cell>
          <cell r="C95">
            <v>40</v>
          </cell>
          <cell r="D95">
            <v>40</v>
          </cell>
          <cell r="F95">
            <v>40</v>
          </cell>
          <cell r="G95">
            <v>40</v>
          </cell>
          <cell r="H95">
            <v>40</v>
          </cell>
        </row>
        <row r="96">
          <cell r="A96" t="str">
            <v>Fisher Shares  issued - Acq. Currency</v>
          </cell>
          <cell r="B96">
            <v>0</v>
          </cell>
          <cell r="C96">
            <v>0</v>
          </cell>
          <cell r="D96">
            <v>0</v>
          </cell>
          <cell r="F96">
            <v>8.7554491240801209</v>
          </cell>
          <cell r="G96">
            <v>8.7554491240801209</v>
          </cell>
          <cell r="H96">
            <v>8.7554491240801209</v>
          </cell>
        </row>
        <row r="97">
          <cell r="A97" t="str">
            <v>Total Shares (pro forma for acquisition)</v>
          </cell>
          <cell r="B97">
            <v>40</v>
          </cell>
          <cell r="C97">
            <v>40</v>
          </cell>
          <cell r="D97">
            <v>40</v>
          </cell>
          <cell r="F97">
            <v>48.755449124080123</v>
          </cell>
          <cell r="G97">
            <v>48.755449124080123</v>
          </cell>
          <cell r="H97">
            <v>48.755449124080123</v>
          </cell>
        </row>
        <row r="98">
          <cell r="A98" t="str">
            <v>Fisher EPS (pro forma for acquisition)</v>
          </cell>
          <cell r="B98">
            <v>0.50662526415813036</v>
          </cell>
          <cell r="C98">
            <v>1.0714505495175417</v>
          </cell>
          <cell r="D98">
            <v>1.6250122908395894</v>
          </cell>
          <cell r="F98">
            <v>0.55201377955579112</v>
          </cell>
          <cell r="G98">
            <v>1.0154083707301722</v>
          </cell>
          <cell r="H98">
            <v>1.4695621125310214</v>
          </cell>
        </row>
        <row r="99">
          <cell r="A99" t="str">
            <v>Accretion (Dilution) per share</v>
          </cell>
          <cell r="B99">
            <v>-2.3374735841869665E-2</v>
          </cell>
          <cell r="C99">
            <v>1.4505495175416439E-3</v>
          </cell>
          <cell r="D99">
            <v>3.0012290839589451E-2</v>
          </cell>
          <cell r="F99">
            <v>2.2013779555791091E-2</v>
          </cell>
          <cell r="G99">
            <v>-5.4591629269827857E-2</v>
          </cell>
          <cell r="H99">
            <v>-0.12543788746897855</v>
          </cell>
        </row>
        <row r="101">
          <cell r="A101" t="str">
            <v>Goodwill Calculation</v>
          </cell>
        </row>
        <row r="102">
          <cell r="A102" t="str">
            <v>Purchase Price of Equity</v>
          </cell>
          <cell r="B102">
            <v>123.12350330737669</v>
          </cell>
          <cell r="C102">
            <v>123.12350330737669</v>
          </cell>
          <cell r="D102">
            <v>123.12350330737669</v>
          </cell>
          <cell r="F102">
            <v>123.12350330737669</v>
          </cell>
          <cell r="G102">
            <v>123.12350330737669</v>
          </cell>
          <cell r="H102">
            <v>123.12350330737669</v>
          </cell>
        </row>
        <row r="103">
          <cell r="A103" t="str">
            <v>Add Purchase Accounting</v>
          </cell>
          <cell r="B103">
            <v>0</v>
          </cell>
          <cell r="F103">
            <v>0</v>
          </cell>
        </row>
        <row r="104">
          <cell r="A104" t="str">
            <v>Less Net BV of Assets</v>
          </cell>
          <cell r="B104">
            <v>65.286376957213434</v>
          </cell>
          <cell r="C104">
            <v>65.286376957213434</v>
          </cell>
          <cell r="D104">
            <v>65.286376957213434</v>
          </cell>
          <cell r="F104">
            <v>65.286376957213434</v>
          </cell>
          <cell r="G104">
            <v>65.286376957213434</v>
          </cell>
          <cell r="H104">
            <v>65.286376957213434</v>
          </cell>
        </row>
        <row r="105">
          <cell r="A105" t="str">
            <v>Less Asset Write-up</v>
          </cell>
          <cell r="B105">
            <v>0</v>
          </cell>
          <cell r="C105">
            <v>0</v>
          </cell>
          <cell r="D105">
            <v>0</v>
          </cell>
          <cell r="F105">
            <v>0</v>
          </cell>
          <cell r="G105">
            <v>0</v>
          </cell>
          <cell r="H105">
            <v>0</v>
          </cell>
        </row>
        <row r="106">
          <cell r="A106" t="str">
            <v>Total Goodwill</v>
          </cell>
          <cell r="B106">
            <v>57.83712635016326</v>
          </cell>
          <cell r="C106">
            <v>57.83712635016326</v>
          </cell>
          <cell r="D106">
            <v>57.83712635016326</v>
          </cell>
          <cell r="F106">
            <v>57.83712635016326</v>
          </cell>
          <cell r="G106">
            <v>57.83712635016326</v>
          </cell>
          <cell r="H106">
            <v>57.83712635016326</v>
          </cell>
        </row>
        <row r="108">
          <cell r="A108" t="str">
            <v xml:space="preserve">Total Annual Goodwill Expense </v>
          </cell>
          <cell r="B108">
            <v>2.3134850540065304</v>
          </cell>
          <cell r="C108">
            <v>2.3134850540065304</v>
          </cell>
          <cell r="D108">
            <v>2.3134850540065304</v>
          </cell>
          <cell r="F108">
            <v>2.3134850540065304</v>
          </cell>
          <cell r="G108">
            <v>2.3134850540065304</v>
          </cell>
          <cell r="H108">
            <v>2.3134850540065304</v>
          </cell>
        </row>
        <row r="110">
          <cell r="A110" t="str">
            <v>Dilution Purchase Price Threshold</v>
          </cell>
          <cell r="B110">
            <v>0</v>
          </cell>
          <cell r="C110">
            <v>0</v>
          </cell>
          <cell r="D110">
            <v>0</v>
          </cell>
          <cell r="F110">
            <v>0</v>
          </cell>
          <cell r="G110">
            <v>0</v>
          </cell>
          <cell r="H110">
            <v>0</v>
          </cell>
        </row>
        <row r="112">
          <cell r="A112" t="str">
            <v>(1) Capital structure of acquisition: 100% debt.</v>
          </cell>
        </row>
        <row r="113">
          <cell r="G113">
            <v>1</v>
          </cell>
          <cell r="H113">
            <v>2</v>
          </cell>
          <cell r="J113">
            <v>3</v>
          </cell>
          <cell r="K113">
            <v>4</v>
          </cell>
          <cell r="L113">
            <v>5</v>
          </cell>
        </row>
        <row r="115">
          <cell r="A115" t="str">
            <v>Income Statements ($000's)</v>
          </cell>
          <cell r="O115" t="str">
            <v>Income Statements (FFR in millions)</v>
          </cell>
        </row>
        <row r="116">
          <cell r="A116" t="str">
            <v>Fiscal Year Ended June 30,</v>
          </cell>
          <cell r="O116" t="str">
            <v>Year Ended Dec 31,</v>
          </cell>
        </row>
        <row r="117">
          <cell r="A117" t="str">
            <v xml:space="preserve">Exchange rate: per Fr. Franc </v>
          </cell>
          <cell r="B117">
            <v>0.16746211169722849</v>
          </cell>
          <cell r="C117" t="str">
            <v>1995A</v>
          </cell>
          <cell r="D117" t="str">
            <v>1996A</v>
          </cell>
          <cell r="E117" t="str">
            <v>1997A</v>
          </cell>
          <cell r="F117" t="str">
            <v>1998E</v>
          </cell>
          <cell r="G117" t="str">
            <v>1999E</v>
          </cell>
          <cell r="H117" t="str">
            <v>2000E</v>
          </cell>
          <cell r="I117" t="str">
            <v>2001E</v>
          </cell>
          <cell r="J117" t="str">
            <v>2002E</v>
          </cell>
          <cell r="K117" t="str">
            <v>2003E</v>
          </cell>
          <cell r="Q117" t="str">
            <v>1995A</v>
          </cell>
          <cell r="R117" t="str">
            <v>1996A</v>
          </cell>
          <cell r="S117" t="str">
            <v>1997A</v>
          </cell>
        </row>
        <row r="119">
          <cell r="A119" t="str">
            <v>Total Sales (2)</v>
          </cell>
          <cell r="C119">
            <v>59.551369002763117</v>
          </cell>
          <cell r="D119">
            <v>62.831784308800131</v>
          </cell>
          <cell r="E119">
            <v>65.779117474671352</v>
          </cell>
          <cell r="F119">
            <v>72.008708029808247</v>
          </cell>
          <cell r="G119">
            <v>77.049317591894834</v>
          </cell>
          <cell r="H119">
            <v>82.442769823327481</v>
          </cell>
          <cell r="I119">
            <v>88.213763710960421</v>
          </cell>
          <cell r="J119">
            <v>94.388727170727662</v>
          </cell>
          <cell r="K119">
            <v>100.9959380726786</v>
          </cell>
          <cell r="O119" t="str">
            <v>Total Sales</v>
          </cell>
          <cell r="Q119">
            <v>355.61099999999999</v>
          </cell>
          <cell r="R119">
            <v>375.2</v>
          </cell>
          <cell r="S119">
            <v>392.8</v>
          </cell>
        </row>
        <row r="120">
          <cell r="A120" t="str">
            <v>Annual Growth</v>
          </cell>
          <cell r="C120" t="str">
            <v>na</v>
          </cell>
          <cell r="D120">
            <v>5.5085472609115005E-2</v>
          </cell>
          <cell r="E120">
            <v>4.6908315565032055E-2</v>
          </cell>
          <cell r="F120">
            <v>9.4704684317718835E-2</v>
          </cell>
          <cell r="G120">
            <v>7.0000000000000062E-2</v>
          </cell>
          <cell r="H120">
            <v>7.0000000000000062E-2</v>
          </cell>
          <cell r="I120">
            <v>7.0000000000000284E-2</v>
          </cell>
          <cell r="J120">
            <v>7.0000000000000062E-2</v>
          </cell>
          <cell r="K120">
            <v>7.0000000000000062E-2</v>
          </cell>
          <cell r="O120" t="str">
            <v>Annual Growth</v>
          </cell>
          <cell r="Q120" t="str">
            <v>n/a</v>
          </cell>
          <cell r="R120">
            <v>5.5085472609115005E-2</v>
          </cell>
          <cell r="S120">
            <v>4.6908315565032055E-2</v>
          </cell>
        </row>
        <row r="122">
          <cell r="A122" t="str">
            <v xml:space="preserve">Cost of Sales </v>
          </cell>
          <cell r="C122">
            <v>33.289458260068656</v>
          </cell>
          <cell r="D122">
            <v>34.816545256635685</v>
          </cell>
          <cell r="E122">
            <v>36.6407100393536</v>
          </cell>
          <cell r="F122">
            <v>40.00669848446789</v>
          </cell>
          <cell r="G122">
            <v>42.753077116302435</v>
          </cell>
          <cell r="H122">
            <v>45.333578665326968</v>
          </cell>
          <cell r="I122">
            <v>48.065860353345059</v>
          </cell>
          <cell r="J122">
            <v>50.958526942225582</v>
          </cell>
          <cell r="K122">
            <v>54.020644137817989</v>
          </cell>
          <cell r="O122" t="str">
            <v xml:space="preserve">Cost of Sales </v>
          </cell>
          <cell r="Q122">
            <v>198.78800000000001</v>
          </cell>
          <cell r="R122">
            <v>207.90700000000001</v>
          </cell>
          <cell r="S122">
            <v>218.8</v>
          </cell>
        </row>
        <row r="123">
          <cell r="A123" t="str">
            <v>Adjustments to COGS</v>
          </cell>
          <cell r="C123">
            <v>0</v>
          </cell>
          <cell r="D123">
            <v>0</v>
          </cell>
          <cell r="E123">
            <v>0</v>
          </cell>
          <cell r="F123">
            <v>0</v>
          </cell>
          <cell r="G123">
            <v>0</v>
          </cell>
          <cell r="H123">
            <v>0</v>
          </cell>
          <cell r="I123">
            <v>0</v>
          </cell>
          <cell r="J123">
            <v>0</v>
          </cell>
          <cell r="K123">
            <v>0</v>
          </cell>
          <cell r="O123" t="str">
            <v>Adjustments to COGS</v>
          </cell>
          <cell r="Q123">
            <v>0</v>
          </cell>
          <cell r="R123">
            <v>0</v>
          </cell>
          <cell r="S123">
            <v>0</v>
          </cell>
        </row>
        <row r="124">
          <cell r="A124" t="str">
            <v xml:space="preserve">Total Gross Profit </v>
          </cell>
          <cell r="C124">
            <v>26.261910742694461</v>
          </cell>
          <cell r="D124">
            <v>28.015239052164446</v>
          </cell>
          <cell r="E124">
            <v>29.138407435317752</v>
          </cell>
          <cell r="F124">
            <v>32.002009545340357</v>
          </cell>
          <cell r="G124">
            <v>34.296240475592398</v>
          </cell>
          <cell r="H124">
            <v>37.109191158000513</v>
          </cell>
          <cell r="I124">
            <v>40.147903357615363</v>
          </cell>
          <cell r="J124">
            <v>43.430200228502081</v>
          </cell>
          <cell r="K124">
            <v>46.975293934860609</v>
          </cell>
          <cell r="O124" t="str">
            <v xml:space="preserve">Total Gross Profit </v>
          </cell>
          <cell r="Q124">
            <v>156.82299999999998</v>
          </cell>
          <cell r="R124">
            <v>167.29299999999998</v>
          </cell>
          <cell r="S124">
            <v>174</v>
          </cell>
        </row>
        <row r="125">
          <cell r="A125" t="str">
            <v>Gross Margin %</v>
          </cell>
          <cell r="C125">
            <v>0.44099591969877194</v>
          </cell>
          <cell r="D125">
            <v>0.44587686567164181</v>
          </cell>
          <cell r="E125">
            <v>0.44297352342158852</v>
          </cell>
          <cell r="F125">
            <v>0.44441860465116273</v>
          </cell>
          <cell r="G125">
            <v>0.44512062595088026</v>
          </cell>
          <cell r="H125">
            <v>0.45012062595088032</v>
          </cell>
          <cell r="I125">
            <v>0.45512062595088038</v>
          </cell>
          <cell r="J125">
            <v>0.46012062595088038</v>
          </cell>
          <cell r="K125">
            <v>0.46512062595088027</v>
          </cell>
          <cell r="O125" t="str">
            <v>Gross Margin %</v>
          </cell>
          <cell r="Q125">
            <v>0.44099591969877194</v>
          </cell>
          <cell r="R125">
            <v>0.44587686567164175</v>
          </cell>
          <cell r="S125">
            <v>0.44297352342158858</v>
          </cell>
        </row>
        <row r="127">
          <cell r="A127" t="str">
            <v>Operating Expenses:</v>
          </cell>
          <cell r="O127" t="str">
            <v>Operating Expenses:</v>
          </cell>
        </row>
        <row r="128">
          <cell r="A128" t="str">
            <v>Employee costs</v>
          </cell>
          <cell r="C128">
            <v>7.7074436908649409</v>
          </cell>
          <cell r="D128">
            <v>8.3349242233944558</v>
          </cell>
          <cell r="E128">
            <v>9.0429540316503392</v>
          </cell>
          <cell r="F128">
            <v>9.5453403667420247</v>
          </cell>
          <cell r="G128">
            <v>10.180105501130368</v>
          </cell>
          <cell r="H128">
            <v>10.857082516955538</v>
          </cell>
          <cell r="I128">
            <v>11.579078504333081</v>
          </cell>
          <cell r="J128">
            <v>12.34908722487123</v>
          </cell>
          <cell r="K128">
            <v>13.170301525325167</v>
          </cell>
          <cell r="O128" t="str">
            <v>Employee costs</v>
          </cell>
          <cell r="Q128">
            <v>46.024999999999999</v>
          </cell>
          <cell r="R128">
            <v>49.771999999999998</v>
          </cell>
          <cell r="S128">
            <v>54</v>
          </cell>
        </row>
        <row r="129">
          <cell r="A129" t="str">
            <v>As a % of Sales</v>
          </cell>
          <cell r="C129">
            <v>0.12942513026874872</v>
          </cell>
          <cell r="D129">
            <v>0.13265458422174839</v>
          </cell>
          <cell r="E129">
            <v>0.13747454175152751</v>
          </cell>
          <cell r="F129">
            <v>0.13255813953488374</v>
          </cell>
          <cell r="G129">
            <v>0.13212453814388175</v>
          </cell>
          <cell r="H129">
            <v>0.13169235507518681</v>
          </cell>
          <cell r="I129">
            <v>0.13126158568942681</v>
          </cell>
          <cell r="J129">
            <v>0.1308322253624053</v>
          </cell>
          <cell r="K129">
            <v>0.13040426948505163</v>
          </cell>
          <cell r="O129" t="str">
            <v>As a % of Sales</v>
          </cell>
          <cell r="Q129">
            <v>0.12942513026874872</v>
          </cell>
          <cell r="R129">
            <v>0.13265458422174839</v>
          </cell>
          <cell r="S129">
            <v>0.13747454175152748</v>
          </cell>
        </row>
        <row r="131">
          <cell r="A131" t="str">
            <v>Allocation to provisions</v>
          </cell>
          <cell r="C131">
            <v>1.3050322364565017</v>
          </cell>
          <cell r="D131">
            <v>1.4302938960060285</v>
          </cell>
          <cell r="E131">
            <v>1.4974462027966173</v>
          </cell>
          <cell r="F131">
            <v>1.6387842250690781</v>
          </cell>
          <cell r="G131">
            <v>1.7534991208239135</v>
          </cell>
          <cell r="H131">
            <v>1.8762440592815874</v>
          </cell>
          <cell r="I131">
            <v>2.0075811434312985</v>
          </cell>
          <cell r="J131">
            <v>2.1481118234714898</v>
          </cell>
          <cell r="K131">
            <v>2.2984796511144943</v>
          </cell>
          <cell r="O131" t="str">
            <v>Allocation to provisions</v>
          </cell>
          <cell r="Q131">
            <v>7.7930000000000001</v>
          </cell>
          <cell r="R131">
            <v>8.5410000000000004</v>
          </cell>
          <cell r="S131">
            <v>8.9420000000000002</v>
          </cell>
        </row>
        <row r="132">
          <cell r="A132" t="str">
            <v>As a % of Sales</v>
          </cell>
          <cell r="C132">
            <v>2.191439522399476E-2</v>
          </cell>
          <cell r="D132">
            <v>2.2763859275053304E-2</v>
          </cell>
          <cell r="E132">
            <v>2.2764765784114054E-2</v>
          </cell>
          <cell r="F132">
            <v>2.2758139534883724E-2</v>
          </cell>
          <cell r="G132">
            <v>2.2758139534883721E-2</v>
          </cell>
          <cell r="H132">
            <v>2.2758139534883717E-2</v>
          </cell>
          <cell r="I132">
            <v>2.275813953488371E-2</v>
          </cell>
          <cell r="J132">
            <v>2.2758139534883714E-2</v>
          </cell>
          <cell r="K132">
            <v>2.2758139534883717E-2</v>
          </cell>
          <cell r="O132" t="str">
            <v>As a % of Sales</v>
          </cell>
          <cell r="Q132">
            <v>2.191439522399476E-2</v>
          </cell>
          <cell r="R132">
            <v>2.2763859275053307E-2</v>
          </cell>
          <cell r="S132">
            <v>2.2764765784114054E-2</v>
          </cell>
        </row>
        <row r="134">
          <cell r="A134" t="str">
            <v>Other Expenses</v>
          </cell>
          <cell r="C134">
            <v>8.5841078455999327</v>
          </cell>
          <cell r="D134">
            <v>9.3658209830025942</v>
          </cell>
          <cell r="E134">
            <v>9.421418404086074</v>
          </cell>
          <cell r="F134">
            <v>10.003349242233943</v>
          </cell>
          <cell r="G134">
            <v>10.598548522146864</v>
          </cell>
          <cell r="H134">
            <v>11.229162159214603</v>
          </cell>
          <cell r="I134">
            <v>11.897297307687875</v>
          </cell>
          <cell r="J134">
            <v>12.605186497495305</v>
          </cell>
          <cell r="K134">
            <v>13.355195094096278</v>
          </cell>
          <cell r="O134" t="str">
            <v>Other Expenses</v>
          </cell>
          <cell r="Q134">
            <v>51.26</v>
          </cell>
          <cell r="R134">
            <v>55.927999999999997</v>
          </cell>
          <cell r="S134">
            <v>56.26</v>
          </cell>
        </row>
        <row r="135">
          <cell r="A135" t="str">
            <v>As a % of Sales</v>
          </cell>
          <cell r="C135">
            <v>0.14414627219068027</v>
          </cell>
          <cell r="D135">
            <v>0.14906183368869935</v>
          </cell>
          <cell r="E135">
            <v>0.14322810590631363</v>
          </cell>
          <cell r="F135">
            <v>0.13891860465116279</v>
          </cell>
          <cell r="G135">
            <v>0.13755538469897846</v>
          </cell>
          <cell r="H135">
            <v>0.13620554213884831</v>
          </cell>
          <cell r="I135">
            <v>0.13486894569729888</v>
          </cell>
          <cell r="J135">
            <v>0.13354546538905435</v>
          </cell>
          <cell r="K135">
            <v>0.13223497250439542</v>
          </cell>
          <cell r="O135" t="str">
            <v>As a % of Sales</v>
          </cell>
          <cell r="Q135">
            <v>0.14414627219068027</v>
          </cell>
          <cell r="R135">
            <v>0.14906183368869935</v>
          </cell>
          <cell r="S135">
            <v>0.14322810590631363</v>
          </cell>
        </row>
        <row r="137">
          <cell r="A137" t="str">
            <v xml:space="preserve">Depreciation &amp; Amortization </v>
          </cell>
          <cell r="C137">
            <v>0.51930000837310553</v>
          </cell>
          <cell r="D137">
            <v>0.55882106673365151</v>
          </cell>
          <cell r="E137">
            <v>0.65276731139579669</v>
          </cell>
          <cell r="F137">
            <v>0.69948924055932338</v>
          </cell>
          <cell r="G137">
            <v>0.76553151278094744</v>
          </cell>
          <cell r="H137">
            <v>0.83619674405808542</v>
          </cell>
          <cell r="I137">
            <v>0.91180854152462287</v>
          </cell>
          <cell r="J137">
            <v>0.99271316481381811</v>
          </cell>
          <cell r="K137">
            <v>1.079281111733257</v>
          </cell>
          <cell r="O137" t="str">
            <v xml:space="preserve">Depreciation &amp; Amortization </v>
          </cell>
          <cell r="Q137">
            <v>3.101</v>
          </cell>
          <cell r="R137">
            <v>3.3370000000000002</v>
          </cell>
          <cell r="S137">
            <v>3.8980000000000001</v>
          </cell>
        </row>
        <row r="138">
          <cell r="A138" t="str">
            <v>As a % of Sales</v>
          </cell>
          <cell r="C138">
            <v>8.7202026933924995E-3</v>
          </cell>
          <cell r="D138">
            <v>8.8939232409381667E-3</v>
          </cell>
          <cell r="E138">
            <v>9.9236252545824855E-3</v>
          </cell>
          <cell r="F138">
            <v>9.7139534883720936E-3</v>
          </cell>
          <cell r="G138">
            <v>9.9356040612289236E-3</v>
          </cell>
          <cell r="H138">
            <v>1.0142754129319422E-2</v>
          </cell>
          <cell r="I138">
            <v>1.0336352323796519E-2</v>
          </cell>
          <cell r="J138">
            <v>1.0517285215831193E-2</v>
          </cell>
          <cell r="K138">
            <v>1.0686381376611263E-2</v>
          </cell>
          <cell r="O138" t="str">
            <v>As a % of Sales</v>
          </cell>
          <cell r="Q138">
            <v>8.7202026933924995E-3</v>
          </cell>
          <cell r="R138">
            <v>8.8939232409381667E-3</v>
          </cell>
          <cell r="S138">
            <v>9.9236252545824855E-3</v>
          </cell>
        </row>
        <row r="140">
          <cell r="A140" t="str">
            <v>Operating Income</v>
          </cell>
          <cell r="C140">
            <v>8.1460269613999792</v>
          </cell>
          <cell r="D140">
            <v>8.3253788830277173</v>
          </cell>
          <cell r="E140">
            <v>8.5238214853889254</v>
          </cell>
          <cell r="F140">
            <v>10.115046470735988</v>
          </cell>
          <cell r="G140">
            <v>10.998555818710303</v>
          </cell>
          <cell r="H140">
            <v>12.310505678490699</v>
          </cell>
          <cell r="I140">
            <v>13.752137860638483</v>
          </cell>
          <cell r="J140">
            <v>15.335101517850237</v>
          </cell>
          <cell r="K140">
            <v>17.072036552591417</v>
          </cell>
          <cell r="O140" t="str">
            <v>Operating Income</v>
          </cell>
          <cell r="Q140">
            <v>48.64399999999997</v>
          </cell>
          <cell r="R140">
            <v>49.714999999999989</v>
          </cell>
          <cell r="S140">
            <v>50.899999999999991</v>
          </cell>
        </row>
        <row r="141">
          <cell r="A141" t="str">
            <v>Operating Margin</v>
          </cell>
          <cell r="C141">
            <v>0.13678991932195569</v>
          </cell>
          <cell r="D141">
            <v>0.1325026652452026</v>
          </cell>
          <cell r="E141">
            <v>0.12958248472505085</v>
          </cell>
          <cell r="F141">
            <v>0.14046976744186038</v>
          </cell>
          <cell r="G141">
            <v>0.14274695951190736</v>
          </cell>
          <cell r="H141">
            <v>0.14932183507264207</v>
          </cell>
          <cell r="I141">
            <v>0.15589560270547442</v>
          </cell>
          <cell r="J141">
            <v>0.1624675104487058</v>
          </cell>
          <cell r="K141">
            <v>0.16903686304993826</v>
          </cell>
          <cell r="O141" t="str">
            <v>Operating Margin</v>
          </cell>
          <cell r="Q141">
            <v>0.13678991932195564</v>
          </cell>
          <cell r="R141">
            <v>0.13250266524520254</v>
          </cell>
          <cell r="S141">
            <v>0.12958248472505088</v>
          </cell>
        </row>
        <row r="143">
          <cell r="A143" t="str">
            <v>Employee Profit Sharing</v>
          </cell>
          <cell r="C143">
            <v>0.54709871891484552</v>
          </cell>
          <cell r="D143">
            <v>0.51578330402746375</v>
          </cell>
          <cell r="E143">
            <v>0.46889391275223974</v>
          </cell>
          <cell r="F143">
            <v>0.59114125429121656</v>
          </cell>
          <cell r="G143">
            <v>0.61639454073515865</v>
          </cell>
          <cell r="H143">
            <v>0.65954215858661991</v>
          </cell>
          <cell r="I143">
            <v>0.70571010968768333</v>
          </cell>
          <cell r="J143">
            <v>0.75510981736582139</v>
          </cell>
          <cell r="K143">
            <v>0.80796750458142885</v>
          </cell>
          <cell r="O143" t="str">
            <v>Employee Profit Sharing</v>
          </cell>
          <cell r="Q143">
            <v>3.2669999999999999</v>
          </cell>
          <cell r="R143">
            <v>3.08</v>
          </cell>
          <cell r="S143">
            <v>2.8</v>
          </cell>
        </row>
        <row r="144">
          <cell r="A144" t="str">
            <v>As a % of Sales</v>
          </cell>
          <cell r="C144">
            <v>9.1870049014231847E-3</v>
          </cell>
          <cell r="D144">
            <v>8.2089552238805968E-3</v>
          </cell>
          <cell r="E144">
            <v>7.1283095723014252E-3</v>
          </cell>
          <cell r="F144">
            <v>8.2093023255813951E-3</v>
          </cell>
          <cell r="G144">
            <v>8.0000000000000002E-3</v>
          </cell>
          <cell r="H144">
            <v>8.0000000000000002E-3</v>
          </cell>
          <cell r="I144">
            <v>8.0000000000000002E-3</v>
          </cell>
          <cell r="J144">
            <v>8.0000000000000002E-3</v>
          </cell>
          <cell r="K144">
            <v>8.0000000000000002E-3</v>
          </cell>
          <cell r="O144" t="str">
            <v>As a % of Sales</v>
          </cell>
          <cell r="Q144">
            <v>9.1870049014231847E-3</v>
          </cell>
          <cell r="R144">
            <v>8.2089552238805968E-3</v>
          </cell>
          <cell r="S144">
            <v>7.1283095723014252E-3</v>
          </cell>
        </row>
        <row r="146">
          <cell r="A146" t="str">
            <v>Adjustments / (Cost Savings)</v>
          </cell>
          <cell r="C146">
            <v>0</v>
          </cell>
          <cell r="D146">
            <v>0</v>
          </cell>
          <cell r="E146">
            <v>0</v>
          </cell>
          <cell r="F146">
            <v>0</v>
          </cell>
          <cell r="G146">
            <v>0</v>
          </cell>
          <cell r="H146">
            <v>0</v>
          </cell>
          <cell r="I146">
            <v>0</v>
          </cell>
          <cell r="J146">
            <v>0</v>
          </cell>
          <cell r="K146">
            <v>0</v>
          </cell>
          <cell r="O146" t="str">
            <v>Adjustments / Cost Savings</v>
          </cell>
          <cell r="Q146">
            <v>0</v>
          </cell>
          <cell r="R146">
            <v>0</v>
          </cell>
          <cell r="S146">
            <v>0</v>
          </cell>
        </row>
        <row r="147">
          <cell r="A147" t="str">
            <v>As a % of EBIT</v>
          </cell>
          <cell r="C147">
            <v>0</v>
          </cell>
          <cell r="D147">
            <v>0</v>
          </cell>
          <cell r="E147">
            <v>0</v>
          </cell>
          <cell r="F147">
            <v>0</v>
          </cell>
          <cell r="G147">
            <v>0</v>
          </cell>
          <cell r="H147">
            <v>0</v>
          </cell>
          <cell r="I147">
            <v>0</v>
          </cell>
          <cell r="J147">
            <v>0</v>
          </cell>
          <cell r="K147">
            <v>0</v>
          </cell>
          <cell r="O147" t="str">
            <v>As a % of EBIT</v>
          </cell>
          <cell r="Q147">
            <v>0</v>
          </cell>
          <cell r="R147">
            <v>0</v>
          </cell>
          <cell r="S147">
            <v>0</v>
          </cell>
        </row>
        <row r="149">
          <cell r="A149" t="str">
            <v>Adj. EBIT</v>
          </cell>
          <cell r="C149">
            <v>7.5989282424851332</v>
          </cell>
          <cell r="D149">
            <v>7.8095955790002538</v>
          </cell>
          <cell r="E149">
            <v>8.0549275726366858</v>
          </cell>
          <cell r="F149">
            <v>9.5239052164447724</v>
          </cell>
          <cell r="G149">
            <v>10.382161277975143</v>
          </cell>
          <cell r="H149">
            <v>11.65096351990408</v>
          </cell>
          <cell r="I149">
            <v>13.0464277509508</v>
          </cell>
          <cell r="J149">
            <v>14.579991700484415</v>
          </cell>
          <cell r="K149">
            <v>16.264069048009986</v>
          </cell>
          <cell r="O149" t="str">
            <v>Adj. EBIT</v>
          </cell>
          <cell r="Q149">
            <v>45.376999999999967</v>
          </cell>
          <cell r="R149">
            <v>46.634999999999991</v>
          </cell>
          <cell r="S149">
            <v>48.099999999999994</v>
          </cell>
        </row>
        <row r="150">
          <cell r="A150" t="str">
            <v>As a % Of Sales</v>
          </cell>
          <cell r="C150">
            <v>0.12760291442053248</v>
          </cell>
          <cell r="D150">
            <v>0.12429371002132202</v>
          </cell>
          <cell r="E150">
            <v>0.12245417515274942</v>
          </cell>
          <cell r="F150">
            <v>0.13226046511627898</v>
          </cell>
          <cell r="G150">
            <v>0.13474695951190735</v>
          </cell>
          <cell r="H150">
            <v>0.14132183507264209</v>
          </cell>
          <cell r="I150">
            <v>0.14789560270547442</v>
          </cell>
          <cell r="J150">
            <v>0.1544675104487058</v>
          </cell>
          <cell r="K150">
            <v>0.16103686304993822</v>
          </cell>
          <cell r="O150" t="str">
            <v>As a % Of Sales</v>
          </cell>
          <cell r="Q150">
            <v>0.12760291442053245</v>
          </cell>
          <cell r="R150">
            <v>0.12429371002132195</v>
          </cell>
          <cell r="S150">
            <v>0.12245417515274948</v>
          </cell>
        </row>
        <row r="152">
          <cell r="A152" t="str">
            <v>Other Expenses /  (Income)</v>
          </cell>
          <cell r="C152">
            <v>-0.15523737754333083</v>
          </cell>
          <cell r="D152">
            <v>-0.2850205141086829</v>
          </cell>
          <cell r="E152">
            <v>-0.30143180105501127</v>
          </cell>
          <cell r="F152">
            <v>0</v>
          </cell>
          <cell r="G152">
            <v>0</v>
          </cell>
          <cell r="H152">
            <v>0</v>
          </cell>
          <cell r="I152">
            <v>0</v>
          </cell>
          <cell r="J152">
            <v>0</v>
          </cell>
          <cell r="K152">
            <v>0</v>
          </cell>
          <cell r="O152" t="str">
            <v>Extra-ordinary (gains)/ losses</v>
          </cell>
          <cell r="Q152">
            <v>-0.92700000000000005</v>
          </cell>
          <cell r="R152">
            <v>-1.702</v>
          </cell>
          <cell r="S152">
            <v>-1.8</v>
          </cell>
        </row>
        <row r="153">
          <cell r="A153" t="str">
            <v>Financial (income)/ expense</v>
          </cell>
          <cell r="C153">
            <v>-2.1133718496190235</v>
          </cell>
          <cell r="D153">
            <v>-2.5852800803818137</v>
          </cell>
          <cell r="E153">
            <v>-2.5829356108180521</v>
          </cell>
          <cell r="F153">
            <v>-0.47375031399145945</v>
          </cell>
          <cell r="G153">
            <v>-2.9964467202416638</v>
          </cell>
          <cell r="H153">
            <v>-3.3826635022734748</v>
          </cell>
          <cell r="I153">
            <v>-3.8913153593632961</v>
          </cell>
          <cell r="J153">
            <v>-4.4721487484191682</v>
          </cell>
          <cell r="K153">
            <v>-5.1329555676969463</v>
          </cell>
          <cell r="O153" t="str">
            <v>Financial (income)/ expense</v>
          </cell>
          <cell r="Q153">
            <v>-12.62</v>
          </cell>
          <cell r="R153">
            <v>-15.438000000000001</v>
          </cell>
          <cell r="S153">
            <v>-15.423999999999999</v>
          </cell>
        </row>
        <row r="154">
          <cell r="A154" t="str">
            <v>Pre-tax Income</v>
          </cell>
          <cell r="C154">
            <v>9.8675374696474876</v>
          </cell>
          <cell r="D154">
            <v>10.67989617349075</v>
          </cell>
          <cell r="E154">
            <v>10.93929498450975</v>
          </cell>
          <cell r="F154">
            <v>9.9976555304362318</v>
          </cell>
          <cell r="G154">
            <v>13.378607998216808</v>
          </cell>
          <cell r="H154">
            <v>15.033627022177555</v>
          </cell>
          <cell r="I154">
            <v>16.937743110314095</v>
          </cell>
          <cell r="J154">
            <v>19.052140448903582</v>
          </cell>
          <cell r="K154">
            <v>21.397024615706933</v>
          </cell>
          <cell r="O154" t="str">
            <v>Pre-tax Income</v>
          </cell>
          <cell r="Q154">
            <v>58.923999999999964</v>
          </cell>
          <cell r="R154">
            <v>63.774999999999991</v>
          </cell>
          <cell r="S154">
            <v>65.323999999999984</v>
          </cell>
        </row>
        <row r="156">
          <cell r="A156" t="str">
            <v xml:space="preserve">Income Taxes @ </v>
          </cell>
          <cell r="C156">
            <v>3.6920371765887965</v>
          </cell>
          <cell r="D156">
            <v>3.0735995980909316</v>
          </cell>
          <cell r="E156">
            <v>4.3757849786485803</v>
          </cell>
          <cell r="F156">
            <v>3.9989952273298162</v>
          </cell>
          <cell r="G156">
            <v>5.3514431992867229</v>
          </cell>
          <cell r="H156">
            <v>6.0134508088710197</v>
          </cell>
          <cell r="I156">
            <v>6.7750972441256403</v>
          </cell>
          <cell r="J156">
            <v>7.6208561795614331</v>
          </cell>
          <cell r="K156">
            <v>8.5588098462827755</v>
          </cell>
          <cell r="O156" t="str">
            <v xml:space="preserve">Income Taxes @ </v>
          </cell>
          <cell r="Q156">
            <v>22.047000000000001</v>
          </cell>
          <cell r="R156">
            <v>18.353999999999999</v>
          </cell>
          <cell r="S156">
            <v>26.13</v>
          </cell>
        </row>
        <row r="157">
          <cell r="A157" t="str">
            <v>Net Income (check with RG)</v>
          </cell>
          <cell r="C157">
            <v>6.1755002930586915</v>
          </cell>
          <cell r="D157">
            <v>7.6062965753998188</v>
          </cell>
          <cell r="E157">
            <v>6.5635100058611702</v>
          </cell>
          <cell r="F157">
            <v>5.9986603031064156</v>
          </cell>
          <cell r="G157">
            <v>8.0271647989300838</v>
          </cell>
          <cell r="H157">
            <v>9.0201762133065344</v>
          </cell>
          <cell r="I157">
            <v>10.162645866188456</v>
          </cell>
          <cell r="J157">
            <v>11.43128426934215</v>
          </cell>
          <cell r="K157">
            <v>12.838214769424157</v>
          </cell>
          <cell r="O157" t="str">
            <v>Net Income (check with RG)</v>
          </cell>
          <cell r="Q157">
            <v>36.876999999999967</v>
          </cell>
          <cell r="R157">
            <v>45.420999999999992</v>
          </cell>
          <cell r="S157">
            <v>39.193999999999988</v>
          </cell>
        </row>
        <row r="159">
          <cell r="A159" t="str">
            <v>Return on Sales</v>
          </cell>
          <cell r="C159">
            <v>0.10370039172016608</v>
          </cell>
          <cell r="D159">
            <v>0.12105810234541584</v>
          </cell>
          <cell r="E159">
            <v>9.9781059063136404E-2</v>
          </cell>
          <cell r="F159">
            <v>8.3304651162790622E-2</v>
          </cell>
          <cell r="G159">
            <v>0.1041821660439274</v>
          </cell>
          <cell r="H159">
            <v>0.10941136782081093</v>
          </cell>
          <cell r="I159">
            <v>0.11520476441167607</v>
          </cell>
          <cell r="J159">
            <v>0.12110857527155298</v>
          </cell>
          <cell r="K159">
            <v>0.12711614956420855</v>
          </cell>
          <cell r="O159" t="str">
            <v>Return on Sales</v>
          </cell>
          <cell r="Q159">
            <v>0.10370039172016604</v>
          </cell>
          <cell r="R159">
            <v>0.12105810234541577</v>
          </cell>
          <cell r="S159">
            <v>9.9781059063136418E-2</v>
          </cell>
        </row>
        <row r="160">
          <cell r="A160" t="str">
            <v>Adj. EBIT Growth</v>
          </cell>
          <cell r="C160" t="str">
            <v>na</v>
          </cell>
          <cell r="D160">
            <v>2.7723295942879478E-2</v>
          </cell>
          <cell r="E160">
            <v>3.1414173903719478E-2</v>
          </cell>
          <cell r="F160">
            <v>0.18237006237006237</v>
          </cell>
          <cell r="G160">
            <v>9.0115980999940559E-2</v>
          </cell>
          <cell r="H160">
            <v>0.12220983742764524</v>
          </cell>
          <cell r="I160">
            <v>0.11977243158153916</v>
          </cell>
          <cell r="J160">
            <v>0.11754665559097988</v>
          </cell>
          <cell r="K160">
            <v>0.11550605666460134</v>
          </cell>
          <cell r="O160" t="str">
            <v>Adj. EBIT Growth</v>
          </cell>
          <cell r="Q160" t="str">
            <v>n/a</v>
          </cell>
          <cell r="R160">
            <v>2.7723295942879034E-2</v>
          </cell>
          <cell r="S160">
            <v>3.1414173903720366E-2</v>
          </cell>
        </row>
        <row r="161">
          <cell r="A161" t="str">
            <v>Book Value</v>
          </cell>
          <cell r="C161">
            <v>50.510926902788235</v>
          </cell>
          <cell r="D161">
            <v>55.225990119735414</v>
          </cell>
          <cell r="E161">
            <v>59.281085154483797</v>
          </cell>
          <cell r="F161">
            <v>65.286376957213434</v>
          </cell>
          <cell r="G161">
            <v>71.515673723998518</v>
          </cell>
          <cell r="H161">
            <v>80.535849937305045</v>
          </cell>
          <cell r="I161">
            <v>90.698495803493486</v>
          </cell>
          <cell r="J161">
            <v>102.12978007283563</v>
          </cell>
          <cell r="K161">
            <v>114.96799484225981</v>
          </cell>
          <cell r="O161" t="str">
            <v>Book Value</v>
          </cell>
          <cell r="Q161">
            <v>301.62599999999998</v>
          </cell>
          <cell r="R161">
            <v>329.78200000000004</v>
          </cell>
          <cell r="S161">
            <v>353.99700000000001</v>
          </cell>
        </row>
        <row r="162">
          <cell r="A162" t="str">
            <v>EPS</v>
          </cell>
          <cell r="O162" t="str">
            <v>EPS</v>
          </cell>
        </row>
        <row r="163">
          <cell r="A163" t="str">
            <v>Capital Expenditures  (4)</v>
          </cell>
          <cell r="C163">
            <v>7.1338859583019332E-2</v>
          </cell>
          <cell r="D163">
            <v>0.94247676463200203</v>
          </cell>
          <cell r="E163">
            <v>0.98668676212007034</v>
          </cell>
          <cell r="F163">
            <v>1.0801306204471237</v>
          </cell>
          <cell r="G163">
            <v>1.1557397638784226</v>
          </cell>
          <cell r="H163">
            <v>1.2366415473499122</v>
          </cell>
          <cell r="I163">
            <v>1.3232064556644063</v>
          </cell>
          <cell r="J163">
            <v>1.4158309075609148</v>
          </cell>
          <cell r="K163">
            <v>1.5149390710901789</v>
          </cell>
          <cell r="O163" t="str">
            <v>Capital Expenditures  (4)</v>
          </cell>
          <cell r="Q163">
            <v>0.42599999999999999</v>
          </cell>
          <cell r="R163">
            <v>5.6280000000000001</v>
          </cell>
          <cell r="S163">
            <v>5.8920000000000003</v>
          </cell>
        </row>
        <row r="164">
          <cell r="A164" t="str">
            <v>D&amp;A</v>
          </cell>
          <cell r="C164">
            <v>0.51930000837310553</v>
          </cell>
          <cell r="D164">
            <v>0.55882106673365151</v>
          </cell>
          <cell r="E164">
            <v>0.65276731139579669</v>
          </cell>
          <cell r="F164">
            <v>0.69948924055932338</v>
          </cell>
          <cell r="G164">
            <v>0.76553151278094744</v>
          </cell>
          <cell r="H164">
            <v>0.83619674405808542</v>
          </cell>
          <cell r="I164">
            <v>0.91180854152462287</v>
          </cell>
          <cell r="J164">
            <v>0.99271316481381811</v>
          </cell>
          <cell r="K164">
            <v>1.079281111733257</v>
          </cell>
          <cell r="O164" t="str">
            <v>D&amp;A</v>
          </cell>
          <cell r="Q164">
            <v>3.101</v>
          </cell>
          <cell r="R164">
            <v>3.3370000000000002</v>
          </cell>
          <cell r="S164">
            <v>3.8980000000000001</v>
          </cell>
        </row>
        <row r="165">
          <cell r="A165" t="str">
            <v>Tax Rate</v>
          </cell>
          <cell r="C165">
            <v>0.37415993483130827</v>
          </cell>
          <cell r="D165">
            <v>0.28779302234417864</v>
          </cell>
          <cell r="E165">
            <v>0.40000612332374025</v>
          </cell>
          <cell r="F165">
            <v>0.39999329994472477</v>
          </cell>
          <cell r="G165">
            <v>0.39999999999999997</v>
          </cell>
          <cell r="H165">
            <v>0.39999999999999986</v>
          </cell>
          <cell r="I165">
            <v>0.40000000000000013</v>
          </cell>
          <cell r="J165">
            <v>0.4</v>
          </cell>
          <cell r="K165">
            <v>0.40000000000000013</v>
          </cell>
          <cell r="O165" t="str">
            <v>Tax Rate</v>
          </cell>
          <cell r="Q165">
            <v>0.37415993483130838</v>
          </cell>
          <cell r="R165">
            <v>0.28779302234417881</v>
          </cell>
          <cell r="S165">
            <v>0.40000612332374019</v>
          </cell>
        </row>
        <row r="166">
          <cell r="A166" t="str">
            <v>EPS</v>
          </cell>
          <cell r="O166" t="str">
            <v>EPS</v>
          </cell>
        </row>
        <row r="169">
          <cell r="A169" t="str">
            <v>Cash Flow Statements ($000's)</v>
          </cell>
          <cell r="O169" t="str">
            <v>Cash Flow Statements (Lira in millions)</v>
          </cell>
        </row>
        <row r="171">
          <cell r="C171" t="str">
            <v>1995A</v>
          </cell>
          <cell r="D171" t="str">
            <v>1996A</v>
          </cell>
          <cell r="E171" t="str">
            <v>1997A</v>
          </cell>
          <cell r="F171" t="str">
            <v>1998E</v>
          </cell>
          <cell r="G171" t="str">
            <v>1999E</v>
          </cell>
          <cell r="H171" t="str">
            <v>2000E</v>
          </cell>
          <cell r="I171" t="str">
            <v>2001E</v>
          </cell>
          <cell r="J171" t="str">
            <v>2002E</v>
          </cell>
          <cell r="K171" t="str">
            <v>2003E</v>
          </cell>
          <cell r="Q171" t="str">
            <v>1995A</v>
          </cell>
          <cell r="R171" t="str">
            <v>1996A</v>
          </cell>
          <cell r="S171" t="str">
            <v>1997A</v>
          </cell>
        </row>
        <row r="172">
          <cell r="A172" t="str">
            <v>EBIT</v>
          </cell>
          <cell r="C172">
            <v>7.5989282424851332</v>
          </cell>
          <cell r="D172">
            <v>7.8095955790002538</v>
          </cell>
          <cell r="E172">
            <v>8.0549275726366858</v>
          </cell>
          <cell r="F172">
            <v>9.5239052164447724</v>
          </cell>
          <cell r="G172">
            <v>10.382161277975143</v>
          </cell>
          <cell r="H172">
            <v>11.65096351990408</v>
          </cell>
          <cell r="I172">
            <v>13.0464277509508</v>
          </cell>
          <cell r="J172">
            <v>14.579991700484415</v>
          </cell>
          <cell r="K172">
            <v>16.264069048009986</v>
          </cell>
          <cell r="O172" t="str">
            <v>EBIT</v>
          </cell>
          <cell r="Q172">
            <v>45.376999999999967</v>
          </cell>
          <cell r="R172">
            <v>46.634999999999991</v>
          </cell>
          <cell r="S172">
            <v>48.099999999999994</v>
          </cell>
        </row>
        <row r="173">
          <cell r="A173" t="str">
            <v xml:space="preserve">Taxes @ </v>
          </cell>
          <cell r="B173">
            <v>0.4</v>
          </cell>
          <cell r="C173">
            <v>3.0395712969940534</v>
          </cell>
          <cell r="D173">
            <v>3.1238382316001019</v>
          </cell>
          <cell r="E173">
            <v>3.2219710290546746</v>
          </cell>
          <cell r="F173">
            <v>3.809562086577909</v>
          </cell>
          <cell r="G173">
            <v>4.1528645111900575</v>
          </cell>
          <cell r="H173">
            <v>4.6603854079616323</v>
          </cell>
          <cell r="I173">
            <v>5.2185711003803199</v>
          </cell>
          <cell r="J173">
            <v>5.8319966801937664</v>
          </cell>
          <cell r="K173">
            <v>6.5056276192039952</v>
          </cell>
          <cell r="O173" t="str">
            <v xml:space="preserve">Taxes @ </v>
          </cell>
          <cell r="Q173">
            <v>18.150799999999986</v>
          </cell>
          <cell r="R173">
            <v>18.653999999999996</v>
          </cell>
          <cell r="S173">
            <v>19.239999999999998</v>
          </cell>
        </row>
        <row r="174">
          <cell r="A174" t="str">
            <v>EBIAT</v>
          </cell>
          <cell r="C174">
            <v>4.5593569454910803</v>
          </cell>
          <cell r="D174">
            <v>4.6857573474001519</v>
          </cell>
          <cell r="E174">
            <v>4.8329565435820108</v>
          </cell>
          <cell r="F174">
            <v>5.7143431298668634</v>
          </cell>
          <cell r="G174">
            <v>6.2292967667850858</v>
          </cell>
          <cell r="H174">
            <v>6.9905781119424475</v>
          </cell>
          <cell r="I174">
            <v>7.8278566505704799</v>
          </cell>
          <cell r="J174">
            <v>8.7479950202906487</v>
          </cell>
          <cell r="K174">
            <v>9.7584414288059911</v>
          </cell>
          <cell r="O174" t="str">
            <v>EBIAT</v>
          </cell>
          <cell r="Q174">
            <v>27.226199999999981</v>
          </cell>
          <cell r="R174">
            <v>27.980999999999995</v>
          </cell>
          <cell r="S174">
            <v>28.859999999999996</v>
          </cell>
        </row>
        <row r="176">
          <cell r="A176" t="str">
            <v>Pre-Deal Amortization</v>
          </cell>
          <cell r="C176">
            <v>0</v>
          </cell>
          <cell r="D176">
            <v>0</v>
          </cell>
          <cell r="E176">
            <v>0</v>
          </cell>
          <cell r="F176">
            <v>0</v>
          </cell>
          <cell r="G176">
            <v>0</v>
          </cell>
          <cell r="H176">
            <v>0</v>
          </cell>
          <cell r="I176">
            <v>0</v>
          </cell>
          <cell r="J176">
            <v>0</v>
          </cell>
          <cell r="K176">
            <v>0</v>
          </cell>
          <cell r="O176" t="str">
            <v>Pre-Deal Amortization</v>
          </cell>
          <cell r="Q176">
            <v>0</v>
          </cell>
          <cell r="R176">
            <v>0</v>
          </cell>
          <cell r="S176">
            <v>0</v>
          </cell>
        </row>
        <row r="177">
          <cell r="A177" t="str">
            <v>Depreciation</v>
          </cell>
          <cell r="C177">
            <v>0.51930000837310553</v>
          </cell>
          <cell r="D177">
            <v>0.55882106673365151</v>
          </cell>
          <cell r="E177">
            <v>0.65276731139579669</v>
          </cell>
          <cell r="F177">
            <v>0.69948924055932338</v>
          </cell>
          <cell r="G177">
            <v>0.76553151278094744</v>
          </cell>
          <cell r="H177">
            <v>0.85886480068499149</v>
          </cell>
          <cell r="I177">
            <v>0.9508571807872026</v>
          </cell>
          <cell r="J177">
            <v>1.0429747828851776</v>
          </cell>
          <cell r="K177">
            <v>1.1364773100214707</v>
          </cell>
          <cell r="O177" t="str">
            <v>Depreciation</v>
          </cell>
          <cell r="Q177">
            <v>3.101</v>
          </cell>
          <cell r="R177">
            <v>3.3370000000000002</v>
          </cell>
          <cell r="S177">
            <v>3.8980000000000001</v>
          </cell>
        </row>
        <row r="178">
          <cell r="A178" t="str">
            <v>Total D &amp; A</v>
          </cell>
          <cell r="C178">
            <v>0.51930000837310553</v>
          </cell>
          <cell r="D178">
            <v>0.55882106673365151</v>
          </cell>
          <cell r="E178">
            <v>0.65276731139579669</v>
          </cell>
          <cell r="F178">
            <v>0.69948924055932338</v>
          </cell>
          <cell r="G178">
            <v>0.76553151278094744</v>
          </cell>
          <cell r="H178">
            <v>0.85886480068499149</v>
          </cell>
          <cell r="I178">
            <v>0.9508571807872026</v>
          </cell>
          <cell r="J178">
            <v>1.0429747828851776</v>
          </cell>
          <cell r="K178">
            <v>1.1364773100214707</v>
          </cell>
          <cell r="O178" t="str">
            <v>Total D &amp; A</v>
          </cell>
          <cell r="Q178">
            <v>3.101</v>
          </cell>
          <cell r="R178">
            <v>3.3370000000000002</v>
          </cell>
          <cell r="S178">
            <v>3.8980000000000001</v>
          </cell>
        </row>
        <row r="180">
          <cell r="A180" t="str">
            <v>Capex / Sales</v>
          </cell>
          <cell r="C180">
            <v>1.1979381965124814E-3</v>
          </cell>
          <cell r="D180">
            <v>1.5000000000000001E-2</v>
          </cell>
          <cell r="E180">
            <v>1.5000000000000001E-2</v>
          </cell>
          <cell r="F180">
            <v>1.4999999999999999E-2</v>
          </cell>
          <cell r="G180">
            <v>1.5000000000000001E-2</v>
          </cell>
          <cell r="H180">
            <v>1.4999999999999999E-2</v>
          </cell>
          <cell r="I180">
            <v>1.4999999999999999E-2</v>
          </cell>
          <cell r="J180">
            <v>1.4999999999999998E-2</v>
          </cell>
          <cell r="K180">
            <v>1.4999999999999999E-2</v>
          </cell>
          <cell r="O180" t="str">
            <v>Capex / Sales</v>
          </cell>
          <cell r="Q180">
            <v>1.1979381965124814E-3</v>
          </cell>
          <cell r="R180">
            <v>1.5000000000000001E-2</v>
          </cell>
          <cell r="S180">
            <v>1.5000000000000001E-2</v>
          </cell>
        </row>
        <row r="181">
          <cell r="A181" t="str">
            <v>Capex (1)</v>
          </cell>
          <cell r="C181">
            <v>7.1338859583019332E-2</v>
          </cell>
          <cell r="D181">
            <v>0.94247676463200203</v>
          </cell>
          <cell r="E181">
            <v>0.98668676212007034</v>
          </cell>
          <cell r="F181">
            <v>1.0801306204471237</v>
          </cell>
          <cell r="G181">
            <v>1.1557397638784226</v>
          </cell>
          <cell r="H181">
            <v>1.2366415473499122</v>
          </cell>
          <cell r="I181">
            <v>1.3232064556644063</v>
          </cell>
          <cell r="J181">
            <v>1.4158309075609148</v>
          </cell>
          <cell r="K181">
            <v>1.5149390710901789</v>
          </cell>
          <cell r="O181" t="str">
            <v>Capex (1)</v>
          </cell>
          <cell r="Q181">
            <v>0.42599999999999999</v>
          </cell>
          <cell r="R181">
            <v>5.6280000000000001</v>
          </cell>
          <cell r="S181">
            <v>5.8920000000000003</v>
          </cell>
        </row>
        <row r="182">
          <cell r="H182" t="str">
            <v xml:space="preserve"> </v>
          </cell>
          <cell r="I182" t="str">
            <v xml:space="preserve"> </v>
          </cell>
          <cell r="J182" t="str">
            <v xml:space="preserve"> </v>
          </cell>
          <cell r="K182" t="str">
            <v xml:space="preserve"> </v>
          </cell>
        </row>
        <row r="183">
          <cell r="A183" t="str">
            <v>Purchase Accounting Outflows / Sales</v>
          </cell>
          <cell r="C183">
            <v>3.3686758747971279E-6</v>
          </cell>
          <cell r="D183">
            <v>3.9978678038379534E-5</v>
          </cell>
          <cell r="E183">
            <v>3.8187372708757641E-5</v>
          </cell>
          <cell r="F183">
            <v>0</v>
          </cell>
          <cell r="G183">
            <v>0</v>
          </cell>
          <cell r="H183">
            <v>0</v>
          </cell>
          <cell r="I183">
            <v>0</v>
          </cell>
          <cell r="J183">
            <v>0</v>
          </cell>
          <cell r="K183">
            <v>0</v>
          </cell>
          <cell r="O183" t="str">
            <v>Purchase Accounting Outflows / Sales</v>
          </cell>
          <cell r="Q183">
            <v>3.3686758747971279E-6</v>
          </cell>
          <cell r="R183">
            <v>3.9978678038379534E-5</v>
          </cell>
          <cell r="S183">
            <v>3.8187372708757641E-5</v>
          </cell>
        </row>
        <row r="184">
          <cell r="A184" t="str">
            <v>Purchase Accounting Outflows</v>
          </cell>
          <cell r="C184">
            <v>2.0060926007074961E-4</v>
          </cell>
          <cell r="D184">
            <v>2.5119316754584277E-3</v>
          </cell>
          <cell r="E184">
            <v>2.5119316754584277E-3</v>
          </cell>
          <cell r="F184">
            <v>0</v>
          </cell>
          <cell r="G184">
            <v>0</v>
          </cell>
          <cell r="H184">
            <v>0</v>
          </cell>
          <cell r="I184">
            <v>0</v>
          </cell>
          <cell r="J184">
            <v>0</v>
          </cell>
          <cell r="K184">
            <v>0</v>
          </cell>
          <cell r="O184" t="str">
            <v>Purchase Accounting Outflows</v>
          </cell>
          <cell r="Q184">
            <v>1.1979381965124814E-3</v>
          </cell>
          <cell r="R184">
            <v>1.5000000000000001E-2</v>
          </cell>
          <cell r="S184">
            <v>1.5000000000000001E-2</v>
          </cell>
        </row>
        <row r="185">
          <cell r="H185" t="str">
            <v xml:space="preserve"> </v>
          </cell>
          <cell r="I185" t="str">
            <v xml:space="preserve"> </v>
          </cell>
          <cell r="J185" t="str">
            <v xml:space="preserve"> </v>
          </cell>
          <cell r="K185" t="str">
            <v xml:space="preserve"> </v>
          </cell>
        </row>
        <row r="186">
          <cell r="A186" t="str">
            <v>Working Capital / Sales</v>
          </cell>
          <cell r="C186">
            <v>0.25159514188256266</v>
          </cell>
          <cell r="D186">
            <v>0.22048773987206821</v>
          </cell>
          <cell r="E186">
            <v>0.24872708757637482</v>
          </cell>
          <cell r="F186">
            <v>0.24873501306757897</v>
          </cell>
          <cell r="G186">
            <v>0.24873886327580416</v>
          </cell>
          <cell r="H186">
            <v>0.24876628557927766</v>
          </cell>
          <cell r="I186">
            <v>0.24879370788275113</v>
          </cell>
          <cell r="J186">
            <v>0.24882113018622462</v>
          </cell>
          <cell r="K186">
            <v>0.24884855248969814</v>
          </cell>
          <cell r="O186" t="str">
            <v>Working Capital / Sales</v>
          </cell>
          <cell r="Q186">
            <v>0.25159514188256271</v>
          </cell>
          <cell r="R186">
            <v>0.22048773987206824</v>
          </cell>
          <cell r="S186">
            <v>0.24872708757637479</v>
          </cell>
        </row>
        <row r="187">
          <cell r="A187" t="str">
            <v>Working Capital (2)</v>
          </cell>
          <cell r="C187">
            <v>14.982835133551031</v>
          </cell>
          <cell r="D187">
            <v>13.85363811437662</v>
          </cell>
          <cell r="E187">
            <v>16.361048312819229</v>
          </cell>
          <cell r="F187">
            <v>17.911086932773834</v>
          </cell>
          <cell r="G187">
            <v>19.165159673984341</v>
          </cell>
          <cell r="H187">
            <v>20.508981621816538</v>
          </cell>
          <cell r="I187">
            <v>21.947029359942718</v>
          </cell>
          <cell r="J187">
            <v>23.485909771459664</v>
          </cell>
          <cell r="K187">
            <v>25.132692996725265</v>
          </cell>
          <cell r="O187" t="str">
            <v>Working Capital (2)</v>
          </cell>
          <cell r="Q187">
            <v>89.47</v>
          </cell>
          <cell r="R187">
            <v>82.727000000000004</v>
          </cell>
          <cell r="S187">
            <v>97.700000000000017</v>
          </cell>
        </row>
        <row r="188">
          <cell r="A188" t="str">
            <v>Change In WC</v>
          </cell>
          <cell r="C188">
            <v>14.982835133551031</v>
          </cell>
          <cell r="D188">
            <v>-1.129197019174411</v>
          </cell>
          <cell r="E188">
            <v>2.5074101984426083</v>
          </cell>
          <cell r="F188">
            <v>1.5500386199546057</v>
          </cell>
          <cell r="G188">
            <v>1.254072741210507</v>
          </cell>
          <cell r="H188">
            <v>1.3438219478321969</v>
          </cell>
          <cell r="I188">
            <v>1.4380477381261798</v>
          </cell>
          <cell r="J188">
            <v>1.5388804115169457</v>
          </cell>
          <cell r="K188">
            <v>1.6467832252656009</v>
          </cell>
          <cell r="O188" t="str">
            <v>Change In WC</v>
          </cell>
          <cell r="Q188">
            <v>89.47</v>
          </cell>
          <cell r="R188">
            <v>-6.742999999999995</v>
          </cell>
          <cell r="S188">
            <v>14.973000000000013</v>
          </cell>
        </row>
        <row r="191">
          <cell r="A191" t="str">
            <v>Free Cash Flow</v>
          </cell>
          <cell r="C191">
            <v>-9.9757176485299368</v>
          </cell>
          <cell r="D191">
            <v>5.4287867370007534</v>
          </cell>
          <cell r="E191">
            <v>1.98911496273967</v>
          </cell>
          <cell r="F191">
            <v>3.7836631300244576</v>
          </cell>
          <cell r="G191">
            <v>4.5850157744771041</v>
          </cell>
          <cell r="H191">
            <v>5.2689794174453297</v>
          </cell>
          <cell r="I191">
            <v>6.0174596375670966</v>
          </cell>
          <cell r="J191">
            <v>6.8362584840979661</v>
          </cell>
          <cell r="K191">
            <v>7.7331964424716819</v>
          </cell>
          <cell r="O191" t="str">
            <v>Free Cash Flow</v>
          </cell>
          <cell r="Q191">
            <v>-59.569997938196529</v>
          </cell>
          <cell r="R191">
            <v>32.417999999999992</v>
          </cell>
          <cell r="S191">
            <v>11.877999999999982</v>
          </cell>
        </row>
        <row r="192">
          <cell r="A192" t="str">
            <v>Tax Savings For Goodwill Amort.</v>
          </cell>
          <cell r="B192" t="str">
            <v>No</v>
          </cell>
          <cell r="G192">
            <v>0</v>
          </cell>
          <cell r="H192">
            <v>0</v>
          </cell>
          <cell r="I192">
            <v>0</v>
          </cell>
          <cell r="J192">
            <v>0</v>
          </cell>
          <cell r="K192">
            <v>0</v>
          </cell>
          <cell r="O192" t="str">
            <v>Tax Savings For Goodwill Amort.</v>
          </cell>
          <cell r="P192" t="str">
            <v>No</v>
          </cell>
        </row>
        <row r="194">
          <cell r="A194" t="str">
            <v>Purchase Price Payments (3)</v>
          </cell>
          <cell r="F194">
            <v>-79.316830883205029</v>
          </cell>
          <cell r="O194" t="str">
            <v>Purchase Price Payments (3)</v>
          </cell>
        </row>
        <row r="195">
          <cell r="A195" t="str">
            <v>Terminal Value  (4)</v>
          </cell>
          <cell r="G195">
            <v>0</v>
          </cell>
          <cell r="H195">
            <v>0</v>
          </cell>
          <cell r="I195">
            <v>0</v>
          </cell>
          <cell r="J195">
            <v>0</v>
          </cell>
          <cell r="K195">
            <v>117.16964306775274</v>
          </cell>
          <cell r="O195" t="str">
            <v>Terminal Value  (4)</v>
          </cell>
        </row>
        <row r="196">
          <cell r="A196" t="str">
            <v>Unlevered IRR Calculation:</v>
          </cell>
          <cell r="B196">
            <v>0.1455104494284723</v>
          </cell>
          <cell r="F196">
            <v>-79.316830883205029</v>
          </cell>
          <cell r="G196">
            <v>4.5850157744771041</v>
          </cell>
          <cell r="H196">
            <v>5.2689794174453297</v>
          </cell>
          <cell r="I196">
            <v>6.0174596375670966</v>
          </cell>
          <cell r="J196">
            <v>6.8362584840979661</v>
          </cell>
          <cell r="K196">
            <v>124.90283951022442</v>
          </cell>
          <cell r="O196" t="str">
            <v>Unlevered IRR Calculation:</v>
          </cell>
          <cell r="P196">
            <v>0.14551044942847244</v>
          </cell>
        </row>
        <row r="199">
          <cell r="B199" t="str">
            <v>Company Valuation:</v>
          </cell>
          <cell r="E199" t="str">
            <v>As of June 30, 1998</v>
          </cell>
          <cell r="G199" t="str">
            <v>As of June 30, 1998</v>
          </cell>
          <cell r="I199" t="str">
            <v>As of June 30, 1998</v>
          </cell>
          <cell r="O199" t="str">
            <v>Company Valuation:</v>
          </cell>
          <cell r="Q199" t="str">
            <v>As of June 30, 1998</v>
          </cell>
          <cell r="S199" t="str">
            <v>As of June 30, 1998</v>
          </cell>
        </row>
        <row r="201">
          <cell r="B201" t="str">
            <v>PV of Cash Flows @:</v>
          </cell>
          <cell r="D201">
            <v>0.15</v>
          </cell>
          <cell r="E201">
            <v>19.681071384683161</v>
          </cell>
          <cell r="F201">
            <v>0.2</v>
          </cell>
          <cell r="G201">
            <v>17.366791105961902</v>
          </cell>
          <cell r="H201">
            <v>0.25</v>
          </cell>
          <cell r="I201">
            <v>15.455244066536697</v>
          </cell>
          <cell r="O201" t="str">
            <v>PV of Cash Flows @:</v>
          </cell>
          <cell r="P201">
            <v>0.15</v>
          </cell>
          <cell r="Q201">
            <v>117.5255177736355</v>
          </cell>
          <cell r="R201">
            <v>0.2</v>
          </cell>
          <cell r="S201">
            <v>103.7057930892515</v>
          </cell>
        </row>
        <row r="202">
          <cell r="B202" t="str">
            <v>PV of TV @ :</v>
          </cell>
          <cell r="D202">
            <v>0.15</v>
          </cell>
          <cell r="E202">
            <v>58.254020616491218</v>
          </cell>
          <cell r="F202">
            <v>0.2</v>
          </cell>
          <cell r="G202">
            <v>47.087851670103824</v>
          </cell>
          <cell r="H202">
            <v>0.25</v>
          </cell>
          <cell r="I202">
            <v>38.394148640441223</v>
          </cell>
          <cell r="O202" t="str">
            <v>PV of TV @ :</v>
          </cell>
          <cell r="P202">
            <v>0.15</v>
          </cell>
          <cell r="Q202">
            <v>347.86388411137739</v>
          </cell>
          <cell r="R202">
            <v>0.2</v>
          </cell>
          <cell r="S202">
            <v>281.18510624802508</v>
          </cell>
        </row>
        <row r="203">
          <cell r="B203" t="str">
            <v>PV of Tax Benefit @:</v>
          </cell>
          <cell r="D203">
            <v>0.09</v>
          </cell>
          <cell r="E203">
            <v>0</v>
          </cell>
          <cell r="F203">
            <v>0.09</v>
          </cell>
          <cell r="G203">
            <v>0</v>
          </cell>
          <cell r="H203">
            <v>0.09</v>
          </cell>
          <cell r="I203">
            <v>0</v>
          </cell>
          <cell r="O203" t="str">
            <v>PV of Tax Benefit @:</v>
          </cell>
          <cell r="P203">
            <v>0.09</v>
          </cell>
          <cell r="Q203">
            <v>0</v>
          </cell>
          <cell r="R203">
            <v>0.09</v>
          </cell>
          <cell r="S203">
            <v>0</v>
          </cell>
        </row>
        <row r="204">
          <cell r="B204" t="str">
            <v>PV of Firm</v>
          </cell>
          <cell r="E204">
            <v>77.935092001174382</v>
          </cell>
          <cell r="G204">
            <v>64.454642776065725</v>
          </cell>
          <cell r="I204">
            <v>53.849392706977923</v>
          </cell>
          <cell r="O204" t="str">
            <v>PV of Firm</v>
          </cell>
          <cell r="Q204">
            <v>465.38940188501289</v>
          </cell>
          <cell r="S204">
            <v>384.89089933727655</v>
          </cell>
        </row>
        <row r="205">
          <cell r="B205" t="str">
            <v xml:space="preserve">Less Net LT Debt </v>
          </cell>
          <cell r="E205">
            <v>-43.806672424171659</v>
          </cell>
          <cell r="G205">
            <v>-43.806672424171659</v>
          </cell>
          <cell r="I205">
            <v>-43.806672424171659</v>
          </cell>
          <cell r="O205" t="str">
            <v xml:space="preserve">Less Net LT Debt </v>
          </cell>
          <cell r="Q205">
            <v>-261.59154438094106</v>
          </cell>
          <cell r="S205">
            <v>-261.59154438094106</v>
          </cell>
        </row>
        <row r="206">
          <cell r="B206" t="str">
            <v>PV of Equity</v>
          </cell>
          <cell r="E206">
            <v>121.74176442534605</v>
          </cell>
          <cell r="G206">
            <v>108.26131520023739</v>
          </cell>
          <cell r="I206">
            <v>97.656065131149575</v>
          </cell>
          <cell r="O206" t="str">
            <v>PV of Equity</v>
          </cell>
          <cell r="Q206">
            <v>726.98094626595389</v>
          </cell>
          <cell r="S206">
            <v>646.48244371821761</v>
          </cell>
        </row>
        <row r="208">
          <cell r="B208" t="str">
            <v>PV of Purchase Price</v>
          </cell>
          <cell r="E208">
            <v>79.316830883205029</v>
          </cell>
          <cell r="G208">
            <v>79.316830883205029</v>
          </cell>
          <cell r="I208">
            <v>79.316830883205029</v>
          </cell>
          <cell r="O208" t="str">
            <v>PV of Purchase Price</v>
          </cell>
          <cell r="Q208">
            <v>473.64045561905886</v>
          </cell>
          <cell r="S208">
            <v>473.64045561905886</v>
          </cell>
        </row>
        <row r="210">
          <cell r="B210" t="str">
            <v>NPV</v>
          </cell>
          <cell r="E210">
            <v>-1.3817388820306462</v>
          </cell>
          <cell r="G210">
            <v>-14.862188107139303</v>
          </cell>
          <cell r="I210">
            <v>-25.467438176227105</v>
          </cell>
          <cell r="O210" t="str">
            <v>NPV</v>
          </cell>
          <cell r="Q210">
            <v>-8.2510537340459678</v>
          </cell>
          <cell r="S210">
            <v>-88.749556281782304</v>
          </cell>
        </row>
        <row r="213">
          <cell r="A213" t="str">
            <v xml:space="preserve">(1) Capex assumed to be 1.5% of Sales. </v>
          </cell>
          <cell r="O213" t="str">
            <v xml:space="preserve">(1) Capex assumed to be 1.0% of Sales. </v>
          </cell>
        </row>
        <row r="214">
          <cell r="A214" t="str">
            <v>(2) Defined as Receivables + Inventory - Payables.</v>
          </cell>
          <cell r="O214" t="str">
            <v>(2) Defined as Receivables + Inventory - Payables.</v>
          </cell>
        </row>
        <row r="215">
          <cell r="A215" t="str">
            <v xml:space="preserve">(3) Fisher acquires 100% of  company </v>
          </cell>
          <cell r="O215" t="str">
            <v>(3) Fisher acquires 100% of  company</v>
          </cell>
        </row>
        <row r="216">
          <cell r="A216" t="str">
            <v>(4) Terminal value calculated as a perpetuity</v>
          </cell>
          <cell r="E216">
            <v>6.6000000000000003E-2</v>
          </cell>
          <cell r="O216" t="str">
            <v>(4) Terminal value calculated as 10% perpetuity</v>
          </cell>
          <cell r="S216">
            <v>6.6000000000000003E-2</v>
          </cell>
        </row>
        <row r="218">
          <cell r="A218" t="str">
            <v>Balance Sheet ($000's)</v>
          </cell>
          <cell r="O218" t="str">
            <v>Balance Sheet (Lira in millions)</v>
          </cell>
        </row>
        <row r="219">
          <cell r="A219" t="str">
            <v>Fiscal Year Ended June 30,</v>
          </cell>
          <cell r="O219" t="str">
            <v>At Dec 31,</v>
          </cell>
        </row>
        <row r="220">
          <cell r="F220" t="str">
            <v>(1)</v>
          </cell>
        </row>
        <row r="221">
          <cell r="C221" t="str">
            <v>1995A</v>
          </cell>
          <cell r="D221" t="str">
            <v>1996A</v>
          </cell>
          <cell r="E221" t="str">
            <v>1997A</v>
          </cell>
          <cell r="F221" t="str">
            <v>1998E</v>
          </cell>
          <cell r="G221" t="str">
            <v>1999E</v>
          </cell>
          <cell r="H221" t="str">
            <v>2000E</v>
          </cell>
          <cell r="I221" t="str">
            <v>2001E</v>
          </cell>
          <cell r="J221" t="str">
            <v>2002E</v>
          </cell>
          <cell r="K221" t="str">
            <v>2003E</v>
          </cell>
          <cell r="Q221" t="str">
            <v>1995A</v>
          </cell>
          <cell r="R221" t="str">
            <v>1996A</v>
          </cell>
          <cell r="S221" t="str">
            <v>1997A</v>
          </cell>
        </row>
        <row r="222">
          <cell r="A222" t="str">
            <v>Assets</v>
          </cell>
          <cell r="G222" t="str">
            <v xml:space="preserve"> </v>
          </cell>
          <cell r="H222" t="str">
            <v xml:space="preserve"> </v>
          </cell>
          <cell r="I222" t="str">
            <v xml:space="preserve"> </v>
          </cell>
          <cell r="J222" t="str">
            <v xml:space="preserve"> </v>
          </cell>
          <cell r="K222" t="str">
            <v xml:space="preserve"> </v>
          </cell>
          <cell r="O222" t="str">
            <v>Assets</v>
          </cell>
        </row>
        <row r="223">
          <cell r="A223" t="str">
            <v xml:space="preserve">Cash/Equivalents </v>
          </cell>
          <cell r="C223">
            <v>36.739680147366656</v>
          </cell>
          <cell r="D223">
            <v>39.774428535543834</v>
          </cell>
          <cell r="E223">
            <v>39.738759105752322</v>
          </cell>
          <cell r="F223">
            <v>43.806672424171659</v>
          </cell>
          <cell r="G223">
            <v>48.391688198648758</v>
          </cell>
          <cell r="H223">
            <v>55.690265717458168</v>
          </cell>
          <cell r="I223">
            <v>64.042514570643249</v>
          </cell>
          <cell r="J223">
            <v>73.5620623037927</v>
          </cell>
          <cell r="K223">
            <v>84.37503208688257</v>
          </cell>
          <cell r="O223" t="str">
            <v xml:space="preserve">Cash/Equivalents </v>
          </cell>
          <cell r="Q223">
            <v>219.39099999999999</v>
          </cell>
          <cell r="R223">
            <v>237.51300000000001</v>
          </cell>
          <cell r="S223">
            <v>237.3</v>
          </cell>
        </row>
        <row r="224">
          <cell r="A224" t="str">
            <v>Accounts Receivable (Net)</v>
          </cell>
          <cell r="C224">
            <v>15.335845265008791</v>
          </cell>
          <cell r="D224">
            <v>15.042619107426944</v>
          </cell>
          <cell r="E224">
            <v>16.562002846855901</v>
          </cell>
          <cell r="F224">
            <v>18.130502098136549</v>
          </cell>
          <cell r="G224">
            <v>19.399637245006112</v>
          </cell>
          <cell r="H224">
            <v>20.75761185215654</v>
          </cell>
          <cell r="I224">
            <v>22.210644681807498</v>
          </cell>
          <cell r="J224">
            <v>23.765389809534028</v>
          </cell>
          <cell r="K224">
            <v>25.428967096201415</v>
          </cell>
          <cell r="O224" t="str">
            <v>Accounts Receivable (Net)</v>
          </cell>
          <cell r="Q224">
            <v>91.578000000000003</v>
          </cell>
          <cell r="R224">
            <v>89.826999999999998</v>
          </cell>
          <cell r="S224">
            <v>98.9</v>
          </cell>
        </row>
        <row r="225">
          <cell r="A225" t="str">
            <v>Inventories (Net)</v>
          </cell>
          <cell r="C225">
            <v>4.2079879427279572</v>
          </cell>
          <cell r="D225">
            <v>3.6972285020514106</v>
          </cell>
          <cell r="E225">
            <v>4.5549694381646146</v>
          </cell>
          <cell r="F225">
            <v>4.9734104148881455</v>
          </cell>
          <cell r="G225">
            <v>5.3148249431600822</v>
          </cell>
          <cell r="H225">
            <v>5.6356185543733703</v>
          </cell>
          <cell r="I225">
            <v>5.9752806289350335</v>
          </cell>
          <cell r="J225">
            <v>6.3348808630189009</v>
          </cell>
          <cell r="K225">
            <v>6.7155462547927289</v>
          </cell>
          <cell r="O225" t="str">
            <v>Inventories (Net)</v>
          </cell>
          <cell r="Q225">
            <v>25.128</v>
          </cell>
          <cell r="R225">
            <v>22.077999999999999</v>
          </cell>
          <cell r="S225">
            <v>27.2</v>
          </cell>
        </row>
        <row r="226">
          <cell r="A226" t="str">
            <v xml:space="preserve">Prepaid Expenses &amp; Other </v>
          </cell>
          <cell r="C226">
            <v>0.96357699070585279</v>
          </cell>
          <cell r="D226">
            <v>1.7452901281085154</v>
          </cell>
          <cell r="E226">
            <v>3.7946914510591978</v>
          </cell>
          <cell r="F226">
            <v>3.7946914510591978</v>
          </cell>
          <cell r="G226">
            <v>3.7946914510591978</v>
          </cell>
          <cell r="H226">
            <v>3.7946914510591978</v>
          </cell>
          <cell r="I226">
            <v>3.7946914510591978</v>
          </cell>
          <cell r="J226">
            <v>3.7946914510591978</v>
          </cell>
          <cell r="K226">
            <v>3.7946914510591978</v>
          </cell>
          <cell r="O226" t="str">
            <v xml:space="preserve">Prepaid Expenses &amp; Other </v>
          </cell>
          <cell r="Q226">
            <v>5.7540000000000004</v>
          </cell>
          <cell r="R226">
            <v>10.422000000000001</v>
          </cell>
          <cell r="S226">
            <v>22.66</v>
          </cell>
        </row>
        <row r="227">
          <cell r="A227" t="str">
            <v>Total Current Assets</v>
          </cell>
          <cell r="C227">
            <v>57.247090345809262</v>
          </cell>
          <cell r="D227">
            <v>60.259566273130702</v>
          </cell>
          <cell r="E227">
            <v>64.650422841832039</v>
          </cell>
          <cell r="F227">
            <v>70.705276388255555</v>
          </cell>
          <cell r="G227">
            <v>76.90084183787414</v>
          </cell>
          <cell r="H227">
            <v>85.878187575047264</v>
          </cell>
          <cell r="I227">
            <v>96.023131332444976</v>
          </cell>
          <cell r="J227">
            <v>107.45702442740482</v>
          </cell>
          <cell r="K227">
            <v>120.31423688893591</v>
          </cell>
          <cell r="O227" t="str">
            <v>Total Current Assets</v>
          </cell>
          <cell r="Q227">
            <v>341.851</v>
          </cell>
          <cell r="R227">
            <v>359.84000000000003</v>
          </cell>
          <cell r="S227">
            <v>386.06000000000006</v>
          </cell>
        </row>
        <row r="229">
          <cell r="A229" t="str">
            <v>Net PP&amp;E</v>
          </cell>
          <cell r="C229">
            <v>2.9866867621200703</v>
          </cell>
          <cell r="D229">
            <v>2.7137235200535876</v>
          </cell>
          <cell r="E229">
            <v>2.3277233525914762</v>
          </cell>
          <cell r="F229">
            <v>2.7083647324792768</v>
          </cell>
          <cell r="G229">
            <v>3.0985729835767515</v>
          </cell>
          <cell r="H229">
            <v>3.4763497302416719</v>
          </cell>
          <cell r="I229">
            <v>3.8486990051188754</v>
          </cell>
          <cell r="J229">
            <v>4.2215551297946119</v>
          </cell>
          <cell r="K229">
            <v>4.600016890863321</v>
          </cell>
          <cell r="O229" t="str">
            <v>Net PP&amp;E</v>
          </cell>
          <cell r="Q229">
            <v>17.835000000000001</v>
          </cell>
          <cell r="R229">
            <v>16.204999999999998</v>
          </cell>
          <cell r="S229">
            <v>13.9</v>
          </cell>
        </row>
        <row r="230">
          <cell r="A230" t="str">
            <v>Goodwill &amp; Other Intangibles</v>
          </cell>
          <cell r="C230">
            <v>0.66566189399648323</v>
          </cell>
          <cell r="D230">
            <v>1.5696223729381225</v>
          </cell>
          <cell r="E230">
            <v>1.4904127941053336</v>
          </cell>
          <cell r="F230">
            <v>1.4904127941053336</v>
          </cell>
          <cell r="G230">
            <v>1.4904127941053336</v>
          </cell>
          <cell r="H230">
            <v>1.4904127941053336</v>
          </cell>
          <cell r="I230">
            <v>1.4904127941053336</v>
          </cell>
          <cell r="J230">
            <v>1.4904127941053336</v>
          </cell>
          <cell r="K230">
            <v>1.4904127941053336</v>
          </cell>
          <cell r="O230" t="str">
            <v>Goodwill &amp; Other Intangibles</v>
          </cell>
          <cell r="Q230">
            <v>3.9750000000000001</v>
          </cell>
          <cell r="R230">
            <v>9.3729999999999993</v>
          </cell>
          <cell r="S230">
            <v>8.9</v>
          </cell>
        </row>
        <row r="231">
          <cell r="A231" t="str">
            <v>Other Assets</v>
          </cell>
          <cell r="C231">
            <v>0.2662647575985933</v>
          </cell>
          <cell r="D231">
            <v>0.3582014569203717</v>
          </cell>
          <cell r="E231">
            <v>0</v>
          </cell>
          <cell r="F231">
            <v>0</v>
          </cell>
          <cell r="G231">
            <v>0</v>
          </cell>
          <cell r="H231">
            <v>0</v>
          </cell>
          <cell r="I231">
            <v>0</v>
          </cell>
          <cell r="J231">
            <v>0</v>
          </cell>
          <cell r="K231">
            <v>0</v>
          </cell>
          <cell r="O231" t="str">
            <v>Other Assets</v>
          </cell>
          <cell r="Q231">
            <v>1.59</v>
          </cell>
          <cell r="R231">
            <v>2.1389999999999998</v>
          </cell>
          <cell r="S231">
            <v>0</v>
          </cell>
        </row>
        <row r="232">
          <cell r="A232" t="str">
            <v>TOTAL ASSETS</v>
          </cell>
          <cell r="C232">
            <v>61.165703759524412</v>
          </cell>
          <cell r="D232">
            <v>64.901113623042789</v>
          </cell>
          <cell r="E232">
            <v>68.468558988528855</v>
          </cell>
          <cell r="F232">
            <v>74.904053914840176</v>
          </cell>
          <cell r="G232">
            <v>81.489827615556237</v>
          </cell>
          <cell r="H232">
            <v>90.844950099394268</v>
          </cell>
          <cell r="I232">
            <v>101.36224313166919</v>
          </cell>
          <cell r="J232">
            <v>113.16899235130477</v>
          </cell>
          <cell r="K232">
            <v>126.40466657390456</v>
          </cell>
          <cell r="O232" t="str">
            <v>TOTAL ASSETS</v>
          </cell>
          <cell r="Q232">
            <v>365.25099999999998</v>
          </cell>
          <cell r="R232">
            <v>387.55700000000002</v>
          </cell>
          <cell r="S232">
            <v>408.86</v>
          </cell>
        </row>
        <row r="234">
          <cell r="A234" t="str">
            <v>Liabilities &amp; Equity</v>
          </cell>
          <cell r="O234" t="str">
            <v>Liabilities &amp; Equity</v>
          </cell>
        </row>
        <row r="235">
          <cell r="A235" t="str">
            <v>Accounts Payable</v>
          </cell>
          <cell r="C235">
            <v>4.560998074185715</v>
          </cell>
          <cell r="D235">
            <v>4.886209495101733</v>
          </cell>
          <cell r="E235">
            <v>4.7559239722012894</v>
          </cell>
          <cell r="F235">
            <v>5.1928255802508598</v>
          </cell>
          <cell r="G235">
            <v>5.5493025141818517</v>
          </cell>
          <cell r="H235">
            <v>5.8842487847133729</v>
          </cell>
          <cell r="I235">
            <v>6.2388959507998152</v>
          </cell>
          <cell r="J235">
            <v>6.6143609010932662</v>
          </cell>
          <cell r="K235">
            <v>7.0118203542688802</v>
          </cell>
          <cell r="O235" t="str">
            <v>Accounts Payable</v>
          </cell>
          <cell r="Q235">
            <v>27.236000000000001</v>
          </cell>
          <cell r="R235">
            <v>29.178000000000001</v>
          </cell>
          <cell r="S235">
            <v>28.4</v>
          </cell>
        </row>
        <row r="236">
          <cell r="A236" t="str">
            <v>Short term debt</v>
          </cell>
          <cell r="C236">
            <v>0</v>
          </cell>
          <cell r="D236">
            <v>0</v>
          </cell>
          <cell r="E236">
            <v>0</v>
          </cell>
          <cell r="F236">
            <v>0</v>
          </cell>
          <cell r="G236">
            <v>0</v>
          </cell>
          <cell r="H236">
            <v>0</v>
          </cell>
          <cell r="I236">
            <v>0</v>
          </cell>
          <cell r="J236">
            <v>0</v>
          </cell>
          <cell r="K236">
            <v>0</v>
          </cell>
          <cell r="O236" t="str">
            <v>Short term debt</v>
          </cell>
          <cell r="Q236">
            <v>0</v>
          </cell>
          <cell r="R236">
            <v>0</v>
          </cell>
          <cell r="S236">
            <v>0</v>
          </cell>
        </row>
        <row r="237">
          <cell r="A237" t="str">
            <v>Other Accrued Expenses</v>
          </cell>
          <cell r="C237">
            <v>4.842166959725362</v>
          </cell>
          <cell r="D237">
            <v>3.5227329816628981</v>
          </cell>
          <cell r="E237">
            <v>3.0851544837980409</v>
          </cell>
          <cell r="F237">
            <v>3.0851544837980409</v>
          </cell>
          <cell r="G237">
            <v>3.0851544837980409</v>
          </cell>
          <cell r="H237">
            <v>3.0851544837980409</v>
          </cell>
          <cell r="I237">
            <v>3.0851544837980409</v>
          </cell>
          <cell r="J237">
            <v>3.0851544837980409</v>
          </cell>
          <cell r="K237">
            <v>3.0851544837980409</v>
          </cell>
          <cell r="O237" t="str">
            <v>Other Accrued Expenses</v>
          </cell>
          <cell r="Q237">
            <v>28.914999999999999</v>
          </cell>
          <cell r="R237">
            <v>21.035999999999998</v>
          </cell>
          <cell r="S237">
            <v>18.423000000000002</v>
          </cell>
        </row>
        <row r="238">
          <cell r="A238" t="str">
            <v>Total Current Liabilities</v>
          </cell>
          <cell r="C238">
            <v>9.4031650339110762</v>
          </cell>
          <cell r="D238">
            <v>8.408942476764631</v>
          </cell>
          <cell r="E238">
            <v>7.8410784559993303</v>
          </cell>
          <cell r="F238">
            <v>8.2779800640489007</v>
          </cell>
          <cell r="G238">
            <v>8.6344569979798926</v>
          </cell>
          <cell r="H238">
            <v>8.9694032685114138</v>
          </cell>
          <cell r="I238">
            <v>9.3240504345978561</v>
          </cell>
          <cell r="J238">
            <v>9.6995153848913063</v>
          </cell>
          <cell r="K238">
            <v>10.09697483806692</v>
          </cell>
          <cell r="O238" t="str">
            <v>Total Current Liabilities</v>
          </cell>
          <cell r="Q238">
            <v>56.150999999999996</v>
          </cell>
          <cell r="R238">
            <v>50.213999999999999</v>
          </cell>
          <cell r="S238">
            <v>46.823</v>
          </cell>
        </row>
        <row r="240">
          <cell r="A240" t="str">
            <v>Total Debt</v>
          </cell>
          <cell r="C240">
            <v>0</v>
          </cell>
          <cell r="D240">
            <v>0</v>
          </cell>
          <cell r="E240">
            <v>0</v>
          </cell>
          <cell r="F240">
            <v>0</v>
          </cell>
          <cell r="G240">
            <v>0</v>
          </cell>
          <cell r="H240">
            <v>0</v>
          </cell>
          <cell r="I240">
            <v>0</v>
          </cell>
          <cell r="J240">
            <v>0</v>
          </cell>
          <cell r="K240">
            <v>0</v>
          </cell>
          <cell r="O240" t="str">
            <v>Total Debt</v>
          </cell>
          <cell r="Q240">
            <v>0</v>
          </cell>
          <cell r="R240">
            <v>0</v>
          </cell>
          <cell r="S240">
            <v>0</v>
          </cell>
        </row>
        <row r="241">
          <cell r="A241" t="str">
            <v>Other Non-Current</v>
          </cell>
          <cell r="C241">
            <v>1.2516118228250859</v>
          </cell>
          <cell r="D241">
            <v>1.3415389768064974</v>
          </cell>
          <cell r="E241">
            <v>1.339696893577828</v>
          </cell>
          <cell r="F241">
            <v>1.339696893577828</v>
          </cell>
          <cell r="G241">
            <v>1.339696893577828</v>
          </cell>
          <cell r="H241">
            <v>1.339696893577828</v>
          </cell>
          <cell r="I241">
            <v>1.339696893577828</v>
          </cell>
          <cell r="J241">
            <v>1.339696893577828</v>
          </cell>
          <cell r="K241">
            <v>1.339696893577828</v>
          </cell>
          <cell r="O241" t="str">
            <v>Other Non-Current</v>
          </cell>
          <cell r="Q241">
            <v>7.4740000000000002</v>
          </cell>
          <cell r="R241">
            <v>8.0109999999999992</v>
          </cell>
          <cell r="S241">
            <v>8</v>
          </cell>
        </row>
        <row r="242">
          <cell r="A242" t="str">
            <v>Total Liabilities</v>
          </cell>
          <cell r="C242">
            <v>10.654776856736163</v>
          </cell>
          <cell r="D242">
            <v>9.7504814535711279</v>
          </cell>
          <cell r="E242">
            <v>9.1807753495771589</v>
          </cell>
          <cell r="F242">
            <v>9.6176769576267294</v>
          </cell>
          <cell r="G242">
            <v>9.9741538915577213</v>
          </cell>
          <cell r="H242">
            <v>10.309100162089242</v>
          </cell>
          <cell r="I242">
            <v>10.663747328175685</v>
          </cell>
          <cell r="J242">
            <v>11.039212278469135</v>
          </cell>
          <cell r="K242">
            <v>11.436671731644749</v>
          </cell>
          <cell r="O242" t="str">
            <v>Total Liabilities</v>
          </cell>
          <cell r="Q242">
            <v>63.625</v>
          </cell>
          <cell r="R242">
            <v>58.224999999999994</v>
          </cell>
          <cell r="S242">
            <v>54.823</v>
          </cell>
        </row>
        <row r="244">
          <cell r="A244" t="str">
            <v>Shareholders' Equity</v>
          </cell>
          <cell r="C244">
            <v>50.510926902788235</v>
          </cell>
          <cell r="D244">
            <v>55.225990119735414</v>
          </cell>
          <cell r="E244">
            <v>59.281085154483797</v>
          </cell>
          <cell r="F244">
            <v>65.286376957213434</v>
          </cell>
          <cell r="G244">
            <v>71.515673723998518</v>
          </cell>
          <cell r="H244">
            <v>80.535849937305045</v>
          </cell>
          <cell r="I244">
            <v>90.698495803493486</v>
          </cell>
          <cell r="J244">
            <v>102.12978007283563</v>
          </cell>
          <cell r="K244">
            <v>114.96799484225981</v>
          </cell>
          <cell r="O244" t="str">
            <v>Shareholders' Equity</v>
          </cell>
          <cell r="Q244">
            <v>301.62599999999998</v>
          </cell>
          <cell r="R244">
            <v>329.78200000000004</v>
          </cell>
          <cell r="S244">
            <v>353.99700000000001</v>
          </cell>
        </row>
        <row r="245">
          <cell r="A245" t="str">
            <v>TOTAL LIABILITIES &amp; EQUITY</v>
          </cell>
          <cell r="C245">
            <v>61.165703759524398</v>
          </cell>
          <cell r="D245">
            <v>64.97647157330654</v>
          </cell>
          <cell r="E245">
            <v>68.461860504060951</v>
          </cell>
          <cell r="F245">
            <v>74.904053914840162</v>
          </cell>
          <cell r="G245">
            <v>81.489827615556237</v>
          </cell>
          <cell r="H245">
            <v>90.844950099394282</v>
          </cell>
          <cell r="I245">
            <v>101.36224313166917</v>
          </cell>
          <cell r="J245">
            <v>113.16899235130477</v>
          </cell>
          <cell r="K245">
            <v>126.40466657390456</v>
          </cell>
          <cell r="O245" t="str">
            <v>TOTAL LIABILITIES &amp; EQUITY</v>
          </cell>
          <cell r="Q245">
            <v>365.25099999999998</v>
          </cell>
          <cell r="R245">
            <v>388.00700000000006</v>
          </cell>
          <cell r="S245">
            <v>408.82</v>
          </cell>
        </row>
        <row r="246">
          <cell r="H246" t="str">
            <v xml:space="preserve"> </v>
          </cell>
          <cell r="I246" t="str">
            <v xml:space="preserve"> </v>
          </cell>
        </row>
        <row r="248">
          <cell r="A248" t="str">
            <v>(1) Estimated Balance Sheet as of June 30, 1998 .</v>
          </cell>
        </row>
        <row r="253">
          <cell r="A253" t="str">
            <v>Balance Sheet Turnover Analysis</v>
          </cell>
        </row>
        <row r="255">
          <cell r="C255">
            <v>1994</v>
          </cell>
          <cell r="D255" t="str">
            <v>1996A</v>
          </cell>
          <cell r="E255" t="str">
            <v>1997A</v>
          </cell>
          <cell r="F255" t="str">
            <v>1998E</v>
          </cell>
          <cell r="G255" t="str">
            <v>1999E</v>
          </cell>
          <cell r="H255" t="str">
            <v>2000E</v>
          </cell>
          <cell r="I255" t="str">
            <v>2001E</v>
          </cell>
          <cell r="J255" t="str">
            <v>2002E</v>
          </cell>
          <cell r="K255" t="str">
            <v>2003E</v>
          </cell>
        </row>
        <row r="256">
          <cell r="A256" t="str">
            <v>(days)</v>
          </cell>
        </row>
        <row r="257">
          <cell r="A257" t="str">
            <v>Accounts Receivable</v>
          </cell>
          <cell r="C257">
            <v>93.995883141972556</v>
          </cell>
          <cell r="D257">
            <v>87.385007995735606</v>
          </cell>
          <cell r="E257">
            <v>91.900458248472518</v>
          </cell>
          <cell r="F257">
            <v>91.900458248472518</v>
          </cell>
          <cell r="G257">
            <v>91.900458248472518</v>
          </cell>
          <cell r="H257">
            <v>91.900458248472518</v>
          </cell>
          <cell r="I257">
            <v>91.900458248472518</v>
          </cell>
          <cell r="J257">
            <v>91.900458248472518</v>
          </cell>
          <cell r="K257">
            <v>91.900458248472518</v>
          </cell>
        </row>
        <row r="258">
          <cell r="A258" t="str">
            <v>Inventory</v>
          </cell>
          <cell r="C258">
            <v>46.138197476708854</v>
          </cell>
          <cell r="D258">
            <v>38.759974411635973</v>
          </cell>
          <cell r="E258">
            <v>45.374771480804377</v>
          </cell>
          <cell r="F258">
            <v>45.374771480804377</v>
          </cell>
          <cell r="G258">
            <v>45.374771480804377</v>
          </cell>
          <cell r="H258">
            <v>45.374771480804377</v>
          </cell>
          <cell r="I258">
            <v>45.374771480804377</v>
          </cell>
          <cell r="J258">
            <v>45.374771480804377</v>
          </cell>
          <cell r="K258">
            <v>45.374771480804377</v>
          </cell>
        </row>
        <row r="259">
          <cell r="A259" t="str">
            <v>Accounts Payable</v>
          </cell>
          <cell r="C259">
            <v>50.008753043443264</v>
          </cell>
          <cell r="D259">
            <v>51.224682189632865</v>
          </cell>
          <cell r="E259">
            <v>47.376599634369285</v>
          </cell>
          <cell r="F259">
            <v>47.376599634369285</v>
          </cell>
          <cell r="G259">
            <v>47.376599634369285</v>
          </cell>
          <cell r="H259">
            <v>47.376599634369285</v>
          </cell>
          <cell r="I259">
            <v>47.376599634369285</v>
          </cell>
          <cell r="J259">
            <v>47.376599634369285</v>
          </cell>
          <cell r="K259">
            <v>47.376599634369285</v>
          </cell>
        </row>
        <row r="262">
          <cell r="A262" t="str">
            <v>Percentage of Sales</v>
          </cell>
        </row>
        <row r="264">
          <cell r="C264" t="str">
            <v>1995A</v>
          </cell>
          <cell r="D264" t="str">
            <v>1996A</v>
          </cell>
          <cell r="E264" t="str">
            <v>1997A</v>
          </cell>
          <cell r="F264" t="str">
            <v>1998E</v>
          </cell>
          <cell r="G264" t="str">
            <v>1999E</v>
          </cell>
          <cell r="H264" t="str">
            <v>2000E</v>
          </cell>
          <cell r="I264" t="str">
            <v>2001E</v>
          </cell>
          <cell r="J264" t="str">
            <v>2002E</v>
          </cell>
          <cell r="K264" t="str">
            <v>2003E</v>
          </cell>
        </row>
        <row r="266">
          <cell r="A266" t="str">
            <v>Sales Growth</v>
          </cell>
          <cell r="C266" t="str">
            <v>na</v>
          </cell>
          <cell r="D266">
            <v>5.5085472609115109E-2</v>
          </cell>
          <cell r="E266">
            <v>4.6908315565031979E-2</v>
          </cell>
          <cell r="F266">
            <v>9.4704684317718862E-2</v>
          </cell>
          <cell r="G266">
            <v>7.0000000000000007E-2</v>
          </cell>
          <cell r="H266">
            <v>7.0000000000000007E-2</v>
          </cell>
          <cell r="I266">
            <v>7.0000000000000007E-2</v>
          </cell>
          <cell r="J266">
            <v>7.0000000000000007E-2</v>
          </cell>
          <cell r="K266">
            <v>7.0000000000000007E-2</v>
          </cell>
        </row>
        <row r="267">
          <cell r="A267" t="str">
            <v>Cost of Sales</v>
          </cell>
          <cell r="C267">
            <v>0.55900408030122806</v>
          </cell>
          <cell r="D267">
            <v>0.55412313432835825</v>
          </cell>
          <cell r="E267">
            <v>0.55702647657841153</v>
          </cell>
          <cell r="F267">
            <v>0.55558139534883733</v>
          </cell>
          <cell r="G267">
            <v>0.55487937404911969</v>
          </cell>
          <cell r="H267">
            <v>0.54987937404911968</v>
          </cell>
          <cell r="I267">
            <v>0.54487937404911968</v>
          </cell>
          <cell r="J267">
            <v>0.53987937404911968</v>
          </cell>
          <cell r="K267">
            <v>0.53487937404911967</v>
          </cell>
        </row>
        <row r="268">
          <cell r="A268" t="str">
            <v>Total Gross Profit</v>
          </cell>
          <cell r="C268">
            <v>0.44099591969877194</v>
          </cell>
          <cell r="D268">
            <v>0.44587686567164181</v>
          </cell>
          <cell r="E268">
            <v>0.44297352342158852</v>
          </cell>
          <cell r="F268">
            <v>0.44441860465116273</v>
          </cell>
          <cell r="G268">
            <v>0.44512062595088026</v>
          </cell>
          <cell r="H268">
            <v>0.45012062595088032</v>
          </cell>
          <cell r="I268">
            <v>0.45512062595088038</v>
          </cell>
          <cell r="J268">
            <v>0.46012062595088038</v>
          </cell>
          <cell r="K268">
            <v>0.46512062595088027</v>
          </cell>
        </row>
        <row r="269">
          <cell r="F269" t="str">
            <v xml:space="preserve"> </v>
          </cell>
          <cell r="G269" t="str">
            <v xml:space="preserve"> </v>
          </cell>
          <cell r="H269" t="str">
            <v xml:space="preserve"> </v>
          </cell>
          <cell r="I269" t="str">
            <v xml:space="preserve"> </v>
          </cell>
          <cell r="J269" t="str">
            <v xml:space="preserve"> </v>
          </cell>
          <cell r="K269" t="str">
            <v xml:space="preserve"> </v>
          </cell>
        </row>
        <row r="270">
          <cell r="A270" t="str">
            <v>SG&amp;A</v>
          </cell>
          <cell r="C270">
            <v>0.12942513026874872</v>
          </cell>
          <cell r="D270">
            <v>0.13265458422174839</v>
          </cell>
          <cell r="E270">
            <v>0.13747454175152751</v>
          </cell>
          <cell r="F270">
            <v>0.13255813953488374</v>
          </cell>
          <cell r="G270">
            <v>0.13212453814388175</v>
          </cell>
          <cell r="H270">
            <v>0.13169235507518681</v>
          </cell>
          <cell r="I270">
            <v>0.13126158568942681</v>
          </cell>
          <cell r="J270">
            <v>0.1308322253624053</v>
          </cell>
          <cell r="K270">
            <v>0.13040426948505163</v>
          </cell>
        </row>
        <row r="271">
          <cell r="A271" t="str">
            <v>Other Expenses</v>
          </cell>
          <cell r="C271">
            <v>2.191439522399476E-2</v>
          </cell>
          <cell r="D271">
            <v>2.2763859275053304E-2</v>
          </cell>
          <cell r="E271">
            <v>2.2764765784114054E-2</v>
          </cell>
          <cell r="F271">
            <v>2.2758139534883724E-2</v>
          </cell>
          <cell r="G271">
            <v>2.2758139534883721E-2</v>
          </cell>
          <cell r="H271">
            <v>2.2758139534883717E-2</v>
          </cell>
          <cell r="I271">
            <v>2.275813953488371E-2</v>
          </cell>
          <cell r="J271">
            <v>2.2758139534883714E-2</v>
          </cell>
          <cell r="K271">
            <v>2.2758139534883717E-2</v>
          </cell>
        </row>
        <row r="272">
          <cell r="A272" t="str">
            <v>Depreciation &amp; Amortization</v>
          </cell>
          <cell r="C272">
            <v>8.7202026933924995E-3</v>
          </cell>
          <cell r="D272">
            <v>8.8939232409381667E-3</v>
          </cell>
          <cell r="E272">
            <v>9.9236252545824855E-3</v>
          </cell>
          <cell r="F272">
            <v>9.7139534883720936E-3</v>
          </cell>
          <cell r="G272">
            <v>9.9356040612289236E-3</v>
          </cell>
          <cell r="H272">
            <v>1.0142754129319422E-2</v>
          </cell>
          <cell r="I272">
            <v>1.0336352323796519E-2</v>
          </cell>
          <cell r="J272">
            <v>1.0517285215831193E-2</v>
          </cell>
          <cell r="K272">
            <v>1.0686381376611263E-2</v>
          </cell>
        </row>
        <row r="273">
          <cell r="A273" t="str">
            <v>Operating Income</v>
          </cell>
          <cell r="C273">
            <v>0.12760291442053248</v>
          </cell>
          <cell r="D273">
            <v>0.12429371002132202</v>
          </cell>
          <cell r="E273">
            <v>0.12245417515274942</v>
          </cell>
          <cell r="F273">
            <v>0.13226046511627898</v>
          </cell>
          <cell r="G273">
            <v>0.13474695951190735</v>
          </cell>
          <cell r="H273">
            <v>0.14132183507264209</v>
          </cell>
          <cell r="I273">
            <v>0.14789560270547442</v>
          </cell>
          <cell r="J273">
            <v>0.1544675104487058</v>
          </cell>
          <cell r="K273">
            <v>0.16103686304993822</v>
          </cell>
        </row>
        <row r="275">
          <cell r="A275" t="str">
            <v>Adjustments / Cost Savings</v>
          </cell>
          <cell r="C275">
            <v>9.1870049014231847E-3</v>
          </cell>
          <cell r="D275">
            <v>8.2089552238805968E-3</v>
          </cell>
          <cell r="E275">
            <v>7.1283095723014252E-3</v>
          </cell>
          <cell r="F275">
            <v>8.2093023255813951E-3</v>
          </cell>
          <cell r="G275">
            <v>8.0000000000000002E-3</v>
          </cell>
          <cell r="H275">
            <v>8.0000000000000002E-3</v>
          </cell>
          <cell r="I275">
            <v>8.0000000000000002E-3</v>
          </cell>
          <cell r="J275">
            <v>8.0000000000000002E-3</v>
          </cell>
          <cell r="K275">
            <v>8.0000000000000002E-3</v>
          </cell>
        </row>
        <row r="277">
          <cell r="A277" t="str">
            <v>Adjusted Operating Income</v>
          </cell>
          <cell r="C277">
            <v>0.12760291442053248</v>
          </cell>
          <cell r="D277">
            <v>0.12429371002132202</v>
          </cell>
          <cell r="E277">
            <v>0.12245417515274942</v>
          </cell>
          <cell r="F277">
            <v>0.13226046511627898</v>
          </cell>
          <cell r="G277">
            <v>0.13474695951190735</v>
          </cell>
          <cell r="H277">
            <v>0.14132183507264209</v>
          </cell>
          <cell r="I277">
            <v>0.14789560270547442</v>
          </cell>
          <cell r="J277">
            <v>0.1544675104487058</v>
          </cell>
          <cell r="K277">
            <v>0.16103686304993822</v>
          </cell>
        </row>
        <row r="278">
          <cell r="C278" t="str">
            <v xml:space="preserve"> </v>
          </cell>
          <cell r="D278" t="str">
            <v xml:space="preserve"> </v>
          </cell>
          <cell r="E278" t="str">
            <v xml:space="preserve"> </v>
          </cell>
          <cell r="F278" t="str">
            <v xml:space="preserve"> </v>
          </cell>
          <cell r="G278" t="str">
            <v xml:space="preserve"> </v>
          </cell>
          <cell r="H278" t="str">
            <v xml:space="preserve"> </v>
          </cell>
          <cell r="I278" t="str">
            <v xml:space="preserve"> </v>
          </cell>
          <cell r="J278" t="str">
            <v xml:space="preserve"> </v>
          </cell>
          <cell r="K278" t="str">
            <v xml:space="preserve"> </v>
          </cell>
        </row>
        <row r="279">
          <cell r="A279" t="str">
            <v>Net Interest Expense</v>
          </cell>
          <cell r="C279">
            <v>-3.5488216056308718E-2</v>
          </cell>
          <cell r="D279">
            <v>-4.1146055437100218E-2</v>
          </cell>
          <cell r="E279">
            <v>-3.9266802443991854E-2</v>
          </cell>
          <cell r="F279">
            <v>-6.5790697674418617E-3</v>
          </cell>
          <cell r="G279">
            <v>-3.8889983894638332E-2</v>
          </cell>
          <cell r="H279">
            <v>-4.1030444628709431E-2</v>
          </cell>
          <cell r="I279">
            <v>-4.4112337980652401E-2</v>
          </cell>
          <cell r="J279">
            <v>-4.7380115003882527E-2</v>
          </cell>
          <cell r="K279">
            <v>-5.0823386223742717E-2</v>
          </cell>
        </row>
        <row r="280">
          <cell r="A280" t="str">
            <v>Income Taxes</v>
          </cell>
          <cell r="C280">
            <v>6.1997519761762154E-2</v>
          </cell>
          <cell r="D280">
            <v>4.8917910447761191E-2</v>
          </cell>
          <cell r="E280">
            <v>6.6522403258655799E-2</v>
          </cell>
          <cell r="F280">
            <v>5.5534883720930232E-2</v>
          </cell>
          <cell r="G280">
            <v>6.9454777362618264E-2</v>
          </cell>
          <cell r="H280">
            <v>7.2940911880540582E-2</v>
          </cell>
          <cell r="I280">
            <v>7.6803176274450755E-2</v>
          </cell>
          <cell r="J280">
            <v>8.0739050181035318E-2</v>
          </cell>
          <cell r="K280">
            <v>8.4744099709472401E-2</v>
          </cell>
        </row>
        <row r="281">
          <cell r="A281" t="str">
            <v>Net Income</v>
          </cell>
          <cell r="C281">
            <v>0.10370039172016608</v>
          </cell>
          <cell r="D281">
            <v>0.12105810234541584</v>
          </cell>
          <cell r="E281">
            <v>9.9781059063136404E-2</v>
          </cell>
          <cell r="F281">
            <v>8.3304651162790622E-2</v>
          </cell>
          <cell r="G281">
            <v>0.1041821660439274</v>
          </cell>
          <cell r="H281">
            <v>0.10941136782081093</v>
          </cell>
          <cell r="I281">
            <v>0.11520476441167607</v>
          </cell>
          <cell r="J281">
            <v>0.12110857527155298</v>
          </cell>
          <cell r="K281">
            <v>0.12711614956420855</v>
          </cell>
        </row>
        <row r="284">
          <cell r="A284" t="str">
            <v>Capex</v>
          </cell>
          <cell r="D284">
            <v>1.5000000000000001E-2</v>
          </cell>
          <cell r="E284">
            <v>1.5000000000000001E-2</v>
          </cell>
          <cell r="F284">
            <v>1.4999999999999999E-2</v>
          </cell>
          <cell r="G284">
            <v>1.5000000000000001E-2</v>
          </cell>
          <cell r="H284">
            <v>1.4999999999999999E-2</v>
          </cell>
          <cell r="I284">
            <v>1.4999999999999999E-2</v>
          </cell>
          <cell r="J284">
            <v>1.4999999999999998E-2</v>
          </cell>
          <cell r="K284">
            <v>1.4999999999999999E-2</v>
          </cell>
        </row>
        <row r="285">
          <cell r="A285" t="str">
            <v>Depreciation</v>
          </cell>
          <cell r="D285">
            <v>8.8939232409381667E-3</v>
          </cell>
          <cell r="E285">
            <v>9.9236252545824855E-3</v>
          </cell>
          <cell r="F285">
            <v>9.7139534883720936E-3</v>
          </cell>
          <cell r="G285">
            <v>9.9356040612289236E-3</v>
          </cell>
          <cell r="H285">
            <v>1.0417709188149724E-2</v>
          </cell>
          <cell r="I285">
            <v>1.0779011582622906E-2</v>
          </cell>
          <cell r="J285">
            <v>1.1049781198963243E-2</v>
          </cell>
          <cell r="K285">
            <v>1.1252703145384322E-2</v>
          </cell>
        </row>
        <row r="286">
          <cell r="A286" t="str">
            <v>Depreciation/Net PPE</v>
          </cell>
          <cell r="D286">
            <v>0.2059240975007714</v>
          </cell>
          <cell r="E286">
            <v>0.28043165467625897</v>
          </cell>
          <cell r="F286">
            <v>0.25826995609967224</v>
          </cell>
          <cell r="G286">
            <v>0.24705937760332417</v>
          </cell>
          <cell r="H286">
            <v>0.24705937760332417</v>
          </cell>
          <cell r="I286">
            <v>0.24705937760332417</v>
          </cell>
          <cell r="J286">
            <v>0.24705937760332417</v>
          </cell>
          <cell r="K286">
            <v>0.24705937760332417</v>
          </cell>
        </row>
        <row r="287">
          <cell r="A287" t="str">
            <v>Capex/Depreciation</v>
          </cell>
          <cell r="D287">
            <v>1.686544800719209</v>
          </cell>
          <cell r="E287">
            <v>1.5115443817342227</v>
          </cell>
          <cell r="F287">
            <v>1.5441704572659805</v>
          </cell>
          <cell r="G287">
            <v>1.5097219965249569</v>
          </cell>
          <cell r="H287">
            <v>1.4398558962523824</v>
          </cell>
          <cell r="I287">
            <v>1.3915932722608673</v>
          </cell>
          <cell r="J287">
            <v>1.3574929430645548</v>
          </cell>
          <cell r="K287">
            <v>1.3330130375075928</v>
          </cell>
        </row>
        <row r="288">
          <cell r="A288" t="str">
            <v>Working Capital</v>
          </cell>
          <cell r="D288">
            <v>0.22048773987206821</v>
          </cell>
          <cell r="E288">
            <v>0.24872708757637482</v>
          </cell>
          <cell r="F288">
            <v>0.24873501306757897</v>
          </cell>
          <cell r="G288">
            <v>0.24873886327580416</v>
          </cell>
          <cell r="H288">
            <v>0.24876628557927766</v>
          </cell>
          <cell r="I288">
            <v>0.24879370788275113</v>
          </cell>
          <cell r="J288">
            <v>0.24882113018622462</v>
          </cell>
          <cell r="K288">
            <v>0.24884855248969814</v>
          </cell>
        </row>
        <row r="289">
          <cell r="A289" t="str">
            <v>Prepaid Expenses &amp; Other Current</v>
          </cell>
          <cell r="D289">
            <v>2.7777185501066098E-2</v>
          </cell>
          <cell r="E289">
            <v>5.7688391038696538E-2</v>
          </cell>
          <cell r="F289">
            <v>5.2697674418604658E-2</v>
          </cell>
          <cell r="G289">
            <v>4.9250163008041727E-2</v>
          </cell>
          <cell r="H289">
            <v>4.6028189727141795E-2</v>
          </cell>
          <cell r="I289">
            <v>4.3016999744992325E-2</v>
          </cell>
          <cell r="J289">
            <v>4.0202803499992827E-2</v>
          </cell>
          <cell r="K289">
            <v>3.7572713551395159E-2</v>
          </cell>
        </row>
        <row r="290">
          <cell r="A290" t="str">
            <v>Other Assets</v>
          </cell>
          <cell r="D290">
            <v>5.7009594882729206E-3</v>
          </cell>
          <cell r="E290">
            <v>0</v>
          </cell>
          <cell r="F290">
            <v>0</v>
          </cell>
          <cell r="G290">
            <v>0</v>
          </cell>
          <cell r="H290">
            <v>0</v>
          </cell>
          <cell r="I290">
            <v>0</v>
          </cell>
          <cell r="J290">
            <v>0</v>
          </cell>
          <cell r="K290">
            <v>0</v>
          </cell>
        </row>
        <row r="291">
          <cell r="A291" t="str">
            <v>Accrued Expenses &amp; Other</v>
          </cell>
          <cell r="D291">
            <v>5.6066098081023447E-2</v>
          </cell>
          <cell r="E291">
            <v>4.6901731160896139E-2</v>
          </cell>
          <cell r="F291">
            <v>4.2844186046511634E-2</v>
          </cell>
          <cell r="G291">
            <v>4.004129537057162E-2</v>
          </cell>
          <cell r="H291">
            <v>3.7421771374365996E-2</v>
          </cell>
          <cell r="I291">
            <v>3.4973618106884097E-2</v>
          </cell>
          <cell r="J291">
            <v>3.26856243989571E-2</v>
          </cell>
          <cell r="K291">
            <v>3.0547312522389812E-2</v>
          </cell>
        </row>
        <row r="292">
          <cell r="A292" t="str">
            <v>Other Liabilities</v>
          </cell>
          <cell r="D292">
            <v>2.1351279317697227E-2</v>
          </cell>
          <cell r="E292">
            <v>2.0366598778004074E-2</v>
          </cell>
          <cell r="F292">
            <v>1.8604651162790697E-2</v>
          </cell>
          <cell r="G292">
            <v>1.7387524451206258E-2</v>
          </cell>
          <cell r="H292">
            <v>1.6250022851594631E-2</v>
          </cell>
          <cell r="I292">
            <v>1.5186937244480963E-2</v>
          </cell>
          <cell r="J292">
            <v>1.4193399293907439E-2</v>
          </cell>
          <cell r="K292">
            <v>1.3264859153184523E-2</v>
          </cell>
        </row>
      </sheetData>
      <sheetData sheetId="1"/>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Notes"/>
      <sheetName val="ImportHistory"/>
      <sheetName val="Data"/>
      <sheetName val="Contents"/>
      <sheetName val="MW"/>
      <sheetName val="MW1"/>
      <sheetName val="MW2"/>
      <sheetName val="Graphs"/>
      <sheetName val="Americas Exec"/>
      <sheetName val="Consulting Services"/>
      <sheetName val="Corp OH"/>
      <sheetName val="Corp Funding"/>
      <sheetName val="SCEM"/>
      <sheetName val="SPS"/>
      <sheetName val="NA"/>
      <sheetName val="LA"/>
      <sheetName val="AMERICAS"/>
      <sheetName val="EUROPE"/>
      <sheetName val="Asia"/>
      <sheetName val="TOTAL SEI"/>
      <sheetName val="ROE"/>
    </sheetNames>
    <sheetDataSet>
      <sheetData sheetId="0" refreshError="1">
        <row r="16">
          <cell r="D16" t="str">
            <v>Hold Com</v>
          </cell>
          <cell r="E16">
            <v>547</v>
          </cell>
          <cell r="F16" t="str">
            <v>Accounts Payable Associated Companies</v>
          </cell>
        </row>
        <row r="17">
          <cell r="D17" t="str">
            <v>SE Americas Exec</v>
          </cell>
          <cell r="E17">
            <v>3</v>
          </cell>
          <cell r="F17" t="str">
            <v>ACCUMULATED DEPRECIATION</v>
          </cell>
        </row>
        <row r="18">
          <cell r="D18" t="str">
            <v>SE Consulting Serv</v>
          </cell>
          <cell r="E18">
            <v>507</v>
          </cell>
          <cell r="F18" t="str">
            <v>Administrative and General O&amp;M Expense</v>
          </cell>
        </row>
        <row r="19">
          <cell r="D19" t="str">
            <v>SE Corp Funding</v>
          </cell>
          <cell r="E19">
            <v>518</v>
          </cell>
          <cell r="F19" t="str">
            <v>AFUDC Debt</v>
          </cell>
        </row>
        <row r="23">
          <cell r="D23" t="str">
            <v>SEG SCEM</v>
          </cell>
          <cell r="E23">
            <v>493</v>
          </cell>
          <cell r="F23" t="str">
            <v>Associated Revenues</v>
          </cell>
        </row>
        <row r="24">
          <cell r="D24" t="str">
            <v>SEI Asia</v>
          </cell>
          <cell r="E24">
            <v>1130</v>
          </cell>
          <cell r="F24" t="str">
            <v>Average Price Per Share</v>
          </cell>
        </row>
        <row r="25">
          <cell r="D25" t="str">
            <v>SEI Europe</v>
          </cell>
          <cell r="E25">
            <v>291</v>
          </cell>
          <cell r="F25" t="str">
            <v>Average Return on Equity %</v>
          </cell>
        </row>
        <row r="83">
          <cell r="E83">
            <v>1104</v>
          </cell>
          <cell r="F83" t="str">
            <v>Intercompany Preferred Stock</v>
          </cell>
        </row>
        <row r="88">
          <cell r="E88">
            <v>16</v>
          </cell>
          <cell r="F88" t="str">
            <v>LONG TERM DEBT</v>
          </cell>
        </row>
        <row r="92">
          <cell r="E92">
            <v>579</v>
          </cell>
          <cell r="F92" t="str">
            <v>Minority Interest Debt B Redemptions</v>
          </cell>
        </row>
      </sheetData>
      <sheetData sheetId="1" refreshError="1"/>
      <sheetData sheetId="2" refreshError="1"/>
      <sheetData sheetId="3"/>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sclaimer"/>
      <sheetName val="P"/>
      <sheetName val="BS"/>
      <sheetName val="TOSCO"/>
      <sheetName val="Segment ROCE"/>
      <sheetName val="ROGIC"/>
      <sheetName val="E&amp;P"/>
      <sheetName val="NEPS"/>
      <sheetName val="RefineryMaint"/>
      <sheetName val="Hamaca"/>
      <sheetName val="Bohai"/>
      <sheetName val="Bayu Undan"/>
      <sheetName val="R&amp;M"/>
      <sheetName val="GPM"/>
      <sheetName val="Variance"/>
      <sheetName val="ARCO - Alaska"/>
      <sheetName val="Capex"/>
      <sheetName val="Reserves"/>
      <sheetName val="WACC"/>
      <sheetName val="Valuation"/>
      <sheetName val="NAV"/>
      <sheetName val="Chemical JV"/>
      <sheetName val="Chems"/>
      <sheetName val="EKOFISK"/>
      <sheetName val="PUDS"/>
      <sheetName val="GE Data"/>
      <sheetName val="IndexInformation"/>
      <sheetName val="MainCode"/>
      <sheetName val="NY UPLOAD"/>
      <sheetName val="NY UPLOAD Shadow"/>
      <sheetName val="Distribution"/>
      <sheetName val="A-Link Source"/>
      <sheetName val="Q-Link Source"/>
      <sheetName val="Income Statement"/>
      <sheetName val="Revenue&amp;EBIT"/>
      <sheetName val="Fin. Summary"/>
      <sheetName val="COP"/>
      <sheetName val="Inputs"/>
      <sheetName val="XOM"/>
      <sheetName val="New Source Charts"/>
      <sheetName val="Modelware"/>
      <sheetName val="R&amp;MIS"/>
      <sheetName val="E&amp;P Growth &amp; Returns"/>
      <sheetName val="Global Product Sum"/>
      <sheetName val="Scenario"/>
      <sheetName val="Quarter"/>
      <sheetName val="Annual"/>
      <sheetName val="AN"/>
      <sheetName val="COC"/>
      <sheetName val="ｾｸﾞﾒﾝﾄ"/>
      <sheetName val="単独"/>
      <sheetName val="Factset Profile"/>
      <sheetName val="cash"/>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単独"/>
      <sheetName val="連結"/>
      <sheetName val="期中"/>
      <sheetName val="valu"/>
      <sheetName val="増減分析"/>
      <sheetName val="新素材"/>
      <sheetName val="子会社"/>
      <sheetName val="環境"/>
      <sheetName val="製錬拠点"/>
      <sheetName val="ﾃｨｻﾊﾟ"/>
      <sheetName val="ﾚｲﾃﾞﾌﾟﾗﾀ"/>
      <sheetName val="小坂"/>
      <sheetName val="中計"/>
      <sheetName val="cash"/>
      <sheetName val="ｾｸﾞﾒﾝﾄ"/>
      <sheetName val="含み益"/>
      <sheetName val="capx"/>
      <sheetName val="dep"/>
      <sheetName val="人"/>
      <sheetName val="exp"/>
      <sheetName val="Valuation Matrix"/>
      <sheetName val="HANDOUT"/>
      <sheetName val="Interm-Euro"/>
      <sheetName val="SCATTER DATA"/>
      <sheetName val="10 Yr DCF"/>
      <sheetName val="Annual-Euro"/>
      <sheetName val="Residual Income Model"/>
      <sheetName val="P"/>
      <sheetName val="EARNMOD"/>
      <sheetName val="Operating Leases tagged"/>
      <sheetName val="exh 11"/>
      <sheetName val="exh 14"/>
      <sheetName val="exh 12"/>
      <sheetName val="exh 10"/>
      <sheetName val="exh 1 and 5"/>
      <sheetName val="exh 15"/>
      <sheetName val="exh 3"/>
      <sheetName val="exh 9"/>
      <sheetName val="Good 12-00 (2)"/>
      <sheetName val="Good 11-36"/>
      <sheetName val="Good 11-50"/>
      <sheetName val="Sheet3 (5)"/>
      <sheetName val="WACC"/>
      <sheetName val="Sheet1"/>
      <sheetName val="Fixed Line Mkt"/>
      <sheetName val="Cash Flow"/>
      <sheetName val="upside_downside"/>
      <sheetName val="Income Statement"/>
      <sheetName val="Balance Sheet"/>
      <sheetName val="Valsum"/>
      <sheetName val="Total_Production"/>
      <sheetName val="RFS"/>
      <sheetName val="Corn_Uses"/>
      <sheetName val="US_Production"/>
      <sheetName val="DCF"/>
      <sheetName val="OP"/>
      <sheetName val="Inputs"/>
      <sheetName val="MWA RR"/>
      <sheetName val="Summary"/>
      <sheetName val="IS"/>
      <sheetName val="Risk-Reward_View_Chart"/>
      <sheetName val="variables"/>
      <sheetName val="IS Quarterly"/>
      <sheetName val="Sheet1 (2)"/>
      <sheetName val="1Q11 Preview"/>
      <sheetName val="2Q11 Preview"/>
      <sheetName val="Model"/>
      <sheetName val="Intrinsic Value"/>
      <sheetName val="Rev by Geo"/>
      <sheetName val="fin"/>
      <sheetName val="Report template"/>
      <sheetName val="Model (WIP)"/>
      <sheetName val="sales bkd"/>
      <sheetName val="Presentation"/>
      <sheetName val="Valuation"/>
      <sheetName val="Exclusion List"/>
    </sheetNames>
    <sheetDataSet>
      <sheetData sheetId="0" refreshError="1">
        <row r="14">
          <cell r="AR14">
            <v>28</v>
          </cell>
        </row>
        <row r="15">
          <cell r="AR15">
            <v>5</v>
          </cell>
        </row>
        <row r="16">
          <cell r="AR16">
            <v>14</v>
          </cell>
        </row>
        <row r="17">
          <cell r="AR17">
            <v>6</v>
          </cell>
        </row>
        <row r="18">
          <cell r="AR18">
            <v>-5</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row r="164">
          <cell r="E164">
            <v>1247</v>
          </cell>
          <cell r="F164">
            <v>1807</v>
          </cell>
          <cell r="G164">
            <v>2812</v>
          </cell>
          <cell r="H164">
            <v>2828</v>
          </cell>
          <cell r="I164">
            <v>6670</v>
          </cell>
        </row>
        <row r="165">
          <cell r="E165" t="e">
            <v>#VALUE!</v>
          </cell>
          <cell r="F165" t="e">
            <v>#VALUE!</v>
          </cell>
          <cell r="G165" t="e">
            <v>#VALUE!</v>
          </cell>
          <cell r="H165" t="e">
            <v>#VALUE!</v>
          </cell>
          <cell r="I165" t="e">
            <v>#VALUE!</v>
          </cell>
        </row>
        <row r="167">
          <cell r="E167">
            <v>2721</v>
          </cell>
          <cell r="F167">
            <v>1584</v>
          </cell>
          <cell r="G167">
            <v>1802</v>
          </cell>
          <cell r="H167">
            <v>1616</v>
          </cell>
          <cell r="I167">
            <v>795</v>
          </cell>
        </row>
      </sheetData>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Cash"/>
      <sheetName val="Exhibit 3"/>
      <sheetName val="Cash_published"/>
      <sheetName val="NVF_published"/>
      <sheetName val="Exhibit 5"/>
      <sheetName val="IFRS"/>
      <sheetName val="Exhibit 4"/>
      <sheetName val="IFRS Life"/>
      <sheetName val="Exhibit 1"/>
      <sheetName val="Exhibit 2"/>
      <sheetName val="MCEV Roll-up"/>
      <sheetName val="Weekahead"/>
      <sheetName val="MCEV_Capital"/>
      <sheetName val="Assets(new)"/>
      <sheetName val="MCEV P&amp;L"/>
      <sheetName val="Cash Flow"/>
      <sheetName val="upside_downside"/>
      <sheetName val="Income Statement"/>
      <sheetName val="Balance Sheet"/>
      <sheetName val="RI"/>
      <sheetName val="BULLBEAR"/>
      <sheetName val="Sheet2"/>
      <sheetName val="DCF"/>
      <sheetName val="MWA RR"/>
      <sheetName val="REVENUE BY GEOGRAPHY"/>
      <sheetName val="NonQtr"/>
      <sheetName val="Data 20d"/>
      <sheetName val="Data"/>
      <sheetName val="Risk-Reward_View_Chart"/>
      <sheetName val="Valsum"/>
      <sheetName val="Interims"/>
      <sheetName val="Financial Statements"/>
      <sheetName val="Summary"/>
      <sheetName val="Floater Demand"/>
      <sheetName val="Inputs"/>
      <sheetName val="FX"/>
      <sheetName val="Good 12-00 (2)"/>
      <sheetName val="Good 11-36"/>
      <sheetName val="Good 11-50"/>
      <sheetName val="Sheet3 (5)"/>
      <sheetName val="CPB"/>
      <sheetName val="Total_Food_Promo"/>
      <sheetName val="CPB_2yr"/>
      <sheetName val="B11_BarSingle_AverageLine"/>
      <sheetName val="Quero_Sales"/>
      <sheetName val="L2005"/>
      <sheetName val="C2000"/>
      <sheetName val="Cell Reference"/>
      <sheetName val="Shading Period-Level"/>
      <sheetName val="Sources of Change"/>
      <sheetName val="Basic (gridlines)"/>
      <sheetName val="Average (reference) Line"/>
      <sheetName val="Double (overlapping)"/>
      <sheetName val="Reference Step Line"/>
      <sheetName val="Double (gridlines)"/>
      <sheetName val="Growth Line"/>
      <sheetName val="Reference Marks"/>
      <sheetName val="Single-point highlighting"/>
      <sheetName val="CPNO"/>
      <sheetName val="MMP"/>
      <sheetName val="PAA"/>
      <sheetName val="EEP"/>
      <sheetName val="KMP"/>
      <sheetName val="ETP"/>
      <sheetName val="BPL"/>
      <sheetName val="NS"/>
      <sheetName val="BWP"/>
      <sheetName val="EPD"/>
      <sheetName val="RGNC"/>
      <sheetName val="画像1"/>
      <sheetName val="業績推移"/>
      <sheetName val="バリュエーション比較"/>
      <sheetName val="自動車設備投資"/>
      <sheetName val="ロボット機械統計年"/>
      <sheetName val="ロボット機械統計"/>
      <sheetName val="株価と関連指標"/>
      <sheetName val="画像3"/>
      <sheetName val="利益率比較"/>
      <sheetName val="ロボット試算"/>
      <sheetName val="画像2"/>
      <sheetName val="内訳"/>
      <sheetName val="株価(過去1年) "/>
      <sheetName val="WWロボット出荷台数"/>
      <sheetName val="長期営業利益"/>
      <sheetName val="中国NC化率"/>
      <sheetName val="画像4"/>
      <sheetName val="成長率比較"/>
      <sheetName val="バリュエーション"/>
      <sheetName val="四半期"/>
      <sheetName val="画像5"/>
      <sheetName val="RRBox"/>
      <sheetName val="シェアと競合"/>
      <sheetName val="WPZ"/>
      <sheetName val="TPP"/>
      <sheetName val="EPE"/>
      <sheetName val="WMZ"/>
      <sheetName val="HEP"/>
      <sheetName val="MGG"/>
      <sheetName val="ETE"/>
      <sheetName val="BGH"/>
      <sheetName val="SEP"/>
      <sheetName val="TCLP"/>
      <sheetName val="SXL"/>
      <sheetName val="WES"/>
      <sheetName val="WP Detail "/>
      <sheetName val="Model"/>
      <sheetName val="Sheet4"/>
      <sheetName val="ForeignStake"/>
      <sheetName val="rev change analysis"/>
      <sheetName val="rev contribution analysis"/>
      <sheetName val="HTC"/>
      <sheetName val="MS Tele Rep"/>
      <sheetName val="China Handset"/>
      <sheetName val="Smartphone"/>
      <sheetName val="IDC"/>
      <sheetName val="CW"/>
      <sheetName val="R2000"/>
      <sheetName val="__FDS_DOWNL_SCRATCH_SHEET__"/>
      <sheetName val="FIH"/>
      <sheetName val="MIC"/>
      <sheetName val="Valuation"/>
      <sheetName val="Sales by App"/>
      <sheetName val="Net Income &amp; EPS"/>
      <sheetName val="IDC_2"/>
      <sheetName val="Sales by Region Comp"/>
      <sheetName val="What's Changed"/>
      <sheetName val="Outsourcing"/>
      <sheetName val="Nokia vs HTC"/>
      <sheetName val="2012 Outlook"/>
      <sheetName val=" Capital"/>
      <sheetName val="New Business"/>
      <sheetName val="Basket_June09_2010"/>
      <sheetName val="C1070"/>
      <sheetName val="Basket_Jan09"/>
      <sheetName val="Basket_2010"/>
      <sheetName val="Inflation v Price 6mth lag"/>
      <sheetName val="Basket_2011"/>
      <sheetName val="Basket_June09"/>
      <sheetName val="Basket_June09_Futures"/>
      <sheetName val="Commodities Exposure"/>
      <sheetName val="Charts"/>
      <sheetName val="Pension"/>
      <sheetName val="Walk"/>
    </sheetNames>
    <sheetDataSet>
      <sheetData sheetId="0" refreshError="1">
        <row r="5">
          <cell r="F5" t="str">
            <v>Display horizontal line for the average?</v>
          </cell>
        </row>
        <row r="10">
          <cell r="Y10" t="str">
            <v>invisible1</v>
          </cell>
        </row>
        <row r="11">
          <cell r="D11" t="str">
            <v>Jupiter</v>
          </cell>
          <cell r="E11">
            <v>78</v>
          </cell>
          <cell r="X11" t="str">
            <v xml:space="preserve">  </v>
          </cell>
          <cell r="Y11">
            <v>44.5</v>
          </cell>
        </row>
        <row r="12">
          <cell r="D12" t="str">
            <v>Juno</v>
          </cell>
          <cell r="E12">
            <v>58</v>
          </cell>
        </row>
        <row r="13">
          <cell r="D13" t="str">
            <v>Neptune</v>
          </cell>
          <cell r="E13">
            <v>45</v>
          </cell>
          <cell r="X13" t="str">
            <v>width</v>
          </cell>
          <cell r="Y13">
            <v>0.624</v>
          </cell>
        </row>
        <row r="14">
          <cell r="D14" t="str">
            <v>Pluto</v>
          </cell>
          <cell r="E14">
            <v>37</v>
          </cell>
        </row>
        <row r="15">
          <cell r="D15" t="str">
            <v>Minerva</v>
          </cell>
          <cell r="E15">
            <v>26</v>
          </cell>
          <cell r="X15" t="str">
            <v>scaling</v>
          </cell>
          <cell r="Y15">
            <v>8.0000000000000002E-3</v>
          </cell>
        </row>
        <row r="16">
          <cell r="D16" t="str">
            <v>Hermes</v>
          </cell>
          <cell r="E16">
            <v>23</v>
          </cell>
        </row>
        <row r="17">
          <cell r="X17" t="str">
            <v>label</v>
          </cell>
          <cell r="Y17" t="str">
            <v>average: 44.5</v>
          </cell>
        </row>
        <row r="28">
          <cell r="R28" t="b">
            <v>1</v>
          </cell>
        </row>
        <row r="34">
          <cell r="R34" t="str">
            <v>Notes:</v>
          </cell>
        </row>
        <row r="35">
          <cell r="R35" t="str">
            <v>-doesn't work for negative average</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C2"/>
      <sheetName val="Comps_old"/>
      <sheetName val="Valuation metrics"/>
      <sheetName val="EBITgrowth"/>
      <sheetName val="__FDSCACHE__"/>
      <sheetName val="Comps"/>
      <sheetName val="SOTP"/>
      <sheetName val="10 yr Weekly PEs-HospSuply"/>
      <sheetName val="#REF"/>
    </sheetNames>
    <sheetDataSet>
      <sheetData sheetId="0" refreshError="1">
        <row r="1">
          <cell r="C1">
            <v>0</v>
          </cell>
          <cell r="D1" t="str">
            <v>1FY</v>
          </cell>
          <cell r="E1" t="str">
            <v>2FY</v>
          </cell>
          <cell r="F1" t="str">
            <v>3FY</v>
          </cell>
          <cell r="G1" t="str">
            <v>4FY</v>
          </cell>
          <cell r="H1" t="str">
            <v>5FY</v>
          </cell>
          <cell r="I1" t="str">
            <v>6FY</v>
          </cell>
          <cell r="Q1" t="str">
            <v>0FY</v>
          </cell>
          <cell r="R1" t="str">
            <v>1FY</v>
          </cell>
        </row>
        <row r="2">
          <cell r="C2" t="str">
            <v>Dividend Yield</v>
          </cell>
          <cell r="J2" t="str">
            <v>Dividend Yield</v>
          </cell>
          <cell r="O2" t="str">
            <v>Share buybacks</v>
          </cell>
          <cell r="Q2" t="str">
            <v>Shares</v>
          </cell>
          <cell r="T2" t="str">
            <v>Avg. Share Price</v>
          </cell>
        </row>
        <row r="3">
          <cell r="B3" t="str">
            <v>Ticker</v>
          </cell>
          <cell r="C3">
            <v>2007</v>
          </cell>
          <cell r="D3">
            <v>2008</v>
          </cell>
          <cell r="E3">
            <v>2009</v>
          </cell>
          <cell r="F3">
            <v>2010</v>
          </cell>
          <cell r="G3">
            <v>2011</v>
          </cell>
          <cell r="H3">
            <v>2012</v>
          </cell>
          <cell r="I3">
            <v>2013</v>
          </cell>
          <cell r="J3" t="str">
            <v>FDS</v>
          </cell>
          <cell r="K3" t="str">
            <v>FDY</v>
          </cell>
          <cell r="L3" t="str">
            <v>TDY</v>
          </cell>
          <cell r="M3" t="str">
            <v>5DY</v>
          </cell>
          <cell r="N3" t="str">
            <v>PR</v>
          </cell>
          <cell r="O3">
            <v>2007</v>
          </cell>
          <cell r="P3" t="str">
            <v>2008YTD</v>
          </cell>
          <cell r="Q3">
            <v>2007</v>
          </cell>
          <cell r="R3">
            <v>2008</v>
          </cell>
          <cell r="S3" t="str">
            <v>%Δ</v>
          </cell>
          <cell r="T3">
            <v>2007</v>
          </cell>
          <cell r="U3">
            <v>2008</v>
          </cell>
        </row>
        <row r="4">
          <cell r="B4" t="str">
            <v>COV</v>
          </cell>
          <cell r="C4" t="e">
            <v>#VALUE!</v>
          </cell>
          <cell r="D4" t="e">
            <v>#VALUE!</v>
          </cell>
          <cell r="E4" t="e">
            <v>#VALUE!</v>
          </cell>
          <cell r="F4" t="e">
            <v>#VALUE!</v>
          </cell>
          <cell r="G4" t="e">
            <v>#VALUE!</v>
          </cell>
          <cell r="H4" t="e">
            <v>#VALUE!</v>
          </cell>
          <cell r="I4" t="e">
            <v>#VALUE!</v>
          </cell>
          <cell r="J4" t="e">
            <v>#VALUE!</v>
          </cell>
          <cell r="K4">
            <v>1.2E-2</v>
          </cell>
          <cell r="L4">
            <v>1.2E-2</v>
          </cell>
          <cell r="M4" t="str">
            <v>N/A</v>
          </cell>
          <cell r="N4">
            <v>0.21</v>
          </cell>
          <cell r="O4" t="e">
            <v>#VALUE!</v>
          </cell>
          <cell r="P4" t="e">
            <v>#VALUE!</v>
          </cell>
          <cell r="Q4" t="str">
            <v>#Calc</v>
          </cell>
          <cell r="R4" t="str">
            <v>#Calc</v>
          </cell>
          <cell r="S4" t="e">
            <v>#VALUE!</v>
          </cell>
          <cell r="T4" t="str">
            <v>#Calc</v>
          </cell>
          <cell r="U4" t="str">
            <v>#Calc</v>
          </cell>
        </row>
        <row r="5">
          <cell r="B5" t="str">
            <v>ABT</v>
          </cell>
          <cell r="C5" t="e">
            <v>#VALUE!</v>
          </cell>
          <cell r="D5" t="e">
            <v>#VALUE!</v>
          </cell>
          <cell r="E5" t="e">
            <v>#VALUE!</v>
          </cell>
          <cell r="F5" t="e">
            <v>#VALUE!</v>
          </cell>
          <cell r="G5" t="e">
            <v>#VALUE!</v>
          </cell>
          <cell r="H5" t="e">
            <v>#VALUE!</v>
          </cell>
          <cell r="I5" t="e">
            <v>#VALUE!</v>
          </cell>
          <cell r="J5" t="e">
            <v>#VALUE!</v>
          </cell>
          <cell r="K5">
            <v>2.5000000000000001E-2</v>
          </cell>
          <cell r="L5">
            <v>2.4E-2</v>
          </cell>
          <cell r="M5">
            <v>2.3E-2</v>
          </cell>
          <cell r="N5">
            <v>0.5</v>
          </cell>
          <cell r="O5" t="e">
            <v>#VALUE!</v>
          </cell>
          <cell r="P5" t="e">
            <v>#VALUE!</v>
          </cell>
          <cell r="Q5" t="str">
            <v>#Calc</v>
          </cell>
          <cell r="R5" t="str">
            <v>#Calc</v>
          </cell>
          <cell r="S5" t="e">
            <v>#VALUE!</v>
          </cell>
          <cell r="T5" t="str">
            <v>#Calc</v>
          </cell>
          <cell r="U5" t="str">
            <v>#Calc</v>
          </cell>
        </row>
        <row r="6">
          <cell r="B6" t="str">
            <v>BAX</v>
          </cell>
          <cell r="C6" t="e">
            <v>#VALUE!</v>
          </cell>
          <cell r="D6" t="e">
            <v>#VALUE!</v>
          </cell>
          <cell r="E6" t="e">
            <v>#VALUE!</v>
          </cell>
          <cell r="F6" t="e">
            <v>#VALUE!</v>
          </cell>
          <cell r="G6" t="e">
            <v>#VALUE!</v>
          </cell>
          <cell r="H6" t="e">
            <v>#VALUE!</v>
          </cell>
          <cell r="I6" t="e">
            <v>#VALUE!</v>
          </cell>
          <cell r="J6" t="e">
            <v>#VALUE!</v>
          </cell>
          <cell r="K6">
            <v>1.2999999999999999E-2</v>
          </cell>
          <cell r="L6">
            <v>1.2E-2</v>
          </cell>
          <cell r="M6">
            <v>1.6E-2</v>
          </cell>
          <cell r="N6">
            <v>0.27</v>
          </cell>
          <cell r="O6" t="e">
            <v>#VALUE!</v>
          </cell>
          <cell r="P6" t="e">
            <v>#VALUE!</v>
          </cell>
          <cell r="Q6" t="str">
            <v>#Calc</v>
          </cell>
          <cell r="R6" t="str">
            <v>#Calc</v>
          </cell>
          <cell r="S6" t="e">
            <v>#VALUE!</v>
          </cell>
          <cell r="T6" t="str">
            <v>#Calc</v>
          </cell>
          <cell r="U6" t="str">
            <v>#Calc</v>
          </cell>
        </row>
        <row r="7">
          <cell r="B7" t="str">
            <v>BDX</v>
          </cell>
          <cell r="C7" t="e">
            <v>#VALUE!</v>
          </cell>
          <cell r="D7" t="e">
            <v>#VALUE!</v>
          </cell>
          <cell r="E7" t="e">
            <v>#VALUE!</v>
          </cell>
          <cell r="F7" t="e">
            <v>#VALUE!</v>
          </cell>
          <cell r="G7" t="e">
            <v>#VALUE!</v>
          </cell>
          <cell r="H7" t="e">
            <v>#VALUE!</v>
          </cell>
          <cell r="I7" t="e">
            <v>#VALUE!</v>
          </cell>
          <cell r="J7" t="e">
            <v>#VALUE!</v>
          </cell>
          <cell r="K7">
            <v>1.2999999999999999E-2</v>
          </cell>
          <cell r="L7">
            <v>1.2999999999999999E-2</v>
          </cell>
          <cell r="M7">
            <v>1.2E-2</v>
          </cell>
          <cell r="N7">
            <v>0.25</v>
          </cell>
          <cell r="O7" t="e">
            <v>#VALUE!</v>
          </cell>
          <cell r="P7" t="e">
            <v>#VALUE!</v>
          </cell>
          <cell r="Q7" t="str">
            <v>#Calc</v>
          </cell>
          <cell r="R7" t="str">
            <v>#Calc</v>
          </cell>
          <cell r="S7" t="e">
            <v>#VALUE!</v>
          </cell>
          <cell r="T7" t="str">
            <v>#Calc</v>
          </cell>
          <cell r="U7" t="str">
            <v>#Calc</v>
          </cell>
        </row>
        <row r="8">
          <cell r="B8" t="str">
            <v>JNJ</v>
          </cell>
          <cell r="C8" t="e">
            <v>#VALUE!</v>
          </cell>
          <cell r="D8" t="e">
            <v>#VALUE!</v>
          </cell>
          <cell r="E8" t="e">
            <v>#VALUE!</v>
          </cell>
          <cell r="F8" t="e">
            <v>#VALUE!</v>
          </cell>
          <cell r="G8" t="e">
            <v>#VALUE!</v>
          </cell>
          <cell r="H8" t="e">
            <v>#VALUE!</v>
          </cell>
          <cell r="I8" t="e">
            <v>#VALUE!</v>
          </cell>
          <cell r="J8" t="e">
            <v>#VALUE!</v>
          </cell>
          <cell r="K8">
            <v>2.5999999999999999E-2</v>
          </cell>
          <cell r="L8">
            <v>2.4E-2</v>
          </cell>
          <cell r="M8">
            <v>2.1000000000000001E-2</v>
          </cell>
          <cell r="N8">
            <v>0.42</v>
          </cell>
          <cell r="O8" t="e">
            <v>#VALUE!</v>
          </cell>
          <cell r="P8" t="e">
            <v>#VALUE!</v>
          </cell>
          <cell r="Q8" t="str">
            <v>#Calc</v>
          </cell>
          <cell r="R8" t="str">
            <v>#Calc</v>
          </cell>
          <cell r="S8" t="e">
            <v>#VALUE!</v>
          </cell>
          <cell r="T8" t="str">
            <v>#Calc</v>
          </cell>
          <cell r="U8" t="str">
            <v>#Calc</v>
          </cell>
        </row>
        <row r="9">
          <cell r="B9" t="str">
            <v>MDT</v>
          </cell>
          <cell r="C9" t="e">
            <v>#VALUE!</v>
          </cell>
          <cell r="D9" t="e">
            <v>#VALUE!</v>
          </cell>
          <cell r="E9" t="e">
            <v>#VALUE!</v>
          </cell>
          <cell r="F9" t="e">
            <v>#VALUE!</v>
          </cell>
          <cell r="G9" t="e">
            <v>#VALUE!</v>
          </cell>
          <cell r="H9" t="e">
            <v>#VALUE!</v>
          </cell>
          <cell r="I9" t="e">
            <v>#VALUE!</v>
          </cell>
          <cell r="J9" t="e">
            <v>#VALUE!</v>
          </cell>
          <cell r="K9">
            <v>1.2999999999999999E-2</v>
          </cell>
          <cell r="L9">
            <v>0.01</v>
          </cell>
          <cell r="M9">
            <v>0.8</v>
          </cell>
          <cell r="N9">
            <v>0.28999999999999998</v>
          </cell>
          <cell r="O9" t="e">
            <v>#VALUE!</v>
          </cell>
          <cell r="P9" t="e">
            <v>#VALUE!</v>
          </cell>
          <cell r="Q9" t="str">
            <v>#Calc</v>
          </cell>
          <cell r="R9" t="str">
            <v>#Calc</v>
          </cell>
          <cell r="S9" t="e">
            <v>#VALUE!</v>
          </cell>
          <cell r="T9" t="str">
            <v>#Calc</v>
          </cell>
          <cell r="U9" t="str">
            <v>#Calc</v>
          </cell>
        </row>
        <row r="10">
          <cell r="B10" t="str">
            <v>Average</v>
          </cell>
          <cell r="C10" t="e">
            <v>#VALUE!</v>
          </cell>
          <cell r="D10" t="e">
            <v>#VALUE!</v>
          </cell>
          <cell r="E10" t="e">
            <v>#VALUE!</v>
          </cell>
          <cell r="F10" t="e">
            <v>#VALUE!</v>
          </cell>
          <cell r="G10" t="e">
            <v>#VALUE!</v>
          </cell>
          <cell r="H10" t="e">
            <v>#VALUE!</v>
          </cell>
          <cell r="I10" t="e">
            <v>#VALUE!</v>
          </cell>
          <cell r="J10" t="e">
            <v>#VALUE!</v>
          </cell>
          <cell r="K10">
            <v>1.6999999999999998E-2</v>
          </cell>
          <cell r="L10">
            <v>1.5833333333333331E-2</v>
          </cell>
          <cell r="M10">
            <v>0.17440000000000003</v>
          </cell>
          <cell r="N10">
            <v>0.32333333333333331</v>
          </cell>
        </row>
        <row r="13">
          <cell r="V13" t="str">
            <v>Company</v>
          </cell>
          <cell r="W13" t="str">
            <v>Ticker</v>
          </cell>
          <cell r="X13" t="str">
            <v>Dividend Yield</v>
          </cell>
          <cell r="Y13" t="str">
            <v>Payout Ratio</v>
          </cell>
        </row>
        <row r="14">
          <cell r="V14" t="str">
            <v>Covidien</v>
          </cell>
          <cell r="W14" t="str">
            <v>COV</v>
          </cell>
          <cell r="X14">
            <v>1.2E-2</v>
          </cell>
          <cell r="Y14">
            <v>0.21</v>
          </cell>
        </row>
        <row r="15">
          <cell r="V15" t="str">
            <v>Abbott</v>
          </cell>
          <cell r="W15" t="str">
            <v>ABT</v>
          </cell>
          <cell r="X15">
            <v>2.5000000000000001E-2</v>
          </cell>
          <cell r="Y15">
            <v>0.5</v>
          </cell>
        </row>
        <row r="16">
          <cell r="V16" t="str">
            <v>Baxter</v>
          </cell>
          <cell r="W16" t="str">
            <v>BAX</v>
          </cell>
          <cell r="X16">
            <v>1.2999999999999999E-2</v>
          </cell>
          <cell r="Y16">
            <v>0.27</v>
          </cell>
        </row>
        <row r="17">
          <cell r="V17" t="str">
            <v>Becton Dickinson</v>
          </cell>
          <cell r="W17" t="str">
            <v>BDX</v>
          </cell>
          <cell r="X17">
            <v>1.2999999999999999E-2</v>
          </cell>
          <cell r="Y17">
            <v>0.25</v>
          </cell>
        </row>
        <row r="18">
          <cell r="V18" t="str">
            <v>Johnson &amp; Johnson</v>
          </cell>
          <cell r="W18" t="str">
            <v>JNJ</v>
          </cell>
          <cell r="X18">
            <v>2.5999999999999999E-2</v>
          </cell>
          <cell r="Y18">
            <v>0.42</v>
          </cell>
        </row>
        <row r="19">
          <cell r="V19" t="str">
            <v>Medtronic</v>
          </cell>
          <cell r="W19" t="str">
            <v>MDT</v>
          </cell>
          <cell r="X19">
            <v>1.2999999999999999E-2</v>
          </cell>
          <cell r="Y19">
            <v>0.28999999999999998</v>
          </cell>
        </row>
        <row r="20">
          <cell r="V20" t="str">
            <v>Average (ex-COV)</v>
          </cell>
          <cell r="X20">
            <v>1.7999999999999999E-2</v>
          </cell>
          <cell r="Y20">
            <v>0.34599999999999997</v>
          </cell>
        </row>
        <row r="23">
          <cell r="AA23" t="str">
            <v>(share count in millions)</v>
          </cell>
        </row>
        <row r="24">
          <cell r="AB24" t="str">
            <v>Share buybacks</v>
          </cell>
          <cell r="AD24" t="str">
            <v>%Δ OS Shares</v>
          </cell>
        </row>
        <row r="25">
          <cell r="AA25" t="str">
            <v>Ticker</v>
          </cell>
          <cell r="AB25">
            <v>2007</v>
          </cell>
          <cell r="AC25" t="str">
            <v>2008YTD</v>
          </cell>
        </row>
        <row r="26">
          <cell r="AA26" t="str">
            <v>COV</v>
          </cell>
          <cell r="AB26" t="e">
            <v>#VALUE!</v>
          </cell>
          <cell r="AC26" t="e">
            <v>#VALUE!</v>
          </cell>
          <cell r="AD26" t="e">
            <v>#VALUE!</v>
          </cell>
        </row>
        <row r="27">
          <cell r="AA27" t="str">
            <v>ABT</v>
          </cell>
          <cell r="AB27" t="e">
            <v>#VALUE!</v>
          </cell>
          <cell r="AC27" t="e">
            <v>#VALUE!</v>
          </cell>
          <cell r="AD27" t="e">
            <v>#VALUE!</v>
          </cell>
        </row>
        <row r="28">
          <cell r="AA28" t="str">
            <v>BAX</v>
          </cell>
          <cell r="AB28" t="e">
            <v>#VALUE!</v>
          </cell>
          <cell r="AC28" t="e">
            <v>#VALUE!</v>
          </cell>
          <cell r="AD28" t="e">
            <v>#VALUE!</v>
          </cell>
        </row>
        <row r="29">
          <cell r="AA29" t="str">
            <v>BDX</v>
          </cell>
          <cell r="AB29" t="e">
            <v>#VALUE!</v>
          </cell>
          <cell r="AC29" t="e">
            <v>#VALUE!</v>
          </cell>
          <cell r="AD29" t="e">
            <v>#VALUE!</v>
          </cell>
        </row>
        <row r="30">
          <cell r="AA30" t="str">
            <v>JNJ</v>
          </cell>
          <cell r="AB30" t="e">
            <v>#VALUE!</v>
          </cell>
          <cell r="AC30" t="e">
            <v>#VALUE!</v>
          </cell>
          <cell r="AD30" t="e">
            <v>#VALUE!</v>
          </cell>
        </row>
        <row r="31">
          <cell r="AA31" t="str">
            <v>MDT</v>
          </cell>
          <cell r="AB31" t="e">
            <v>#VALUE!</v>
          </cell>
          <cell r="AC31" t="e">
            <v>#VALUE!</v>
          </cell>
          <cell r="AD31" t="e">
            <v>#VALUE!</v>
          </cell>
        </row>
        <row r="35">
          <cell r="AF35" t="str">
            <v>($ and shares in millions)</v>
          </cell>
        </row>
        <row r="36">
          <cell r="AG36" t="str">
            <v>F2007</v>
          </cell>
          <cell r="AH36" t="str">
            <v>F2008e</v>
          </cell>
          <cell r="AI36" t="str">
            <v>F2009e</v>
          </cell>
          <cell r="AJ36" t="str">
            <v>F2010e</v>
          </cell>
          <cell r="AK36" t="str">
            <v>F2011e</v>
          </cell>
        </row>
        <row r="37">
          <cell r="AF37" t="str">
            <v>CF from operating</v>
          </cell>
          <cell r="AG37">
            <v>-113</v>
          </cell>
          <cell r="AH37">
            <v>-5</v>
          </cell>
          <cell r="AI37">
            <v>0</v>
          </cell>
          <cell r="AJ37">
            <v>0</v>
          </cell>
          <cell r="AK37">
            <v>0</v>
          </cell>
        </row>
        <row r="38">
          <cell r="AF38" t="str">
            <v>CF from investing</v>
          </cell>
          <cell r="AG38">
            <v>-9</v>
          </cell>
          <cell r="AH38">
            <v>-11</v>
          </cell>
          <cell r="AI38">
            <v>0</v>
          </cell>
          <cell r="AJ38">
            <v>20</v>
          </cell>
          <cell r="AK38">
            <v>-2</v>
          </cell>
        </row>
        <row r="39">
          <cell r="AF39" t="str">
            <v>CF from financing</v>
          </cell>
          <cell r="AG39">
            <v>0</v>
          </cell>
          <cell r="AH39">
            <v>0</v>
          </cell>
          <cell r="AI39">
            <v>0</v>
          </cell>
          <cell r="AJ39">
            <v>0</v>
          </cell>
          <cell r="AK39">
            <v>100</v>
          </cell>
        </row>
        <row r="40">
          <cell r="AF40" t="str">
            <v>CF from FX</v>
          </cell>
          <cell r="AG40">
            <v>-726</v>
          </cell>
          <cell r="AH40">
            <v>-27</v>
          </cell>
          <cell r="AI40">
            <v>-19</v>
          </cell>
          <cell r="AJ40">
            <v>-20</v>
          </cell>
          <cell r="AK40">
            <v>1</v>
          </cell>
        </row>
        <row r="42">
          <cell r="AF42" t="str">
            <v>Net increase in cash</v>
          </cell>
          <cell r="AG42">
            <v>0</v>
          </cell>
          <cell r="AH42">
            <v>0</v>
          </cell>
          <cell r="AI42">
            <v>0</v>
          </cell>
          <cell r="AJ42">
            <v>0</v>
          </cell>
          <cell r="AK42">
            <v>0</v>
          </cell>
        </row>
        <row r="43">
          <cell r="AF43" t="str">
            <v>Beginning cash</v>
          </cell>
          <cell r="AG43">
            <v>110</v>
          </cell>
          <cell r="AH43">
            <v>253</v>
          </cell>
          <cell r="AI43">
            <v>18</v>
          </cell>
          <cell r="AJ43">
            <v>-41</v>
          </cell>
          <cell r="AK43">
            <v>242</v>
          </cell>
        </row>
        <row r="44">
          <cell r="AF44" t="str">
            <v>Ending cash</v>
          </cell>
          <cell r="AG44">
            <v>-9</v>
          </cell>
          <cell r="AH44">
            <v>0</v>
          </cell>
          <cell r="AI44">
            <v>0</v>
          </cell>
          <cell r="AJ44">
            <v>0</v>
          </cell>
          <cell r="AK44">
            <v>0</v>
          </cell>
        </row>
        <row r="46">
          <cell r="AF46" t="str">
            <v>Share count</v>
          </cell>
          <cell r="AG46">
            <v>0</v>
          </cell>
          <cell r="AH46">
            <v>0</v>
          </cell>
          <cell r="AI46">
            <v>0</v>
          </cell>
          <cell r="AJ46">
            <v>0</v>
          </cell>
          <cell r="AK46">
            <v>0</v>
          </cell>
        </row>
        <row r="47">
          <cell r="AF47" t="str">
            <v>Net debt</v>
          </cell>
          <cell r="AG47">
            <v>0</v>
          </cell>
          <cell r="AH47">
            <v>0</v>
          </cell>
          <cell r="AI47">
            <v>0</v>
          </cell>
          <cell r="AJ47">
            <v>0</v>
          </cell>
          <cell r="AK47">
            <v>0</v>
          </cell>
        </row>
      </sheetData>
      <sheetData sheetId="1"/>
      <sheetData sheetId="2" refreshError="1">
        <row r="1">
          <cell r="A1" t="str">
            <v>Covidien Valuation Metrics</v>
          </cell>
        </row>
        <row r="2">
          <cell r="A2" t="str">
            <v>COV</v>
          </cell>
        </row>
        <row r="3">
          <cell r="C3" t="str">
            <v>Calendar EPS</v>
          </cell>
          <cell r="F3" t="str">
            <v>Current</v>
          </cell>
          <cell r="G3" t="str">
            <v>Out Year</v>
          </cell>
          <cell r="H3" t="str">
            <v>EPS</v>
          </cell>
          <cell r="I3" t="str">
            <v>LTM</v>
          </cell>
          <cell r="K3" t="str">
            <v>Sales</v>
          </cell>
          <cell r="L3" t="str">
            <v>Price to</v>
          </cell>
          <cell r="O3" t="str">
            <v>Enterprise</v>
          </cell>
          <cell r="P3" t="str">
            <v>EV to</v>
          </cell>
          <cell r="Q3" t="str">
            <v>LTM</v>
          </cell>
          <cell r="R3" t="str">
            <v>EV to</v>
          </cell>
          <cell r="V3" t="str">
            <v>Book Value</v>
          </cell>
          <cell r="W3" t="str">
            <v>TB</v>
          </cell>
          <cell r="X3" t="str">
            <v>Price to</v>
          </cell>
          <cell r="Y3" t="str">
            <v>Price to</v>
          </cell>
          <cell r="Z3" t="str">
            <v>Stock</v>
          </cell>
        </row>
        <row r="4">
          <cell r="A4" t="str">
            <v>Date</v>
          </cell>
          <cell r="B4" t="str">
            <v>Close</v>
          </cell>
          <cell r="C4" t="str">
            <v>CY</v>
          </cell>
          <cell r="D4" t="str">
            <v>Year out</v>
          </cell>
          <cell r="F4" t="str">
            <v>Year P/E</v>
          </cell>
          <cell r="G4" t="str">
            <v>P/E</v>
          </cell>
          <cell r="H4" t="str">
            <v>Growth Rate</v>
          </cell>
          <cell r="I4" t="str">
            <v>Sales</v>
          </cell>
          <cell r="J4" t="str">
            <v>S/O</v>
          </cell>
          <cell r="K4" t="str">
            <v>Per Share</v>
          </cell>
          <cell r="L4" t="str">
            <v>Sales</v>
          </cell>
          <cell r="M4" t="str">
            <v>Cash</v>
          </cell>
          <cell r="N4" t="str">
            <v>Debt</v>
          </cell>
          <cell r="O4" t="str">
            <v>Value</v>
          </cell>
          <cell r="P4" t="str">
            <v>Sales</v>
          </cell>
          <cell r="Q4" t="str">
            <v>EBITDA</v>
          </cell>
          <cell r="R4" t="str">
            <v>EBITDA</v>
          </cell>
          <cell r="S4" t="str">
            <v>Equity</v>
          </cell>
          <cell r="T4" t="str">
            <v>Goodwill</v>
          </cell>
          <cell r="U4" t="str">
            <v>TB</v>
          </cell>
          <cell r="V4" t="str">
            <v>Per Share</v>
          </cell>
          <cell r="W4" t="str">
            <v>Per Share</v>
          </cell>
          <cell r="X4" t="str">
            <v>Book</v>
          </cell>
          <cell r="Y4" t="str">
            <v>Tan Book</v>
          </cell>
          <cell r="Z4" t="str">
            <v>Return</v>
          </cell>
        </row>
        <row r="6">
          <cell r="A6">
            <v>40118</v>
          </cell>
          <cell r="B6" t="str">
            <v>#Calc</v>
          </cell>
          <cell r="C6" t="str">
            <v>#Calc</v>
          </cell>
          <cell r="D6" t="str">
            <v>#Calc</v>
          </cell>
          <cell r="E6" t="e">
            <v>#VALUE!</v>
          </cell>
          <cell r="F6" t="e">
            <v>#VALUE!</v>
          </cell>
          <cell r="G6" t="e">
            <v>#VALUE!</v>
          </cell>
          <cell r="H6" t="e">
            <v>#VALUE!</v>
          </cell>
          <cell r="I6" t="str">
            <v>#Calc</v>
          </cell>
          <cell r="J6" t="str">
            <v>#Calc</v>
          </cell>
          <cell r="K6" t="e">
            <v>#VALUE!</v>
          </cell>
          <cell r="L6" t="e">
            <v>#VALUE!</v>
          </cell>
          <cell r="M6" t="str">
            <v>#Calc</v>
          </cell>
          <cell r="N6" t="str">
            <v>#Calc</v>
          </cell>
          <cell r="O6" t="e">
            <v>#VALUE!</v>
          </cell>
          <cell r="P6" t="e">
            <v>#VALUE!</v>
          </cell>
          <cell r="Q6" t="str">
            <v>#Calc</v>
          </cell>
          <cell r="R6" t="e">
            <v>#VALUE!</v>
          </cell>
          <cell r="S6" t="str">
            <v>#Calc</v>
          </cell>
          <cell r="T6" t="e">
            <v>#VALUE!</v>
          </cell>
          <cell r="U6" t="e">
            <v>#VALUE!</v>
          </cell>
          <cell r="V6" t="e">
            <v>#VALUE!</v>
          </cell>
          <cell r="W6" t="e">
            <v>#VALUE!</v>
          </cell>
          <cell r="X6" t="e">
            <v>#VALUE!</v>
          </cell>
          <cell r="Y6" t="e">
            <v>#VALUE!</v>
          </cell>
          <cell r="Z6" t="e">
            <v>#VALUE!</v>
          </cell>
        </row>
        <row r="7">
          <cell r="A7">
            <v>39807</v>
          </cell>
          <cell r="B7" t="str">
            <v>#Calc</v>
          </cell>
          <cell r="C7" t="str">
            <v>#Calc</v>
          </cell>
          <cell r="D7" t="str">
            <v>#Calc</v>
          </cell>
          <cell r="E7" t="e">
            <v>#VALUE!</v>
          </cell>
          <cell r="F7" t="e">
            <v>#VALUE!</v>
          </cell>
          <cell r="G7" t="e">
            <v>#VALUE!</v>
          </cell>
          <cell r="H7" t="e">
            <v>#VALUE!</v>
          </cell>
          <cell r="I7" t="str">
            <v>#Calc</v>
          </cell>
          <cell r="J7" t="str">
            <v>#Calc</v>
          </cell>
          <cell r="K7" t="e">
            <v>#VALUE!</v>
          </cell>
          <cell r="L7" t="e">
            <v>#VALUE!</v>
          </cell>
          <cell r="M7" t="str">
            <v>#Calc</v>
          </cell>
          <cell r="N7" t="str">
            <v>#Calc</v>
          </cell>
          <cell r="O7" t="e">
            <v>#VALUE!</v>
          </cell>
          <cell r="P7" t="e">
            <v>#VALUE!</v>
          </cell>
          <cell r="Q7" t="str">
            <v>#Calc</v>
          </cell>
          <cell r="R7" t="e">
            <v>#VALUE!</v>
          </cell>
          <cell r="S7" t="str">
            <v>#Calc</v>
          </cell>
          <cell r="T7" t="e">
            <v>#VALUE!</v>
          </cell>
          <cell r="U7" t="e">
            <v>#VALUE!</v>
          </cell>
          <cell r="V7" t="e">
            <v>#VALUE!</v>
          </cell>
          <cell r="W7" t="e">
            <v>#VALUE!</v>
          </cell>
          <cell r="X7" t="e">
            <v>#VALUE!</v>
          </cell>
          <cell r="Y7" t="e">
            <v>#VALUE!</v>
          </cell>
          <cell r="Z7" t="e">
            <v>#VALUE!</v>
          </cell>
        </row>
        <row r="8">
          <cell r="A8">
            <v>39777</v>
          </cell>
          <cell r="B8" t="str">
            <v>#Calc</v>
          </cell>
          <cell r="C8" t="str">
            <v>#Calc</v>
          </cell>
          <cell r="D8" t="str">
            <v>#Calc</v>
          </cell>
          <cell r="E8" t="e">
            <v>#VALUE!</v>
          </cell>
          <cell r="F8" t="e">
            <v>#VALUE!</v>
          </cell>
          <cell r="G8" t="e">
            <v>#VALUE!</v>
          </cell>
          <cell r="H8" t="e">
            <v>#VALUE!</v>
          </cell>
          <cell r="I8" t="str">
            <v>#Calc</v>
          </cell>
          <cell r="J8" t="str">
            <v>#Calc</v>
          </cell>
          <cell r="K8" t="e">
            <v>#VALUE!</v>
          </cell>
          <cell r="L8" t="e">
            <v>#VALUE!</v>
          </cell>
          <cell r="M8" t="str">
            <v>#Calc</v>
          </cell>
          <cell r="N8" t="str">
            <v>#Calc</v>
          </cell>
          <cell r="O8" t="e">
            <v>#VALUE!</v>
          </cell>
          <cell r="P8" t="e">
            <v>#VALUE!</v>
          </cell>
          <cell r="Q8" t="str">
            <v>#Calc</v>
          </cell>
          <cell r="R8" t="e">
            <v>#VALUE!</v>
          </cell>
          <cell r="S8" t="str">
            <v>#Calc</v>
          </cell>
          <cell r="T8" t="e">
            <v>#VALUE!</v>
          </cell>
          <cell r="U8" t="e">
            <v>#VALUE!</v>
          </cell>
          <cell r="V8" t="e">
            <v>#VALUE!</v>
          </cell>
          <cell r="W8" t="e">
            <v>#VALUE!</v>
          </cell>
          <cell r="X8" t="e">
            <v>#VALUE!</v>
          </cell>
          <cell r="Y8" t="e">
            <v>#VALUE!</v>
          </cell>
          <cell r="Z8" t="e">
            <v>#VALUE!</v>
          </cell>
        </row>
        <row r="9">
          <cell r="A9">
            <v>39747</v>
          </cell>
          <cell r="B9" t="str">
            <v>#Calc</v>
          </cell>
          <cell r="C9" t="str">
            <v>#Calc</v>
          </cell>
          <cell r="D9" t="str">
            <v>#Calc</v>
          </cell>
          <cell r="E9" t="e">
            <v>#VALUE!</v>
          </cell>
          <cell r="F9" t="e">
            <v>#VALUE!</v>
          </cell>
          <cell r="G9" t="e">
            <v>#VALUE!</v>
          </cell>
          <cell r="H9" t="e">
            <v>#VALUE!</v>
          </cell>
          <cell r="I9" t="str">
            <v>#Calc</v>
          </cell>
          <cell r="J9" t="str">
            <v>#Calc</v>
          </cell>
          <cell r="K9" t="e">
            <v>#VALUE!</v>
          </cell>
          <cell r="L9" t="e">
            <v>#VALUE!</v>
          </cell>
          <cell r="M9" t="str">
            <v>#Calc</v>
          </cell>
          <cell r="N9" t="str">
            <v>#Calc</v>
          </cell>
          <cell r="O9" t="e">
            <v>#VALUE!</v>
          </cell>
          <cell r="P9" t="e">
            <v>#VALUE!</v>
          </cell>
          <cell r="Q9" t="str">
            <v>#Calc</v>
          </cell>
          <cell r="R9" t="e">
            <v>#VALUE!</v>
          </cell>
          <cell r="S9" t="str">
            <v>#Calc</v>
          </cell>
          <cell r="T9" t="e">
            <v>#VALUE!</v>
          </cell>
          <cell r="U9" t="e">
            <v>#VALUE!</v>
          </cell>
          <cell r="V9" t="e">
            <v>#VALUE!</v>
          </cell>
          <cell r="W9" t="e">
            <v>#VALUE!</v>
          </cell>
          <cell r="X9" t="e">
            <v>#VALUE!</v>
          </cell>
          <cell r="Y9" t="e">
            <v>#VALUE!</v>
          </cell>
          <cell r="Z9" t="e">
            <v>#VALUE!</v>
          </cell>
        </row>
        <row r="10">
          <cell r="A10">
            <v>39717</v>
          </cell>
          <cell r="B10" t="str">
            <v>#Calc</v>
          </cell>
          <cell r="C10" t="str">
            <v>#Calc</v>
          </cell>
          <cell r="D10" t="str">
            <v>#Calc</v>
          </cell>
          <cell r="E10" t="e">
            <v>#VALUE!</v>
          </cell>
          <cell r="F10" t="e">
            <v>#VALUE!</v>
          </cell>
          <cell r="G10" t="e">
            <v>#VALUE!</v>
          </cell>
          <cell r="H10" t="e">
            <v>#VALUE!</v>
          </cell>
          <cell r="I10" t="str">
            <v>#Calc</v>
          </cell>
          <cell r="J10" t="str">
            <v>#Calc</v>
          </cell>
          <cell r="K10" t="e">
            <v>#VALUE!</v>
          </cell>
          <cell r="L10" t="e">
            <v>#VALUE!</v>
          </cell>
          <cell r="M10" t="str">
            <v>#Calc</v>
          </cell>
          <cell r="N10" t="str">
            <v>#Calc</v>
          </cell>
          <cell r="O10" t="e">
            <v>#VALUE!</v>
          </cell>
          <cell r="P10" t="e">
            <v>#VALUE!</v>
          </cell>
          <cell r="Q10" t="str">
            <v>#Calc</v>
          </cell>
          <cell r="R10" t="e">
            <v>#VALUE!</v>
          </cell>
          <cell r="S10" t="str">
            <v>#Calc</v>
          </cell>
          <cell r="T10" t="e">
            <v>#VALUE!</v>
          </cell>
          <cell r="U10" t="e">
            <v>#VALUE!</v>
          </cell>
          <cell r="V10" t="e">
            <v>#VALUE!</v>
          </cell>
          <cell r="W10" t="e">
            <v>#VALUE!</v>
          </cell>
          <cell r="X10" t="e">
            <v>#VALUE!</v>
          </cell>
          <cell r="Y10" t="e">
            <v>#VALUE!</v>
          </cell>
          <cell r="Z10" t="e">
            <v>#VALUE!</v>
          </cell>
        </row>
        <row r="11">
          <cell r="A11">
            <v>39687</v>
          </cell>
          <cell r="B11" t="str">
            <v>#Calc</v>
          </cell>
          <cell r="C11" t="str">
            <v>#Calc</v>
          </cell>
          <cell r="D11" t="str">
            <v>#Calc</v>
          </cell>
          <cell r="E11" t="e">
            <v>#VALUE!</v>
          </cell>
          <cell r="F11" t="e">
            <v>#VALUE!</v>
          </cell>
          <cell r="G11" t="e">
            <v>#VALUE!</v>
          </cell>
          <cell r="H11" t="e">
            <v>#VALUE!</v>
          </cell>
          <cell r="I11" t="str">
            <v>#Calc</v>
          </cell>
          <cell r="J11" t="str">
            <v>#Calc</v>
          </cell>
          <cell r="K11" t="e">
            <v>#VALUE!</v>
          </cell>
          <cell r="L11" t="e">
            <v>#VALUE!</v>
          </cell>
          <cell r="M11" t="str">
            <v>#Calc</v>
          </cell>
          <cell r="N11" t="str">
            <v>#Calc</v>
          </cell>
          <cell r="O11" t="e">
            <v>#VALUE!</v>
          </cell>
          <cell r="P11" t="e">
            <v>#VALUE!</v>
          </cell>
          <cell r="Q11" t="str">
            <v>#Calc</v>
          </cell>
          <cell r="R11" t="e">
            <v>#VALUE!</v>
          </cell>
          <cell r="S11" t="str">
            <v>#Calc</v>
          </cell>
          <cell r="T11" t="e">
            <v>#VALUE!</v>
          </cell>
          <cell r="U11" t="e">
            <v>#VALUE!</v>
          </cell>
          <cell r="V11" t="e">
            <v>#VALUE!</v>
          </cell>
          <cell r="W11" t="e">
            <v>#VALUE!</v>
          </cell>
          <cell r="X11" t="e">
            <v>#VALUE!</v>
          </cell>
          <cell r="Y11" t="e">
            <v>#VALUE!</v>
          </cell>
          <cell r="Z11" t="e">
            <v>#VALUE!</v>
          </cell>
        </row>
        <row r="12">
          <cell r="A12">
            <v>39657</v>
          </cell>
          <cell r="B12" t="str">
            <v>#Calc</v>
          </cell>
          <cell r="C12" t="str">
            <v>#Calc</v>
          </cell>
          <cell r="D12" t="str">
            <v>#Calc</v>
          </cell>
          <cell r="E12" t="e">
            <v>#VALUE!</v>
          </cell>
          <cell r="F12" t="e">
            <v>#VALUE!</v>
          </cell>
          <cell r="G12" t="e">
            <v>#VALUE!</v>
          </cell>
          <cell r="H12" t="e">
            <v>#VALUE!</v>
          </cell>
          <cell r="I12" t="str">
            <v>#Calc</v>
          </cell>
          <cell r="J12" t="str">
            <v>#Calc</v>
          </cell>
          <cell r="K12" t="e">
            <v>#VALUE!</v>
          </cell>
          <cell r="L12" t="e">
            <v>#VALUE!</v>
          </cell>
          <cell r="M12" t="str">
            <v>#Calc</v>
          </cell>
          <cell r="N12" t="str">
            <v>#Calc</v>
          </cell>
          <cell r="O12" t="e">
            <v>#VALUE!</v>
          </cell>
          <cell r="P12" t="e">
            <v>#VALUE!</v>
          </cell>
          <cell r="Q12" t="str">
            <v>#Calc</v>
          </cell>
          <cell r="R12" t="e">
            <v>#VALUE!</v>
          </cell>
          <cell r="S12" t="str">
            <v>#Calc</v>
          </cell>
          <cell r="T12" t="e">
            <v>#VALUE!</v>
          </cell>
          <cell r="U12" t="e">
            <v>#VALUE!</v>
          </cell>
          <cell r="V12" t="e">
            <v>#VALUE!</v>
          </cell>
          <cell r="W12" t="e">
            <v>#VALUE!</v>
          </cell>
          <cell r="X12" t="e">
            <v>#VALUE!</v>
          </cell>
          <cell r="Y12" t="e">
            <v>#VALUE!</v>
          </cell>
          <cell r="Z12" t="e">
            <v>#VALUE!</v>
          </cell>
        </row>
        <row r="13">
          <cell r="A13">
            <v>39627</v>
          </cell>
          <cell r="B13" t="str">
            <v>#Calc</v>
          </cell>
          <cell r="C13" t="str">
            <v>#Calc</v>
          </cell>
          <cell r="D13" t="str">
            <v>#Calc</v>
          </cell>
          <cell r="E13" t="e">
            <v>#VALUE!</v>
          </cell>
          <cell r="F13" t="e">
            <v>#VALUE!</v>
          </cell>
          <cell r="G13" t="e">
            <v>#VALUE!</v>
          </cell>
          <cell r="H13" t="e">
            <v>#VALUE!</v>
          </cell>
          <cell r="I13" t="str">
            <v>#Calc</v>
          </cell>
          <cell r="J13" t="str">
            <v>#Calc</v>
          </cell>
          <cell r="K13" t="e">
            <v>#VALUE!</v>
          </cell>
          <cell r="L13" t="e">
            <v>#VALUE!</v>
          </cell>
          <cell r="M13" t="str">
            <v>#Calc</v>
          </cell>
          <cell r="N13" t="str">
            <v>#Calc</v>
          </cell>
          <cell r="O13" t="e">
            <v>#VALUE!</v>
          </cell>
          <cell r="P13" t="e">
            <v>#VALUE!</v>
          </cell>
          <cell r="Q13" t="str">
            <v>#Calc</v>
          </cell>
          <cell r="R13" t="e">
            <v>#VALUE!</v>
          </cell>
          <cell r="S13" t="str">
            <v>#Calc</v>
          </cell>
          <cell r="T13" t="e">
            <v>#VALUE!</v>
          </cell>
          <cell r="U13" t="e">
            <v>#VALUE!</v>
          </cell>
          <cell r="V13" t="e">
            <v>#VALUE!</v>
          </cell>
          <cell r="W13" t="e">
            <v>#VALUE!</v>
          </cell>
          <cell r="X13" t="e">
            <v>#VALUE!</v>
          </cell>
          <cell r="Y13" t="e">
            <v>#VALUE!</v>
          </cell>
          <cell r="Z13" t="e">
            <v>#VALUE!</v>
          </cell>
        </row>
        <row r="14">
          <cell r="A14">
            <v>39597</v>
          </cell>
          <cell r="B14" t="str">
            <v>#Calc</v>
          </cell>
          <cell r="C14" t="str">
            <v>#Calc</v>
          </cell>
          <cell r="D14" t="str">
            <v>#Calc</v>
          </cell>
          <cell r="E14" t="e">
            <v>#VALUE!</v>
          </cell>
          <cell r="F14" t="e">
            <v>#VALUE!</v>
          </cell>
          <cell r="G14" t="e">
            <v>#VALUE!</v>
          </cell>
          <cell r="H14" t="e">
            <v>#VALUE!</v>
          </cell>
          <cell r="I14" t="str">
            <v>#Calc</v>
          </cell>
          <cell r="J14" t="str">
            <v>#Calc</v>
          </cell>
          <cell r="K14" t="e">
            <v>#VALUE!</v>
          </cell>
          <cell r="L14" t="e">
            <v>#VALUE!</v>
          </cell>
          <cell r="M14" t="str">
            <v>#Calc</v>
          </cell>
          <cell r="N14" t="str">
            <v>#Calc</v>
          </cell>
          <cell r="O14" t="e">
            <v>#VALUE!</v>
          </cell>
          <cell r="P14" t="e">
            <v>#VALUE!</v>
          </cell>
          <cell r="Q14" t="str">
            <v>#Calc</v>
          </cell>
          <cell r="R14" t="e">
            <v>#VALUE!</v>
          </cell>
          <cell r="S14" t="str">
            <v>#Calc</v>
          </cell>
          <cell r="T14" t="e">
            <v>#VALUE!</v>
          </cell>
          <cell r="U14" t="e">
            <v>#VALUE!</v>
          </cell>
          <cell r="V14" t="e">
            <v>#VALUE!</v>
          </cell>
          <cell r="W14" t="e">
            <v>#VALUE!</v>
          </cell>
          <cell r="X14" t="e">
            <v>#VALUE!</v>
          </cell>
          <cell r="Y14" t="e">
            <v>#VALUE!</v>
          </cell>
          <cell r="Z14" t="e">
            <v>#VALUE!</v>
          </cell>
        </row>
        <row r="15">
          <cell r="A15">
            <v>39567</v>
          </cell>
          <cell r="B15" t="str">
            <v>#Calc</v>
          </cell>
          <cell r="C15" t="str">
            <v>#Calc</v>
          </cell>
          <cell r="D15" t="str">
            <v>#Calc</v>
          </cell>
          <cell r="E15" t="e">
            <v>#VALUE!</v>
          </cell>
          <cell r="F15" t="e">
            <v>#VALUE!</v>
          </cell>
          <cell r="G15" t="e">
            <v>#VALUE!</v>
          </cell>
          <cell r="H15" t="e">
            <v>#VALUE!</v>
          </cell>
          <cell r="I15" t="str">
            <v>#Calc</v>
          </cell>
          <cell r="J15" t="str">
            <v>#Calc</v>
          </cell>
          <cell r="K15" t="e">
            <v>#VALUE!</v>
          </cell>
          <cell r="L15" t="e">
            <v>#VALUE!</v>
          </cell>
          <cell r="M15" t="str">
            <v>#Calc</v>
          </cell>
          <cell r="N15" t="str">
            <v>#Calc</v>
          </cell>
          <cell r="O15" t="e">
            <v>#VALUE!</v>
          </cell>
          <cell r="P15" t="e">
            <v>#VALUE!</v>
          </cell>
          <cell r="Q15" t="str">
            <v>#Calc</v>
          </cell>
          <cell r="R15" t="e">
            <v>#VALUE!</v>
          </cell>
          <cell r="S15" t="str">
            <v>#Calc</v>
          </cell>
          <cell r="T15" t="e">
            <v>#VALUE!</v>
          </cell>
          <cell r="U15" t="e">
            <v>#VALUE!</v>
          </cell>
          <cell r="V15" t="e">
            <v>#VALUE!</v>
          </cell>
          <cell r="W15" t="e">
            <v>#VALUE!</v>
          </cell>
          <cell r="X15" t="e">
            <v>#VALUE!</v>
          </cell>
          <cell r="Y15" t="e">
            <v>#VALUE!</v>
          </cell>
          <cell r="Z15" t="e">
            <v>#VALUE!</v>
          </cell>
        </row>
        <row r="16">
          <cell r="A16">
            <v>39537</v>
          </cell>
          <cell r="B16" t="str">
            <v>#Calc</v>
          </cell>
          <cell r="C16" t="str">
            <v>#Calc</v>
          </cell>
          <cell r="D16" t="str">
            <v>#Calc</v>
          </cell>
          <cell r="E16" t="e">
            <v>#VALUE!</v>
          </cell>
          <cell r="F16" t="e">
            <v>#VALUE!</v>
          </cell>
          <cell r="G16" t="e">
            <v>#VALUE!</v>
          </cell>
          <cell r="H16" t="e">
            <v>#VALUE!</v>
          </cell>
          <cell r="I16" t="str">
            <v>#Calc</v>
          </cell>
          <cell r="J16" t="str">
            <v>#Calc</v>
          </cell>
          <cell r="K16" t="e">
            <v>#VALUE!</v>
          </cell>
          <cell r="L16" t="e">
            <v>#VALUE!</v>
          </cell>
          <cell r="M16" t="str">
            <v>#Calc</v>
          </cell>
          <cell r="N16" t="str">
            <v>#Calc</v>
          </cell>
          <cell r="O16" t="e">
            <v>#VALUE!</v>
          </cell>
          <cell r="P16" t="e">
            <v>#VALUE!</v>
          </cell>
          <cell r="Q16" t="str">
            <v>#Calc</v>
          </cell>
          <cell r="R16" t="e">
            <v>#VALUE!</v>
          </cell>
          <cell r="S16" t="str">
            <v>#Calc</v>
          </cell>
          <cell r="T16" t="e">
            <v>#VALUE!</v>
          </cell>
          <cell r="U16" t="e">
            <v>#VALUE!</v>
          </cell>
          <cell r="V16" t="e">
            <v>#VALUE!</v>
          </cell>
          <cell r="W16" t="e">
            <v>#VALUE!</v>
          </cell>
          <cell r="X16" t="e">
            <v>#VALUE!</v>
          </cell>
          <cell r="Y16" t="e">
            <v>#VALUE!</v>
          </cell>
          <cell r="Z16" t="e">
            <v>#VALUE!</v>
          </cell>
        </row>
        <row r="17">
          <cell r="A17">
            <v>39506</v>
          </cell>
          <cell r="B17" t="str">
            <v>#Calc</v>
          </cell>
          <cell r="C17" t="str">
            <v>#Calc</v>
          </cell>
          <cell r="D17" t="str">
            <v>#Calc</v>
          </cell>
          <cell r="E17" t="e">
            <v>#VALUE!</v>
          </cell>
          <cell r="F17" t="e">
            <v>#VALUE!</v>
          </cell>
          <cell r="G17" t="e">
            <v>#VALUE!</v>
          </cell>
          <cell r="H17" t="e">
            <v>#VALUE!</v>
          </cell>
          <cell r="I17" t="str">
            <v>#Calc</v>
          </cell>
          <cell r="J17" t="str">
            <v>#Calc</v>
          </cell>
          <cell r="K17" t="e">
            <v>#VALUE!</v>
          </cell>
          <cell r="L17" t="e">
            <v>#VALUE!</v>
          </cell>
          <cell r="M17" t="str">
            <v>#Calc</v>
          </cell>
          <cell r="N17" t="str">
            <v>#Calc</v>
          </cell>
          <cell r="O17" t="e">
            <v>#VALUE!</v>
          </cell>
          <cell r="P17" t="e">
            <v>#VALUE!</v>
          </cell>
          <cell r="Q17" t="str">
            <v>#Calc</v>
          </cell>
          <cell r="R17" t="e">
            <v>#VALUE!</v>
          </cell>
          <cell r="S17" t="str">
            <v>#Calc</v>
          </cell>
          <cell r="T17" t="e">
            <v>#VALUE!</v>
          </cell>
          <cell r="U17" t="e">
            <v>#VALUE!</v>
          </cell>
          <cell r="V17" t="e">
            <v>#VALUE!</v>
          </cell>
          <cell r="W17" t="e">
            <v>#VALUE!</v>
          </cell>
          <cell r="X17" t="e">
            <v>#VALUE!</v>
          </cell>
          <cell r="Y17" t="e">
            <v>#VALUE!</v>
          </cell>
          <cell r="Z17" t="e">
            <v>#VALUE!</v>
          </cell>
        </row>
        <row r="18">
          <cell r="A18">
            <v>39477</v>
          </cell>
          <cell r="B18" t="str">
            <v>#Calc</v>
          </cell>
          <cell r="C18" t="str">
            <v>#Calc</v>
          </cell>
          <cell r="D18" t="str">
            <v>#Calc</v>
          </cell>
          <cell r="E18" t="e">
            <v>#VALUE!</v>
          </cell>
          <cell r="F18" t="e">
            <v>#VALUE!</v>
          </cell>
          <cell r="G18" t="e">
            <v>#VALUE!</v>
          </cell>
          <cell r="H18" t="e">
            <v>#VALUE!</v>
          </cell>
          <cell r="I18" t="str">
            <v>#Calc</v>
          </cell>
          <cell r="J18" t="str">
            <v>#Calc</v>
          </cell>
          <cell r="K18" t="e">
            <v>#VALUE!</v>
          </cell>
          <cell r="L18" t="e">
            <v>#VALUE!</v>
          </cell>
          <cell r="M18" t="str">
            <v>#Calc</v>
          </cell>
          <cell r="N18" t="str">
            <v>#Calc</v>
          </cell>
          <cell r="O18" t="e">
            <v>#VALUE!</v>
          </cell>
          <cell r="P18" t="e">
            <v>#VALUE!</v>
          </cell>
          <cell r="Q18" t="str">
            <v>#Calc</v>
          </cell>
          <cell r="R18" t="e">
            <v>#VALUE!</v>
          </cell>
          <cell r="S18" t="str">
            <v>#Calc</v>
          </cell>
          <cell r="T18" t="e">
            <v>#VALUE!</v>
          </cell>
          <cell r="U18" t="e">
            <v>#VALUE!</v>
          </cell>
          <cell r="V18" t="e">
            <v>#VALUE!</v>
          </cell>
          <cell r="W18" t="e">
            <v>#VALUE!</v>
          </cell>
          <cell r="X18" t="e">
            <v>#VALUE!</v>
          </cell>
          <cell r="Y18" t="e">
            <v>#VALUE!</v>
          </cell>
          <cell r="Z18" t="e">
            <v>#VALUE!</v>
          </cell>
        </row>
        <row r="19">
          <cell r="A19">
            <v>39446</v>
          </cell>
          <cell r="B19" t="str">
            <v>#Calc</v>
          </cell>
          <cell r="C19" t="str">
            <v>#Calc</v>
          </cell>
          <cell r="D19" t="str">
            <v>#Calc</v>
          </cell>
          <cell r="E19" t="e">
            <v>#VALUE!</v>
          </cell>
          <cell r="F19" t="e">
            <v>#VALUE!</v>
          </cell>
          <cell r="G19" t="e">
            <v>#VALUE!</v>
          </cell>
          <cell r="H19" t="e">
            <v>#VALUE!</v>
          </cell>
          <cell r="I19" t="str">
            <v>#Calc</v>
          </cell>
          <cell r="J19" t="str">
            <v>#Calc</v>
          </cell>
          <cell r="K19" t="e">
            <v>#VALUE!</v>
          </cell>
          <cell r="L19" t="e">
            <v>#VALUE!</v>
          </cell>
          <cell r="M19" t="str">
            <v>#Calc</v>
          </cell>
          <cell r="N19" t="str">
            <v>#Calc</v>
          </cell>
          <cell r="O19" t="e">
            <v>#VALUE!</v>
          </cell>
          <cell r="P19" t="e">
            <v>#VALUE!</v>
          </cell>
          <cell r="Q19" t="str">
            <v>#Calc</v>
          </cell>
          <cell r="R19" t="e">
            <v>#VALUE!</v>
          </cell>
          <cell r="S19" t="str">
            <v>#Calc</v>
          </cell>
          <cell r="T19" t="e">
            <v>#VALUE!</v>
          </cell>
          <cell r="U19" t="e">
            <v>#VALUE!</v>
          </cell>
          <cell r="V19" t="e">
            <v>#VALUE!</v>
          </cell>
          <cell r="W19" t="e">
            <v>#VALUE!</v>
          </cell>
          <cell r="X19" t="e">
            <v>#VALUE!</v>
          </cell>
          <cell r="Y19" t="e">
            <v>#VALUE!</v>
          </cell>
          <cell r="Z19" t="e">
            <v>#VALUE!</v>
          </cell>
        </row>
        <row r="20">
          <cell r="A20">
            <v>39416</v>
          </cell>
          <cell r="B20" t="str">
            <v>#Calc</v>
          </cell>
          <cell r="C20" t="str">
            <v>#Calc</v>
          </cell>
          <cell r="D20" t="str">
            <v>#Calc</v>
          </cell>
          <cell r="E20" t="e">
            <v>#VALUE!</v>
          </cell>
          <cell r="F20" t="e">
            <v>#VALUE!</v>
          </cell>
          <cell r="G20" t="e">
            <v>#VALUE!</v>
          </cell>
          <cell r="H20" t="e">
            <v>#VALUE!</v>
          </cell>
          <cell r="I20" t="str">
            <v>#Calc</v>
          </cell>
          <cell r="J20" t="str">
            <v>#Calc</v>
          </cell>
          <cell r="K20" t="e">
            <v>#VALUE!</v>
          </cell>
          <cell r="L20" t="e">
            <v>#VALUE!</v>
          </cell>
          <cell r="M20" t="str">
            <v>#Calc</v>
          </cell>
          <cell r="N20" t="str">
            <v>#Calc</v>
          </cell>
          <cell r="O20" t="e">
            <v>#VALUE!</v>
          </cell>
          <cell r="P20" t="e">
            <v>#VALUE!</v>
          </cell>
          <cell r="Q20" t="str">
            <v>#Calc</v>
          </cell>
          <cell r="R20" t="e">
            <v>#VALUE!</v>
          </cell>
          <cell r="S20" t="str">
            <v>#Calc</v>
          </cell>
          <cell r="T20" t="e">
            <v>#VALUE!</v>
          </cell>
          <cell r="U20" t="e">
            <v>#VALUE!</v>
          </cell>
          <cell r="V20" t="e">
            <v>#VALUE!</v>
          </cell>
          <cell r="W20" t="e">
            <v>#VALUE!</v>
          </cell>
          <cell r="X20" t="e">
            <v>#VALUE!</v>
          </cell>
          <cell r="Y20" t="e">
            <v>#VALUE!</v>
          </cell>
          <cell r="Z20" t="e">
            <v>#VALUE!</v>
          </cell>
        </row>
        <row r="21">
          <cell r="A21">
            <v>39385</v>
          </cell>
          <cell r="B21" t="str">
            <v>#Calc</v>
          </cell>
          <cell r="C21" t="str">
            <v>#Calc</v>
          </cell>
          <cell r="D21" t="str">
            <v>#Calc</v>
          </cell>
          <cell r="E21" t="e">
            <v>#VALUE!</v>
          </cell>
          <cell r="F21" t="e">
            <v>#VALUE!</v>
          </cell>
          <cell r="G21" t="e">
            <v>#VALUE!</v>
          </cell>
          <cell r="H21" t="e">
            <v>#VALUE!</v>
          </cell>
          <cell r="I21" t="str">
            <v>#Calc</v>
          </cell>
          <cell r="J21" t="str">
            <v>#Calc</v>
          </cell>
          <cell r="K21" t="e">
            <v>#VALUE!</v>
          </cell>
          <cell r="L21" t="e">
            <v>#VALUE!</v>
          </cell>
          <cell r="M21" t="str">
            <v>#Calc</v>
          </cell>
          <cell r="N21" t="str">
            <v>#Calc</v>
          </cell>
          <cell r="O21" t="e">
            <v>#VALUE!</v>
          </cell>
          <cell r="P21" t="e">
            <v>#VALUE!</v>
          </cell>
          <cell r="Q21" t="str">
            <v>#Calc</v>
          </cell>
          <cell r="R21" t="e">
            <v>#VALUE!</v>
          </cell>
          <cell r="S21" t="str">
            <v>#Calc</v>
          </cell>
          <cell r="T21" t="e">
            <v>#VALUE!</v>
          </cell>
          <cell r="U21" t="e">
            <v>#VALUE!</v>
          </cell>
          <cell r="V21" t="e">
            <v>#VALUE!</v>
          </cell>
          <cell r="W21" t="e">
            <v>#VALUE!</v>
          </cell>
          <cell r="X21" t="e">
            <v>#VALUE!</v>
          </cell>
          <cell r="Y21" t="e">
            <v>#VALUE!</v>
          </cell>
          <cell r="Z21" t="e">
            <v>#VALUE!</v>
          </cell>
        </row>
        <row r="22">
          <cell r="A22">
            <v>39355</v>
          </cell>
          <cell r="B22" t="str">
            <v>#Calc</v>
          </cell>
          <cell r="C22" t="str">
            <v>#Calc</v>
          </cell>
          <cell r="D22" t="str">
            <v>#Calc</v>
          </cell>
          <cell r="E22" t="e">
            <v>#VALUE!</v>
          </cell>
          <cell r="F22" t="e">
            <v>#VALUE!</v>
          </cell>
          <cell r="G22" t="e">
            <v>#VALUE!</v>
          </cell>
          <cell r="H22" t="e">
            <v>#VALUE!</v>
          </cell>
          <cell r="I22" t="str">
            <v>#Calc</v>
          </cell>
          <cell r="J22" t="str">
            <v>#Calc</v>
          </cell>
          <cell r="K22" t="e">
            <v>#VALUE!</v>
          </cell>
          <cell r="L22" t="e">
            <v>#VALUE!</v>
          </cell>
          <cell r="M22" t="str">
            <v>#Calc</v>
          </cell>
          <cell r="N22" t="str">
            <v>#Calc</v>
          </cell>
          <cell r="O22" t="e">
            <v>#VALUE!</v>
          </cell>
          <cell r="P22" t="e">
            <v>#VALUE!</v>
          </cell>
          <cell r="Q22" t="str">
            <v>#Calc</v>
          </cell>
          <cell r="R22" t="e">
            <v>#VALUE!</v>
          </cell>
          <cell r="S22" t="str">
            <v>#Calc</v>
          </cell>
          <cell r="T22" t="e">
            <v>#VALUE!</v>
          </cell>
          <cell r="U22" t="e">
            <v>#VALUE!</v>
          </cell>
          <cell r="V22" t="e">
            <v>#VALUE!</v>
          </cell>
          <cell r="W22" t="e">
            <v>#VALUE!</v>
          </cell>
          <cell r="X22" t="e">
            <v>#VALUE!</v>
          </cell>
          <cell r="Y22" t="e">
            <v>#VALUE!</v>
          </cell>
          <cell r="Z22" t="e">
            <v>#VALUE!</v>
          </cell>
        </row>
        <row r="23">
          <cell r="A23">
            <v>39324</v>
          </cell>
          <cell r="B23" t="str">
            <v>#Calc</v>
          </cell>
          <cell r="C23" t="str">
            <v>#Calc</v>
          </cell>
          <cell r="D23" t="str">
            <v>#Calc</v>
          </cell>
          <cell r="E23" t="e">
            <v>#VALUE!</v>
          </cell>
          <cell r="F23" t="e">
            <v>#VALUE!</v>
          </cell>
          <cell r="G23" t="e">
            <v>#VALUE!</v>
          </cell>
          <cell r="H23" t="e">
            <v>#VALUE!</v>
          </cell>
          <cell r="I23" t="str">
            <v>#Calc</v>
          </cell>
          <cell r="J23" t="str">
            <v>#Calc</v>
          </cell>
          <cell r="K23" t="e">
            <v>#VALUE!</v>
          </cell>
          <cell r="L23" t="e">
            <v>#VALUE!</v>
          </cell>
          <cell r="M23" t="str">
            <v>#Calc</v>
          </cell>
          <cell r="N23" t="str">
            <v>#Calc</v>
          </cell>
          <cell r="O23" t="e">
            <v>#VALUE!</v>
          </cell>
          <cell r="P23" t="e">
            <v>#VALUE!</v>
          </cell>
          <cell r="Q23" t="str">
            <v>#Calc</v>
          </cell>
          <cell r="R23" t="e">
            <v>#VALUE!</v>
          </cell>
          <cell r="S23" t="str">
            <v>#Calc</v>
          </cell>
          <cell r="T23" t="e">
            <v>#VALUE!</v>
          </cell>
          <cell r="U23" t="e">
            <v>#VALUE!</v>
          </cell>
          <cell r="V23" t="e">
            <v>#VALUE!</v>
          </cell>
          <cell r="W23" t="e">
            <v>#VALUE!</v>
          </cell>
          <cell r="X23" t="e">
            <v>#VALUE!</v>
          </cell>
          <cell r="Y23" t="e">
            <v>#VALUE!</v>
          </cell>
          <cell r="Z23" t="e">
            <v>#VALUE!</v>
          </cell>
        </row>
        <row r="24">
          <cell r="A24">
            <v>39293</v>
          </cell>
          <cell r="B24" t="str">
            <v>#Calc</v>
          </cell>
          <cell r="C24" t="str">
            <v>#Calc</v>
          </cell>
          <cell r="D24" t="str">
            <v>#Calc</v>
          </cell>
          <cell r="E24" t="e">
            <v>#VALUE!</v>
          </cell>
          <cell r="F24" t="e">
            <v>#VALUE!</v>
          </cell>
          <cell r="G24" t="e">
            <v>#VALUE!</v>
          </cell>
          <cell r="H24" t="e">
            <v>#VALUE!</v>
          </cell>
          <cell r="I24" t="str">
            <v>#Calc</v>
          </cell>
          <cell r="J24" t="str">
            <v>#Calc</v>
          </cell>
          <cell r="K24" t="e">
            <v>#VALUE!</v>
          </cell>
          <cell r="L24" t="e">
            <v>#VALUE!</v>
          </cell>
          <cell r="M24" t="str">
            <v>#Calc</v>
          </cell>
          <cell r="N24" t="str">
            <v>#Calc</v>
          </cell>
          <cell r="O24" t="e">
            <v>#VALUE!</v>
          </cell>
          <cell r="P24" t="e">
            <v>#VALUE!</v>
          </cell>
          <cell r="Q24" t="str">
            <v>#Calc</v>
          </cell>
          <cell r="R24" t="e">
            <v>#VALUE!</v>
          </cell>
          <cell r="S24" t="str">
            <v>#Calc</v>
          </cell>
          <cell r="T24" t="e">
            <v>#VALUE!</v>
          </cell>
          <cell r="U24" t="e">
            <v>#VALUE!</v>
          </cell>
          <cell r="V24" t="e">
            <v>#VALUE!</v>
          </cell>
          <cell r="W24" t="e">
            <v>#VALUE!</v>
          </cell>
          <cell r="X24" t="e">
            <v>#VALUE!</v>
          </cell>
          <cell r="Y24" t="e">
            <v>#VALUE!</v>
          </cell>
          <cell r="Z24" t="e">
            <v>#VALUE!</v>
          </cell>
        </row>
        <row r="25">
          <cell r="A25">
            <v>39263</v>
          </cell>
          <cell r="B25" t="str">
            <v>#Calc</v>
          </cell>
          <cell r="C25" t="str">
            <v>#Calc</v>
          </cell>
          <cell r="D25" t="str">
            <v>#Calc</v>
          </cell>
          <cell r="E25" t="e">
            <v>#VALUE!</v>
          </cell>
          <cell r="F25" t="e">
            <v>#VALUE!</v>
          </cell>
          <cell r="G25" t="e">
            <v>#VALUE!</v>
          </cell>
          <cell r="H25" t="e">
            <v>#VALUE!</v>
          </cell>
          <cell r="I25" t="str">
            <v>#Calc</v>
          </cell>
          <cell r="J25" t="str">
            <v>#Calc</v>
          </cell>
          <cell r="K25" t="e">
            <v>#VALUE!</v>
          </cell>
          <cell r="L25" t="e">
            <v>#VALUE!</v>
          </cell>
          <cell r="M25" t="str">
            <v>#Calc</v>
          </cell>
          <cell r="N25" t="str">
            <v>#Calc</v>
          </cell>
          <cell r="O25" t="e">
            <v>#VALUE!</v>
          </cell>
          <cell r="P25" t="e">
            <v>#VALUE!</v>
          </cell>
          <cell r="Q25" t="str">
            <v>#Calc</v>
          </cell>
          <cell r="R25" t="e">
            <v>#VALUE!</v>
          </cell>
          <cell r="S25" t="str">
            <v>#Calc</v>
          </cell>
          <cell r="T25" t="e">
            <v>#VALUE!</v>
          </cell>
          <cell r="U25" t="e">
            <v>#VALUE!</v>
          </cell>
          <cell r="V25" t="e">
            <v>#VALUE!</v>
          </cell>
          <cell r="W25" t="e">
            <v>#VALUE!</v>
          </cell>
          <cell r="X25" t="e">
            <v>#VALUE!</v>
          </cell>
          <cell r="Y25" t="e">
            <v>#VALUE!</v>
          </cell>
          <cell r="Z25" t="e">
            <v>#VALUE!</v>
          </cell>
        </row>
        <row r="26">
          <cell r="A26">
            <v>39232</v>
          </cell>
        </row>
        <row r="27">
          <cell r="A27">
            <v>39202</v>
          </cell>
          <cell r="G27" t="e">
            <v>#VALUE!</v>
          </cell>
        </row>
        <row r="28">
          <cell r="A28">
            <v>39171</v>
          </cell>
          <cell r="G28" t="e">
            <v>#VALUE!</v>
          </cell>
        </row>
        <row r="29">
          <cell r="G29" t="e">
            <v>#VALUE!</v>
          </cell>
        </row>
        <row r="34">
          <cell r="A34" t="str">
            <v>Since 2001</v>
          </cell>
          <cell r="AB34" t="str">
            <v>Price-to-Tangible Book:</v>
          </cell>
        </row>
        <row r="35">
          <cell r="A35" t="str">
            <v>Average</v>
          </cell>
          <cell r="F35" t="e">
            <v>#VALUE!</v>
          </cell>
          <cell r="G35" t="e">
            <v>#VALUE!</v>
          </cell>
          <cell r="H35" t="e">
            <v>#VALUE!</v>
          </cell>
          <cell r="L35" t="e">
            <v>#VALUE!</v>
          </cell>
          <cell r="P35" t="e">
            <v>#VALUE!</v>
          </cell>
          <cell r="R35" t="e">
            <v>#VALUE!</v>
          </cell>
          <cell r="X35" t="e">
            <v>#VALUE!</v>
          </cell>
          <cell r="Y35" t="e">
            <v>#VALUE!</v>
          </cell>
        </row>
        <row r="36">
          <cell r="A36" t="str">
            <v>Median</v>
          </cell>
          <cell r="F36" t="e">
            <v>#VALUE!</v>
          </cell>
          <cell r="G36" t="e">
            <v>#VALUE!</v>
          </cell>
          <cell r="H36" t="e">
            <v>#VALUE!</v>
          </cell>
          <cell r="L36" t="e">
            <v>#VALUE!</v>
          </cell>
          <cell r="P36" t="e">
            <v>#VALUE!</v>
          </cell>
          <cell r="R36" t="e">
            <v>#VALUE!</v>
          </cell>
          <cell r="X36" t="e">
            <v>#VALUE!</v>
          </cell>
          <cell r="Y36" t="e">
            <v>#VALUE!</v>
          </cell>
        </row>
        <row r="37">
          <cell r="A37" t="str">
            <v>Max</v>
          </cell>
          <cell r="F37" t="e">
            <v>#VALUE!</v>
          </cell>
          <cell r="G37" t="e">
            <v>#VALUE!</v>
          </cell>
          <cell r="H37" t="e">
            <v>#VALUE!</v>
          </cell>
          <cell r="L37" t="e">
            <v>#VALUE!</v>
          </cell>
          <cell r="P37" t="e">
            <v>#VALUE!</v>
          </cell>
          <cell r="R37" t="e">
            <v>#VALUE!</v>
          </cell>
          <cell r="X37" t="e">
            <v>#VALUE!</v>
          </cell>
          <cell r="Y37" t="e">
            <v>#VALUE!</v>
          </cell>
        </row>
        <row r="38">
          <cell r="A38" t="str">
            <v>Min</v>
          </cell>
          <cell r="F38" t="e">
            <v>#VALUE!</v>
          </cell>
          <cell r="G38" t="e">
            <v>#VALUE!</v>
          </cell>
          <cell r="H38" t="e">
            <v>#VALUE!</v>
          </cell>
          <cell r="L38" t="e">
            <v>#VALUE!</v>
          </cell>
          <cell r="P38" t="e">
            <v>#VALUE!</v>
          </cell>
          <cell r="R38" t="e">
            <v>#VALUE!</v>
          </cell>
          <cell r="X38" t="e">
            <v>#VALUE!</v>
          </cell>
          <cell r="Y38" t="e">
            <v>#VALUE!</v>
          </cell>
        </row>
        <row r="39">
          <cell r="A39" t="str">
            <v>75 Percentile</v>
          </cell>
          <cell r="F39" t="e">
            <v>#VALUE!</v>
          </cell>
          <cell r="G39" t="e">
            <v>#VALUE!</v>
          </cell>
          <cell r="H39" t="e">
            <v>#VALUE!</v>
          </cell>
          <cell r="L39" t="e">
            <v>#VALUE!</v>
          </cell>
          <cell r="P39" t="e">
            <v>#VALUE!</v>
          </cell>
          <cell r="R39" t="e">
            <v>#VALUE!</v>
          </cell>
          <cell r="X39" t="e">
            <v>#VALUE!</v>
          </cell>
          <cell r="Y39" t="e">
            <v>#VALUE!</v>
          </cell>
        </row>
        <row r="40">
          <cell r="A40" t="str">
            <v>25 Percentile</v>
          </cell>
          <cell r="F40" t="e">
            <v>#VALUE!</v>
          </cell>
          <cell r="G40" t="e">
            <v>#VALUE!</v>
          </cell>
          <cell r="H40" t="e">
            <v>#VALUE!</v>
          </cell>
          <cell r="L40" t="e">
            <v>#VALUE!</v>
          </cell>
          <cell r="P40" t="e">
            <v>#VALUE!</v>
          </cell>
          <cell r="R40" t="e">
            <v>#VALUE!</v>
          </cell>
          <cell r="X40" t="e">
            <v>#VALUE!</v>
          </cell>
          <cell r="Y40" t="e">
            <v>#VALUE!</v>
          </cell>
        </row>
        <row r="42">
          <cell r="A42" t="str">
            <v>Since 2005</v>
          </cell>
        </row>
        <row r="43">
          <cell r="A43" t="str">
            <v>Average</v>
          </cell>
          <cell r="F43" t="e">
            <v>#VALUE!</v>
          </cell>
          <cell r="G43" t="e">
            <v>#VALUE!</v>
          </cell>
          <cell r="H43" t="e">
            <v>#VALUE!</v>
          </cell>
          <cell r="L43" t="e">
            <v>#VALUE!</v>
          </cell>
          <cell r="P43" t="e">
            <v>#VALUE!</v>
          </cell>
          <cell r="R43" t="e">
            <v>#VALUE!</v>
          </cell>
          <cell r="X43" t="e">
            <v>#VALUE!</v>
          </cell>
          <cell r="Y43" t="e">
            <v>#VALUE!</v>
          </cell>
        </row>
        <row r="44">
          <cell r="A44" t="str">
            <v>Median</v>
          </cell>
          <cell r="F44" t="e">
            <v>#VALUE!</v>
          </cell>
          <cell r="G44" t="e">
            <v>#VALUE!</v>
          </cell>
          <cell r="H44" t="e">
            <v>#VALUE!</v>
          </cell>
          <cell r="L44" t="e">
            <v>#VALUE!</v>
          </cell>
          <cell r="P44" t="e">
            <v>#VALUE!</v>
          </cell>
          <cell r="R44" t="e">
            <v>#VALUE!</v>
          </cell>
          <cell r="X44" t="e">
            <v>#VALUE!</v>
          </cell>
          <cell r="Y44" t="e">
            <v>#VALUE!</v>
          </cell>
        </row>
        <row r="45">
          <cell r="A45" t="str">
            <v>Max</v>
          </cell>
          <cell r="F45" t="e">
            <v>#VALUE!</v>
          </cell>
          <cell r="G45" t="e">
            <v>#VALUE!</v>
          </cell>
          <cell r="H45" t="e">
            <v>#VALUE!</v>
          </cell>
          <cell r="L45" t="e">
            <v>#VALUE!</v>
          </cell>
          <cell r="P45" t="e">
            <v>#VALUE!</v>
          </cell>
          <cell r="R45" t="e">
            <v>#VALUE!</v>
          </cell>
          <cell r="X45" t="e">
            <v>#VALUE!</v>
          </cell>
          <cell r="Y45" t="e">
            <v>#VALUE!</v>
          </cell>
        </row>
        <row r="46">
          <cell r="A46" t="str">
            <v>Min</v>
          </cell>
          <cell r="F46" t="e">
            <v>#VALUE!</v>
          </cell>
          <cell r="G46" t="e">
            <v>#VALUE!</v>
          </cell>
          <cell r="H46" t="e">
            <v>#VALUE!</v>
          </cell>
          <cell r="L46" t="e">
            <v>#VALUE!</v>
          </cell>
          <cell r="P46" t="e">
            <v>#VALUE!</v>
          </cell>
          <cell r="R46" t="e">
            <v>#VALUE!</v>
          </cell>
          <cell r="X46" t="e">
            <v>#VALUE!</v>
          </cell>
          <cell r="Y46" t="e">
            <v>#VALUE!</v>
          </cell>
        </row>
        <row r="47">
          <cell r="A47" t="str">
            <v>75 Percentile</v>
          </cell>
          <cell r="F47" t="e">
            <v>#VALUE!</v>
          </cell>
          <cell r="G47" t="e">
            <v>#VALUE!</v>
          </cell>
          <cell r="H47" t="e">
            <v>#VALUE!</v>
          </cell>
          <cell r="L47" t="e">
            <v>#VALUE!</v>
          </cell>
          <cell r="P47" t="e">
            <v>#VALUE!</v>
          </cell>
          <cell r="R47" t="e">
            <v>#VALUE!</v>
          </cell>
          <cell r="X47" t="e">
            <v>#VALUE!</v>
          </cell>
          <cell r="Y47" t="e">
            <v>#VALUE!</v>
          </cell>
        </row>
        <row r="48">
          <cell r="A48" t="str">
            <v>25 Percentile</v>
          </cell>
          <cell r="F48" t="e">
            <v>#VALUE!</v>
          </cell>
          <cell r="G48" t="e">
            <v>#VALUE!</v>
          </cell>
          <cell r="H48" t="e">
            <v>#VALUE!</v>
          </cell>
          <cell r="L48" t="e">
            <v>#VALUE!</v>
          </cell>
          <cell r="P48" t="e">
            <v>#VALUE!</v>
          </cell>
          <cell r="R48" t="e">
            <v>#VALUE!</v>
          </cell>
          <cell r="X48" t="e">
            <v>#VALUE!</v>
          </cell>
          <cell r="Y48" t="e">
            <v>#VALUE!</v>
          </cell>
        </row>
        <row r="53">
          <cell r="A53">
            <v>2008</v>
          </cell>
          <cell r="B53" t="e">
            <v>#DIV/0!</v>
          </cell>
        </row>
      </sheetData>
      <sheetData sheetId="3"/>
      <sheetData sheetId="4"/>
      <sheetData sheetId="5" refreshError="1">
        <row r="1">
          <cell r="A1" t="str">
            <v>VALUATION</v>
          </cell>
          <cell r="T1" t="str">
            <v>INPUTS</v>
          </cell>
        </row>
        <row r="2">
          <cell r="C2" t="str">
            <v>Price</v>
          </cell>
          <cell r="D2" t="str">
            <v>Market</v>
          </cell>
          <cell r="E2" t="str">
            <v>Enterprise</v>
          </cell>
          <cell r="G2" t="str">
            <v>P/E</v>
          </cell>
          <cell r="J2" t="str">
            <v>EV/EBITDA</v>
          </cell>
          <cell r="M2" t="str">
            <v>FCF Yield</v>
          </cell>
          <cell r="P2" t="str">
            <v>PEG</v>
          </cell>
          <cell r="T2" t="str">
            <v>EPS</v>
          </cell>
          <cell r="X2" t="str">
            <v>EV</v>
          </cell>
          <cell r="Y2">
            <v>40118</v>
          </cell>
          <cell r="AD2" t="str">
            <v>EBITDA</v>
          </cell>
        </row>
        <row r="3">
          <cell r="C3">
            <v>40118</v>
          </cell>
          <cell r="D3" t="str">
            <v>Cap ($mm)</v>
          </cell>
          <cell r="E3" t="str">
            <v>Value</v>
          </cell>
          <cell r="G3" t="str">
            <v>C2010</v>
          </cell>
          <cell r="H3" t="str">
            <v>C2011</v>
          </cell>
          <cell r="J3" t="str">
            <v>C2010</v>
          </cell>
          <cell r="K3" t="str">
            <v>C2011</v>
          </cell>
          <cell r="M3" t="str">
            <v>C2010</v>
          </cell>
          <cell r="N3" t="str">
            <v>C2011</v>
          </cell>
          <cell r="P3" t="str">
            <v>C2010</v>
          </cell>
          <cell r="Q3" t="str">
            <v>C2011</v>
          </cell>
          <cell r="S3">
            <v>2008</v>
          </cell>
          <cell r="T3">
            <v>2009</v>
          </cell>
          <cell r="U3">
            <v>2010</v>
          </cell>
          <cell r="V3">
            <v>2011</v>
          </cell>
          <cell r="X3" t="str">
            <v>Shares</v>
          </cell>
          <cell r="Y3" t="str">
            <v>Price</v>
          </cell>
          <cell r="Z3" t="str">
            <v>Debt</v>
          </cell>
          <cell r="AA3" t="str">
            <v>Cash</v>
          </cell>
          <cell r="AB3" t="str">
            <v>EV</v>
          </cell>
          <cell r="AD3">
            <v>2009</v>
          </cell>
          <cell r="AE3">
            <v>2010</v>
          </cell>
          <cell r="AF3">
            <v>2011</v>
          </cell>
          <cell r="AH3" t="str">
            <v>CFFO</v>
          </cell>
          <cell r="AI3" t="str">
            <v>Capex</v>
          </cell>
          <cell r="AJ3" t="str">
            <v>FCF (2010)</v>
          </cell>
          <cell r="AK3" t="str">
            <v>FCF (2011)</v>
          </cell>
        </row>
        <row r="4">
          <cell r="A4" t="str">
            <v>Hospital Supply</v>
          </cell>
        </row>
        <row r="5">
          <cell r="A5" t="str">
            <v>HSP</v>
          </cell>
          <cell r="C5">
            <v>44.64</v>
          </cell>
          <cell r="D5">
            <v>7227.2160000000003</v>
          </cell>
          <cell r="E5">
            <v>8417.0159999999996</v>
          </cell>
          <cell r="G5">
            <v>13.663313788224146</v>
          </cell>
          <cell r="H5">
            <v>11.929449492250134</v>
          </cell>
          <cell r="J5">
            <v>8.6495940699885132</v>
          </cell>
          <cell r="K5">
            <v>7.7778192577588605</v>
          </cell>
          <cell r="M5">
            <v>6.6693938578838652E-2</v>
          </cell>
          <cell r="N5">
            <v>7.8951563091514076E-2</v>
          </cell>
          <cell r="P5">
            <v>1.0936035669353594</v>
          </cell>
          <cell r="Q5">
            <v>0.8207779900571871</v>
          </cell>
          <cell r="S5">
            <v>2.5300000000000002</v>
          </cell>
          <cell r="T5">
            <v>2.9042859999999999</v>
          </cell>
          <cell r="U5">
            <v>3.2671429999999999</v>
          </cell>
          <cell r="V5">
            <v>3.742</v>
          </cell>
          <cell r="X5">
            <v>161.9</v>
          </cell>
          <cell r="Y5">
            <v>44.64</v>
          </cell>
          <cell r="Z5">
            <v>2110.4</v>
          </cell>
          <cell r="AA5">
            <v>920.6</v>
          </cell>
          <cell r="AB5">
            <v>8417.0159999999996</v>
          </cell>
          <cell r="AD5">
            <v>920.67200000000003</v>
          </cell>
          <cell r="AE5">
            <v>973.11110000000008</v>
          </cell>
          <cell r="AF5">
            <v>1082.182</v>
          </cell>
          <cell r="AJ5">
            <v>482.01150000000001</v>
          </cell>
          <cell r="AK5">
            <v>570.6</v>
          </cell>
        </row>
        <row r="6">
          <cell r="A6" t="str">
            <v>BAX</v>
          </cell>
          <cell r="C6">
            <v>54.06</v>
          </cell>
          <cell r="D6">
            <v>32614.333128000002</v>
          </cell>
          <cell r="E6">
            <v>34212.333127999998</v>
          </cell>
          <cell r="G6">
            <v>12.609708075694636</v>
          </cell>
          <cell r="H6">
            <v>11.328896775853819</v>
          </cell>
          <cell r="J6">
            <v>8.4125660874989823</v>
          </cell>
          <cell r="K6">
            <v>7.7010731308951339</v>
          </cell>
          <cell r="M6">
            <v>5.397166923792758E-2</v>
          </cell>
          <cell r="N6">
            <v>5.5406621159719942E-2</v>
          </cell>
          <cell r="P6">
            <v>0.98362727405924755</v>
          </cell>
          <cell r="Q6">
            <v>1.0020516072422379</v>
          </cell>
          <cell r="S6">
            <v>3.38</v>
          </cell>
          <cell r="T6">
            <v>3.8000249999999998</v>
          </cell>
          <cell r="U6">
            <v>4.2871730000000001</v>
          </cell>
          <cell r="V6">
            <v>4.7718679999999996</v>
          </cell>
          <cell r="X6">
            <v>603.29880000000003</v>
          </cell>
          <cell r="Y6">
            <v>54.06</v>
          </cell>
          <cell r="Z6">
            <v>4169</v>
          </cell>
          <cell r="AA6">
            <v>2571</v>
          </cell>
          <cell r="AB6">
            <v>34212.333127999998</v>
          </cell>
          <cell r="AD6">
            <v>3606.5419999999999</v>
          </cell>
          <cell r="AE6">
            <v>4066.8130000000001</v>
          </cell>
          <cell r="AF6">
            <v>4442.5410000000002</v>
          </cell>
          <cell r="AJ6">
            <v>1760.25</v>
          </cell>
          <cell r="AK6">
            <v>1807.05</v>
          </cell>
        </row>
        <row r="7">
          <cell r="A7" t="str">
            <v>BDX</v>
          </cell>
          <cell r="C7">
            <v>68.36</v>
          </cell>
          <cell r="D7">
            <v>16364.700400000002</v>
          </cell>
          <cell r="E7">
            <v>16502.037400000001</v>
          </cell>
          <cell r="G7">
            <v>13.037526180901207</v>
          </cell>
          <cell r="H7">
            <v>11.955268826531602</v>
          </cell>
          <cell r="J7">
            <v>7.1658602378163936</v>
          </cell>
          <cell r="K7">
            <v>6.7229138318485004</v>
          </cell>
          <cell r="M7">
            <v>7.6997437728832469E-2</v>
          </cell>
          <cell r="N7">
            <v>0</v>
          </cell>
          <cell r="P7">
            <v>2.7155864367755012</v>
          </cell>
          <cell r="Q7">
            <v>1.3206512493314637</v>
          </cell>
          <cell r="S7">
            <v>4.5890379999999995</v>
          </cell>
          <cell r="T7">
            <v>5.003126</v>
          </cell>
          <cell r="U7">
            <v>5.2433259999999997</v>
          </cell>
          <cell r="V7">
            <v>5.717981</v>
          </cell>
          <cell r="X7">
            <v>239.39000000000001</v>
          </cell>
          <cell r="Y7">
            <v>68.36</v>
          </cell>
          <cell r="Z7">
            <v>1889.297</v>
          </cell>
          <cell r="AA7">
            <v>1751.96</v>
          </cell>
          <cell r="AB7">
            <v>16502.037400000001</v>
          </cell>
          <cell r="AD7">
            <v>2216.1210000000001</v>
          </cell>
          <cell r="AE7">
            <v>2302.8690000000001</v>
          </cell>
          <cell r="AF7">
            <v>2454.596</v>
          </cell>
          <cell r="AJ7">
            <v>1260.04</v>
          </cell>
          <cell r="AK7">
            <v>0</v>
          </cell>
        </row>
        <row r="8">
          <cell r="A8" t="str">
            <v>JNJ</v>
          </cell>
          <cell r="C8">
            <v>59.050000000000004</v>
          </cell>
          <cell r="D8">
            <v>162643.77700000003</v>
          </cell>
          <cell r="E8">
            <v>161541.77700000003</v>
          </cell>
          <cell r="G8">
            <v>12.000398319741011</v>
          </cell>
          <cell r="H8">
            <v>10.964981507154814</v>
          </cell>
          <cell r="J8">
            <v>7.6706444144134744</v>
          </cell>
          <cell r="K8">
            <v>7.1344370817054985</v>
          </cell>
          <cell r="M8">
            <v>7.4562336313672789E-2</v>
          </cell>
          <cell r="N8">
            <v>6.6566334105730943E-2</v>
          </cell>
          <cell r="P8">
            <v>1.5499620801510046</v>
          </cell>
          <cell r="Q8">
            <v>1.1611828008852034</v>
          </cell>
          <cell r="S8">
            <v>4.55</v>
          </cell>
          <cell r="T8">
            <v>4.5670700000000002</v>
          </cell>
          <cell r="U8">
            <v>4.9206700000000003</v>
          </cell>
          <cell r="V8">
            <v>5.3853260000000001</v>
          </cell>
          <cell r="X8">
            <v>2754.34</v>
          </cell>
          <cell r="Y8">
            <v>59.050000000000004</v>
          </cell>
          <cell r="Z8">
            <v>13614</v>
          </cell>
          <cell r="AA8">
            <v>14716</v>
          </cell>
          <cell r="AB8">
            <v>161541.77700000003</v>
          </cell>
          <cell r="AD8">
            <v>19834.29</v>
          </cell>
          <cell r="AE8">
            <v>21059.74</v>
          </cell>
          <cell r="AF8">
            <v>22642.54</v>
          </cell>
          <cell r="AJ8">
            <v>12127.1</v>
          </cell>
          <cell r="AK8">
            <v>10826.6</v>
          </cell>
        </row>
        <row r="9">
          <cell r="A9" t="str">
            <v>IART</v>
          </cell>
          <cell r="C9">
            <v>30.54</v>
          </cell>
          <cell r="D9">
            <v>867.00005999999996</v>
          </cell>
          <cell r="E9">
            <v>1184.43806</v>
          </cell>
          <cell r="G9">
            <v>12.866531850353892</v>
          </cell>
          <cell r="H9">
            <v>11.484156076224112</v>
          </cell>
          <cell r="J9">
            <v>9.3539037314906217</v>
          </cell>
          <cell r="K9">
            <v>6.8464627745664739</v>
          </cell>
          <cell r="M9">
            <v>7.8662047612776412E-2</v>
          </cell>
          <cell r="N9">
            <v>8.2352935477305517E-2</v>
          </cell>
          <cell r="P9">
            <v>0.81207482898381522</v>
          </cell>
          <cell r="Q9">
            <v>0.95405202587624005</v>
          </cell>
          <cell r="S9">
            <v>2.09</v>
          </cell>
          <cell r="T9">
            <v>2.048962</v>
          </cell>
          <cell r="U9">
            <v>2.3736000000000002</v>
          </cell>
          <cell r="V9">
            <v>2.659316</v>
          </cell>
          <cell r="X9">
            <v>28.388999999999999</v>
          </cell>
          <cell r="Y9">
            <v>30.54</v>
          </cell>
          <cell r="Z9">
            <v>456.15500000000003</v>
          </cell>
          <cell r="AA9">
            <v>138.71700000000001</v>
          </cell>
          <cell r="AB9">
            <v>1184.43806</v>
          </cell>
          <cell r="AD9">
            <v>141.80000000000001</v>
          </cell>
          <cell r="AE9">
            <v>126.625</v>
          </cell>
          <cell r="AF9">
            <v>173</v>
          </cell>
          <cell r="AJ9">
            <v>68.2</v>
          </cell>
          <cell r="AK9">
            <v>71.400000000000006</v>
          </cell>
        </row>
        <row r="10">
          <cell r="A10" t="str">
            <v>CFN</v>
          </cell>
          <cell r="C10">
            <v>22.37</v>
          </cell>
          <cell r="D10">
            <v>5055.62</v>
          </cell>
          <cell r="E10">
            <v>5561.62</v>
          </cell>
          <cell r="G10">
            <v>17.601810381999417</v>
          </cell>
          <cell r="H10">
            <v>14.749369508958743</v>
          </cell>
          <cell r="J10">
            <v>8.612717309043461</v>
          </cell>
          <cell r="K10">
            <v>7.7102061990300719</v>
          </cell>
          <cell r="M10">
            <v>6.9441295034041325E-2</v>
          </cell>
          <cell r="N10">
            <v>7.0907227995775007E-2</v>
          </cell>
          <cell r="P10" t="str">
            <v>n/a</v>
          </cell>
          <cell r="Q10">
            <v>0.76265875646320436</v>
          </cell>
          <cell r="S10">
            <v>0</v>
          </cell>
          <cell r="T10">
            <v>1.2997029999999998</v>
          </cell>
          <cell r="U10">
            <v>1.2708919999999999</v>
          </cell>
          <cell r="V10">
            <v>1.516675</v>
          </cell>
          <cell r="X10">
            <v>226</v>
          </cell>
          <cell r="Y10">
            <v>22.37</v>
          </cell>
          <cell r="Z10">
            <v>1289</v>
          </cell>
          <cell r="AA10">
            <v>783</v>
          </cell>
          <cell r="AB10">
            <v>5561.62</v>
          </cell>
          <cell r="AD10">
            <v>646.55110000000002</v>
          </cell>
          <cell r="AE10">
            <v>645.74509999999998</v>
          </cell>
          <cell r="AF10">
            <v>721.33220000000006</v>
          </cell>
          <cell r="AJ10">
            <v>351.06880000000001</v>
          </cell>
          <cell r="AK10">
            <v>358.48</v>
          </cell>
        </row>
        <row r="11">
          <cell r="A11" t="str">
            <v>ABT</v>
          </cell>
          <cell r="C11">
            <v>50.57</v>
          </cell>
          <cell r="D11">
            <v>78176.82041</v>
          </cell>
          <cell r="E11">
            <v>87028.330409999995</v>
          </cell>
          <cell r="G11">
            <v>12.196857325470615</v>
          </cell>
          <cell r="H11">
            <v>11.027550996153987</v>
          </cell>
          <cell r="J11">
            <v>8.4545236805036073</v>
          </cell>
          <cell r="K11">
            <v>7.6705908865673855</v>
          </cell>
          <cell r="M11">
            <v>6.2190249929608261E-2</v>
          </cell>
          <cell r="N11">
            <v>6.3260439271682067E-2</v>
          </cell>
          <cell r="P11">
            <v>1.0329061307187282</v>
          </cell>
          <cell r="Q11">
            <v>1.0399916422572251</v>
          </cell>
          <cell r="S11">
            <v>3.3200000000000003</v>
          </cell>
          <cell r="T11">
            <v>3.7082669999999998</v>
          </cell>
          <cell r="U11">
            <v>4.1461500000000004</v>
          </cell>
          <cell r="V11">
            <v>4.5857869999999998</v>
          </cell>
          <cell r="X11">
            <v>1545.913</v>
          </cell>
          <cell r="Y11">
            <v>50.57</v>
          </cell>
          <cell r="Z11">
            <v>15739.453</v>
          </cell>
          <cell r="AA11">
            <v>6887.9430000000002</v>
          </cell>
          <cell r="AB11">
            <v>87028.330409999995</v>
          </cell>
          <cell r="AD11">
            <v>9110.6489999999994</v>
          </cell>
          <cell r="AE11">
            <v>10293.700000000001</v>
          </cell>
          <cell r="AF11">
            <v>11345.714</v>
          </cell>
          <cell r="AJ11">
            <v>4861.8360000000002</v>
          </cell>
          <cell r="AK11">
            <v>4945.5</v>
          </cell>
        </row>
        <row r="12">
          <cell r="A12" t="str">
            <v>BCR</v>
          </cell>
          <cell r="C12">
            <v>75.070000000000007</v>
          </cell>
          <cell r="D12">
            <v>7246.9575200000008</v>
          </cell>
          <cell r="E12">
            <v>6764.6575200000007</v>
          </cell>
          <cell r="G12">
            <v>13.209967568975317</v>
          </cell>
          <cell r="H12">
            <v>11.752641878669277</v>
          </cell>
          <cell r="J12">
            <v>7.5624566114924088</v>
          </cell>
          <cell r="K12">
            <v>6.8635920817024934</v>
          </cell>
          <cell r="M12">
            <v>9.2872146434218372E-2</v>
          </cell>
          <cell r="N12">
            <v>8.1090857560318627E-2</v>
          </cell>
          <cell r="P12">
            <v>1.0733657862072918</v>
          </cell>
          <cell r="Q12">
            <v>0.94779493730906794</v>
          </cell>
          <cell r="S12">
            <v>4.4400000000000004</v>
          </cell>
          <cell r="T12">
            <v>5.0600829999999997</v>
          </cell>
          <cell r="U12">
            <v>5.68283</v>
          </cell>
          <cell r="V12">
            <v>6.3875000000000002</v>
          </cell>
          <cell r="X12">
            <v>96.536000000000001</v>
          </cell>
          <cell r="Y12">
            <v>75.070000000000007</v>
          </cell>
          <cell r="Z12">
            <v>149.80000000000001</v>
          </cell>
          <cell r="AA12">
            <v>632.1</v>
          </cell>
          <cell r="AB12">
            <v>6764.6575200000007</v>
          </cell>
          <cell r="AD12">
            <v>818.41800000000001</v>
          </cell>
          <cell r="AE12">
            <v>894.50530000000003</v>
          </cell>
          <cell r="AF12">
            <v>985.5856</v>
          </cell>
          <cell r="AJ12">
            <v>673.04050000000007</v>
          </cell>
          <cell r="AK12">
            <v>587.66200000000003</v>
          </cell>
        </row>
        <row r="13">
          <cell r="A13" t="str">
            <v>Average</v>
          </cell>
          <cell r="G13">
            <v>13.398264186420029</v>
          </cell>
          <cell r="H13">
            <v>11.899039382724562</v>
          </cell>
          <cell r="J13">
            <v>8.2352832677809324</v>
          </cell>
          <cell r="K13">
            <v>7.303386905509301</v>
          </cell>
          <cell r="M13">
            <v>7.192389010873948E-2</v>
          </cell>
          <cell r="N13">
            <v>6.2316997332755773E-2</v>
          </cell>
          <cell r="P13">
            <v>1.3230180148329926</v>
          </cell>
          <cell r="Q13">
            <v>1.0011451261777287</v>
          </cell>
        </row>
        <row r="14">
          <cell r="A14" t="str">
            <v>Median</v>
          </cell>
          <cell r="G14">
            <v>12.952029015627549</v>
          </cell>
          <cell r="H14">
            <v>11.618398977446695</v>
          </cell>
          <cell r="J14">
            <v>8.4335448840012948</v>
          </cell>
          <cell r="K14">
            <v>7.4025139841364425</v>
          </cell>
          <cell r="M14">
            <v>7.200181567385705E-2</v>
          </cell>
          <cell r="N14">
            <v>6.8736781050752982E-2</v>
          </cell>
          <cell r="P14">
            <v>1.0733657862072918</v>
          </cell>
          <cell r="Q14">
            <v>0.9780518165592389</v>
          </cell>
        </row>
        <row r="16">
          <cell r="A16" t="str">
            <v>Medical Devices</v>
          </cell>
        </row>
        <row r="17">
          <cell r="A17" t="str">
            <v>BSX</v>
          </cell>
          <cell r="C17">
            <v>8.120000000000001</v>
          </cell>
          <cell r="D17">
            <v>12263.230000000001</v>
          </cell>
          <cell r="E17">
            <v>17319.230000000003</v>
          </cell>
          <cell r="G17">
            <v>12.387758819489303</v>
          </cell>
          <cell r="H17">
            <v>10.387769552705459</v>
          </cell>
          <cell r="J17">
            <v>7.2651860465311406</v>
          </cell>
          <cell r="K17">
            <v>6.7282871008495428</v>
          </cell>
          <cell r="M17">
            <v>0.11811879904397128</v>
          </cell>
          <cell r="N17">
            <v>0.1775959514744484</v>
          </cell>
          <cell r="P17">
            <v>0.46335926713728226</v>
          </cell>
          <cell r="Q17">
            <v>0.53953167685562819</v>
          </cell>
          <cell r="S17">
            <v>0.51518000000000008</v>
          </cell>
          <cell r="T17">
            <v>0.51721109999999992</v>
          </cell>
          <cell r="U17">
            <v>0.65548580000000001</v>
          </cell>
          <cell r="V17">
            <v>0.78168850000000001</v>
          </cell>
          <cell r="X17">
            <v>1510.25</v>
          </cell>
          <cell r="Y17">
            <v>8.120000000000001</v>
          </cell>
          <cell r="Z17">
            <v>6250</v>
          </cell>
          <cell r="AA17">
            <v>1194</v>
          </cell>
          <cell r="AB17">
            <v>17319.230000000003</v>
          </cell>
          <cell r="AD17">
            <v>2206.98</v>
          </cell>
          <cell r="AE17">
            <v>2383.866</v>
          </cell>
          <cell r="AF17">
            <v>2574.0920000000001</v>
          </cell>
          <cell r="AJ17">
            <v>1448.518</v>
          </cell>
          <cell r="AK17">
            <v>2177.9</v>
          </cell>
        </row>
        <row r="18">
          <cell r="A18" t="str">
            <v>MDT</v>
          </cell>
          <cell r="C18">
            <v>35.700000000000003</v>
          </cell>
          <cell r="D18">
            <v>39627</v>
          </cell>
          <cell r="E18">
            <v>45048</v>
          </cell>
          <cell r="G18">
            <v>10.648359839397679</v>
          </cell>
          <cell r="H18">
            <v>9.6694667492227868</v>
          </cell>
          <cell r="J18">
            <v>7.6777944236796758</v>
          </cell>
          <cell r="K18">
            <v>7.0698518247069719</v>
          </cell>
          <cell r="M18">
            <v>0.10068741009917481</v>
          </cell>
          <cell r="N18">
            <v>0</v>
          </cell>
          <cell r="P18">
            <v>1.1692408308354794</v>
          </cell>
          <cell r="Q18">
            <v>0.95514605376998085</v>
          </cell>
          <cell r="S18">
            <v>2.819563</v>
          </cell>
          <cell r="T18">
            <v>3.0727880000000001</v>
          </cell>
          <cell r="U18">
            <v>3.3526289999999999</v>
          </cell>
          <cell r="V18">
            <v>3.692034</v>
          </cell>
          <cell r="X18">
            <v>1110</v>
          </cell>
          <cell r="Y18">
            <v>35.700000000000003</v>
          </cell>
          <cell r="Z18">
            <v>6965</v>
          </cell>
          <cell r="AA18">
            <v>1544</v>
          </cell>
          <cell r="AB18">
            <v>45048</v>
          </cell>
          <cell r="AD18">
            <v>5464.7860000000001</v>
          </cell>
          <cell r="AE18">
            <v>5867.31</v>
          </cell>
          <cell r="AF18">
            <v>6371.8450000000003</v>
          </cell>
          <cell r="AJ18">
            <v>3989.94</v>
          </cell>
          <cell r="AK18">
            <v>0</v>
          </cell>
        </row>
        <row r="19">
          <cell r="A19" t="str">
            <v>STJ</v>
          </cell>
          <cell r="C19">
            <v>34.08</v>
          </cell>
          <cell r="D19">
            <v>11847.571199999998</v>
          </cell>
          <cell r="E19">
            <v>12646.549199999998</v>
          </cell>
          <cell r="G19">
            <v>12.495265694885997</v>
          </cell>
          <cell r="H19">
            <v>11.000741452556237</v>
          </cell>
          <cell r="J19">
            <v>8.1545395458003931</v>
          </cell>
          <cell r="K19">
            <v>7.3179950281920938</v>
          </cell>
          <cell r="M19">
            <v>6.389832879839541E-2</v>
          </cell>
          <cell r="N19">
            <v>5.612120735767346E-2</v>
          </cell>
          <cell r="P19">
            <v>0.99786175909209984</v>
          </cell>
          <cell r="Q19">
            <v>0.80973134512251954</v>
          </cell>
          <cell r="S19">
            <v>2.31</v>
          </cell>
          <cell r="T19">
            <v>2.4239100000000002</v>
          </cell>
          <cell r="U19">
            <v>2.727433</v>
          </cell>
          <cell r="V19">
            <v>3.0979729999999996</v>
          </cell>
          <cell r="X19">
            <v>347.64</v>
          </cell>
          <cell r="Y19">
            <v>34.08</v>
          </cell>
          <cell r="Z19">
            <v>1285.547</v>
          </cell>
          <cell r="AA19">
            <v>486.56900000000002</v>
          </cell>
          <cell r="AB19">
            <v>12646.549199999998</v>
          </cell>
          <cell r="AD19">
            <v>1388.6000000000001</v>
          </cell>
          <cell r="AE19">
            <v>1550.8600000000001</v>
          </cell>
          <cell r="AF19">
            <v>1728.144</v>
          </cell>
          <cell r="AJ19">
            <v>757.04</v>
          </cell>
          <cell r="AK19">
            <v>664.90000000000009</v>
          </cell>
        </row>
        <row r="20">
          <cell r="A20" t="str">
            <v>EW</v>
          </cell>
          <cell r="C20">
            <v>76.94</v>
          </cell>
          <cell r="D20">
            <v>4339.4160000000002</v>
          </cell>
          <cell r="E20">
            <v>4265.0160000000005</v>
          </cell>
          <cell r="G20">
            <v>22.056304637299352</v>
          </cell>
          <cell r="H20">
            <v>18.35940333609496</v>
          </cell>
          <cell r="J20">
            <v>13.152685296432352</v>
          </cell>
          <cell r="K20">
            <v>11.257573098064576</v>
          </cell>
          <cell r="M20">
            <v>4.5474621469801468E-2</v>
          </cell>
          <cell r="N20">
            <v>5.6574433057351492E-2</v>
          </cell>
          <cell r="P20">
            <v>1.8070818654083789</v>
          </cell>
          <cell r="Q20">
            <v>0.91175734323121815</v>
          </cell>
          <cell r="S20">
            <v>2.5500000000000003</v>
          </cell>
          <cell r="T20">
            <v>3.1088900000000002</v>
          </cell>
          <cell r="U20">
            <v>3.4883449999999998</v>
          </cell>
          <cell r="V20">
            <v>4.1907679999999994</v>
          </cell>
          <cell r="X20">
            <v>56.400000000000006</v>
          </cell>
          <cell r="Y20">
            <v>76.94</v>
          </cell>
          <cell r="Z20">
            <v>113.9</v>
          </cell>
          <cell r="AA20">
            <v>188.3</v>
          </cell>
          <cell r="AB20">
            <v>4265.0160000000005</v>
          </cell>
          <cell r="AD20">
            <v>292.5129</v>
          </cell>
          <cell r="AE20">
            <v>324.26960000000003</v>
          </cell>
          <cell r="AF20">
            <v>378.85750000000002</v>
          </cell>
          <cell r="AJ20">
            <v>197.33330000000001</v>
          </cell>
          <cell r="AK20">
            <v>245.5</v>
          </cell>
        </row>
        <row r="21">
          <cell r="A21" t="str">
            <v>KCI</v>
          </cell>
          <cell r="C21">
            <v>33.19</v>
          </cell>
          <cell r="D21">
            <v>2359.4107200000003</v>
          </cell>
          <cell r="E21">
            <v>3520.2477200000003</v>
          </cell>
          <cell r="G21">
            <v>8.2380030822392971</v>
          </cell>
          <cell r="H21">
            <v>7.987966305655835</v>
          </cell>
          <cell r="J21">
            <v>5.2564547110646558</v>
          </cell>
          <cell r="K21">
            <v>5.0793560637760624</v>
          </cell>
          <cell r="M21">
            <v>0.13374737909133513</v>
          </cell>
          <cell r="N21">
            <v>0</v>
          </cell>
          <cell r="P21">
            <v>0.67576679245333116</v>
          </cell>
          <cell r="Q21">
            <v>2.5519288231182955</v>
          </cell>
          <cell r="S21">
            <v>3.7800000000000002</v>
          </cell>
          <cell r="T21">
            <v>3.5911109999999997</v>
          </cell>
          <cell r="U21">
            <v>4.0288889999999995</v>
          </cell>
          <cell r="V21">
            <v>4.1550000000000002</v>
          </cell>
          <cell r="X21">
            <v>71.088000000000008</v>
          </cell>
          <cell r="Y21">
            <v>33.19</v>
          </cell>
          <cell r="Z21">
            <v>1396.1110000000001</v>
          </cell>
          <cell r="AA21">
            <v>235.274</v>
          </cell>
          <cell r="AB21">
            <v>3520.2477200000003</v>
          </cell>
          <cell r="AD21">
            <v>627.46670000000006</v>
          </cell>
          <cell r="AE21">
            <v>669.7</v>
          </cell>
          <cell r="AF21">
            <v>693.05000000000007</v>
          </cell>
          <cell r="AJ21">
            <v>315.565</v>
          </cell>
          <cell r="AK21">
            <v>0</v>
          </cell>
        </row>
        <row r="22">
          <cell r="A22" t="str">
            <v>CNMD</v>
          </cell>
          <cell r="C22">
            <v>21.19</v>
          </cell>
          <cell r="D22">
            <v>616.14163000000008</v>
          </cell>
          <cell r="E22">
            <v>791.84163000000012</v>
          </cell>
          <cell r="G22">
            <v>17.404517453798768</v>
          </cell>
          <cell r="H22">
            <v>14.975265017667844</v>
          </cell>
          <cell r="J22">
            <v>8.5144261290322589</v>
          </cell>
          <cell r="K22" t="str">
            <v>n/a</v>
          </cell>
          <cell r="M22">
            <v>6.4920138572684971E-2</v>
          </cell>
          <cell r="N22">
            <v>8.1312473562287935E-2</v>
          </cell>
          <cell r="P22">
            <v>0.49335640026516181</v>
          </cell>
          <cell r="Q22">
            <v>0.92315874222838479</v>
          </cell>
          <cell r="S22">
            <v>1.54</v>
          </cell>
          <cell r="T22">
            <v>0.9</v>
          </cell>
          <cell r="U22">
            <v>1.2175</v>
          </cell>
          <cell r="V22">
            <v>1.415</v>
          </cell>
          <cell r="X22">
            <v>29.077000000000002</v>
          </cell>
          <cell r="Y22">
            <v>21.19</v>
          </cell>
          <cell r="Z22">
            <v>186.37899999999999</v>
          </cell>
          <cell r="AA22">
            <v>10.679</v>
          </cell>
          <cell r="AB22">
            <v>791.84163000000012</v>
          </cell>
          <cell r="AD22">
            <v>76</v>
          </cell>
          <cell r="AE22">
            <v>93</v>
          </cell>
          <cell r="AF22">
            <v>0</v>
          </cell>
          <cell r="AJ22">
            <v>40</v>
          </cell>
          <cell r="AK22">
            <v>50.1</v>
          </cell>
        </row>
        <row r="23">
          <cell r="A23" t="str">
            <v>VARI</v>
          </cell>
          <cell r="C23">
            <v>51.2</v>
          </cell>
          <cell r="D23">
            <v>1475.7888000000003</v>
          </cell>
          <cell r="E23">
            <v>1328.1618000000003</v>
          </cell>
          <cell r="G23">
            <v>18.953612514122664</v>
          </cell>
          <cell r="H23">
            <v>16.501176836859763</v>
          </cell>
          <cell r="J23">
            <v>9.265206551265651</v>
          </cell>
          <cell r="K23">
            <v>8.7075789978849993</v>
          </cell>
          <cell r="M23">
            <v>0</v>
          </cell>
          <cell r="N23">
            <v>0</v>
          </cell>
          <cell r="P23">
            <v>1.3251895527133057</v>
          </cell>
          <cell r="Q23">
            <v>1.1102792196581142</v>
          </cell>
          <cell r="S23">
            <v>2.5671439999999999</v>
          </cell>
          <cell r="T23">
            <v>2.3633169999999999</v>
          </cell>
          <cell r="U23">
            <v>2.7013319999999998</v>
          </cell>
          <cell r="V23">
            <v>3.1028089999999997</v>
          </cell>
          <cell r="X23">
            <v>28.824000000000002</v>
          </cell>
          <cell r="Y23">
            <v>51.2</v>
          </cell>
          <cell r="Z23">
            <v>18.75</v>
          </cell>
          <cell r="AA23">
            <v>166.37700000000001</v>
          </cell>
          <cell r="AB23">
            <v>1328.1618000000003</v>
          </cell>
          <cell r="AD23">
            <v>130.42180000000002</v>
          </cell>
          <cell r="AE23">
            <v>143.3494</v>
          </cell>
          <cell r="AF23">
            <v>152.52940000000001</v>
          </cell>
          <cell r="AJ23">
            <v>0</v>
          </cell>
          <cell r="AK23">
            <v>0</v>
          </cell>
        </row>
        <row r="24">
          <cell r="A24" t="str">
            <v>Average</v>
          </cell>
          <cell r="G24">
            <v>11.518059329443492</v>
          </cell>
          <cell r="H24">
            <v>10.028618150964123</v>
          </cell>
          <cell r="J24">
            <v>7.4714902351054082</v>
          </cell>
          <cell r="K24">
            <v>6.8990694627782574</v>
          </cell>
          <cell r="M24">
            <v>0.10940310457157304</v>
          </cell>
          <cell r="N24">
            <v>8.87979757372242E-2</v>
          </cell>
          <cell r="P24">
            <v>0.81630004898638076</v>
          </cell>
          <cell r="Q24">
            <v>0.74733886531280458</v>
          </cell>
        </row>
        <row r="25">
          <cell r="A25" t="str">
            <v>Median</v>
          </cell>
          <cell r="G25">
            <v>11.518059329443492</v>
          </cell>
          <cell r="H25">
            <v>10.028618150964123</v>
          </cell>
          <cell r="J25">
            <v>7.4714902351054082</v>
          </cell>
          <cell r="K25">
            <v>6.8990694627782574</v>
          </cell>
          <cell r="M25">
            <v>0.10940310457157304</v>
          </cell>
          <cell r="N25">
            <v>8.87979757372242E-2</v>
          </cell>
          <cell r="P25">
            <v>0.81630004898638076</v>
          </cell>
          <cell r="Q25">
            <v>0.74733886531280458</v>
          </cell>
        </row>
        <row r="27">
          <cell r="A27" t="str">
            <v>Pharmaceuticals</v>
          </cell>
        </row>
        <row r="28">
          <cell r="A28" t="str">
            <v>TEVA</v>
          </cell>
          <cell r="C28">
            <v>50.480000000000004</v>
          </cell>
          <cell r="D28">
            <v>43059.44</v>
          </cell>
          <cell r="E28">
            <v>49078.44</v>
          </cell>
          <cell r="G28">
            <v>11.304262925331852</v>
          </cell>
          <cell r="H28">
            <v>10.3620880592741</v>
          </cell>
          <cell r="J28">
            <v>8.5772602751696319</v>
          </cell>
          <cell r="K28">
            <v>8.5291360586422815</v>
          </cell>
          <cell r="M28">
            <v>8.5259678249415216E-2</v>
          </cell>
          <cell r="N28">
            <v>0.11219374892009742</v>
          </cell>
          <cell r="P28">
            <v>0.33806879562608438</v>
          </cell>
          <cell r="Q28">
            <v>1.1396278208674859</v>
          </cell>
          <cell r="S28">
            <v>2.930758</v>
          </cell>
          <cell r="T28">
            <v>3.3465579999999999</v>
          </cell>
          <cell r="U28">
            <v>4.4655719999999999</v>
          </cell>
          <cell r="V28">
            <v>4.8716049999999997</v>
          </cell>
          <cell r="X28">
            <v>853</v>
          </cell>
          <cell r="Y28">
            <v>50.480000000000004</v>
          </cell>
          <cell r="Z28">
            <v>8419</v>
          </cell>
          <cell r="AA28">
            <v>2400</v>
          </cell>
          <cell r="AB28">
            <v>49078.44</v>
          </cell>
          <cell r="AD28">
            <v>4427.9520000000002</v>
          </cell>
          <cell r="AE28">
            <v>5721.9250000000002</v>
          </cell>
          <cell r="AF28">
            <v>5754.21</v>
          </cell>
          <cell r="AJ28">
            <v>3671.2339999999999</v>
          </cell>
          <cell r="AK28">
            <v>4831</v>
          </cell>
        </row>
        <row r="29">
          <cell r="A29" t="str">
            <v>MYL</v>
          </cell>
          <cell r="C29">
            <v>16.240000000000002</v>
          </cell>
          <cell r="D29">
            <v>4955.1488000000008</v>
          </cell>
          <cell r="E29">
            <v>9576.4328000000005</v>
          </cell>
          <cell r="G29">
            <v>10.752218307108251</v>
          </cell>
          <cell r="H29">
            <v>9.3082332010463755</v>
          </cell>
          <cell r="J29">
            <v>6.6850908826908926</v>
          </cell>
          <cell r="K29">
            <v>6.114102277617242</v>
          </cell>
          <cell r="M29">
            <v>0.12357247475595484</v>
          </cell>
          <cell r="N29">
            <v>0.15954919456707331</v>
          </cell>
          <cell r="P29">
            <v>0.4839868935337136</v>
          </cell>
          <cell r="Q29">
            <v>0.60002838645171896</v>
          </cell>
          <cell r="S29">
            <v>0.8</v>
          </cell>
          <cell r="T29">
            <v>1.2358339999999999</v>
          </cell>
          <cell r="U29">
            <v>1.510386</v>
          </cell>
          <cell r="V29">
            <v>1.7446919999999999</v>
          </cell>
          <cell r="X29">
            <v>305.12</v>
          </cell>
          <cell r="Y29">
            <v>16.240000000000002</v>
          </cell>
          <cell r="Z29">
            <v>5136.9279999999999</v>
          </cell>
          <cell r="AA29">
            <v>515.64400000000001</v>
          </cell>
          <cell r="AB29">
            <v>9576.4328000000005</v>
          </cell>
          <cell r="AD29">
            <v>1336.0070000000001</v>
          </cell>
          <cell r="AE29">
            <v>1432.5060000000001</v>
          </cell>
          <cell r="AF29">
            <v>1566.2860000000001</v>
          </cell>
          <cell r="AJ29">
            <v>612.32000000000005</v>
          </cell>
          <cell r="AK29">
            <v>790.59</v>
          </cell>
        </row>
        <row r="30">
          <cell r="A30" t="str">
            <v>WPI</v>
          </cell>
          <cell r="C30">
            <v>34.42</v>
          </cell>
          <cell r="D30">
            <v>3634.7520000000004</v>
          </cell>
          <cell r="E30">
            <v>3860.2520000000004</v>
          </cell>
          <cell r="G30">
            <v>13.114859036221702</v>
          </cell>
          <cell r="H30">
            <v>12.513319487004798</v>
          </cell>
          <cell r="J30">
            <v>5.509275744513598</v>
          </cell>
          <cell r="K30">
            <v>5.8679053523051916</v>
          </cell>
          <cell r="M30">
            <v>0.11445086212209252</v>
          </cell>
          <cell r="N30">
            <v>0.1293045577800081</v>
          </cell>
          <cell r="P30">
            <v>2.3731805084576485</v>
          </cell>
          <cell r="Q30">
            <v>2.6030402288211563</v>
          </cell>
          <cell r="S30">
            <v>2.0300000000000002</v>
          </cell>
          <cell r="T30">
            <v>2.4870619999999999</v>
          </cell>
          <cell r="U30">
            <v>2.6245039999999999</v>
          </cell>
          <cell r="V30">
            <v>2.7506689999999998</v>
          </cell>
          <cell r="X30">
            <v>105.60000000000001</v>
          </cell>
          <cell r="Y30">
            <v>34.42</v>
          </cell>
          <cell r="Z30">
            <v>876.40000000000009</v>
          </cell>
          <cell r="AA30">
            <v>650.90000000000009</v>
          </cell>
          <cell r="AB30">
            <v>3860.2520000000004</v>
          </cell>
          <cell r="AD30">
            <v>659.95960000000002</v>
          </cell>
          <cell r="AE30">
            <v>700.68230000000005</v>
          </cell>
          <cell r="AF30">
            <v>657.85860000000002</v>
          </cell>
          <cell r="AJ30">
            <v>416.00050000000005</v>
          </cell>
          <cell r="AK30">
            <v>469.99</v>
          </cell>
        </row>
        <row r="31">
          <cell r="A31" t="str">
            <v>PRGO</v>
          </cell>
          <cell r="C31">
            <v>37.19</v>
          </cell>
          <cell r="D31">
            <v>3429.2527099999998</v>
          </cell>
          <cell r="E31">
            <v>4005.2977099999998</v>
          </cell>
          <cell r="G31">
            <v>16.726078200149853</v>
          </cell>
          <cell r="H31">
            <v>15.242865281597487</v>
          </cell>
          <cell r="J31">
            <v>10.486719668010682</v>
          </cell>
          <cell r="K31">
            <v>9.8241490540084442</v>
          </cell>
          <cell r="M31">
            <v>5.872638065218589E-2</v>
          </cell>
          <cell r="N31">
            <v>6.2233879520649273E-2</v>
          </cell>
          <cell r="P31">
            <v>1.4118519595997781</v>
          </cell>
          <cell r="Q31">
            <v>1.5664975613865419</v>
          </cell>
          <cell r="S31">
            <v>1.7283679999999999</v>
          </cell>
          <cell r="T31">
            <v>1.987962</v>
          </cell>
          <cell r="U31">
            <v>2.223474</v>
          </cell>
          <cell r="V31">
            <v>2.4398300000000002</v>
          </cell>
          <cell r="X31">
            <v>92.209000000000003</v>
          </cell>
          <cell r="Y31">
            <v>37.19</v>
          </cell>
          <cell r="Z31">
            <v>892.18100000000004</v>
          </cell>
          <cell r="AA31">
            <v>316.13600000000002</v>
          </cell>
          <cell r="AB31">
            <v>4005.2977099999998</v>
          </cell>
          <cell r="AD31">
            <v>352.82089999999999</v>
          </cell>
          <cell r="AE31">
            <v>381.94</v>
          </cell>
          <cell r="AF31">
            <v>407.69920000000002</v>
          </cell>
          <cell r="AJ31">
            <v>201.38760000000002</v>
          </cell>
          <cell r="AK31">
            <v>213.41570000000002</v>
          </cell>
        </row>
        <row r="32">
          <cell r="A32" t="str">
            <v>KV.A</v>
          </cell>
          <cell r="C32">
            <v>3.8000000000000003</v>
          </cell>
          <cell r="D32">
            <v>188.52560000000003</v>
          </cell>
          <cell r="E32">
            <v>322.41160000000002</v>
          </cell>
          <cell r="G32" t="str">
            <v>n/a</v>
          </cell>
          <cell r="H32" t="str">
            <v>n/a</v>
          </cell>
          <cell r="J32" t="str">
            <v>n/a</v>
          </cell>
          <cell r="K32" t="str">
            <v>n/a</v>
          </cell>
          <cell r="M32">
            <v>0</v>
          </cell>
          <cell r="N32" t="str">
            <v>n/a</v>
          </cell>
          <cell r="P32" t="str">
            <v>n/a</v>
          </cell>
          <cell r="Q32" t="str">
            <v>n/a</v>
          </cell>
          <cell r="S32">
            <v>0</v>
          </cell>
          <cell r="T32">
            <v>0</v>
          </cell>
          <cell r="U32">
            <v>0</v>
          </cell>
          <cell r="V32">
            <v>0</v>
          </cell>
          <cell r="X32">
            <v>49.612000000000002</v>
          </cell>
          <cell r="Y32">
            <v>3.8000000000000003</v>
          </cell>
          <cell r="Z32">
            <v>268.96300000000002</v>
          </cell>
          <cell r="AA32">
            <v>135.077</v>
          </cell>
          <cell r="AB32">
            <v>322.41160000000002</v>
          </cell>
          <cell r="AD32">
            <v>0</v>
          </cell>
          <cell r="AE32">
            <v>0</v>
          </cell>
          <cell r="AF32">
            <v>0</v>
          </cell>
          <cell r="AJ32">
            <v>0</v>
          </cell>
          <cell r="AK32">
            <v>0</v>
          </cell>
        </row>
        <row r="33">
          <cell r="A33" t="str">
            <v>Average</v>
          </cell>
          <cell r="G33">
            <v>12.974354617202916</v>
          </cell>
          <cell r="H33">
            <v>11.856626507230692</v>
          </cell>
          <cell r="J33">
            <v>7.8145866425962014</v>
          </cell>
          <cell r="K33">
            <v>7.5838231856432898</v>
          </cell>
          <cell r="M33">
            <v>7.6401879155929692E-2</v>
          </cell>
          <cell r="N33">
            <v>0.11582034519695704</v>
          </cell>
          <cell r="P33">
            <v>1.1517720393043061</v>
          </cell>
          <cell r="Q33">
            <v>1.4772984993817257</v>
          </cell>
        </row>
        <row r="34">
          <cell r="A34" t="str">
            <v>Median</v>
          </cell>
          <cell r="G34">
            <v>12.209560980776777</v>
          </cell>
          <cell r="H34">
            <v>11.43770377313945</v>
          </cell>
          <cell r="J34">
            <v>7.6311755789302627</v>
          </cell>
          <cell r="K34">
            <v>7.3216191681297618</v>
          </cell>
          <cell r="M34">
            <v>8.5259678249415216E-2</v>
          </cell>
          <cell r="N34">
            <v>0.12074915335005276</v>
          </cell>
          <cell r="P34">
            <v>0.94791942656674588</v>
          </cell>
          <cell r="Q34">
            <v>1.3530626911270138</v>
          </cell>
        </row>
        <row r="36">
          <cell r="A36" t="str">
            <v>Hospital Capex</v>
          </cell>
        </row>
        <row r="37">
          <cell r="A37" t="str">
            <v>HRC</v>
          </cell>
          <cell r="C37">
            <v>19.59</v>
          </cell>
          <cell r="D37">
            <v>1226.86293</v>
          </cell>
          <cell r="E37">
            <v>1296.86293</v>
          </cell>
          <cell r="G37">
            <v>15.547619047619047</v>
          </cell>
          <cell r="H37" t="str">
            <v>n/a</v>
          </cell>
          <cell r="J37">
            <v>6.8255943684210525</v>
          </cell>
          <cell r="K37" t="str">
            <v>n/a</v>
          </cell>
          <cell r="M37">
            <v>0.10729935413404333</v>
          </cell>
          <cell r="N37">
            <v>0.11312315060330333</v>
          </cell>
          <cell r="P37">
            <v>1.2269927763064461</v>
          </cell>
          <cell r="Q37" t="str">
            <v>n/a</v>
          </cell>
          <cell r="S37">
            <v>1.318206</v>
          </cell>
          <cell r="T37">
            <v>1.1182969999999999</v>
          </cell>
          <cell r="U37">
            <v>1.26</v>
          </cell>
          <cell r="V37">
            <v>0</v>
          </cell>
          <cell r="X37">
            <v>62.627000000000002</v>
          </cell>
          <cell r="Y37">
            <v>19.59</v>
          </cell>
          <cell r="Z37">
            <v>198.3</v>
          </cell>
          <cell r="AA37">
            <v>128.30000000000001</v>
          </cell>
          <cell r="AB37">
            <v>1296.86293</v>
          </cell>
          <cell r="AD37">
            <v>216.12140000000002</v>
          </cell>
          <cell r="AE37">
            <v>190</v>
          </cell>
          <cell r="AF37">
            <v>0</v>
          </cell>
          <cell r="AJ37">
            <v>131.64160000000001</v>
          </cell>
          <cell r="AK37">
            <v>138.78659999999999</v>
          </cell>
        </row>
        <row r="38">
          <cell r="A38" t="str">
            <v>SYK</v>
          </cell>
          <cell r="C38">
            <v>46</v>
          </cell>
          <cell r="D38">
            <v>18285</v>
          </cell>
          <cell r="E38">
            <v>15876.5</v>
          </cell>
          <cell r="G38">
            <v>14.084994367533232</v>
          </cell>
          <cell r="H38">
            <v>12.469747308703234</v>
          </cell>
          <cell r="J38">
            <v>7.6334941945248849</v>
          </cell>
          <cell r="K38">
            <v>6.9945058116098267</v>
          </cell>
          <cell r="M38">
            <v>6.6160568772217668E-2</v>
          </cell>
          <cell r="N38">
            <v>8.2571780147662019E-2</v>
          </cell>
          <cell r="P38">
            <v>1.3047544761030507</v>
          </cell>
          <cell r="Q38">
            <v>0.96266758136395392</v>
          </cell>
          <cell r="S38">
            <v>2.83</v>
          </cell>
          <cell r="T38">
            <v>2.9476809999999998</v>
          </cell>
          <cell r="U38">
            <v>3.2658869999999998</v>
          </cell>
          <cell r="V38">
            <v>3.6889279999999998</v>
          </cell>
          <cell r="X38">
            <v>397.5</v>
          </cell>
          <cell r="Y38">
            <v>46</v>
          </cell>
          <cell r="Z38">
            <v>19.400000000000002</v>
          </cell>
          <cell r="AA38">
            <v>2427.9</v>
          </cell>
          <cell r="AB38">
            <v>15876.5</v>
          </cell>
          <cell r="AD38">
            <v>1907.8590000000002</v>
          </cell>
          <cell r="AE38">
            <v>2079.8470000000002</v>
          </cell>
          <cell r="AF38">
            <v>2269.8530000000001</v>
          </cell>
          <cell r="AJ38">
            <v>1209.7460000000001</v>
          </cell>
          <cell r="AK38">
            <v>1509.825</v>
          </cell>
        </row>
        <row r="39">
          <cell r="A39" t="str">
            <v>HOLX</v>
          </cell>
          <cell r="C39">
            <v>14.780000000000001</v>
          </cell>
          <cell r="D39">
            <v>3792.5893840000003</v>
          </cell>
          <cell r="E39">
            <v>5554.652384</v>
          </cell>
          <cell r="G39">
            <v>11.537761970818364</v>
          </cell>
          <cell r="H39">
            <v>10.470128609732686</v>
          </cell>
          <cell r="J39">
            <v>7.8002893997192837</v>
          </cell>
          <cell r="K39">
            <v>8.0170081107541868</v>
          </cell>
          <cell r="M39">
            <v>7.0328951270223983E-2</v>
          </cell>
          <cell r="N39">
            <v>7.7747290165159966E-2</v>
          </cell>
          <cell r="P39">
            <v>1.3283342240036613</v>
          </cell>
          <cell r="Q39">
            <v>1.0267906296302576</v>
          </cell>
          <cell r="S39">
            <v>1.1243209999999999</v>
          </cell>
          <cell r="T39">
            <v>1.178636</v>
          </cell>
          <cell r="U39">
            <v>1.2810109999999999</v>
          </cell>
          <cell r="V39">
            <v>1.411635</v>
          </cell>
          <cell r="X39">
            <v>256.6028</v>
          </cell>
          <cell r="Y39">
            <v>14.780000000000001</v>
          </cell>
          <cell r="Z39">
            <v>2006.6949999999999</v>
          </cell>
          <cell r="AA39">
            <v>244.63200000000001</v>
          </cell>
          <cell r="AB39">
            <v>5554.652384</v>
          </cell>
          <cell r="AD39">
            <v>663.33680000000004</v>
          </cell>
          <cell r="AE39">
            <v>712.10850000000005</v>
          </cell>
          <cell r="AF39">
            <v>692.85852119182334</v>
          </cell>
          <cell r="AJ39">
            <v>266.72883397530484</v>
          </cell>
          <cell r="AK39">
            <v>294.86354731515331</v>
          </cell>
        </row>
        <row r="40">
          <cell r="A40" t="str">
            <v>ISRG</v>
          </cell>
          <cell r="C40">
            <v>246.35</v>
          </cell>
          <cell r="D40">
            <v>9408.1064999999999</v>
          </cell>
          <cell r="E40">
            <v>8895.3094999999994</v>
          </cell>
          <cell r="G40">
            <v>35.333469207387168</v>
          </cell>
          <cell r="H40">
            <v>29.885963848113548</v>
          </cell>
          <cell r="J40">
            <v>19.340892072227835</v>
          </cell>
          <cell r="K40">
            <v>16.138993172327606</v>
          </cell>
          <cell r="M40">
            <v>3.4437641623210793E-2</v>
          </cell>
          <cell r="N40">
            <v>4.309049860351815E-2</v>
          </cell>
          <cell r="P40">
            <v>1.5820751772201658</v>
          </cell>
          <cell r="Q40">
            <v>1.6395960650323198</v>
          </cell>
          <cell r="S40">
            <v>5.12</v>
          </cell>
          <cell r="T40">
            <v>5.6992859999999999</v>
          </cell>
          <cell r="U40">
            <v>6.972143</v>
          </cell>
          <cell r="V40">
            <v>8.2430000000000003</v>
          </cell>
          <cell r="X40">
            <v>38.19</v>
          </cell>
          <cell r="Y40">
            <v>246.35</v>
          </cell>
          <cell r="Z40">
            <v>0</v>
          </cell>
          <cell r="AA40">
            <v>512.79700000000003</v>
          </cell>
          <cell r="AB40">
            <v>8895.3094999999994</v>
          </cell>
          <cell r="AD40">
            <v>378.24860000000001</v>
          </cell>
          <cell r="AE40">
            <v>459.92240000000004</v>
          </cell>
          <cell r="AF40">
            <v>551.16880000000003</v>
          </cell>
          <cell r="AJ40">
            <v>323.99299999999999</v>
          </cell>
          <cell r="AK40">
            <v>405.40000000000003</v>
          </cell>
        </row>
        <row r="41">
          <cell r="A41" t="str">
            <v>VAR</v>
          </cell>
          <cell r="C41">
            <v>40.980000000000004</v>
          </cell>
          <cell r="D41">
            <v>5144.2194000000009</v>
          </cell>
          <cell r="E41">
            <v>4702.3294000000005</v>
          </cell>
          <cell r="G41">
            <v>14.713998010127455</v>
          </cell>
          <cell r="H41">
            <v>13.087960162523212</v>
          </cell>
          <cell r="J41">
            <v>8.491996736354432</v>
          </cell>
          <cell r="K41">
            <v>7.494374273943702</v>
          </cell>
          <cell r="M41">
            <v>6.9007165596397371E-2</v>
          </cell>
          <cell r="N41">
            <v>7.3692424549388374E-2</v>
          </cell>
          <cell r="P41">
            <v>3.7802916636122625</v>
          </cell>
          <cell r="Q41">
            <v>1.0534484266044319</v>
          </cell>
          <cell r="S41">
            <v>2.4023300000000001</v>
          </cell>
          <cell r="T41">
            <v>2.6807600000000003</v>
          </cell>
          <cell r="U41">
            <v>2.7851029999999999</v>
          </cell>
          <cell r="V41">
            <v>3.131122</v>
          </cell>
          <cell r="X41">
            <v>125.53</v>
          </cell>
          <cell r="Y41">
            <v>40.980000000000004</v>
          </cell>
          <cell r="Z41">
            <v>32.46</v>
          </cell>
          <cell r="AA41">
            <v>474.35</v>
          </cell>
          <cell r="AB41">
            <v>4702.3294000000005</v>
          </cell>
          <cell r="AD41">
            <v>523.50549999999998</v>
          </cell>
          <cell r="AE41">
            <v>553.73660000000007</v>
          </cell>
          <cell r="AF41">
            <v>627.4479</v>
          </cell>
          <cell r="AJ41">
            <v>354.988</v>
          </cell>
          <cell r="AK41">
            <v>379.09000000000003</v>
          </cell>
        </row>
        <row r="42">
          <cell r="A42" t="str">
            <v>ZOLL</v>
          </cell>
          <cell r="C42">
            <v>19.420000000000002</v>
          </cell>
          <cell r="D42">
            <v>408.92694000000006</v>
          </cell>
          <cell r="E42">
            <v>353.66294000000005</v>
          </cell>
          <cell r="G42">
            <v>22.176579932867316</v>
          </cell>
          <cell r="H42">
            <v>15.023866440767131</v>
          </cell>
          <cell r="J42" t="str">
            <v>n/a</v>
          </cell>
          <cell r="K42" t="str">
            <v>n/a</v>
          </cell>
          <cell r="M42" t="str">
            <v>n/a</v>
          </cell>
          <cell r="N42" t="str">
            <v>n/a</v>
          </cell>
          <cell r="P42">
            <v>0.2731926083631131</v>
          </cell>
          <cell r="Q42">
            <v>0.31556773954290435</v>
          </cell>
          <cell r="S42">
            <v>0.91927799999999993</v>
          </cell>
          <cell r="T42">
            <v>0.48334240000000001</v>
          </cell>
          <cell r="U42">
            <v>0.87569859999999999</v>
          </cell>
          <cell r="V42">
            <v>1.29261</v>
          </cell>
          <cell r="X42">
            <v>21.057000000000002</v>
          </cell>
          <cell r="Y42">
            <v>19.420000000000002</v>
          </cell>
          <cell r="Z42">
            <v>0</v>
          </cell>
          <cell r="AA42">
            <v>55.264000000000003</v>
          </cell>
          <cell r="AB42">
            <v>353.66294000000005</v>
          </cell>
          <cell r="AD42">
            <v>0</v>
          </cell>
          <cell r="AE42">
            <v>0</v>
          </cell>
          <cell r="AF42">
            <v>0</v>
          </cell>
          <cell r="AJ42">
            <v>0</v>
          </cell>
          <cell r="AK42">
            <v>0</v>
          </cell>
        </row>
        <row r="43">
          <cell r="A43" t="str">
            <v>Average</v>
          </cell>
          <cell r="G43">
            <v>18.89907042272543</v>
          </cell>
          <cell r="H43">
            <v>16.187533273967965</v>
          </cell>
          <cell r="J43">
            <v>10.018453354249498</v>
          </cell>
          <cell r="K43">
            <v>9.6612203421588312</v>
          </cell>
          <cell r="M43">
            <v>6.9446736279218629E-2</v>
          </cell>
          <cell r="N43">
            <v>7.8045028813806372E-2</v>
          </cell>
          <cell r="P43">
            <v>1.5826068209347832</v>
          </cell>
          <cell r="Q43">
            <v>0.99961408843477351</v>
          </cell>
        </row>
        <row r="44">
          <cell r="A44" t="str">
            <v>Median</v>
          </cell>
          <cell r="G44">
            <v>15.130808528873251</v>
          </cell>
          <cell r="H44">
            <v>13.087960162523212</v>
          </cell>
          <cell r="J44">
            <v>7.8002893997192837</v>
          </cell>
          <cell r="K44">
            <v>7.7556911923489444</v>
          </cell>
          <cell r="M44">
            <v>6.9007165596397371E-2</v>
          </cell>
          <cell r="N44">
            <v>7.7747290165159966E-2</v>
          </cell>
          <cell r="P44">
            <v>1.316544350053356</v>
          </cell>
          <cell r="Q44">
            <v>1.0267906296302576</v>
          </cell>
        </row>
        <row r="46">
          <cell r="A46" t="str">
            <v>Hospitals</v>
          </cell>
        </row>
        <row r="47">
          <cell r="A47" t="str">
            <v>CYH</v>
          </cell>
          <cell r="C47">
            <v>31.28</v>
          </cell>
          <cell r="D47">
            <v>2907.0068000000001</v>
          </cell>
          <cell r="E47">
            <v>11578.7258</v>
          </cell>
          <cell r="G47">
            <v>10.618215739196526</v>
          </cell>
          <cell r="H47">
            <v>9.568145660946886</v>
          </cell>
          <cell r="J47">
            <v>6.6905266624870352</v>
          </cell>
          <cell r="K47">
            <v>6.4785076754704995</v>
          </cell>
          <cell r="M47">
            <v>0.11539126774660451</v>
          </cell>
          <cell r="N47">
            <v>0.1496384528581082</v>
          </cell>
          <cell r="P47">
            <v>0.85780396219408694</v>
          </cell>
          <cell r="Q47">
            <v>0.87184096838279845</v>
          </cell>
          <cell r="S47">
            <v>2.173</v>
          </cell>
          <cell r="T47">
            <v>2.6213949999999997</v>
          </cell>
          <cell r="U47">
            <v>2.945881</v>
          </cell>
          <cell r="V47">
            <v>3.2691809999999997</v>
          </cell>
          <cell r="X47">
            <v>92.935000000000002</v>
          </cell>
          <cell r="Y47">
            <v>31.28</v>
          </cell>
          <cell r="Z47">
            <v>8940.5439999999999</v>
          </cell>
          <cell r="AA47">
            <v>268.82499999999999</v>
          </cell>
          <cell r="AB47">
            <v>11578.7258</v>
          </cell>
          <cell r="AD47">
            <v>1644.0810000000001</v>
          </cell>
          <cell r="AE47">
            <v>1730.615</v>
          </cell>
          <cell r="AF47">
            <v>1787.252</v>
          </cell>
          <cell r="AJ47">
            <v>335.44319999999999</v>
          </cell>
          <cell r="AK47">
            <v>435</v>
          </cell>
        </row>
        <row r="48">
          <cell r="A48" t="str">
            <v>HMA</v>
          </cell>
          <cell r="C48">
            <v>6.1000000000000005</v>
          </cell>
          <cell r="D48">
            <v>1504.3942000000002</v>
          </cell>
          <cell r="E48">
            <v>4370.9742000000006</v>
          </cell>
          <cell r="G48">
            <v>11.217010725484995</v>
          </cell>
          <cell r="H48">
            <v>10.348981219143919</v>
          </cell>
          <cell r="J48">
            <v>6.2868566811155437</v>
          </cell>
          <cell r="K48">
            <v>6.0913558259124549</v>
          </cell>
          <cell r="M48">
            <v>0.13621675754931784</v>
          </cell>
          <cell r="N48" t="str">
            <v>n/a</v>
          </cell>
          <cell r="P48">
            <v>0.88471177694996683</v>
          </cell>
          <cell r="Q48">
            <v>1.2338452954859569</v>
          </cell>
          <cell r="S48">
            <v>0.39</v>
          </cell>
          <cell r="T48">
            <v>0.4826261</v>
          </cell>
          <cell r="U48">
            <v>0.54381689999999994</v>
          </cell>
          <cell r="V48">
            <v>0.58943000000000001</v>
          </cell>
          <cell r="X48">
            <v>246.62200000000001</v>
          </cell>
          <cell r="Y48">
            <v>6.1000000000000005</v>
          </cell>
          <cell r="Z48">
            <v>3069.4569999999999</v>
          </cell>
          <cell r="AA48">
            <v>202.87700000000001</v>
          </cell>
          <cell r="AB48">
            <v>4370.9742000000006</v>
          </cell>
          <cell r="AD48">
            <v>670.60820000000001</v>
          </cell>
          <cell r="AE48">
            <v>695.2559</v>
          </cell>
          <cell r="AF48">
            <v>717.57</v>
          </cell>
          <cell r="AJ48">
            <v>204.9237</v>
          </cell>
          <cell r="AK48">
            <v>0</v>
          </cell>
        </row>
        <row r="49">
          <cell r="A49" t="str">
            <v>LPNT</v>
          </cell>
          <cell r="C49">
            <v>28.330000000000002</v>
          </cell>
          <cell r="D49">
            <v>1551.23748</v>
          </cell>
          <cell r="E49">
            <v>2868.8374800000001</v>
          </cell>
          <cell r="G49">
            <v>10.752582061975561</v>
          </cell>
          <cell r="H49">
            <v>9.8087892013990601</v>
          </cell>
          <cell r="J49">
            <v>5.9131939301511034</v>
          </cell>
          <cell r="K49">
            <v>5.7255596757261635</v>
          </cell>
          <cell r="M49">
            <v>9.7335386713322591E-2</v>
          </cell>
          <cell r="N49">
            <v>0</v>
          </cell>
          <cell r="P49">
            <v>1.2990437978736791</v>
          </cell>
          <cell r="Q49">
            <v>1.0194222653762499</v>
          </cell>
          <cell r="S49">
            <v>2.58</v>
          </cell>
          <cell r="T49">
            <v>2.4333039999999997</v>
          </cell>
          <cell r="U49">
            <v>2.6347160000000001</v>
          </cell>
          <cell r="V49">
            <v>2.888226</v>
          </cell>
          <cell r="X49">
            <v>54.756</v>
          </cell>
          <cell r="Y49">
            <v>28.330000000000002</v>
          </cell>
          <cell r="Z49">
            <v>1389.6000000000001</v>
          </cell>
          <cell r="AA49">
            <v>72</v>
          </cell>
          <cell r="AB49">
            <v>2868.8374800000001</v>
          </cell>
          <cell r="AD49">
            <v>463.79670000000004</v>
          </cell>
          <cell r="AE49">
            <v>485.15870000000001</v>
          </cell>
          <cell r="AF49">
            <v>501.05799999999999</v>
          </cell>
          <cell r="AJ49">
            <v>150.99030000000002</v>
          </cell>
          <cell r="AK49">
            <v>0</v>
          </cell>
        </row>
        <row r="50">
          <cell r="A50" t="str">
            <v>UHS</v>
          </cell>
          <cell r="C50">
            <v>55.65</v>
          </cell>
          <cell r="D50">
            <v>2732.0810999999999</v>
          </cell>
          <cell r="E50">
            <v>3643.3361</v>
          </cell>
          <cell r="G50">
            <v>11.126619732925137</v>
          </cell>
          <cell r="H50">
            <v>10.592063014114757</v>
          </cell>
          <cell r="J50">
            <v>5.2325334169772075</v>
          </cell>
          <cell r="K50">
            <v>5.0507091273407108</v>
          </cell>
          <cell r="M50">
            <v>7.5144182213331814E-2</v>
          </cell>
          <cell r="N50">
            <v>4.6484710867477547E-2</v>
          </cell>
          <cell r="P50">
            <v>1.7848026539903321</v>
          </cell>
          <cell r="Q50">
            <v>2.0987819430022876</v>
          </cell>
          <cell r="S50">
            <v>3.89</v>
          </cell>
          <cell r="T50">
            <v>4.7080169999999999</v>
          </cell>
          <cell r="U50">
            <v>5.001519</v>
          </cell>
          <cell r="V50">
            <v>5.2539340000000001</v>
          </cell>
          <cell r="X50">
            <v>49.094000000000001</v>
          </cell>
          <cell r="Y50">
            <v>55.65</v>
          </cell>
          <cell r="Z50">
            <v>921.87800000000004</v>
          </cell>
          <cell r="AA50">
            <v>10.623000000000001</v>
          </cell>
          <cell r="AB50">
            <v>3643.3361</v>
          </cell>
          <cell r="AD50">
            <v>675.28110000000004</v>
          </cell>
          <cell r="AE50">
            <v>696.28530000000001</v>
          </cell>
          <cell r="AF50">
            <v>721.35140000000001</v>
          </cell>
          <cell r="AJ50">
            <v>205.3</v>
          </cell>
          <cell r="AK50">
            <v>127</v>
          </cell>
        </row>
        <row r="51">
          <cell r="A51" t="str">
            <v>THC</v>
          </cell>
          <cell r="C51">
            <v>5.12</v>
          </cell>
          <cell r="D51">
            <v>2461.7774079999999</v>
          </cell>
          <cell r="E51">
            <v>6320.7774079999999</v>
          </cell>
          <cell r="G51">
            <v>36.92242900545255</v>
          </cell>
          <cell r="H51">
            <v>22.120175630738231</v>
          </cell>
          <cell r="J51">
            <v>6.4356014083273765</v>
          </cell>
          <cell r="K51">
            <v>6.1594551189788254</v>
          </cell>
          <cell r="M51">
            <v>1.1198888214023289E-2</v>
          </cell>
          <cell r="N51">
            <v>7.2508586446496465E-2</v>
          </cell>
          <cell r="P51">
            <v>0.43769122809713368</v>
          </cell>
          <cell r="Q51">
            <v>0.33055924496640965</v>
          </cell>
          <cell r="S51">
            <v>0.05</v>
          </cell>
          <cell r="T51">
            <v>7.5217599999999996E-2</v>
          </cell>
          <cell r="U51">
            <v>0.13866909999999999</v>
          </cell>
          <cell r="V51">
            <v>0.2314629</v>
          </cell>
          <cell r="X51">
            <v>480.8159</v>
          </cell>
          <cell r="Y51">
            <v>5.12</v>
          </cell>
          <cell r="Z51">
            <v>4626</v>
          </cell>
          <cell r="AA51">
            <v>767</v>
          </cell>
          <cell r="AB51">
            <v>6320.7774079999999</v>
          </cell>
          <cell r="AD51">
            <v>933.04930000000002</v>
          </cell>
          <cell r="AE51">
            <v>982.15800000000002</v>
          </cell>
          <cell r="AF51">
            <v>1026.191</v>
          </cell>
          <cell r="AJ51">
            <v>27.569170000000003</v>
          </cell>
          <cell r="AK51">
            <v>178.5</v>
          </cell>
        </row>
        <row r="52">
          <cell r="A52" t="str">
            <v>Average</v>
          </cell>
          <cell r="G52">
            <v>16.127371453006951</v>
          </cell>
          <cell r="H52">
            <v>12.48763094526857</v>
          </cell>
          <cell r="J52">
            <v>6.1117424198116534</v>
          </cell>
          <cell r="K52">
            <v>5.9011174846857308</v>
          </cell>
          <cell r="M52">
            <v>8.705729648732001E-2</v>
          </cell>
          <cell r="N52">
            <v>6.7157937543020546E-2</v>
          </cell>
          <cell r="P52">
            <v>1.0528106838210398</v>
          </cell>
          <cell r="Q52">
            <v>1.1108899434427406</v>
          </cell>
        </row>
        <row r="53">
          <cell r="A53" t="str">
            <v>Median</v>
          </cell>
          <cell r="G53">
            <v>11.126619732925137</v>
          </cell>
          <cell r="H53">
            <v>10.348981219143919</v>
          </cell>
          <cell r="J53">
            <v>6.2868566811155437</v>
          </cell>
          <cell r="K53">
            <v>6.0913558259124549</v>
          </cell>
          <cell r="M53">
            <v>9.7335386713322591E-2</v>
          </cell>
          <cell r="N53">
            <v>5.9496648656987006E-2</v>
          </cell>
          <cell r="P53">
            <v>0.88471177694996683</v>
          </cell>
          <cell r="Q53">
            <v>1.0194222653762499</v>
          </cell>
        </row>
        <row r="55">
          <cell r="A55" t="str">
            <v>COV</v>
          </cell>
          <cell r="C55">
            <v>42.12</v>
          </cell>
          <cell r="D55">
            <v>21146.131187999999</v>
          </cell>
          <cell r="E55">
            <v>22934.131187999999</v>
          </cell>
          <cell r="G55">
            <v>12.754746691699722</v>
          </cell>
          <cell r="H55">
            <v>11.496728263691056</v>
          </cell>
          <cell r="J55">
            <v>8.5969678704502002</v>
          </cell>
          <cell r="K55">
            <v>7.9726438399737463</v>
          </cell>
          <cell r="M55">
            <v>7.0499893656481183E-2</v>
          </cell>
          <cell r="N55">
            <v>0</v>
          </cell>
          <cell r="P55">
            <v>1.0978400487930966</v>
          </cell>
          <cell r="Q55">
            <v>1.0506583832668803</v>
          </cell>
          <cell r="S55">
            <v>2.7457389999999999</v>
          </cell>
          <cell r="T55">
            <v>2.9585719999999998</v>
          </cell>
          <cell r="U55">
            <v>3.3023000000000002</v>
          </cell>
          <cell r="V55">
            <v>3.6636509999999998</v>
          </cell>
          <cell r="X55">
            <v>502.04490000000004</v>
          </cell>
          <cell r="Y55">
            <v>42.12</v>
          </cell>
          <cell r="Z55">
            <v>3009</v>
          </cell>
          <cell r="AA55">
            <v>1221</v>
          </cell>
          <cell r="AB55">
            <v>22934.131187999999</v>
          </cell>
          <cell r="AD55">
            <v>2606.4749999999999</v>
          </cell>
          <cell r="AE55">
            <v>2667.7000000000003</v>
          </cell>
          <cell r="AF55">
            <v>2876.6030000000001</v>
          </cell>
          <cell r="AJ55">
            <v>1490.8000000000002</v>
          </cell>
          <cell r="AK55">
            <v>0</v>
          </cell>
        </row>
        <row r="57">
          <cell r="A57" t="str">
            <v>MCK</v>
          </cell>
          <cell r="G57">
            <v>12.502823407039605</v>
          </cell>
          <cell r="H57">
            <v>11.47302910238443</v>
          </cell>
          <cell r="J57">
            <v>5.8859493669399505</v>
          </cell>
          <cell r="K57">
            <v>5.4654683254423357</v>
          </cell>
          <cell r="M57">
            <v>9.6430413910356269E-2</v>
          </cell>
          <cell r="N57">
            <v>0.11775739470534269</v>
          </cell>
          <cell r="P57">
            <v>1.818811254368508</v>
          </cell>
          <cell r="Q57">
            <v>1.278220283304405</v>
          </cell>
          <cell r="S57">
            <v>3.8894169999999999</v>
          </cell>
          <cell r="T57">
            <v>4.3952049999999998</v>
          </cell>
          <cell r="U57">
            <v>4.6973389999999995</v>
          </cell>
          <cell r="V57">
            <v>5.1189619999999998</v>
          </cell>
          <cell r="X57">
            <v>268</v>
          </cell>
          <cell r="Y57">
            <v>58.730000000000004</v>
          </cell>
          <cell r="Z57">
            <v>2511</v>
          </cell>
          <cell r="AA57">
            <v>3215</v>
          </cell>
          <cell r="AB57">
            <v>15035.640000000001</v>
          </cell>
          <cell r="AD57">
            <v>2402.694</v>
          </cell>
          <cell r="AE57">
            <v>2554.4969999999998</v>
          </cell>
          <cell r="AF57">
            <v>2751.0250000000001</v>
          </cell>
          <cell r="AJ57">
            <v>1517.78</v>
          </cell>
          <cell r="AK57">
            <v>1853.4590000000001</v>
          </cell>
        </row>
        <row r="60">
          <cell r="A60" t="str">
            <v>RANGES</v>
          </cell>
        </row>
        <row r="62">
          <cell r="A62" t="str">
            <v>2011 P/E</v>
          </cell>
        </row>
        <row r="63">
          <cell r="A63" t="str">
            <v>Low</v>
          </cell>
        </row>
        <row r="64">
          <cell r="A64" t="str">
            <v>High</v>
          </cell>
        </row>
        <row r="66">
          <cell r="A66" t="str">
            <v>2011 EV/EBITDA</v>
          </cell>
        </row>
        <row r="67">
          <cell r="A67" t="str">
            <v>Low</v>
          </cell>
        </row>
        <row r="68">
          <cell r="A68" t="str">
            <v>High</v>
          </cell>
        </row>
        <row r="70">
          <cell r="A70" t="str">
            <v>FCF Yield</v>
          </cell>
        </row>
        <row r="71">
          <cell r="A71" t="str">
            <v xml:space="preserve">Low </v>
          </cell>
        </row>
        <row r="72">
          <cell r="A72" t="str">
            <v>High</v>
          </cell>
        </row>
        <row r="74">
          <cell r="A74" t="str">
            <v>DCF</v>
          </cell>
        </row>
        <row r="75">
          <cell r="A75" t="str">
            <v>Low</v>
          </cell>
        </row>
        <row r="76">
          <cell r="A76" t="str">
            <v>High</v>
          </cell>
        </row>
        <row r="78">
          <cell r="A78" t="str">
            <v>Residual Income</v>
          </cell>
        </row>
        <row r="79">
          <cell r="A79" t="str">
            <v>Low</v>
          </cell>
        </row>
        <row r="80">
          <cell r="A80" t="str">
            <v>High</v>
          </cell>
        </row>
      </sheetData>
      <sheetData sheetId="6"/>
      <sheetData sheetId="7"/>
      <sheetData sheetId="8"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mp;Acalcs"/>
      <sheetName val="#REF"/>
    </sheetNames>
    <sheetDataSet>
      <sheetData sheetId="0" refreshError="1">
        <row r="2">
          <cell r="D2">
            <v>2008</v>
          </cell>
          <cell r="E2">
            <v>2009</v>
          </cell>
          <cell r="F2">
            <v>2010</v>
          </cell>
          <cell r="G2">
            <v>2011</v>
          </cell>
          <cell r="H2">
            <v>2012</v>
          </cell>
        </row>
        <row r="3">
          <cell r="O3" t="str">
            <v>'08-'12</v>
          </cell>
        </row>
        <row r="4">
          <cell r="A4" t="str">
            <v>x</v>
          </cell>
          <cell r="B4" t="str">
            <v>Net income</v>
          </cell>
          <cell r="D4">
            <v>1329</v>
          </cell>
          <cell r="E4">
            <v>1403</v>
          </cell>
          <cell r="F4">
            <v>1588.3802256779072</v>
          </cell>
          <cell r="G4">
            <v>1781.0107797417249</v>
          </cell>
          <cell r="H4">
            <v>2042.3698208147043</v>
          </cell>
          <cell r="L4" t="str">
            <v>EPS Impact</v>
          </cell>
          <cell r="O4" t="str">
            <v>EPS CAGR w/</v>
          </cell>
          <cell r="P4" t="str">
            <v>2012 ROIC</v>
          </cell>
        </row>
        <row r="5">
          <cell r="B5" t="str">
            <v>Diluted shares</v>
          </cell>
          <cell r="D5">
            <v>504.5</v>
          </cell>
          <cell r="E5">
            <v>505.25</v>
          </cell>
          <cell r="F5">
            <v>505.625</v>
          </cell>
          <cell r="G5">
            <v>505.5</v>
          </cell>
          <cell r="H5">
            <v>502.5</v>
          </cell>
          <cell r="K5" t="str">
            <v>Deal size</v>
          </cell>
          <cell r="L5">
            <v>2010</v>
          </cell>
          <cell r="M5">
            <v>2011</v>
          </cell>
          <cell r="N5">
            <v>2012</v>
          </cell>
          <cell r="O5" t="str">
            <v>Acquisition</v>
          </cell>
          <cell r="P5" t="str">
            <v>Implications</v>
          </cell>
        </row>
        <row r="6">
          <cell r="B6" t="str">
            <v>EPS</v>
          </cell>
          <cell r="D6">
            <v>2.6342913776015857</v>
          </cell>
          <cell r="E6">
            <v>2.7768431469569519</v>
          </cell>
          <cell r="F6">
            <v>3.1414194821812753</v>
          </cell>
          <cell r="G6">
            <v>3.5232656374712659</v>
          </cell>
          <cell r="H6">
            <v>4.0644175538601077</v>
          </cell>
          <cell r="I6">
            <v>0.11450912089796494</v>
          </cell>
          <cell r="K6" t="str">
            <v>$3 billion</v>
          </cell>
          <cell r="L6">
            <v>-0.10867485686871481</v>
          </cell>
          <cell r="M6">
            <v>7.4726613669497954E-2</v>
          </cell>
          <cell r="N6">
            <v>0.2673850790822776</v>
          </cell>
          <cell r="O6">
            <v>0.151</v>
          </cell>
          <cell r="P6" t="str">
            <v>- 330 bps</v>
          </cell>
        </row>
        <row r="7">
          <cell r="B7" t="str">
            <v>True EPS</v>
          </cell>
          <cell r="D7">
            <v>2.6328445034712136</v>
          </cell>
          <cell r="E7">
            <v>3.1397692413279228</v>
          </cell>
          <cell r="F7">
            <v>3.5517677792599502</v>
          </cell>
          <cell r="G7">
            <v>3.9558950226562675</v>
          </cell>
          <cell r="H7">
            <v>4.3628859787806906</v>
          </cell>
          <cell r="K7" t="str">
            <v>$2 billion</v>
          </cell>
          <cell r="L7">
            <v>-7.2449904809567034E-2</v>
          </cell>
          <cell r="M7">
            <v>4.9817741925000991E-2</v>
          </cell>
          <cell r="N7">
            <v>0.17825671869181559</v>
          </cell>
          <cell r="O7">
            <v>0.14499999999999999</v>
          </cell>
          <cell r="P7" t="str">
            <v>- 240 bps</v>
          </cell>
        </row>
        <row r="8">
          <cell r="K8" t="str">
            <v>$1 billion</v>
          </cell>
          <cell r="L8">
            <v>-3.6224952516461961E-2</v>
          </cell>
          <cell r="M8">
            <v>2.4908870709831721E-2</v>
          </cell>
          <cell r="N8">
            <v>8.9128359008404878E-2</v>
          </cell>
          <cell r="O8">
            <v>0.13900000000000001</v>
          </cell>
          <cell r="P8" t="str">
            <v>- 130 bps</v>
          </cell>
        </row>
        <row r="9">
          <cell r="B9" t="str">
            <v>Δ EPS</v>
          </cell>
          <cell r="D9">
            <v>1.4468741303721444E-3</v>
          </cell>
          <cell r="E9">
            <v>-0.3629260943709709</v>
          </cell>
          <cell r="F9">
            <v>-0.41034829707867493</v>
          </cell>
          <cell r="G9">
            <v>-0.4326293851850016</v>
          </cell>
          <cell r="H9">
            <v>-0.2984684249205829</v>
          </cell>
        </row>
        <row r="10">
          <cell r="K10" t="str">
            <v>Notes</v>
          </cell>
        </row>
        <row r="11">
          <cell r="K11" t="str">
            <v>Assumptions include:</v>
          </cell>
        </row>
        <row r="12">
          <cell r="B12" t="str">
            <v>Assumptions</v>
          </cell>
          <cell r="K12" t="str">
            <v>1) 30% premium to market price</v>
          </cell>
        </row>
        <row r="13">
          <cell r="A13" t="str">
            <v>x</v>
          </cell>
          <cell r="B13" t="str">
            <v>Acquisition</v>
          </cell>
          <cell r="D13">
            <v>0</v>
          </cell>
          <cell r="E13">
            <v>-600</v>
          </cell>
          <cell r="F13">
            <v>0</v>
          </cell>
          <cell r="G13">
            <v>0</v>
          </cell>
          <cell r="H13">
            <v>0</v>
          </cell>
          <cell r="K13" t="str">
            <v>2) 3.5x price/sales</v>
          </cell>
        </row>
        <row r="14">
          <cell r="K14" t="str">
            <v>3) 15% NI margin ramping to 30% by 2012</v>
          </cell>
        </row>
        <row r="15">
          <cell r="B15" t="str">
            <v>High-ball premium</v>
          </cell>
          <cell r="D15">
            <v>0.4</v>
          </cell>
          <cell r="K15" t="str">
            <v>4) 10% sales growth rate</v>
          </cell>
        </row>
        <row r="16">
          <cell r="B16" t="str">
            <v>High price/sales</v>
          </cell>
          <cell r="D16">
            <v>4.5</v>
          </cell>
        </row>
        <row r="17">
          <cell r="B17" t="str">
            <v>Low NI margin</v>
          </cell>
          <cell r="D17">
            <v>0.2</v>
          </cell>
          <cell r="E17">
            <v>0.2</v>
          </cell>
          <cell r="F17">
            <v>0.2</v>
          </cell>
          <cell r="G17">
            <v>0.3</v>
          </cell>
          <cell r="H17">
            <v>0.4</v>
          </cell>
        </row>
        <row r="18">
          <cell r="O18" t="str">
            <v>'08-'12</v>
          </cell>
        </row>
        <row r="19">
          <cell r="B19" t="str">
            <v>Growth rate</v>
          </cell>
          <cell r="D19">
            <v>0.15</v>
          </cell>
          <cell r="E19">
            <v>0.15</v>
          </cell>
          <cell r="F19">
            <v>0.15</v>
          </cell>
          <cell r="G19">
            <v>0.15</v>
          </cell>
          <cell r="H19">
            <v>0.15</v>
          </cell>
          <cell r="L19" t="str">
            <v>EPS Impact</v>
          </cell>
          <cell r="O19" t="str">
            <v>EPS CAGR w/</v>
          </cell>
          <cell r="P19" t="str">
            <v>2012 ROIC</v>
          </cell>
        </row>
        <row r="20">
          <cell r="B20" t="str">
            <v>Interest rate on cash</v>
          </cell>
          <cell r="K20" t="str">
            <v>Deal size</v>
          </cell>
          <cell r="L20">
            <v>2010</v>
          </cell>
          <cell r="M20">
            <v>2011</v>
          </cell>
          <cell r="N20">
            <v>2012</v>
          </cell>
          <cell r="O20" t="str">
            <v>Acquisition</v>
          </cell>
          <cell r="P20" t="str">
            <v>Implications</v>
          </cell>
        </row>
        <row r="21">
          <cell r="B21" t="str">
            <v>Tax rate</v>
          </cell>
          <cell r="D21">
            <v>0.29283618562593206</v>
          </cell>
          <cell r="E21">
            <v>0.25884838880084521</v>
          </cell>
          <cell r="F21">
            <v>0.21195873009091332</v>
          </cell>
          <cell r="G21">
            <v>0.22200000000000006</v>
          </cell>
          <cell r="H21">
            <v>0.21799999999999994</v>
          </cell>
          <cell r="K21" t="str">
            <v>$500 million</v>
          </cell>
          <cell r="L21">
            <v>-1.9276210715227116E-2</v>
          </cell>
          <cell r="M21">
            <v>1.9030028510921504E-2</v>
          </cell>
          <cell r="N21">
            <v>4.9011373164352001E-2</v>
          </cell>
          <cell r="O21">
            <v>0.13600000000000001</v>
          </cell>
          <cell r="P21" t="str">
            <v>- 70 bps</v>
          </cell>
        </row>
        <row r="22">
          <cell r="B22" t="str">
            <v>Amortization discount</v>
          </cell>
          <cell r="D22">
            <v>0.3</v>
          </cell>
          <cell r="E22">
            <v>0.3</v>
          </cell>
          <cell r="F22">
            <v>0.3</v>
          </cell>
          <cell r="G22">
            <v>0.3</v>
          </cell>
          <cell r="H22">
            <v>0.3</v>
          </cell>
          <cell r="K22" t="str">
            <v>$300 million</v>
          </cell>
          <cell r="L22">
            <v>-1.1565726040420721E-2</v>
          </cell>
          <cell r="M22">
            <v>1.1418017983345408E-2</v>
          </cell>
          <cell r="N22">
            <v>2.9406825068802434E-2</v>
          </cell>
          <cell r="O22">
            <v>0.1343</v>
          </cell>
          <cell r="P22" t="str">
            <v>- 40 bps</v>
          </cell>
        </row>
        <row r="23">
          <cell r="B23" t="str">
            <v>Amortization years</v>
          </cell>
          <cell r="D23">
            <v>15</v>
          </cell>
          <cell r="E23">
            <v>15</v>
          </cell>
          <cell r="F23">
            <v>15</v>
          </cell>
          <cell r="G23">
            <v>15</v>
          </cell>
          <cell r="H23">
            <v>15</v>
          </cell>
          <cell r="K23" t="str">
            <v>$100 million</v>
          </cell>
          <cell r="L23">
            <v>-3.8552425373379329E-3</v>
          </cell>
          <cell r="M23">
            <v>3.806004811448549E-3</v>
          </cell>
          <cell r="N23">
            <v>9.802273443562548E-3</v>
          </cell>
          <cell r="O23">
            <v>0.13300000000000001</v>
          </cell>
          <cell r="P23" t="str">
            <v>- 15 bps</v>
          </cell>
        </row>
        <row r="24">
          <cell r="B24" t="str">
            <v>EBIT</v>
          </cell>
          <cell r="D24">
            <v>0.75</v>
          </cell>
          <cell r="E24">
            <v>0.75</v>
          </cell>
          <cell r="F24">
            <v>0.75</v>
          </cell>
          <cell r="G24">
            <v>0.75</v>
          </cell>
          <cell r="H24">
            <v>0.75</v>
          </cell>
        </row>
        <row r="25">
          <cell r="K25" t="str">
            <v>Notes</v>
          </cell>
        </row>
        <row r="26">
          <cell r="B26" t="str">
            <v>Results of Acquisition</v>
          </cell>
          <cell r="K26" t="str">
            <v>Assumptions include:</v>
          </cell>
        </row>
        <row r="27">
          <cell r="A27" t="str">
            <v>x</v>
          </cell>
          <cell r="B27" t="str">
            <v>MINIMUM RESULTS</v>
          </cell>
          <cell r="K27" t="str">
            <v>1) 40% premium to market price</v>
          </cell>
        </row>
        <row r="28">
          <cell r="B28" t="str">
            <v>Value w/o premium</v>
          </cell>
          <cell r="D28">
            <v>0</v>
          </cell>
          <cell r="E28">
            <v>428.57142857142861</v>
          </cell>
          <cell r="F28">
            <v>0</v>
          </cell>
          <cell r="G28">
            <v>0</v>
          </cell>
          <cell r="H28">
            <v>0</v>
          </cell>
          <cell r="K28" t="str">
            <v>2) 4.5x price/sales</v>
          </cell>
        </row>
        <row r="29">
          <cell r="B29" t="str">
            <v>Sales</v>
          </cell>
          <cell r="D29">
            <v>0</v>
          </cell>
          <cell r="E29">
            <v>95.238095238095241</v>
          </cell>
          <cell r="F29">
            <v>0</v>
          </cell>
          <cell r="G29">
            <v>0</v>
          </cell>
          <cell r="H29">
            <v>0</v>
          </cell>
          <cell r="K29" t="str">
            <v>3) 20% NI margin ramping to 40% by 2012</v>
          </cell>
        </row>
        <row r="30">
          <cell r="B30" t="str">
            <v>Sales growth</v>
          </cell>
          <cell r="D30">
            <v>0</v>
          </cell>
          <cell r="E30">
            <v>0</v>
          </cell>
          <cell r="F30">
            <v>109.52380952380952</v>
          </cell>
          <cell r="G30">
            <v>125.95238095238093</v>
          </cell>
          <cell r="H30">
            <v>144.84523809523807</v>
          </cell>
          <cell r="K30" t="str">
            <v>4) 15% sales growth rate</v>
          </cell>
        </row>
        <row r="31">
          <cell r="B31" t="str">
            <v>Total Sales</v>
          </cell>
          <cell r="D31">
            <v>0</v>
          </cell>
          <cell r="E31">
            <v>95.238095238095241</v>
          </cell>
          <cell r="F31">
            <v>109.52380952380952</v>
          </cell>
          <cell r="G31">
            <v>125.95238095238093</v>
          </cell>
          <cell r="H31">
            <v>144.84523809523807</v>
          </cell>
        </row>
        <row r="32">
          <cell r="B32" t="str">
            <v>Net income</v>
          </cell>
          <cell r="D32">
            <v>0</v>
          </cell>
          <cell r="E32">
            <v>19.047619047619047</v>
          </cell>
          <cell r="F32">
            <v>21.904761904761905</v>
          </cell>
          <cell r="G32">
            <v>37.785714285714278</v>
          </cell>
          <cell r="H32">
            <v>57.938095238095229</v>
          </cell>
        </row>
        <row r="33">
          <cell r="B33" t="str">
            <v>Loss in interest</v>
          </cell>
          <cell r="D33">
            <v>0</v>
          </cell>
          <cell r="E33">
            <v>0</v>
          </cell>
          <cell r="F33">
            <v>0</v>
          </cell>
          <cell r="G33">
            <v>0</v>
          </cell>
          <cell r="H33">
            <v>0</v>
          </cell>
        </row>
        <row r="34">
          <cell r="B34" t="str">
            <v>Amortization Expense</v>
          </cell>
          <cell r="D34">
            <v>0</v>
          </cell>
          <cell r="E34">
            <v>-12</v>
          </cell>
          <cell r="F34">
            <v>-12</v>
          </cell>
          <cell r="G34">
            <v>-12</v>
          </cell>
          <cell r="H34">
            <v>-12</v>
          </cell>
        </row>
        <row r="35">
          <cell r="B35" t="str">
            <v>Taxes</v>
          </cell>
          <cell r="D35">
            <v>0</v>
          </cell>
          <cell r="E35">
            <v>3.1061806656101423</v>
          </cell>
          <cell r="F35">
            <v>2.5435047610909596</v>
          </cell>
          <cell r="G35">
            <v>2.6640000000000006</v>
          </cell>
          <cell r="H35">
            <v>2.6159999999999992</v>
          </cell>
        </row>
        <row r="36">
          <cell r="B36" t="str">
            <v>Total Net income</v>
          </cell>
          <cell r="D36">
            <v>0</v>
          </cell>
          <cell r="E36">
            <v>10.153799713229191</v>
          </cell>
          <cell r="F36">
            <v>12.448266665852865</v>
          </cell>
          <cell r="G36">
            <v>28.449714285714279</v>
          </cell>
          <cell r="H36">
            <v>48.554095238095229</v>
          </cell>
        </row>
        <row r="38">
          <cell r="B38" t="str">
            <v>ANALYSIS</v>
          </cell>
        </row>
        <row r="39">
          <cell r="B39" t="str">
            <v>EBIT</v>
          </cell>
          <cell r="D39">
            <v>0</v>
          </cell>
          <cell r="E39">
            <v>126.98412698412699</v>
          </cell>
          <cell r="F39">
            <v>29.206349206349206</v>
          </cell>
          <cell r="G39">
            <v>50.380952380952372</v>
          </cell>
          <cell r="H39">
            <v>77.250793650793639</v>
          </cell>
        </row>
        <row r="40">
          <cell r="B40" t="str">
            <v>ROIC</v>
          </cell>
          <cell r="E40">
            <v>0</v>
          </cell>
          <cell r="F40">
            <v>0</v>
          </cell>
          <cell r="G40">
            <v>0</v>
          </cell>
          <cell r="H40">
            <v>0</v>
          </cell>
        </row>
        <row r="41">
          <cell r="B41" t="str">
            <v>True ROIC</v>
          </cell>
          <cell r="E41">
            <v>0.17502255439956466</v>
          </cell>
          <cell r="F41">
            <v>0.18862898877766771</v>
          </cell>
          <cell r="G41">
            <v>0.20370948647918324</v>
          </cell>
          <cell r="H41">
            <v>0.2193134469870652</v>
          </cell>
        </row>
        <row r="43">
          <cell r="B43" t="str">
            <v>ROIC CHANGE</v>
          </cell>
          <cell r="H43">
            <v>2193.1344698706521</v>
          </cell>
        </row>
        <row r="45">
          <cell r="A45" t="str">
            <v>x</v>
          </cell>
        </row>
        <row r="48">
          <cell r="A48" t="str">
            <v>x</v>
          </cell>
        </row>
      </sheetData>
      <sheetData sheetId="1"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s>
    <sheetDataSet>
      <sheetData sheetId="0" refreshError="1">
        <row r="7">
          <cell r="A7" t="str">
            <v>2005A Geographic Mix</v>
          </cell>
        </row>
        <row r="9">
          <cell r="B9" t="str">
            <v>US</v>
          </cell>
          <cell r="C9">
            <v>0.4</v>
          </cell>
        </row>
        <row r="10">
          <cell r="B10" t="str">
            <v>Europe</v>
          </cell>
          <cell r="C10">
            <v>0.41</v>
          </cell>
        </row>
        <row r="11">
          <cell r="B11" t="str">
            <v>Japan</v>
          </cell>
          <cell r="C11">
            <v>0.05</v>
          </cell>
        </row>
        <row r="12">
          <cell r="B12" t="str">
            <v>Latin America</v>
          </cell>
          <cell r="C12">
            <v>0.04</v>
          </cell>
        </row>
        <row r="13">
          <cell r="B13" t="str">
            <v>Asia</v>
          </cell>
          <cell r="C13">
            <v>0.04</v>
          </cell>
        </row>
        <row r="14">
          <cell r="B14" t="str">
            <v>Other</v>
          </cell>
          <cell r="C14">
            <v>0.06</v>
          </cell>
        </row>
        <row r="31">
          <cell r="A31" t="str">
            <v>2005A Product Mix</v>
          </cell>
        </row>
        <row r="32">
          <cell r="B32" t="str">
            <v>Consumable</v>
          </cell>
          <cell r="C32">
            <v>0.36</v>
          </cell>
        </row>
        <row r="33">
          <cell r="B33" t="str">
            <v>Laboratory Products</v>
          </cell>
          <cell r="C33">
            <v>0.28000000000000003</v>
          </cell>
        </row>
        <row r="34">
          <cell r="B34" t="str">
            <v>Specialty Products</v>
          </cell>
          <cell r="C34">
            <v>0.34</v>
          </cell>
        </row>
        <row r="51">
          <cell r="A51" t="str">
            <v>Edentulous rate</v>
          </cell>
        </row>
        <row r="52">
          <cell r="C52" t="str">
            <v>1971 - 1974</v>
          </cell>
          <cell r="D52" t="str">
            <v>1988 - 1994</v>
          </cell>
        </row>
        <row r="53">
          <cell r="B53" t="str">
            <v>Total</v>
          </cell>
          <cell r="C53">
            <v>0.15</v>
          </cell>
          <cell r="D53">
            <v>0.08</v>
          </cell>
        </row>
        <row r="54">
          <cell r="B54" t="str">
            <v>18 - 24</v>
          </cell>
          <cell r="C54">
            <v>0.01</v>
          </cell>
          <cell r="D54">
            <v>0</v>
          </cell>
        </row>
        <row r="55">
          <cell r="B55" t="str">
            <v>25 - 34</v>
          </cell>
          <cell r="C55">
            <v>0.03</v>
          </cell>
          <cell r="D55">
            <v>0.01</v>
          </cell>
        </row>
        <row r="56">
          <cell r="B56" t="str">
            <v>35 - 44</v>
          </cell>
          <cell r="C56">
            <v>0.09</v>
          </cell>
          <cell r="D56">
            <v>0.03</v>
          </cell>
        </row>
        <row r="57">
          <cell r="B57" t="str">
            <v>45 - 54</v>
          </cell>
          <cell r="C57">
            <v>0.16</v>
          </cell>
          <cell r="D57">
            <v>0.09</v>
          </cell>
        </row>
        <row r="58">
          <cell r="B58" t="str">
            <v>55 - 64</v>
          </cell>
          <cell r="C58">
            <v>0.33</v>
          </cell>
          <cell r="D58">
            <v>0.2</v>
          </cell>
        </row>
        <row r="59">
          <cell r="B59" t="str">
            <v>65 - 74</v>
          </cell>
          <cell r="C59">
            <v>0.46</v>
          </cell>
          <cell r="D59">
            <v>0.28999999999999998</v>
          </cell>
        </row>
        <row r="79">
          <cell r="A79" t="str">
            <v>XRAY Market Growth Rate Projections</v>
          </cell>
        </row>
        <row r="81">
          <cell r="B81" t="str">
            <v>Total</v>
          </cell>
          <cell r="C81">
            <v>4.4999999999999998E-2</v>
          </cell>
        </row>
        <row r="82">
          <cell r="B82" t="str">
            <v>US</v>
          </cell>
          <cell r="C82">
            <v>5.5E-2</v>
          </cell>
        </row>
        <row r="83">
          <cell r="B83" t="str">
            <v>Europe</v>
          </cell>
          <cell r="C83">
            <v>0.04</v>
          </cell>
        </row>
        <row r="84">
          <cell r="B84" t="str">
            <v>Japan</v>
          </cell>
          <cell r="C84">
            <v>0</v>
          </cell>
        </row>
        <row r="85">
          <cell r="B85" t="str">
            <v>Latin America</v>
          </cell>
          <cell r="C85">
            <v>0.03</v>
          </cell>
        </row>
        <row r="86">
          <cell r="B86" t="str">
            <v>Asia</v>
          </cell>
          <cell r="C86">
            <v>0.1</v>
          </cell>
        </row>
        <row r="87">
          <cell r="B87" t="str">
            <v>Other</v>
          </cell>
          <cell r="C87">
            <v>0.06</v>
          </cell>
        </row>
        <row r="104">
          <cell r="A104" t="str">
            <v>XRAY Estimated Total Retail Market Size</v>
          </cell>
        </row>
        <row r="106">
          <cell r="B106" t="str">
            <v>US</v>
          </cell>
          <cell r="C106">
            <v>5000</v>
          </cell>
        </row>
        <row r="107">
          <cell r="B107" t="str">
            <v>Europe</v>
          </cell>
          <cell r="C107">
            <v>3800</v>
          </cell>
        </row>
        <row r="108">
          <cell r="B108" t="str">
            <v>Japan</v>
          </cell>
          <cell r="C108">
            <v>1700</v>
          </cell>
        </row>
        <row r="109">
          <cell r="B109" t="str">
            <v>Latin America</v>
          </cell>
          <cell r="C109">
            <v>800</v>
          </cell>
        </row>
        <row r="110">
          <cell r="B110" t="str">
            <v>Asia</v>
          </cell>
          <cell r="C110">
            <v>440</v>
          </cell>
        </row>
        <row r="111">
          <cell r="B111" t="str">
            <v>Other</v>
          </cell>
          <cell r="C111">
            <v>760</v>
          </cell>
        </row>
      </sheetData>
      <sheetData sheetId="1" refreshError="1"/>
      <sheetData sheetId="2"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onci"/>
      <sheetName val="Inputs"/>
      <sheetName val="Scen 1"/>
      <sheetName val="Scen 2"/>
      <sheetName val="Scen 3"/>
      <sheetName val="Scen 4"/>
      <sheetName val="Scen 5"/>
      <sheetName val="__FDSCACHE__"/>
      <sheetName val="Target"/>
      <sheetName val="10-Year DCF"/>
      <sheetName val="5-Year DCF"/>
      <sheetName val="Acq Scen1"/>
      <sheetName val="Acq Scen 2"/>
      <sheetName val="Acq Scen 3"/>
      <sheetName val="Acq Scen 4"/>
      <sheetName val="Acq Scen 5"/>
      <sheetName val="Acquiror"/>
      <sheetName val="Val-Matrix"/>
      <sheetName val="Switches"/>
      <sheetName val="Sources &amp; Uses"/>
      <sheetName val="AdditionalPrintCode"/>
      <sheetName val="MainPrintCode"/>
      <sheetName val="Combined"/>
      <sheetName val="Combined  PF BS"/>
      <sheetName val="LBO Summary"/>
      <sheetName val="LBO Financials"/>
      <sheetName val="LBO PF BS"/>
      <sheetName val="Spinoff"/>
      <sheetName val="SPIN PFBS "/>
      <sheetName val="PF Comb Summary"/>
    </sheetNames>
    <sheetDataSet>
      <sheetData sheetId="0" refreshError="1"/>
      <sheetData sheetId="1" refreshError="1">
        <row r="9">
          <cell r="F9" t="str">
            <v>Scenario 2</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row r="8">
          <cell r="AE8">
            <v>0.33300000000000002</v>
          </cell>
        </row>
      </sheetData>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s"/>
      <sheetName val=" Shares"/>
      <sheetName val="EPS to March"/>
      <sheetName val="__FDSCACHE__"/>
      <sheetName val="merger output"/>
      <sheetName val="MM on ownership"/>
      <sheetName val="SBS"/>
      <sheetName val="SBS (1)"/>
      <sheetName val="PP Analysis"/>
      <sheetName val="Ownership Analysis"/>
      <sheetName val="Spending"/>
    </sheetNames>
    <sheetDataSet>
      <sheetData sheetId="0" refreshError="1">
        <row r="2">
          <cell r="B2" t="str">
            <v>Balboa</v>
          </cell>
        </row>
        <row r="3">
          <cell r="B3" t="str">
            <v>Peary</v>
          </cell>
        </row>
      </sheetData>
      <sheetData sheetId="1"/>
      <sheetData sheetId="2"/>
      <sheetData sheetId="3"/>
      <sheetData sheetId="4"/>
      <sheetData sheetId="5"/>
      <sheetData sheetId="6"/>
      <sheetData sheetId="7"/>
      <sheetData sheetId="8"/>
      <sheetData sheetId="9"/>
      <sheetData sheetId="10"/>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ssumptions &amp; Cases"/>
      <sheetName val="Case Comparison"/>
      <sheetName val="Crossover"/>
      <sheetName val="Rev Mult"/>
      <sheetName val="MLNM Internal Model"/>
      <sheetName val="Aruba MSDW Model"/>
      <sheetName val="Pro Forma P&amp;L"/>
      <sheetName val="A DCF Adj"/>
      <sheetName val="Aruba Int Adj"/>
      <sheetName val="Change"/>
      <sheetName val="Premium Paid Matrix"/>
      <sheetName val="Trading Matrix"/>
      <sheetName val="Aruba DCF"/>
      <sheetName val="Antegren"/>
      <sheetName val="In-license"/>
      <sheetName val="__FDSCACHE__"/>
      <sheetName val="Contribution Analysis"/>
      <sheetName val="Inputs"/>
      <sheetName val="Side-by-Side Agg Value"/>
      <sheetName val="Selections"/>
      <sheetName val="AdditionalPrintCode"/>
      <sheetName val="MainPrintCode"/>
      <sheetName val="Calculations"/>
      <sheetName val="A Val Mat"/>
      <sheetName val="Exchange Analysis"/>
      <sheetName val="PEGrowth"/>
      <sheetName val="Aggregate Value"/>
      <sheetName val="Aggregate Value (fee)"/>
      <sheetName val="Summary Fin"/>
      <sheetName val="DE Analysis"/>
      <sheetName val="Output "/>
      <sheetName val="Bar Chart"/>
      <sheetName val="Accretion Dilution Matrix"/>
    </sheetNames>
    <sheetDataSet>
      <sheetData sheetId="0" refreshError="1">
        <row r="6">
          <cell r="F6" t="str">
            <v>Project Bermuda</v>
          </cell>
        </row>
        <row r="13">
          <cell r="F13">
            <v>0.3</v>
          </cell>
        </row>
        <row r="16">
          <cell r="F16">
            <v>20</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row r="6">
          <cell r="I6" t="str">
            <v>MLNM-INT</v>
          </cell>
          <cell r="J6" t="str">
            <v>MLNM</v>
          </cell>
          <cell r="K6" t="str">
            <v>BGEN</v>
          </cell>
        </row>
        <row r="7">
          <cell r="I7" t="str">
            <v>MILLENNIUM PHARMACTCLS INC</v>
          </cell>
          <cell r="J7" t="str">
            <v>MILLENNIUM PHARMACTCLS INC</v>
          </cell>
          <cell r="K7" t="str">
            <v>BIOGEN INC</v>
          </cell>
        </row>
        <row r="11">
          <cell r="I11">
            <v>62.40625</v>
          </cell>
          <cell r="J11">
            <v>62.40625</v>
          </cell>
          <cell r="K11">
            <v>70.875</v>
          </cell>
        </row>
        <row r="12">
          <cell r="I12">
            <v>158</v>
          </cell>
          <cell r="J12">
            <v>158</v>
          </cell>
          <cell r="K12">
            <v>129</v>
          </cell>
        </row>
        <row r="13">
          <cell r="I13">
            <v>28.375</v>
          </cell>
          <cell r="J13">
            <v>28.375</v>
          </cell>
          <cell r="K13">
            <v>48.5</v>
          </cell>
        </row>
        <row r="16">
          <cell r="I16">
            <v>95.828300488185121</v>
          </cell>
          <cell r="J16">
            <v>95.828300488185121</v>
          </cell>
          <cell r="K16">
            <v>147.97635700000001</v>
          </cell>
        </row>
        <row r="17">
          <cell r="I17">
            <v>107.01811834701336</v>
          </cell>
          <cell r="J17">
            <v>107.01811834701336</v>
          </cell>
          <cell r="K17">
            <v>159.76488066843032</v>
          </cell>
        </row>
        <row r="20">
          <cell r="I20">
            <v>5980.2848773408032</v>
          </cell>
          <cell r="J20">
            <v>5980.2848773408032</v>
          </cell>
          <cell r="K20">
            <v>10487.824302375</v>
          </cell>
        </row>
        <row r="21">
          <cell r="I21">
            <v>6678.5994480933023</v>
          </cell>
          <cell r="J21">
            <v>6678.5994480933023</v>
          </cell>
          <cell r="K21">
            <v>11323.335917375</v>
          </cell>
        </row>
        <row r="25">
          <cell r="I25">
            <v>183.679</v>
          </cell>
          <cell r="J25">
            <v>183.679</v>
          </cell>
          <cell r="K25">
            <v>794.43599999999992</v>
          </cell>
        </row>
        <row r="26">
          <cell r="I26">
            <v>215.7</v>
          </cell>
          <cell r="J26">
            <v>215.7</v>
          </cell>
          <cell r="K26">
            <v>948.04599999999994</v>
          </cell>
        </row>
        <row r="27">
          <cell r="I27">
            <v>239.82749268750001</v>
          </cell>
          <cell r="J27">
            <v>239.82749268750001</v>
          </cell>
          <cell r="K27">
            <v>1068.7070000000001</v>
          </cell>
        </row>
        <row r="28">
          <cell r="I28">
            <v>278.89494427083338</v>
          </cell>
          <cell r="J28">
            <v>278.89494427083338</v>
          </cell>
          <cell r="K28">
            <v>1166.3430000000001</v>
          </cell>
        </row>
        <row r="31">
          <cell r="I31">
            <v>159.87700000000001</v>
          </cell>
          <cell r="J31">
            <v>159.87700000000001</v>
          </cell>
          <cell r="K31">
            <v>221.15299999999999</v>
          </cell>
        </row>
        <row r="32">
          <cell r="I32">
            <v>259.11900000000003</v>
          </cell>
          <cell r="J32">
            <v>259.11900000000003</v>
          </cell>
          <cell r="K32">
            <v>300.44299999999998</v>
          </cell>
        </row>
        <row r="33">
          <cell r="I33">
            <v>289.32096000000001</v>
          </cell>
          <cell r="J33">
            <v>289.32096000000001</v>
          </cell>
          <cell r="K33">
            <v>316.96699999999998</v>
          </cell>
        </row>
        <row r="34">
          <cell r="I34">
            <v>329.92834192307691</v>
          </cell>
          <cell r="J34">
            <v>329.92834192307691</v>
          </cell>
          <cell r="K34">
            <v>326.476</v>
          </cell>
        </row>
        <row r="37">
          <cell r="I37">
            <v>32.896000000000001</v>
          </cell>
          <cell r="J37">
            <v>32.896000000000001</v>
          </cell>
          <cell r="K37">
            <v>146.02600000000001</v>
          </cell>
        </row>
        <row r="38">
          <cell r="I38">
            <v>43</v>
          </cell>
          <cell r="J38">
            <v>43</v>
          </cell>
          <cell r="K38">
            <v>170.39099999999999</v>
          </cell>
        </row>
        <row r="39">
          <cell r="I39">
            <v>43.398144000000002</v>
          </cell>
          <cell r="J39">
            <v>43.398144000000002</v>
          </cell>
          <cell r="K39">
            <v>177.20699999999999</v>
          </cell>
        </row>
        <row r="40">
          <cell r="I40">
            <v>51.716751288461538</v>
          </cell>
          <cell r="J40">
            <v>51.716751288461538</v>
          </cell>
          <cell r="K40">
            <v>193.333</v>
          </cell>
        </row>
        <row r="43">
          <cell r="I43">
            <v>-9.0940000000000225</v>
          </cell>
          <cell r="J43">
            <v>-9.0940000000000225</v>
          </cell>
          <cell r="K43">
            <v>300.96499999999997</v>
          </cell>
        </row>
        <row r="44">
          <cell r="I44">
            <v>-86.41900000000004</v>
          </cell>
          <cell r="J44">
            <v>-86.41900000000004</v>
          </cell>
          <cell r="K44">
            <v>347.71799999999996</v>
          </cell>
        </row>
        <row r="45">
          <cell r="I45">
            <v>-92.891611312500004</v>
          </cell>
          <cell r="J45">
            <v>-92.891611312500004</v>
          </cell>
          <cell r="K45">
            <v>424.49000000000012</v>
          </cell>
        </row>
        <row r="46">
          <cell r="I46">
            <v>-102.75014894070506</v>
          </cell>
          <cell r="J46">
            <v>-102.75014894070506</v>
          </cell>
          <cell r="K46">
            <v>482.20500000000004</v>
          </cell>
        </row>
        <row r="49">
          <cell r="I49">
            <v>-351.96000000000004</v>
          </cell>
          <cell r="J49">
            <v>-351.96000000000004</v>
          </cell>
          <cell r="K49">
            <v>220.45042749999996</v>
          </cell>
        </row>
        <row r="50">
          <cell r="I50">
            <v>-239.91900000000004</v>
          </cell>
          <cell r="J50">
            <v>-239.91900000000004</v>
          </cell>
          <cell r="K50">
            <v>300.65692000000001</v>
          </cell>
        </row>
        <row r="51">
          <cell r="I51">
            <v>-92.967179312500008</v>
          </cell>
          <cell r="J51">
            <v>-92.967179312500008</v>
          </cell>
          <cell r="K51">
            <v>344.62152000000003</v>
          </cell>
        </row>
        <row r="52">
          <cell r="I52">
            <v>-83.904591878178834</v>
          </cell>
          <cell r="J52">
            <v>-83.904591878178834</v>
          </cell>
          <cell r="K52">
            <v>410.89765500000004</v>
          </cell>
        </row>
        <row r="55">
          <cell r="I55">
            <v>72.706000000000003</v>
          </cell>
          <cell r="J55">
            <v>72.706000000000003</v>
          </cell>
          <cell r="K55">
            <v>157.78775000000002</v>
          </cell>
        </row>
        <row r="56">
          <cell r="I56">
            <v>99.919767919799511</v>
          </cell>
          <cell r="J56">
            <v>99.919767919799511</v>
          </cell>
          <cell r="K56">
            <v>157.41200000000001</v>
          </cell>
        </row>
        <row r="57">
          <cell r="I57">
            <v>104.62810125313284</v>
          </cell>
          <cell r="J57">
            <v>104.62810125313284</v>
          </cell>
          <cell r="K57">
            <v>159.547</v>
          </cell>
        </row>
        <row r="58">
          <cell r="I58">
            <v>107.38435125313283</v>
          </cell>
          <cell r="J58">
            <v>107.38435125313283</v>
          </cell>
          <cell r="K58">
            <v>160.821</v>
          </cell>
        </row>
        <row r="59">
          <cell r="I59" t="str">
            <v>MSDW</v>
          </cell>
          <cell r="J59" t="str">
            <v>MSDW</v>
          </cell>
          <cell r="K59" t="str">
            <v>MSDW</v>
          </cell>
        </row>
        <row r="60">
          <cell r="I60">
            <v>1.4999999999999999E-2</v>
          </cell>
          <cell r="J60">
            <v>1.4999999999999999E-2</v>
          </cell>
          <cell r="K60">
            <v>0</v>
          </cell>
        </row>
        <row r="62">
          <cell r="I62">
            <v>-4.8408659532913383</v>
          </cell>
          <cell r="J62">
            <v>-4.8408659532913383</v>
          </cell>
          <cell r="K62">
            <v>1.3971327146752517</v>
          </cell>
        </row>
        <row r="63">
          <cell r="I63">
            <v>-2.4011164656884585</v>
          </cell>
          <cell r="J63">
            <v>-2.4011164656884585</v>
          </cell>
          <cell r="K63">
            <v>1.9100000000000001</v>
          </cell>
        </row>
        <row r="64">
          <cell r="I64">
            <v>-0.88854885254563798</v>
          </cell>
          <cell r="J64">
            <v>-0.88854885254563798</v>
          </cell>
          <cell r="K64">
            <v>2.16</v>
          </cell>
        </row>
        <row r="65">
          <cell r="I65">
            <v>-0.78134840783638859</v>
          </cell>
          <cell r="J65">
            <v>-0.78134840783638859</v>
          </cell>
          <cell r="K65">
            <v>2.5550000000000002</v>
          </cell>
        </row>
        <row r="68">
          <cell r="I68">
            <v>-4.8408659532913383</v>
          </cell>
          <cell r="J68">
            <v>-4.8408659532913383</v>
          </cell>
          <cell r="K68">
            <v>1.3971327146752517</v>
          </cell>
        </row>
        <row r="69">
          <cell r="I69">
            <v>-2.4011164656884585</v>
          </cell>
          <cell r="J69">
            <v>-2.4011164656884585</v>
          </cell>
          <cell r="K69">
            <v>1.9100000000000001</v>
          </cell>
        </row>
        <row r="70">
          <cell r="I70">
            <v>-0.88854885254563798</v>
          </cell>
          <cell r="J70">
            <v>-0.88854885254563798</v>
          </cell>
          <cell r="K70">
            <v>2.16</v>
          </cell>
        </row>
        <row r="71">
          <cell r="I71">
            <v>-0.78134840783638859</v>
          </cell>
          <cell r="J71">
            <v>-0.78134840783638859</v>
          </cell>
          <cell r="K71">
            <v>2.5550000000000002</v>
          </cell>
        </row>
        <row r="72">
          <cell r="I72" t="str">
            <v>MLNM Internal</v>
          </cell>
          <cell r="J72" t="str">
            <v>MLNM Internal</v>
          </cell>
          <cell r="K72" t="str">
            <v>IBES</v>
          </cell>
        </row>
        <row r="74">
          <cell r="I74">
            <v>12</v>
          </cell>
          <cell r="J74">
            <v>12</v>
          </cell>
          <cell r="K74">
            <v>12</v>
          </cell>
        </row>
        <row r="75">
          <cell r="I75" t="e">
            <v>#N/A</v>
          </cell>
          <cell r="J75">
            <v>27</v>
          </cell>
          <cell r="K75">
            <v>21</v>
          </cell>
        </row>
        <row r="78">
          <cell r="I78">
            <v>794.75</v>
          </cell>
          <cell r="J78">
            <v>794.75</v>
          </cell>
          <cell r="K78">
            <v>698.60900000000004</v>
          </cell>
        </row>
        <row r="80">
          <cell r="I80">
            <v>440.58</v>
          </cell>
          <cell r="J80">
            <v>440.58</v>
          </cell>
          <cell r="K80">
            <v>54.518000000000001</v>
          </cell>
        </row>
        <row r="82">
          <cell r="I82">
            <v>430.49099999999999</v>
          </cell>
          <cell r="J82">
            <v>430.49099999999999</v>
          </cell>
          <cell r="K82">
            <v>1003.193</v>
          </cell>
        </row>
        <row r="85">
          <cell r="I85">
            <v>1.659694</v>
          </cell>
          <cell r="J85">
            <v>1.659694</v>
          </cell>
          <cell r="K85">
            <v>3.8090000000000002</v>
          </cell>
        </row>
        <row r="86">
          <cell r="I86">
            <v>2.4550000000000001</v>
          </cell>
          <cell r="J86">
            <v>2.4550000000000001</v>
          </cell>
          <cell r="K86">
            <v>7.77</v>
          </cell>
        </row>
        <row r="87">
          <cell r="I87">
            <v>1.5944032836054081</v>
          </cell>
          <cell r="J87">
            <v>1.5944032836054081</v>
          </cell>
          <cell r="K87">
            <v>3.3914207407407408</v>
          </cell>
        </row>
        <row r="88">
          <cell r="I88">
            <v>2.0568819999999999</v>
          </cell>
          <cell r="J88">
            <v>2.0568819999999999</v>
          </cell>
          <cell r="K88">
            <v>8.1630000000000003</v>
          </cell>
        </row>
        <row r="89">
          <cell r="I89">
            <v>7.77</v>
          </cell>
          <cell r="J89">
            <v>7.77</v>
          </cell>
          <cell r="K89">
            <v>15.51</v>
          </cell>
        </row>
        <row r="90">
          <cell r="I90">
            <v>1.8007862861892838</v>
          </cell>
          <cell r="J90">
            <v>1.8007862861892838</v>
          </cell>
          <cell r="K90">
            <v>6.3766419047619047</v>
          </cell>
        </row>
        <row r="91">
          <cell r="I91">
            <v>1.4407920000000001</v>
          </cell>
          <cell r="J91">
            <v>1.4407920000000001</v>
          </cell>
          <cell r="K91">
            <v>0.97599999999999998</v>
          </cell>
        </row>
        <row r="92">
          <cell r="I92">
            <v>8.6150000000000002</v>
          </cell>
          <cell r="J92">
            <v>8.6150000000000002</v>
          </cell>
          <cell r="K92">
            <v>22.93</v>
          </cell>
        </row>
        <row r="93">
          <cell r="I93">
            <v>1.2418948850475715</v>
          </cell>
          <cell r="J93">
            <v>1.2418948850475715</v>
          </cell>
          <cell r="K93">
            <v>0.66023731922398587</v>
          </cell>
        </row>
        <row r="94">
          <cell r="I94">
            <v>1.9704459999999999</v>
          </cell>
          <cell r="J94">
            <v>1.9704459999999999</v>
          </cell>
          <cell r="K94">
            <v>0.28100000000000003</v>
          </cell>
        </row>
        <row r="95">
          <cell r="I95">
            <v>9.52</v>
          </cell>
          <cell r="J95">
            <v>9.52</v>
          </cell>
          <cell r="K95">
            <v>33.85</v>
          </cell>
        </row>
        <row r="96">
          <cell r="I96">
            <v>1.6698567814521783</v>
          </cell>
          <cell r="J96">
            <v>1.6698567814521783</v>
          </cell>
          <cell r="K96">
            <v>0.14679400352733687</v>
          </cell>
        </row>
        <row r="97">
          <cell r="I97">
            <v>1.581242</v>
          </cell>
          <cell r="J97">
            <v>1.581242</v>
          </cell>
          <cell r="K97">
            <v>2.7029999999999998</v>
          </cell>
        </row>
        <row r="98">
          <cell r="I98">
            <v>10.785</v>
          </cell>
          <cell r="J98">
            <v>10.785</v>
          </cell>
          <cell r="K98">
            <v>41.25</v>
          </cell>
        </row>
        <row r="99">
          <cell r="I99">
            <v>1.3079729769454183</v>
          </cell>
          <cell r="J99">
            <v>1.3079729769454183</v>
          </cell>
          <cell r="K99">
            <v>1.1298253968253968</v>
          </cell>
        </row>
        <row r="100">
          <cell r="I100">
            <v>0.78243600000000002</v>
          </cell>
          <cell r="J100">
            <v>0.78243600000000002</v>
          </cell>
          <cell r="K100">
            <v>0.35199999999999998</v>
          </cell>
        </row>
        <row r="101">
          <cell r="I101">
            <v>14.85</v>
          </cell>
          <cell r="J101">
            <v>14.85</v>
          </cell>
          <cell r="K101">
            <v>54.27</v>
          </cell>
        </row>
        <row r="102">
          <cell r="I102">
            <v>0.5962499272909364</v>
          </cell>
          <cell r="J102">
            <v>0.5962499272909364</v>
          </cell>
          <cell r="K102">
            <v>8.2468571428571391E-2</v>
          </cell>
        </row>
        <row r="103">
          <cell r="I103">
            <v>1.4737579999999999</v>
          </cell>
          <cell r="J103">
            <v>1.4737579999999999</v>
          </cell>
          <cell r="K103">
            <v>1.7000000000000001E-2</v>
          </cell>
        </row>
        <row r="104">
          <cell r="I104">
            <v>16.25</v>
          </cell>
          <cell r="J104">
            <v>16.25</v>
          </cell>
          <cell r="K104">
            <v>66.14</v>
          </cell>
        </row>
        <row r="105">
          <cell r="I105">
            <v>1.0900052909364044</v>
          </cell>
          <cell r="J105">
            <v>1.0900052909364044</v>
          </cell>
          <cell r="K105">
            <v>1.135731922398589E-3</v>
          </cell>
        </row>
        <row r="106">
          <cell r="I106">
            <v>1.4543839999999999</v>
          </cell>
          <cell r="J106">
            <v>1.4543839999999999</v>
          </cell>
          <cell r="K106">
            <v>1.4850000000000001</v>
          </cell>
        </row>
        <row r="107">
          <cell r="I107">
            <v>23.08</v>
          </cell>
          <cell r="J107">
            <v>23.08</v>
          </cell>
          <cell r="K107">
            <v>72.27</v>
          </cell>
        </row>
        <row r="108">
          <cell r="I108">
            <v>0.91650225386079109</v>
          </cell>
          <cell r="J108">
            <v>0.91650225386079109</v>
          </cell>
          <cell r="K108">
            <v>0</v>
          </cell>
        </row>
        <row r="109">
          <cell r="I109">
            <v>1.1245540000000001</v>
          </cell>
          <cell r="J109">
            <v>1.1245540000000001</v>
          </cell>
          <cell r="K109">
            <v>0.152</v>
          </cell>
        </row>
        <row r="110">
          <cell r="I110">
            <v>43.215000000000003</v>
          </cell>
          <cell r="J110">
            <v>43.215000000000003</v>
          </cell>
          <cell r="K110">
            <v>85.37</v>
          </cell>
        </row>
        <row r="111">
          <cell r="I111">
            <v>0.34582428767150719</v>
          </cell>
          <cell r="J111">
            <v>0.34582428767150719</v>
          </cell>
          <cell r="K111">
            <v>0</v>
          </cell>
        </row>
        <row r="112">
          <cell r="I112">
            <v>0.19012999999999999</v>
          </cell>
          <cell r="J112">
            <v>0.19012999999999999</v>
          </cell>
          <cell r="K112">
            <v>0</v>
          </cell>
        </row>
        <row r="113">
          <cell r="I113">
            <v>61</v>
          </cell>
          <cell r="J113">
            <v>61</v>
          </cell>
          <cell r="K113">
            <v>0</v>
          </cell>
        </row>
        <row r="114">
          <cell r="I114">
            <v>4.2843515272909249E-3</v>
          </cell>
          <cell r="J114">
            <v>4.2843515272909249E-3</v>
          </cell>
          <cell r="K114">
            <v>0</v>
          </cell>
        </row>
        <row r="117">
          <cell r="I117">
            <v>0.70309999999999995</v>
          </cell>
          <cell r="J117">
            <v>0.70309999999999995</v>
          </cell>
          <cell r="K117">
            <v>0</v>
          </cell>
        </row>
        <row r="118">
          <cell r="I118">
            <v>7.1950000000000003</v>
          </cell>
          <cell r="J118">
            <v>7.1950000000000003</v>
          </cell>
          <cell r="K118">
            <v>0</v>
          </cell>
        </row>
        <row r="119">
          <cell r="I119">
            <v>0.62203753430145214</v>
          </cell>
          <cell r="J119">
            <v>0.62203753430145214</v>
          </cell>
          <cell r="K119">
            <v>0</v>
          </cell>
        </row>
        <row r="120">
          <cell r="I120">
            <v>0</v>
          </cell>
          <cell r="J120">
            <v>0</v>
          </cell>
          <cell r="K120">
            <v>0</v>
          </cell>
        </row>
        <row r="121">
          <cell r="I121">
            <v>0</v>
          </cell>
          <cell r="J121">
            <v>0</v>
          </cell>
          <cell r="K121">
            <v>0</v>
          </cell>
        </row>
        <row r="122">
          <cell r="I122">
            <v>0</v>
          </cell>
          <cell r="J122">
            <v>0</v>
          </cell>
          <cell r="K122">
            <v>0</v>
          </cell>
        </row>
        <row r="123">
          <cell r="I123">
            <v>0</v>
          </cell>
          <cell r="J123">
            <v>0</v>
          </cell>
          <cell r="K123">
            <v>0</v>
          </cell>
        </row>
        <row r="124">
          <cell r="I124">
            <v>0</v>
          </cell>
          <cell r="J124">
            <v>0</v>
          </cell>
          <cell r="K124">
            <v>0</v>
          </cell>
        </row>
        <row r="125">
          <cell r="I125">
            <v>0</v>
          </cell>
          <cell r="J125">
            <v>0</v>
          </cell>
          <cell r="K125">
            <v>0</v>
          </cell>
        </row>
        <row r="126">
          <cell r="I126">
            <v>0</v>
          </cell>
          <cell r="J126">
            <v>0</v>
          </cell>
          <cell r="K126">
            <v>0</v>
          </cell>
        </row>
        <row r="127">
          <cell r="I127">
            <v>0</v>
          </cell>
          <cell r="J127">
            <v>0</v>
          </cell>
          <cell r="K127">
            <v>0</v>
          </cell>
        </row>
        <row r="128">
          <cell r="I128">
            <v>0</v>
          </cell>
          <cell r="J128">
            <v>0</v>
          </cell>
          <cell r="K128">
            <v>0</v>
          </cell>
        </row>
        <row r="131">
          <cell r="I131">
            <v>400</v>
          </cell>
          <cell r="J131">
            <v>400</v>
          </cell>
          <cell r="K131">
            <v>0</v>
          </cell>
        </row>
        <row r="132">
          <cell r="I132">
            <v>84.14</v>
          </cell>
          <cell r="J132">
            <v>84.14</v>
          </cell>
          <cell r="K132">
            <v>0</v>
          </cell>
        </row>
        <row r="133">
          <cell r="I133">
            <v>0</v>
          </cell>
          <cell r="J133">
            <v>0</v>
          </cell>
          <cell r="K133">
            <v>0</v>
          </cell>
        </row>
        <row r="134">
          <cell r="I134">
            <v>0</v>
          </cell>
          <cell r="J134">
            <v>0</v>
          </cell>
          <cell r="K134">
            <v>0</v>
          </cell>
        </row>
        <row r="135">
          <cell r="I135">
            <v>0</v>
          </cell>
          <cell r="J135">
            <v>0</v>
          </cell>
          <cell r="K135">
            <v>0</v>
          </cell>
        </row>
        <row r="136">
          <cell r="I136">
            <v>0</v>
          </cell>
          <cell r="J136">
            <v>0</v>
          </cell>
          <cell r="K136">
            <v>0</v>
          </cell>
        </row>
        <row r="137">
          <cell r="I137">
            <v>0</v>
          </cell>
          <cell r="J137">
            <v>0</v>
          </cell>
          <cell r="K137">
            <v>0</v>
          </cell>
        </row>
        <row r="138">
          <cell r="I138">
            <v>0</v>
          </cell>
          <cell r="J138">
            <v>0</v>
          </cell>
          <cell r="K138">
            <v>0</v>
          </cell>
        </row>
        <row r="139">
          <cell r="I139">
            <v>0</v>
          </cell>
          <cell r="J139">
            <v>0</v>
          </cell>
          <cell r="K139">
            <v>0</v>
          </cell>
        </row>
        <row r="142">
          <cell r="I142">
            <v>0</v>
          </cell>
          <cell r="J142">
            <v>0</v>
          </cell>
          <cell r="K142">
            <v>0</v>
          </cell>
        </row>
        <row r="143">
          <cell r="I143">
            <v>0</v>
          </cell>
          <cell r="J143">
            <v>0</v>
          </cell>
          <cell r="K143">
            <v>0</v>
          </cell>
        </row>
        <row r="144">
          <cell r="I144">
            <v>0</v>
          </cell>
          <cell r="J144">
            <v>0</v>
          </cell>
          <cell r="K144">
            <v>0</v>
          </cell>
        </row>
        <row r="145">
          <cell r="I145">
            <v>0</v>
          </cell>
          <cell r="J145">
            <v>0</v>
          </cell>
          <cell r="K145">
            <v>0</v>
          </cell>
        </row>
        <row r="146">
          <cell r="I146">
            <v>0</v>
          </cell>
          <cell r="J146">
            <v>0</v>
          </cell>
          <cell r="K146">
            <v>0</v>
          </cell>
        </row>
        <row r="147">
          <cell r="I147">
            <v>0</v>
          </cell>
          <cell r="J147">
            <v>0</v>
          </cell>
          <cell r="K147">
            <v>0</v>
          </cell>
        </row>
        <row r="148">
          <cell r="I148">
            <v>0</v>
          </cell>
          <cell r="J148">
            <v>0</v>
          </cell>
          <cell r="K148">
            <v>0</v>
          </cell>
        </row>
        <row r="149">
          <cell r="I149">
            <v>0</v>
          </cell>
          <cell r="J149">
            <v>0</v>
          </cell>
          <cell r="K149">
            <v>0</v>
          </cell>
        </row>
        <row r="150">
          <cell r="I150">
            <v>0</v>
          </cell>
          <cell r="J150">
            <v>0</v>
          </cell>
          <cell r="K150">
            <v>0</v>
          </cell>
        </row>
        <row r="151">
          <cell r="I151">
            <v>0</v>
          </cell>
          <cell r="J151">
            <v>0</v>
          </cell>
          <cell r="K151">
            <v>0</v>
          </cell>
        </row>
        <row r="152">
          <cell r="I152">
            <v>0</v>
          </cell>
          <cell r="J152">
            <v>0</v>
          </cell>
          <cell r="K152">
            <v>0</v>
          </cell>
        </row>
        <row r="153">
          <cell r="I153">
            <v>0</v>
          </cell>
          <cell r="J153">
            <v>0</v>
          </cell>
          <cell r="K153">
            <v>0</v>
          </cell>
        </row>
      </sheetData>
      <sheetData sheetId="18" refreshError="1"/>
      <sheetData sheetId="19" refreshError="1">
        <row r="11">
          <cell r="J11">
            <v>70.875</v>
          </cell>
        </row>
      </sheetData>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qua SA  ---&gt;"/>
      <sheetName val="Aqua Assump."/>
      <sheetName val="Aqua Financials"/>
      <sheetName val="Aqua Downside"/>
      <sheetName val="Downside Change"/>
      <sheetName val="Apple Impact"/>
      <sheetName val="Fox -----&gt;"/>
      <sheetName val="Fox Assump."/>
      <sheetName val="Fox IS"/>
      <sheetName val="Fox Financials"/>
      <sheetName val="Fox PF Adj."/>
      <sheetName val="Fox Credit"/>
      <sheetName val="Fox Summary"/>
      <sheetName val="Fox Valuation Matrix"/>
      <sheetName val="Gray ----&gt;"/>
      <sheetName val="Gray Assump."/>
      <sheetName val="Gray Financials"/>
      <sheetName val="Gray Summary"/>
      <sheetName val="Gray Valuation Matrix"/>
      <sheetName val="Gray Synergies"/>
      <sheetName val="__FDSCACHE__"/>
      <sheetName val="Gray PF Adj."/>
      <sheetName val="Accdil Backup"/>
      <sheetName val="Acc.Dil aquagray"/>
      <sheetName val="Kitchen -----&gt;"/>
      <sheetName val="Kitchen Assump."/>
      <sheetName val="Kitchen Financials"/>
      <sheetName val="Kitchen PF Adj."/>
      <sheetName val="Kitchen Credit"/>
      <sheetName val="Kitchen Summary"/>
      <sheetName val="Kitchen Valuation Matrix"/>
      <sheetName val="ProForma -----&gt;"/>
      <sheetName val="Financials Feeder"/>
      <sheetName val="ProForma Financials"/>
      <sheetName val="Pro Forma BS"/>
      <sheetName val="PF Shares"/>
      <sheetName val="ROIC"/>
      <sheetName val="Gray ROIC"/>
      <sheetName val="Output Pgs -----&gt;"/>
      <sheetName val="PrintManagerCode"/>
      <sheetName val="Master"/>
      <sheetName val="Key Metrics"/>
      <sheetName val="Intl Cash"/>
      <sheetName val="Impact of Seq."/>
      <sheetName val="Value Overview"/>
      <sheetName val="Trading Value Overview"/>
      <sheetName val="JNJ"/>
      <sheetName val="Future Value"/>
      <sheetName val="ROIC Output"/>
      <sheetName val="Sequencing Cash"/>
      <sheetName val="Acc.Dil Cash"/>
      <sheetName val="Sequencing Stock"/>
      <sheetName val="Acc.Dil Cash Stock"/>
      <sheetName val="Value Acc"/>
      <sheetName val="ProForma Val Matrix"/>
      <sheetName val="ProForma Credit"/>
      <sheetName val="Acc.Dil2"/>
      <sheetName val="Acc.Dil stock"/>
      <sheetName val="Business Mix"/>
      <sheetName val="Trans Sum"/>
      <sheetName val="Gray stats"/>
      <sheetName val="Spin_split"/>
      <sheetName val="Rank"/>
      <sheetName val="DCF Inputs"/>
      <sheetName val="DCF"/>
      <sheetName val="Fox CS &amp; BS Breakout"/>
      <sheetName val="BS BY MONTH"/>
      <sheetName val="C2"/>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row r="13">
          <cell r="M13">
            <v>0</v>
          </cell>
        </row>
      </sheetData>
      <sheetData sheetId="33" refreshError="1">
        <row r="67">
          <cell r="A67" t="str">
            <v>Cash Flow Statement</v>
          </cell>
        </row>
        <row r="70">
          <cell r="B70" t="str">
            <v>($MM)</v>
          </cell>
          <cell r="D70">
            <v>2002</v>
          </cell>
          <cell r="E70">
            <v>2003</v>
          </cell>
          <cell r="F70">
            <v>2004</v>
          </cell>
          <cell r="G70">
            <v>2005</v>
          </cell>
          <cell r="H70">
            <v>2006</v>
          </cell>
          <cell r="I70">
            <v>2007</v>
          </cell>
        </row>
        <row r="72">
          <cell r="B72" t="str">
            <v>Net Income</v>
          </cell>
          <cell r="D72">
            <v>3243.309999999999</v>
          </cell>
          <cell r="E72">
            <v>3458.6645429455129</v>
          </cell>
          <cell r="F72">
            <v>3807.3755725314959</v>
          </cell>
          <cell r="G72">
            <v>4146.7979673206301</v>
          </cell>
          <cell r="H72">
            <v>4566.7412434807011</v>
          </cell>
          <cell r="I72">
            <v>5159.8319834303038</v>
          </cell>
        </row>
        <row r="73">
          <cell r="B73" t="str">
            <v>% Growth</v>
          </cell>
          <cell r="E73">
            <v>6.639961734940969E-2</v>
          </cell>
          <cell r="F73">
            <v>0.10082244902797344</v>
          </cell>
          <cell r="G73">
            <v>8.9148650644794269E-2</v>
          </cell>
          <cell r="H73">
            <v>0.10126928764542842</v>
          </cell>
          <cell r="I73">
            <v>0.12987176376508636</v>
          </cell>
        </row>
        <row r="74">
          <cell r="B74" t="str">
            <v>Depreciation</v>
          </cell>
          <cell r="D74">
            <v>1177</v>
          </cell>
          <cell r="E74">
            <v>1032.0341374045795</v>
          </cell>
          <cell r="F74">
            <v>967.03198727735355</v>
          </cell>
          <cell r="G74">
            <v>935.03092875318123</v>
          </cell>
          <cell r="H74">
            <v>1039.034368956743</v>
          </cell>
          <cell r="I74">
            <v>1086.0359236641223</v>
          </cell>
        </row>
        <row r="75">
          <cell r="B75" t="str">
            <v>% Sales</v>
          </cell>
          <cell r="D75">
            <v>6.6551375032264978E-2</v>
          </cell>
          <cell r="E75">
            <v>5.40455616653574E-2</v>
          </cell>
          <cell r="F75">
            <v>4.6878029862323055E-2</v>
          </cell>
          <cell r="G75">
            <v>4.1568487974036401E-2</v>
          </cell>
          <cell r="H75">
            <v>4.2688688935453398E-2</v>
          </cell>
          <cell r="I75">
            <v>4.0687872316511199E-2</v>
          </cell>
        </row>
        <row r="76">
          <cell r="B76" t="str">
            <v>% of Capex</v>
          </cell>
          <cell r="D76">
            <v>0.91953125000000002</v>
          </cell>
          <cell r="E76">
            <v>0.79080459770114908</v>
          </cell>
          <cell r="F76">
            <v>0.67386759581881528</v>
          </cell>
          <cell r="G76">
            <v>0.68901989683124587</v>
          </cell>
          <cell r="H76">
            <v>0.67864141084258667</v>
          </cell>
          <cell r="I76">
            <v>0.71447368421052648</v>
          </cell>
        </row>
        <row r="77">
          <cell r="B77" t="str">
            <v>Amortization</v>
          </cell>
          <cell r="D77">
            <v>0</v>
          </cell>
          <cell r="E77">
            <v>0</v>
          </cell>
          <cell r="F77">
            <v>0</v>
          </cell>
          <cell r="G77">
            <v>0</v>
          </cell>
          <cell r="H77">
            <v>0</v>
          </cell>
          <cell r="I77">
            <v>0</v>
          </cell>
        </row>
        <row r="78">
          <cell r="B78" t="str">
            <v>Amortization</v>
          </cell>
          <cell r="D78">
            <v>0</v>
          </cell>
          <cell r="E78">
            <v>196.00648346055976</v>
          </cell>
          <cell r="F78">
            <v>263.00869974554706</v>
          </cell>
          <cell r="G78">
            <v>324.01071755725184</v>
          </cell>
          <cell r="H78">
            <v>280.00926208651396</v>
          </cell>
          <cell r="I78">
            <v>276.00912977099233</v>
          </cell>
        </row>
        <row r="79">
          <cell r="B79" t="str">
            <v>% Sales</v>
          </cell>
          <cell r="D79">
            <v>0</v>
          </cell>
          <cell r="E79">
            <v>1.0264467137994239E-2</v>
          </cell>
          <cell r="F79">
            <v>1.2749660655419819E-2</v>
          </cell>
          <cell r="G79">
            <v>1.4404481394211532E-2</v>
          </cell>
          <cell r="H79">
            <v>1.1504170261719874E-2</v>
          </cell>
          <cell r="I79">
            <v>1.0340564235135441E-2</v>
          </cell>
        </row>
        <row r="80">
          <cell r="B80" t="str">
            <v>New Amortization of Intan. Assets</v>
          </cell>
          <cell r="D80">
            <v>0</v>
          </cell>
          <cell r="E80">
            <v>0</v>
          </cell>
          <cell r="F80">
            <v>0</v>
          </cell>
          <cell r="G80">
            <v>0</v>
          </cell>
          <cell r="H80">
            <v>0</v>
          </cell>
          <cell r="I80">
            <v>0</v>
          </cell>
        </row>
        <row r="81">
          <cell r="B81" t="str">
            <v>Deferred Tax Liability</v>
          </cell>
          <cell r="D81">
            <v>0</v>
          </cell>
          <cell r="E81">
            <v>0</v>
          </cell>
          <cell r="F81">
            <v>0</v>
          </cell>
          <cell r="G81">
            <v>0</v>
          </cell>
          <cell r="H81">
            <v>0</v>
          </cell>
          <cell r="I81">
            <v>0</v>
          </cell>
        </row>
        <row r="82">
          <cell r="B82" t="str">
            <v>Other Equity Item</v>
          </cell>
          <cell r="E82">
            <v>-98</v>
          </cell>
          <cell r="F82">
            <v>45</v>
          </cell>
          <cell r="G82">
            <v>44</v>
          </cell>
          <cell r="H82">
            <v>44</v>
          </cell>
          <cell r="I82">
            <v>39</v>
          </cell>
        </row>
        <row r="83">
          <cell r="B83" t="str">
            <v>Accounts Receivable</v>
          </cell>
          <cell r="D83">
            <v>0</v>
          </cell>
          <cell r="E83">
            <v>-311.10710941475782</v>
          </cell>
          <cell r="F83">
            <v>-318.01051908396994</v>
          </cell>
          <cell r="G83">
            <v>-343.01134605597917</v>
          </cell>
          <cell r="H83">
            <v>-400.01323155216278</v>
          </cell>
          <cell r="I83">
            <v>-606.02004580152698</v>
          </cell>
        </row>
        <row r="84">
          <cell r="B84" t="str">
            <v>Inventory</v>
          </cell>
          <cell r="D84">
            <v>0</v>
          </cell>
          <cell r="E84">
            <v>-112.08445038167838</v>
          </cell>
          <cell r="F84">
            <v>-18.581309214887824</v>
          </cell>
          <cell r="G84">
            <v>-30.717580860306498</v>
          </cell>
          <cell r="H84">
            <v>-30.638187414175718</v>
          </cell>
          <cell r="I84">
            <v>-151.76035817962793</v>
          </cell>
        </row>
        <row r="85">
          <cell r="B85" t="str">
            <v>Prepaid Expenses/Income Taxes</v>
          </cell>
          <cell r="D85">
            <v>0</v>
          </cell>
          <cell r="E85">
            <v>128</v>
          </cell>
          <cell r="F85">
            <v>-205</v>
          </cell>
          <cell r="G85">
            <v>-138</v>
          </cell>
          <cell r="H85">
            <v>-381</v>
          </cell>
          <cell r="I85">
            <v>-373</v>
          </cell>
        </row>
        <row r="86">
          <cell r="B86" t="str">
            <v>Other Assets/Deferred Taxes</v>
          </cell>
          <cell r="D86">
            <v>0</v>
          </cell>
          <cell r="E86">
            <v>186.70655725190983</v>
          </cell>
          <cell r="F86">
            <v>-113.00373791348619</v>
          </cell>
          <cell r="G86">
            <v>-93.00307633587704</v>
          </cell>
          <cell r="H86">
            <v>-94.003109414759422</v>
          </cell>
          <cell r="I86">
            <v>-90.002977099235977</v>
          </cell>
        </row>
        <row r="87">
          <cell r="B87" t="str">
            <v>AP, Salaries &amp; Other Accrued Liab.</v>
          </cell>
          <cell r="D87">
            <v>0</v>
          </cell>
          <cell r="E87">
            <v>-165.85848854961841</v>
          </cell>
          <cell r="F87">
            <v>82.00271246819193</v>
          </cell>
          <cell r="G87">
            <v>174.01149735245144</v>
          </cell>
          <cell r="H87">
            <v>233.92489135204323</v>
          </cell>
          <cell r="I87">
            <v>275.08620417082511</v>
          </cell>
        </row>
        <row r="88">
          <cell r="B88" t="str">
            <v>Dividends Payable</v>
          </cell>
          <cell r="D88">
            <v>0</v>
          </cell>
          <cell r="E88">
            <v>13.999999999999943</v>
          </cell>
          <cell r="F88">
            <v>14.999943147844931</v>
          </cell>
          <cell r="G88">
            <v>19.99993683960264</v>
          </cell>
          <cell r="H88">
            <v>26.999991205958679</v>
          </cell>
          <cell r="I88">
            <v>35.999988600967754</v>
          </cell>
        </row>
        <row r="89">
          <cell r="B89" t="str">
            <v>Income Taxes Payable</v>
          </cell>
          <cell r="D89">
            <v>0</v>
          </cell>
          <cell r="E89">
            <v>-42</v>
          </cell>
          <cell r="F89">
            <v>0</v>
          </cell>
          <cell r="G89">
            <v>0</v>
          </cell>
          <cell r="H89">
            <v>0</v>
          </cell>
          <cell r="I89">
            <v>0</v>
          </cell>
        </row>
        <row r="90">
          <cell r="B90" t="str">
            <v>Other Long Term Liabilities</v>
          </cell>
          <cell r="D90">
            <v>0</v>
          </cell>
          <cell r="E90">
            <v>8</v>
          </cell>
          <cell r="F90">
            <v>62</v>
          </cell>
          <cell r="G90">
            <v>86</v>
          </cell>
          <cell r="H90">
            <v>94</v>
          </cell>
          <cell r="I90">
            <v>102</v>
          </cell>
        </row>
        <row r="91">
          <cell r="B91" t="str">
            <v>Operating Cash Flow</v>
          </cell>
          <cell r="D91">
            <v>4420.3099999999995</v>
          </cell>
          <cell r="E91">
            <v>4294.3616727165063</v>
          </cell>
          <cell r="F91">
            <v>4586.8233489580898</v>
          </cell>
          <cell r="G91">
            <v>5125.1190445709544</v>
          </cell>
          <cell r="H91">
            <v>5379.0552287008632</v>
          </cell>
          <cell r="I91">
            <v>5753.1798485568206</v>
          </cell>
        </row>
        <row r="92">
          <cell r="B92" t="str">
            <v>% Growth</v>
          </cell>
          <cell r="E92">
            <v>-2.8493098285752194E-2</v>
          </cell>
          <cell r="F92">
            <v>6.8103643458744756E-2</v>
          </cell>
          <cell r="G92">
            <v>0.11735697118903432</v>
          </cell>
          <cell r="H92">
            <v>4.9547372835935022E-2</v>
          </cell>
          <cell r="I92">
            <v>6.9552106076128828E-2</v>
          </cell>
        </row>
        <row r="93">
          <cell r="B93" t="str">
            <v>% Revenue</v>
          </cell>
          <cell r="D93">
            <v>0.24993857992257534</v>
          </cell>
          <cell r="E93">
            <v>0.22488712357890014</v>
          </cell>
          <cell r="F93">
            <v>0.22235173681383916</v>
          </cell>
          <cell r="G93">
            <v>0.22784641964072336</v>
          </cell>
          <cell r="H93">
            <v>0.22099828676042094</v>
          </cell>
          <cell r="I93">
            <v>0.21554042733893983</v>
          </cell>
        </row>
        <row r="95">
          <cell r="B95" t="str">
            <v>Capital Expenditures</v>
          </cell>
          <cell r="D95">
            <v>-1280</v>
          </cell>
          <cell r="E95">
            <v>-1305.043167938931</v>
          </cell>
          <cell r="F95">
            <v>-1435.047468193384</v>
          </cell>
          <cell r="G95">
            <v>-1357.0448880407123</v>
          </cell>
          <cell r="H95">
            <v>-1531.050643765903</v>
          </cell>
          <cell r="I95">
            <v>-1520.0502798982186</v>
          </cell>
        </row>
        <row r="96">
          <cell r="B96" t="str">
            <v>% Sales</v>
          </cell>
          <cell r="D96">
            <v>7.2375327137892242E-2</v>
          </cell>
          <cell r="E96">
            <v>6.834249803613511E-2</v>
          </cell>
          <cell r="F96">
            <v>6.9565638937366683E-2</v>
          </cell>
          <cell r="G96">
            <v>6.0329880407237815E-2</v>
          </cell>
          <cell r="H96">
            <v>6.2903159538189743E-2</v>
          </cell>
          <cell r="I96">
            <v>5.6948034918137207E-2</v>
          </cell>
        </row>
        <row r="97">
          <cell r="B97" t="str">
            <v>Investments in Marketable Securities</v>
          </cell>
          <cell r="D97">
            <v>0</v>
          </cell>
          <cell r="E97">
            <v>199</v>
          </cell>
          <cell r="F97">
            <v>17</v>
          </cell>
          <cell r="G97">
            <v>6</v>
          </cell>
          <cell r="H97">
            <v>0</v>
          </cell>
          <cell r="I97">
            <v>0</v>
          </cell>
        </row>
        <row r="98">
          <cell r="B98" t="str">
            <v>Investment in Securities</v>
          </cell>
          <cell r="D98">
            <v>0</v>
          </cell>
          <cell r="E98">
            <v>7</v>
          </cell>
          <cell r="F98">
            <v>6</v>
          </cell>
          <cell r="G98">
            <v>-3</v>
          </cell>
          <cell r="H98">
            <v>-2</v>
          </cell>
          <cell r="I98">
            <v>0</v>
          </cell>
        </row>
        <row r="99">
          <cell r="B99" t="str">
            <v>Free Cash Flow Before Financing</v>
          </cell>
          <cell r="D99">
            <v>3140.3099999999995</v>
          </cell>
          <cell r="E99">
            <v>3195.3185047775751</v>
          </cell>
          <cell r="F99">
            <v>3174.775880764706</v>
          </cell>
          <cell r="G99">
            <v>3771.0741565302424</v>
          </cell>
          <cell r="H99">
            <v>3846.0045849349599</v>
          </cell>
          <cell r="I99">
            <v>4233.1295686586018</v>
          </cell>
          <cell r="K99">
            <v>18220.302695666083</v>
          </cell>
        </row>
        <row r="101">
          <cell r="B101" t="str">
            <v>Equity Financing</v>
          </cell>
          <cell r="D101">
            <v>137</v>
          </cell>
          <cell r="E101">
            <v>39</v>
          </cell>
          <cell r="F101">
            <v>54</v>
          </cell>
          <cell r="G101">
            <v>120</v>
          </cell>
          <cell r="H101">
            <v>193</v>
          </cell>
          <cell r="I101">
            <v>274</v>
          </cell>
        </row>
        <row r="102">
          <cell r="B102" t="str">
            <v>Purchase of Treasury Stock</v>
          </cell>
          <cell r="D102">
            <v>0</v>
          </cell>
          <cell r="E102">
            <v>-300</v>
          </cell>
          <cell r="F102">
            <v>-300</v>
          </cell>
          <cell r="G102">
            <v>-750</v>
          </cell>
          <cell r="H102">
            <v>-1200</v>
          </cell>
          <cell r="I102">
            <v>-1050</v>
          </cell>
          <cell r="K102">
            <v>-3600</v>
          </cell>
        </row>
        <row r="103">
          <cell r="B103" t="str">
            <v>Issuance of Treasury Stock and Other</v>
          </cell>
          <cell r="D103">
            <v>0</v>
          </cell>
          <cell r="E103">
            <v>0</v>
          </cell>
          <cell r="F103">
            <v>0</v>
          </cell>
          <cell r="G103">
            <v>0</v>
          </cell>
          <cell r="H103">
            <v>0</v>
          </cell>
          <cell r="I103">
            <v>0</v>
          </cell>
        </row>
        <row r="104">
          <cell r="B104" t="str">
            <v>Common Dividends</v>
          </cell>
          <cell r="D104">
            <v>-1428</v>
          </cell>
          <cell r="E104">
            <v>-1514</v>
          </cell>
          <cell r="F104">
            <v>-1570.9997744577379</v>
          </cell>
          <cell r="G104">
            <v>-1650.9995237001824</v>
          </cell>
          <cell r="H104">
            <v>-1753.9994900073011</v>
          </cell>
          <cell r="I104">
            <v>-1884.9994482513464</v>
          </cell>
          <cell r="K104">
            <v>-8374.998236416568</v>
          </cell>
        </row>
        <row r="105">
          <cell r="B105" t="str">
            <v>Dividends per Share</v>
          </cell>
          <cell r="D105">
            <v>0.90765038680017018</v>
          </cell>
          <cell r="E105">
            <v>0.96608308186884118</v>
          </cell>
          <cell r="F105">
            <v>1.0062654763509886</v>
          </cell>
          <cell r="G105">
            <v>1.0625149779904126</v>
          </cell>
          <cell r="H105">
            <v>1.1376760203946978</v>
          </cell>
          <cell r="I105">
            <v>1.23082391981382</v>
          </cell>
        </row>
        <row r="106">
          <cell r="B106" t="str">
            <v>Mandatory Debt Retirement</v>
          </cell>
          <cell r="D106">
            <v>0</v>
          </cell>
          <cell r="E106">
            <v>-741</v>
          </cell>
          <cell r="F106">
            <v>-1211</v>
          </cell>
          <cell r="G106">
            <v>-480</v>
          </cell>
          <cell r="H106">
            <v>-98</v>
          </cell>
          <cell r="I106">
            <v>-602</v>
          </cell>
        </row>
        <row r="107">
          <cell r="B107" t="str">
            <v>Free Operating Cash Flow</v>
          </cell>
          <cell r="D107">
            <v>1849.3099999999995</v>
          </cell>
          <cell r="E107">
            <v>679.31850477757507</v>
          </cell>
          <cell r="F107">
            <v>146.77610630696816</v>
          </cell>
          <cell r="G107">
            <v>1010.0746328300598</v>
          </cell>
          <cell r="H107">
            <v>987.00509492765889</v>
          </cell>
          <cell r="I107">
            <v>970.1301204072555</v>
          </cell>
        </row>
        <row r="108">
          <cell r="B108" t="str">
            <v>% Growth</v>
          </cell>
          <cell r="E108">
            <v>-0.63266380175439751</v>
          </cell>
          <cell r="F108">
            <v>-0.78393624599549794</v>
          </cell>
          <cell r="G108">
            <v>5.8817374860563856</v>
          </cell>
          <cell r="H108">
            <v>-2.283943894102558E-2</v>
          </cell>
          <cell r="I108">
            <v>-1.7097150366422564E-2</v>
          </cell>
        </row>
        <row r="109">
          <cell r="B109" t="str">
            <v>% Revenue</v>
          </cell>
          <cell r="D109">
            <v>0.10456595017919959</v>
          </cell>
          <cell r="E109">
            <v>3.5574550113919426E-2</v>
          </cell>
          <cell r="F109">
            <v>7.115146949694587E-3</v>
          </cell>
          <cell r="G109">
            <v>4.4904691317177697E-2</v>
          </cell>
          <cell r="H109">
            <v>4.0551068120470039E-2</v>
          </cell>
          <cell r="I109">
            <v>3.6345510870724837E-2</v>
          </cell>
        </row>
        <row r="111">
          <cell r="B111" t="str">
            <v>Debt Additions/(Retirement)</v>
          </cell>
          <cell r="D111">
            <v>0</v>
          </cell>
          <cell r="E111">
            <v>0</v>
          </cell>
          <cell r="F111">
            <v>0</v>
          </cell>
          <cell r="G111">
            <v>0</v>
          </cell>
          <cell r="H111">
            <v>0</v>
          </cell>
          <cell r="I111">
            <v>0</v>
          </cell>
        </row>
        <row r="112">
          <cell r="B112" t="str">
            <v>Excess Cash</v>
          </cell>
          <cell r="D112">
            <v>1849.3099999999995</v>
          </cell>
          <cell r="E112">
            <v>679.31850477757507</v>
          </cell>
          <cell r="F112">
            <v>146.77610630696816</v>
          </cell>
          <cell r="G112">
            <v>1010.0746328300598</v>
          </cell>
          <cell r="H112">
            <v>987.00509492765889</v>
          </cell>
          <cell r="I112">
            <v>970.1301204072555</v>
          </cell>
        </row>
        <row r="114">
          <cell r="B114" t="str">
            <v>DCF Statistics</v>
          </cell>
        </row>
        <row r="115">
          <cell r="B115" t="str">
            <v>Free Operating Cash Flow</v>
          </cell>
          <cell r="D115">
            <v>3140.3099999999995</v>
          </cell>
          <cell r="E115">
            <v>3195.3185047775751</v>
          </cell>
          <cell r="F115">
            <v>3174.775880764706</v>
          </cell>
          <cell r="G115">
            <v>3771.0741565302424</v>
          </cell>
          <cell r="H115">
            <v>3846.0045849349599</v>
          </cell>
          <cell r="I115">
            <v>4233.1295686586018</v>
          </cell>
        </row>
        <row r="116">
          <cell r="B116" t="str">
            <v>After Tax Interest Expense</v>
          </cell>
          <cell r="D116">
            <v>154.77500000000001</v>
          </cell>
          <cell r="E116">
            <v>125.59913420461304</v>
          </cell>
          <cell r="F116">
            <v>102.93768293924086</v>
          </cell>
          <cell r="G116">
            <v>75.125042450359246</v>
          </cell>
          <cell r="H116">
            <v>32.913481506571742</v>
          </cell>
          <cell r="I116">
            <v>-19.039861598246272</v>
          </cell>
        </row>
        <row r="117">
          <cell r="B117" t="str">
            <v>Unlevered Free Cash Flow</v>
          </cell>
          <cell r="D117">
            <v>3295.0849999999996</v>
          </cell>
          <cell r="E117">
            <v>3320.9176389821882</v>
          </cell>
          <cell r="F117">
            <v>3277.7135637039469</v>
          </cell>
          <cell r="G117">
            <v>3846.1991989806015</v>
          </cell>
          <cell r="H117">
            <v>3878.9180664415317</v>
          </cell>
          <cell r="I117">
            <v>4214.0897070603551</v>
          </cell>
          <cell r="K117">
            <v>18537.838175168625</v>
          </cell>
        </row>
        <row r="118">
          <cell r="B118" t="str">
            <v>% Growth</v>
          </cell>
          <cell r="E118">
            <v>7.8397488933330539E-3</v>
          </cell>
          <cell r="F118">
            <v>-1.3009679846044842E-2</v>
          </cell>
          <cell r="G118">
            <v>0.17343969331909626</v>
          </cell>
          <cell r="H118">
            <v>8.5068052298491459E-3</v>
          </cell>
          <cell r="I118">
            <v>8.6408538380473132E-2</v>
          </cell>
        </row>
        <row r="119">
          <cell r="B119" t="str">
            <v>% Revenue</v>
          </cell>
          <cell r="D119">
            <v>0.1863147303298138</v>
          </cell>
          <cell r="E119">
            <v>0.17390980834660569</v>
          </cell>
          <cell r="F119">
            <v>0.15889107738003494</v>
          </cell>
          <cell r="G119">
            <v>0.17098972903684242</v>
          </cell>
          <cell r="H119">
            <v>0.1593652064759819</v>
          </cell>
          <cell r="I119">
            <v>0.15787907213299868</v>
          </cell>
        </row>
        <row r="123">
          <cell r="A123" t="str">
            <v>Balance Sheet</v>
          </cell>
        </row>
        <row r="126">
          <cell r="B126" t="str">
            <v>($MM)</v>
          </cell>
          <cell r="D126">
            <v>2002</v>
          </cell>
          <cell r="E126" t="str">
            <v>PF2003E</v>
          </cell>
          <cell r="F126">
            <v>2004</v>
          </cell>
          <cell r="G126">
            <v>2005</v>
          </cell>
          <cell r="H126">
            <v>2006</v>
          </cell>
          <cell r="I126">
            <v>2007</v>
          </cell>
        </row>
        <row r="128">
          <cell r="B128" t="str">
            <v>Assets</v>
          </cell>
        </row>
        <row r="129">
          <cell r="B129" t="str">
            <v>Current Assets</v>
          </cell>
        </row>
        <row r="130">
          <cell r="B130" t="str">
            <v>Cash</v>
          </cell>
          <cell r="D130">
            <v>704</v>
          </cell>
          <cell r="E130">
            <v>1383.3185047775751</v>
          </cell>
          <cell r="F130">
            <v>1530.0946110845432</v>
          </cell>
          <cell r="G130">
            <v>2540.1692439146032</v>
          </cell>
          <cell r="H130">
            <v>3527.1743388422619</v>
          </cell>
          <cell r="I130">
            <v>4497.3044592495171</v>
          </cell>
        </row>
        <row r="131">
          <cell r="B131" t="str">
            <v>Marketable Securities</v>
          </cell>
          <cell r="D131">
            <v>262</v>
          </cell>
          <cell r="E131">
            <v>63</v>
          </cell>
          <cell r="F131">
            <v>46</v>
          </cell>
          <cell r="G131">
            <v>40</v>
          </cell>
          <cell r="H131">
            <v>40</v>
          </cell>
          <cell r="I131">
            <v>40</v>
          </cell>
        </row>
        <row r="132">
          <cell r="B132" t="str">
            <v>Accounts Receivable</v>
          </cell>
          <cell r="D132">
            <v>2927</v>
          </cell>
          <cell r="E132">
            <v>3238.1071094147578</v>
          </cell>
          <cell r="F132">
            <v>3556.1176284987278</v>
          </cell>
          <cell r="G132">
            <v>3899.1289745547069</v>
          </cell>
          <cell r="H132">
            <v>4299.1422061068697</v>
          </cell>
          <cell r="I132">
            <v>4905.1622519083967</v>
          </cell>
        </row>
        <row r="133">
          <cell r="B133" t="str">
            <v>Inventory</v>
          </cell>
          <cell r="D133">
            <v>2441</v>
          </cell>
          <cell r="E133">
            <v>2553.0844503816784</v>
          </cell>
          <cell r="F133">
            <v>2571.6657595965662</v>
          </cell>
          <cell r="G133">
            <v>2602.3833404568727</v>
          </cell>
          <cell r="H133">
            <v>2633.0215278710484</v>
          </cell>
          <cell r="I133">
            <v>2784.7818860506763</v>
          </cell>
        </row>
        <row r="134">
          <cell r="B134" t="str">
            <v>Prepaid Expenses/Income Taxes</v>
          </cell>
          <cell r="D134">
            <v>2787</v>
          </cell>
          <cell r="E134">
            <v>2659</v>
          </cell>
          <cell r="F134">
            <v>2864</v>
          </cell>
          <cell r="G134">
            <v>3002</v>
          </cell>
          <cell r="H134">
            <v>3383</v>
          </cell>
          <cell r="I134">
            <v>3756</v>
          </cell>
        </row>
        <row r="135">
          <cell r="B135" t="str">
            <v>Total Current Assets</v>
          </cell>
          <cell r="D135">
            <v>9121</v>
          </cell>
          <cell r="E135">
            <v>9896.5100645740113</v>
          </cell>
          <cell r="F135">
            <v>10567.877999179836</v>
          </cell>
          <cell r="G135">
            <v>12083.681558926182</v>
          </cell>
          <cell r="H135">
            <v>13882.338072820181</v>
          </cell>
          <cell r="I135">
            <v>15983.248597208591</v>
          </cell>
        </row>
        <row r="137">
          <cell r="B137" t="str">
            <v>Investment Securities</v>
          </cell>
          <cell r="D137">
            <v>251</v>
          </cell>
          <cell r="E137">
            <v>244</v>
          </cell>
          <cell r="F137">
            <v>238</v>
          </cell>
          <cell r="G137">
            <v>241</v>
          </cell>
          <cell r="H137">
            <v>243</v>
          </cell>
          <cell r="I137">
            <v>243</v>
          </cell>
        </row>
        <row r="138">
          <cell r="B138">
            <v>966</v>
          </cell>
        </row>
        <row r="139">
          <cell r="B139" t="str">
            <v>PP&amp;E</v>
          </cell>
          <cell r="D139">
            <v>5828</v>
          </cell>
          <cell r="E139">
            <v>6101.009030534352</v>
          </cell>
          <cell r="F139">
            <v>6569.0245114503823</v>
          </cell>
          <cell r="G139">
            <v>6991.0384707379135</v>
          </cell>
          <cell r="H139">
            <v>7483.0547455470742</v>
          </cell>
          <cell r="I139">
            <v>7917.0691017811705</v>
          </cell>
        </row>
        <row r="141">
          <cell r="B141" t="str">
            <v>Other</v>
          </cell>
          <cell r="D141">
            <v>9058</v>
          </cell>
          <cell r="E141">
            <v>8675.2869592875304</v>
          </cell>
          <cell r="F141">
            <v>8525.2819974554695</v>
          </cell>
          <cell r="G141">
            <v>8294.2743562340947</v>
          </cell>
          <cell r="H141">
            <v>8108.2682035623402</v>
          </cell>
          <cell r="I141">
            <v>7922.2620508905848</v>
          </cell>
        </row>
        <row r="142">
          <cell r="B142" t="str">
            <v>New Intangible Assets</v>
          </cell>
          <cell r="D142">
            <v>0</v>
          </cell>
          <cell r="E142">
            <v>0</v>
          </cell>
          <cell r="F142">
            <v>0</v>
          </cell>
          <cell r="G142">
            <v>0</v>
          </cell>
          <cell r="H142">
            <v>0</v>
          </cell>
          <cell r="I142">
            <v>0</v>
          </cell>
        </row>
        <row r="143">
          <cell r="B143" t="str">
            <v>Total Assets</v>
          </cell>
          <cell r="D143">
            <v>24258</v>
          </cell>
          <cell r="E143">
            <v>24916.806054395893</v>
          </cell>
          <cell r="F143">
            <v>25900.184508085687</v>
          </cell>
          <cell r="G143">
            <v>27609.99438589819</v>
          </cell>
          <cell r="H143">
            <v>29716.661021929594</v>
          </cell>
          <cell r="I143">
            <v>32065.579749880348</v>
          </cell>
        </row>
        <row r="144">
          <cell r="D144">
            <v>24258</v>
          </cell>
          <cell r="E144">
            <v>24916.563190307923</v>
          </cell>
          <cell r="F144">
            <v>25899.829847989815</v>
          </cell>
          <cell r="G144">
            <v>27609.51313887287</v>
          </cell>
          <cell r="H144">
            <v>29716.037025937796</v>
          </cell>
          <cell r="I144">
            <v>32064.791402664901</v>
          </cell>
        </row>
        <row r="145">
          <cell r="B145" t="str">
            <v>Liabilities &amp; Equity</v>
          </cell>
        </row>
        <row r="146">
          <cell r="B146" t="str">
            <v>Current Liabilities</v>
          </cell>
        </row>
        <row r="147">
          <cell r="B147" t="str">
            <v>Revolver</v>
          </cell>
          <cell r="D147">
            <v>0</v>
          </cell>
          <cell r="E147">
            <v>0</v>
          </cell>
          <cell r="F147">
            <v>0</v>
          </cell>
          <cell r="G147">
            <v>0</v>
          </cell>
          <cell r="H147">
            <v>0</v>
          </cell>
          <cell r="I147">
            <v>0</v>
          </cell>
        </row>
        <row r="148">
          <cell r="B148" t="str">
            <v>Short Term Borrowings &amp; Curr. Portion of LTD</v>
          </cell>
          <cell r="D148">
            <v>1200</v>
          </cell>
          <cell r="E148">
            <v>659</v>
          </cell>
          <cell r="F148">
            <v>659</v>
          </cell>
          <cell r="G148">
            <v>329</v>
          </cell>
          <cell r="H148">
            <v>2083.7370000000001</v>
          </cell>
          <cell r="I148">
            <v>2083.7370000000001</v>
          </cell>
        </row>
        <row r="149">
          <cell r="B149" t="str">
            <v>AP, Salaries &amp; Other Accrued Liab.</v>
          </cell>
          <cell r="D149">
            <v>4444</v>
          </cell>
          <cell r="E149">
            <v>4278.1415114503816</v>
          </cell>
          <cell r="F149">
            <v>4360.1442239185735</v>
          </cell>
          <cell r="G149">
            <v>4534.155721271025</v>
          </cell>
          <cell r="H149">
            <v>4768.0806126230682</v>
          </cell>
          <cell r="I149">
            <v>5043.1668167938933</v>
          </cell>
        </row>
        <row r="150">
          <cell r="B150" t="str">
            <v>Dividends Payable</v>
          </cell>
          <cell r="D150">
            <v>367</v>
          </cell>
          <cell r="E150">
            <v>380.99999999999994</v>
          </cell>
          <cell r="F150">
            <v>395.99994314784487</v>
          </cell>
          <cell r="G150">
            <v>415.99987998744751</v>
          </cell>
          <cell r="H150">
            <v>442.99987119340619</v>
          </cell>
          <cell r="I150">
            <v>478.99985979437395</v>
          </cell>
        </row>
        <row r="151">
          <cell r="B151" t="str">
            <v>Income Taxes Payable</v>
          </cell>
          <cell r="D151">
            <v>42</v>
          </cell>
          <cell r="E151">
            <v>0</v>
          </cell>
          <cell r="F151">
            <v>0</v>
          </cell>
          <cell r="G151">
            <v>0</v>
          </cell>
          <cell r="H151">
            <v>0</v>
          </cell>
          <cell r="I151">
            <v>0</v>
          </cell>
        </row>
        <row r="152">
          <cell r="B152" t="str">
            <v>Total Current Liabilities</v>
          </cell>
          <cell r="D152">
            <v>6053</v>
          </cell>
          <cell r="E152">
            <v>5318.1415114503816</v>
          </cell>
          <cell r="F152">
            <v>5415.144167066418</v>
          </cell>
          <cell r="G152">
            <v>5279.1556012584724</v>
          </cell>
          <cell r="H152">
            <v>7294.8174838164741</v>
          </cell>
          <cell r="I152">
            <v>7605.9036765882674</v>
          </cell>
        </row>
        <row r="154">
          <cell r="B154" t="str">
            <v>Long-Term Liabilities</v>
          </cell>
        </row>
        <row r="155">
          <cell r="B155" t="str">
            <v>Long-Term Debt</v>
          </cell>
          <cell r="E155">
            <v>0</v>
          </cell>
          <cell r="F155">
            <v>0</v>
          </cell>
          <cell r="G155">
            <v>0</v>
          </cell>
          <cell r="H155">
            <v>0</v>
          </cell>
          <cell r="I155">
            <v>0</v>
          </cell>
        </row>
        <row r="156">
          <cell r="B156" t="str">
            <v>Long-Term Debt</v>
          </cell>
          <cell r="D156">
            <v>5222</v>
          </cell>
          <cell r="E156">
            <v>5022</v>
          </cell>
          <cell r="F156">
            <v>3811</v>
          </cell>
          <cell r="G156">
            <v>3661</v>
          </cell>
          <cell r="H156">
            <v>1808.2629999999999</v>
          </cell>
          <cell r="I156">
            <v>1206.2629999999999</v>
          </cell>
        </row>
        <row r="157">
          <cell r="B157" t="str">
            <v>Other Long Term Liab.</v>
          </cell>
          <cell r="D157">
            <v>2318</v>
          </cell>
          <cell r="E157">
            <v>2326</v>
          </cell>
          <cell r="F157">
            <v>2388</v>
          </cell>
          <cell r="G157">
            <v>2474</v>
          </cell>
          <cell r="H157">
            <v>2568</v>
          </cell>
          <cell r="I157">
            <v>2670</v>
          </cell>
        </row>
        <row r="158">
          <cell r="B158" t="str">
            <v>Acquisition Debt</v>
          </cell>
          <cell r="D158">
            <v>0</v>
          </cell>
          <cell r="E158">
            <v>0</v>
          </cell>
          <cell r="F158">
            <v>0</v>
          </cell>
          <cell r="G158">
            <v>0</v>
          </cell>
          <cell r="H158">
            <v>0</v>
          </cell>
          <cell r="I158">
            <v>0</v>
          </cell>
        </row>
        <row r="159">
          <cell r="B159" t="str">
            <v>Total Long-Term Liabilities</v>
          </cell>
          <cell r="D159">
            <v>7540</v>
          </cell>
          <cell r="E159">
            <v>7348</v>
          </cell>
          <cell r="F159">
            <v>6199</v>
          </cell>
          <cell r="G159">
            <v>6135</v>
          </cell>
          <cell r="H159">
            <v>4376.2629999999999</v>
          </cell>
          <cell r="I159">
            <v>3876.2629999999999</v>
          </cell>
        </row>
        <row r="160">
          <cell r="B160" t="str">
            <v>Equity</v>
          </cell>
          <cell r="D160">
            <v>10665</v>
          </cell>
          <cell r="E160">
            <v>12250.664542945513</v>
          </cell>
          <cell r="F160">
            <v>14286.04034101927</v>
          </cell>
          <cell r="G160">
            <v>16195.83878463972</v>
          </cell>
          <cell r="H160">
            <v>18045.580538113121</v>
          </cell>
          <cell r="I160">
            <v>20583.413073292078</v>
          </cell>
        </row>
        <row r="161">
          <cell r="B161" t="str">
            <v>Total Liabilities &amp; Equity</v>
          </cell>
          <cell r="D161">
            <v>24258</v>
          </cell>
          <cell r="E161">
            <v>24916.806054395893</v>
          </cell>
          <cell r="F161">
            <v>25900.184508085687</v>
          </cell>
          <cell r="G161">
            <v>27609.994385898193</v>
          </cell>
          <cell r="H161">
            <v>29716.661021929594</v>
          </cell>
          <cell r="I161">
            <v>32065.579749880344</v>
          </cell>
        </row>
        <row r="162">
          <cell r="B162" t="str">
            <v/>
          </cell>
          <cell r="D162" t="str">
            <v/>
          </cell>
          <cell r="E162">
            <v>0</v>
          </cell>
          <cell r="F162">
            <v>0</v>
          </cell>
          <cell r="G162">
            <v>-3.637978807091713E-12</v>
          </cell>
          <cell r="H162">
            <v>0</v>
          </cell>
          <cell r="I162">
            <v>3.637978807091713E-12</v>
          </cell>
        </row>
      </sheetData>
      <sheetData sheetId="34" refreshError="1">
        <row r="2">
          <cell r="A2" t="str">
            <v>Pro Forma Balance Sheet 2003</v>
          </cell>
        </row>
        <row r="3">
          <cell r="A3" t="str">
            <v xml:space="preserve">Pro Forma Aqua </v>
          </cell>
          <cell r="F3" t="str">
            <v>Adjustments</v>
          </cell>
        </row>
        <row r="4">
          <cell r="D4" t="str">
            <v>Standalone</v>
          </cell>
          <cell r="F4" t="str">
            <v>Apple</v>
          </cell>
          <cell r="G4" t="str">
            <v>Gray Acquisition</v>
          </cell>
          <cell r="J4" t="str">
            <v>Kitchen</v>
          </cell>
          <cell r="M4" t="str">
            <v xml:space="preserve">Fox </v>
          </cell>
          <cell r="P4" t="str">
            <v>ProForma</v>
          </cell>
        </row>
        <row r="5">
          <cell r="B5" t="str">
            <v>($MM)</v>
          </cell>
          <cell r="D5">
            <v>2003</v>
          </cell>
          <cell r="F5" t="str">
            <v>Trans.</v>
          </cell>
          <cell r="G5">
            <v>2003</v>
          </cell>
          <cell r="H5" t="str">
            <v>Trans. Adj.</v>
          </cell>
          <cell r="J5" t="str">
            <v>Sale/Spin/Split</v>
          </cell>
          <cell r="K5" t="str">
            <v>Trans. Adj.</v>
          </cell>
          <cell r="M5" t="str">
            <v>Sale/Spin/Split</v>
          </cell>
          <cell r="N5" t="str">
            <v>Trans. Adj.</v>
          </cell>
          <cell r="P5">
            <v>2003</v>
          </cell>
        </row>
        <row r="7">
          <cell r="B7" t="str">
            <v>Assets</v>
          </cell>
        </row>
        <row r="8">
          <cell r="B8" t="str">
            <v>Current Assets</v>
          </cell>
        </row>
        <row r="9">
          <cell r="B9" t="str">
            <v>Cash</v>
          </cell>
          <cell r="D9">
            <v>1383.3185047775751</v>
          </cell>
          <cell r="F9">
            <v>0</v>
          </cell>
          <cell r="G9">
            <v>0</v>
          </cell>
          <cell r="H9">
            <v>0</v>
          </cell>
          <cell r="J9">
            <v>0</v>
          </cell>
          <cell r="K9">
            <v>0</v>
          </cell>
          <cell r="M9">
            <v>0</v>
          </cell>
          <cell r="N9">
            <v>0</v>
          </cell>
          <cell r="P9">
            <v>1383.3185047775751</v>
          </cell>
        </row>
        <row r="10">
          <cell r="B10" t="str">
            <v>Marketable Securities</v>
          </cell>
          <cell r="D10">
            <v>63</v>
          </cell>
          <cell r="G10">
            <v>0</v>
          </cell>
          <cell r="H10">
            <v>0</v>
          </cell>
          <cell r="J10">
            <v>0</v>
          </cell>
          <cell r="M10">
            <v>0</v>
          </cell>
          <cell r="P10">
            <v>63</v>
          </cell>
        </row>
        <row r="11">
          <cell r="B11" t="str">
            <v>Accounts Receivable</v>
          </cell>
          <cell r="D11">
            <v>3238.1071094147578</v>
          </cell>
          <cell r="G11">
            <v>0</v>
          </cell>
          <cell r="H11">
            <v>0</v>
          </cell>
          <cell r="J11">
            <v>0</v>
          </cell>
          <cell r="M11">
            <v>0</v>
          </cell>
          <cell r="P11">
            <v>3238.1071094147578</v>
          </cell>
        </row>
        <row r="12">
          <cell r="B12" t="str">
            <v>Inventory</v>
          </cell>
          <cell r="D12">
            <v>2553.0844503816784</v>
          </cell>
          <cell r="G12">
            <v>0</v>
          </cell>
          <cell r="H12">
            <v>0</v>
          </cell>
          <cell r="J12">
            <v>0</v>
          </cell>
          <cell r="M12">
            <v>0</v>
          </cell>
          <cell r="P12">
            <v>2553.0844503816784</v>
          </cell>
        </row>
        <row r="13">
          <cell r="B13" t="str">
            <v>Prepaid Expenses/Income Taxes</v>
          </cell>
          <cell r="D13">
            <v>2659</v>
          </cell>
          <cell r="G13">
            <v>0</v>
          </cell>
          <cell r="H13">
            <v>0</v>
          </cell>
          <cell r="J13">
            <v>0</v>
          </cell>
          <cell r="M13">
            <v>0</v>
          </cell>
          <cell r="P13">
            <v>2659</v>
          </cell>
        </row>
        <row r="14">
          <cell r="B14" t="str">
            <v>Total Current Assets</v>
          </cell>
          <cell r="D14">
            <v>9896.5100645740113</v>
          </cell>
          <cell r="F14">
            <v>0</v>
          </cell>
          <cell r="G14">
            <v>0</v>
          </cell>
          <cell r="H14">
            <v>0</v>
          </cell>
          <cell r="J14">
            <v>0</v>
          </cell>
          <cell r="K14">
            <v>0</v>
          </cell>
          <cell r="M14">
            <v>0</v>
          </cell>
          <cell r="N14">
            <v>0</v>
          </cell>
          <cell r="P14">
            <v>9896.5100645740113</v>
          </cell>
        </row>
        <row r="16">
          <cell r="B16" t="str">
            <v>Investment Securities</v>
          </cell>
          <cell r="D16">
            <v>244</v>
          </cell>
          <cell r="G16">
            <v>0</v>
          </cell>
          <cell r="H16">
            <v>0</v>
          </cell>
          <cell r="J16">
            <v>0</v>
          </cell>
          <cell r="M16">
            <v>0</v>
          </cell>
          <cell r="P16">
            <v>244</v>
          </cell>
        </row>
        <row r="18">
          <cell r="B18" t="str">
            <v>PP&amp;E</v>
          </cell>
          <cell r="D18">
            <v>6101.009030534352</v>
          </cell>
          <cell r="G18">
            <v>0</v>
          </cell>
          <cell r="H18">
            <v>0</v>
          </cell>
          <cell r="J18">
            <v>0</v>
          </cell>
          <cell r="M18">
            <v>0</v>
          </cell>
          <cell r="P18">
            <v>6101.009030534352</v>
          </cell>
        </row>
        <row r="20">
          <cell r="B20" t="str">
            <v>Other</v>
          </cell>
          <cell r="D20">
            <v>8675.2869592875304</v>
          </cell>
          <cell r="F20">
            <v>0</v>
          </cell>
          <cell r="G20">
            <v>0</v>
          </cell>
          <cell r="H20">
            <v>0</v>
          </cell>
          <cell r="J20">
            <v>0</v>
          </cell>
          <cell r="M20">
            <v>0</v>
          </cell>
          <cell r="P20">
            <v>8675.2869592875304</v>
          </cell>
        </row>
        <row r="21">
          <cell r="B21" t="str">
            <v>Intangible Assets</v>
          </cell>
          <cell r="D21">
            <v>0</v>
          </cell>
          <cell r="F21">
            <v>0</v>
          </cell>
          <cell r="G21">
            <v>0</v>
          </cell>
          <cell r="H21">
            <v>0</v>
          </cell>
          <cell r="J21">
            <v>0</v>
          </cell>
          <cell r="P21">
            <v>0</v>
          </cell>
        </row>
        <row r="22">
          <cell r="B22" t="str">
            <v>Total Assets</v>
          </cell>
          <cell r="D22">
            <v>24916.806054395893</v>
          </cell>
          <cell r="F22">
            <v>0</v>
          </cell>
          <cell r="G22">
            <v>0</v>
          </cell>
          <cell r="H22">
            <v>0</v>
          </cell>
          <cell r="J22">
            <v>0</v>
          </cell>
          <cell r="K22">
            <v>0</v>
          </cell>
          <cell r="M22">
            <v>0</v>
          </cell>
          <cell r="N22">
            <v>0</v>
          </cell>
          <cell r="P22">
            <v>24916.806054395893</v>
          </cell>
        </row>
        <row r="24">
          <cell r="B24" t="str">
            <v>Liabilities &amp; Equity</v>
          </cell>
        </row>
        <row r="25">
          <cell r="B25" t="str">
            <v>Current Liabilities</v>
          </cell>
        </row>
        <row r="26">
          <cell r="B26" t="str">
            <v>Revolver</v>
          </cell>
          <cell r="D26">
            <v>0</v>
          </cell>
          <cell r="G26">
            <v>0</v>
          </cell>
          <cell r="H26">
            <v>0</v>
          </cell>
          <cell r="J26">
            <v>0</v>
          </cell>
          <cell r="M26">
            <v>0</v>
          </cell>
          <cell r="P26">
            <v>0</v>
          </cell>
        </row>
        <row r="27">
          <cell r="B27" t="str">
            <v>Short Term Borrowings &amp; Curr. Portion of LTD</v>
          </cell>
          <cell r="D27">
            <v>659</v>
          </cell>
          <cell r="F27">
            <v>0</v>
          </cell>
          <cell r="G27">
            <v>0</v>
          </cell>
          <cell r="H27">
            <v>0</v>
          </cell>
          <cell r="J27">
            <v>0</v>
          </cell>
          <cell r="K27">
            <v>0</v>
          </cell>
          <cell r="M27">
            <v>0</v>
          </cell>
          <cell r="N27">
            <v>0</v>
          </cell>
          <cell r="P27">
            <v>659</v>
          </cell>
        </row>
        <row r="28">
          <cell r="B28" t="str">
            <v>AP, Salaries &amp; Other Accrued Liab.</v>
          </cell>
          <cell r="D28">
            <v>4278.1415114503816</v>
          </cell>
          <cell r="G28">
            <v>0</v>
          </cell>
          <cell r="H28">
            <v>0</v>
          </cell>
          <cell r="J28">
            <v>0</v>
          </cell>
          <cell r="M28">
            <v>0</v>
          </cell>
          <cell r="P28">
            <v>4278.1415114503816</v>
          </cell>
        </row>
        <row r="29">
          <cell r="B29" t="str">
            <v>Dividends Payable</v>
          </cell>
          <cell r="D29">
            <v>380.99999999999994</v>
          </cell>
          <cell r="G29">
            <v>0</v>
          </cell>
          <cell r="H29">
            <v>0</v>
          </cell>
          <cell r="J29">
            <v>0</v>
          </cell>
          <cell r="M29">
            <v>0</v>
          </cell>
          <cell r="P29">
            <v>380.99999999999994</v>
          </cell>
        </row>
        <row r="30">
          <cell r="B30" t="str">
            <v>Income Taxes Payable</v>
          </cell>
          <cell r="D30">
            <v>0</v>
          </cell>
          <cell r="G30">
            <v>0</v>
          </cell>
          <cell r="H30">
            <v>0</v>
          </cell>
          <cell r="J30">
            <v>0</v>
          </cell>
          <cell r="M30">
            <v>0</v>
          </cell>
          <cell r="P30">
            <v>0</v>
          </cell>
        </row>
        <row r="31">
          <cell r="B31" t="str">
            <v>Total Current Liabilities</v>
          </cell>
          <cell r="D31">
            <v>5318.1415114503816</v>
          </cell>
          <cell r="F31">
            <v>0</v>
          </cell>
          <cell r="G31">
            <v>0</v>
          </cell>
          <cell r="H31">
            <v>0</v>
          </cell>
          <cell r="J31">
            <v>0</v>
          </cell>
          <cell r="K31">
            <v>0</v>
          </cell>
          <cell r="M31">
            <v>0</v>
          </cell>
          <cell r="N31">
            <v>0</v>
          </cell>
          <cell r="P31">
            <v>5318.1415114503816</v>
          </cell>
        </row>
        <row r="33">
          <cell r="B33" t="str">
            <v>Long-Term Liabilities</v>
          </cell>
        </row>
        <row r="34">
          <cell r="B34" t="str">
            <v>Long-Term Debt</v>
          </cell>
          <cell r="D34">
            <v>0</v>
          </cell>
          <cell r="F34" t="e">
            <v>#REF!</v>
          </cell>
          <cell r="G34" t="e">
            <v>#REF!</v>
          </cell>
          <cell r="J34" t="e">
            <v>#REF!</v>
          </cell>
          <cell r="N34" t="e">
            <v>#REF!</v>
          </cell>
        </row>
        <row r="35">
          <cell r="B35" t="str">
            <v>Long-Term Debt</v>
          </cell>
          <cell r="D35">
            <v>5022</v>
          </cell>
          <cell r="F35">
            <v>0</v>
          </cell>
          <cell r="G35">
            <v>0</v>
          </cell>
          <cell r="H35">
            <v>0</v>
          </cell>
          <cell r="J35">
            <v>0</v>
          </cell>
          <cell r="K35">
            <v>0</v>
          </cell>
          <cell r="M35">
            <v>0</v>
          </cell>
          <cell r="N35">
            <v>0</v>
          </cell>
          <cell r="P35">
            <v>5022</v>
          </cell>
        </row>
        <row r="36">
          <cell r="B36" t="str">
            <v>Other Long Term Liab.</v>
          </cell>
          <cell r="D36">
            <v>2326</v>
          </cell>
          <cell r="G36">
            <v>0</v>
          </cell>
          <cell r="H36">
            <v>0</v>
          </cell>
          <cell r="J36">
            <v>0</v>
          </cell>
          <cell r="M36">
            <v>0</v>
          </cell>
          <cell r="P36">
            <v>2326</v>
          </cell>
        </row>
        <row r="37">
          <cell r="B37" t="str">
            <v>Acquisition Debt</v>
          </cell>
          <cell r="D37">
            <v>0</v>
          </cell>
          <cell r="G37">
            <v>0</v>
          </cell>
          <cell r="H37">
            <v>0</v>
          </cell>
          <cell r="J37">
            <v>0</v>
          </cell>
          <cell r="K37">
            <v>0</v>
          </cell>
          <cell r="M37">
            <v>0</v>
          </cell>
          <cell r="N37">
            <v>0</v>
          </cell>
          <cell r="P37">
            <v>0</v>
          </cell>
        </row>
        <row r="38">
          <cell r="B38" t="str">
            <v>Total Long-Term Liabilities</v>
          </cell>
          <cell r="D38">
            <v>7348</v>
          </cell>
          <cell r="F38">
            <v>0</v>
          </cell>
          <cell r="G38">
            <v>0</v>
          </cell>
          <cell r="H38">
            <v>0</v>
          </cell>
          <cell r="J38">
            <v>0</v>
          </cell>
          <cell r="K38">
            <v>0</v>
          </cell>
          <cell r="M38">
            <v>0</v>
          </cell>
          <cell r="N38">
            <v>0</v>
          </cell>
          <cell r="P38">
            <v>7348</v>
          </cell>
        </row>
        <row r="39">
          <cell r="B39" t="str">
            <v>Equity</v>
          </cell>
          <cell r="D39">
            <v>12250.664542945513</v>
          </cell>
          <cell r="F39">
            <v>0</v>
          </cell>
          <cell r="G39">
            <v>0</v>
          </cell>
          <cell r="H39">
            <v>0</v>
          </cell>
          <cell r="J39">
            <v>0</v>
          </cell>
          <cell r="K39">
            <v>0</v>
          </cell>
          <cell r="M39">
            <v>0</v>
          </cell>
          <cell r="N39">
            <v>0</v>
          </cell>
          <cell r="P39">
            <v>12250.664542945513</v>
          </cell>
        </row>
        <row r="40">
          <cell r="B40" t="str">
            <v>Total Liabilities &amp; Equity</v>
          </cell>
          <cell r="D40">
            <v>24916.806054395893</v>
          </cell>
          <cell r="F40">
            <v>0</v>
          </cell>
          <cell r="G40">
            <v>0</v>
          </cell>
          <cell r="H40">
            <v>0</v>
          </cell>
          <cell r="J40">
            <v>0</v>
          </cell>
          <cell r="K40">
            <v>0</v>
          </cell>
          <cell r="M40">
            <v>0</v>
          </cell>
          <cell r="N40">
            <v>0</v>
          </cell>
          <cell r="P40">
            <v>24916.806054395893</v>
          </cell>
        </row>
        <row r="41">
          <cell r="B41" t="str">
            <v/>
          </cell>
          <cell r="D41" t="str">
            <v/>
          </cell>
          <cell r="F41">
            <v>0</v>
          </cell>
          <cell r="G41">
            <v>0</v>
          </cell>
          <cell r="H41">
            <v>0</v>
          </cell>
          <cell r="J41">
            <v>0</v>
          </cell>
          <cell r="K41">
            <v>0</v>
          </cell>
          <cell r="M41">
            <v>0</v>
          </cell>
          <cell r="N41">
            <v>0</v>
          </cell>
          <cell r="P41">
            <v>0</v>
          </cell>
        </row>
      </sheetData>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cro Data"/>
      <sheetName val="IDC Data"/>
      <sheetName val="IDC Breakdown"/>
      <sheetName val="Google &amp; Transformation"/>
      <sheetName val="comScore_RawData"/>
      <sheetName val="Other_Input"/>
      <sheetName val="Fitbit_Transformation"/>
      <sheetName val="Fitbit_Model"/>
      <sheetName val="Tmall_Data"/>
    </sheetNames>
    <sheetDataSet>
      <sheetData sheetId="0"/>
      <sheetData sheetId="1"/>
      <sheetData sheetId="2"/>
      <sheetData sheetId="3"/>
      <sheetData sheetId="4"/>
      <sheetData sheetId="5"/>
      <sheetData sheetId="6"/>
      <sheetData sheetId="7">
        <row r="6">
          <cell r="B6">
            <v>1</v>
          </cell>
        </row>
        <row r="7">
          <cell r="B7">
            <v>1</v>
          </cell>
        </row>
        <row r="8">
          <cell r="B8">
            <v>1</v>
          </cell>
        </row>
        <row r="9">
          <cell r="B9">
            <v>1</v>
          </cell>
        </row>
        <row r="10">
          <cell r="B10">
            <v>1</v>
          </cell>
        </row>
        <row r="11">
          <cell r="B11">
            <v>1</v>
          </cell>
        </row>
        <row r="12">
          <cell r="B12">
            <v>1</v>
          </cell>
        </row>
        <row r="13">
          <cell r="B13">
            <v>1</v>
          </cell>
        </row>
        <row r="14">
          <cell r="B14">
            <v>1</v>
          </cell>
        </row>
        <row r="15">
          <cell r="B15">
            <v>1</v>
          </cell>
        </row>
        <row r="16">
          <cell r="B16">
            <v>0</v>
          </cell>
        </row>
        <row r="17">
          <cell r="B17">
            <v>0</v>
          </cell>
        </row>
        <row r="18">
          <cell r="B18">
            <v>1</v>
          </cell>
        </row>
        <row r="19">
          <cell r="B19">
            <v>1</v>
          </cell>
        </row>
        <row r="20">
          <cell r="B20">
            <v>1</v>
          </cell>
        </row>
        <row r="21">
          <cell r="B21">
            <v>1</v>
          </cell>
        </row>
        <row r="22">
          <cell r="B22">
            <v>1</v>
          </cell>
        </row>
        <row r="24">
          <cell r="C24">
            <v>1</v>
          </cell>
        </row>
        <row r="25">
          <cell r="C25">
            <v>4</v>
          </cell>
        </row>
        <row r="26">
          <cell r="C26">
            <v>2</v>
          </cell>
        </row>
        <row r="27">
          <cell r="C27">
            <v>1</v>
          </cell>
        </row>
        <row r="29">
          <cell r="C29">
            <v>0</v>
          </cell>
        </row>
      </sheetData>
      <sheetData sheetId="8"/>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tents"/>
      <sheetName val="Summary"/>
      <sheetName val="MW-Cache"/>
      <sheetName val="MWA RR_NOVN.VX"/>
      <sheetName val="Qrtly Sales"/>
      <sheetName val=" Qrtly P&amp;L"/>
      <sheetName val="Div SOP"/>
      <sheetName val="BalanceSheet"/>
      <sheetName val="CashFlowSt"/>
      <sheetName val="mwareTaxoPres"/>
      <sheetName val="mwareDates"/>
      <sheetName val="mwareSettings"/>
      <sheetName val="Changes to model"/>
      <sheetName val="MW Valuation"/>
      <sheetName val="Scenarios"/>
      <sheetName val="Pipeline"/>
      <sheetName val="Gross Margin"/>
      <sheetName val="Yrly Sales"/>
      <sheetName val="Currency"/>
      <sheetName val="Annual P&amp;L"/>
      <sheetName val="Div P&amp;L"/>
      <sheetName val="Alcon"/>
      <sheetName val=" Qrtly P&amp;L (ex Alcon)"/>
      <sheetName val="Galvus"/>
      <sheetName val="Telbivudine"/>
      <sheetName val="By division"/>
      <sheetName val="DCF 2020"/>
      <sheetName val="Open Platform"/>
      <sheetName val="Product DCF"/>
      <sheetName val="cons"/>
      <sheetName val="Sheet3"/>
      <sheetName val="Sheet1"/>
      <sheetName val="sales sheet for model"/>
      <sheetName val="Novartisfeed"/>
      <sheetName val="DCF"/>
      <sheetName val="MWare_Cached"/>
      <sheetName val="SOP EBITDA"/>
      <sheetName val="SOP PE"/>
      <sheetName val="__FDSCACHE__"/>
      <sheetName val="FutureProducts"/>
      <sheetName val="Sales Charts"/>
      <sheetName val=" Yrly P&amp;L"/>
      <sheetName val="Chiron acquisition"/>
      <sheetName val="Sandoz"/>
      <sheetName val="Restructuring and synergies"/>
      <sheetName val="IFRS adjustments"/>
      <sheetName val="GVAT Adjusted CHF"/>
      <sheetName val="GVAT Adjusted $"/>
      <sheetName val="GVAT RI Valuation"/>
      <sheetName val="GVAT Reported $"/>
      <sheetName val="GVAT pensions CHF"/>
      <sheetName val="GVAT Reported CHF"/>
      <sheetName val="GVAT options CHF"/>
      <sheetName val="RI Valuation"/>
      <sheetName val="Convergence Valuation"/>
      <sheetName val="Model_Template"/>
      <sheetName val="RI GW"/>
      <sheetName val="Key metrics"/>
      <sheetName val="QPreview"/>
      <sheetName val="GE3"/>
      <sheetName val="Sum of parts"/>
      <sheetName val="new sop"/>
      <sheetName val="vildagliptin"/>
      <sheetName val="Product concentration"/>
      <sheetName val="div p&amp;L new"/>
      <sheetName val="mwareValPrintout"/>
      <sheetName val="Zelnorm"/>
      <sheetName val="Gleevec"/>
      <sheetName val="Elidel"/>
      <sheetName val="GE Upload"/>
      <sheetName val="Disclaimer"/>
      <sheetName val="mwareDates_38456_582518"/>
      <sheetName val="Report"/>
      <sheetName val="mwarePreview"/>
      <sheetName val="Primary Care"/>
      <sheetName val=" Qrtly P&amp;Lold"/>
      <sheetName val=" Yrly P&amp;L old"/>
      <sheetName val="Residual Income"/>
      <sheetName val="Tables"/>
      <sheetName val="Page 3"/>
      <sheetName val="Alcon P&amp;L Pro Form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row r="149">
          <cell r="C149" t="e">
            <v>#REF!</v>
          </cell>
        </row>
      </sheetData>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hopin MF Valuation"/>
      <sheetName val="Accretion-Dilution"/>
      <sheetName val="Synergy Analysis"/>
      <sheetName val="__FDSCACHE__"/>
      <sheetName val="Blended Analysis"/>
      <sheetName val="Operating Eff."/>
      <sheetName val="Step-Up"/>
      <sheetName val="Bach Pro Forma"/>
      <sheetName val="DistributedCo"/>
      <sheetName val="Chopin MF Consolidated"/>
      <sheetName val="Chopin Dist. Cons."/>
      <sheetName val="Chopin Pro Serv Cons."/>
      <sheetName val="Chopin Corp- Unall Cons."/>
      <sheetName val="Chopin Summary Cons."/>
      <sheetName val="Chopin Corp - Unall Uncons."/>
      <sheetName val="Chopin MF Uncons."/>
      <sheetName val="Chopin Dist Uncons."/>
      <sheetName val="Chopin Pro Serv Uncons."/>
      <sheetName val="Chopin Sum Uncons."/>
      <sheetName val="Bach MF"/>
      <sheetName val="Bach Distributed"/>
      <sheetName val="Bach Pro Serv"/>
      <sheetName val="Bach Corp- Unall"/>
      <sheetName val="Bach Summary"/>
    </sheetNames>
    <sheetDataSet>
      <sheetData sheetId="0" refreshError="1">
        <row r="10">
          <cell r="C10">
            <v>0.02</v>
          </cell>
        </row>
      </sheetData>
      <sheetData sheetId="1" refreshError="1">
        <row r="24">
          <cell r="T24">
            <v>16.13</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odel_Assumptions"/>
      <sheetName val="Nickel_Assumptions"/>
      <sheetName val="Nickel_Model"/>
      <sheetName val="Nickel_DCFInputs"/>
      <sheetName val="Nickel_DCFMatrix"/>
      <sheetName val="Bolt_Assumptions"/>
      <sheetName val="Bolt_Model"/>
      <sheetName val="Bolt_DCFInputs"/>
      <sheetName val="Bolt_DCFMatrix"/>
      <sheetName val="FootballField"/>
      <sheetName val="Contribution"/>
      <sheetName val="Ownership"/>
      <sheetName val="Synergy_Premiums"/>
      <sheetName val="Xratio_Ownership"/>
      <sheetName val="Nickel_FSOutput"/>
      <sheetName val="Bolt_FSOutput"/>
    </sheetNames>
    <sheetDataSet>
      <sheetData sheetId="0" refreshError="1">
        <row r="18">
          <cell r="P18">
            <v>129.792754</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sheetData sheetId="12" refreshError="1"/>
      <sheetData sheetId="13" refreshError="1"/>
      <sheetData sheetId="14" refreshError="1"/>
      <sheetData sheetId="15" refreshError="1"/>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M&amp;A inputs"/>
      <sheetName val="M&amp;A Financials"/>
      <sheetName val="PF BS"/>
      <sheetName val="EPS Analysis"/>
      <sheetName val="EPS Tables"/>
      <sheetName val="PF Ownership"/>
      <sheetName val="Sheet1"/>
      <sheetName val="Valuation Matrix"/>
      <sheetName val="Rerating"/>
      <sheetName val="Standalone PPaids"/>
    </sheetNames>
    <sheetDataSet>
      <sheetData sheetId="0" refreshError="1"/>
      <sheetData sheetId="1" refreshError="1">
        <row r="11">
          <cell r="J11" t="str">
            <v>Bear</v>
          </cell>
        </row>
      </sheetData>
      <sheetData sheetId="2"/>
      <sheetData sheetId="3" refreshError="1"/>
      <sheetData sheetId="4" refreshError="1"/>
      <sheetData sheetId="5" refreshError="1"/>
      <sheetData sheetId="6" refreshError="1"/>
      <sheetData sheetId="7" refreshError="1"/>
      <sheetData sheetId="8"/>
      <sheetData sheetId="9" refreshError="1"/>
      <sheetData sheetId="10" refreshError="1"/>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Valuation Matrix"/>
      <sheetName val="Overview"/>
      <sheetName val="AD Sensitivities"/>
      <sheetName val="Inputs"/>
      <sheetName val="Funds Output"/>
      <sheetName val="Assumptions"/>
      <sheetName val="PF Credit Stats"/>
      <sheetName val="Module1"/>
      <sheetName val="Module2"/>
      <sheetName val="Pro Forma Balance Sheet"/>
      <sheetName val="PF Financials"/>
      <sheetName val="AccDil"/>
      <sheetName val="JV Assumptions"/>
      <sheetName val="JV AccDil "/>
      <sheetName val="JV Pro Forma Balance Sheet"/>
      <sheetName val="JV Credit Stats "/>
      <sheetName val="JV Financials"/>
      <sheetName val="Returns Analysis"/>
      <sheetName val="Acquiror Financials"/>
      <sheetName val="Target  Financials"/>
      <sheetName val="Target Detail"/>
      <sheetName val="DCF"/>
      <sheetName val="Exit Analysis"/>
      <sheetName val="Buildup"/>
      <sheetName val="Synergies"/>
      <sheetName val="Shareholder Analysis"/>
      <sheetName val="Broncos AccDil Input"/>
      <sheetName val="Broncos AccDil"/>
      <sheetName val="BUD AccDil Input"/>
      <sheetName val="BUD AccDil"/>
      <sheetName val="HEIN AccDil Input"/>
      <sheetName val="HEIN AccDil"/>
      <sheetName val="SAB AccDil Input"/>
      <sheetName val="SAB AccDil"/>
      <sheetName val="PMB AccDil Input"/>
      <sheetName val="PMB AccDil"/>
      <sheetName val="Combination Analysis"/>
      <sheetName val="Strategic JV Analysis"/>
      <sheetName val="MOL AccDil Input"/>
      <sheetName val="MOL AccDil 2"/>
      <sheetName val="MOL AccDil"/>
      <sheetName val="AdditionalPrintCode"/>
      <sheetName val="MainPrintCod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ns Inputs"/>
      <sheetName val="Company Inputs"/>
      <sheetName val="MainPrintCode"/>
      <sheetName val="Calcs"/>
      <sheetName val="AccDil Backup"/>
      <sheetName val="AccDil Output"/>
      <sheetName val="Summary Output"/>
      <sheetName val="Mkt. Value Backup"/>
      <sheetName val="Mkt Value Output"/>
      <sheetName val="Debt Page"/>
      <sheetName val="__FDSCACHE__"/>
      <sheetName val="Full Side-By-Side"/>
      <sheetName val="Side-By-Side"/>
      <sheetName val="Braves - Key Assumptions"/>
      <sheetName val="Braves - Summ.Inc. Stmnt"/>
      <sheetName val="NewCo -  Inc. Stmnt  No Divest"/>
      <sheetName val="NewCo - Summ. Inc. Stmnt  Div"/>
      <sheetName val="Angels-Braves Trans Adj."/>
      <sheetName val="Braves - Synergies II"/>
      <sheetName val="Braves-Angels - Synergies"/>
      <sheetName val="Skipper-Angels - Synergies "/>
      <sheetName val="Pirates-Angels - Synergies "/>
      <sheetName val="Braves - Inventory Situation"/>
      <sheetName val="Braves - Income Stmt. Analysis"/>
      <sheetName val="PharmaCo - Summary Income Stmnt"/>
      <sheetName val="Value Creation - Bowman"/>
      <sheetName val="NewCo - Equity Value Bowman"/>
      <sheetName val="NewCo - Equity Value Archer"/>
      <sheetName val="SpinCo Valuation Matrix"/>
      <sheetName val="Key Stats"/>
      <sheetName val="Fin Stats"/>
      <sheetName val="Analyst Estimates"/>
      <sheetName val="Analyst Estimates (Old)"/>
      <sheetName val="Ex Ratio"/>
      <sheetName val="Options"/>
      <sheetName val="FACTSET DOWNLOADS"/>
      <sheetName val="Old Sheets ----&gt;"/>
      <sheetName val="Anti-Trust Case"/>
      <sheetName val="Pirate - EPS Assumptions"/>
      <sheetName val="Changes to MS Sniper Model"/>
      <sheetName val=" Scenario Overview"/>
      <sheetName val="Financial Comparison"/>
      <sheetName val="Sniper - Synergies"/>
      <sheetName val="Pikeman Monarch EPS"/>
      <sheetName val="Matrix"/>
    </sheetNames>
    <sheetDataSet>
      <sheetData sheetId="0" refreshError="1">
        <row r="14">
          <cell r="B14">
            <v>1</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page"/>
      <sheetName val="Module2"/>
      <sheetName val="Module1"/>
      <sheetName val="__FDSCACHE__"/>
      <sheetName val="Company Inputs"/>
      <sheetName val="Target&amp;Acquiror"/>
      <sheetName val="Trans"/>
      <sheetName val="Calcs"/>
      <sheetName val="newpage"/>
      <sheetName val="Summary"/>
      <sheetName val="Reconcile"/>
      <sheetName val="Module3"/>
    </sheetNames>
    <sheetDataSet>
      <sheetData sheetId="0"/>
      <sheetData sheetId="1" refreshError="1"/>
      <sheetData sheetId="2" refreshError="1"/>
      <sheetData sheetId="3"/>
      <sheetData sheetId="4" refreshError="1">
        <row r="3">
          <cell r="C3" t="str">
            <v>Elementis</v>
          </cell>
        </row>
        <row r="39">
          <cell r="B39">
            <v>0.37</v>
          </cell>
        </row>
        <row r="41">
          <cell r="C41">
            <v>1.6203000000000001</v>
          </cell>
        </row>
        <row r="43">
          <cell r="C43">
            <v>23.041</v>
          </cell>
        </row>
      </sheetData>
      <sheetData sheetId="5" refreshError="1">
        <row r="2">
          <cell r="C2">
            <v>0</v>
          </cell>
        </row>
      </sheetData>
      <sheetData sheetId="6" refreshError="1">
        <row r="11">
          <cell r="E11">
            <v>0</v>
          </cell>
        </row>
        <row r="17">
          <cell r="C17">
            <v>1.6203000000000001</v>
          </cell>
        </row>
        <row r="23">
          <cell r="I23" t="str">
            <v>PROJECT STAR</v>
          </cell>
        </row>
      </sheetData>
      <sheetData sheetId="7" refreshError="1">
        <row r="10">
          <cell r="C10">
            <v>37.568275800000002</v>
          </cell>
        </row>
        <row r="45">
          <cell r="G45">
            <v>24.193999999999999</v>
          </cell>
        </row>
      </sheetData>
      <sheetData sheetId="8"/>
      <sheetData sheetId="9"/>
      <sheetData sheetId="10"/>
      <sheetData sheetId="11" refreshError="1"/>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CF Sensitivity (Growth) (2)"/>
      <sheetName val="DCF Sensitivity (EBITDA)"/>
      <sheetName val="FB Field Backup"/>
      <sheetName val="CRailDCF"/>
      <sheetName val="DCF Inputs"/>
      <sheetName val="DCF Matrix"/>
      <sheetName val="INPUTS"/>
      <sheetName val="Dallas Trans Assump"/>
      <sheetName val="RONA"/>
      <sheetName val="ValMatrix"/>
      <sheetName val="AccDil"/>
      <sheetName val="Merger Summary"/>
      <sheetName val="PF Adjust"/>
      <sheetName val="Dallas Pro Forma"/>
      <sheetName val="Dallas Standalone"/>
      <sheetName val="Dallas Cases"/>
      <sheetName val="Segment Valuations"/>
      <sheetName val="Light Duty Sales"/>
      <sheetName val="1998 Balance Sheet"/>
      <sheetName val="Light Duty"/>
      <sheetName val="Medium Duty"/>
      <sheetName val="Heavy Duty"/>
      <sheetName val="Heavy Industrial"/>
      <sheetName val="International"/>
      <sheetName val="Aftermarket"/>
      <sheetName val="Adjustment"/>
      <sheetName val="Laredo Standalone"/>
      <sheetName val="Module16"/>
      <sheetName val="Module17"/>
      <sheetName val="Module19"/>
      <sheetName val="Module20"/>
      <sheetName val="Laredo Cases"/>
      <sheetName val="Common Rail"/>
      <sheetName val="MainPrint Code"/>
      <sheetName val="AdditionalPrint Code"/>
      <sheetName val="AdditionalPrintCode"/>
      <sheetName val="MainPrintCode"/>
      <sheetName val="Module2"/>
      <sheetName val="Module3"/>
      <sheetName val="__FDSCACHE__"/>
      <sheetName val="InitialPrintDialog"/>
      <sheetName val="DCF Code"/>
      <sheetName val="DCFprintDialog"/>
      <sheetName val="FMO"/>
      <sheetName val="BorgWarner"/>
      <sheetName val="Siemens"/>
      <sheetName val="Valeo"/>
      <sheetName val="Rheinmetall"/>
      <sheetName val="98 vs 99"/>
      <sheetName val="MiniSummary"/>
      <sheetName val="Module6"/>
      <sheetName val="Module7"/>
      <sheetName val="Module1"/>
      <sheetName val="Module4"/>
      <sheetName val="Module5"/>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s"/>
      <sheetName val="Trans_Inputs"/>
      <sheetName val="Target_Sum"/>
      <sheetName val="Acquiror_Sum"/>
      <sheetName val="NI_Analysis"/>
      <sheetName val="Presentation_Output"/>
      <sheetName val="Dura Income Statement"/>
      <sheetName val="Dura Adjusted IS"/>
      <sheetName val="__FDSCACHE__"/>
      <sheetName val="Share_Calculations"/>
      <sheetName val="SEPR Adjusted IS"/>
      <sheetName val="Public_Macro"/>
      <sheetName val="Private_Macro"/>
      <sheetName val="Module2"/>
      <sheetName val="Module3"/>
      <sheetName val="Module1"/>
      <sheetName val="Module4"/>
      <sheetName val="Module5"/>
      <sheetName val="Module6"/>
      <sheetName val="Module7"/>
    </sheetNames>
    <sheetDataSet>
      <sheetData sheetId="0" refreshError="1">
        <row r="15">
          <cell r="O15" t="str">
            <v>AAS</v>
          </cell>
          <cell r="Q15" t="str">
            <v>BSX</v>
          </cell>
          <cell r="S15" t="str">
            <v>CNTO</v>
          </cell>
          <cell r="U15" t="str">
            <v>AGPH</v>
          </cell>
          <cell r="W15" t="str">
            <v>PFE</v>
          </cell>
          <cell r="Y15" t="str">
            <v>BGEN</v>
          </cell>
          <cell r="AA15" t="str">
            <v>AMGN</v>
          </cell>
          <cell r="AC15" t="str">
            <v>GNE</v>
          </cell>
          <cell r="AE15" t="str">
            <v>BMY</v>
          </cell>
          <cell r="AG15" t="str">
            <v>CHIR</v>
          </cell>
          <cell r="AI15" t="str">
            <v>LLY</v>
          </cell>
          <cell r="AK15" t="str">
            <v>CLTR</v>
          </cell>
          <cell r="AM15" t="str">
            <v>IDPH</v>
          </cell>
          <cell r="AO15" t="str">
            <v>PGNS</v>
          </cell>
          <cell r="AQ15" t="str">
            <v>PDLI</v>
          </cell>
          <cell r="AS15" t="str">
            <v>GILD</v>
          </cell>
          <cell r="AU15" t="str">
            <v>GELX</v>
          </cell>
          <cell r="AW15" t="str">
            <v>SANG</v>
          </cell>
          <cell r="AY15" t="str">
            <v>ALGO</v>
          </cell>
          <cell r="BA15" t="str">
            <v>DURA</v>
          </cell>
          <cell r="BC15" t="str">
            <v>VPHM</v>
          </cell>
          <cell r="BE15" t="str">
            <v>SUGN</v>
          </cell>
          <cell r="BG15" t="str">
            <v>TRMS</v>
          </cell>
          <cell r="BI15" t="str">
            <v>ONXX</v>
          </cell>
          <cell r="BK15" t="str">
            <v>IMCL</v>
          </cell>
          <cell r="BM15" t="str">
            <v>SEPR</v>
          </cell>
          <cell r="BO15" t="str">
            <v>JNJ</v>
          </cell>
          <cell r="BQ15" t="str">
            <v>BCHE</v>
          </cell>
          <cell r="BS15" t="str">
            <v>ELN</v>
          </cell>
          <cell r="BU15" t="str">
            <v>MRK</v>
          </cell>
          <cell r="BW15" t="str">
            <v>SBH</v>
          </cell>
          <cell r="BY15" t="str">
            <v>AZA</v>
          </cell>
          <cell r="CA15" t="str">
            <v>ELN</v>
          </cell>
          <cell r="CC15" t="str">
            <v>MEDI</v>
          </cell>
          <cell r="CE15" t="str">
            <v>ABT</v>
          </cell>
          <cell r="CG15" t="str">
            <v>SGP</v>
          </cell>
          <cell r="CI15" t="str">
            <v>GLX</v>
          </cell>
          <cell r="CK15" t="str">
            <v>BMY</v>
          </cell>
          <cell r="CM15" t="str">
            <v>FSH</v>
          </cell>
          <cell r="CO15" t="str">
            <v>025212</v>
          </cell>
          <cell r="CQ15" t="str">
            <v>527313</v>
          </cell>
          <cell r="CS15" t="str">
            <v>484760</v>
          </cell>
          <cell r="CU15" t="str">
            <v>SHPGY</v>
          </cell>
        </row>
        <row r="16">
          <cell r="O16" t="str">
            <v>AAS</v>
          </cell>
          <cell r="Q16" t="str">
            <v>BSX</v>
          </cell>
          <cell r="S16" t="str">
            <v>CNTO</v>
          </cell>
          <cell r="U16" t="str">
            <v>AGPH</v>
          </cell>
          <cell r="W16" t="str">
            <v>PFE</v>
          </cell>
          <cell r="Y16" t="str">
            <v>BGEN</v>
          </cell>
          <cell r="AA16" t="str">
            <v>AMGN</v>
          </cell>
          <cell r="AC16" t="str">
            <v>GNE</v>
          </cell>
          <cell r="AE16" t="str">
            <v>BMY</v>
          </cell>
          <cell r="AG16" t="str">
            <v>CHIR</v>
          </cell>
          <cell r="AI16" t="str">
            <v>LLY</v>
          </cell>
          <cell r="AK16" t="str">
            <v>CLTR</v>
          </cell>
          <cell r="AM16" t="str">
            <v>IDPH</v>
          </cell>
          <cell r="AO16" t="str">
            <v>PGNS</v>
          </cell>
          <cell r="AQ16" t="str">
            <v>PDLI</v>
          </cell>
          <cell r="AS16" t="str">
            <v>GILD</v>
          </cell>
          <cell r="AU16" t="str">
            <v>GELX</v>
          </cell>
          <cell r="AW16" t="str">
            <v>SANG</v>
          </cell>
          <cell r="AY16" t="str">
            <v>ALGO</v>
          </cell>
          <cell r="BA16" t="str">
            <v>DURA</v>
          </cell>
          <cell r="BC16" t="str">
            <v>VPHM</v>
          </cell>
          <cell r="BE16" t="str">
            <v>SUGN</v>
          </cell>
          <cell r="BG16" t="str">
            <v>TRMS</v>
          </cell>
          <cell r="BI16" t="str">
            <v>ONXX</v>
          </cell>
          <cell r="BK16" t="str">
            <v>IMCL</v>
          </cell>
          <cell r="BM16" t="str">
            <v>SEPR</v>
          </cell>
          <cell r="BO16" t="str">
            <v>JNJ</v>
          </cell>
          <cell r="BQ16" t="str">
            <v>BCHE</v>
          </cell>
          <cell r="BS16" t="str">
            <v>ELN</v>
          </cell>
          <cell r="BU16" t="str">
            <v>MRK</v>
          </cell>
          <cell r="BW16" t="str">
            <v>SBH</v>
          </cell>
          <cell r="BY16" t="str">
            <v>AZA</v>
          </cell>
          <cell r="CA16" t="str">
            <v>ELN</v>
          </cell>
          <cell r="CC16" t="str">
            <v>MEDI</v>
          </cell>
          <cell r="CE16" t="str">
            <v>ABT</v>
          </cell>
          <cell r="CG16" t="str">
            <v>SGP</v>
          </cell>
          <cell r="CI16" t="str">
            <v>GLX</v>
          </cell>
          <cell r="CK16" t="str">
            <v>BMY</v>
          </cell>
          <cell r="CM16" t="str">
            <v>FSH</v>
          </cell>
          <cell r="CO16" t="str">
            <v>OXFORD</v>
          </cell>
          <cell r="CQ16" t="str">
            <v>ALTANA</v>
          </cell>
          <cell r="CS16" t="str">
            <v>SCHWARZ</v>
          </cell>
          <cell r="CU16" t="str">
            <v>SHIRE</v>
          </cell>
        </row>
        <row r="17">
          <cell r="P17" t="str">
            <v xml:space="preserve"> </v>
          </cell>
          <cell r="R17" t="str">
            <v xml:space="preserve"> </v>
          </cell>
          <cell r="V17" t="str">
            <v xml:space="preserve"> </v>
          </cell>
          <cell r="AD17" t="str">
            <v xml:space="preserve"> </v>
          </cell>
          <cell r="AF17" t="str">
            <v xml:space="preserve"> </v>
          </cell>
          <cell r="AJ17" t="str">
            <v xml:space="preserve"> </v>
          </cell>
          <cell r="AL17" t="str">
            <v xml:space="preserve"> </v>
          </cell>
          <cell r="AN17" t="str">
            <v xml:space="preserve"> </v>
          </cell>
          <cell r="BV17" t="str">
            <v xml:space="preserve"> </v>
          </cell>
          <cell r="BX17" t="str">
            <v xml:space="preserve"> </v>
          </cell>
          <cell r="BZ17" t="str">
            <v xml:space="preserve"> </v>
          </cell>
        </row>
        <row r="18">
          <cell r="P18" t="str">
            <v xml:space="preserve"> </v>
          </cell>
          <cell r="R18" t="str">
            <v xml:space="preserve"> </v>
          </cell>
          <cell r="V18" t="str">
            <v xml:space="preserve"> </v>
          </cell>
          <cell r="AD18" t="str">
            <v xml:space="preserve"> </v>
          </cell>
          <cell r="AF18" t="str">
            <v xml:space="preserve"> </v>
          </cell>
          <cell r="AJ18" t="str">
            <v xml:space="preserve"> </v>
          </cell>
          <cell r="AL18" t="str">
            <v xml:space="preserve"> </v>
          </cell>
          <cell r="AN18" t="str">
            <v xml:space="preserve"> </v>
          </cell>
          <cell r="BV18" t="str">
            <v xml:space="preserve"> </v>
          </cell>
          <cell r="BX18" t="str">
            <v xml:space="preserve"> </v>
          </cell>
          <cell r="BZ18" t="str">
            <v xml:space="preserve"> </v>
          </cell>
        </row>
        <row r="21">
          <cell r="P21" t="str">
            <v xml:space="preserve"> </v>
          </cell>
        </row>
        <row r="22">
          <cell r="P22" t="str">
            <v xml:space="preserve"> </v>
          </cell>
        </row>
        <row r="23">
          <cell r="O23" t="str">
            <v>AMERISOURCE HEALTH CP  -CL A</v>
          </cell>
          <cell r="P23" t="str">
            <v xml:space="preserve"> </v>
          </cell>
          <cell r="Q23" t="str">
            <v>BOSTON SCIENTIFIC CORP</v>
          </cell>
          <cell r="R23" t="str">
            <v xml:space="preserve"> </v>
          </cell>
          <cell r="S23" t="str">
            <v>Centocor</v>
          </cell>
          <cell r="U23" t="str">
            <v>Agouron Pharma</v>
          </cell>
          <cell r="W23" t="str">
            <v>Pfizer</v>
          </cell>
          <cell r="Y23" t="str">
            <v>Biogen</v>
          </cell>
          <cell r="AA23" t="str">
            <v>Amgen</v>
          </cell>
          <cell r="AC23" t="str">
            <v>Genentech</v>
          </cell>
          <cell r="AE23" t="str">
            <v>Bristol-Myers Squibb</v>
          </cell>
          <cell r="AG23" t="str">
            <v>Chiron</v>
          </cell>
          <cell r="AI23" t="str">
            <v>Eli Lilly</v>
          </cell>
          <cell r="AK23" t="str">
            <v>Coulter</v>
          </cell>
          <cell r="AM23" t="str">
            <v>IDEC</v>
          </cell>
          <cell r="AO23" t="str">
            <v>Pathogenesis</v>
          </cell>
          <cell r="AQ23" t="str">
            <v>PROTEIN DESIGN LABS INC</v>
          </cell>
          <cell r="AS23" t="str">
            <v>GILEAD SCIENCES INC</v>
          </cell>
          <cell r="AU23" t="str">
            <v>GELTEX PHARMACEUTICALS INC</v>
          </cell>
          <cell r="AW23" t="str">
            <v>SANGSTAT MEDICAL CORP</v>
          </cell>
          <cell r="AY23" t="str">
            <v>ALGOS PHARMACEUTICAL CORP</v>
          </cell>
          <cell r="BA23" t="str">
            <v>DURA PHARMACEUTICALS INC</v>
          </cell>
          <cell r="BC23" t="str">
            <v>VIROPHARMA INC</v>
          </cell>
          <cell r="BE23" t="str">
            <v>SUGEN INC</v>
          </cell>
          <cell r="BG23" t="str">
            <v>TRIMERIS INC</v>
          </cell>
          <cell r="BI23" t="str">
            <v>ONYX PHARMACEUTICALS INC</v>
          </cell>
          <cell r="BK23" t="str">
            <v>IMCLONE SYSTEMS INC</v>
          </cell>
          <cell r="BM23" t="str">
            <v>SEPRACOR INC</v>
          </cell>
          <cell r="BO23" t="str">
            <v>JOHNSON &amp; JOHNSON</v>
          </cell>
          <cell r="BQ23" t="str">
            <v>BIOCHEM PHARMA INC</v>
          </cell>
          <cell r="BS23" t="str">
            <v>Elan</v>
          </cell>
          <cell r="BU23" t="str">
            <v>Merck</v>
          </cell>
          <cell r="BW23" t="str">
            <v>SmithKline</v>
          </cell>
          <cell r="BY23" t="str">
            <v>Alza</v>
          </cell>
          <cell r="CA23" t="str">
            <v>Elan</v>
          </cell>
          <cell r="CC23" t="str">
            <v>MEDIMMUNE INC</v>
          </cell>
          <cell r="CE23" t="str">
            <v>ABBOTT LABORATORIES</v>
          </cell>
          <cell r="CG23" t="str">
            <v>SCHERING-PLOUGH</v>
          </cell>
          <cell r="CI23" t="str">
            <v>GLAXO WELLCOME PLC  -SP ADR</v>
          </cell>
          <cell r="CK23" t="str">
            <v>BRISTOL MYERS SQUIBB</v>
          </cell>
          <cell r="CM23" t="str">
            <v>FISHER SCIENTIFIC INTL INC</v>
          </cell>
          <cell r="CO23" t="str">
            <v>OXFORD ASYMMETRY I</v>
          </cell>
          <cell r="CQ23" t="str">
            <v>ALTANA AG</v>
          </cell>
          <cell r="CS23" t="str">
            <v>SCHWARZ PHARMA AG</v>
          </cell>
          <cell r="CU23" t="str">
            <v>SHIRE PHARMACETCLS GRP  -ADR</v>
          </cell>
        </row>
        <row r="24">
          <cell r="O24" t="str">
            <v>AAS</v>
          </cell>
          <cell r="P24" t="str">
            <v xml:space="preserve"> </v>
          </cell>
          <cell r="Q24" t="str">
            <v>BSX</v>
          </cell>
          <cell r="R24" t="str">
            <v xml:space="preserve"> </v>
          </cell>
          <cell r="S24" t="str">
            <v>CNTO</v>
          </cell>
          <cell r="U24" t="str">
            <v>AGPH</v>
          </cell>
          <cell r="W24" t="str">
            <v>PFE</v>
          </cell>
          <cell r="Y24" t="str">
            <v>BGEN</v>
          </cell>
          <cell r="AA24" t="str">
            <v>AMGN</v>
          </cell>
          <cell r="AC24" t="str">
            <v>GNE</v>
          </cell>
          <cell r="AE24" t="str">
            <v>BMY</v>
          </cell>
          <cell r="AG24" t="str">
            <v>CHIR</v>
          </cell>
          <cell r="AI24" t="str">
            <v>LLY</v>
          </cell>
          <cell r="AK24" t="str">
            <v>CLTR</v>
          </cell>
          <cell r="AM24" t="str">
            <v>IDPH</v>
          </cell>
          <cell r="AO24" t="str">
            <v>PGNS</v>
          </cell>
          <cell r="AQ24" t="str">
            <v>PDLI</v>
          </cell>
          <cell r="AS24" t="str">
            <v>GILD</v>
          </cell>
          <cell r="AU24" t="str">
            <v>GELX</v>
          </cell>
          <cell r="AW24" t="str">
            <v>SANG</v>
          </cell>
          <cell r="AY24" t="str">
            <v>ALGO</v>
          </cell>
          <cell r="BA24" t="str">
            <v>DURA</v>
          </cell>
          <cell r="BC24" t="str">
            <v>VPHM</v>
          </cell>
          <cell r="BE24" t="str">
            <v>SUGN</v>
          </cell>
          <cell r="BG24" t="str">
            <v>TRMS</v>
          </cell>
          <cell r="BI24" t="str">
            <v>ONXX</v>
          </cell>
          <cell r="BK24" t="str">
            <v>IMCL</v>
          </cell>
          <cell r="BM24" t="str">
            <v>SEPR</v>
          </cell>
          <cell r="BO24" t="str">
            <v>JNJ</v>
          </cell>
          <cell r="BQ24" t="str">
            <v>BCHE</v>
          </cell>
          <cell r="BS24" t="str">
            <v>ELN</v>
          </cell>
          <cell r="BU24" t="str">
            <v>MRK</v>
          </cell>
          <cell r="BW24" t="str">
            <v>SBH</v>
          </cell>
          <cell r="BY24" t="str">
            <v>AZA</v>
          </cell>
          <cell r="CA24" t="str">
            <v>ELN</v>
          </cell>
          <cell r="CC24" t="str">
            <v>MEDI</v>
          </cell>
          <cell r="CE24" t="str">
            <v>ABT</v>
          </cell>
          <cell r="CG24" t="str">
            <v>SGP</v>
          </cell>
          <cell r="CI24" t="str">
            <v>GLX</v>
          </cell>
          <cell r="CK24" t="str">
            <v>BMY</v>
          </cell>
          <cell r="CM24" t="str">
            <v>FSH</v>
          </cell>
          <cell r="CO24" t="str">
            <v>025212</v>
          </cell>
          <cell r="CQ24" t="str">
            <v>527313</v>
          </cell>
          <cell r="CS24" t="str">
            <v>484760</v>
          </cell>
          <cell r="CU24" t="str">
            <v>SHPGY</v>
          </cell>
        </row>
        <row r="25">
          <cell r="O25">
            <v>9</v>
          </cell>
          <cell r="P25" t="str">
            <v xml:space="preserve"> </v>
          </cell>
          <cell r="Q25">
            <v>12</v>
          </cell>
          <cell r="R25" t="str">
            <v xml:space="preserve"> </v>
          </cell>
          <cell r="S25">
            <v>12</v>
          </cell>
          <cell r="U25">
            <v>6</v>
          </cell>
          <cell r="W25">
            <v>12</v>
          </cell>
          <cell r="Y25">
            <v>12</v>
          </cell>
          <cell r="AA25">
            <v>12</v>
          </cell>
          <cell r="AC25">
            <v>12</v>
          </cell>
          <cell r="AE25">
            <v>12</v>
          </cell>
          <cell r="AG25">
            <v>12</v>
          </cell>
          <cell r="AI25">
            <v>12</v>
          </cell>
          <cell r="AK25">
            <v>12</v>
          </cell>
          <cell r="AM25">
            <v>12</v>
          </cell>
          <cell r="AO25">
            <v>12</v>
          </cell>
          <cell r="AQ25">
            <v>12</v>
          </cell>
          <cell r="AS25">
            <v>12</v>
          </cell>
          <cell r="AU25">
            <v>12</v>
          </cell>
          <cell r="AW25">
            <v>12</v>
          </cell>
          <cell r="AY25">
            <v>12</v>
          </cell>
          <cell r="BA25">
            <v>12</v>
          </cell>
          <cell r="BC25">
            <v>12</v>
          </cell>
          <cell r="BE25">
            <v>12</v>
          </cell>
          <cell r="BG25">
            <v>12</v>
          </cell>
          <cell r="BI25">
            <v>12</v>
          </cell>
          <cell r="BK25">
            <v>12</v>
          </cell>
          <cell r="BM25">
            <v>12</v>
          </cell>
          <cell r="BO25">
            <v>12</v>
          </cell>
          <cell r="BQ25">
            <v>12</v>
          </cell>
          <cell r="BS25">
            <v>12</v>
          </cell>
          <cell r="BU25">
            <v>12</v>
          </cell>
          <cell r="BW25">
            <v>12</v>
          </cell>
          <cell r="BY25">
            <v>12</v>
          </cell>
          <cell r="CA25">
            <v>12</v>
          </cell>
          <cell r="CC25">
            <v>12</v>
          </cell>
          <cell r="CE25">
            <v>12</v>
          </cell>
          <cell r="CG25">
            <v>12</v>
          </cell>
          <cell r="CI25">
            <v>12</v>
          </cell>
          <cell r="CK25">
            <v>12</v>
          </cell>
          <cell r="CM25">
            <v>12</v>
          </cell>
          <cell r="CO25">
            <v>12</v>
          </cell>
          <cell r="CQ25">
            <v>12</v>
          </cell>
          <cell r="CS25">
            <v>12</v>
          </cell>
          <cell r="CU25">
            <v>12</v>
          </cell>
        </row>
        <row r="26">
          <cell r="P26" t="str">
            <v xml:space="preserve"> </v>
          </cell>
          <cell r="R26" t="str">
            <v xml:space="preserve"> </v>
          </cell>
        </row>
        <row r="27">
          <cell r="P27" t="str">
            <v xml:space="preserve"> </v>
          </cell>
          <cell r="R27" t="str">
            <v xml:space="preserve"> </v>
          </cell>
        </row>
        <row r="28">
          <cell r="O28">
            <v>1.06</v>
          </cell>
          <cell r="P28" t="str">
            <v xml:space="preserve"> </v>
          </cell>
          <cell r="Q28">
            <v>1.66</v>
          </cell>
          <cell r="R28" t="str">
            <v xml:space="preserve"> </v>
          </cell>
          <cell r="S28">
            <v>0.16</v>
          </cell>
          <cell r="U28">
            <v>0.4</v>
          </cell>
          <cell r="W28">
            <v>1.7</v>
          </cell>
          <cell r="Y28">
            <v>1.17</v>
          </cell>
          <cell r="AA28">
            <v>2.44</v>
          </cell>
          <cell r="AC28">
            <v>1.05</v>
          </cell>
          <cell r="AE28">
            <v>3.22</v>
          </cell>
          <cell r="AG28">
            <v>-0.41</v>
          </cell>
          <cell r="AI28">
            <v>0.77</v>
          </cell>
          <cell r="AK28">
            <v>-2.58</v>
          </cell>
          <cell r="AM28">
            <v>0.92</v>
          </cell>
          <cell r="AO28">
            <v>-2.1</v>
          </cell>
          <cell r="AQ28">
            <v>-1.35</v>
          </cell>
          <cell r="AS28">
            <v>-0.95</v>
          </cell>
          <cell r="AU28">
            <v>-1.8</v>
          </cell>
          <cell r="AW28">
            <v>-1.36</v>
          </cell>
          <cell r="AY28">
            <v>-0.98</v>
          </cell>
          <cell r="BA28">
            <v>0.44</v>
          </cell>
          <cell r="BC28">
            <v>-1.1299999999999999</v>
          </cell>
          <cell r="BE28">
            <v>-2.4700000000000002</v>
          </cell>
          <cell r="BG28">
            <v>-1.55</v>
          </cell>
          <cell r="BI28">
            <v>-1.65</v>
          </cell>
          <cell r="BK28">
            <v>-0.67</v>
          </cell>
          <cell r="BM28">
            <v>-3.23</v>
          </cell>
          <cell r="BO28">
            <v>2.67</v>
          </cell>
          <cell r="BQ28">
            <v>0.5247473303384026</v>
          </cell>
          <cell r="BS28">
            <v>1.58</v>
          </cell>
          <cell r="BU28">
            <v>3.74</v>
          </cell>
          <cell r="BW28">
            <v>1.61</v>
          </cell>
          <cell r="BY28">
            <v>0.55000000000000004</v>
          </cell>
          <cell r="CA28">
            <v>1.58</v>
          </cell>
          <cell r="CC28">
            <v>-1.6</v>
          </cell>
          <cell r="CE28">
            <v>2.68</v>
          </cell>
          <cell r="CG28">
            <v>0.97499999999999998</v>
          </cell>
          <cell r="CI28">
            <v>1.61</v>
          </cell>
          <cell r="CK28">
            <v>1.58</v>
          </cell>
          <cell r="CM28">
            <v>-1.24</v>
          </cell>
          <cell r="CO28" t="e">
            <v>#N/A</v>
          </cell>
          <cell r="CQ28" t="e">
            <v>#N/A</v>
          </cell>
          <cell r="CS28" t="e">
            <v>#N/A</v>
          </cell>
          <cell r="CU28">
            <v>-0.03</v>
          </cell>
        </row>
        <row r="29">
          <cell r="O29">
            <v>1.2050000000000001</v>
          </cell>
          <cell r="P29" t="str">
            <v xml:space="preserve"> </v>
          </cell>
          <cell r="Q29">
            <v>-0.57500000000000007</v>
          </cell>
          <cell r="R29" t="str">
            <v xml:space="preserve"> </v>
          </cell>
          <cell r="S29">
            <v>0.18173897556457919</v>
          </cell>
          <cell r="U29">
            <v>0.5</v>
          </cell>
          <cell r="W29">
            <v>1.7</v>
          </cell>
          <cell r="Y29">
            <v>1.6799999999999997</v>
          </cell>
          <cell r="AA29">
            <v>2.44</v>
          </cell>
          <cell r="AC29">
            <v>1.1200000000000001</v>
          </cell>
          <cell r="AE29">
            <v>3.3400000000000003</v>
          </cell>
          <cell r="AG29">
            <v>-0.31999999999999995</v>
          </cell>
          <cell r="AI29">
            <v>0.86</v>
          </cell>
          <cell r="AK29">
            <v>-2.79</v>
          </cell>
          <cell r="AM29">
            <v>0.92</v>
          </cell>
          <cell r="AO29">
            <v>-0.41999999999999993</v>
          </cell>
          <cell r="AQ29">
            <v>-1.1100000000000001</v>
          </cell>
          <cell r="AS29">
            <v>-1.7299999999999998</v>
          </cell>
          <cell r="AU29">
            <v>-1.95</v>
          </cell>
          <cell r="AW29">
            <v>-1.9800000000000004</v>
          </cell>
          <cell r="AY29">
            <v>-0.98</v>
          </cell>
          <cell r="BA29">
            <v>0.45999999999999996</v>
          </cell>
          <cell r="BC29">
            <v>-1.6999999999999997</v>
          </cell>
          <cell r="BE29">
            <v>-2.5099999999999998</v>
          </cell>
          <cell r="BG29">
            <v>-1.71</v>
          </cell>
          <cell r="BI29">
            <v>-1.7399999999999998</v>
          </cell>
          <cell r="BK29">
            <v>-0.89999999999999991</v>
          </cell>
          <cell r="BM29">
            <v>-3.73</v>
          </cell>
          <cell r="BO29">
            <v>2.67</v>
          </cell>
          <cell r="BQ29">
            <v>0.62688571686170835</v>
          </cell>
          <cell r="BS29">
            <v>1.69</v>
          </cell>
          <cell r="BU29">
            <v>3.8700000000000006</v>
          </cell>
          <cell r="BW29">
            <v>1.61</v>
          </cell>
          <cell r="BY29">
            <v>0.57000000000000006</v>
          </cell>
          <cell r="CA29">
            <v>1.69</v>
          </cell>
          <cell r="CC29">
            <v>-0.5</v>
          </cell>
          <cell r="CE29">
            <v>2.8100000000000005</v>
          </cell>
          <cell r="CG29">
            <v>1.1299999999999999</v>
          </cell>
          <cell r="CI29">
            <v>1.61</v>
          </cell>
          <cell r="CK29">
            <v>1.655</v>
          </cell>
          <cell r="CM29">
            <v>-0.10000003</v>
          </cell>
          <cell r="CO29" t="e">
            <v>#N/A</v>
          </cell>
          <cell r="CQ29" t="e">
            <v>#N/A</v>
          </cell>
          <cell r="CS29" t="e">
            <v>#N/A</v>
          </cell>
          <cell r="CU29">
            <v>-0.03</v>
          </cell>
        </row>
        <row r="30">
          <cell r="O30" t="e">
            <v>#N/A</v>
          </cell>
          <cell r="P30" t="str">
            <v xml:space="preserve"> </v>
          </cell>
          <cell r="Q30">
            <v>1.66</v>
          </cell>
          <cell r="R30" t="str">
            <v xml:space="preserve"> </v>
          </cell>
          <cell r="S30">
            <v>0.16</v>
          </cell>
          <cell r="U30">
            <v>0.50000000000000011</v>
          </cell>
          <cell r="W30">
            <v>1.7</v>
          </cell>
          <cell r="Y30">
            <v>1.17</v>
          </cell>
          <cell r="AA30">
            <v>2.44</v>
          </cell>
          <cell r="AC30">
            <v>1.05</v>
          </cell>
          <cell r="AE30">
            <v>3.22</v>
          </cell>
          <cell r="AG30">
            <v>0.41</v>
          </cell>
          <cell r="AI30">
            <v>0.77</v>
          </cell>
          <cell r="AK30">
            <v>-2.58</v>
          </cell>
          <cell r="AM30">
            <v>-0.83</v>
          </cell>
          <cell r="AO30">
            <v>-2.1</v>
          </cell>
          <cell r="AQ30">
            <v>-1.35</v>
          </cell>
          <cell r="AS30">
            <v>-0.95</v>
          </cell>
          <cell r="AU30">
            <v>-1.8</v>
          </cell>
          <cell r="AW30">
            <v>-1.36</v>
          </cell>
          <cell r="AY30">
            <v>-0.56000000000000005</v>
          </cell>
          <cell r="BA30">
            <v>0.44</v>
          </cell>
          <cell r="BC30">
            <v>-1.1299999999999999</v>
          </cell>
          <cell r="BE30">
            <v>-2.4700000000000002</v>
          </cell>
          <cell r="BG30">
            <v>-1.55</v>
          </cell>
          <cell r="BI30">
            <v>-1.65</v>
          </cell>
          <cell r="BK30">
            <v>-0.67</v>
          </cell>
          <cell r="BM30">
            <v>-3.23</v>
          </cell>
          <cell r="BO30">
            <v>2.41</v>
          </cell>
          <cell r="BQ30">
            <v>0.52</v>
          </cell>
          <cell r="BS30">
            <v>1.58</v>
          </cell>
          <cell r="BU30">
            <v>3.74</v>
          </cell>
          <cell r="BW30">
            <v>1.61</v>
          </cell>
          <cell r="BY30">
            <v>0.56999999999999995</v>
          </cell>
          <cell r="CA30">
            <v>1.58</v>
          </cell>
          <cell r="CC30">
            <v>-1.6</v>
          </cell>
          <cell r="CE30">
            <v>2.68</v>
          </cell>
          <cell r="CG30">
            <v>0.97499999999999998</v>
          </cell>
          <cell r="CI30">
            <v>1.74</v>
          </cell>
          <cell r="CK30">
            <v>1.6975</v>
          </cell>
          <cell r="CM30">
            <v>-1.24</v>
          </cell>
          <cell r="CO30">
            <v>8.5417919999999994E-2</v>
          </cell>
          <cell r="CQ30">
            <v>0</v>
          </cell>
          <cell r="CS30">
            <v>3.2469000000000001</v>
          </cell>
          <cell r="CU30">
            <v>-0.03</v>
          </cell>
        </row>
        <row r="31">
          <cell r="O31">
            <v>1.2150000000000001</v>
          </cell>
          <cell r="P31" t="str">
            <v xml:space="preserve"> </v>
          </cell>
          <cell r="Q31">
            <v>1.1000000000000001</v>
          </cell>
          <cell r="R31" t="str">
            <v xml:space="preserve"> </v>
          </cell>
          <cell r="S31">
            <v>0.75</v>
          </cell>
          <cell r="U31">
            <v>1.08</v>
          </cell>
          <cell r="W31">
            <v>0.81</v>
          </cell>
          <cell r="Y31">
            <v>1.35</v>
          </cell>
          <cell r="AA31">
            <v>1.95</v>
          </cell>
          <cell r="AC31" t="str">
            <v>N.A.</v>
          </cell>
          <cell r="AE31">
            <v>2.0499999999999998</v>
          </cell>
          <cell r="AG31">
            <v>0.61</v>
          </cell>
          <cell r="AI31">
            <v>2.2800000000000002</v>
          </cell>
          <cell r="AK31">
            <v>-2.08</v>
          </cell>
          <cell r="AM31">
            <v>0.92</v>
          </cell>
          <cell r="AO31">
            <v>0.34</v>
          </cell>
          <cell r="AQ31">
            <v>-0.42</v>
          </cell>
          <cell r="AS31">
            <v>-1.6500000000000001</v>
          </cell>
          <cell r="AU31">
            <v>-0.84</v>
          </cell>
          <cell r="AW31">
            <v>-1.6</v>
          </cell>
          <cell r="AY31">
            <v>-0.98</v>
          </cell>
          <cell r="BA31">
            <v>0.71</v>
          </cell>
          <cell r="BC31">
            <v>-2.04</v>
          </cell>
          <cell r="BE31">
            <v>-2.52</v>
          </cell>
          <cell r="BG31">
            <v>-1.93</v>
          </cell>
          <cell r="BI31" t="str">
            <v>N.A.</v>
          </cell>
          <cell r="BK31">
            <v>-0.42</v>
          </cell>
          <cell r="BM31">
            <v>-4.42</v>
          </cell>
          <cell r="BO31">
            <v>2.67</v>
          </cell>
          <cell r="BQ31">
            <v>0.87120000000000009</v>
          </cell>
          <cell r="BS31">
            <v>1.23</v>
          </cell>
          <cell r="BU31">
            <v>2.4500000000000002</v>
          </cell>
          <cell r="BW31">
            <v>1.9000000000000001</v>
          </cell>
          <cell r="BY31">
            <v>1.49</v>
          </cell>
          <cell r="CA31">
            <v>1.23</v>
          </cell>
          <cell r="CC31">
            <v>1</v>
          </cell>
          <cell r="CE31">
            <v>1.68</v>
          </cell>
          <cell r="CG31">
            <v>1.4000000000000001</v>
          </cell>
          <cell r="CI31">
            <v>1.61</v>
          </cell>
          <cell r="CK31">
            <v>2.1174999999999997</v>
          </cell>
          <cell r="CM31" t="str">
            <v>N.A.</v>
          </cell>
          <cell r="CO31">
            <v>0.14803632</v>
          </cell>
          <cell r="CQ31">
            <v>3.3226610000000005</v>
          </cell>
          <cell r="CS31">
            <v>3.4633600000000002</v>
          </cell>
          <cell r="CU31">
            <v>0.21</v>
          </cell>
        </row>
        <row r="32">
          <cell r="O32">
            <v>1.7649999999999999</v>
          </cell>
          <cell r="P32" t="str">
            <v xml:space="preserve"> </v>
          </cell>
          <cell r="Q32">
            <v>1.4000000000000001</v>
          </cell>
          <cell r="R32" t="str">
            <v xml:space="preserve"> </v>
          </cell>
          <cell r="S32">
            <v>1.5</v>
          </cell>
          <cell r="U32">
            <v>0.77999999999999992</v>
          </cell>
          <cell r="W32">
            <v>0.98</v>
          </cell>
          <cell r="Y32">
            <v>1.6</v>
          </cell>
          <cell r="AA32">
            <v>2.2000000000000002</v>
          </cell>
          <cell r="AC32" t="str">
            <v>N.A.</v>
          </cell>
          <cell r="AE32">
            <v>2.3199999999999998</v>
          </cell>
          <cell r="AG32">
            <v>0.75</v>
          </cell>
          <cell r="AI32">
            <v>2.68</v>
          </cell>
          <cell r="AK32">
            <v>-1.05</v>
          </cell>
          <cell r="AM32">
            <v>1.84</v>
          </cell>
          <cell r="AO32">
            <v>-0.46500000000000002</v>
          </cell>
          <cell r="AQ32">
            <v>0.1</v>
          </cell>
          <cell r="AS32">
            <v>-0.18</v>
          </cell>
          <cell r="AU32">
            <v>0.14000000000000001</v>
          </cell>
          <cell r="AW32">
            <v>0.45</v>
          </cell>
          <cell r="AY32">
            <v>-0.31</v>
          </cell>
          <cell r="BA32">
            <v>0.92500000000000004</v>
          </cell>
          <cell r="BC32">
            <v>-1.8900000000000001</v>
          </cell>
          <cell r="BE32">
            <v>-2.64</v>
          </cell>
          <cell r="BG32">
            <v>-3</v>
          </cell>
          <cell r="BI32" t="str">
            <v>N.A.</v>
          </cell>
          <cell r="BK32">
            <v>-1.6600000000000001</v>
          </cell>
          <cell r="BM32">
            <v>-4.32</v>
          </cell>
          <cell r="BO32">
            <v>3</v>
          </cell>
          <cell r="BQ32">
            <v>1.1153999999999999</v>
          </cell>
          <cell r="BS32">
            <v>1.55</v>
          </cell>
          <cell r="BU32">
            <v>2.7800000000000002</v>
          </cell>
          <cell r="BW32">
            <v>2.17</v>
          </cell>
          <cell r="BY32">
            <v>1.85</v>
          </cell>
          <cell r="CA32">
            <v>1.55</v>
          </cell>
          <cell r="CC32">
            <v>1.84</v>
          </cell>
          <cell r="CE32">
            <v>1.86</v>
          </cell>
          <cell r="CG32">
            <v>1.6300000000000001</v>
          </cell>
          <cell r="CI32">
            <v>1.82</v>
          </cell>
          <cell r="CK32">
            <v>2.4024999999999999</v>
          </cell>
          <cell r="CM32" t="e">
            <v>#REF!</v>
          </cell>
          <cell r="CO32">
            <v>0.20005776</v>
          </cell>
          <cell r="CQ32">
            <v>3.9503949999999999</v>
          </cell>
          <cell r="CS32">
            <v>3.9095099999999996</v>
          </cell>
          <cell r="CU32">
            <v>0.42</v>
          </cell>
        </row>
        <row r="33">
          <cell r="O33">
            <v>2.121</v>
          </cell>
          <cell r="P33" t="str">
            <v xml:space="preserve"> </v>
          </cell>
          <cell r="Q33">
            <v>1.6500000000000001</v>
          </cell>
          <cell r="R33" t="str">
            <v xml:space="preserve"> </v>
          </cell>
          <cell r="S33">
            <v>1.95</v>
          </cell>
          <cell r="U33">
            <v>0</v>
          </cell>
          <cell r="W33">
            <v>1.17</v>
          </cell>
          <cell r="Y33">
            <v>1.81</v>
          </cell>
          <cell r="AA33">
            <v>2.58</v>
          </cell>
          <cell r="AC33" t="str">
            <v>N.A.</v>
          </cell>
          <cell r="AE33">
            <v>2.65</v>
          </cell>
          <cell r="AG33">
            <v>0.97</v>
          </cell>
          <cell r="AI33">
            <v>3.0500000000000003</v>
          </cell>
          <cell r="AK33">
            <v>0.9</v>
          </cell>
          <cell r="AM33">
            <v>1.85</v>
          </cell>
          <cell r="AO33">
            <v>0.32</v>
          </cell>
          <cell r="AQ33">
            <v>1.02</v>
          </cell>
          <cell r="AS33">
            <v>1.79</v>
          </cell>
          <cell r="AU33">
            <v>1.8900000000000001</v>
          </cell>
          <cell r="AW33">
            <v>2.0300000000000002</v>
          </cell>
          <cell r="AY33">
            <v>1.43</v>
          </cell>
          <cell r="BA33">
            <v>1.2000000000000002</v>
          </cell>
          <cell r="BC33">
            <v>0.37</v>
          </cell>
          <cell r="BE33" t="str">
            <v>N.A.</v>
          </cell>
          <cell r="BG33">
            <v>0.55000000000000004</v>
          </cell>
          <cell r="BI33" t="str">
            <v>N.A.</v>
          </cell>
          <cell r="BK33">
            <v>-0.55000000000000004</v>
          </cell>
          <cell r="BM33">
            <v>0.39</v>
          </cell>
          <cell r="BO33">
            <v>3.39</v>
          </cell>
          <cell r="BQ33" t="str">
            <v>N.A.</v>
          </cell>
          <cell r="BS33">
            <v>1.84</v>
          </cell>
          <cell r="BU33">
            <v>3.0500000000000003</v>
          </cell>
          <cell r="BW33">
            <v>2.64</v>
          </cell>
          <cell r="BY33">
            <v>2.35</v>
          </cell>
          <cell r="CA33">
            <v>1.84</v>
          </cell>
          <cell r="CC33">
            <v>2.56</v>
          </cell>
          <cell r="CE33">
            <v>2.1</v>
          </cell>
          <cell r="CG33">
            <v>1.9000000000000001</v>
          </cell>
          <cell r="CI33">
            <v>2.0499999999999998</v>
          </cell>
          <cell r="CK33">
            <v>2.7361249999999999</v>
          </cell>
          <cell r="CM33" t="e">
            <v>#REF!</v>
          </cell>
          <cell r="CO33">
            <v>0.23827103999999999</v>
          </cell>
          <cell r="CQ33">
            <v>4.6647130000000008</v>
          </cell>
          <cell r="CS33">
            <v>4.2470999999999997</v>
          </cell>
          <cell r="CU33">
            <v>0.83</v>
          </cell>
        </row>
        <row r="34">
          <cell r="O34">
            <v>2.5451999999999999</v>
          </cell>
          <cell r="P34" t="str">
            <v xml:space="preserve"> </v>
          </cell>
          <cell r="Q34">
            <v>2.0625</v>
          </cell>
          <cell r="R34" t="str">
            <v xml:space="preserve"> </v>
          </cell>
          <cell r="S34">
            <v>2.7689999999999997</v>
          </cell>
          <cell r="U34">
            <v>0</v>
          </cell>
          <cell r="W34">
            <v>1.3885559999999999</v>
          </cell>
          <cell r="Y34">
            <v>2.3088360000000003</v>
          </cell>
          <cell r="AA34">
            <v>2.9765459999999999</v>
          </cell>
          <cell r="AC34">
            <v>0</v>
          </cell>
          <cell r="AE34">
            <v>2.9865499999999998</v>
          </cell>
          <cell r="AG34">
            <v>1.2124999999999999</v>
          </cell>
          <cell r="AI34">
            <v>3.5331199999999998</v>
          </cell>
          <cell r="AK34">
            <v>1.4</v>
          </cell>
          <cell r="AM34">
            <v>2.57</v>
          </cell>
          <cell r="AO34">
            <v>2.4700000000000002</v>
          </cell>
          <cell r="AQ34">
            <v>1.224</v>
          </cell>
          <cell r="AS34">
            <v>2.327</v>
          </cell>
          <cell r="AU34">
            <v>2.4570000000000003</v>
          </cell>
          <cell r="AW34">
            <v>2.0300000000000002</v>
          </cell>
          <cell r="AY34">
            <v>2.95</v>
          </cell>
          <cell r="BA34">
            <v>1.41</v>
          </cell>
          <cell r="BC34">
            <v>0.13</v>
          </cell>
          <cell r="BE34">
            <v>0</v>
          </cell>
          <cell r="BG34">
            <v>0.55000000000000004</v>
          </cell>
          <cell r="BI34">
            <v>0</v>
          </cell>
          <cell r="BK34">
            <v>-0.25</v>
          </cell>
          <cell r="BM34">
            <v>6.29</v>
          </cell>
          <cell r="BO34">
            <v>3.81</v>
          </cell>
          <cell r="BQ34">
            <v>0</v>
          </cell>
          <cell r="BS34">
            <v>5.0599999999999996</v>
          </cell>
          <cell r="BU34">
            <v>6.17</v>
          </cell>
          <cell r="BW34">
            <v>2.9940240000000005</v>
          </cell>
          <cell r="BY34">
            <v>3.39</v>
          </cell>
          <cell r="CA34">
            <v>5.0599999999999996</v>
          </cell>
          <cell r="CC34">
            <v>3.7376</v>
          </cell>
          <cell r="CE34">
            <v>2.3520000000000003</v>
          </cell>
          <cell r="CG34">
            <v>2.2040000000000002</v>
          </cell>
          <cell r="CI34">
            <v>2.3000000000000003</v>
          </cell>
          <cell r="CK34">
            <v>3.0918212499999993</v>
          </cell>
          <cell r="CM34" t="e">
            <v>#REF!</v>
          </cell>
          <cell r="CO34">
            <v>0.216756</v>
          </cell>
          <cell r="CQ34">
            <v>5.5090260530000013</v>
          </cell>
          <cell r="CS34">
            <v>4.0510799999999998</v>
          </cell>
          <cell r="CU34">
            <v>1.21</v>
          </cell>
        </row>
        <row r="35">
          <cell r="O35" t="e">
            <v>#N/A</v>
          </cell>
          <cell r="Q35">
            <v>1.66</v>
          </cell>
          <cell r="S35">
            <v>0.16</v>
          </cell>
          <cell r="U35">
            <v>0.4</v>
          </cell>
          <cell r="W35">
            <v>1.7</v>
          </cell>
          <cell r="Y35">
            <v>1.17</v>
          </cell>
          <cell r="AA35">
            <v>2.44</v>
          </cell>
          <cell r="AC35">
            <v>1.05</v>
          </cell>
          <cell r="AE35">
            <v>3.22</v>
          </cell>
          <cell r="AG35">
            <v>0.41</v>
          </cell>
          <cell r="AI35">
            <v>0.77</v>
          </cell>
          <cell r="AK35">
            <v>-2.58</v>
          </cell>
          <cell r="AM35">
            <v>-0.83</v>
          </cell>
          <cell r="AO35">
            <v>-2.1</v>
          </cell>
          <cell r="AQ35">
            <v>-1.35</v>
          </cell>
          <cell r="AS35">
            <v>-0.95</v>
          </cell>
          <cell r="AU35">
            <v>-1.8</v>
          </cell>
          <cell r="AW35">
            <v>-1.36</v>
          </cell>
          <cell r="AY35">
            <v>-0.56000000000000005</v>
          </cell>
          <cell r="BA35">
            <v>0.44</v>
          </cell>
          <cell r="BC35">
            <v>-1.1299999999999999</v>
          </cell>
          <cell r="BE35">
            <v>-2.4700000000000002</v>
          </cell>
          <cell r="BG35">
            <v>-1.55</v>
          </cell>
          <cell r="BI35">
            <v>-1.65</v>
          </cell>
          <cell r="BK35">
            <v>-0.67</v>
          </cell>
          <cell r="BM35">
            <v>-3.23</v>
          </cell>
          <cell r="BO35">
            <v>2.41</v>
          </cell>
          <cell r="BQ35">
            <v>0.52</v>
          </cell>
          <cell r="BS35">
            <v>1.58</v>
          </cell>
          <cell r="BU35">
            <v>3.74</v>
          </cell>
          <cell r="BW35">
            <v>1.61</v>
          </cell>
          <cell r="BY35">
            <v>0.56999999999999995</v>
          </cell>
          <cell r="CA35">
            <v>1.58</v>
          </cell>
          <cell r="CC35">
            <v>-1.6</v>
          </cell>
          <cell r="CE35">
            <v>2.68</v>
          </cell>
          <cell r="CG35">
            <v>0.97499999999999998</v>
          </cell>
          <cell r="CI35">
            <v>1.74</v>
          </cell>
          <cell r="CK35">
            <v>1.58</v>
          </cell>
          <cell r="CM35">
            <v>-1.24</v>
          </cell>
          <cell r="CO35">
            <v>8.5417919999999994E-2</v>
          </cell>
          <cell r="CS35">
            <v>3.2469000000000001</v>
          </cell>
          <cell r="CU35">
            <v>-0.03</v>
          </cell>
        </row>
        <row r="36">
          <cell r="O36">
            <v>1.06</v>
          </cell>
          <cell r="Q36">
            <v>1.1000000000000001</v>
          </cell>
          <cell r="S36">
            <v>0.75</v>
          </cell>
          <cell r="U36">
            <v>0.60000000000000009</v>
          </cell>
          <cell r="W36">
            <v>0.81</v>
          </cell>
          <cell r="Y36">
            <v>1.35</v>
          </cell>
          <cell r="AA36">
            <v>1.95</v>
          </cell>
          <cell r="AC36" t="str">
            <v>N.A.</v>
          </cell>
          <cell r="AE36">
            <v>2.0499999999999998</v>
          </cell>
          <cell r="AG36">
            <v>0.61</v>
          </cell>
          <cell r="AI36">
            <v>2.2800000000000002</v>
          </cell>
          <cell r="AK36">
            <v>-2.08</v>
          </cell>
          <cell r="AM36">
            <v>0.92</v>
          </cell>
          <cell r="AO36">
            <v>0.34</v>
          </cell>
          <cell r="AQ36">
            <v>-0.42</v>
          </cell>
          <cell r="AS36">
            <v>-1.6500000000000001</v>
          </cell>
          <cell r="AU36">
            <v>-0.84</v>
          </cell>
          <cell r="AW36">
            <v>-1.6</v>
          </cell>
          <cell r="AY36">
            <v>-0.98</v>
          </cell>
          <cell r="BA36">
            <v>0.71</v>
          </cell>
          <cell r="BC36">
            <v>-2.04</v>
          </cell>
          <cell r="BE36">
            <v>-2.52</v>
          </cell>
          <cell r="BG36">
            <v>-1.93</v>
          </cell>
          <cell r="BI36" t="str">
            <v>N.A.</v>
          </cell>
          <cell r="BK36">
            <v>-0.42</v>
          </cell>
          <cell r="BM36">
            <v>-4.42</v>
          </cell>
          <cell r="BO36">
            <v>2.67</v>
          </cell>
          <cell r="BQ36">
            <v>0.87120000000000009</v>
          </cell>
          <cell r="BS36">
            <v>1.23</v>
          </cell>
          <cell r="BU36">
            <v>2.4500000000000002</v>
          </cell>
          <cell r="BW36">
            <v>1.9000000000000001</v>
          </cell>
          <cell r="BY36">
            <v>1.49</v>
          </cell>
          <cell r="CA36">
            <v>1.23</v>
          </cell>
          <cell r="CC36">
            <v>1</v>
          </cell>
          <cell r="CE36">
            <v>1.68</v>
          </cell>
          <cell r="CG36">
            <v>1.4000000000000001</v>
          </cell>
          <cell r="CI36">
            <v>1.61</v>
          </cell>
          <cell r="CK36">
            <v>2.0499999999999998</v>
          </cell>
          <cell r="CM36" t="str">
            <v>N.A.</v>
          </cell>
          <cell r="CO36">
            <v>0.14803632</v>
          </cell>
          <cell r="CQ36">
            <v>3.3226610000000005</v>
          </cell>
          <cell r="CS36">
            <v>3.4633600000000002</v>
          </cell>
          <cell r="CU36">
            <v>0.21</v>
          </cell>
        </row>
        <row r="37">
          <cell r="O37">
            <v>1.68</v>
          </cell>
          <cell r="Q37">
            <v>1.4000000000000001</v>
          </cell>
          <cell r="S37">
            <v>1.5</v>
          </cell>
          <cell r="U37">
            <v>1.56</v>
          </cell>
          <cell r="W37">
            <v>0.98</v>
          </cell>
          <cell r="Y37">
            <v>1.6</v>
          </cell>
          <cell r="AA37">
            <v>2.2000000000000002</v>
          </cell>
          <cell r="AC37" t="str">
            <v>N.A.</v>
          </cell>
          <cell r="AE37">
            <v>2.3199999999999998</v>
          </cell>
          <cell r="AG37">
            <v>0.75</v>
          </cell>
          <cell r="AI37">
            <v>2.68</v>
          </cell>
          <cell r="AK37">
            <v>-1.05</v>
          </cell>
          <cell r="AM37">
            <v>1.84</v>
          </cell>
          <cell r="AO37">
            <v>-0.46500000000000002</v>
          </cell>
          <cell r="AQ37">
            <v>0.1</v>
          </cell>
          <cell r="AS37">
            <v>-0.18</v>
          </cell>
          <cell r="AU37">
            <v>0.14000000000000001</v>
          </cell>
          <cell r="AW37">
            <v>0.45</v>
          </cell>
          <cell r="AY37">
            <v>-0.31</v>
          </cell>
          <cell r="BA37">
            <v>0.92500000000000004</v>
          </cell>
          <cell r="BC37">
            <v>-1.8900000000000001</v>
          </cell>
          <cell r="BE37">
            <v>-2.64</v>
          </cell>
          <cell r="BG37">
            <v>-3</v>
          </cell>
          <cell r="BI37" t="str">
            <v>N.A.</v>
          </cell>
          <cell r="BK37">
            <v>-1.6600000000000001</v>
          </cell>
          <cell r="BM37">
            <v>-4.32</v>
          </cell>
          <cell r="BO37">
            <v>3</v>
          </cell>
          <cell r="BQ37">
            <v>1.1153999999999999</v>
          </cell>
          <cell r="BS37">
            <v>1.55</v>
          </cell>
          <cell r="BU37">
            <v>2.7800000000000002</v>
          </cell>
          <cell r="BW37">
            <v>2.17</v>
          </cell>
          <cell r="BY37">
            <v>1.85</v>
          </cell>
          <cell r="CA37">
            <v>1.55</v>
          </cell>
          <cell r="CC37">
            <v>1.84</v>
          </cell>
          <cell r="CE37">
            <v>1.86</v>
          </cell>
          <cell r="CG37">
            <v>1.6300000000000001</v>
          </cell>
          <cell r="CI37">
            <v>1.82</v>
          </cell>
          <cell r="CK37">
            <v>2.3199999999999998</v>
          </cell>
          <cell r="CM37" t="e">
            <v>#REF!</v>
          </cell>
          <cell r="CO37">
            <v>0.20005776</v>
          </cell>
          <cell r="CQ37">
            <v>3.9503949999999999</v>
          </cell>
          <cell r="CS37">
            <v>3.9095099999999996</v>
          </cell>
          <cell r="CU37">
            <v>0.42</v>
          </cell>
        </row>
        <row r="38">
          <cell r="O38">
            <v>2.02</v>
          </cell>
          <cell r="Q38">
            <v>1.6500000000000001</v>
          </cell>
          <cell r="S38">
            <v>1.95</v>
          </cell>
          <cell r="U38" t="str">
            <v>N.A.</v>
          </cell>
          <cell r="W38">
            <v>1.17</v>
          </cell>
          <cell r="Y38">
            <v>1.81</v>
          </cell>
          <cell r="AA38">
            <v>2.58</v>
          </cell>
          <cell r="AC38" t="str">
            <v>N.A.</v>
          </cell>
          <cell r="AE38">
            <v>2.65</v>
          </cell>
          <cell r="AG38">
            <v>0.97</v>
          </cell>
          <cell r="AI38">
            <v>3.0500000000000003</v>
          </cell>
          <cell r="AK38">
            <v>0.9</v>
          </cell>
          <cell r="AM38">
            <v>1.85</v>
          </cell>
          <cell r="AO38">
            <v>0.32</v>
          </cell>
          <cell r="AQ38">
            <v>1.02</v>
          </cell>
          <cell r="AS38">
            <v>1.79</v>
          </cell>
          <cell r="AU38">
            <v>1.8900000000000001</v>
          </cell>
          <cell r="AW38">
            <v>2.0300000000000002</v>
          </cell>
          <cell r="AY38">
            <v>1.43</v>
          </cell>
          <cell r="BA38">
            <v>1.2000000000000002</v>
          </cell>
          <cell r="BC38">
            <v>0.37</v>
          </cell>
          <cell r="BE38" t="str">
            <v>N.A.</v>
          </cell>
          <cell r="BG38">
            <v>0.55000000000000004</v>
          </cell>
          <cell r="BI38" t="str">
            <v>N.A.</v>
          </cell>
          <cell r="BK38">
            <v>-0.55000000000000004</v>
          </cell>
          <cell r="BM38">
            <v>0.39</v>
          </cell>
          <cell r="BO38">
            <v>3.39</v>
          </cell>
          <cell r="BQ38" t="str">
            <v>N.A.</v>
          </cell>
          <cell r="BS38">
            <v>1.84</v>
          </cell>
          <cell r="BU38">
            <v>3.0500000000000003</v>
          </cell>
          <cell r="BW38">
            <v>2.64</v>
          </cell>
          <cell r="BY38">
            <v>2.35</v>
          </cell>
          <cell r="CA38">
            <v>1.84</v>
          </cell>
          <cell r="CC38">
            <v>2.56</v>
          </cell>
          <cell r="CE38">
            <v>2.1</v>
          </cell>
          <cell r="CG38">
            <v>1.9000000000000001</v>
          </cell>
          <cell r="CI38">
            <v>2.0499999999999998</v>
          </cell>
          <cell r="CK38">
            <v>2.65</v>
          </cell>
          <cell r="CM38" t="e">
            <v>#REF!</v>
          </cell>
          <cell r="CO38">
            <v>0.23827103999999999</v>
          </cell>
          <cell r="CQ38">
            <v>4.6647130000000008</v>
          </cell>
          <cell r="CS38">
            <v>4.2470999999999997</v>
          </cell>
          <cell r="CU38">
            <v>0.83</v>
          </cell>
        </row>
        <row r="39">
          <cell r="O39">
            <v>2.4239999999999999</v>
          </cell>
          <cell r="Q39">
            <v>2.0625</v>
          </cell>
          <cell r="S39">
            <v>2.7689999999999997</v>
          </cell>
          <cell r="U39">
            <v>0</v>
          </cell>
          <cell r="W39">
            <v>1.3885559999999999</v>
          </cell>
          <cell r="Y39">
            <v>2.3088360000000003</v>
          </cell>
          <cell r="AA39">
            <v>2.9765459999999999</v>
          </cell>
          <cell r="AC39">
            <v>0</v>
          </cell>
          <cell r="AE39">
            <v>2.9865499999999998</v>
          </cell>
          <cell r="AG39">
            <v>1.2124999999999999</v>
          </cell>
          <cell r="AI39">
            <v>3.5331199999999998</v>
          </cell>
          <cell r="AK39">
            <v>1.4</v>
          </cell>
          <cell r="AM39">
            <v>2.57</v>
          </cell>
          <cell r="AO39">
            <v>2.4700000000000002</v>
          </cell>
          <cell r="AQ39">
            <v>1.224</v>
          </cell>
          <cell r="AS39">
            <v>2.327</v>
          </cell>
          <cell r="AU39">
            <v>2.4570000000000003</v>
          </cell>
          <cell r="AW39">
            <v>2.0300000000000002</v>
          </cell>
          <cell r="AY39">
            <v>2.95</v>
          </cell>
          <cell r="BA39">
            <v>1.41</v>
          </cell>
          <cell r="BC39">
            <v>0.13</v>
          </cell>
          <cell r="BG39">
            <v>0.55000000000000004</v>
          </cell>
          <cell r="BK39">
            <v>-0.25</v>
          </cell>
          <cell r="BM39">
            <v>6.29</v>
          </cell>
          <cell r="BO39">
            <v>3.81</v>
          </cell>
          <cell r="BQ39">
            <v>0</v>
          </cell>
          <cell r="BS39">
            <v>5.0599999999999996</v>
          </cell>
          <cell r="BU39">
            <v>6.17</v>
          </cell>
          <cell r="BW39">
            <v>2.9940240000000005</v>
          </cell>
          <cell r="BY39">
            <v>3.39</v>
          </cell>
          <cell r="CA39">
            <v>5.0599999999999996</v>
          </cell>
          <cell r="CC39">
            <v>3.7376</v>
          </cell>
          <cell r="CE39">
            <v>2.3520000000000003</v>
          </cell>
          <cell r="CG39">
            <v>2.2040000000000002</v>
          </cell>
          <cell r="CI39">
            <v>2.3000000000000003</v>
          </cell>
          <cell r="CK39">
            <v>2.9944999999999995</v>
          </cell>
          <cell r="CM39" t="e">
            <v>#REF!</v>
          </cell>
          <cell r="CO39">
            <v>0.216756</v>
          </cell>
          <cell r="CQ39">
            <v>5.5090260530000013</v>
          </cell>
          <cell r="CS39">
            <v>4.0510799999999998</v>
          </cell>
          <cell r="CU39">
            <v>1.21</v>
          </cell>
        </row>
        <row r="40">
          <cell r="O40">
            <v>2.9087999999999998</v>
          </cell>
          <cell r="P40" t="str">
            <v xml:space="preserve"> </v>
          </cell>
          <cell r="Q40">
            <v>2.578125</v>
          </cell>
          <cell r="R40" t="str">
            <v xml:space="preserve"> </v>
          </cell>
          <cell r="S40">
            <v>3.9319799999999994</v>
          </cell>
          <cell r="U40">
            <v>0</v>
          </cell>
          <cell r="W40">
            <v>1.6479382607999999</v>
          </cell>
          <cell r="Y40">
            <v>2.9451512016000008</v>
          </cell>
          <cell r="AA40">
            <v>3.4340411201999999</v>
          </cell>
          <cell r="AC40">
            <v>0</v>
          </cell>
          <cell r="AE40">
            <v>3.3658418499999998</v>
          </cell>
          <cell r="AG40">
            <v>1.515625</v>
          </cell>
          <cell r="AI40">
            <v>4.0927662079999996</v>
          </cell>
          <cell r="AK40">
            <v>2.63</v>
          </cell>
          <cell r="AQ40">
            <v>1.4687999999999999</v>
          </cell>
          <cell r="AS40">
            <v>3.0251000000000001</v>
          </cell>
          <cell r="AU40">
            <v>3.1941000000000006</v>
          </cell>
          <cell r="AW40">
            <v>2.0300000000000002</v>
          </cell>
          <cell r="AY40">
            <v>5.49</v>
          </cell>
          <cell r="BC40">
            <v>4.12</v>
          </cell>
          <cell r="BG40">
            <v>0.55000000000000004</v>
          </cell>
          <cell r="BK40">
            <v>0.22</v>
          </cell>
          <cell r="BO40">
            <v>4.3052999999999999</v>
          </cell>
          <cell r="BQ40">
            <v>0</v>
          </cell>
          <cell r="BS40">
            <v>6.4560000000000004</v>
          </cell>
          <cell r="BU40">
            <v>6.98</v>
          </cell>
          <cell r="BW40">
            <v>3.3955226184000007</v>
          </cell>
          <cell r="BY40">
            <v>3.92</v>
          </cell>
          <cell r="CA40">
            <v>6.4560000000000004</v>
          </cell>
          <cell r="CC40">
            <v>5.4568959999999995</v>
          </cell>
          <cell r="CE40">
            <v>2.6342400000000006</v>
          </cell>
          <cell r="CG40">
            <v>2.5566400000000002</v>
          </cell>
          <cell r="CI40">
            <v>2.5530000000000004</v>
          </cell>
          <cell r="CK40">
            <v>3.3837849999999992</v>
          </cell>
          <cell r="CM40" t="e">
            <v>#REF!</v>
          </cell>
          <cell r="CO40">
            <v>0.26107056000000001</v>
          </cell>
          <cell r="CQ40">
            <v>6.5061597685930019</v>
          </cell>
          <cell r="CS40">
            <v>4.6538899999999996</v>
          </cell>
          <cell r="CU40">
            <v>1.4</v>
          </cell>
        </row>
        <row r="41">
          <cell r="O41">
            <v>0.2</v>
          </cell>
          <cell r="P41" t="str">
            <v xml:space="preserve"> </v>
          </cell>
          <cell r="Q41">
            <v>0.25</v>
          </cell>
          <cell r="R41" t="str">
            <v xml:space="preserve"> </v>
          </cell>
          <cell r="S41">
            <v>0.42</v>
          </cell>
          <cell r="U41">
            <v>0.21330000000000002</v>
          </cell>
          <cell r="W41">
            <v>0.18679999999999999</v>
          </cell>
          <cell r="Y41">
            <v>0.27560000000000001</v>
          </cell>
          <cell r="AA41">
            <v>0.1537</v>
          </cell>
          <cell r="AC41">
            <v>0</v>
          </cell>
          <cell r="AE41">
            <v>0.127</v>
          </cell>
          <cell r="AG41">
            <v>0.25</v>
          </cell>
          <cell r="AI41">
            <v>0.15839999999999999</v>
          </cell>
          <cell r="AK41" t="str">
            <v>N.A.</v>
          </cell>
          <cell r="AM41">
            <v>0.41950000000000004</v>
          </cell>
          <cell r="AO41" t="str">
            <v>N.A.</v>
          </cell>
          <cell r="AQ41">
            <v>0.2</v>
          </cell>
          <cell r="AS41">
            <v>0.3</v>
          </cell>
          <cell r="AU41">
            <v>0.46500000000000002</v>
          </cell>
          <cell r="AW41" t="str">
            <v>N.A.</v>
          </cell>
          <cell r="AY41">
            <v>0.9</v>
          </cell>
          <cell r="BA41">
            <v>0.25390000000000001</v>
          </cell>
          <cell r="BC41" t="str">
            <v>N.A.</v>
          </cell>
          <cell r="BE41" t="str">
            <v>N.A.</v>
          </cell>
          <cell r="BG41" t="str">
            <v>N.A.</v>
          </cell>
          <cell r="BI41" t="str">
            <v>N.A.</v>
          </cell>
          <cell r="BK41" t="str">
            <v>N.A.</v>
          </cell>
          <cell r="BM41">
            <v>1</v>
          </cell>
          <cell r="BO41">
            <v>0.13</v>
          </cell>
          <cell r="BQ41">
            <v>0.27250000000000002</v>
          </cell>
          <cell r="BS41">
            <v>0.23900000000000002</v>
          </cell>
          <cell r="BU41">
            <v>0.12790000000000001</v>
          </cell>
          <cell r="BW41">
            <v>0.1341</v>
          </cell>
          <cell r="BY41">
            <v>0.215</v>
          </cell>
          <cell r="CA41">
            <v>0.23900000000000002</v>
          </cell>
          <cell r="CC41">
            <v>0.46</v>
          </cell>
          <cell r="CE41">
            <v>0.12</v>
          </cell>
          <cell r="CG41">
            <v>0.16</v>
          </cell>
          <cell r="CI41">
            <v>0.11</v>
          </cell>
          <cell r="CK41">
            <v>0.13</v>
          </cell>
          <cell r="CM41">
            <v>0</v>
          </cell>
          <cell r="CO41">
            <v>0</v>
          </cell>
          <cell r="CQ41">
            <v>0.18099999999999999</v>
          </cell>
          <cell r="CS41">
            <v>7.2999999999999995E-2</v>
          </cell>
          <cell r="CU41">
            <v>0.4</v>
          </cell>
        </row>
        <row r="42">
          <cell r="P42" t="str">
            <v xml:space="preserve"> </v>
          </cell>
          <cell r="R42" t="str">
            <v xml:space="preserve"> </v>
          </cell>
          <cell r="CO42">
            <v>1.6055999999999999</v>
          </cell>
          <cell r="CQ42">
            <v>1.0823</v>
          </cell>
          <cell r="CS42">
            <v>1.8070999999999999</v>
          </cell>
          <cell r="CU42">
            <v>1.6055999999999999</v>
          </cell>
        </row>
        <row r="43">
          <cell r="O43">
            <v>0</v>
          </cell>
          <cell r="P43" t="str">
            <v xml:space="preserve"> </v>
          </cell>
          <cell r="Q43">
            <v>27.126999999999999</v>
          </cell>
          <cell r="R43" t="str">
            <v xml:space="preserve"> </v>
          </cell>
          <cell r="S43">
            <v>60.533999999999999</v>
          </cell>
          <cell r="U43">
            <v>0.81899999999999995</v>
          </cell>
          <cell r="W43">
            <v>2255</v>
          </cell>
          <cell r="Y43">
            <v>23.64</v>
          </cell>
          <cell r="AA43">
            <v>30</v>
          </cell>
          <cell r="AC43">
            <v>0</v>
          </cell>
          <cell r="AE43">
            <v>542</v>
          </cell>
          <cell r="AG43">
            <v>25.617999999999999</v>
          </cell>
          <cell r="AI43">
            <v>220</v>
          </cell>
          <cell r="AK43">
            <v>0</v>
          </cell>
          <cell r="AM43">
            <v>1.8680000000000001</v>
          </cell>
          <cell r="AO43">
            <v>5.0397550000000004</v>
          </cell>
          <cell r="AQ43">
            <v>0</v>
          </cell>
          <cell r="AS43">
            <v>0.81399999999999995</v>
          </cell>
          <cell r="AU43">
            <v>0.91100000000000003</v>
          </cell>
          <cell r="AW43">
            <v>1.609</v>
          </cell>
          <cell r="AY43">
            <v>0</v>
          </cell>
          <cell r="BC43">
            <v>0.155</v>
          </cell>
          <cell r="BE43">
            <v>2.5339999999999998</v>
          </cell>
          <cell r="BG43">
            <v>0.4</v>
          </cell>
          <cell r="BI43">
            <v>2.1989999999999998</v>
          </cell>
          <cell r="BK43">
            <v>0.59799999999999998</v>
          </cell>
          <cell r="BO43">
            <v>575</v>
          </cell>
          <cell r="BQ43">
            <v>24.850320000000004</v>
          </cell>
          <cell r="BS43">
            <v>924.95999999999992</v>
          </cell>
          <cell r="BU43">
            <v>902.5</v>
          </cell>
          <cell r="BW43">
            <v>924.95999999999992</v>
          </cell>
          <cell r="BY43">
            <v>1.8</v>
          </cell>
          <cell r="CA43">
            <v>924.95999999999992</v>
          </cell>
          <cell r="CC43">
            <v>0</v>
          </cell>
          <cell r="CE43">
            <v>1419.97</v>
          </cell>
          <cell r="CG43">
            <v>138</v>
          </cell>
          <cell r="CI43">
            <v>1972.27</v>
          </cell>
          <cell r="CK43">
            <v>453</v>
          </cell>
          <cell r="CM43">
            <v>40.6</v>
          </cell>
          <cell r="CS43">
            <v>48.142880858834594</v>
          </cell>
          <cell r="CU43">
            <v>20.254643999999999</v>
          </cell>
        </row>
        <row r="44">
          <cell r="O44">
            <v>453.76099999999997</v>
          </cell>
          <cell r="P44" t="str">
            <v xml:space="preserve"> </v>
          </cell>
          <cell r="Q44">
            <v>551.19200000000001</v>
          </cell>
          <cell r="R44" t="str">
            <v xml:space="preserve"> </v>
          </cell>
          <cell r="S44">
            <v>460</v>
          </cell>
          <cell r="U44">
            <v>6.242</v>
          </cell>
          <cell r="W44">
            <v>729</v>
          </cell>
          <cell r="Y44">
            <v>58.595999999999997</v>
          </cell>
          <cell r="AA44">
            <v>229</v>
          </cell>
          <cell r="AC44">
            <v>150</v>
          </cell>
          <cell r="AE44">
            <v>1387</v>
          </cell>
          <cell r="AG44">
            <v>78.622000000000014</v>
          </cell>
          <cell r="AI44">
            <v>2337.1999999999998</v>
          </cell>
          <cell r="AK44">
            <v>0</v>
          </cell>
          <cell r="AM44">
            <v>2.5049999999999999</v>
          </cell>
          <cell r="AO44">
            <v>4.6236290000000002</v>
          </cell>
          <cell r="AQ44">
            <v>0</v>
          </cell>
          <cell r="AS44">
            <v>0.747</v>
          </cell>
          <cell r="AU44">
            <v>6.7930000000000001</v>
          </cell>
          <cell r="AW44">
            <v>17.304000000000002</v>
          </cell>
          <cell r="AY44">
            <v>0</v>
          </cell>
          <cell r="BC44">
            <v>1.4410000000000001</v>
          </cell>
          <cell r="BE44">
            <v>12.11</v>
          </cell>
          <cell r="BG44">
            <v>0.83799999999999997</v>
          </cell>
          <cell r="BI44">
            <v>2.9319999999999999</v>
          </cell>
          <cell r="BK44">
            <v>3.4670000000000001</v>
          </cell>
          <cell r="BO44">
            <v>1117</v>
          </cell>
          <cell r="BQ44">
            <v>32.081940000000003</v>
          </cell>
          <cell r="BS44">
            <v>2345.1999999999998</v>
          </cell>
          <cell r="BU44">
            <v>1346.5</v>
          </cell>
          <cell r="BW44">
            <v>2345.1999999999998</v>
          </cell>
          <cell r="BY44">
            <v>902.6</v>
          </cell>
          <cell r="CA44">
            <v>2345.1999999999998</v>
          </cell>
          <cell r="CC44">
            <v>23.878</v>
          </cell>
          <cell r="CE44">
            <v>1340.845</v>
          </cell>
          <cell r="CG44">
            <v>46</v>
          </cell>
          <cell r="CI44">
            <v>3074.47</v>
          </cell>
          <cell r="CK44">
            <v>1336</v>
          </cell>
          <cell r="CM44">
            <v>1025</v>
          </cell>
          <cell r="CS44">
            <v>80.305461789607662</v>
          </cell>
          <cell r="CU44">
            <v>2.5673543999999997</v>
          </cell>
        </row>
        <row r="45">
          <cell r="O45">
            <v>0</v>
          </cell>
          <cell r="P45" t="str">
            <v xml:space="preserve"> </v>
          </cell>
          <cell r="Q45">
            <v>0</v>
          </cell>
          <cell r="R45" t="str">
            <v xml:space="preserve"> </v>
          </cell>
          <cell r="S45">
            <v>0</v>
          </cell>
          <cell r="U45">
            <v>0</v>
          </cell>
          <cell r="W45">
            <v>0</v>
          </cell>
          <cell r="Y45">
            <v>0</v>
          </cell>
          <cell r="AA45">
            <v>0</v>
          </cell>
          <cell r="AC45">
            <v>0</v>
          </cell>
          <cell r="AE45">
            <v>0</v>
          </cell>
          <cell r="AG45">
            <v>0</v>
          </cell>
          <cell r="AI45">
            <v>0</v>
          </cell>
          <cell r="AK45">
            <v>0</v>
          </cell>
          <cell r="AM45">
            <v>0</v>
          </cell>
          <cell r="AO45">
            <v>0</v>
          </cell>
          <cell r="AQ45">
            <v>0</v>
          </cell>
          <cell r="AS45">
            <v>1E-3</v>
          </cell>
          <cell r="AU45">
            <v>0</v>
          </cell>
          <cell r="AW45">
            <v>0</v>
          </cell>
          <cell r="AY45">
            <v>0</v>
          </cell>
          <cell r="BC45">
            <v>0</v>
          </cell>
          <cell r="BE45">
            <v>0</v>
          </cell>
          <cell r="BG45">
            <v>0</v>
          </cell>
          <cell r="BI45">
            <v>0</v>
          </cell>
          <cell r="BK45">
            <v>0.4</v>
          </cell>
          <cell r="BO45">
            <v>0</v>
          </cell>
          <cell r="BQ45">
            <v>0</v>
          </cell>
          <cell r="BS45">
            <v>0</v>
          </cell>
          <cell r="BU45">
            <v>0</v>
          </cell>
          <cell r="BW45">
            <v>0</v>
          </cell>
          <cell r="BY45">
            <v>0</v>
          </cell>
          <cell r="CA45">
            <v>0</v>
          </cell>
          <cell r="CC45">
            <v>0</v>
          </cell>
          <cell r="CE45">
            <v>0</v>
          </cell>
          <cell r="CG45">
            <v>0</v>
          </cell>
          <cell r="CI45">
            <v>0</v>
          </cell>
          <cell r="CK45">
            <v>0</v>
          </cell>
          <cell r="CM45">
            <v>0</v>
          </cell>
          <cell r="CS45">
            <v>0</v>
          </cell>
          <cell r="CU45">
            <v>0</v>
          </cell>
        </row>
        <row r="46">
          <cell r="O46">
            <v>0</v>
          </cell>
          <cell r="P46" t="str">
            <v xml:space="preserve"> </v>
          </cell>
          <cell r="Q46">
            <v>0</v>
          </cell>
          <cell r="R46" t="str">
            <v xml:space="preserve"> </v>
          </cell>
          <cell r="S46">
            <v>0</v>
          </cell>
          <cell r="U46">
            <v>0</v>
          </cell>
          <cell r="W46">
            <v>43</v>
          </cell>
          <cell r="Y46">
            <v>0</v>
          </cell>
          <cell r="AA46">
            <v>0</v>
          </cell>
          <cell r="AC46">
            <v>0</v>
          </cell>
          <cell r="AE46">
            <v>0</v>
          </cell>
          <cell r="AG46">
            <v>0</v>
          </cell>
          <cell r="AI46">
            <v>0</v>
          </cell>
          <cell r="AK46">
            <v>0</v>
          </cell>
          <cell r="AM46">
            <v>0</v>
          </cell>
          <cell r="AO46">
            <v>0</v>
          </cell>
          <cell r="AQ46">
            <v>0</v>
          </cell>
          <cell r="AS46">
            <v>0</v>
          </cell>
          <cell r="AU46">
            <v>0</v>
          </cell>
          <cell r="AW46">
            <v>0</v>
          </cell>
          <cell r="AY46">
            <v>0</v>
          </cell>
          <cell r="BC46">
            <v>0</v>
          </cell>
          <cell r="BE46">
            <v>0</v>
          </cell>
          <cell r="BG46">
            <v>0</v>
          </cell>
          <cell r="BI46">
            <v>0</v>
          </cell>
          <cell r="BK46">
            <v>0</v>
          </cell>
          <cell r="BO46">
            <v>0</v>
          </cell>
          <cell r="BQ46">
            <v>1.0315799999999999</v>
          </cell>
          <cell r="BS46">
            <v>0</v>
          </cell>
          <cell r="BU46">
            <v>1184.4000000000001</v>
          </cell>
          <cell r="BW46">
            <v>0</v>
          </cell>
          <cell r="BY46">
            <v>0</v>
          </cell>
          <cell r="CA46">
            <v>0</v>
          </cell>
          <cell r="CC46">
            <v>0</v>
          </cell>
          <cell r="CE46">
            <v>0</v>
          </cell>
          <cell r="CG46">
            <v>0</v>
          </cell>
          <cell r="CI46">
            <v>78.489999999999995</v>
          </cell>
          <cell r="CK46">
            <v>0</v>
          </cell>
          <cell r="CM46">
            <v>0</v>
          </cell>
          <cell r="CS46">
            <v>1.3845387637651485</v>
          </cell>
          <cell r="CU46">
            <v>0</v>
          </cell>
        </row>
        <row r="47">
          <cell r="O47">
            <v>75.308999999999997</v>
          </cell>
          <cell r="P47" t="str">
            <v xml:space="preserve"> </v>
          </cell>
          <cell r="Q47">
            <v>1182.3119999999999</v>
          </cell>
          <cell r="R47" t="str">
            <v xml:space="preserve"> </v>
          </cell>
          <cell r="S47">
            <v>109.601</v>
          </cell>
          <cell r="U47">
            <v>245.37200000000001</v>
          </cell>
          <cell r="W47">
            <v>7933</v>
          </cell>
          <cell r="Y47">
            <v>668.80200000000002</v>
          </cell>
          <cell r="AA47">
            <v>943.2</v>
          </cell>
          <cell r="AC47">
            <v>2031.2249999999999</v>
          </cell>
          <cell r="AE47">
            <v>7185</v>
          </cell>
          <cell r="AG47">
            <v>1141.8979999999999</v>
          </cell>
          <cell r="AI47">
            <v>4793.3999999999996</v>
          </cell>
          <cell r="AK47">
            <v>55.796999999999997</v>
          </cell>
          <cell r="AM47">
            <v>98.938000000000002</v>
          </cell>
          <cell r="AO47">
            <v>89.622433999999998</v>
          </cell>
          <cell r="AQ47">
            <v>167.58799999999999</v>
          </cell>
          <cell r="AS47">
            <v>284.65899999999999</v>
          </cell>
          <cell r="AU47">
            <v>105.65600000000001</v>
          </cell>
          <cell r="AW47">
            <v>68.125</v>
          </cell>
          <cell r="AY47">
            <v>28.175999999999998</v>
          </cell>
          <cell r="BA47">
            <v>418.87299999999999</v>
          </cell>
          <cell r="BC47">
            <v>22.5</v>
          </cell>
          <cell r="BE47">
            <v>31.911999999999999</v>
          </cell>
          <cell r="BG47">
            <v>23.472000000000001</v>
          </cell>
          <cell r="BI47">
            <v>25.75</v>
          </cell>
          <cell r="BK47">
            <v>52.578000000000003</v>
          </cell>
          <cell r="BM47">
            <v>-23.809000000000001</v>
          </cell>
          <cell r="BO47">
            <v>13938</v>
          </cell>
          <cell r="BQ47">
            <v>291.01314000000002</v>
          </cell>
          <cell r="BS47">
            <v>2937.24</v>
          </cell>
          <cell r="BU47">
            <v>12613.5</v>
          </cell>
          <cell r="BW47">
            <v>2937.24</v>
          </cell>
          <cell r="BY47">
            <v>1369.2</v>
          </cell>
          <cell r="CA47">
            <v>2937.24</v>
          </cell>
          <cell r="CC47">
            <v>100.256</v>
          </cell>
          <cell r="CE47">
            <v>5373.8919999999998</v>
          </cell>
          <cell r="CG47">
            <v>3694</v>
          </cell>
          <cell r="CI47">
            <v>3077.81</v>
          </cell>
          <cell r="CK47">
            <v>7244</v>
          </cell>
          <cell r="CM47">
            <v>-308.5</v>
          </cell>
          <cell r="CO47">
            <v>10.4958072</v>
          </cell>
          <cell r="CQ47">
            <v>720.35028498699569</v>
          </cell>
          <cell r="CS47">
            <v>515.4075590725472</v>
          </cell>
          <cell r="CU47">
            <v>74.714990399999991</v>
          </cell>
        </row>
        <row r="48">
          <cell r="P48" t="str">
            <v xml:space="preserve"> </v>
          </cell>
          <cell r="R48" t="str">
            <v xml:space="preserve"> </v>
          </cell>
        </row>
        <row r="49">
          <cell r="P49" t="str">
            <v xml:space="preserve"> </v>
          </cell>
          <cell r="Q49">
            <v>155.91999999999999</v>
          </cell>
          <cell r="R49" t="str">
            <v xml:space="preserve"> </v>
          </cell>
          <cell r="S49">
            <v>277.82099999999997</v>
          </cell>
          <cell r="U49">
            <v>61.94</v>
          </cell>
          <cell r="W49">
            <v>1589</v>
          </cell>
          <cell r="Y49">
            <v>504.76</v>
          </cell>
          <cell r="AA49">
            <v>1026.5</v>
          </cell>
          <cell r="AC49">
            <v>833.32199999999989</v>
          </cell>
          <cell r="AE49">
            <v>1565</v>
          </cell>
          <cell r="AG49">
            <v>192.43700000000001</v>
          </cell>
          <cell r="AI49">
            <v>1327.8</v>
          </cell>
          <cell r="AK49">
            <v>67.371000000000009</v>
          </cell>
          <cell r="AM49">
            <v>65.241</v>
          </cell>
          <cell r="AO49">
            <v>58.124499999999998</v>
          </cell>
          <cell r="AQ49">
            <v>122.846</v>
          </cell>
          <cell r="AS49">
            <v>295.86099999999999</v>
          </cell>
          <cell r="AU49">
            <v>99.445999999999998</v>
          </cell>
          <cell r="AW49">
            <v>43.298999999999999</v>
          </cell>
          <cell r="AY49">
            <v>25.332000000000001</v>
          </cell>
          <cell r="BC49">
            <v>27.36</v>
          </cell>
          <cell r="BE49">
            <v>54.302</v>
          </cell>
          <cell r="BG49">
            <v>24.859000000000002</v>
          </cell>
          <cell r="BI49">
            <v>34.871000000000002</v>
          </cell>
          <cell r="BK49">
            <v>47.516000000000005</v>
          </cell>
          <cell r="BO49">
            <v>3826</v>
          </cell>
          <cell r="BQ49">
            <v>117.10248</v>
          </cell>
          <cell r="BS49">
            <v>722.49399999999991</v>
          </cell>
          <cell r="BU49">
            <v>2309.3000000000002</v>
          </cell>
          <cell r="BW49">
            <v>923.31999999999994</v>
          </cell>
          <cell r="BY49">
            <v>174.2</v>
          </cell>
          <cell r="CA49">
            <v>722.49399999999991</v>
          </cell>
          <cell r="CC49">
            <v>100.35</v>
          </cell>
          <cell r="CE49">
            <v>274.03300000000002</v>
          </cell>
          <cell r="CG49">
            <v>937</v>
          </cell>
          <cell r="CI49">
            <v>2710.41</v>
          </cell>
          <cell r="CK49">
            <v>1005</v>
          </cell>
          <cell r="CM49">
            <v>22.2</v>
          </cell>
          <cell r="CS49">
            <v>32.01040340877649</v>
          </cell>
          <cell r="CU49">
            <v>54.911520000000003</v>
          </cell>
        </row>
        <row r="50">
          <cell r="P50" t="str">
            <v xml:space="preserve"> </v>
          </cell>
          <cell r="Q50">
            <v>2217</v>
          </cell>
          <cell r="R50" t="str">
            <v xml:space="preserve"> </v>
          </cell>
          <cell r="S50">
            <v>351.517</v>
          </cell>
          <cell r="U50">
            <v>466.505</v>
          </cell>
          <cell r="W50">
            <v>13330</v>
          </cell>
          <cell r="Y50">
            <v>529.53368</v>
          </cell>
          <cell r="AA50">
            <v>2713.1299999999997</v>
          </cell>
          <cell r="AC50">
            <v>1199.7626399999999</v>
          </cell>
          <cell r="AE50">
            <v>18872.13</v>
          </cell>
          <cell r="AG50">
            <v>1452.5</v>
          </cell>
          <cell r="AI50">
            <v>9880.4159999999993</v>
          </cell>
          <cell r="AK50">
            <v>0</v>
          </cell>
          <cell r="AM50">
            <v>65.793850000000006</v>
          </cell>
          <cell r="AO50">
            <v>0.56560639999999995</v>
          </cell>
          <cell r="AQ50">
            <v>14.923580000000001</v>
          </cell>
          <cell r="AS50">
            <v>52.048099999999998</v>
          </cell>
          <cell r="AU50">
            <v>10.484</v>
          </cell>
          <cell r="AW50">
            <v>6.1114500000000005</v>
          </cell>
          <cell r="AY50">
            <v>1.9</v>
          </cell>
          <cell r="BQ50">
            <v>219.10680000000002</v>
          </cell>
          <cell r="BS50">
            <v>575.29999999999995</v>
          </cell>
          <cell r="BU50">
            <v>26861</v>
          </cell>
          <cell r="BW50">
            <v>14062.18</v>
          </cell>
          <cell r="BY50">
            <v>562</v>
          </cell>
          <cell r="CA50">
            <v>575.29999999999995</v>
          </cell>
          <cell r="CC50">
            <v>113.3496</v>
          </cell>
          <cell r="CE50">
            <v>13309.477440000001</v>
          </cell>
          <cell r="CG50">
            <v>7862.48</v>
          </cell>
          <cell r="CI50">
            <v>14792.526</v>
          </cell>
          <cell r="CK50">
            <v>18234</v>
          </cell>
        </row>
        <row r="51">
          <cell r="P51" t="str">
            <v xml:space="preserve"> </v>
          </cell>
          <cell r="Q51">
            <v>1943.7380000000001</v>
          </cell>
          <cell r="R51" t="str">
            <v xml:space="preserve"> </v>
          </cell>
          <cell r="S51">
            <v>200.78399999999999</v>
          </cell>
          <cell r="U51">
            <v>466.505</v>
          </cell>
          <cell r="W51">
            <v>12504</v>
          </cell>
          <cell r="Y51">
            <v>434.04399999999998</v>
          </cell>
          <cell r="AA51">
            <v>2401</v>
          </cell>
          <cell r="AC51">
            <v>1016.748</v>
          </cell>
          <cell r="AE51">
            <v>16701</v>
          </cell>
          <cell r="AG51">
            <v>1162</v>
          </cell>
          <cell r="AI51">
            <v>8517.6</v>
          </cell>
          <cell r="AK51">
            <v>0</v>
          </cell>
          <cell r="AM51">
            <v>44.606000000000002</v>
          </cell>
          <cell r="AO51">
            <v>0.44188</v>
          </cell>
          <cell r="AQ51">
            <v>11.137</v>
          </cell>
          <cell r="AS51">
            <v>40.036999999999999</v>
          </cell>
          <cell r="AU51">
            <v>10.484</v>
          </cell>
          <cell r="AW51">
            <v>4.5270000000000001</v>
          </cell>
          <cell r="AY51">
            <v>1</v>
          </cell>
          <cell r="BC51">
            <v>1.5</v>
          </cell>
          <cell r="BE51">
            <v>6.0309999999999997</v>
          </cell>
          <cell r="BG51">
            <v>0.43099999999999999</v>
          </cell>
          <cell r="BI51">
            <v>7.7990000000000004</v>
          </cell>
          <cell r="BK51">
            <v>5.3479999999999999</v>
          </cell>
          <cell r="BQ51">
            <v>170.78885999999997</v>
          </cell>
          <cell r="BS51">
            <v>389.3</v>
          </cell>
          <cell r="BU51">
            <v>23637</v>
          </cell>
          <cell r="BW51">
            <v>12783.8</v>
          </cell>
          <cell r="BY51">
            <v>464.4</v>
          </cell>
          <cell r="CA51">
            <v>389.3</v>
          </cell>
          <cell r="CC51">
            <v>80.963999999999999</v>
          </cell>
          <cell r="CE51">
            <v>11883.462</v>
          </cell>
          <cell r="CG51">
            <v>6778</v>
          </cell>
          <cell r="CI51">
            <v>13326.599999999999</v>
          </cell>
          <cell r="CK51">
            <v>17468</v>
          </cell>
        </row>
        <row r="52">
          <cell r="P52" t="str">
            <v xml:space="preserve"> </v>
          </cell>
          <cell r="Q52">
            <v>668.74300000000005</v>
          </cell>
          <cell r="R52" t="str">
            <v xml:space="preserve"> </v>
          </cell>
          <cell r="S52">
            <v>187.49799999999999</v>
          </cell>
          <cell r="U52">
            <v>16.016999999999999</v>
          </cell>
          <cell r="W52">
            <v>3088</v>
          </cell>
          <cell r="Y52">
            <v>126.83299999999998</v>
          </cell>
          <cell r="AA52">
            <v>792.5</v>
          </cell>
          <cell r="AC52">
            <v>173.43699999999998</v>
          </cell>
          <cell r="AE52">
            <v>4482</v>
          </cell>
          <cell r="AG52">
            <v>109.84299999999999</v>
          </cell>
          <cell r="AI52">
            <v>2321.3999999999996</v>
          </cell>
          <cell r="AK52">
            <v>-28.664999999999999</v>
          </cell>
          <cell r="AM52">
            <v>-17.995999999999999</v>
          </cell>
          <cell r="AO52">
            <v>-38.15793</v>
          </cell>
          <cell r="AQ52">
            <v>-21.106000000000002</v>
          </cell>
          <cell r="AS52">
            <v>-45.764000000000003</v>
          </cell>
          <cell r="AU52">
            <v>-25.050999999999998</v>
          </cell>
          <cell r="AW52">
            <v>-26.486000000000001</v>
          </cell>
          <cell r="AY52">
            <v>-11.257</v>
          </cell>
          <cell r="BC52">
            <v>-12.77</v>
          </cell>
          <cell r="BE52">
            <v>-34.780999999999999</v>
          </cell>
          <cell r="BG52">
            <v>-11.898999999999999</v>
          </cell>
          <cell r="BI52">
            <v>-18.004999999999999</v>
          </cell>
          <cell r="BK52">
            <v>-16.463000000000001</v>
          </cell>
          <cell r="BQ52">
            <v>52.805279999999996</v>
          </cell>
          <cell r="BS52">
            <v>133.69999999999999</v>
          </cell>
          <cell r="BU52">
            <v>5864</v>
          </cell>
          <cell r="BW52">
            <v>2833.9199999999996</v>
          </cell>
          <cell r="BY52">
            <v>164.8</v>
          </cell>
          <cell r="CA52">
            <v>133.69999999999999</v>
          </cell>
          <cell r="CC52">
            <v>-25.872999999999998</v>
          </cell>
          <cell r="CE52">
            <v>2850.4259999999999</v>
          </cell>
          <cell r="CG52">
            <v>1959</v>
          </cell>
          <cell r="CI52">
            <v>4547.41</v>
          </cell>
          <cell r="CK52">
            <v>4729</v>
          </cell>
        </row>
        <row r="53">
          <cell r="P53" t="str">
            <v xml:space="preserve"> </v>
          </cell>
          <cell r="Q53">
            <v>21.885999999999999</v>
          </cell>
          <cell r="R53" t="str">
            <v xml:space="preserve"> </v>
          </cell>
          <cell r="S53">
            <v>3.9380000000000002</v>
          </cell>
          <cell r="U53">
            <v>0.752</v>
          </cell>
          <cell r="W53">
            <v>152</v>
          </cell>
          <cell r="Y53">
            <v>0</v>
          </cell>
          <cell r="AA53">
            <v>0</v>
          </cell>
          <cell r="AC53">
            <v>3.6419999999999999</v>
          </cell>
          <cell r="AE53">
            <v>0</v>
          </cell>
          <cell r="AG53">
            <v>0</v>
          </cell>
          <cell r="AI53">
            <v>0</v>
          </cell>
          <cell r="AK53">
            <v>0</v>
          </cell>
          <cell r="AM53">
            <v>0.91700000000000004</v>
          </cell>
          <cell r="AO53">
            <v>0</v>
          </cell>
          <cell r="AQ53">
            <v>0</v>
          </cell>
          <cell r="AS53">
            <v>0.48899999999999999</v>
          </cell>
          <cell r="AU53">
            <v>0.217</v>
          </cell>
          <cell r="AW53">
            <v>0.21</v>
          </cell>
          <cell r="AY53">
            <v>0</v>
          </cell>
          <cell r="BC53">
            <v>0</v>
          </cell>
          <cell r="BE53">
            <v>1.0649999999999999</v>
          </cell>
          <cell r="BG53">
            <v>0.113</v>
          </cell>
          <cell r="BI53">
            <v>0.05</v>
          </cell>
          <cell r="BK53">
            <v>0.55100000000000005</v>
          </cell>
          <cell r="BQ53">
            <v>3.8695800000000005</v>
          </cell>
          <cell r="BS53">
            <v>0</v>
          </cell>
          <cell r="BU53">
            <v>0</v>
          </cell>
          <cell r="BW53">
            <v>0</v>
          </cell>
          <cell r="BY53">
            <v>0</v>
          </cell>
          <cell r="CA53">
            <v>0</v>
          </cell>
          <cell r="CC53">
            <v>3.4830000000000001</v>
          </cell>
          <cell r="CE53">
            <v>134.55000000000001</v>
          </cell>
          <cell r="CG53">
            <v>0</v>
          </cell>
          <cell r="CI53">
            <v>205.41</v>
          </cell>
          <cell r="CK53">
            <v>118</v>
          </cell>
        </row>
        <row r="54">
          <cell r="P54" t="str">
            <v xml:space="preserve"> </v>
          </cell>
          <cell r="Q54">
            <v>3.6610000000000005</v>
          </cell>
          <cell r="R54" t="str">
            <v xml:space="preserve"> </v>
          </cell>
          <cell r="S54">
            <v>9.6069999999999993</v>
          </cell>
          <cell r="U54">
            <v>5.907</v>
          </cell>
          <cell r="W54">
            <v>153</v>
          </cell>
          <cell r="Y54">
            <v>22.135000000000002</v>
          </cell>
          <cell r="AA54">
            <v>0</v>
          </cell>
          <cell r="AC54">
            <v>0</v>
          </cell>
          <cell r="AE54">
            <v>0</v>
          </cell>
          <cell r="AG54">
            <v>0</v>
          </cell>
          <cell r="AI54">
            <v>0</v>
          </cell>
          <cell r="AK54">
            <v>0</v>
          </cell>
          <cell r="AM54">
            <v>3.4889999999999999</v>
          </cell>
          <cell r="AO54">
            <v>5.278098</v>
          </cell>
          <cell r="AQ54">
            <v>9.1180000000000003</v>
          </cell>
          <cell r="AS54">
            <v>18.260000000000002</v>
          </cell>
          <cell r="AU54">
            <v>3.0939999999999999</v>
          </cell>
          <cell r="AW54">
            <v>5.7160000000000002</v>
          </cell>
          <cell r="AY54">
            <v>2.4350000000000001</v>
          </cell>
          <cell r="BC54">
            <v>1.32</v>
          </cell>
          <cell r="BE54">
            <v>2.786</v>
          </cell>
          <cell r="BG54">
            <v>0.58399999999999996</v>
          </cell>
          <cell r="BI54">
            <v>2.0299999999999998</v>
          </cell>
          <cell r="BK54">
            <v>1.5229999999999999</v>
          </cell>
          <cell r="BQ54">
            <v>8.1081000000000003</v>
          </cell>
          <cell r="BS54">
            <v>0</v>
          </cell>
          <cell r="BU54">
            <v>0</v>
          </cell>
          <cell r="BW54">
            <v>0</v>
          </cell>
          <cell r="BY54">
            <v>0</v>
          </cell>
          <cell r="CA54">
            <v>0</v>
          </cell>
          <cell r="CC54">
            <v>4.0039999999999996</v>
          </cell>
          <cell r="CE54">
            <v>47.747999999999998</v>
          </cell>
          <cell r="CG54">
            <v>0</v>
          </cell>
          <cell r="CI54">
            <v>0</v>
          </cell>
          <cell r="CK54">
            <v>106</v>
          </cell>
        </row>
        <row r="55">
          <cell r="P55" t="str">
            <v xml:space="preserve"> </v>
          </cell>
          <cell r="Q55">
            <v>0</v>
          </cell>
          <cell r="R55" t="str">
            <v xml:space="preserve"> </v>
          </cell>
          <cell r="S55">
            <v>0</v>
          </cell>
          <cell r="U55">
            <v>0</v>
          </cell>
          <cell r="W55">
            <v>0</v>
          </cell>
          <cell r="Y55">
            <v>0</v>
          </cell>
          <cell r="AA55">
            <v>0</v>
          </cell>
          <cell r="AC55">
            <v>0</v>
          </cell>
          <cell r="AE55">
            <v>0</v>
          </cell>
          <cell r="AG55">
            <v>0</v>
          </cell>
          <cell r="AI55">
            <v>0</v>
          </cell>
          <cell r="AK55">
            <v>0</v>
          </cell>
          <cell r="AM55">
            <v>0</v>
          </cell>
          <cell r="AO55">
            <v>0</v>
          </cell>
          <cell r="AQ55">
            <v>0</v>
          </cell>
          <cell r="AS55">
            <v>0</v>
          </cell>
          <cell r="AU55">
            <v>0</v>
          </cell>
          <cell r="AW55">
            <v>0</v>
          </cell>
          <cell r="AY55">
            <v>0</v>
          </cell>
          <cell r="BC55">
            <v>0</v>
          </cell>
          <cell r="BE55">
            <v>0</v>
          </cell>
          <cell r="BG55">
            <v>0</v>
          </cell>
          <cell r="BI55">
            <v>0</v>
          </cell>
          <cell r="BK55">
            <v>0.16300000000000001</v>
          </cell>
          <cell r="BQ55">
            <v>0</v>
          </cell>
          <cell r="BS55">
            <v>0</v>
          </cell>
          <cell r="BU55">
            <v>0</v>
          </cell>
          <cell r="BW55">
            <v>0</v>
          </cell>
          <cell r="BY55">
            <v>0</v>
          </cell>
          <cell r="CA55">
            <v>0</v>
          </cell>
          <cell r="CC55">
            <v>0</v>
          </cell>
          <cell r="CE55">
            <v>0</v>
          </cell>
          <cell r="CG55">
            <v>0</v>
          </cell>
          <cell r="CI55">
            <v>0</v>
          </cell>
          <cell r="CK55">
            <v>0</v>
          </cell>
        </row>
        <row r="56">
          <cell r="P56" t="str">
            <v xml:space="preserve"> </v>
          </cell>
          <cell r="Q56">
            <v>86.691999999999993</v>
          </cell>
          <cell r="R56" t="str">
            <v xml:space="preserve"> </v>
          </cell>
          <cell r="S56">
            <v>14.617000000000001</v>
          </cell>
          <cell r="U56">
            <v>9.0869999999999997</v>
          </cell>
          <cell r="W56">
            <v>502</v>
          </cell>
          <cell r="Y56">
            <v>19.295999999999999</v>
          </cell>
          <cell r="AA56">
            <v>117.1</v>
          </cell>
          <cell r="AC56">
            <v>65.533000000000001</v>
          </cell>
          <cell r="AE56">
            <v>591</v>
          </cell>
          <cell r="AG56">
            <v>102.589</v>
          </cell>
          <cell r="AI56">
            <v>509.8</v>
          </cell>
          <cell r="AK56">
            <v>0.25</v>
          </cell>
          <cell r="AM56">
            <v>4.01</v>
          </cell>
          <cell r="AO56">
            <v>2.109982</v>
          </cell>
          <cell r="AQ56">
            <v>3.2440000000000002</v>
          </cell>
          <cell r="AS56">
            <v>2.9830000000000001</v>
          </cell>
          <cell r="AU56">
            <v>1.1930000000000001</v>
          </cell>
          <cell r="AW56">
            <v>0.629</v>
          </cell>
          <cell r="AY56">
            <v>5.0999999999999997E-2</v>
          </cell>
          <cell r="BC56">
            <v>0.28799999999999998</v>
          </cell>
          <cell r="BE56">
            <v>3.1459999999999999</v>
          </cell>
          <cell r="BG56">
            <v>0.95500000000000007</v>
          </cell>
          <cell r="BI56">
            <v>1.843</v>
          </cell>
          <cell r="BK56">
            <v>1.7969999999999999</v>
          </cell>
          <cell r="BQ56">
            <v>7.3207200000000006</v>
          </cell>
          <cell r="BS56">
            <v>0</v>
          </cell>
          <cell r="BU56">
            <v>0</v>
          </cell>
          <cell r="BW56">
            <v>439.52</v>
          </cell>
          <cell r="BY56">
            <v>0</v>
          </cell>
          <cell r="CA56">
            <v>0</v>
          </cell>
          <cell r="CC56">
            <v>4.016</v>
          </cell>
          <cell r="CE56">
            <v>727.75400000000002</v>
          </cell>
          <cell r="CG56">
            <v>200</v>
          </cell>
          <cell r="CI56">
            <v>622.91</v>
          </cell>
          <cell r="CK56">
            <v>623</v>
          </cell>
        </row>
        <row r="57">
          <cell r="P57" t="str">
            <v xml:space="preserve"> </v>
          </cell>
          <cell r="Q57">
            <v>319.66000000000003</v>
          </cell>
          <cell r="R57" t="str">
            <v xml:space="preserve"> </v>
          </cell>
          <cell r="S57">
            <v>0</v>
          </cell>
          <cell r="U57">
            <v>0</v>
          </cell>
          <cell r="W57">
            <v>0</v>
          </cell>
          <cell r="Y57">
            <v>0</v>
          </cell>
          <cell r="AA57">
            <v>0</v>
          </cell>
          <cell r="AC57">
            <v>0</v>
          </cell>
          <cell r="AE57">
            <v>0</v>
          </cell>
          <cell r="AG57">
            <v>0</v>
          </cell>
          <cell r="AI57">
            <v>0</v>
          </cell>
          <cell r="AK57">
            <v>0</v>
          </cell>
          <cell r="AM57">
            <v>0</v>
          </cell>
          <cell r="AO57">
            <v>0</v>
          </cell>
          <cell r="AQ57">
            <v>0</v>
          </cell>
          <cell r="AS57">
            <v>0</v>
          </cell>
          <cell r="AU57">
            <v>0</v>
          </cell>
          <cell r="AW57">
            <v>0</v>
          </cell>
          <cell r="AY57">
            <v>0</v>
          </cell>
          <cell r="BC57">
            <v>0</v>
          </cell>
          <cell r="BE57">
            <v>0</v>
          </cell>
          <cell r="BG57">
            <v>0</v>
          </cell>
          <cell r="BI57">
            <v>0</v>
          </cell>
          <cell r="BK57">
            <v>0</v>
          </cell>
          <cell r="BQ57">
            <v>0</v>
          </cell>
          <cell r="BS57">
            <v>0</v>
          </cell>
          <cell r="BU57">
            <v>0</v>
          </cell>
          <cell r="BW57">
            <v>0</v>
          </cell>
          <cell r="BY57">
            <v>0</v>
          </cell>
          <cell r="CA57">
            <v>0</v>
          </cell>
          <cell r="CC57">
            <v>0</v>
          </cell>
          <cell r="CE57">
            <v>0</v>
          </cell>
          <cell r="CG57">
            <v>0</v>
          </cell>
          <cell r="CI57">
            <v>0</v>
          </cell>
          <cell r="CK57">
            <v>0</v>
          </cell>
        </row>
        <row r="58">
          <cell r="P58" t="str">
            <v xml:space="preserve"> </v>
          </cell>
          <cell r="Q58">
            <v>550.59400000000005</v>
          </cell>
          <cell r="R58" t="str">
            <v xml:space="preserve"> </v>
          </cell>
          <cell r="S58">
            <v>33.715000000000003</v>
          </cell>
          <cell r="U58">
            <v>22.241</v>
          </cell>
          <cell r="W58">
            <v>1629</v>
          </cell>
          <cell r="Y58">
            <v>108.46299999999999</v>
          </cell>
          <cell r="AA58">
            <v>902.9</v>
          </cell>
          <cell r="AC58">
            <v>118.324</v>
          </cell>
          <cell r="AE58">
            <v>3796</v>
          </cell>
          <cell r="AG58">
            <v>185.35607999999999</v>
          </cell>
          <cell r="AI58">
            <v>1920</v>
          </cell>
          <cell r="AK58">
            <v>-27</v>
          </cell>
          <cell r="AM58">
            <v>-11.528</v>
          </cell>
          <cell r="AO58">
            <v>-30.927018</v>
          </cell>
          <cell r="AQ58">
            <v>-8.7439999999999998</v>
          </cell>
          <cell r="AS58">
            <v>-25.009999999999998</v>
          </cell>
          <cell r="AU58">
            <v>-23.29</v>
          </cell>
          <cell r="AW58">
            <v>-20.350999999999999</v>
          </cell>
          <cell r="AY58">
            <v>-8.770999999999999</v>
          </cell>
          <cell r="BC58">
            <v>-11.157</v>
          </cell>
          <cell r="BE58">
            <v>-29.914000000000001</v>
          </cell>
          <cell r="BG58">
            <v>-10.473000000000001</v>
          </cell>
          <cell r="BI58">
            <v>-14.181999999999999</v>
          </cell>
          <cell r="BK58">
            <v>-13.856999999999999</v>
          </cell>
          <cell r="BQ58">
            <v>64.279445999999993</v>
          </cell>
          <cell r="BS58">
            <v>0</v>
          </cell>
          <cell r="BU58">
            <v>0</v>
          </cell>
          <cell r="BW58">
            <v>3273.4399999999996</v>
          </cell>
          <cell r="BY58">
            <v>0</v>
          </cell>
          <cell r="CA58">
            <v>0</v>
          </cell>
          <cell r="CC58">
            <v>-21.336000000000006</v>
          </cell>
          <cell r="CE58">
            <v>729.84800000000007</v>
          </cell>
          <cell r="CG58">
            <v>1644</v>
          </cell>
          <cell r="CI58">
            <v>3712.41</v>
          </cell>
          <cell r="CK58">
            <v>4489</v>
          </cell>
        </row>
        <row r="59">
          <cell r="P59" t="str">
            <v xml:space="preserve"> </v>
          </cell>
          <cell r="R59" t="str">
            <v xml:space="preserve"> </v>
          </cell>
        </row>
        <row r="60">
          <cell r="O60">
            <v>25.5</v>
          </cell>
          <cell r="P60" t="str">
            <v xml:space="preserve"> </v>
          </cell>
          <cell r="Q60">
            <v>42.9375</v>
          </cell>
          <cell r="R60" t="str">
            <v xml:space="preserve"> </v>
          </cell>
          <cell r="S60">
            <v>55.625</v>
          </cell>
          <cell r="U60" t="e">
            <v>#N/A</v>
          </cell>
          <cell r="W60">
            <v>34</v>
          </cell>
          <cell r="Y60">
            <v>66.875</v>
          </cell>
          <cell r="AA60">
            <v>73.625</v>
          </cell>
          <cell r="AC60" t="e">
            <v>#N/A</v>
          </cell>
          <cell r="AE60">
            <v>67.25</v>
          </cell>
          <cell r="AG60">
            <v>23.125</v>
          </cell>
          <cell r="AI60">
            <v>66.375</v>
          </cell>
          <cell r="AK60">
            <v>24.875</v>
          </cell>
          <cell r="AM60">
            <v>99.4375</v>
          </cell>
          <cell r="AO60">
            <v>13.6875</v>
          </cell>
          <cell r="AQ60">
            <v>25.84375</v>
          </cell>
          <cell r="AS60">
            <v>68.3125</v>
          </cell>
          <cell r="AU60">
            <v>13.5625</v>
          </cell>
          <cell r="AW60">
            <v>18.5</v>
          </cell>
          <cell r="AY60">
            <v>23.625</v>
          </cell>
          <cell r="BA60">
            <v>10.25</v>
          </cell>
          <cell r="BC60">
            <v>13.875</v>
          </cell>
          <cell r="BE60">
            <v>29.5</v>
          </cell>
          <cell r="BG60">
            <v>16.5</v>
          </cell>
          <cell r="BI60">
            <v>8.75</v>
          </cell>
          <cell r="BK60">
            <v>26.3125</v>
          </cell>
          <cell r="BM60">
            <v>75.6875</v>
          </cell>
          <cell r="BO60">
            <v>93.25</v>
          </cell>
          <cell r="BQ60">
            <v>20.625</v>
          </cell>
          <cell r="BS60">
            <v>29</v>
          </cell>
          <cell r="BU60">
            <v>66.75</v>
          </cell>
          <cell r="BW60">
            <v>59.3125</v>
          </cell>
          <cell r="BY60">
            <v>49.5</v>
          </cell>
          <cell r="CA60">
            <v>29</v>
          </cell>
          <cell r="CC60">
            <v>78.6875</v>
          </cell>
          <cell r="CE60">
            <v>43.375</v>
          </cell>
          <cell r="CG60">
            <v>50.1875</v>
          </cell>
          <cell r="CI60">
            <v>51.1875</v>
          </cell>
          <cell r="CK60">
            <v>67.25</v>
          </cell>
          <cell r="CM60">
            <v>19.875</v>
          </cell>
          <cell r="CO60">
            <v>6.2327000000000004</v>
          </cell>
          <cell r="CQ60">
            <v>57.539280000000005</v>
          </cell>
          <cell r="CS60">
            <v>46.610030000000002</v>
          </cell>
          <cell r="CU60">
            <v>24.125</v>
          </cell>
        </row>
        <row r="61">
          <cell r="O61">
            <v>41.375</v>
          </cell>
          <cell r="P61" t="str">
            <v xml:space="preserve"> </v>
          </cell>
          <cell r="Q61">
            <v>47.0625</v>
          </cell>
          <cell r="R61" t="str">
            <v xml:space="preserve"> </v>
          </cell>
          <cell r="S61">
            <v>58</v>
          </cell>
          <cell r="U61">
            <v>61.25</v>
          </cell>
          <cell r="W61">
            <v>50.041670000000003</v>
          </cell>
          <cell r="Y61">
            <v>76.625</v>
          </cell>
          <cell r="AA61">
            <v>81.375</v>
          </cell>
          <cell r="AC61">
            <v>90</v>
          </cell>
          <cell r="AE61">
            <v>76</v>
          </cell>
          <cell r="AG61">
            <v>26.625</v>
          </cell>
          <cell r="AI61">
            <v>97.75</v>
          </cell>
          <cell r="AK61">
            <v>34.125</v>
          </cell>
          <cell r="AM61">
            <v>101.625</v>
          </cell>
          <cell r="AO61">
            <v>61.5</v>
          </cell>
          <cell r="AQ61">
            <v>28.4375</v>
          </cell>
          <cell r="AS61">
            <v>69.6875</v>
          </cell>
          <cell r="AU61">
            <v>29</v>
          </cell>
          <cell r="AW61">
            <v>32.875</v>
          </cell>
          <cell r="AY61">
            <v>36</v>
          </cell>
          <cell r="BA61">
            <v>26.5</v>
          </cell>
          <cell r="BC61">
            <v>22.5</v>
          </cell>
          <cell r="BE61">
            <v>30.9375</v>
          </cell>
          <cell r="BG61">
            <v>28</v>
          </cell>
          <cell r="BI61">
            <v>12.375</v>
          </cell>
          <cell r="BK61">
            <v>30.4375</v>
          </cell>
          <cell r="BM61">
            <v>140.875</v>
          </cell>
          <cell r="BO61">
            <v>103</v>
          </cell>
          <cell r="BQ61">
            <v>30.25</v>
          </cell>
          <cell r="BS61">
            <v>43.9375</v>
          </cell>
          <cell r="BU61">
            <v>87.375</v>
          </cell>
          <cell r="BW61">
            <v>76.375</v>
          </cell>
          <cell r="BY61">
            <v>55.75</v>
          </cell>
          <cell r="CA61">
            <v>43.9375</v>
          </cell>
          <cell r="CC61">
            <v>84</v>
          </cell>
          <cell r="CE61">
            <v>53.3125</v>
          </cell>
          <cell r="CG61">
            <v>60.8125</v>
          </cell>
          <cell r="CI61">
            <v>76.1875</v>
          </cell>
          <cell r="CK61">
            <v>76</v>
          </cell>
          <cell r="CM61">
            <v>24.4375</v>
          </cell>
          <cell r="CO61">
            <v>5.84</v>
          </cell>
          <cell r="CQ61">
            <v>69.280050000000003</v>
          </cell>
          <cell r="CS61">
            <v>69.024410000000003</v>
          </cell>
          <cell r="CU61">
            <v>29.375</v>
          </cell>
        </row>
        <row r="62">
          <cell r="O62">
            <v>0</v>
          </cell>
          <cell r="P62" t="str">
            <v xml:space="preserve"> </v>
          </cell>
          <cell r="Q62">
            <v>0</v>
          </cell>
          <cell r="R62" t="str">
            <v xml:space="preserve"> </v>
          </cell>
          <cell r="S62">
            <v>0</v>
          </cell>
          <cell r="U62">
            <v>0</v>
          </cell>
          <cell r="W62">
            <v>0</v>
          </cell>
          <cell r="Y62">
            <v>0</v>
          </cell>
          <cell r="AA62">
            <v>0</v>
          </cell>
          <cell r="AC62">
            <v>0</v>
          </cell>
          <cell r="AE62">
            <v>0</v>
          </cell>
          <cell r="AG62">
            <v>0</v>
          </cell>
          <cell r="AI62">
            <v>0</v>
          </cell>
          <cell r="AK62">
            <v>0</v>
          </cell>
          <cell r="AM62">
            <v>0</v>
          </cell>
          <cell r="AO62">
            <v>0</v>
          </cell>
          <cell r="AQ62">
            <v>0</v>
          </cell>
          <cell r="AS62">
            <v>0</v>
          </cell>
          <cell r="AU62">
            <v>0</v>
          </cell>
          <cell r="AW62">
            <v>0</v>
          </cell>
          <cell r="AY62">
            <v>0</v>
          </cell>
          <cell r="BA62">
            <v>0</v>
          </cell>
          <cell r="BC62">
            <v>0</v>
          </cell>
          <cell r="BE62">
            <v>0</v>
          </cell>
          <cell r="BG62">
            <v>0</v>
          </cell>
          <cell r="BI62">
            <v>0</v>
          </cell>
          <cell r="BK62">
            <v>0</v>
          </cell>
          <cell r="BM62">
            <v>0</v>
          </cell>
          <cell r="BO62">
            <v>0</v>
          </cell>
          <cell r="BQ62">
            <v>0</v>
          </cell>
          <cell r="BS62">
            <v>0</v>
          </cell>
          <cell r="BU62">
            <v>0</v>
          </cell>
          <cell r="BW62">
            <v>0</v>
          </cell>
          <cell r="BY62">
            <v>0</v>
          </cell>
          <cell r="CA62">
            <v>0</v>
          </cell>
          <cell r="CC62">
            <v>0</v>
          </cell>
          <cell r="CE62">
            <v>0</v>
          </cell>
          <cell r="CG62">
            <v>0.44</v>
          </cell>
          <cell r="CI62">
            <v>1.0174000000000001</v>
          </cell>
          <cell r="CK62">
            <v>1.56</v>
          </cell>
          <cell r="CM62">
            <v>0</v>
          </cell>
          <cell r="CO62">
            <v>0</v>
          </cell>
          <cell r="CQ62">
            <v>0</v>
          </cell>
          <cell r="CS62">
            <v>0</v>
          </cell>
          <cell r="CU62">
            <v>0</v>
          </cell>
        </row>
        <row r="63">
          <cell r="O63">
            <v>22.234375</v>
          </cell>
          <cell r="P63" t="str">
            <v xml:space="preserve"> </v>
          </cell>
          <cell r="Q63">
            <v>20.125</v>
          </cell>
          <cell r="R63" t="str">
            <v xml:space="preserve"> </v>
          </cell>
          <cell r="S63">
            <v>31.25</v>
          </cell>
          <cell r="U63">
            <v>19.25</v>
          </cell>
          <cell r="W63">
            <v>28.666670000000003</v>
          </cell>
          <cell r="Y63">
            <v>20.875</v>
          </cell>
          <cell r="AA63">
            <v>28.96875</v>
          </cell>
          <cell r="AC63">
            <v>63.5625</v>
          </cell>
          <cell r="AE63">
            <v>44.15625</v>
          </cell>
          <cell r="AG63">
            <v>13.75</v>
          </cell>
          <cell r="AI63">
            <v>63.875</v>
          </cell>
          <cell r="AK63">
            <v>13.25</v>
          </cell>
          <cell r="AM63">
            <v>17.25</v>
          </cell>
          <cell r="AO63">
            <v>10.0625</v>
          </cell>
          <cell r="AQ63">
            <v>13.375</v>
          </cell>
          <cell r="AS63">
            <v>18</v>
          </cell>
          <cell r="AU63">
            <v>12.25</v>
          </cell>
          <cell r="AW63">
            <v>10.9375</v>
          </cell>
          <cell r="AY63">
            <v>18.5</v>
          </cell>
          <cell r="BA63">
            <v>8</v>
          </cell>
          <cell r="BC63">
            <v>5</v>
          </cell>
          <cell r="BE63">
            <v>9.75</v>
          </cell>
          <cell r="BG63">
            <v>3.5</v>
          </cell>
          <cell r="BI63">
            <v>3.375</v>
          </cell>
          <cell r="BK63">
            <v>5.5625</v>
          </cell>
          <cell r="BM63">
            <v>42.25</v>
          </cell>
          <cell r="BO63">
            <v>68.125</v>
          </cell>
          <cell r="BQ63">
            <v>14.5</v>
          </cell>
          <cell r="BS63">
            <v>24.625</v>
          </cell>
          <cell r="BU63">
            <v>57.5</v>
          </cell>
          <cell r="BW63">
            <v>48.0625</v>
          </cell>
          <cell r="BY63">
            <v>31</v>
          </cell>
          <cell r="CA63">
            <v>24.625</v>
          </cell>
          <cell r="CC63">
            <v>21</v>
          </cell>
          <cell r="CE63">
            <v>36.625</v>
          </cell>
          <cell r="CG63">
            <v>42.375</v>
          </cell>
          <cell r="CI63">
            <v>49.375</v>
          </cell>
          <cell r="CK63">
            <v>44.15625</v>
          </cell>
          <cell r="CM63">
            <v>12.8125</v>
          </cell>
          <cell r="CO63">
            <v>3.2250000000000001</v>
          </cell>
          <cell r="CQ63">
            <v>46.527560000000001</v>
          </cell>
          <cell r="CS63">
            <v>42.437230000000007</v>
          </cell>
          <cell r="CU63">
            <v>14.125</v>
          </cell>
        </row>
        <row r="64">
          <cell r="O64">
            <v>24044</v>
          </cell>
          <cell r="P64" t="str">
            <v xml:space="preserve"> </v>
          </cell>
          <cell r="Q64">
            <v>195702.035</v>
          </cell>
          <cell r="R64" t="str">
            <v xml:space="preserve"> </v>
          </cell>
          <cell r="S64">
            <v>70363.044999999998</v>
          </cell>
          <cell r="U64">
            <v>31283</v>
          </cell>
          <cell r="W64">
            <v>1293255</v>
          </cell>
          <cell r="Y64">
            <v>73599.510999999999</v>
          </cell>
          <cell r="AA64">
            <v>254070.28</v>
          </cell>
          <cell r="AC64">
            <v>125160.38500000001</v>
          </cell>
          <cell r="AE64">
            <v>995294.31499999994</v>
          </cell>
          <cell r="AG64">
            <v>178653</v>
          </cell>
          <cell r="AI64">
            <v>1107425.186</v>
          </cell>
          <cell r="AK64">
            <v>13625</v>
          </cell>
          <cell r="AM64">
            <v>20002.87</v>
          </cell>
          <cell r="AO64">
            <v>16309.343000000001</v>
          </cell>
          <cell r="AQ64">
            <v>18554.572</v>
          </cell>
          <cell r="AS64">
            <v>30531.399000000001</v>
          </cell>
          <cell r="AU64">
            <v>16740.085999999999</v>
          </cell>
          <cell r="AW64">
            <v>16125.596</v>
          </cell>
          <cell r="AY64">
            <v>17028.649000000001</v>
          </cell>
          <cell r="BA64">
            <v>44104.851000000002</v>
          </cell>
          <cell r="BC64">
            <v>11485.782999999999</v>
          </cell>
          <cell r="BE64">
            <v>16399.208999999999</v>
          </cell>
          <cell r="BG64">
            <v>10593.477000000001</v>
          </cell>
          <cell r="BI64">
            <v>11418.286</v>
          </cell>
          <cell r="BK64">
            <v>24453.647000000001</v>
          </cell>
          <cell r="BM64">
            <v>32811.144</v>
          </cell>
          <cell r="BO64">
            <v>1344669.4480000001</v>
          </cell>
          <cell r="BQ64">
            <v>108255</v>
          </cell>
          <cell r="BS64">
            <v>99351.686000000002</v>
          </cell>
          <cell r="BU64">
            <v>1195259.3370000001</v>
          </cell>
          <cell r="BW64">
            <v>1094800</v>
          </cell>
          <cell r="BY64">
            <v>86420.91</v>
          </cell>
          <cell r="CA64">
            <v>99351.686000000002</v>
          </cell>
          <cell r="CC64">
            <v>26719.304</v>
          </cell>
          <cell r="CE64">
            <v>1517621.345</v>
          </cell>
          <cell r="CG64">
            <v>1469611.1140000001</v>
          </cell>
          <cell r="CI64">
            <v>1811000</v>
          </cell>
          <cell r="CK64">
            <v>994708.60699999996</v>
          </cell>
          <cell r="CM64">
            <v>40034.15</v>
          </cell>
          <cell r="CO64">
            <v>41273.527000000002</v>
          </cell>
          <cell r="CQ64">
            <v>39000</v>
          </cell>
          <cell r="CS64">
            <v>22540</v>
          </cell>
          <cell r="CU64">
            <v>47266.666666666664</v>
          </cell>
        </row>
        <row r="65">
          <cell r="O65">
            <v>24275</v>
          </cell>
          <cell r="P65" t="str">
            <v xml:space="preserve"> </v>
          </cell>
          <cell r="Q65">
            <v>194466</v>
          </cell>
          <cell r="R65" t="str">
            <v xml:space="preserve"> </v>
          </cell>
          <cell r="S65">
            <v>71770</v>
          </cell>
          <cell r="U65">
            <v>33235</v>
          </cell>
          <cell r="W65">
            <v>1301000</v>
          </cell>
          <cell r="Y65">
            <v>76905</v>
          </cell>
          <cell r="AA65">
            <v>264100</v>
          </cell>
          <cell r="AC65">
            <v>126397</v>
          </cell>
          <cell r="AE65">
            <v>996000</v>
          </cell>
          <cell r="AG65">
            <v>179546.37841832964</v>
          </cell>
          <cell r="AI65">
            <v>1100285.7142857143</v>
          </cell>
          <cell r="AK65">
            <v>10197</v>
          </cell>
          <cell r="AM65">
            <v>23503</v>
          </cell>
          <cell r="AO65">
            <v>16431</v>
          </cell>
          <cell r="AQ65">
            <v>18722</v>
          </cell>
          <cell r="AS65">
            <v>30472</v>
          </cell>
          <cell r="AU65">
            <v>16099</v>
          </cell>
          <cell r="AW65">
            <v>16258</v>
          </cell>
          <cell r="AY65">
            <v>16021</v>
          </cell>
          <cell r="BA65">
            <v>44972</v>
          </cell>
          <cell r="BC65">
            <v>13294</v>
          </cell>
          <cell r="BE65">
            <v>16054</v>
          </cell>
          <cell r="BG65">
            <v>11612</v>
          </cell>
          <cell r="BI65">
            <v>11272</v>
          </cell>
          <cell r="BK65">
            <v>24541</v>
          </cell>
          <cell r="BM65">
            <v>33730</v>
          </cell>
          <cell r="BO65">
            <v>1379100</v>
          </cell>
          <cell r="BQ65">
            <v>108864</v>
          </cell>
          <cell r="BS65">
            <v>99400</v>
          </cell>
          <cell r="BU65">
            <v>1195100</v>
          </cell>
          <cell r="BW65">
            <v>1094800</v>
          </cell>
          <cell r="BY65">
            <v>85900</v>
          </cell>
          <cell r="CA65">
            <v>99400</v>
          </cell>
          <cell r="CC65">
            <v>26791</v>
          </cell>
          <cell r="CE65">
            <v>762208</v>
          </cell>
          <cell r="CG65">
            <v>1488000</v>
          </cell>
          <cell r="CI65">
            <v>1811000</v>
          </cell>
          <cell r="CK65">
            <v>1020000</v>
          </cell>
          <cell r="CM65">
            <v>40000</v>
          </cell>
          <cell r="CO65">
            <v>41273.527000000002</v>
          </cell>
          <cell r="CQ65">
            <v>39000</v>
          </cell>
          <cell r="CS65">
            <v>22540</v>
          </cell>
          <cell r="CU65">
            <v>47266.666666666664</v>
          </cell>
        </row>
        <row r="66">
          <cell r="P66" t="str">
            <v xml:space="preserve"> </v>
          </cell>
          <cell r="R66" t="str">
            <v xml:space="preserve"> </v>
          </cell>
        </row>
        <row r="67">
          <cell r="O67" t="str">
            <v>9/30/98</v>
          </cell>
          <cell r="P67" t="str">
            <v xml:space="preserve"> </v>
          </cell>
          <cell r="Q67" t="str">
            <v>12/31/97</v>
          </cell>
          <cell r="R67" t="str">
            <v xml:space="preserve"> </v>
          </cell>
          <cell r="S67" t="str">
            <v>12/31/97</v>
          </cell>
          <cell r="U67" t="str">
            <v>6/30/98</v>
          </cell>
          <cell r="W67" t="str">
            <v>12/31/97</v>
          </cell>
          <cell r="Y67" t="str">
            <v>12/31/97</v>
          </cell>
          <cell r="AA67" t="str">
            <v>12/31/97</v>
          </cell>
          <cell r="AC67" t="str">
            <v>12/31/97</v>
          </cell>
          <cell r="AE67" t="str">
            <v>12/31/97</v>
          </cell>
          <cell r="AG67" t="str">
            <v>12/31/97</v>
          </cell>
          <cell r="AI67" t="str">
            <v>12/31/97</v>
          </cell>
          <cell r="AK67" t="str">
            <v>12/31/97</v>
          </cell>
          <cell r="AM67" t="str">
            <v>12/31/97</v>
          </cell>
          <cell r="AO67" t="str">
            <v>12/31/97</v>
          </cell>
          <cell r="AQ67" t="str">
            <v>12/31/97</v>
          </cell>
          <cell r="AS67" t="str">
            <v>12/31/97</v>
          </cell>
          <cell r="AU67" t="str">
            <v>12/31/97</v>
          </cell>
          <cell r="AW67" t="str">
            <v>12/31/97</v>
          </cell>
          <cell r="AY67" t="str">
            <v>12/31/97</v>
          </cell>
          <cell r="BA67" t="str">
            <v>12/31/98</v>
          </cell>
          <cell r="BC67" t="str">
            <v>12/31/97</v>
          </cell>
          <cell r="BE67" t="str">
            <v>12/31/97</v>
          </cell>
          <cell r="BG67" t="str">
            <v>12/31/97</v>
          </cell>
          <cell r="BI67" t="str">
            <v>12/31/97</v>
          </cell>
          <cell r="BK67" t="str">
            <v>12/31/97</v>
          </cell>
          <cell r="BM67" t="str">
            <v>12/31/98</v>
          </cell>
          <cell r="BO67" t="str">
            <v>12/31/97</v>
          </cell>
          <cell r="BQ67" t="str">
            <v>12/31/97</v>
          </cell>
          <cell r="BS67" t="str">
            <v>12/31/97</v>
          </cell>
          <cell r="BU67" t="str">
            <v>12/31/97</v>
          </cell>
          <cell r="BW67" t="str">
            <v>12/31/97</v>
          </cell>
          <cell r="BY67" t="str">
            <v>12/31/97</v>
          </cell>
          <cell r="CA67" t="str">
            <v>12/31/97</v>
          </cell>
          <cell r="CC67" t="str">
            <v>12/31/97</v>
          </cell>
          <cell r="CE67" t="str">
            <v>12/31/97</v>
          </cell>
          <cell r="CG67" t="str">
            <v>12/31/97</v>
          </cell>
          <cell r="CI67" t="str">
            <v>12/31/97</v>
          </cell>
          <cell r="CK67" t="str">
            <v>12/31/97</v>
          </cell>
          <cell r="CM67" t="str">
            <v>12/31/97</v>
          </cell>
          <cell r="CO67" t="str">
            <v>12/31/97</v>
          </cell>
          <cell r="CQ67" t="str">
            <v>12/31/97</v>
          </cell>
          <cell r="CS67" t="str">
            <v>12/31/97</v>
          </cell>
          <cell r="CU67" t="str">
            <v>06/30/98</v>
          </cell>
        </row>
        <row r="68">
          <cell r="O68" t="str">
            <v>9/30/98</v>
          </cell>
          <cell r="P68" t="str">
            <v xml:space="preserve"> </v>
          </cell>
          <cell r="Q68" t="str">
            <v>6/30/98</v>
          </cell>
          <cell r="R68" t="str">
            <v xml:space="preserve"> </v>
          </cell>
          <cell r="S68" t="str">
            <v>3/31/98</v>
          </cell>
          <cell r="U68" t="str">
            <v>9/30/98</v>
          </cell>
          <cell r="W68" t="str">
            <v>12/31/97</v>
          </cell>
          <cell r="Y68" t="str">
            <v>9/30/98</v>
          </cell>
          <cell r="AA68" t="str">
            <v>3/31/98</v>
          </cell>
          <cell r="AC68" t="str">
            <v>3/31/98</v>
          </cell>
          <cell r="AE68" t="str">
            <v>3/31/98</v>
          </cell>
          <cell r="AG68" t="str">
            <v>9/30/98</v>
          </cell>
          <cell r="AI68" t="str">
            <v>3/31/98</v>
          </cell>
          <cell r="AK68" t="str">
            <v>3/31/98</v>
          </cell>
          <cell r="AM68" t="str">
            <v>9/30/98</v>
          </cell>
          <cell r="AO68" t="str">
            <v>9/30/98</v>
          </cell>
          <cell r="AQ68" t="str">
            <v>9/30/98</v>
          </cell>
          <cell r="AS68" t="str">
            <v>9/30/98</v>
          </cell>
          <cell r="AU68" t="str">
            <v>9/30/98</v>
          </cell>
          <cell r="AW68" t="str">
            <v>9/30/98</v>
          </cell>
          <cell r="AY68" t="str">
            <v>9/30/98</v>
          </cell>
          <cell r="BA68" t="str">
            <v>3/31/99</v>
          </cell>
          <cell r="BC68" t="str">
            <v>9/30/98</v>
          </cell>
          <cell r="BE68" t="str">
            <v>9/30/98</v>
          </cell>
          <cell r="BG68" t="str">
            <v>9/30/98</v>
          </cell>
          <cell r="BI68" t="str">
            <v>9/30/98</v>
          </cell>
          <cell r="BK68" t="str">
            <v>9/30/98</v>
          </cell>
          <cell r="BM68" t="str">
            <v>3/31/99</v>
          </cell>
          <cell r="BO68" t="str">
            <v>9/30/98</v>
          </cell>
          <cell r="BQ68" t="str">
            <v>9/30/98</v>
          </cell>
          <cell r="BS68" t="str">
            <v>12/31/97</v>
          </cell>
          <cell r="BU68" t="str">
            <v>12/31/97</v>
          </cell>
          <cell r="BW68" t="str">
            <v>12/31/97</v>
          </cell>
          <cell r="BY68" t="str">
            <v>12/31/97</v>
          </cell>
          <cell r="CA68" t="str">
            <v>12/31/97</v>
          </cell>
          <cell r="CC68" t="str">
            <v>9/30/98</v>
          </cell>
          <cell r="CE68" t="str">
            <v>9/30/98</v>
          </cell>
          <cell r="CG68" t="str">
            <v>9/30/98</v>
          </cell>
          <cell r="CI68" t="str">
            <v>12/31/97</v>
          </cell>
          <cell r="CK68" t="str">
            <v>6/30/98</v>
          </cell>
          <cell r="CM68" t="str">
            <v>3/31/98</v>
          </cell>
          <cell r="CO68" t="str">
            <v>3/31/98</v>
          </cell>
          <cell r="CQ68" t="str">
            <v>3/31/98</v>
          </cell>
          <cell r="CS68" t="str">
            <v>3/31/98</v>
          </cell>
          <cell r="CU68" t="str">
            <v>06/30/98</v>
          </cell>
        </row>
        <row r="69">
          <cell r="O69">
            <v>0.311</v>
          </cell>
          <cell r="P69" t="str">
            <v xml:space="preserve"> </v>
          </cell>
          <cell r="Q69">
            <v>0.33</v>
          </cell>
          <cell r="R69" t="str">
            <v xml:space="preserve"> </v>
          </cell>
          <cell r="S69">
            <v>0.35</v>
          </cell>
          <cell r="U69">
            <v>0.4</v>
          </cell>
          <cell r="W69">
            <v>0.28499999999999998</v>
          </cell>
          <cell r="Y69">
            <v>0.32898074381051057</v>
          </cell>
          <cell r="AA69">
            <v>0.25203157650336661</v>
          </cell>
          <cell r="AC69">
            <v>0.24000117789098618</v>
          </cell>
          <cell r="AE69">
            <v>0.28491744756804999</v>
          </cell>
          <cell r="AG69">
            <v>0.33886468561024774</v>
          </cell>
          <cell r="AI69">
            <v>0.25</v>
          </cell>
          <cell r="AK69">
            <v>0</v>
          </cell>
          <cell r="AM69">
            <v>0</v>
          </cell>
          <cell r="AO69">
            <v>0</v>
          </cell>
          <cell r="AQ69">
            <v>0</v>
          </cell>
          <cell r="AS69">
            <v>0</v>
          </cell>
          <cell r="AU69">
            <v>0</v>
          </cell>
          <cell r="AW69">
            <v>0</v>
          </cell>
          <cell r="AY69">
            <v>0</v>
          </cell>
          <cell r="BA69">
            <v>0.34</v>
          </cell>
          <cell r="BC69">
            <v>0</v>
          </cell>
          <cell r="BE69">
            <v>0</v>
          </cell>
          <cell r="BG69">
            <v>0</v>
          </cell>
          <cell r="BI69">
            <v>0</v>
          </cell>
          <cell r="BK69">
            <v>0</v>
          </cell>
          <cell r="BM69">
            <v>0</v>
          </cell>
          <cell r="BO69">
            <v>0.27800000000000002</v>
          </cell>
          <cell r="BQ69">
            <v>8.2199999999999995E-2</v>
          </cell>
          <cell r="BS69">
            <v>0.27030303030303032</v>
          </cell>
          <cell r="BU69">
            <v>0.27030303030303032</v>
          </cell>
          <cell r="BW69">
            <v>0.27030303030303032</v>
          </cell>
          <cell r="BY69">
            <v>0.27030303030303032</v>
          </cell>
          <cell r="CA69">
            <v>0.27030303030303032</v>
          </cell>
          <cell r="CC69">
            <v>0.38</v>
          </cell>
          <cell r="CE69">
            <v>0.28999999999999998</v>
          </cell>
          <cell r="CG69">
            <v>0.2451646628332462</v>
          </cell>
          <cell r="CI69">
            <v>0.30499999999999999</v>
          </cell>
          <cell r="CK69">
            <v>0.28999999999999998</v>
          </cell>
          <cell r="CM69">
            <v>0</v>
          </cell>
          <cell r="CO69">
            <v>0</v>
          </cell>
          <cell r="CQ69">
            <v>0</v>
          </cell>
          <cell r="CS69">
            <v>0.42499999999999999</v>
          </cell>
          <cell r="CU69">
            <v>0</v>
          </cell>
        </row>
        <row r="70">
          <cell r="P70" t="str">
            <v xml:space="preserve"> </v>
          </cell>
          <cell r="R70" t="str">
            <v xml:space="preserve"> </v>
          </cell>
        </row>
        <row r="71">
          <cell r="O71" t="str">
            <v>07/29/99</v>
          </cell>
          <cell r="P71" t="str">
            <v xml:space="preserve"> </v>
          </cell>
          <cell r="Q71" t="str">
            <v>07/29/99</v>
          </cell>
          <cell r="R71" t="str">
            <v xml:space="preserve"> </v>
          </cell>
          <cell r="S71" t="str">
            <v>07/29/99</v>
          </cell>
          <cell r="U71" t="str">
            <v>07/29/99</v>
          </cell>
          <cell r="W71" t="str">
            <v>07/29/99</v>
          </cell>
          <cell r="Y71" t="str">
            <v>07/29/99</v>
          </cell>
          <cell r="AA71" t="str">
            <v>07/29/99</v>
          </cell>
          <cell r="AC71" t="str">
            <v>07/29/99</v>
          </cell>
          <cell r="AE71" t="str">
            <v>07/29/99</v>
          </cell>
          <cell r="AG71" t="str">
            <v>07/29/99</v>
          </cell>
          <cell r="AI71" t="str">
            <v>07/29/99</v>
          </cell>
          <cell r="AK71" t="str">
            <v>07/29/99</v>
          </cell>
          <cell r="AM71" t="str">
            <v>07/29/99</v>
          </cell>
          <cell r="AO71" t="str">
            <v>07/29/99</v>
          </cell>
          <cell r="AQ71" t="str">
            <v>07/29/99</v>
          </cell>
          <cell r="AS71" t="str">
            <v>07/29/99</v>
          </cell>
          <cell r="AU71" t="str">
            <v>07/29/99</v>
          </cell>
          <cell r="AW71" t="str">
            <v>07/29/99</v>
          </cell>
          <cell r="AY71" t="str">
            <v>07/29/99</v>
          </cell>
          <cell r="BA71" t="str">
            <v>07/29/99</v>
          </cell>
          <cell r="BC71" t="str">
            <v>07/29/99</v>
          </cell>
          <cell r="BE71" t="str">
            <v>07/29/99</v>
          </cell>
          <cell r="BG71" t="str">
            <v>07/29/99</v>
          </cell>
          <cell r="BI71" t="str">
            <v>07/29/99</v>
          </cell>
          <cell r="BK71" t="str">
            <v>07/29/99</v>
          </cell>
          <cell r="BM71" t="str">
            <v>07/29/99</v>
          </cell>
          <cell r="BO71" t="str">
            <v>07/29/99</v>
          </cell>
          <cell r="BQ71" t="str">
            <v>07/29/99</v>
          </cell>
          <cell r="BS71" t="str">
            <v>07/29/99</v>
          </cell>
          <cell r="BU71" t="str">
            <v>07/29/99</v>
          </cell>
          <cell r="BW71" t="str">
            <v>07/29/99</v>
          </cell>
          <cell r="BY71" t="str">
            <v>07/29/99</v>
          </cell>
          <cell r="CA71" t="str">
            <v>07/29/99</v>
          </cell>
          <cell r="CC71" t="str">
            <v>07/29/99</v>
          </cell>
          <cell r="CE71" t="str">
            <v>07/29/99</v>
          </cell>
          <cell r="CG71" t="str">
            <v>07/29/99</v>
          </cell>
          <cell r="CI71" t="str">
            <v>07/29/99</v>
          </cell>
          <cell r="CK71" t="str">
            <v>07/29/99</v>
          </cell>
          <cell r="CM71" t="str">
            <v>07/29/99</v>
          </cell>
          <cell r="CO71" t="str">
            <v>07/29/99</v>
          </cell>
          <cell r="CQ71" t="str">
            <v>07/29/99</v>
          </cell>
          <cell r="CS71" t="str">
            <v>07/29/99</v>
          </cell>
          <cell r="CU71" t="str">
            <v>07/29/99</v>
          </cell>
        </row>
        <row r="72">
          <cell r="O72" t="str">
            <v>07/29/99</v>
          </cell>
          <cell r="P72" t="str">
            <v xml:space="preserve"> </v>
          </cell>
          <cell r="Q72" t="str">
            <v>07/29/99</v>
          </cell>
          <cell r="R72" t="str">
            <v xml:space="preserve"> </v>
          </cell>
          <cell r="S72" t="str">
            <v>07/29/99</v>
          </cell>
          <cell r="U72" t="str">
            <v>07/29/99</v>
          </cell>
          <cell r="W72" t="str">
            <v>07/29/99</v>
          </cell>
          <cell r="Y72" t="str">
            <v>07/29/99</v>
          </cell>
          <cell r="AA72" t="str">
            <v>07/29/99</v>
          </cell>
          <cell r="AC72" t="str">
            <v>07/29/99</v>
          </cell>
          <cell r="AE72" t="str">
            <v>07/29/99</v>
          </cell>
          <cell r="AG72" t="str">
            <v>07/29/99</v>
          </cell>
          <cell r="AI72" t="str">
            <v>07/29/99</v>
          </cell>
          <cell r="AK72" t="str">
            <v>07/29/99</v>
          </cell>
          <cell r="AM72" t="str">
            <v>07/29/99</v>
          </cell>
          <cell r="AO72" t="str">
            <v>07/29/99</v>
          </cell>
          <cell r="AQ72" t="str">
            <v>07/29/99</v>
          </cell>
          <cell r="AS72" t="str">
            <v>07/29/99</v>
          </cell>
          <cell r="AU72" t="str">
            <v>07/29/99</v>
          </cell>
          <cell r="AW72" t="str">
            <v>07/29/99</v>
          </cell>
          <cell r="AY72" t="str">
            <v>07/29/99</v>
          </cell>
          <cell r="BA72" t="str">
            <v>07/29/99</v>
          </cell>
          <cell r="BC72" t="str">
            <v>07/29/99</v>
          </cell>
          <cell r="BE72" t="str">
            <v>07/29/99</v>
          </cell>
          <cell r="BG72" t="str">
            <v>07/29/99</v>
          </cell>
          <cell r="BI72" t="str">
            <v>07/29/99</v>
          </cell>
          <cell r="BK72" t="str">
            <v>07/29/99</v>
          </cell>
          <cell r="BM72" t="str">
            <v>07/29/99</v>
          </cell>
          <cell r="BO72" t="str">
            <v>07/29/99</v>
          </cell>
          <cell r="BQ72" t="str">
            <v>07/29/99</v>
          </cell>
          <cell r="BS72" t="str">
            <v>07/29/99</v>
          </cell>
          <cell r="BU72" t="str">
            <v>07/29/99</v>
          </cell>
          <cell r="BW72" t="str">
            <v>07/29/99</v>
          </cell>
          <cell r="BY72" t="str">
            <v>07/29/99</v>
          </cell>
          <cell r="CA72" t="str">
            <v>07/29/99</v>
          </cell>
          <cell r="CC72" t="str">
            <v>07/29/99</v>
          </cell>
          <cell r="CE72" t="str">
            <v>07/29/99</v>
          </cell>
          <cell r="CG72" t="str">
            <v>07/29/99</v>
          </cell>
          <cell r="CI72" t="str">
            <v>07/29/99</v>
          </cell>
          <cell r="CK72" t="str">
            <v>07/29/99</v>
          </cell>
          <cell r="CM72" t="str">
            <v>07/29/99</v>
          </cell>
          <cell r="CO72" t="str">
            <v>07/29/99</v>
          </cell>
          <cell r="CQ72" t="str">
            <v>07/29/99</v>
          </cell>
          <cell r="CS72" t="str">
            <v>07/29/99</v>
          </cell>
          <cell r="CU72" t="str">
            <v>07/29/99</v>
          </cell>
        </row>
        <row r="73">
          <cell r="P73" t="str">
            <v xml:space="preserve"> </v>
          </cell>
          <cell r="R73" t="str">
            <v xml:space="preserve"> </v>
          </cell>
        </row>
        <row r="74">
          <cell r="P74" t="str">
            <v xml:space="preserve"> </v>
          </cell>
          <cell r="R74" t="str">
            <v xml:space="preserve"> </v>
          </cell>
        </row>
        <row r="75">
          <cell r="O75">
            <v>60.789000000000001</v>
          </cell>
          <cell r="P75" t="str">
            <v xml:space="preserve"> </v>
          </cell>
          <cell r="Q75">
            <v>562.53</v>
          </cell>
          <cell r="R75" t="str">
            <v xml:space="preserve"> </v>
          </cell>
          <cell r="S75">
            <v>89.957999999999998</v>
          </cell>
          <cell r="U75">
            <v>45.67</v>
          </cell>
          <cell r="W75">
            <v>4137</v>
          </cell>
          <cell r="Y75">
            <v>178.678</v>
          </cell>
          <cell r="AA75">
            <v>1186.2</v>
          </cell>
          <cell r="AC75">
            <v>668.36300000000006</v>
          </cell>
          <cell r="AE75">
            <v>4183</v>
          </cell>
          <cell r="AG75">
            <v>514.27599999999995</v>
          </cell>
          <cell r="AI75">
            <v>4041.8</v>
          </cell>
          <cell r="AK75">
            <v>2573</v>
          </cell>
          <cell r="AM75">
            <v>21.481999999999999</v>
          </cell>
          <cell r="AO75">
            <v>16.207312000000002</v>
          </cell>
          <cell r="AQ75">
            <v>22.169</v>
          </cell>
          <cell r="AS75">
            <v>9.7309999999999999</v>
          </cell>
          <cell r="AU75">
            <v>8.1829999999999998</v>
          </cell>
          <cell r="AW75">
            <v>3.387</v>
          </cell>
          <cell r="AY75">
            <v>1.0509999999999999</v>
          </cell>
          <cell r="BC75">
            <v>2.472</v>
          </cell>
          <cell r="BE75">
            <v>5.6</v>
          </cell>
          <cell r="BG75">
            <v>1.665</v>
          </cell>
          <cell r="BI75">
            <v>3.8109999999999999</v>
          </cell>
          <cell r="BK75">
            <v>11.568</v>
          </cell>
          <cell r="BO75">
            <v>5975</v>
          </cell>
          <cell r="BQ75">
            <v>71.898420000000002</v>
          </cell>
          <cell r="BS75">
            <v>118.32</v>
          </cell>
          <cell r="BU75">
            <v>6609.4</v>
          </cell>
          <cell r="BW75">
            <v>4980.6799999999994</v>
          </cell>
          <cell r="BY75">
            <v>310.39999999999998</v>
          </cell>
          <cell r="CA75">
            <v>118.32</v>
          </cell>
          <cell r="CC75">
            <v>69.02</v>
          </cell>
          <cell r="CE75">
            <v>4645.7669999999998</v>
          </cell>
          <cell r="CG75">
            <v>2581</v>
          </cell>
          <cell r="CI75">
            <v>5983.61</v>
          </cell>
        </row>
        <row r="76">
          <cell r="O76">
            <v>0</v>
          </cell>
          <cell r="P76" t="str">
            <v xml:space="preserve"> </v>
          </cell>
          <cell r="Q76">
            <v>319.66000000000003</v>
          </cell>
          <cell r="R76" t="str">
            <v xml:space="preserve"> </v>
          </cell>
          <cell r="S76">
            <v>259.58300000000003</v>
          </cell>
          <cell r="U76">
            <v>3.35</v>
          </cell>
          <cell r="W76">
            <v>1294</v>
          </cell>
          <cell r="Y76">
            <v>0</v>
          </cell>
          <cell r="AA76">
            <v>0</v>
          </cell>
          <cell r="AC76">
            <v>0</v>
          </cell>
          <cell r="AE76">
            <v>0</v>
          </cell>
          <cell r="AG76">
            <v>0</v>
          </cell>
          <cell r="AI76">
            <v>0</v>
          </cell>
          <cell r="AK76">
            <v>0</v>
          </cell>
          <cell r="AM76">
            <v>0</v>
          </cell>
          <cell r="AO76">
            <v>0</v>
          </cell>
          <cell r="AQ76">
            <v>0</v>
          </cell>
          <cell r="AS76">
            <v>0</v>
          </cell>
          <cell r="AU76">
            <v>0.68100000000000005</v>
          </cell>
          <cell r="AW76">
            <v>14.4</v>
          </cell>
          <cell r="AY76">
            <v>0</v>
          </cell>
          <cell r="BC76">
            <v>0</v>
          </cell>
          <cell r="BE76">
            <v>0</v>
          </cell>
          <cell r="BG76">
            <v>0</v>
          </cell>
          <cell r="BI76">
            <v>0</v>
          </cell>
          <cell r="BK76">
            <v>0</v>
          </cell>
          <cell r="BO76">
            <v>0</v>
          </cell>
          <cell r="BQ76">
            <v>13.861980000000001</v>
          </cell>
          <cell r="BS76">
            <v>0</v>
          </cell>
          <cell r="BU76">
            <v>0</v>
          </cell>
          <cell r="BW76">
            <v>0</v>
          </cell>
          <cell r="BY76">
            <v>0</v>
          </cell>
          <cell r="CA76">
            <v>0</v>
          </cell>
          <cell r="CC76">
            <v>0</v>
          </cell>
          <cell r="CE76">
            <v>0</v>
          </cell>
          <cell r="CG76">
            <v>563</v>
          </cell>
          <cell r="CI76">
            <v>0</v>
          </cell>
        </row>
        <row r="77">
          <cell r="O77">
            <v>1552.2819999999999</v>
          </cell>
          <cell r="P77" t="str">
            <v xml:space="preserve"> </v>
          </cell>
          <cell r="Q77">
            <v>2229.2370000000001</v>
          </cell>
          <cell r="R77" t="str">
            <v xml:space="preserve"> </v>
          </cell>
          <cell r="S77">
            <v>725.45</v>
          </cell>
          <cell r="U77">
            <v>338.78399999999999</v>
          </cell>
          <cell r="W77">
            <v>15336</v>
          </cell>
          <cell r="Y77">
            <v>888.55100000000004</v>
          </cell>
          <cell r="AA77">
            <v>3110.2</v>
          </cell>
          <cell r="AC77">
            <v>2573.5210000000002</v>
          </cell>
          <cell r="AE77">
            <v>15243</v>
          </cell>
          <cell r="AG77">
            <v>1960.4490000000001</v>
          </cell>
          <cell r="AI77">
            <v>12046.8</v>
          </cell>
          <cell r="AK77">
            <v>71105</v>
          </cell>
          <cell r="AM77">
            <v>115.992</v>
          </cell>
          <cell r="AO77">
            <v>109.543201</v>
          </cell>
          <cell r="AQ77">
            <v>178.47900000000001</v>
          </cell>
          <cell r="AS77">
            <v>316.70400000000001</v>
          </cell>
          <cell r="AU77">
            <v>116.72199999999999</v>
          </cell>
          <cell r="AW77">
            <v>106.99</v>
          </cell>
          <cell r="AY77">
            <v>31.675999999999998</v>
          </cell>
          <cell r="BC77">
            <v>30.6</v>
          </cell>
          <cell r="BE77">
            <v>63.68</v>
          </cell>
          <cell r="BG77">
            <v>27.503</v>
          </cell>
          <cell r="BI77">
            <v>40.418999999999997</v>
          </cell>
          <cell r="BK77">
            <v>48.639000000000003</v>
          </cell>
          <cell r="BO77">
            <v>12176</v>
          </cell>
          <cell r="BQ77">
            <v>432.47952000000004</v>
          </cell>
          <cell r="BS77">
            <v>770440</v>
          </cell>
          <cell r="BU77">
            <v>25811.9</v>
          </cell>
          <cell r="BW77">
            <v>13910.48</v>
          </cell>
          <cell r="BY77">
            <v>1369.2</v>
          </cell>
          <cell r="CA77">
            <v>770440</v>
          </cell>
          <cell r="CC77">
            <v>219.65600000000001</v>
          </cell>
          <cell r="CE77">
            <v>12603.034</v>
          </cell>
          <cell r="CG77">
            <v>7216</v>
          </cell>
          <cell r="CI77">
            <v>8019.3399999999992</v>
          </cell>
          <cell r="CK77">
            <v>14593</v>
          </cell>
        </row>
        <row r="78">
          <cell r="P78" t="str">
            <v xml:space="preserve"> </v>
          </cell>
          <cell r="R78" t="str">
            <v xml:space="preserve"> </v>
          </cell>
        </row>
        <row r="79">
          <cell r="P79" t="str">
            <v xml:space="preserve"> </v>
          </cell>
          <cell r="Q79">
            <v>0</v>
          </cell>
          <cell r="R79" t="str">
            <v xml:space="preserve"> </v>
          </cell>
          <cell r="S79">
            <v>0</v>
          </cell>
          <cell r="U79">
            <v>0</v>
          </cell>
          <cell r="W79">
            <v>0</v>
          </cell>
          <cell r="Y79">
            <v>0</v>
          </cell>
          <cell r="AA79">
            <v>0</v>
          </cell>
          <cell r="AC79">
            <v>0</v>
          </cell>
          <cell r="AE79">
            <v>0</v>
          </cell>
          <cell r="AG79">
            <v>0</v>
          </cell>
          <cell r="AI79">
            <v>0</v>
          </cell>
          <cell r="AK79">
            <v>0</v>
          </cell>
          <cell r="AM79">
            <v>0</v>
          </cell>
          <cell r="AO79">
            <v>0</v>
          </cell>
          <cell r="AQ79">
            <v>0</v>
          </cell>
          <cell r="AS79">
            <v>0</v>
          </cell>
          <cell r="AU79">
            <v>0</v>
          </cell>
          <cell r="AW79">
            <v>0</v>
          </cell>
          <cell r="AY79">
            <v>0</v>
          </cell>
          <cell r="BC79">
            <v>0</v>
          </cell>
          <cell r="BE79">
            <v>0</v>
          </cell>
          <cell r="BG79">
            <v>0</v>
          </cell>
          <cell r="BI79">
            <v>0</v>
          </cell>
          <cell r="BK79">
            <v>0</v>
          </cell>
          <cell r="BQ79">
            <v>0</v>
          </cell>
          <cell r="BS79">
            <v>0</v>
          </cell>
          <cell r="BU79">
            <v>0</v>
          </cell>
          <cell r="BW79">
            <v>0</v>
          </cell>
          <cell r="BY79">
            <v>0</v>
          </cell>
          <cell r="CA79">
            <v>0</v>
          </cell>
          <cell r="CC79">
            <v>0</v>
          </cell>
          <cell r="CE79">
            <v>0</v>
          </cell>
          <cell r="CG79">
            <v>0</v>
          </cell>
          <cell r="CI79">
            <v>0</v>
          </cell>
        </row>
        <row r="80">
          <cell r="P80" t="str">
            <v xml:space="preserve"> </v>
          </cell>
          <cell r="Q80">
            <v>0</v>
          </cell>
          <cell r="R80" t="str">
            <v xml:space="preserve"> </v>
          </cell>
          <cell r="S80">
            <v>0</v>
          </cell>
          <cell r="U80">
            <v>0</v>
          </cell>
          <cell r="W80">
            <v>0</v>
          </cell>
          <cell r="Y80">
            <v>0</v>
          </cell>
          <cell r="AA80">
            <v>0</v>
          </cell>
          <cell r="AC80">
            <v>0</v>
          </cell>
          <cell r="AE80">
            <v>0</v>
          </cell>
          <cell r="AG80">
            <v>0</v>
          </cell>
          <cell r="AI80">
            <v>0</v>
          </cell>
          <cell r="AK80">
            <v>0</v>
          </cell>
          <cell r="AM80">
            <v>0</v>
          </cell>
          <cell r="AO80">
            <v>0</v>
          </cell>
          <cell r="AQ80">
            <v>0</v>
          </cell>
          <cell r="AS80">
            <v>0</v>
          </cell>
          <cell r="AU80">
            <v>0</v>
          </cell>
          <cell r="AW80">
            <v>0</v>
          </cell>
          <cell r="AY80">
            <v>0</v>
          </cell>
          <cell r="BC80">
            <v>0</v>
          </cell>
          <cell r="BE80">
            <v>0</v>
          </cell>
          <cell r="BG80">
            <v>0</v>
          </cell>
          <cell r="BI80">
            <v>0</v>
          </cell>
          <cell r="BK80">
            <v>0</v>
          </cell>
          <cell r="BQ80">
            <v>0</v>
          </cell>
          <cell r="BS80">
            <v>0</v>
          </cell>
          <cell r="BU80">
            <v>0</v>
          </cell>
          <cell r="BW80">
            <v>0</v>
          </cell>
          <cell r="BY80">
            <v>0</v>
          </cell>
          <cell r="CA80">
            <v>0</v>
          </cell>
          <cell r="CC80">
            <v>0</v>
          </cell>
          <cell r="CE80">
            <v>0</v>
          </cell>
          <cell r="CG80">
            <v>0</v>
          </cell>
          <cell r="CI80">
            <v>0</v>
          </cell>
        </row>
        <row r="81">
          <cell r="O81">
            <v>1266</v>
          </cell>
          <cell r="P81" t="str">
            <v xml:space="preserve"> </v>
          </cell>
          <cell r="Q81">
            <v>16603</v>
          </cell>
          <cell r="R81" t="str">
            <v xml:space="preserve"> </v>
          </cell>
          <cell r="S81">
            <v>3782</v>
          </cell>
          <cell r="U81">
            <v>8421.268</v>
          </cell>
          <cell r="W81">
            <v>21463</v>
          </cell>
          <cell r="Y81">
            <v>11152</v>
          </cell>
          <cell r="AA81">
            <v>35500</v>
          </cell>
          <cell r="AC81">
            <v>16239.609</v>
          </cell>
          <cell r="AE81">
            <v>66300.902000000002</v>
          </cell>
          <cell r="AG81">
            <v>24694.166000000001</v>
          </cell>
          <cell r="AI81">
            <v>60893.644</v>
          </cell>
          <cell r="AK81">
            <v>1648</v>
          </cell>
          <cell r="AM81">
            <v>3781</v>
          </cell>
          <cell r="AO81">
            <v>1888.3969999999999</v>
          </cell>
          <cell r="AQ81">
            <v>2100</v>
          </cell>
          <cell r="AS81">
            <v>4117</v>
          </cell>
          <cell r="AU81">
            <v>1013</v>
          </cell>
          <cell r="AW81">
            <v>1501</v>
          </cell>
          <cell r="AY81">
            <v>780.65</v>
          </cell>
          <cell r="BA81">
            <v>3962.422</v>
          </cell>
          <cell r="BC81">
            <v>755.01099999999997</v>
          </cell>
          <cell r="BE81">
            <v>2263.3409999999999</v>
          </cell>
          <cell r="BG81">
            <v>267</v>
          </cell>
          <cell r="BI81">
            <v>534.92200000000003</v>
          </cell>
          <cell r="BK81">
            <v>2377.0949999999998</v>
          </cell>
          <cell r="BM81">
            <v>4935</v>
          </cell>
          <cell r="BO81">
            <v>78845</v>
          </cell>
          <cell r="BQ81">
            <v>6182.6</v>
          </cell>
          <cell r="BS81">
            <v>0</v>
          </cell>
          <cell r="BU81">
            <v>85455.593999999997</v>
          </cell>
          <cell r="BW81">
            <v>0</v>
          </cell>
          <cell r="BY81">
            <v>6100</v>
          </cell>
          <cell r="CA81">
            <v>0</v>
          </cell>
          <cell r="CC81">
            <v>3674.3380000000002</v>
          </cell>
          <cell r="CE81">
            <v>29328.123</v>
          </cell>
          <cell r="CG81">
            <v>26000</v>
          </cell>
          <cell r="CI81">
            <v>57175.402000000002</v>
          </cell>
          <cell r="CK81">
            <v>26112.254000000001</v>
          </cell>
          <cell r="CM81">
            <v>5950.4219999999996</v>
          </cell>
          <cell r="CO81">
            <v>0</v>
          </cell>
          <cell r="CQ81">
            <v>0</v>
          </cell>
          <cell r="CS81">
            <v>0</v>
          </cell>
          <cell r="CU81">
            <v>0</v>
          </cell>
        </row>
        <row r="82">
          <cell r="O82">
            <v>31</v>
          </cell>
          <cell r="P82" t="str">
            <v xml:space="preserve"> </v>
          </cell>
          <cell r="Q82">
            <v>31.51</v>
          </cell>
          <cell r="R82" t="str">
            <v xml:space="preserve"> </v>
          </cell>
          <cell r="S82">
            <v>22.57</v>
          </cell>
          <cell r="U82">
            <v>22.1</v>
          </cell>
          <cell r="W82">
            <v>28.17</v>
          </cell>
          <cell r="Y82">
            <v>23.95</v>
          </cell>
          <cell r="AA82">
            <v>40.08</v>
          </cell>
          <cell r="AC82">
            <v>44.41</v>
          </cell>
          <cell r="AE82">
            <v>40.08</v>
          </cell>
          <cell r="AG82">
            <v>17.959728677615594</v>
          </cell>
          <cell r="AI82">
            <v>24.05</v>
          </cell>
          <cell r="AK82">
            <v>7.29</v>
          </cell>
          <cell r="AM82">
            <v>14.09</v>
          </cell>
          <cell r="AO82">
            <v>17.989799358927176</v>
          </cell>
          <cell r="AQ82">
            <v>22.25</v>
          </cell>
          <cell r="AS82">
            <v>19.39</v>
          </cell>
          <cell r="AU82">
            <v>7.84</v>
          </cell>
          <cell r="AW82">
            <v>11.78</v>
          </cell>
          <cell r="AY82">
            <v>4.8099999999999996</v>
          </cell>
          <cell r="BA82">
            <v>10.53</v>
          </cell>
          <cell r="BC82">
            <v>5.28</v>
          </cell>
          <cell r="BE82">
            <v>10.27</v>
          </cell>
          <cell r="BG82">
            <v>0.75</v>
          </cell>
          <cell r="BI82">
            <v>6.46</v>
          </cell>
          <cell r="BK82">
            <v>6.19</v>
          </cell>
          <cell r="BM82">
            <v>29.29</v>
          </cell>
          <cell r="BO82">
            <v>34.479999999999997</v>
          </cell>
          <cell r="BQ82">
            <v>14.493600000000001</v>
          </cell>
          <cell r="BS82">
            <v>0</v>
          </cell>
          <cell r="BU82">
            <v>50.54</v>
          </cell>
          <cell r="BW82">
            <v>0</v>
          </cell>
          <cell r="BY82">
            <v>25</v>
          </cell>
          <cell r="CA82">
            <v>0</v>
          </cell>
          <cell r="CC82">
            <v>13.32</v>
          </cell>
          <cell r="CE82">
            <v>41.08</v>
          </cell>
          <cell r="CG82">
            <v>9.2850000000000001</v>
          </cell>
          <cell r="CI82">
            <v>25.651199999999999</v>
          </cell>
          <cell r="CK82">
            <v>32.336234553325042</v>
          </cell>
          <cell r="CM82">
            <v>13.430815965657562</v>
          </cell>
          <cell r="CO82">
            <v>13.430815965657562</v>
          </cell>
          <cell r="CQ82">
            <v>13.430815965657562</v>
          </cell>
          <cell r="CS82">
            <v>13.430815965657562</v>
          </cell>
          <cell r="CU82">
            <v>13.430815965657562</v>
          </cell>
        </row>
        <row r="83">
          <cell r="O83">
            <v>23770.941176470587</v>
          </cell>
          <cell r="Q83">
            <v>200120.80140465795</v>
          </cell>
          <cell r="S83">
            <v>72610.487876404499</v>
          </cell>
          <cell r="U83" t="e">
            <v>#N/A</v>
          </cell>
          <cell r="W83">
            <v>1296935.273235294</v>
          </cell>
          <cell r="Y83">
            <v>80757.63585981309</v>
          </cell>
          <cell r="AA83">
            <v>270244.77915110358</v>
          </cell>
          <cell r="AC83" t="e">
            <v>#N/A</v>
          </cell>
          <cell r="AE83">
            <v>1022080.8652950185</v>
          </cell>
          <cell r="AG83">
            <v>184168.76507978377</v>
          </cell>
          <cell r="AI83">
            <v>1146254.918313371</v>
          </cell>
          <cell r="AK83">
            <v>14790.028341708543</v>
          </cell>
          <cell r="AM83">
            <v>23248.113469516025</v>
          </cell>
          <cell r="AO83">
            <v>15715.775934977171</v>
          </cell>
          <cell r="AQ83">
            <v>18846.591347037484</v>
          </cell>
          <cell r="AS83">
            <v>33479.818871912175</v>
          </cell>
          <cell r="AU83">
            <v>17167.506645161291</v>
          </cell>
          <cell r="AW83">
            <v>16670.824108108107</v>
          </cell>
          <cell r="AY83">
            <v>17650.360312169316</v>
          </cell>
          <cell r="BA83">
            <v>43996.609228292684</v>
          </cell>
          <cell r="BC83">
            <v>11953.481705945946</v>
          </cell>
          <cell r="BE83">
            <v>17874.600438305086</v>
          </cell>
          <cell r="BG83">
            <v>10848.340636363637</v>
          </cell>
          <cell r="BI83">
            <v>11558.282729142858</v>
          </cell>
          <cell r="BK83">
            <v>26271.531812826604</v>
          </cell>
          <cell r="BM83">
            <v>35836.368277456648</v>
          </cell>
          <cell r="BO83">
            <v>1394360.8222627346</v>
          </cell>
          <cell r="BQ83">
            <v>110092.96332800001</v>
          </cell>
          <cell r="BS83">
            <v>99351.686000000002</v>
          </cell>
          <cell r="BU83">
            <v>1216011.9239474158</v>
          </cell>
          <cell r="BW83">
            <v>1094800</v>
          </cell>
          <cell r="BY83">
            <v>89440.101919191919</v>
          </cell>
          <cell r="CA83">
            <v>99351.686000000002</v>
          </cell>
          <cell r="CC83">
            <v>29771.66033633042</v>
          </cell>
          <cell r="CE83">
            <v>1519173.1154273197</v>
          </cell>
          <cell r="CG83">
            <v>1490800.9521070984</v>
          </cell>
          <cell r="CI83">
            <v>1839523.5305121876</v>
          </cell>
          <cell r="CK83">
            <v>1008265.1439730854</v>
          </cell>
          <cell r="CM83">
            <v>41963.489091823896</v>
          </cell>
          <cell r="CO83">
            <v>41273.527000000002</v>
          </cell>
          <cell r="CQ83">
            <v>39000</v>
          </cell>
          <cell r="CS83">
            <v>22540</v>
          </cell>
          <cell r="CU83">
            <v>47266.666666666664</v>
          </cell>
        </row>
        <row r="84">
          <cell r="P84" t="str">
            <v xml:space="preserve"> </v>
          </cell>
          <cell r="R84" t="str">
            <v xml:space="preserve"> </v>
          </cell>
          <cell r="S84">
            <v>3</v>
          </cell>
          <cell r="U84">
            <v>3</v>
          </cell>
          <cell r="W84">
            <v>1</v>
          </cell>
          <cell r="Y84">
            <v>8</v>
          </cell>
          <cell r="AA84">
            <v>3</v>
          </cell>
          <cell r="AC84">
            <v>4</v>
          </cell>
          <cell r="AE84">
            <v>30</v>
          </cell>
          <cell r="AG84">
            <v>10</v>
          </cell>
          <cell r="AI84">
            <v>12</v>
          </cell>
          <cell r="AK84">
            <v>0</v>
          </cell>
          <cell r="AM84">
            <v>0</v>
          </cell>
          <cell r="AO84">
            <v>0</v>
          </cell>
          <cell r="AQ84">
            <v>0</v>
          </cell>
          <cell r="AS84">
            <v>0</v>
          </cell>
          <cell r="AU84">
            <v>0</v>
          </cell>
          <cell r="AW84">
            <v>0</v>
          </cell>
          <cell r="AY84">
            <v>0</v>
          </cell>
          <cell r="BC84">
            <v>0</v>
          </cell>
          <cell r="BE84">
            <v>0</v>
          </cell>
          <cell r="BG84">
            <v>0</v>
          </cell>
          <cell r="BI84">
            <v>0</v>
          </cell>
          <cell r="BK84">
            <v>0</v>
          </cell>
          <cell r="BQ84">
            <v>0</v>
          </cell>
          <cell r="BS84">
            <v>0</v>
          </cell>
          <cell r="BU84">
            <v>0</v>
          </cell>
          <cell r="BW84">
            <v>0</v>
          </cell>
          <cell r="BY84">
            <v>0</v>
          </cell>
          <cell r="CA84">
            <v>0</v>
          </cell>
          <cell r="CC84">
            <v>5</v>
          </cell>
          <cell r="CE84">
            <v>6.2149999999999999</v>
          </cell>
          <cell r="CG84">
            <v>0</v>
          </cell>
          <cell r="CI84">
            <v>0</v>
          </cell>
          <cell r="CM84">
            <v>0</v>
          </cell>
          <cell r="CO84">
            <v>0</v>
          </cell>
          <cell r="CQ84">
            <v>0</v>
          </cell>
          <cell r="CS84">
            <v>0</v>
          </cell>
          <cell r="CU84">
            <v>0</v>
          </cell>
        </row>
        <row r="85">
          <cell r="P85" t="str">
            <v xml:space="preserve"> </v>
          </cell>
          <cell r="R85" t="str">
            <v xml:space="preserve"> </v>
          </cell>
          <cell r="S85">
            <v>90</v>
          </cell>
          <cell r="U85">
            <v>41</v>
          </cell>
          <cell r="W85">
            <v>4137</v>
          </cell>
          <cell r="Y85">
            <v>178.678</v>
          </cell>
          <cell r="AA85">
            <v>1186.2</v>
          </cell>
          <cell r="AC85">
            <v>668.4</v>
          </cell>
          <cell r="AE85">
            <v>4183</v>
          </cell>
          <cell r="AG85">
            <v>514.27599999999995</v>
          </cell>
          <cell r="AI85">
            <v>4041.8</v>
          </cell>
          <cell r="AK85">
            <v>2573</v>
          </cell>
          <cell r="AM85">
            <v>21.481999999999999</v>
          </cell>
          <cell r="AO85">
            <v>16.207312000000002</v>
          </cell>
          <cell r="AQ85">
            <v>22.169</v>
          </cell>
          <cell r="AS85">
            <v>9.7309999999999999</v>
          </cell>
          <cell r="AU85">
            <v>8.1829999999999998</v>
          </cell>
          <cell r="AW85">
            <v>3.387</v>
          </cell>
          <cell r="AY85">
            <v>1.0509999999999999</v>
          </cell>
          <cell r="BC85">
            <v>2.472</v>
          </cell>
          <cell r="BE85">
            <v>5.6</v>
          </cell>
          <cell r="BG85">
            <v>1.665</v>
          </cell>
          <cell r="BI85">
            <v>3.8109999999999999</v>
          </cell>
          <cell r="BK85">
            <v>11.568</v>
          </cell>
          <cell r="BO85">
            <v>5975</v>
          </cell>
          <cell r="BQ85">
            <v>71.898420000000002</v>
          </cell>
          <cell r="BS85">
            <v>118.32</v>
          </cell>
          <cell r="BU85">
            <v>6609.4</v>
          </cell>
          <cell r="BW85">
            <v>4980.6799999999994</v>
          </cell>
          <cell r="BY85">
            <v>310.39999999999998</v>
          </cell>
          <cell r="CA85">
            <v>118.32</v>
          </cell>
          <cell r="CC85">
            <v>69.02</v>
          </cell>
          <cell r="CE85">
            <v>4645.7669999999998</v>
          </cell>
          <cell r="CG85">
            <v>2581</v>
          </cell>
          <cell r="CI85">
            <v>5983.61</v>
          </cell>
          <cell r="CM85">
            <v>0</v>
          </cell>
          <cell r="CO85">
            <v>0</v>
          </cell>
          <cell r="CQ85">
            <v>0</v>
          </cell>
          <cell r="CS85">
            <v>0</v>
          </cell>
          <cell r="CU85">
            <v>0</v>
          </cell>
        </row>
        <row r="86">
          <cell r="O86">
            <v>0</v>
          </cell>
          <cell r="P86" t="str">
            <v xml:space="preserve"> </v>
          </cell>
          <cell r="Q86">
            <v>0</v>
          </cell>
          <cell r="R86" t="str">
            <v xml:space="preserve"> </v>
          </cell>
          <cell r="S86">
            <v>10236.015874626986</v>
          </cell>
          <cell r="AC86">
            <v>1013.5135135135135</v>
          </cell>
          <cell r="AG86">
            <v>12026</v>
          </cell>
          <cell r="AI86">
            <v>0</v>
          </cell>
          <cell r="BA86">
            <v>5677.8907870050361</v>
          </cell>
          <cell r="BM86">
            <v>6402.3812915493127</v>
          </cell>
          <cell r="BU86">
            <v>0</v>
          </cell>
          <cell r="BY86">
            <v>12300</v>
          </cell>
          <cell r="CC86">
            <v>3048.78</v>
          </cell>
          <cell r="CE86">
            <v>0</v>
          </cell>
          <cell r="CG86">
            <v>0</v>
          </cell>
          <cell r="CI86">
            <v>0</v>
          </cell>
          <cell r="CK86">
            <v>0</v>
          </cell>
          <cell r="CM86">
            <v>0</v>
          </cell>
          <cell r="CO86">
            <v>0</v>
          </cell>
          <cell r="CQ86">
            <v>0</v>
          </cell>
          <cell r="CS86">
            <v>0</v>
          </cell>
          <cell r="CU86">
            <v>0</v>
          </cell>
        </row>
        <row r="87">
          <cell r="Q87">
            <v>0</v>
          </cell>
          <cell r="BM87">
            <v>94.872549721640524</v>
          </cell>
        </row>
        <row r="89">
          <cell r="O89">
            <v>0</v>
          </cell>
          <cell r="Q89">
            <v>0</v>
          </cell>
          <cell r="S89">
            <v>0</v>
          </cell>
          <cell r="U89">
            <v>0</v>
          </cell>
          <cell r="W89">
            <v>0</v>
          </cell>
          <cell r="Y89">
            <v>0</v>
          </cell>
          <cell r="AA89">
            <v>0</v>
          </cell>
          <cell r="AC89">
            <v>0</v>
          </cell>
          <cell r="AE89">
            <v>0</v>
          </cell>
          <cell r="AG89">
            <v>0</v>
          </cell>
          <cell r="AI89">
            <v>0</v>
          </cell>
          <cell r="AK89">
            <v>0</v>
          </cell>
          <cell r="AM89">
            <v>0</v>
          </cell>
          <cell r="AO89">
            <v>0</v>
          </cell>
          <cell r="AQ89">
            <v>0</v>
          </cell>
          <cell r="AS89">
            <v>0</v>
          </cell>
          <cell r="AU89">
            <v>0</v>
          </cell>
          <cell r="AW89">
            <v>0</v>
          </cell>
          <cell r="AY89">
            <v>0</v>
          </cell>
          <cell r="BC89">
            <v>0</v>
          </cell>
          <cell r="BE89">
            <v>0</v>
          </cell>
          <cell r="BG89">
            <v>0</v>
          </cell>
          <cell r="BI89">
            <v>0</v>
          </cell>
          <cell r="BK89">
            <v>0</v>
          </cell>
          <cell r="BO89">
            <v>0</v>
          </cell>
          <cell r="BQ89">
            <v>0</v>
          </cell>
          <cell r="BS89">
            <v>0</v>
          </cell>
          <cell r="BU89">
            <v>0</v>
          </cell>
          <cell r="BW89">
            <v>0</v>
          </cell>
          <cell r="BY89">
            <v>0</v>
          </cell>
          <cell r="CA89">
            <v>0</v>
          </cell>
          <cell r="CC89">
            <v>0</v>
          </cell>
          <cell r="CE89">
            <v>0</v>
          </cell>
          <cell r="CG89">
            <v>0</v>
          </cell>
          <cell r="CI89">
            <v>0</v>
          </cell>
          <cell r="CK89">
            <v>0</v>
          </cell>
          <cell r="CM89">
            <v>0</v>
          </cell>
          <cell r="CO89">
            <v>0</v>
          </cell>
          <cell r="CQ89">
            <v>0</v>
          </cell>
          <cell r="CS89">
            <v>0</v>
          </cell>
          <cell r="CU89">
            <v>0</v>
          </cell>
        </row>
        <row r="90">
          <cell r="O90">
            <v>8517.1710000000003</v>
          </cell>
          <cell r="Q90">
            <v>937.7230000000003</v>
          </cell>
          <cell r="S90">
            <v>187.49800000000002</v>
          </cell>
          <cell r="U90">
            <v>450.488</v>
          </cell>
          <cell r="W90">
            <v>9158</v>
          </cell>
          <cell r="Y90">
            <v>285.07600000000002</v>
          </cell>
          <cell r="AA90">
            <v>1608.5</v>
          </cell>
          <cell r="AC90">
            <v>846.95299999999997</v>
          </cell>
          <cell r="AE90">
            <v>12219</v>
          </cell>
          <cell r="AG90">
            <v>1052.2150000000001</v>
          </cell>
          <cell r="AI90">
            <v>6059.3</v>
          </cell>
          <cell r="AK90">
            <v>28.655000000000001</v>
          </cell>
          <cell r="AM90">
            <v>62.601999999999997</v>
          </cell>
          <cell r="AO90">
            <v>38.599809999999998</v>
          </cell>
          <cell r="AQ90">
            <v>32.243000000000002</v>
          </cell>
          <cell r="AS90">
            <v>85.801000000000002</v>
          </cell>
          <cell r="AU90">
            <v>35.536000000000001</v>
          </cell>
          <cell r="AW90">
            <v>31.013000000000002</v>
          </cell>
          <cell r="AY90">
            <v>12.257</v>
          </cell>
          <cell r="BC90">
            <v>14.27</v>
          </cell>
          <cell r="BE90">
            <v>40.811999999999998</v>
          </cell>
          <cell r="BG90">
            <v>12.33</v>
          </cell>
          <cell r="BI90">
            <v>25.803999999999998</v>
          </cell>
          <cell r="BK90">
            <v>21.811</v>
          </cell>
          <cell r="BO90">
            <v>18007</v>
          </cell>
          <cell r="BQ90">
            <v>117.02922000000001</v>
          </cell>
          <cell r="BS90">
            <v>149.4</v>
          </cell>
          <cell r="BU90">
            <v>17174.599999999999</v>
          </cell>
          <cell r="BW90">
            <v>6131.96</v>
          </cell>
          <cell r="BY90">
            <v>668.4</v>
          </cell>
          <cell r="CA90">
            <v>149.4</v>
          </cell>
          <cell r="CC90">
            <v>106.83699999999999</v>
          </cell>
          <cell r="CE90">
            <v>9033.0360000000001</v>
          </cell>
          <cell r="CG90">
            <v>4819</v>
          </cell>
          <cell r="CI90">
            <v>8779.19</v>
          </cell>
          <cell r="CK90">
            <v>8092</v>
          </cell>
          <cell r="CM90">
            <v>2169.6999999999994</v>
          </cell>
          <cell r="CO90">
            <v>2169.6999999999994</v>
          </cell>
          <cell r="CQ90">
            <v>2169.6999999999994</v>
          </cell>
          <cell r="CS90">
            <v>387.53859775330636</v>
          </cell>
          <cell r="CU90">
            <v>64.572415199999995</v>
          </cell>
        </row>
        <row r="91">
          <cell r="U91">
            <v>247.096</v>
          </cell>
          <cell r="Y91">
            <v>92.971000000000004</v>
          </cell>
          <cell r="AG91">
            <v>192.2</v>
          </cell>
          <cell r="AM91">
            <v>23.87</v>
          </cell>
          <cell r="AO91">
            <v>16.2</v>
          </cell>
          <cell r="AQ91">
            <v>0</v>
          </cell>
          <cell r="AS91">
            <v>4.7</v>
          </cell>
          <cell r="AU91">
            <v>0</v>
          </cell>
          <cell r="AW91">
            <v>43.9</v>
          </cell>
          <cell r="AY91">
            <v>11.2</v>
          </cell>
          <cell r="BA91">
            <v>38.299999999999997</v>
          </cell>
          <cell r="BK91">
            <v>0</v>
          </cell>
          <cell r="BM91">
            <v>12.391</v>
          </cell>
          <cell r="BO91">
            <v>8393</v>
          </cell>
          <cell r="BQ91">
            <v>46.86</v>
          </cell>
          <cell r="CC91">
            <v>65.37</v>
          </cell>
          <cell r="CE91">
            <v>5613</v>
          </cell>
          <cell r="CG91">
            <v>1779</v>
          </cell>
          <cell r="CI91">
            <v>2728.7799999999997</v>
          </cell>
          <cell r="CO91">
            <v>6.8510214250124566</v>
          </cell>
          <cell r="CQ91">
            <v>10.163540607964519</v>
          </cell>
          <cell r="CU91">
            <v>34.652059199999997</v>
          </cell>
        </row>
        <row r="92">
          <cell r="U92">
            <v>150.16900000000001</v>
          </cell>
          <cell r="Y92">
            <v>205.19499999999999</v>
          </cell>
          <cell r="AG92">
            <v>261.39999999999998</v>
          </cell>
          <cell r="AM92">
            <v>42.776000000000003</v>
          </cell>
          <cell r="AO92">
            <v>35.9</v>
          </cell>
          <cell r="AQ92">
            <v>38.438000000000002</v>
          </cell>
          <cell r="AS92">
            <v>75</v>
          </cell>
          <cell r="AU92">
            <v>20</v>
          </cell>
          <cell r="AW92">
            <v>24</v>
          </cell>
          <cell r="AY92">
            <v>18</v>
          </cell>
          <cell r="BA92">
            <v>65.2</v>
          </cell>
          <cell r="BC92">
            <v>26.081</v>
          </cell>
          <cell r="BK92">
            <v>15</v>
          </cell>
          <cell r="BM92">
            <v>129.56899999999999</v>
          </cell>
          <cell r="BO92">
            <v>2547</v>
          </cell>
          <cell r="BQ92">
            <v>52.800000000000004</v>
          </cell>
          <cell r="CC92">
            <v>35.506</v>
          </cell>
          <cell r="CE92">
            <v>1318</v>
          </cell>
          <cell r="CG92">
            <v>1140</v>
          </cell>
          <cell r="CI92">
            <v>2062.4499999999998</v>
          </cell>
          <cell r="CO92">
            <v>1.3079222720478327</v>
          </cell>
          <cell r="CQ92">
            <v>1.9403122978841356</v>
          </cell>
          <cell r="CU92">
            <v>56.998799999999996</v>
          </cell>
        </row>
        <row r="93">
          <cell r="U93">
            <v>80.245999999999995</v>
          </cell>
          <cell r="Y93">
            <v>121.955</v>
          </cell>
          <cell r="AG93">
            <v>160.69999999999999</v>
          </cell>
          <cell r="AM93">
            <v>18.623999999999999</v>
          </cell>
          <cell r="AO93">
            <v>30</v>
          </cell>
          <cell r="AQ93">
            <v>12.201000000000001</v>
          </cell>
          <cell r="AS93">
            <v>38</v>
          </cell>
          <cell r="AU93">
            <v>6.0949999999999998</v>
          </cell>
          <cell r="AW93">
            <v>42.9</v>
          </cell>
          <cell r="AY93">
            <v>34</v>
          </cell>
          <cell r="BA93">
            <v>93.6</v>
          </cell>
          <cell r="BC93">
            <v>15.52</v>
          </cell>
          <cell r="BK93">
            <v>8</v>
          </cell>
          <cell r="BM93">
            <v>51.872</v>
          </cell>
          <cell r="BO93">
            <v>10052</v>
          </cell>
          <cell r="BQ93">
            <v>51.480000000000004</v>
          </cell>
          <cell r="CC93">
            <v>69.947000000000003</v>
          </cell>
          <cell r="CE93">
            <v>2899</v>
          </cell>
          <cell r="CG93">
            <v>3604</v>
          </cell>
          <cell r="CI93">
            <v>4682.6799999999994</v>
          </cell>
          <cell r="CO93">
            <v>2.1798704534130544</v>
          </cell>
          <cell r="CQ93">
            <v>3.2338538298068924</v>
          </cell>
          <cell r="CU93">
            <v>58.761748799999992</v>
          </cell>
        </row>
        <row r="94">
          <cell r="U94">
            <v>263.50099999999998</v>
          </cell>
          <cell r="Y94">
            <v>104.715</v>
          </cell>
          <cell r="AG94">
            <v>223.9</v>
          </cell>
          <cell r="AM94">
            <v>25.344999999999999</v>
          </cell>
          <cell r="AO94">
            <v>25.2</v>
          </cell>
          <cell r="AQ94">
            <v>1.1000000000000001</v>
          </cell>
          <cell r="AS94">
            <v>19.8</v>
          </cell>
          <cell r="AU94">
            <v>0</v>
          </cell>
          <cell r="AW94">
            <v>78.900000000000006</v>
          </cell>
          <cell r="AY94">
            <v>32.299999999999997</v>
          </cell>
          <cell r="BA94">
            <v>55.4</v>
          </cell>
          <cell r="BC94">
            <v>2.625</v>
          </cell>
          <cell r="BK94">
            <v>0</v>
          </cell>
          <cell r="BM94">
            <v>24.875</v>
          </cell>
          <cell r="BO94">
            <v>9182</v>
          </cell>
          <cell r="BQ94">
            <v>48.18</v>
          </cell>
          <cell r="CC94">
            <v>78.762</v>
          </cell>
          <cell r="CE94">
            <v>5959</v>
          </cell>
          <cell r="CG94">
            <v>2008</v>
          </cell>
          <cell r="CI94">
            <v>2987.6299999999997</v>
          </cell>
          <cell r="CO94">
            <v>8.2835077229696079</v>
          </cell>
          <cell r="CQ94">
            <v>12.288644553266193</v>
          </cell>
          <cell r="CU94">
            <v>48.546921599999997</v>
          </cell>
        </row>
        <row r="95">
          <cell r="U95">
            <v>172.727</v>
          </cell>
          <cell r="Y95">
            <v>216.48099999999999</v>
          </cell>
          <cell r="AG95">
            <v>249</v>
          </cell>
          <cell r="AM95">
            <v>39.350999999999999</v>
          </cell>
          <cell r="AO95">
            <v>44</v>
          </cell>
          <cell r="AQ95">
            <v>43.819000000000003</v>
          </cell>
          <cell r="AS95">
            <v>78</v>
          </cell>
          <cell r="AU95">
            <v>22.25</v>
          </cell>
          <cell r="AW95">
            <v>26</v>
          </cell>
          <cell r="AY95">
            <v>35</v>
          </cell>
          <cell r="BA95">
            <v>77.599999999999994</v>
          </cell>
          <cell r="BC95">
            <v>29.992999999999999</v>
          </cell>
          <cell r="BK95">
            <v>20</v>
          </cell>
          <cell r="BM95">
            <v>183.578</v>
          </cell>
          <cell r="BO95">
            <v>2827</v>
          </cell>
          <cell r="BQ95">
            <v>46.2</v>
          </cell>
          <cell r="CC95">
            <v>37.991</v>
          </cell>
          <cell r="CE95">
            <v>1462</v>
          </cell>
          <cell r="CG95">
            <v>1294</v>
          </cell>
          <cell r="CI95">
            <v>2289.5699999999997</v>
          </cell>
          <cell r="CO95">
            <v>1.5570503238664675</v>
          </cell>
          <cell r="CQ95">
            <v>2.3098955927192089</v>
          </cell>
          <cell r="CU95">
            <v>63.596210399999997</v>
          </cell>
        </row>
        <row r="96">
          <cell r="U96">
            <v>89.474999999999994</v>
          </cell>
          <cell r="Y96">
            <v>133.78399999999999</v>
          </cell>
          <cell r="AG96">
            <v>156.6</v>
          </cell>
          <cell r="AM96">
            <v>22.907</v>
          </cell>
          <cell r="AO96">
            <v>40.299999999999997</v>
          </cell>
          <cell r="AQ96">
            <v>15.862</v>
          </cell>
          <cell r="AS96">
            <v>45</v>
          </cell>
          <cell r="AU96">
            <v>8</v>
          </cell>
          <cell r="AW96">
            <v>42.4</v>
          </cell>
          <cell r="AY96">
            <v>80</v>
          </cell>
          <cell r="BA96">
            <v>98.8</v>
          </cell>
          <cell r="BC96">
            <v>25.608000000000001</v>
          </cell>
          <cell r="BK96">
            <v>14</v>
          </cell>
          <cell r="BM96">
            <v>61.69</v>
          </cell>
          <cell r="BO96">
            <v>10856</v>
          </cell>
          <cell r="BQ96">
            <v>56.1</v>
          </cell>
          <cell r="CC96">
            <v>71.763999999999996</v>
          </cell>
          <cell r="CE96">
            <v>3077</v>
          </cell>
          <cell r="CG96">
            <v>4068</v>
          </cell>
          <cell r="CI96">
            <v>5110.2</v>
          </cell>
          <cell r="CO96">
            <v>2.4912805181863478</v>
          </cell>
          <cell r="CQ96">
            <v>3.6958329483507346</v>
          </cell>
          <cell r="CU96">
            <v>78.162213599999987</v>
          </cell>
        </row>
        <row r="97">
          <cell r="U97">
            <v>291.28100000000001</v>
          </cell>
          <cell r="Y97">
            <v>114.898</v>
          </cell>
          <cell r="AG97">
            <v>255.3</v>
          </cell>
          <cell r="AM97">
            <v>45.893999999999998</v>
          </cell>
          <cell r="AO97">
            <v>33.200000000000003</v>
          </cell>
          <cell r="AQ97">
            <v>6.45</v>
          </cell>
          <cell r="AS97">
            <v>29.7</v>
          </cell>
          <cell r="AU97">
            <v>0</v>
          </cell>
          <cell r="AW97">
            <v>107.5</v>
          </cell>
          <cell r="AY97">
            <v>54.5</v>
          </cell>
          <cell r="BA97">
            <v>75.900000000000006</v>
          </cell>
          <cell r="BC97">
            <v>29.309000000000001</v>
          </cell>
          <cell r="BK97">
            <v>3.15</v>
          </cell>
          <cell r="BM97">
            <v>54.088000000000001</v>
          </cell>
          <cell r="BO97">
            <v>9861</v>
          </cell>
          <cell r="BQ97">
            <v>48.18</v>
          </cell>
          <cell r="CC97">
            <v>96.73</v>
          </cell>
          <cell r="CE97">
            <v>6674</v>
          </cell>
          <cell r="CG97">
            <v>2240</v>
          </cell>
          <cell r="CI97">
            <v>3264.85</v>
          </cell>
          <cell r="CO97">
            <v>9.5291479820627814</v>
          </cell>
          <cell r="CQ97">
            <v>14.136561027441561</v>
          </cell>
          <cell r="CU97">
            <v>63.996004799999994</v>
          </cell>
        </row>
        <row r="98">
          <cell r="U98">
            <v>176.18199999999999</v>
          </cell>
          <cell r="Y98">
            <v>227.30500000000001</v>
          </cell>
          <cell r="AG98">
            <v>254</v>
          </cell>
          <cell r="AM98">
            <v>40.137999999999998</v>
          </cell>
          <cell r="AO98">
            <v>50.8</v>
          </cell>
          <cell r="AQ98">
            <v>49.078000000000003</v>
          </cell>
          <cell r="AS98">
            <v>83</v>
          </cell>
          <cell r="AU98">
            <v>27.25</v>
          </cell>
          <cell r="AW98">
            <v>27</v>
          </cell>
          <cell r="AY98">
            <v>50</v>
          </cell>
          <cell r="BA98">
            <v>70.400000000000006</v>
          </cell>
          <cell r="BC98">
            <v>36.290999999999997</v>
          </cell>
          <cell r="BK98">
            <v>21.925000000000001</v>
          </cell>
          <cell r="BM98">
            <v>201.20599999999999</v>
          </cell>
          <cell r="BO98">
            <v>3081</v>
          </cell>
          <cell r="BQ98">
            <v>49.5</v>
          </cell>
          <cell r="CC98">
            <v>42.55</v>
          </cell>
          <cell r="CE98">
            <v>1637</v>
          </cell>
          <cell r="CG98">
            <v>1439</v>
          </cell>
          <cell r="CI98">
            <v>2479.9499999999998</v>
          </cell>
          <cell r="CO98">
            <v>1.8684603886397608</v>
          </cell>
          <cell r="CQ98">
            <v>2.7718747112630506</v>
          </cell>
          <cell r="CU98">
            <v>72.955252799999997</v>
          </cell>
        </row>
        <row r="99">
          <cell r="U99">
            <v>116.31699999999999</v>
          </cell>
          <cell r="Y99">
            <v>140.47300000000001</v>
          </cell>
          <cell r="AG99">
            <v>166.4</v>
          </cell>
          <cell r="AM99">
            <v>34.36</v>
          </cell>
          <cell r="AO99">
            <v>51</v>
          </cell>
          <cell r="AQ99">
            <v>18.241</v>
          </cell>
          <cell r="AS99">
            <v>50</v>
          </cell>
          <cell r="AU99">
            <v>10</v>
          </cell>
          <cell r="AW99">
            <v>43.4</v>
          </cell>
          <cell r="AY99">
            <v>125</v>
          </cell>
          <cell r="BA99">
            <v>116.6</v>
          </cell>
          <cell r="BC99">
            <v>40.972999999999999</v>
          </cell>
          <cell r="BK99">
            <v>28.503</v>
          </cell>
          <cell r="BM99">
            <v>102.009</v>
          </cell>
          <cell r="BO99">
            <v>11562</v>
          </cell>
          <cell r="BQ99">
            <v>59.400000000000006</v>
          </cell>
          <cell r="CC99">
            <v>78.688999999999993</v>
          </cell>
          <cell r="CE99">
            <v>3430</v>
          </cell>
          <cell r="CG99">
            <v>4526</v>
          </cell>
          <cell r="CI99">
            <v>5596.17</v>
          </cell>
          <cell r="CO99">
            <v>2.9895366218236172</v>
          </cell>
          <cell r="CQ99">
            <v>4.4349995380208815</v>
          </cell>
          <cell r="CU99">
            <v>106.2329184</v>
          </cell>
        </row>
        <row r="100">
          <cell r="U100">
            <v>477.51099999999997</v>
          </cell>
          <cell r="Y100">
            <v>420.12099999999998</v>
          </cell>
          <cell r="AG100">
            <v>614.29999999999995</v>
          </cell>
          <cell r="AM100">
            <v>85.27</v>
          </cell>
          <cell r="AO100">
            <v>82.1</v>
          </cell>
          <cell r="AQ100">
            <v>50.639000000000003</v>
          </cell>
          <cell r="AS100">
            <v>117.7</v>
          </cell>
          <cell r="AU100">
            <v>26.094999999999999</v>
          </cell>
          <cell r="AW100">
            <v>110.80000000000001</v>
          </cell>
          <cell r="AY100">
            <v>63.2</v>
          </cell>
          <cell r="BA100">
            <v>197.1</v>
          </cell>
          <cell r="BC100">
            <v>41.600999999999999</v>
          </cell>
          <cell r="BK100">
            <v>23</v>
          </cell>
          <cell r="BM100">
            <v>193.83199999999999</v>
          </cell>
          <cell r="BO100">
            <v>20992</v>
          </cell>
          <cell r="BQ100">
            <v>151.13999999999999</v>
          </cell>
          <cell r="CC100">
            <v>170.82300000000001</v>
          </cell>
          <cell r="CE100">
            <v>9830</v>
          </cell>
          <cell r="CG100">
            <v>6523</v>
          </cell>
          <cell r="CI100">
            <v>9473.91</v>
          </cell>
          <cell r="CO100">
            <v>10.338814150473343</v>
          </cell>
          <cell r="CQ100">
            <v>15.337706735655548</v>
          </cell>
          <cell r="CU100">
            <v>150.41260799999998</v>
          </cell>
        </row>
        <row r="101">
          <cell r="U101">
            <v>525.70299999999997</v>
          </cell>
          <cell r="Y101">
            <v>454.98</v>
          </cell>
          <cell r="AG101">
            <v>629.5</v>
          </cell>
          <cell r="AM101">
            <v>87.602999999999994</v>
          </cell>
          <cell r="AO101">
            <v>109.5</v>
          </cell>
          <cell r="AQ101">
            <v>60.781000000000006</v>
          </cell>
          <cell r="AS101">
            <v>142.80000000000001</v>
          </cell>
          <cell r="AU101">
            <v>30.25</v>
          </cell>
          <cell r="AW101">
            <v>147.30000000000001</v>
          </cell>
          <cell r="AY101">
            <v>147.30000000000001</v>
          </cell>
          <cell r="BA101">
            <v>231.8</v>
          </cell>
          <cell r="BC101">
            <v>58.225999999999999</v>
          </cell>
          <cell r="BK101">
            <v>34</v>
          </cell>
          <cell r="BM101">
            <v>270.14300000000003</v>
          </cell>
          <cell r="BO101">
            <v>22865</v>
          </cell>
          <cell r="BQ101">
            <v>150.47999999999999</v>
          </cell>
          <cell r="CC101">
            <v>188.517</v>
          </cell>
          <cell r="CE101">
            <v>10498</v>
          </cell>
          <cell r="CG101">
            <v>7370</v>
          </cell>
          <cell r="CI101">
            <v>10387.399999999998</v>
          </cell>
          <cell r="CO101">
            <v>12.331838565022423</v>
          </cell>
          <cell r="CQ101">
            <v>18.294373094336137</v>
          </cell>
          <cell r="CU101">
            <v>190.30534559999998</v>
          </cell>
        </row>
        <row r="102">
          <cell r="U102">
            <v>583.78</v>
          </cell>
          <cell r="Y102">
            <v>482.67599999999999</v>
          </cell>
          <cell r="AG102">
            <v>675.7</v>
          </cell>
          <cell r="AM102">
            <v>120.392</v>
          </cell>
          <cell r="AO102">
            <v>135</v>
          </cell>
          <cell r="AQ102">
            <v>73.769000000000005</v>
          </cell>
          <cell r="AS102">
            <v>162.69999999999999</v>
          </cell>
          <cell r="AU102">
            <v>37.25</v>
          </cell>
          <cell r="AW102">
            <v>177.9</v>
          </cell>
          <cell r="AY102">
            <v>229.5</v>
          </cell>
          <cell r="BA102">
            <v>262.89999999999998</v>
          </cell>
          <cell r="BC102">
            <v>106.57299999999999</v>
          </cell>
          <cell r="BK102">
            <v>53.578000000000003</v>
          </cell>
          <cell r="BM102">
            <v>357.303</v>
          </cell>
          <cell r="BO102">
            <v>24504</v>
          </cell>
          <cell r="BQ102">
            <v>157.08000000000001</v>
          </cell>
          <cell r="CC102">
            <v>217.96899999999999</v>
          </cell>
          <cell r="CE102">
            <v>11741</v>
          </cell>
          <cell r="CG102">
            <v>8205</v>
          </cell>
          <cell r="CI102">
            <v>11340.97</v>
          </cell>
          <cell r="CO102">
            <v>14.38714499252616</v>
          </cell>
          <cell r="CQ102">
            <v>21.343435276725494</v>
          </cell>
          <cell r="CU102">
            <v>243.18417599999998</v>
          </cell>
        </row>
      </sheetData>
      <sheetData sheetId="1" refreshError="1">
        <row r="39">
          <cell r="U39">
            <v>20</v>
          </cell>
        </row>
        <row r="41">
          <cell r="J41">
            <v>0.05</v>
          </cell>
          <cell r="N41">
            <v>0.1</v>
          </cell>
        </row>
      </sheetData>
      <sheetData sheetId="2" refreshError="1">
        <row r="22">
          <cell r="Q22">
            <v>10.25</v>
          </cell>
        </row>
      </sheetData>
      <sheetData sheetId="3"/>
      <sheetData sheetId="4" refreshError="1"/>
      <sheetData sheetId="5" refreshError="1"/>
      <sheetData sheetId="6"/>
      <sheetData sheetId="7"/>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ImportantDisclosures"/>
      <sheetName val="summary"/>
      <sheetName val="COVER SHEET"/>
      <sheetName val="IS-ANNUAL"/>
      <sheetName val="MW-Cache"/>
      <sheetName val="IS-QTRLY"/>
      <sheetName val="REV-ANNUAL"/>
      <sheetName val="REV-QTRLY"/>
      <sheetName val="M&amp;A"/>
      <sheetName val="CFBS"/>
      <sheetName val="PIPELINE"/>
      <sheetName val="PIPELINE_UNADJ"/>
      <sheetName val="ACT-AGN"/>
      <sheetName val="DEBT"/>
      <sheetName val="Generics Pipeline"/>
      <sheetName val="Namenda"/>
      <sheetName val="AGREEMENTS"/>
      <sheetName val="MGMT PROJECTIONS"/>
      <sheetName val="FOOTNOTES"/>
      <sheetName val="DCF"/>
      <sheetName val="Calendar"/>
      <sheetName val="Var-YOY"/>
      <sheetName val="Var-Seq"/>
      <sheetName val="2015 Guidance"/>
      <sheetName val="FRX_Var-YOY"/>
      <sheetName val="FRX_Var-Seq"/>
      <sheetName val="FRXmerger"/>
      <sheetName val="mwareDates"/>
      <sheetName val="MWA RR"/>
      <sheetName val="mwareSettings"/>
    </sheetNames>
    <sheetDataSet>
      <sheetData sheetId="0"/>
      <sheetData sheetId="1"/>
      <sheetData sheetId="2">
        <row r="7">
          <cell r="J7" t="str">
            <v>Actavis Inc.</v>
          </cell>
        </row>
        <row r="10">
          <cell r="J10">
            <v>42004</v>
          </cell>
        </row>
        <row r="11">
          <cell r="J11">
            <v>42004</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Set>
  </externalBook>
</externalLink>
</file>

<file path=xl/externalLinks/externalLink2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s"/>
    </sheetNames>
    <sheetDataSet>
      <sheetData sheetId="0" refreshError="1">
        <row r="7">
          <cell r="R7">
            <v>1.8821000000000001</v>
          </cell>
        </row>
      </sheetData>
    </sheetDataSet>
  </externalBook>
</externalLink>
</file>

<file path=xl/externalLinks/externalLink2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per P&amp;L "/>
      <sheetName val="Purple P&amp;L"/>
      <sheetName val="ProForma P&amp;L"/>
      <sheetName val="Valuation Matrix"/>
      <sheetName val="DEV"/>
      <sheetName val="DEV (2)"/>
      <sheetName val="Contrib. Analysis"/>
      <sheetName val="PPAIDS Output"/>
      <sheetName val="Average Trading Price"/>
      <sheetName val="Accretion Dilution"/>
      <sheetName val="Summary  Balance Sheet"/>
      <sheetName val="CAGRS"/>
      <sheetName val="Useful Backup --&gt;"/>
      <sheetName val="Comps"/>
      <sheetName val="__FDSCACHE__"/>
      <sheetName val="Ppaids"/>
      <sheetName val="Shareholder Profile"/>
      <sheetName val="Exchange Rates"/>
      <sheetName val="Worldwide in US$"/>
      <sheetName val="expenses ctry by qtr 2003"/>
      <sheetName val="expenses ctry by qtr 2004"/>
      <sheetName val="Consolidated P&amp;L"/>
      <sheetName val="US P&amp;L"/>
      <sheetName val="UK P&amp;L"/>
      <sheetName val="AUS P&amp;L"/>
      <sheetName val="SW P&amp;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row r="10">
          <cell r="AC10">
            <v>38002</v>
          </cell>
        </row>
      </sheetData>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Set>
  </externalBook>
</externalLink>
</file>

<file path=xl/externalLinks/externalLink2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XRAY-SIRO "/>
      <sheetName val="XRAY_Merger_Model_May0516"/>
    </sheetNames>
    <definedNames>
      <definedName name="_xlnm.Database" refersTo="#REF!"/>
    </definedNames>
    <sheetDataSet>
      <sheetData sheetId="0">
        <row r="2">
          <cell r="A2">
            <v>0</v>
          </cell>
          <cell r="B2">
            <v>0</v>
          </cell>
          <cell r="C2">
            <v>0</v>
          </cell>
          <cell r="D2">
            <v>0</v>
          </cell>
          <cell r="E2" t="str">
            <v>2014-Q1</v>
          </cell>
          <cell r="F2" t="str">
            <v>2014-Q2</v>
          </cell>
          <cell r="G2" t="str">
            <v>2014-Q3</v>
          </cell>
          <cell r="H2" t="str">
            <v>2014-Q4</v>
          </cell>
          <cell r="I2" t="str">
            <v>2014-FY</v>
          </cell>
          <cell r="J2" t="str">
            <v>2015-Q1</v>
          </cell>
          <cell r="K2" t="str">
            <v>2015-Q2</v>
          </cell>
          <cell r="L2" t="str">
            <v>2015-Q3</v>
          </cell>
          <cell r="M2" t="str">
            <v>2015-Q4</v>
          </cell>
          <cell r="N2" t="str">
            <v>2015-FY</v>
          </cell>
          <cell r="O2" t="str">
            <v>2016-Q1</v>
          </cell>
          <cell r="P2" t="str">
            <v>2016-Q2</v>
          </cell>
          <cell r="Q2" t="str">
            <v>2016-Q3</v>
          </cell>
          <cell r="R2" t="str">
            <v>2016-Q4</v>
          </cell>
          <cell r="S2" t="str">
            <v>2016-FY</v>
          </cell>
          <cell r="T2" t="str">
            <v>2017-Q1</v>
          </cell>
          <cell r="U2" t="str">
            <v>2017-Q2</v>
          </cell>
          <cell r="V2" t="str">
            <v>2017-Q3</v>
          </cell>
          <cell r="W2" t="str">
            <v>2017-Q4</v>
          </cell>
          <cell r="X2" t="str">
            <v>2017-FY</v>
          </cell>
          <cell r="Y2" t="str">
            <v>2018-Q1</v>
          </cell>
          <cell r="Z2" t="str">
            <v>2018-Q2</v>
          </cell>
          <cell r="AA2" t="str">
            <v>2018-Q3</v>
          </cell>
          <cell r="AB2" t="str">
            <v>2018-Q4</v>
          </cell>
          <cell r="AC2" t="str">
            <v>2018-FY</v>
          </cell>
        </row>
        <row r="3">
          <cell r="A3">
            <v>0</v>
          </cell>
          <cell r="B3">
            <v>0</v>
          </cell>
          <cell r="C3">
            <v>0</v>
          </cell>
          <cell r="D3">
            <v>42495</v>
          </cell>
          <cell r="E3" t="str">
            <v>1FQ2Q:1</v>
          </cell>
          <cell r="F3" t="str">
            <v>2FQ2Q:1</v>
          </cell>
          <cell r="G3" t="str">
            <v>3FQ2Q:1</v>
          </cell>
          <cell r="H3" t="str">
            <v>4FQ2Q:1</v>
          </cell>
          <cell r="I3">
            <v>0</v>
          </cell>
          <cell r="J3">
            <v>0</v>
          </cell>
          <cell r="K3">
            <v>0</v>
          </cell>
          <cell r="L3">
            <v>0</v>
          </cell>
          <cell r="M3">
            <v>0</v>
          </cell>
          <cell r="N3">
            <v>0</v>
          </cell>
          <cell r="O3">
            <v>0</v>
          </cell>
          <cell r="P3">
            <v>0</v>
          </cell>
          <cell r="Q3">
            <v>0</v>
          </cell>
          <cell r="R3">
            <v>0</v>
          </cell>
          <cell r="S3">
            <v>0</v>
          </cell>
          <cell r="T3">
            <v>0</v>
          </cell>
          <cell r="U3">
            <v>0</v>
          </cell>
          <cell r="V3">
            <v>0</v>
          </cell>
          <cell r="W3">
            <v>0</v>
          </cell>
          <cell r="X3">
            <v>0</v>
          </cell>
          <cell r="Y3">
            <v>0</v>
          </cell>
          <cell r="Z3">
            <v>0</v>
          </cell>
          <cell r="AA3">
            <v>0</v>
          </cell>
          <cell r="AB3">
            <v>0</v>
          </cell>
          <cell r="AC3">
            <v>0</v>
          </cell>
        </row>
        <row r="4">
          <cell r="A4">
            <v>0</v>
          </cell>
          <cell r="B4">
            <v>0</v>
          </cell>
          <cell r="C4">
            <v>0</v>
          </cell>
          <cell r="D4">
            <v>0</v>
          </cell>
          <cell r="E4">
            <v>41729</v>
          </cell>
          <cell r="F4">
            <v>41820</v>
          </cell>
          <cell r="G4">
            <v>41912</v>
          </cell>
          <cell r="H4">
            <v>42004</v>
          </cell>
          <cell r="I4">
            <v>42004</v>
          </cell>
          <cell r="J4">
            <v>42094</v>
          </cell>
          <cell r="K4">
            <v>42185</v>
          </cell>
          <cell r="L4">
            <v>42277</v>
          </cell>
          <cell r="M4">
            <v>42369</v>
          </cell>
          <cell r="N4">
            <v>42369</v>
          </cell>
          <cell r="O4">
            <v>42460</v>
          </cell>
          <cell r="P4">
            <v>42551</v>
          </cell>
          <cell r="Q4">
            <v>42643</v>
          </cell>
          <cell r="R4">
            <v>42735</v>
          </cell>
          <cell r="S4">
            <v>42735</v>
          </cell>
          <cell r="T4">
            <v>42825</v>
          </cell>
          <cell r="U4">
            <v>42916</v>
          </cell>
          <cell r="V4">
            <v>43008</v>
          </cell>
          <cell r="W4">
            <v>43100</v>
          </cell>
          <cell r="X4">
            <v>43100</v>
          </cell>
          <cell r="Y4">
            <v>43190</v>
          </cell>
          <cell r="Z4">
            <v>43281</v>
          </cell>
          <cell r="AA4">
            <v>43373</v>
          </cell>
          <cell r="AB4">
            <v>43465</v>
          </cell>
          <cell r="AC4">
            <v>43465</v>
          </cell>
        </row>
        <row r="5">
          <cell r="A5" t="str">
            <v>Dentsply</v>
          </cell>
          <cell r="B5">
            <v>0</v>
          </cell>
          <cell r="C5">
            <v>42004</v>
          </cell>
          <cell r="D5">
            <v>42004</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row>
        <row r="6">
          <cell r="A6" t="str">
            <v xml:space="preserve">SIRO merger model </v>
          </cell>
          <cell r="B6">
            <v>0</v>
          </cell>
          <cell r="C6">
            <v>0</v>
          </cell>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row>
        <row r="7">
          <cell r="A7">
            <v>0</v>
          </cell>
          <cell r="B7">
            <v>0</v>
          </cell>
          <cell r="C7">
            <v>0</v>
          </cell>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row>
        <row r="8">
          <cell r="A8" t="str">
            <v>($M)</v>
          </cell>
          <cell r="B8">
            <v>0</v>
          </cell>
          <cell r="C8">
            <v>0</v>
          </cell>
          <cell r="D8">
            <v>0</v>
          </cell>
          <cell r="E8" t="str">
            <v>1Q:14A</v>
          </cell>
          <cell r="F8" t="str">
            <v>2Q:14A</v>
          </cell>
          <cell r="G8" t="str">
            <v>3Q:14A</v>
          </cell>
          <cell r="H8" t="str">
            <v>4Q:14A</v>
          </cell>
          <cell r="I8" t="str">
            <v>2014A</v>
          </cell>
          <cell r="J8" t="str">
            <v>1Q:15E</v>
          </cell>
          <cell r="K8" t="str">
            <v>2Q:15E</v>
          </cell>
          <cell r="L8" t="str">
            <v>3Q:15E</v>
          </cell>
          <cell r="M8" t="str">
            <v>4Q:15E</v>
          </cell>
          <cell r="N8" t="str">
            <v>2015E</v>
          </cell>
          <cell r="O8" t="str">
            <v>1Q:16E</v>
          </cell>
          <cell r="P8" t="str">
            <v>2Q:16E</v>
          </cell>
          <cell r="Q8" t="str">
            <v>3Q:16E</v>
          </cell>
          <cell r="R8" t="str">
            <v>4Q:16E</v>
          </cell>
          <cell r="S8" t="str">
            <v>2016E</v>
          </cell>
          <cell r="T8" t="str">
            <v>1Q:17E</v>
          </cell>
          <cell r="U8" t="str">
            <v>2Q:17E</v>
          </cell>
          <cell r="V8" t="str">
            <v>3Q:17E</v>
          </cell>
          <cell r="W8" t="str">
            <v>4Q:17E</v>
          </cell>
          <cell r="X8" t="str">
            <v>2017E</v>
          </cell>
          <cell r="Y8" t="str">
            <v>1Q:18E</v>
          </cell>
          <cell r="Z8" t="str">
            <v>2Q:18E</v>
          </cell>
          <cell r="AA8" t="str">
            <v>3Q:18E</v>
          </cell>
          <cell r="AB8" t="str">
            <v>4Q:18E</v>
          </cell>
          <cell r="AC8" t="str">
            <v>2018E</v>
          </cell>
        </row>
        <row r="9">
          <cell r="A9" t="str">
            <v>Net sales combined (proforma)</v>
          </cell>
          <cell r="B9">
            <v>0</v>
          </cell>
          <cell r="I9">
            <v>4093.7460000000001</v>
          </cell>
          <cell r="J9">
            <v>0</v>
          </cell>
          <cell r="K9">
            <v>0</v>
          </cell>
          <cell r="L9">
            <v>0</v>
          </cell>
          <cell r="M9">
            <v>0</v>
          </cell>
          <cell r="N9">
            <v>3835.6260000000002</v>
          </cell>
          <cell r="O9">
            <v>0</v>
          </cell>
          <cell r="P9">
            <v>0</v>
          </cell>
          <cell r="Q9">
            <v>0</v>
          </cell>
          <cell r="R9">
            <v>0</v>
          </cell>
          <cell r="S9">
            <v>3955.513725153698</v>
          </cell>
          <cell r="T9">
            <v>0</v>
          </cell>
          <cell r="U9">
            <v>0</v>
          </cell>
          <cell r="V9">
            <v>0</v>
          </cell>
          <cell r="W9">
            <v>0</v>
          </cell>
          <cell r="X9">
            <v>4185.8527780753802</v>
          </cell>
          <cell r="Y9">
            <v>0</v>
          </cell>
          <cell r="Z9">
            <v>0</v>
          </cell>
          <cell r="AA9">
            <v>0</v>
          </cell>
          <cell r="AB9">
            <v>0</v>
          </cell>
          <cell r="AC9">
            <v>4458.348905786781</v>
          </cell>
        </row>
        <row r="10">
          <cell r="A10" t="str">
            <v>XRAY</v>
          </cell>
          <cell r="B10" t="str">
            <v>standalone</v>
          </cell>
          <cell r="I10">
            <v>2922.62</v>
          </cell>
          <cell r="N10">
            <v>2674.326</v>
          </cell>
          <cell r="S10">
            <v>2690.3577532851164</v>
          </cell>
          <cell r="X10">
            <v>2787.8936111898161</v>
          </cell>
          <cell r="AC10">
            <v>2889.4180751548574</v>
          </cell>
        </row>
        <row r="11">
          <cell r="A11" t="str">
            <v>SIRO</v>
          </cell>
          <cell r="B11" t="str">
            <v>standalone</v>
          </cell>
          <cell r="I11">
            <v>1171.126</v>
          </cell>
          <cell r="N11">
            <v>1161.3</v>
          </cell>
          <cell r="S11">
            <v>1244.1559718685814</v>
          </cell>
          <cell r="X11">
            <v>1355.1020240284208</v>
          </cell>
          <cell r="AC11">
            <v>1493.9308306319235</v>
          </cell>
        </row>
        <row r="12">
          <cell r="A12" t="str">
            <v>Revenue synergies</v>
          </cell>
          <cell r="B12">
            <v>0</v>
          </cell>
          <cell r="I12">
            <v>0</v>
          </cell>
          <cell r="N12">
            <v>0</v>
          </cell>
          <cell r="S12">
            <v>21</v>
          </cell>
          <cell r="X12">
            <v>42.857142857142854</v>
          </cell>
          <cell r="AC12">
            <v>75</v>
          </cell>
        </row>
        <row r="13">
          <cell r="A13" t="e">
            <v>#REF!</v>
          </cell>
          <cell r="B13">
            <v>0</v>
          </cell>
          <cell r="I13">
            <v>0</v>
          </cell>
          <cell r="J13">
            <v>0</v>
          </cell>
          <cell r="K13">
            <v>0</v>
          </cell>
          <cell r="L13">
            <v>0</v>
          </cell>
          <cell r="M13">
            <v>0</v>
          </cell>
          <cell r="N13">
            <v>0</v>
          </cell>
          <cell r="O13">
            <v>0</v>
          </cell>
          <cell r="P13">
            <v>0</v>
          </cell>
          <cell r="Q13">
            <v>0</v>
          </cell>
          <cell r="R13">
            <v>0</v>
          </cell>
          <cell r="S13">
            <v>7.8056533464211297E-3</v>
          </cell>
          <cell r="T13">
            <v>0</v>
          </cell>
          <cell r="U13">
            <v>0</v>
          </cell>
          <cell r="V13">
            <v>0</v>
          </cell>
          <cell r="W13">
            <v>0</v>
          </cell>
          <cell r="X13">
            <v>1.5372589070517759E-2</v>
          </cell>
          <cell r="Y13">
            <v>0</v>
          </cell>
          <cell r="Z13">
            <v>0</v>
          </cell>
          <cell r="AA13">
            <v>0</v>
          </cell>
          <cell r="AB13">
            <v>0</v>
          </cell>
          <cell r="AC13">
            <v>2.595678370150031E-2</v>
          </cell>
        </row>
        <row r="14">
          <cell r="A14">
            <v>0</v>
          </cell>
          <cell r="B14">
            <v>0</v>
          </cell>
          <cell r="I14">
            <v>0</v>
          </cell>
          <cell r="N14">
            <v>0</v>
          </cell>
        </row>
        <row r="15">
          <cell r="A15" t="str">
            <v>Total expenses combined (COGS + SG&amp;A + R&amp;D) (proforma)</v>
          </cell>
          <cell r="B15">
            <v>0</v>
          </cell>
          <cell r="I15">
            <v>3306.268</v>
          </cell>
          <cell r="N15">
            <v>3023.2370000000001</v>
          </cell>
          <cell r="S15">
            <v>3055.9829156903766</v>
          </cell>
          <cell r="X15">
            <v>3169.3368698962695</v>
          </cell>
          <cell r="AC15">
            <v>3288.4937143690104</v>
          </cell>
        </row>
        <row r="16">
          <cell r="A16" t="str">
            <v>XRAY</v>
          </cell>
          <cell r="B16" t="str">
            <v>standalone</v>
          </cell>
          <cell r="I16">
            <v>2409.8150000000001</v>
          </cell>
          <cell r="J16">
            <v>0</v>
          </cell>
          <cell r="K16">
            <v>0</v>
          </cell>
          <cell r="L16">
            <v>0</v>
          </cell>
          <cell r="M16">
            <v>0</v>
          </cell>
          <cell r="N16">
            <v>2153.2370000000001</v>
          </cell>
          <cell r="S16">
            <v>2155.3385952564417</v>
          </cell>
          <cell r="X16">
            <v>2216.7514786539732</v>
          </cell>
          <cell r="AC16">
            <v>2280.1415043867382</v>
          </cell>
        </row>
        <row r="17">
          <cell r="A17" t="str">
            <v>SIRO</v>
          </cell>
          <cell r="B17" t="str">
            <v>standalone</v>
          </cell>
          <cell r="I17">
            <v>896.45299999999997</v>
          </cell>
          <cell r="N17">
            <v>870</v>
          </cell>
          <cell r="O17">
            <v>870</v>
          </cell>
          <cell r="S17">
            <v>923.99432043393449</v>
          </cell>
          <cell r="X17">
            <v>999.01396267086784</v>
          </cell>
          <cell r="AC17">
            <v>1089.6022099822719</v>
          </cell>
        </row>
        <row r="18">
          <cell r="A18" t="str">
            <v>Expense related to revenue synergies (@35% incr)</v>
          </cell>
          <cell r="B18">
            <v>0</v>
          </cell>
          <cell r="I18">
            <v>0</v>
          </cell>
          <cell r="N18">
            <v>0</v>
          </cell>
          <cell r="O18">
            <v>0</v>
          </cell>
          <cell r="S18">
            <v>13.65</v>
          </cell>
          <cell r="X18">
            <v>27.857142857142858</v>
          </cell>
          <cell r="AC18">
            <v>48.75</v>
          </cell>
        </row>
        <row r="19">
          <cell r="A19" t="str">
            <v>Pre-tax operating synergies</v>
          </cell>
          <cell r="B19">
            <v>0</v>
          </cell>
          <cell r="I19">
            <v>0</v>
          </cell>
          <cell r="N19">
            <v>0</v>
          </cell>
          <cell r="S19">
            <v>37</v>
          </cell>
          <cell r="T19">
            <v>0</v>
          </cell>
          <cell r="U19">
            <v>0</v>
          </cell>
          <cell r="V19">
            <v>0</v>
          </cell>
          <cell r="W19">
            <v>0</v>
          </cell>
          <cell r="X19">
            <v>74.285714285714292</v>
          </cell>
          <cell r="AC19">
            <v>130</v>
          </cell>
        </row>
        <row r="20">
          <cell r="A20" t="str">
            <v>Cost synergies as a percent of stand-alone SIRO</v>
          </cell>
          <cell r="B20">
            <v>0</v>
          </cell>
          <cell r="I20">
            <v>0</v>
          </cell>
          <cell r="J20">
            <v>0</v>
          </cell>
          <cell r="K20">
            <v>0</v>
          </cell>
          <cell r="L20">
            <v>0</v>
          </cell>
          <cell r="M20">
            <v>0</v>
          </cell>
          <cell r="N20">
            <v>0</v>
          </cell>
          <cell r="O20">
            <v>0</v>
          </cell>
          <cell r="P20">
            <v>0</v>
          </cell>
          <cell r="Q20">
            <v>0</v>
          </cell>
          <cell r="R20">
            <v>0</v>
          </cell>
          <cell r="S20">
            <v>4.0043536179555445E-2</v>
          </cell>
          <cell r="T20">
            <v>0</v>
          </cell>
          <cell r="U20">
            <v>0</v>
          </cell>
          <cell r="V20">
            <v>0</v>
          </cell>
          <cell r="W20">
            <v>0</v>
          </cell>
          <cell r="X20">
            <v>7.4359035070051607E-2</v>
          </cell>
          <cell r="Y20">
            <v>0</v>
          </cell>
          <cell r="Z20">
            <v>0</v>
          </cell>
          <cell r="AA20">
            <v>0</v>
          </cell>
          <cell r="AB20">
            <v>0</v>
          </cell>
          <cell r="AC20">
            <v>0.11930959648302762</v>
          </cell>
        </row>
        <row r="21">
          <cell r="A21">
            <v>0</v>
          </cell>
          <cell r="B21">
            <v>0</v>
          </cell>
          <cell r="I21">
            <v>0</v>
          </cell>
          <cell r="N21">
            <v>0</v>
          </cell>
        </row>
        <row r="22">
          <cell r="A22" t="str">
            <v>Operating income combined (proforma)</v>
          </cell>
          <cell r="B22">
            <v>0</v>
          </cell>
          <cell r="I22">
            <v>787.47800000000007</v>
          </cell>
          <cell r="N22">
            <v>812.38900000000012</v>
          </cell>
          <cell r="S22">
            <v>899.53080946332148</v>
          </cell>
          <cell r="X22">
            <v>1016.5159081791107</v>
          </cell>
          <cell r="AC22">
            <v>1169.8551914177706</v>
          </cell>
        </row>
        <row r="23">
          <cell r="A23" t="str">
            <v>XRAY</v>
          </cell>
          <cell r="B23" t="str">
            <v>standalone</v>
          </cell>
          <cell r="I23">
            <v>512.80499999999984</v>
          </cell>
          <cell r="N23">
            <v>521.08899999999994</v>
          </cell>
          <cell r="S23">
            <v>535.01915802867461</v>
          </cell>
          <cell r="X23">
            <v>571.14213253584285</v>
          </cell>
          <cell r="AC23">
            <v>609.2765707681192</v>
          </cell>
        </row>
        <row r="24">
          <cell r="A24" t="str">
            <v>SIRO</v>
          </cell>
          <cell r="B24" t="str">
            <v>including synergies</v>
          </cell>
          <cell r="I24">
            <v>274.673</v>
          </cell>
          <cell r="N24">
            <v>291.29999999999995</v>
          </cell>
          <cell r="S24">
            <v>364.51165143464698</v>
          </cell>
          <cell r="X24">
            <v>445.37377564326727</v>
          </cell>
          <cell r="AC24">
            <v>560.57862064965161</v>
          </cell>
        </row>
        <row r="25">
          <cell r="A25">
            <v>0</v>
          </cell>
          <cell r="B25">
            <v>0</v>
          </cell>
          <cell r="I25">
            <v>0</v>
          </cell>
          <cell r="N25">
            <v>0</v>
          </cell>
        </row>
        <row r="26">
          <cell r="A26" t="str">
            <v>Depreciation and other add-back (primarily stock comp)</v>
          </cell>
          <cell r="B26">
            <v>0</v>
          </cell>
          <cell r="I26">
            <v>117.0150000000001</v>
          </cell>
          <cell r="N26">
            <v>112.33637979491624</v>
          </cell>
          <cell r="S26">
            <v>202.94395825097831</v>
          </cell>
          <cell r="X26">
            <v>214.52731531979316</v>
          </cell>
          <cell r="AC26">
            <v>230.88391841823125</v>
          </cell>
        </row>
        <row r="27">
          <cell r="A27" t="str">
            <v>XRAY</v>
          </cell>
          <cell r="B27" t="str">
            <v>standalone</v>
          </cell>
          <cell r="I27">
            <v>81.163000000000125</v>
          </cell>
          <cell r="N27">
            <v>80.536379794916229</v>
          </cell>
          <cell r="S27">
            <v>84.840256465017774</v>
          </cell>
          <cell r="X27">
            <v>89.311007991692122</v>
          </cell>
          <cell r="AC27">
            <v>93.983484560949023</v>
          </cell>
        </row>
        <row r="28">
          <cell r="A28" t="str">
            <v>SIRO</v>
          </cell>
          <cell r="B28" t="str">
            <v>including step-up</v>
          </cell>
          <cell r="I28">
            <v>35.851999999999975</v>
          </cell>
          <cell r="N28">
            <v>31.800000000000011</v>
          </cell>
          <cell r="S28">
            <v>118.10370178596052</v>
          </cell>
          <cell r="X28">
            <v>125.21630732810104</v>
          </cell>
          <cell r="AC28">
            <v>136.90043385728222</v>
          </cell>
        </row>
        <row r="29">
          <cell r="A29" t="str">
            <v>Step-up depreciation of SIRO</v>
          </cell>
          <cell r="B29">
            <v>0</v>
          </cell>
          <cell r="I29">
            <v>0</v>
          </cell>
          <cell r="N29">
            <v>0</v>
          </cell>
          <cell r="O29">
            <v>0</v>
          </cell>
          <cell r="P29">
            <v>0</v>
          </cell>
          <cell r="Q29">
            <v>0</v>
          </cell>
          <cell r="R29">
            <v>0</v>
          </cell>
          <cell r="S29">
            <v>79.110274503073967</v>
          </cell>
          <cell r="T29">
            <v>0</v>
          </cell>
          <cell r="U29">
            <v>0</v>
          </cell>
          <cell r="V29">
            <v>0</v>
          </cell>
          <cell r="W29">
            <v>0</v>
          </cell>
          <cell r="X29">
            <v>83.717055561507607</v>
          </cell>
          <cell r="Y29">
            <v>0</v>
          </cell>
          <cell r="Z29">
            <v>0</v>
          </cell>
          <cell r="AA29">
            <v>0</v>
          </cell>
          <cell r="AB29">
            <v>0</v>
          </cell>
          <cell r="AC29">
            <v>89.166978115735617</v>
          </cell>
        </row>
        <row r="30">
          <cell r="A30" t="str">
            <v>Step-up depreciation of SIRO (% of sales)</v>
          </cell>
          <cell r="B30">
            <v>0</v>
          </cell>
          <cell r="I30">
            <v>0</v>
          </cell>
          <cell r="N30">
            <v>0</v>
          </cell>
          <cell r="S30">
            <v>0.02</v>
          </cell>
          <cell r="X30">
            <v>0.02</v>
          </cell>
          <cell r="AC30">
            <v>0.02</v>
          </cell>
        </row>
        <row r="31">
          <cell r="A31">
            <v>0</v>
          </cell>
          <cell r="B31">
            <v>0</v>
          </cell>
          <cell r="I31">
            <v>0</v>
          </cell>
          <cell r="N31">
            <v>0</v>
          </cell>
        </row>
        <row r="32">
          <cell r="A32" t="str">
            <v>EBITDA</v>
          </cell>
          <cell r="B32">
            <v>0</v>
          </cell>
          <cell r="I32">
            <v>904.49300000000017</v>
          </cell>
          <cell r="J32">
            <v>0</v>
          </cell>
          <cell r="K32">
            <v>0</v>
          </cell>
          <cell r="L32">
            <v>0</v>
          </cell>
          <cell r="M32">
            <v>0</v>
          </cell>
          <cell r="N32">
            <v>924.72537979491631</v>
          </cell>
          <cell r="O32">
            <v>0</v>
          </cell>
          <cell r="P32">
            <v>0</v>
          </cell>
          <cell r="Q32">
            <v>0</v>
          </cell>
          <cell r="R32">
            <v>0</v>
          </cell>
          <cell r="S32">
            <v>1102.4747677142998</v>
          </cell>
          <cell r="T32">
            <v>0</v>
          </cell>
          <cell r="U32">
            <v>0</v>
          </cell>
          <cell r="V32">
            <v>0</v>
          </cell>
          <cell r="W32">
            <v>0</v>
          </cell>
          <cell r="X32">
            <v>1231.0432234989039</v>
          </cell>
          <cell r="Y32">
            <v>0</v>
          </cell>
          <cell r="Z32">
            <v>0</v>
          </cell>
          <cell r="AA32">
            <v>0</v>
          </cell>
          <cell r="AB32">
            <v>0</v>
          </cell>
          <cell r="AC32">
            <v>1400.7391098360017</v>
          </cell>
        </row>
        <row r="33">
          <cell r="A33" t="str">
            <v>XRAY</v>
          </cell>
          <cell r="B33" t="str">
            <v>standalone</v>
          </cell>
          <cell r="I33">
            <v>593.96799999999996</v>
          </cell>
          <cell r="N33">
            <v>601.62537979491617</v>
          </cell>
          <cell r="S33">
            <v>619.85941449369238</v>
          </cell>
          <cell r="X33">
            <v>660.45314052753497</v>
          </cell>
          <cell r="AC33">
            <v>703.26005532906822</v>
          </cell>
        </row>
        <row r="34">
          <cell r="A34" t="str">
            <v>SIRO</v>
          </cell>
          <cell r="B34" t="str">
            <v>including synergies</v>
          </cell>
          <cell r="I34">
            <v>310.52499999999998</v>
          </cell>
          <cell r="N34">
            <v>323.09999999999997</v>
          </cell>
          <cell r="S34">
            <v>482.61535322060752</v>
          </cell>
          <cell r="X34">
            <v>570.59008297136825</v>
          </cell>
          <cell r="AC34">
            <v>697.47905450693384</v>
          </cell>
        </row>
        <row r="35">
          <cell r="A35">
            <v>0</v>
          </cell>
          <cell r="B35">
            <v>0</v>
          </cell>
          <cell r="I35">
            <v>0</v>
          </cell>
          <cell r="N35">
            <v>0</v>
          </cell>
        </row>
        <row r="36">
          <cell r="A36" t="str">
            <v>Net interest income/(expense) &amp; other combined (proforma)</v>
          </cell>
          <cell r="B36">
            <v>0</v>
          </cell>
          <cell r="I36">
            <v>-52.524000000000001</v>
          </cell>
          <cell r="N36">
            <v>-53.848999999999997</v>
          </cell>
          <cell r="S36">
            <v>-38.884030695329855</v>
          </cell>
          <cell r="X36">
            <v>-35.231563405822449</v>
          </cell>
          <cell r="AC36">
            <v>-34.322204314777458</v>
          </cell>
        </row>
        <row r="37">
          <cell r="A37" t="str">
            <v>XRAY</v>
          </cell>
          <cell r="B37" t="str">
            <v>standalone interest expense</v>
          </cell>
          <cell r="I37">
            <v>-45.241</v>
          </cell>
          <cell r="N37">
            <v>-38.448999999999998</v>
          </cell>
          <cell r="S37">
            <v>-36.202502858788058</v>
          </cell>
          <cell r="X37">
            <v>-32.404716827250823</v>
          </cell>
          <cell r="AC37">
            <v>-33.504768749692303</v>
          </cell>
        </row>
        <row r="38">
          <cell r="A38" t="str">
            <v>SIRO</v>
          </cell>
          <cell r="B38" t="str">
            <v>standalone interest expense</v>
          </cell>
          <cell r="I38">
            <v>-7.2829999999999995</v>
          </cell>
          <cell r="N38">
            <v>-15.399999999999999</v>
          </cell>
          <cell r="S38">
            <v>-2.6815278365417932</v>
          </cell>
          <cell r="X38">
            <v>-2.8268465785716259</v>
          </cell>
          <cell r="AC38">
            <v>-0.81743556508515747</v>
          </cell>
        </row>
        <row r="39">
          <cell r="A39">
            <v>0</v>
          </cell>
          <cell r="B39">
            <v>0</v>
          </cell>
          <cell r="I39">
            <v>0</v>
          </cell>
          <cell r="N39">
            <v>0</v>
          </cell>
        </row>
        <row r="40">
          <cell r="A40" t="str">
            <v>Pretax income combined (proforma)</v>
          </cell>
          <cell r="B40">
            <v>0</v>
          </cell>
          <cell r="I40">
            <v>734.95400000000006</v>
          </cell>
          <cell r="N40">
            <v>758.54000000000008</v>
          </cell>
          <cell r="S40">
            <v>860.64677876799158</v>
          </cell>
          <cell r="X40">
            <v>981.28434477328824</v>
          </cell>
          <cell r="AC40">
            <v>1135.532987102993</v>
          </cell>
        </row>
        <row r="41">
          <cell r="A41" t="str">
            <v>XRAY</v>
          </cell>
          <cell r="B41" t="str">
            <v>standalone pretax income</v>
          </cell>
          <cell r="I41">
            <v>467.56399999999985</v>
          </cell>
          <cell r="N41">
            <v>482.63999999999993</v>
          </cell>
          <cell r="S41">
            <v>498.81665516988653</v>
          </cell>
          <cell r="X41">
            <v>538.73741570859204</v>
          </cell>
          <cell r="AC41">
            <v>575.77180201842691</v>
          </cell>
        </row>
        <row r="42">
          <cell r="A42" t="str">
            <v>SIRO</v>
          </cell>
          <cell r="B42" t="str">
            <v>standalone pretax income (inc. synergies)</v>
          </cell>
          <cell r="I42">
            <v>267.39</v>
          </cell>
          <cell r="N42">
            <v>275.89999999999998</v>
          </cell>
          <cell r="S42">
            <v>361.83012359810516</v>
          </cell>
          <cell r="X42">
            <v>442.54692906469563</v>
          </cell>
          <cell r="AC42">
            <v>559.76118508456648</v>
          </cell>
        </row>
        <row r="43">
          <cell r="A43">
            <v>0</v>
          </cell>
          <cell r="B43">
            <v>0</v>
          </cell>
          <cell r="I43">
            <v>0</v>
          </cell>
          <cell r="N43">
            <v>0</v>
          </cell>
        </row>
        <row r="44">
          <cell r="A44" t="str">
            <v>Income Taxes combined (proforma)</v>
          </cell>
          <cell r="B44">
            <v>0</v>
          </cell>
          <cell r="I44">
            <v>167.18200000000002</v>
          </cell>
          <cell r="N44">
            <v>176.04000000000002</v>
          </cell>
          <cell r="S44">
            <v>196.89226297831596</v>
          </cell>
          <cell r="X44">
            <v>224.34855575858481</v>
          </cell>
          <cell r="AC44">
            <v>259.73315752864232</v>
          </cell>
        </row>
        <row r="45">
          <cell r="A45">
            <v>0</v>
          </cell>
          <cell r="B45" t="str">
            <v>Pro Forma Tax Rate</v>
          </cell>
          <cell r="I45">
            <v>0.22747273979051749</v>
          </cell>
          <cell r="N45">
            <v>0.23207741187017164</v>
          </cell>
          <cell r="S45">
            <v>0.22877243932774086</v>
          </cell>
          <cell r="X45">
            <v>0.22862746863694983</v>
          </cell>
          <cell r="AC45">
            <v>0.22873237543832312</v>
          </cell>
        </row>
        <row r="46">
          <cell r="A46">
            <v>0</v>
          </cell>
          <cell r="B46">
            <v>0</v>
          </cell>
          <cell r="I46">
            <v>0</v>
          </cell>
          <cell r="N46">
            <v>0</v>
          </cell>
          <cell r="S46">
            <v>0</v>
          </cell>
          <cell r="X46">
            <v>0</v>
          </cell>
          <cell r="AC46">
            <v>0</v>
          </cell>
        </row>
        <row r="47">
          <cell r="A47" t="str">
            <v>XRAY</v>
          </cell>
          <cell r="B47" t="str">
            <v>Stand-alone taxes</v>
          </cell>
          <cell r="I47">
            <v>105.02300000000001</v>
          </cell>
          <cell r="N47">
            <v>110.44</v>
          </cell>
          <cell r="S47">
            <v>114.7278306890739</v>
          </cell>
          <cell r="X47">
            <v>122.56276207370483</v>
          </cell>
          <cell r="AC47">
            <v>130.98808495919204</v>
          </cell>
        </row>
        <row r="48">
          <cell r="A48">
            <v>0</v>
          </cell>
          <cell r="B48" t="str">
            <v>XRAY tax rate</v>
          </cell>
          <cell r="I48">
            <v>0.22461737858346675</v>
          </cell>
          <cell r="N48">
            <v>0.22882479695010777</v>
          </cell>
          <cell r="S48">
            <v>0.22999999999999998</v>
          </cell>
          <cell r="X48">
            <v>0.22750000000000026</v>
          </cell>
          <cell r="AC48">
            <v>0.22749999999999984</v>
          </cell>
        </row>
        <row r="49">
          <cell r="A49" t="str">
            <v>SIRO</v>
          </cell>
          <cell r="B49" t="str">
            <v>Taxes on operating profit (inc. synergies)</v>
          </cell>
          <cell r="I49">
            <v>62.158999999999999</v>
          </cell>
          <cell r="N49">
            <v>65.600000000000009</v>
          </cell>
          <cell r="S49">
            <v>82.164432289242072</v>
          </cell>
          <cell r="X49">
            <v>101.78579368487998</v>
          </cell>
          <cell r="AC49">
            <v>128.74507256945031</v>
          </cell>
        </row>
        <row r="50">
          <cell r="A50">
            <v>0</v>
          </cell>
          <cell r="B50" t="str">
            <v>Tax Rate</v>
          </cell>
          <cell r="I50">
            <v>0.23246568682448859</v>
          </cell>
          <cell r="N50">
            <v>0.2377673069952882</v>
          </cell>
          <cell r="S50">
            <v>0.22708013216860962</v>
          </cell>
          <cell r="X50">
            <v>0.22999999999999995</v>
          </cell>
          <cell r="AC50">
            <v>0.23000000000000004</v>
          </cell>
        </row>
        <row r="51">
          <cell r="A51">
            <v>0</v>
          </cell>
          <cell r="B51">
            <v>0</v>
          </cell>
          <cell r="I51">
            <v>0</v>
          </cell>
          <cell r="N51">
            <v>0</v>
          </cell>
        </row>
        <row r="52">
          <cell r="A52" t="str">
            <v>Net income combined (proforma)</v>
          </cell>
          <cell r="B52">
            <v>0</v>
          </cell>
          <cell r="I52">
            <v>567.77200000000005</v>
          </cell>
          <cell r="N52">
            <v>582.5</v>
          </cell>
          <cell r="S52">
            <v>663.75451578967568</v>
          </cell>
          <cell r="X52">
            <v>756.93578901470346</v>
          </cell>
          <cell r="AC52">
            <v>875.79982957435072</v>
          </cell>
        </row>
        <row r="53">
          <cell r="A53" t="str">
            <v>DILUTED EPS combined (proforma)</v>
          </cell>
          <cell r="B53">
            <v>0</v>
          </cell>
          <cell r="C53">
            <v>0</v>
          </cell>
          <cell r="D53">
            <v>0</v>
          </cell>
          <cell r="E53">
            <v>0</v>
          </cell>
          <cell r="F53">
            <v>0</v>
          </cell>
          <cell r="G53">
            <v>0</v>
          </cell>
          <cell r="H53">
            <v>0</v>
          </cell>
          <cell r="I53">
            <v>2.3032835830276883</v>
          </cell>
          <cell r="J53">
            <v>0</v>
          </cell>
          <cell r="K53">
            <v>0</v>
          </cell>
          <cell r="L53">
            <v>0</v>
          </cell>
          <cell r="M53">
            <v>0</v>
          </cell>
          <cell r="N53">
            <v>2.3787916908210724</v>
          </cell>
          <cell r="O53">
            <v>0</v>
          </cell>
          <cell r="P53">
            <v>0</v>
          </cell>
          <cell r="Q53">
            <v>0</v>
          </cell>
          <cell r="R53">
            <v>0</v>
          </cell>
          <cell r="S53">
            <v>2.8317131274959744</v>
          </cell>
          <cell r="T53">
            <v>0</v>
          </cell>
          <cell r="U53">
            <v>0</v>
          </cell>
          <cell r="V53">
            <v>0</v>
          </cell>
          <cell r="W53">
            <v>0</v>
          </cell>
          <cell r="X53">
            <v>3.3841834561497373</v>
          </cell>
          <cell r="Y53">
            <v>0</v>
          </cell>
          <cell r="Z53">
            <v>0</v>
          </cell>
          <cell r="AA53">
            <v>0</v>
          </cell>
          <cell r="AB53">
            <v>0</v>
          </cell>
          <cell r="AC53">
            <v>4.090406756716698</v>
          </cell>
        </row>
        <row r="54">
          <cell r="A54" t="str">
            <v>Diluted shares outstanding combined (proforma)</v>
          </cell>
          <cell r="B54">
            <v>0</v>
          </cell>
          <cell r="I54">
            <v>246.50546905459998</v>
          </cell>
          <cell r="N54">
            <v>244.87221905460001</v>
          </cell>
          <cell r="S54">
            <v>234.40033855993744</v>
          </cell>
          <cell r="X54">
            <v>223.66866300915217</v>
          </cell>
          <cell r="AC54">
            <v>214.11069403702552</v>
          </cell>
        </row>
        <row r="55">
          <cell r="A55">
            <v>0</v>
          </cell>
          <cell r="B55">
            <v>0</v>
          </cell>
          <cell r="C55">
            <v>0</v>
          </cell>
          <cell r="D55">
            <v>0</v>
          </cell>
          <cell r="I55">
            <v>0</v>
          </cell>
          <cell r="N55">
            <v>0</v>
          </cell>
        </row>
        <row r="56">
          <cell r="A56" t="str">
            <v>XRAY standalone EPS</v>
          </cell>
          <cell r="B56">
            <v>0</v>
          </cell>
          <cell r="I56">
            <v>2.5027604485360508</v>
          </cell>
          <cell r="N56">
            <v>2.616186799353398</v>
          </cell>
          <cell r="S56">
            <v>2.7754422343031635</v>
          </cell>
          <cell r="X56">
            <v>3.1775785403723127</v>
          </cell>
          <cell r="AC56">
            <v>3.570180433038848</v>
          </cell>
        </row>
        <row r="57">
          <cell r="A57" t="str">
            <v>Accretion/(dilution)</v>
          </cell>
          <cell r="B57">
            <v>0</v>
          </cell>
          <cell r="I57">
            <v>0</v>
          </cell>
          <cell r="N57">
            <v>0</v>
          </cell>
          <cell r="S57">
            <v>5.6270893192810867E-2</v>
          </cell>
          <cell r="X57">
            <v>0.20660491577742457</v>
          </cell>
          <cell r="AC57">
            <v>0.52022632367784993</v>
          </cell>
        </row>
        <row r="58">
          <cell r="A58" t="str">
            <v>XRAY proforma EPS</v>
          </cell>
          <cell r="B58">
            <v>0</v>
          </cell>
          <cell r="I58">
            <v>0</v>
          </cell>
          <cell r="N58">
            <v>0</v>
          </cell>
          <cell r="S58">
            <v>2.8317131274959744</v>
          </cell>
          <cell r="X58">
            <v>3.3841834561497373</v>
          </cell>
          <cell r="AC58">
            <v>4.090406756716698</v>
          </cell>
        </row>
        <row r="59">
          <cell r="A59" t="str">
            <v>% accretion/(dilution)</v>
          </cell>
          <cell r="B59">
            <v>0</v>
          </cell>
          <cell r="C59">
            <v>0</v>
          </cell>
          <cell r="D59">
            <v>0</v>
          </cell>
          <cell r="I59">
            <v>0</v>
          </cell>
          <cell r="J59">
            <v>0</v>
          </cell>
          <cell r="K59">
            <v>0</v>
          </cell>
          <cell r="L59">
            <v>0</v>
          </cell>
          <cell r="M59">
            <v>0</v>
          </cell>
          <cell r="N59">
            <v>0</v>
          </cell>
          <cell r="O59">
            <v>0</v>
          </cell>
          <cell r="P59">
            <v>0</v>
          </cell>
          <cell r="Q59">
            <v>0</v>
          </cell>
          <cell r="R59">
            <v>0</v>
          </cell>
          <cell r="S59">
            <v>2.0274568318277005E-2</v>
          </cell>
          <cell r="T59">
            <v>0</v>
          </cell>
          <cell r="U59">
            <v>0</v>
          </cell>
          <cell r="V59">
            <v>0</v>
          </cell>
          <cell r="W59">
            <v>0</v>
          </cell>
          <cell r="X59">
            <v>6.5019609476975174E-2</v>
          </cell>
          <cell r="Y59">
            <v>0</v>
          </cell>
          <cell r="Z59">
            <v>0</v>
          </cell>
          <cell r="AA59">
            <v>0</v>
          </cell>
          <cell r="AB59">
            <v>0</v>
          </cell>
          <cell r="AC59">
            <v>0.14571429467923175</v>
          </cell>
        </row>
        <row r="60">
          <cell r="A60">
            <v>0</v>
          </cell>
          <cell r="B60">
            <v>0</v>
          </cell>
          <cell r="C60">
            <v>0</v>
          </cell>
          <cell r="D60">
            <v>0</v>
          </cell>
          <cell r="I60">
            <v>0</v>
          </cell>
          <cell r="N60">
            <v>0</v>
          </cell>
          <cell r="S60">
            <v>0</v>
          </cell>
          <cell r="X60">
            <v>0</v>
          </cell>
          <cell r="AC60">
            <v>0</v>
          </cell>
        </row>
        <row r="61">
          <cell r="A61" t="str">
            <v>After tax EBITDA accretion</v>
          </cell>
          <cell r="B61">
            <v>0</v>
          </cell>
          <cell r="C61">
            <v>0</v>
          </cell>
          <cell r="D61">
            <v>0</v>
          </cell>
          <cell r="E61">
            <v>0</v>
          </cell>
          <cell r="F61">
            <v>0</v>
          </cell>
          <cell r="G61">
            <v>0</v>
          </cell>
          <cell r="H61">
            <v>0</v>
          </cell>
          <cell r="I61">
            <v>545.70384858446471</v>
          </cell>
          <cell r="J61">
            <v>0</v>
          </cell>
          <cell r="K61">
            <v>0</v>
          </cell>
          <cell r="L61">
            <v>0</v>
          </cell>
          <cell r="M61">
            <v>0</v>
          </cell>
          <cell r="N61">
            <v>222.03838347227253</v>
          </cell>
          <cell r="O61">
            <v>0</v>
          </cell>
          <cell r="P61">
            <v>0</v>
          </cell>
          <cell r="Q61">
            <v>0</v>
          </cell>
          <cell r="R61">
            <v>0</v>
          </cell>
          <cell r="S61">
            <v>281.73829744986921</v>
          </cell>
          <cell r="T61">
            <v>0</v>
          </cell>
          <cell r="U61">
            <v>0</v>
          </cell>
          <cell r="V61">
            <v>0</v>
          </cell>
          <cell r="W61">
            <v>0</v>
          </cell>
          <cell r="X61">
            <v>342.93780724531575</v>
          </cell>
          <cell r="Y61">
            <v>0</v>
          </cell>
          <cell r="Z61">
            <v>0</v>
          </cell>
          <cell r="AA61">
            <v>0</v>
          </cell>
          <cell r="AB61">
            <v>0</v>
          </cell>
          <cell r="AC61">
            <v>431.64553790023177</v>
          </cell>
        </row>
        <row r="62">
          <cell r="A62" t="str">
            <v>Cash on Cash Return</v>
          </cell>
          <cell r="B62">
            <v>0</v>
          </cell>
          <cell r="C62">
            <v>0</v>
          </cell>
          <cell r="D62">
            <v>0</v>
          </cell>
          <cell r="E62">
            <v>0</v>
          </cell>
          <cell r="F62">
            <v>0</v>
          </cell>
          <cell r="G62">
            <v>0</v>
          </cell>
          <cell r="H62">
            <v>0</v>
          </cell>
          <cell r="I62">
            <v>0</v>
          </cell>
          <cell r="J62">
            <v>0</v>
          </cell>
          <cell r="K62">
            <v>0</v>
          </cell>
          <cell r="L62">
            <v>0</v>
          </cell>
          <cell r="M62">
            <v>0</v>
          </cell>
          <cell r="N62">
            <v>3.6132078820615754E-2</v>
          </cell>
          <cell r="O62">
            <v>0</v>
          </cell>
          <cell r="P62">
            <v>0</v>
          </cell>
          <cell r="Q62">
            <v>0</v>
          </cell>
          <cell r="R62">
            <v>0</v>
          </cell>
          <cell r="S62">
            <v>4.5846984701705777E-2</v>
          </cell>
          <cell r="T62">
            <v>0</v>
          </cell>
          <cell r="U62">
            <v>0</v>
          </cell>
          <cell r="V62">
            <v>0</v>
          </cell>
          <cell r="W62">
            <v>0</v>
          </cell>
          <cell r="X62">
            <v>5.5805918274955547E-2</v>
          </cell>
          <cell r="Y62">
            <v>0</v>
          </cell>
          <cell r="Z62">
            <v>0</v>
          </cell>
          <cell r="AA62">
            <v>0</v>
          </cell>
          <cell r="AB62">
            <v>0</v>
          </cell>
          <cell r="AC62">
            <v>7.0241236465882803E-2</v>
          </cell>
        </row>
        <row r="63">
          <cell r="A63">
            <v>0</v>
          </cell>
          <cell r="B63">
            <v>0</v>
          </cell>
          <cell r="C63">
            <v>0</v>
          </cell>
          <cell r="D63">
            <v>0</v>
          </cell>
          <cell r="E63">
            <v>0</v>
          </cell>
          <cell r="F63">
            <v>0</v>
          </cell>
          <cell r="G63">
            <v>0</v>
          </cell>
          <cell r="H63">
            <v>0</v>
          </cell>
          <cell r="I63">
            <v>0</v>
          </cell>
          <cell r="J63">
            <v>0</v>
          </cell>
          <cell r="K63">
            <v>0</v>
          </cell>
          <cell r="L63">
            <v>0</v>
          </cell>
          <cell r="M63">
            <v>0</v>
          </cell>
          <cell r="N63">
            <v>0</v>
          </cell>
          <cell r="O63">
            <v>0</v>
          </cell>
          <cell r="P63">
            <v>0</v>
          </cell>
          <cell r="Q63">
            <v>0</v>
          </cell>
          <cell r="R63">
            <v>0</v>
          </cell>
          <cell r="S63">
            <v>0</v>
          </cell>
          <cell r="T63">
            <v>0</v>
          </cell>
          <cell r="U63">
            <v>0</v>
          </cell>
          <cell r="V63">
            <v>0</v>
          </cell>
          <cell r="W63">
            <v>0</v>
          </cell>
          <cell r="X63">
            <v>0</v>
          </cell>
          <cell r="Y63">
            <v>0</v>
          </cell>
          <cell r="Z63">
            <v>0</v>
          </cell>
          <cell r="AA63">
            <v>0</v>
          </cell>
          <cell r="AB63">
            <v>0</v>
          </cell>
          <cell r="AC63">
            <v>0</v>
          </cell>
        </row>
        <row r="64">
          <cell r="A64" t="str">
            <v>XRAY</v>
          </cell>
          <cell r="B64" t="str">
            <v>Stand-alone FCF</v>
          </cell>
          <cell r="C64">
            <v>0</v>
          </cell>
          <cell r="D64">
            <v>0</v>
          </cell>
          <cell r="E64">
            <v>0</v>
          </cell>
          <cell r="F64">
            <v>0</v>
          </cell>
          <cell r="G64">
            <v>0</v>
          </cell>
          <cell r="H64">
            <v>0</v>
          </cell>
          <cell r="I64">
            <v>0</v>
          </cell>
          <cell r="J64">
            <v>0</v>
          </cell>
          <cell r="K64">
            <v>0</v>
          </cell>
          <cell r="L64">
            <v>0</v>
          </cell>
          <cell r="M64">
            <v>0</v>
          </cell>
          <cell r="N64">
            <v>0</v>
          </cell>
          <cell r="O64">
            <v>0</v>
          </cell>
          <cell r="P64">
            <v>0</v>
          </cell>
          <cell r="Q64">
            <v>0</v>
          </cell>
          <cell r="R64">
            <v>0</v>
          </cell>
          <cell r="S64">
            <v>0</v>
          </cell>
          <cell r="T64">
            <v>0</v>
          </cell>
          <cell r="U64">
            <v>0</v>
          </cell>
          <cell r="V64">
            <v>0</v>
          </cell>
          <cell r="W64">
            <v>0</v>
          </cell>
          <cell r="X64">
            <v>0</v>
          </cell>
          <cell r="Y64">
            <v>0</v>
          </cell>
          <cell r="Z64">
            <v>0</v>
          </cell>
          <cell r="AA64">
            <v>0</v>
          </cell>
          <cell r="AB64">
            <v>0</v>
          </cell>
          <cell r="AC64">
            <v>0</v>
          </cell>
        </row>
        <row r="65">
          <cell r="A65" t="str">
            <v>SIRO</v>
          </cell>
          <cell r="B65" t="str">
            <v>Stand-alone FCF</v>
          </cell>
          <cell r="C65">
            <v>0</v>
          </cell>
          <cell r="D65">
            <v>0</v>
          </cell>
          <cell r="E65">
            <v>0</v>
          </cell>
          <cell r="F65">
            <v>0</v>
          </cell>
          <cell r="G65">
            <v>0</v>
          </cell>
          <cell r="H65">
            <v>0</v>
          </cell>
          <cell r="I65">
            <v>0</v>
          </cell>
          <cell r="J65">
            <v>0</v>
          </cell>
          <cell r="K65">
            <v>0</v>
          </cell>
          <cell r="L65">
            <v>0</v>
          </cell>
          <cell r="M65">
            <v>0</v>
          </cell>
          <cell r="N65">
            <v>185.89999999999992</v>
          </cell>
          <cell r="O65">
            <v>0</v>
          </cell>
          <cell r="P65">
            <v>0</v>
          </cell>
          <cell r="Q65">
            <v>0</v>
          </cell>
          <cell r="R65">
            <v>0</v>
          </cell>
          <cell r="S65">
            <v>211.30578419029615</v>
          </cell>
          <cell r="X65">
            <v>242.31588582879306</v>
          </cell>
          <cell r="AC65">
            <v>260.48519095302208</v>
          </cell>
        </row>
        <row r="66">
          <cell r="A66" t="str">
            <v>XRAY</v>
          </cell>
          <cell r="B66" t="str">
            <v>Pro forma FCF</v>
          </cell>
          <cell r="C66">
            <v>0</v>
          </cell>
          <cell r="D66">
            <v>0</v>
          </cell>
          <cell r="E66">
            <v>0</v>
          </cell>
          <cell r="F66">
            <v>0</v>
          </cell>
          <cell r="G66">
            <v>0</v>
          </cell>
          <cell r="H66">
            <v>0</v>
          </cell>
          <cell r="I66">
            <v>0</v>
          </cell>
          <cell r="J66">
            <v>0</v>
          </cell>
          <cell r="K66">
            <v>0</v>
          </cell>
          <cell r="L66">
            <v>0</v>
          </cell>
          <cell r="M66">
            <v>0</v>
          </cell>
          <cell r="N66">
            <v>185.89999999999992</v>
          </cell>
          <cell r="O66">
            <v>0</v>
          </cell>
          <cell r="P66">
            <v>0</v>
          </cell>
          <cell r="Q66">
            <v>0</v>
          </cell>
          <cell r="R66">
            <v>0</v>
          </cell>
          <cell r="S66">
            <v>211.30578419029615</v>
          </cell>
          <cell r="T66">
            <v>0</v>
          </cell>
          <cell r="U66">
            <v>0</v>
          </cell>
          <cell r="V66">
            <v>0</v>
          </cell>
          <cell r="W66">
            <v>0</v>
          </cell>
          <cell r="X66">
            <v>242.31588582879306</v>
          </cell>
          <cell r="Y66">
            <v>0</v>
          </cell>
          <cell r="Z66">
            <v>0</v>
          </cell>
          <cell r="AA66">
            <v>0</v>
          </cell>
          <cell r="AB66">
            <v>0</v>
          </cell>
          <cell r="AC66">
            <v>260.48519095302208</v>
          </cell>
        </row>
        <row r="67">
          <cell r="A67" t="str">
            <v>XRAY</v>
          </cell>
          <cell r="B67" t="str">
            <v xml:space="preserve">Pro forma FCF yield </v>
          </cell>
          <cell r="C67">
            <v>0</v>
          </cell>
          <cell r="D67">
            <v>0</v>
          </cell>
          <cell r="E67">
            <v>0</v>
          </cell>
          <cell r="F67">
            <v>0</v>
          </cell>
          <cell r="G67">
            <v>0</v>
          </cell>
          <cell r="H67">
            <v>0</v>
          </cell>
          <cell r="I67">
            <v>0</v>
          </cell>
          <cell r="J67">
            <v>0</v>
          </cell>
          <cell r="K67">
            <v>0</v>
          </cell>
          <cell r="L67">
            <v>0</v>
          </cell>
          <cell r="M67">
            <v>0</v>
          </cell>
          <cell r="N67">
            <v>0</v>
          </cell>
          <cell r="O67">
            <v>0</v>
          </cell>
          <cell r="P67">
            <v>0</v>
          </cell>
          <cell r="Q67">
            <v>0</v>
          </cell>
          <cell r="R67">
            <v>0</v>
          </cell>
          <cell r="S67">
            <v>1.4332509888197691E-2</v>
          </cell>
          <cell r="T67">
            <v>0</v>
          </cell>
          <cell r="U67">
            <v>0</v>
          </cell>
          <cell r="V67">
            <v>0</v>
          </cell>
          <cell r="W67">
            <v>0</v>
          </cell>
          <cell r="X67">
            <v>1.6435872037373459E-2</v>
          </cell>
          <cell r="Y67">
            <v>0</v>
          </cell>
          <cell r="Z67">
            <v>0</v>
          </cell>
          <cell r="AA67">
            <v>0</v>
          </cell>
          <cell r="AB67">
            <v>0</v>
          </cell>
          <cell r="AC67">
            <v>1.7668264924073491E-2</v>
          </cell>
        </row>
        <row r="68">
          <cell r="A68">
            <v>0</v>
          </cell>
          <cell r="B68">
            <v>0</v>
          </cell>
          <cell r="C68">
            <v>0</v>
          </cell>
          <cell r="D68">
            <v>0</v>
          </cell>
          <cell r="I68">
            <v>0</v>
          </cell>
          <cell r="N68">
            <v>0</v>
          </cell>
          <cell r="S68">
            <v>0</v>
          </cell>
          <cell r="X68">
            <v>0</v>
          </cell>
          <cell r="AC68">
            <v>0</v>
          </cell>
        </row>
        <row r="69">
          <cell r="A69" t="str">
            <v>SIRO FCF used for share repurchase</v>
          </cell>
          <cell r="B69">
            <v>0</v>
          </cell>
          <cell r="C69">
            <v>0</v>
          </cell>
          <cell r="D69">
            <v>0</v>
          </cell>
          <cell r="E69">
            <v>0</v>
          </cell>
          <cell r="F69">
            <v>0</v>
          </cell>
          <cell r="G69">
            <v>0</v>
          </cell>
          <cell r="H69">
            <v>0</v>
          </cell>
          <cell r="I69">
            <v>0</v>
          </cell>
          <cell r="J69">
            <v>0</v>
          </cell>
          <cell r="K69">
            <v>0</v>
          </cell>
          <cell r="L69">
            <v>0</v>
          </cell>
          <cell r="M69">
            <v>0</v>
          </cell>
          <cell r="N69">
            <v>0</v>
          </cell>
          <cell r="O69">
            <v>0</v>
          </cell>
          <cell r="P69">
            <v>0</v>
          </cell>
          <cell r="Q69">
            <v>0</v>
          </cell>
          <cell r="R69">
            <v>0</v>
          </cell>
          <cell r="S69">
            <v>211.30578419029615</v>
          </cell>
          <cell r="T69">
            <v>0</v>
          </cell>
          <cell r="U69">
            <v>0</v>
          </cell>
          <cell r="V69">
            <v>0</v>
          </cell>
          <cell r="W69">
            <v>0</v>
          </cell>
          <cell r="X69">
            <v>242.31588582879306</v>
          </cell>
          <cell r="Y69">
            <v>0</v>
          </cell>
          <cell r="Z69">
            <v>0</v>
          </cell>
          <cell r="AA69">
            <v>0</v>
          </cell>
          <cell r="AB69">
            <v>0</v>
          </cell>
          <cell r="AC69">
            <v>260.48519095302208</v>
          </cell>
        </row>
        <row r="70">
          <cell r="A70" t="str">
            <v>XRAY/SIRO share price</v>
          </cell>
          <cell r="B70">
            <v>0</v>
          </cell>
          <cell r="C70">
            <v>0</v>
          </cell>
          <cell r="D70">
            <v>0</v>
          </cell>
          <cell r="E70">
            <v>0</v>
          </cell>
          <cell r="F70">
            <v>0</v>
          </cell>
          <cell r="G70">
            <v>0</v>
          </cell>
          <cell r="H70">
            <v>0</v>
          </cell>
          <cell r="I70">
            <v>0</v>
          </cell>
          <cell r="J70">
            <v>0</v>
          </cell>
          <cell r="K70">
            <v>0</v>
          </cell>
          <cell r="L70">
            <v>0</v>
          </cell>
          <cell r="M70">
            <v>0</v>
          </cell>
          <cell r="N70">
            <v>0</v>
          </cell>
          <cell r="O70">
            <v>0</v>
          </cell>
          <cell r="P70">
            <v>0</v>
          </cell>
          <cell r="Q70">
            <v>0</v>
          </cell>
          <cell r="R70">
            <v>0</v>
          </cell>
          <cell r="S70">
            <v>64.182823343058729</v>
          </cell>
          <cell r="T70">
            <v>0</v>
          </cell>
          <cell r="U70">
            <v>0</v>
          </cell>
          <cell r="V70">
            <v>0</v>
          </cell>
          <cell r="W70">
            <v>0</v>
          </cell>
          <cell r="X70">
            <v>73.482329985014346</v>
          </cell>
          <cell r="Y70">
            <v>0</v>
          </cell>
          <cell r="Z70">
            <v>0</v>
          </cell>
          <cell r="AA70">
            <v>0</v>
          </cell>
          <cell r="AB70">
            <v>0</v>
          </cell>
          <cell r="AC70">
            <v>82.561350837881548</v>
          </cell>
        </row>
        <row r="71">
          <cell r="A71" t="str">
            <v>Incremental shares repurchased</v>
          </cell>
          <cell r="B71">
            <v>0</v>
          </cell>
          <cell r="C71">
            <v>0</v>
          </cell>
          <cell r="D71">
            <v>0</v>
          </cell>
          <cell r="E71">
            <v>0</v>
          </cell>
          <cell r="F71">
            <v>0</v>
          </cell>
          <cell r="G71">
            <v>0</v>
          </cell>
          <cell r="H71">
            <v>0</v>
          </cell>
          <cell r="I71">
            <v>0</v>
          </cell>
          <cell r="J71">
            <v>0</v>
          </cell>
          <cell r="K71">
            <v>0</v>
          </cell>
          <cell r="L71">
            <v>0</v>
          </cell>
          <cell r="M71">
            <v>0</v>
          </cell>
          <cell r="N71">
            <v>0</v>
          </cell>
          <cell r="O71">
            <v>0</v>
          </cell>
          <cell r="P71">
            <v>0</v>
          </cell>
          <cell r="Q71">
            <v>0</v>
          </cell>
          <cell r="R71">
            <v>0</v>
          </cell>
          <cell r="S71">
            <v>3.2922481932722354</v>
          </cell>
          <cell r="T71">
            <v>0</v>
          </cell>
          <cell r="U71">
            <v>0</v>
          </cell>
          <cell r="V71">
            <v>0</v>
          </cell>
          <cell r="W71">
            <v>0</v>
          </cell>
          <cell r="X71">
            <v>3.2976075456264091</v>
          </cell>
          <cell r="Y71">
            <v>0</v>
          </cell>
          <cell r="Z71">
            <v>0</v>
          </cell>
          <cell r="AA71">
            <v>0</v>
          </cell>
          <cell r="AB71">
            <v>0</v>
          </cell>
          <cell r="AC71">
            <v>3.1550500120148701</v>
          </cell>
        </row>
        <row r="72">
          <cell r="A72">
            <v>0</v>
          </cell>
          <cell r="B72">
            <v>0</v>
          </cell>
          <cell r="C72">
            <v>0</v>
          </cell>
          <cell r="D72">
            <v>0</v>
          </cell>
          <cell r="E72">
            <v>0</v>
          </cell>
          <cell r="F72">
            <v>0</v>
          </cell>
          <cell r="G72">
            <v>0</v>
          </cell>
          <cell r="H72">
            <v>0</v>
          </cell>
          <cell r="I72">
            <v>0</v>
          </cell>
          <cell r="J72">
            <v>0</v>
          </cell>
          <cell r="K72">
            <v>0</v>
          </cell>
          <cell r="L72">
            <v>0</v>
          </cell>
          <cell r="M72">
            <v>0</v>
          </cell>
          <cell r="N72">
            <v>0</v>
          </cell>
          <cell r="O72">
            <v>0</v>
          </cell>
          <cell r="P72">
            <v>0</v>
          </cell>
          <cell r="Q72">
            <v>0</v>
          </cell>
          <cell r="R72">
            <v>0</v>
          </cell>
          <cell r="S72">
            <v>0</v>
          </cell>
          <cell r="T72">
            <v>0</v>
          </cell>
          <cell r="U72">
            <v>0</v>
          </cell>
          <cell r="V72">
            <v>0</v>
          </cell>
          <cell r="W72">
            <v>0</v>
          </cell>
          <cell r="X72">
            <v>0</v>
          </cell>
          <cell r="Y72">
            <v>0</v>
          </cell>
          <cell r="Z72">
            <v>0</v>
          </cell>
          <cell r="AA72">
            <v>0</v>
          </cell>
          <cell r="AB72">
            <v>0</v>
          </cell>
          <cell r="AC72">
            <v>0</v>
          </cell>
        </row>
        <row r="73">
          <cell r="A73" t="str">
            <v xml:space="preserve">Proforma Organic growth </v>
          </cell>
          <cell r="B73">
            <v>0</v>
          </cell>
          <cell r="C73">
            <v>0</v>
          </cell>
          <cell r="D73">
            <v>0</v>
          </cell>
          <cell r="E73">
            <v>0</v>
          </cell>
          <cell r="F73">
            <v>0</v>
          </cell>
          <cell r="G73">
            <v>0</v>
          </cell>
          <cell r="H73">
            <v>0</v>
          </cell>
          <cell r="I73">
            <v>0</v>
          </cell>
          <cell r="J73">
            <v>0</v>
          </cell>
          <cell r="K73">
            <v>0</v>
          </cell>
          <cell r="L73">
            <v>0</v>
          </cell>
          <cell r="M73">
            <v>0</v>
          </cell>
          <cell r="N73">
            <v>4.9150606109302247E-2</v>
          </cell>
          <cell r="O73">
            <v>0</v>
          </cell>
          <cell r="P73">
            <v>0</v>
          </cell>
          <cell r="Q73">
            <v>0</v>
          </cell>
          <cell r="R73">
            <v>0</v>
          </cell>
          <cell r="S73">
            <v>5.5171850070640183E-2</v>
          </cell>
          <cell r="T73">
            <v>0</v>
          </cell>
          <cell r="U73">
            <v>0</v>
          </cell>
          <cell r="V73">
            <v>0</v>
          </cell>
          <cell r="W73">
            <v>0</v>
          </cell>
          <cell r="X73">
            <v>5.4242887520997894E-2</v>
          </cell>
          <cell r="Y73">
            <v>0</v>
          </cell>
          <cell r="Z73">
            <v>0</v>
          </cell>
          <cell r="AA73">
            <v>0</v>
          </cell>
          <cell r="AB73">
            <v>0</v>
          </cell>
          <cell r="AC73">
            <v>5.8714330903783821E-2</v>
          </cell>
        </row>
        <row r="74">
          <cell r="A74" t="str">
            <v xml:space="preserve">Proforma EPS growth </v>
          </cell>
          <cell r="B74">
            <v>0</v>
          </cell>
          <cell r="C74">
            <v>0</v>
          </cell>
          <cell r="D74">
            <v>0</v>
          </cell>
          <cell r="E74">
            <v>0</v>
          </cell>
          <cell r="F74">
            <v>0</v>
          </cell>
          <cell r="G74">
            <v>0</v>
          </cell>
          <cell r="H74">
            <v>0</v>
          </cell>
          <cell r="I74">
            <v>0</v>
          </cell>
          <cell r="J74">
            <v>0</v>
          </cell>
          <cell r="K74">
            <v>0</v>
          </cell>
          <cell r="L74">
            <v>0</v>
          </cell>
          <cell r="M74">
            <v>0</v>
          </cell>
          <cell r="N74">
            <v>0</v>
          </cell>
          <cell r="O74">
            <v>0</v>
          </cell>
          <cell r="P74">
            <v>0</v>
          </cell>
          <cell r="Q74">
            <v>0</v>
          </cell>
          <cell r="R74">
            <v>0</v>
          </cell>
          <cell r="S74">
            <v>8.2381857517148438E-2</v>
          </cell>
          <cell r="T74">
            <v>0</v>
          </cell>
          <cell r="U74">
            <v>0</v>
          </cell>
          <cell r="V74">
            <v>0</v>
          </cell>
          <cell r="W74">
            <v>0</v>
          </cell>
          <cell r="X74">
            <v>0.19510109385349383</v>
          </cell>
          <cell r="Y74" t="e">
            <v>#DIV/0!</v>
          </cell>
          <cell r="Z74" t="e">
            <v>#DIV/0!</v>
          </cell>
          <cell r="AA74" t="e">
            <v>#DIV/0!</v>
          </cell>
          <cell r="AB74" t="e">
            <v>#DIV/0!</v>
          </cell>
          <cell r="AC74">
            <v>0.20868351545292607</v>
          </cell>
        </row>
        <row r="75">
          <cell r="A75" t="str">
            <v>XRAY standalone EPS growth</v>
          </cell>
          <cell r="B75">
            <v>0</v>
          </cell>
          <cell r="C75">
            <v>0</v>
          </cell>
          <cell r="D75">
            <v>0</v>
          </cell>
          <cell r="E75">
            <v>0</v>
          </cell>
          <cell r="F75">
            <v>0</v>
          </cell>
          <cell r="G75">
            <v>0</v>
          </cell>
          <cell r="H75">
            <v>0</v>
          </cell>
          <cell r="I75">
            <v>6.3937117506392083E-2</v>
          </cell>
          <cell r="J75">
            <v>0</v>
          </cell>
          <cell r="K75">
            <v>0</v>
          </cell>
          <cell r="L75">
            <v>0</v>
          </cell>
          <cell r="M75">
            <v>0</v>
          </cell>
          <cell r="N75">
            <v>4.5320498365592377E-2</v>
          </cell>
          <cell r="O75">
            <v>0</v>
          </cell>
          <cell r="P75">
            <v>0</v>
          </cell>
          <cell r="Q75">
            <v>0</v>
          </cell>
          <cell r="R75">
            <v>0</v>
          </cell>
          <cell r="S75">
            <v>6.0873113108408816E-2</v>
          </cell>
          <cell r="T75">
            <v>0</v>
          </cell>
          <cell r="U75">
            <v>0</v>
          </cell>
          <cell r="V75">
            <v>0</v>
          </cell>
          <cell r="W75">
            <v>0</v>
          </cell>
          <cell r="X75">
            <v>0.14489089381826559</v>
          </cell>
          <cell r="Y75">
            <v>0</v>
          </cell>
          <cell r="Z75">
            <v>0</v>
          </cell>
          <cell r="AA75">
            <v>0</v>
          </cell>
          <cell r="AB75">
            <v>0</v>
          </cell>
          <cell r="AC75">
            <v>0.12355379660278509</v>
          </cell>
        </row>
        <row r="76">
          <cell r="A76" t="str">
            <v>Proforma P/E</v>
          </cell>
          <cell r="B76">
            <v>0</v>
          </cell>
          <cell r="C76">
            <v>0</v>
          </cell>
          <cell r="D76">
            <v>0</v>
          </cell>
          <cell r="E76">
            <v>0</v>
          </cell>
          <cell r="F76">
            <v>0</v>
          </cell>
          <cell r="G76">
            <v>0</v>
          </cell>
          <cell r="H76">
            <v>0</v>
          </cell>
          <cell r="I76">
            <v>0</v>
          </cell>
          <cell r="J76">
            <v>0</v>
          </cell>
          <cell r="K76">
            <v>0</v>
          </cell>
          <cell r="L76">
            <v>0</v>
          </cell>
          <cell r="M76">
            <v>0</v>
          </cell>
          <cell r="N76">
            <v>0</v>
          </cell>
          <cell r="O76">
            <v>0</v>
          </cell>
          <cell r="P76">
            <v>0</v>
          </cell>
          <cell r="Q76">
            <v>0</v>
          </cell>
          <cell r="R76">
            <v>0</v>
          </cell>
          <cell r="S76">
            <v>20.637683751417747</v>
          </cell>
          <cell r="T76">
            <v>0</v>
          </cell>
          <cell r="U76">
            <v>0</v>
          </cell>
          <cell r="V76">
            <v>0</v>
          </cell>
          <cell r="W76">
            <v>0</v>
          </cell>
          <cell r="X76">
            <v>17.268567368534008</v>
          </cell>
          <cell r="Y76">
            <v>0</v>
          </cell>
          <cell r="Z76">
            <v>0</v>
          </cell>
          <cell r="AA76">
            <v>0</v>
          </cell>
          <cell r="AB76">
            <v>0</v>
          </cell>
          <cell r="AC76">
            <v>14.287087684870935</v>
          </cell>
        </row>
        <row r="77">
          <cell r="A77" t="str">
            <v>XRAY standalone P/E</v>
          </cell>
          <cell r="B77">
            <v>0</v>
          </cell>
          <cell r="C77">
            <v>0</v>
          </cell>
          <cell r="D77">
            <v>0</v>
          </cell>
          <cell r="E77">
            <v>0</v>
          </cell>
          <cell r="F77">
            <v>0</v>
          </cell>
          <cell r="G77">
            <v>0</v>
          </cell>
          <cell r="H77">
            <v>0</v>
          </cell>
          <cell r="I77">
            <v>0</v>
          </cell>
          <cell r="J77">
            <v>0</v>
          </cell>
          <cell r="K77">
            <v>0</v>
          </cell>
          <cell r="L77">
            <v>0</v>
          </cell>
          <cell r="M77">
            <v>0</v>
          </cell>
          <cell r="N77">
            <v>22.337854473711012</v>
          </cell>
          <cell r="O77">
            <v>0</v>
          </cell>
          <cell r="P77">
            <v>0</v>
          </cell>
          <cell r="Q77">
            <v>0</v>
          </cell>
          <cell r="R77">
            <v>0</v>
          </cell>
          <cell r="S77">
            <v>21.056103880566859</v>
          </cell>
          <cell r="T77">
            <v>0</v>
          </cell>
          <cell r="U77">
            <v>0</v>
          </cell>
          <cell r="V77">
            <v>0</v>
          </cell>
          <cell r="W77">
            <v>0</v>
          </cell>
          <cell r="X77">
            <v>18.391362875062928</v>
          </cell>
          <cell r="Y77">
            <v>0</v>
          </cell>
          <cell r="Z77">
            <v>0</v>
          </cell>
          <cell r="AA77">
            <v>0</v>
          </cell>
          <cell r="AB77">
            <v>0</v>
          </cell>
          <cell r="AC77">
            <v>16.368920589892241</v>
          </cell>
        </row>
      </sheetData>
      <sheetData sheetId="1" refreshError="1"/>
    </sheetDataSet>
  </externalBook>
</externalLink>
</file>

<file path=xl/externalLinks/externalLink2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trol Page"/>
      <sheetName val="__FDSCACHE__"/>
      <sheetName val="Cap"/>
      <sheetName val="Sonoma Cases"/>
      <sheetName val="Sonoma Financials"/>
      <sheetName val="Cabernet Cases"/>
      <sheetName val="Internal Cabernet Summary"/>
      <sheetName val="Cabernet Financials"/>
      <sheetName val="Trading Output"/>
      <sheetName val="Cap Tables"/>
      <sheetName val="Sonoma P&amp;L"/>
      <sheetName val="DEV"/>
      <sheetName val="Valuation Matrix"/>
      <sheetName val="Valuation Matrix - Pro Forma"/>
      <sheetName val="Ed's Val Matrix"/>
      <sheetName val="Post Money Ownership"/>
      <sheetName val="Pro Forma Impact"/>
      <sheetName val="Sonoma Caps Table"/>
      <sheetName val="Sonoma Comp Val"/>
      <sheetName val="Relative Contribution - Sonoma"/>
      <sheetName val="Cash Requirments"/>
      <sheetName val="MiniMerger Assumptions"/>
      <sheetName val="Merger Output"/>
      <sheetName val="Stock Price Analysis"/>
      <sheetName val="EPS"/>
      <sheetName val="sonoma index"/>
      <sheetName val="nasdaq index"/>
      <sheetName val="comps index"/>
      <sheetName val="Sonoma"/>
      <sheetName val="Report"/>
      <sheetName val="Comparable Benchmarking"/>
      <sheetName val="Allgon MM"/>
      <sheetName val="Relative Contribution - Allgon"/>
      <sheetName val="Allgon ValMatrix"/>
    </sheetNames>
    <sheetDataSet>
      <sheetData sheetId="0" refreshError="1">
        <row r="9">
          <cell r="C9">
            <v>37229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2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Novuspharma"/>
      <sheetName val="Evotec"/>
      <sheetName val="TELK"/>
      <sheetName val="vrtx"/>
      <sheetName val="TLRK"/>
      <sheetName val="MEDX"/>
      <sheetName val="SGEN"/>
      <sheetName val="KERX"/>
      <sheetName val="dddp"/>
      <sheetName val="Alexion"/>
      <sheetName val="GPC"/>
    </sheetNames>
    <sheetDataSet>
      <sheetData sheetId="0" refreshError="1"/>
      <sheetData sheetId="1" refreshError="1"/>
      <sheetData sheetId="2" refreshError="1">
        <row r="3">
          <cell r="L3">
            <v>37351</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2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MODEL (3Q03)"/>
      <sheetName val="ImportantDisclosures"/>
      <sheetName val="OtherDisclosures"/>
      <sheetName val="MODEL"/>
      <sheetName val="Bal Sheet &amp; Cash Flow"/>
      <sheetName val="ROIC"/>
      <sheetName val="RI"/>
      <sheetName val="DCF"/>
      <sheetName val="DDM"/>
      <sheetName val="Operating Expense Analysis"/>
      <sheetName val="Comp Analysis"/>
      <sheetName val="Op Lease Analysis"/>
      <sheetName val="Option Analysis (2001)"/>
      <sheetName val="Option Analysis (2002)"/>
      <sheetName val="Fuel Surcharge History"/>
      <sheetName val="Currency"/>
      <sheetName val="Pension"/>
      <sheetName val="OPEB"/>
      <sheetName val="Taxes"/>
      <sheetName val="Geog package rev breakdown"/>
      <sheetName val="REVENUE BY GEOGRAPHY"/>
      <sheetName val="Debt Schedule 12-31-02"/>
      <sheetName val="Capex &amp; Depr Schedule"/>
      <sheetName val="Report IS"/>
      <sheetName val="Report SCF &amp; BS"/>
      <sheetName val="Air Fleet"/>
      <sheetName val="Data"/>
      <sheetName val="Air Volumes vs GDP"/>
      <sheetName val="Ground Volumes vs GDP"/>
      <sheetName val="Real Air Yields"/>
      <sheetName val="Real Ground Yields"/>
      <sheetName val="Fuel Surcharge"/>
      <sheetName val="90-91 Recession"/>
      <sheetName val="mStartup"/>
      <sheetName val="MainCode"/>
      <sheetName val="Leverage"/>
      <sheetName val="Qtrly Trends"/>
      <sheetName val="Cust"/>
      <sheetName val="ERModelPubAnalystListing"/>
      <sheetName val="NY UPLOAD"/>
      <sheetName val="IndexInformation"/>
      <sheetName val="NY UPLOAD shadow"/>
      <sheetName val="DETAILED MODEL"/>
      <sheetName val="Key Assumptions"/>
      <sheetName val="CF &amp; BS"/>
      <sheetName val="Op Leases"/>
      <sheetName val="Return Analysis"/>
      <sheetName val="Capex-Depr Schedule"/>
      <sheetName val="UPS Int'l Operating Margin"/>
      <sheetName val="UPS Definition of Mkt"/>
      <sheetName val="Report Model"/>
      <sheetName val="Shipment Data"/>
      <sheetName val="RI Valuation"/>
      <sheetName val="DCF-old"/>
      <sheetName val="MWare_Cached"/>
      <sheetName val="Sensitivity - Air Surcharge Cap"/>
      <sheetName val="Model_Template"/>
      <sheetName val="Bal Sheet _ Cash Flow"/>
      <sheetName val="SQLSheet"/>
      <sheetName val="Analysis"/>
      <sheetName val="MACRS"/>
      <sheetName val="SEARS"/>
    </sheetNames>
    <sheetDataSet>
      <sheetData sheetId="0" refreshError="1"/>
      <sheetData sheetId="1" refreshError="1"/>
      <sheetData sheetId="2" refreshError="1"/>
      <sheetData sheetId="3" refreshError="1"/>
      <sheetData sheetId="4" refreshError="1"/>
      <sheetData sheetId="5" refreshError="1">
        <row r="10">
          <cell r="A10" t="str">
            <v xml:space="preserve">  Deferred Taxes, Credits and Other</v>
          </cell>
          <cell r="B10" t="str">
            <v>Comp+Calc</v>
          </cell>
          <cell r="AK10">
            <v>28</v>
          </cell>
          <cell r="AP10">
            <v>479</v>
          </cell>
          <cell r="AU10">
            <v>406</v>
          </cell>
          <cell r="AZ10">
            <v>23</v>
          </cell>
          <cell r="BE10">
            <v>562</v>
          </cell>
          <cell r="BJ10">
            <v>-81</v>
          </cell>
          <cell r="BK10">
            <v>38</v>
          </cell>
          <cell r="BL10">
            <v>73</v>
          </cell>
          <cell r="BM10">
            <v>67</v>
          </cell>
          <cell r="BO10">
            <v>638</v>
          </cell>
          <cell r="BP10">
            <v>-24</v>
          </cell>
          <cell r="BQ10">
            <v>93</v>
          </cell>
          <cell r="BR10">
            <v>11</v>
          </cell>
          <cell r="BS10">
            <v>106.66666666666667</v>
          </cell>
          <cell r="BT10">
            <v>162</v>
          </cell>
          <cell r="BU10">
            <v>-148</v>
          </cell>
          <cell r="BY10">
            <v>166.31429186984445</v>
          </cell>
          <cell r="CD10">
            <v>177.26979658412776</v>
          </cell>
          <cell r="CI10">
            <v>188.13037837219659</v>
          </cell>
          <cell r="CN10">
            <v>199.22936668042567</v>
          </cell>
          <cell r="CS10">
            <v>211.37509957879183</v>
          </cell>
        </row>
        <row r="38">
          <cell r="A38" t="str">
            <v xml:space="preserve">    % of Revenue</v>
          </cell>
          <cell r="B38" t="str">
            <v>Calc+Input</v>
          </cell>
          <cell r="AK38">
            <v>9.9595583011920577E-2</v>
          </cell>
          <cell r="AP38">
            <v>0.10430364063966699</v>
          </cell>
          <cell r="AU38">
            <v>8.8344504164593052E-2</v>
          </cell>
          <cell r="AZ38">
            <v>6.688080552952376E-2</v>
          </cell>
          <cell r="BE38">
            <v>5.4927061625483775E-2</v>
          </cell>
          <cell r="BJ38">
            <v>7.2784595565801066E-2</v>
          </cell>
          <cell r="BO38">
            <v>7.823218997361478E-2</v>
          </cell>
          <cell r="BT38">
            <v>5.3018674852903555E-2</v>
          </cell>
          <cell r="BY38">
            <v>6.0096502001369775E-2</v>
          </cell>
          <cell r="CD38">
            <v>6.7500000000000004E-2</v>
          </cell>
          <cell r="CI38">
            <v>6.7500000000000004E-2</v>
          </cell>
          <cell r="CN38">
            <v>6.7500000000000004E-2</v>
          </cell>
          <cell r="CS38">
            <v>6.7500000000000004E-2</v>
          </cell>
        </row>
      </sheetData>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sheetData sheetId="59" refreshError="1"/>
      <sheetData sheetId="60" refreshError="1"/>
      <sheetData sheetId="61" refreshError="1"/>
      <sheetData sheetId="62" refreshError="1"/>
    </sheetDataSet>
  </externalBook>
</externalLink>
</file>

<file path=xl/externalLinks/externalLink3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ining"/>
      <sheetName val="Insurance"/>
      <sheetName val="Banks"/>
      <sheetName val="Oils"/>
      <sheetName val="General Europe"/>
      <sheetName val="General UK"/>
      <sheetName val="Latest_Chart"/>
      <sheetName val="Add4Sheet"/>
      <sheetName val="Module2"/>
      <sheetName val="Module1"/>
      <sheetName val="LINKTAB"/>
      <sheetName val="Model"/>
      <sheetName val="P"/>
      <sheetName val="Market_Share"/>
      <sheetName val="Assumptions"/>
      <sheetName val="Summary"/>
      <sheetName val="Consol_Income"/>
      <sheetName val="Rate Case"/>
      <sheetName val="Balance Sheet"/>
      <sheetName val="Sheet9"/>
      <sheetName val="Leases"/>
      <sheetName val="Graph"/>
      <sheetName val="Income"/>
      <sheetName val="Financial Summary"/>
      <sheetName val="Exclusion List"/>
      <sheetName val="CFOld"/>
      <sheetName val="PLOld"/>
      <sheetName val="Headline"/>
      <sheetName val="MTT old"/>
      <sheetName val="c1"/>
      <sheetName val="BizJet Deliveries"/>
      <sheetName val="Cash flow"/>
      <sheetName val="Profit &amp; Loss"/>
      <sheetName val="Inputs, sensitivity &amp; val"/>
      <sheetName val="DOMNETREV1002B"/>
      <sheetName val="Monthly figures"/>
      <sheetName val="Consolidated"/>
    </sheetNames>
    <definedNames>
      <definedName name="Download_series"/>
      <definedName name="Update_This"/>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Set>
  </externalBook>
</externalLink>
</file>

<file path=xl/externalLinks/externalLink3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s"/>
      <sheetName val="__FDSCACHE__"/>
      <sheetName val="EPS to March"/>
      <sheetName val=" Shares"/>
      <sheetName val="MM output - 2004 FC"/>
      <sheetName val="SBS"/>
      <sheetName val="SBS - IBES"/>
      <sheetName val="Ownership Analysis"/>
      <sheetName val="PP Analysis"/>
    </sheetNames>
    <sheetDataSet>
      <sheetData sheetId="0" refreshError="1">
        <row r="3">
          <cell r="B3" t="str">
            <v>Epsilon</v>
          </cell>
        </row>
      </sheetData>
      <sheetData sheetId="1"/>
      <sheetData sheetId="2"/>
      <sheetData sheetId="3"/>
      <sheetData sheetId="4"/>
      <sheetData sheetId="5"/>
      <sheetData sheetId="6"/>
      <sheetData sheetId="7"/>
      <sheetData sheetId="8"/>
    </sheetDataSet>
  </externalBook>
</externalLink>
</file>

<file path=xl/externalLinks/externalLink3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Assum"/>
      <sheetName val="Trans Sum"/>
      <sheetName val="IRR"/>
      <sheetName val="Larry"/>
      <sheetName val="Case"/>
      <sheetName val="LBO Sum"/>
      <sheetName val="Recap Sum"/>
      <sheetName val="Macro"/>
    </sheetNames>
    <sheetDataSet>
      <sheetData sheetId="0"/>
      <sheetData sheetId="1"/>
      <sheetData sheetId="2" refreshError="1">
        <row r="13">
          <cell r="K13">
            <v>2273.0066931726842</v>
          </cell>
        </row>
      </sheetData>
      <sheetData sheetId="3"/>
      <sheetData sheetId="4"/>
      <sheetData sheetId="5"/>
      <sheetData sheetId="6"/>
      <sheetData sheetId="7"/>
      <sheetData sheetId="8" refreshError="1"/>
    </sheetDataSet>
  </externalBook>
</externalLink>
</file>

<file path=xl/externalLinks/externalLink3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
      <sheetName val="TOC"/>
      <sheetName val="__FDSCACHE__"/>
      <sheetName val="P&amp;L"/>
      <sheetName val="Bal Sheet"/>
      <sheetName val="Cash Flow"/>
      <sheetName val="Industry Model"/>
      <sheetName val="Revenue per Procedure"/>
      <sheetName val="P&amp;L Variance"/>
      <sheetName val="Model Changes Chart"/>
      <sheetName val="Operations Charts"/>
      <sheetName val="Guidance Chart"/>
      <sheetName val="Desk Preview"/>
      <sheetName val="Procedure Penetration"/>
      <sheetName val="DCF Summary"/>
      <sheetName val="Sum of Parts &amp; DCF"/>
      <sheetName val="Buyback Analysis"/>
      <sheetName val="Da Vinci Profitability"/>
      <sheetName val="Guidance"/>
      <sheetName val="MW Valuation"/>
      <sheetName val="MW-Cache"/>
      <sheetName val="mwareValPrintout"/>
      <sheetName val="mwareTaxoPres"/>
      <sheetName val="MWA RR"/>
      <sheetName val="mwareDates"/>
      <sheetName val="mwareSettings"/>
      <sheetName val="NY UPLOAD shadow"/>
      <sheetName val="__APW_ACTIVE_FIELD_RESTORE__"/>
    </sheetNames>
    <sheetDataSet>
      <sheetData sheetId="0" refreshError="1"/>
      <sheetData sheetId="1" refreshError="1"/>
      <sheetData sheetId="2" refreshError="1"/>
      <sheetData sheetId="3"/>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Set>
  </externalBook>
</externalLink>
</file>

<file path=xl/externalLinks/externalLink3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CF Inputs"/>
      <sheetName val="Hist Inputs"/>
      <sheetName val="Cases"/>
      <sheetName val="Financials"/>
      <sheetName val="DCF Matrix"/>
      <sheetName val="Performance"/>
      <sheetName val="Sensitive"/>
      <sheetName val="Calcs for Sensitivy"/>
      <sheetName val="HistGraph"/>
      <sheetName val="ProjGraph"/>
      <sheetName val="MainPrint Code"/>
      <sheetName val="AdditionalPrint Code"/>
      <sheetName val="InitialPrintDialog"/>
      <sheetName val="DCF Code"/>
      <sheetName val="DCFprintDialog"/>
    </sheetNames>
    <sheetDataSet>
      <sheetData sheetId="0" refreshError="1">
        <row r="11">
          <cell r="H11">
            <v>12</v>
          </cell>
        </row>
        <row r="20">
          <cell r="O20" t="str">
            <v>On</v>
          </cell>
        </row>
      </sheetData>
      <sheetData sheetId="1" refreshError="1">
        <row r="39">
          <cell r="G39">
            <v>0</v>
          </cell>
        </row>
      </sheetData>
      <sheetData sheetId="2"/>
      <sheetData sheetId="3"/>
      <sheetData sheetId="4"/>
      <sheetData sheetId="5"/>
      <sheetData sheetId="6"/>
      <sheetData sheetId="7"/>
      <sheetData sheetId="8"/>
      <sheetData sheetId="9"/>
      <sheetData sheetId="10" refreshError="1"/>
      <sheetData sheetId="11" refreshError="1"/>
      <sheetData sheetId="12"/>
      <sheetData sheetId="13" refreshError="1"/>
      <sheetData sheetId="14"/>
    </sheetDataSet>
  </externalBook>
</externalLink>
</file>

<file path=xl/externalLinks/externalLink3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s"/>
      <sheetName val="Fee"/>
      <sheetName val="Syn"/>
      <sheetName val="Bill"/>
      <sheetName val="west_val"/>
      <sheetName val="pickup_west"/>
      <sheetName val="pickup_south"/>
      <sheetName val="South_val"/>
      <sheetName val="contri2"/>
      <sheetName val="timber"/>
      <sheetName val="TAB1"/>
      <sheetName val="wood_cases"/>
      <sheetName val="old_wood"/>
      <sheetName val="Paper_Cases"/>
      <sheetName val="old_Paper"/>
      <sheetName val="TAB2"/>
      <sheetName val="old_South_wood"/>
      <sheetName val="old_South_Paper "/>
      <sheetName val="chippin_west"/>
      <sheetName val="Paper"/>
      <sheetName val="Wood "/>
      <sheetName val="WEST"/>
      <sheetName val="chippin_newco"/>
      <sheetName val="chippin_south"/>
      <sheetName val="South_Paper "/>
      <sheetName val="South_Wood "/>
      <sheetName val="SOUTH"/>
      <sheetName val="NewCo"/>
      <sheetName val="Mini"/>
      <sheetName val="Sens"/>
      <sheetName val="lob"/>
      <sheetName val="op_contri"/>
      <sheetName val="TAB3"/>
      <sheetName val="Calcs"/>
      <sheetName val="transinputs"/>
      <sheetName val="PFBS"/>
      <sheetName val="Module1"/>
      <sheetName val="TAB4"/>
      <sheetName val="comps"/>
      <sheetName val="replace"/>
      <sheetName val="valuemat"/>
      <sheetName val="FAST"/>
      <sheetName val="DCF Inputs"/>
      <sheetName val="DCF Matrix"/>
      <sheetName val="Main_value"/>
      <sheetName val="Sheet5"/>
      <sheetName val="Sheet6"/>
      <sheetName val="Sheet7"/>
      <sheetName val="Sheet8"/>
      <sheetName val="Sheet9"/>
      <sheetName val="Sheet10"/>
      <sheetName val="Sheet11"/>
      <sheetName val="Sheet12"/>
      <sheetName val="Sheet13"/>
      <sheetName val="Sheet14"/>
      <sheetName val="Sheet15"/>
      <sheetName val="Sheet16"/>
    </sheetNames>
    <sheetDataSet>
      <sheetData sheetId="0" refreshError="1"/>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refreshError="1">
        <row r="15">
          <cell r="O15">
            <v>0</v>
          </cell>
        </row>
        <row r="46">
          <cell r="O46">
            <v>299.81604188264572</v>
          </cell>
        </row>
      </sheetData>
      <sheetData sheetId="34" refreshError="1">
        <row r="35">
          <cell r="T35">
            <v>1</v>
          </cell>
        </row>
      </sheetData>
      <sheetData sheetId="35"/>
      <sheetData sheetId="36" refreshError="1"/>
      <sheetData sheetId="37"/>
      <sheetData sheetId="38"/>
      <sheetData sheetId="39"/>
      <sheetData sheetId="40"/>
      <sheetData sheetId="41"/>
      <sheetData sheetId="42"/>
      <sheetData sheetId="43"/>
      <sheetData sheetId="44" refreshError="1">
        <row r="16">
          <cell r="Q16">
            <v>3698.75</v>
          </cell>
        </row>
      </sheetData>
      <sheetData sheetId="45"/>
      <sheetData sheetId="46"/>
      <sheetData sheetId="47"/>
      <sheetData sheetId="48"/>
      <sheetData sheetId="49"/>
      <sheetData sheetId="50"/>
      <sheetData sheetId="51"/>
      <sheetData sheetId="52"/>
      <sheetData sheetId="53"/>
      <sheetData sheetId="54"/>
      <sheetData sheetId="55"/>
      <sheetData sheetId="56"/>
    </sheetDataSet>
  </externalBook>
</externalLink>
</file>

<file path=xl/externalLinks/externalLink3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QTRLY"/>
      <sheetName val="graphs"/>
      <sheetName val="D"/>
      <sheetName val="modelbook"/>
      <sheetName val="top tab"/>
      <sheetName val="earnings"/>
      <sheetName val="Sheet9"/>
      <sheetName val="PGR "/>
      <sheetName val="sensitivity"/>
      <sheetName val="E"/>
      <sheetName val="PGR-AMBEST"/>
      <sheetName val="Misc "/>
      <sheetName val="Mkt Share"/>
      <sheetName val="F"/>
      <sheetName val="Post charge mix"/>
      <sheetName val="Valuation"/>
      <sheetName val="pgr"/>
      <sheetName val="crstudy"/>
      <sheetName val="notes"/>
      <sheetName val="Misc"/>
      <sheetName val="bus mix"/>
      <sheetName val="NY UPLOAD"/>
      <sheetName val="mStartup"/>
      <sheetName val="NY UPLOAD Shadow"/>
      <sheetName val="PGR.N"/>
      <sheetName val="RESIDUAL INCOME"/>
      <sheetName val="seg data_qtrly"/>
      <sheetName val="seg data_monthly"/>
      <sheetName val="SegGraphs"/>
      <sheetName val="MonthlyAnysMay01"/>
      <sheetName val="bus mixOLD"/>
      <sheetName val="MonthlyAnys"/>
      <sheetName val="Val"/>
    </sheetNames>
    <sheetDataSet>
      <sheetData sheetId="0" refreshError="1">
        <row r="99">
          <cell r="HM99" t="str">
            <v>qtr_lc</v>
          </cell>
        </row>
        <row r="100">
          <cell r="IU100">
            <v>0.72498259383505259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row r="60">
          <cell r="Y60">
            <v>100</v>
          </cell>
          <cell r="Z60">
            <v>100</v>
          </cell>
          <cell r="AA60">
            <v>100</v>
          </cell>
          <cell r="AB60">
            <v>100</v>
          </cell>
          <cell r="AC60">
            <v>100</v>
          </cell>
          <cell r="AD60">
            <v>100</v>
          </cell>
          <cell r="AE60">
            <v>100</v>
          </cell>
          <cell r="AF60">
            <v>100</v>
          </cell>
          <cell r="AG60">
            <v>100</v>
          </cell>
          <cell r="AH60">
            <v>100</v>
          </cell>
          <cell r="AI60">
            <v>100</v>
          </cell>
          <cell r="AJ60">
            <v>96</v>
          </cell>
          <cell r="AK60">
            <v>80</v>
          </cell>
          <cell r="AL60">
            <v>72</v>
          </cell>
          <cell r="AM60">
            <v>64</v>
          </cell>
          <cell r="AN60">
            <v>56.000000000000007</v>
          </cell>
          <cell r="AO60">
            <v>48</v>
          </cell>
          <cell r="AP60">
            <v>28.000000000000004</v>
          </cell>
          <cell r="AQ60">
            <v>4</v>
          </cell>
          <cell r="AR60">
            <v>4</v>
          </cell>
          <cell r="AS60">
            <v>0</v>
          </cell>
          <cell r="AT60" t="str">
            <v/>
          </cell>
          <cell r="AU60" t="str">
            <v/>
          </cell>
          <cell r="AV60" t="str">
            <v/>
          </cell>
          <cell r="AW60" t="str">
            <v/>
          </cell>
          <cell r="AX60" t="str">
            <v/>
          </cell>
          <cell r="AY60" t="str">
            <v/>
          </cell>
          <cell r="AZ60" t="str">
            <v/>
          </cell>
          <cell r="BA60" t="str">
            <v/>
          </cell>
          <cell r="BB60" t="str">
            <v/>
          </cell>
          <cell r="BC60" t="str">
            <v/>
          </cell>
          <cell r="BD60" t="str">
            <v/>
          </cell>
          <cell r="BE60" t="str">
            <v/>
          </cell>
          <cell r="BF60" t="str">
            <v/>
          </cell>
          <cell r="BG60" t="str">
            <v/>
          </cell>
          <cell r="BH60" t="str">
            <v/>
          </cell>
          <cell r="BI60" t="str">
            <v/>
          </cell>
          <cell r="BJ60" t="str">
            <v/>
          </cell>
          <cell r="BK60" t="str">
            <v/>
          </cell>
          <cell r="BL60" t="str">
            <v/>
          </cell>
          <cell r="BM60" t="str">
            <v/>
          </cell>
          <cell r="BN60" t="str">
            <v/>
          </cell>
          <cell r="BO60" t="str">
            <v/>
          </cell>
          <cell r="BP60" t="str">
            <v/>
          </cell>
          <cell r="BQ60" t="str">
            <v/>
          </cell>
          <cell r="BR60" t="str">
            <v/>
          </cell>
          <cell r="BS60" t="str">
            <v/>
          </cell>
          <cell r="BT60" t="str">
            <v/>
          </cell>
          <cell r="BU60" t="str">
            <v/>
          </cell>
          <cell r="BV60" t="str">
            <v/>
          </cell>
          <cell r="BW60" t="str">
            <v/>
          </cell>
        </row>
      </sheetData>
      <sheetData sheetId="26" refreshError="1"/>
      <sheetData sheetId="27" refreshError="1"/>
      <sheetData sheetId="28" refreshError="1"/>
      <sheetData sheetId="29" refreshError="1"/>
      <sheetData sheetId="30" refreshError="1"/>
      <sheetData sheetId="31" refreshError="1"/>
      <sheetData sheetId="32" refreshError="1"/>
    </sheetDataSet>
  </externalBook>
</externalLink>
</file>

<file path=xl/externalLinks/externalLink3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istoric Sales"/>
      <sheetName val="Contents"/>
      <sheetName val="Summary (£)"/>
      <sheetName val="Summary ($)"/>
      <sheetName val="Ann P&amp;L (£)"/>
      <sheetName val="Ann P&amp;L ($)"/>
      <sheetName val="Balance Sheet"/>
      <sheetName val="RImodel"/>
      <sheetName val="Cash flow"/>
      <sheetName val="Quart P&amp;L"/>
      <sheetName val="Driver of revgr"/>
      <sheetName val="Ann Sales ($)"/>
      <sheetName val="Ann Sales (£)"/>
      <sheetName val="Quart Sales"/>
      <sheetName val="PPI Summary"/>
      <sheetName val="Chart2"/>
      <sheetName val="Royalty Payments"/>
      <sheetName val="Chart5"/>
      <sheetName val="Margin Drivers"/>
      <sheetName val="Pipeline"/>
      <sheetName val="Residual income(1)"/>
      <sheetName val="Residual income(2)"/>
      <sheetName val="DCF"/>
      <sheetName val="US PPI Market Model"/>
      <sheetName val="US PPI Vol and Value model"/>
      <sheetName val="Global PPI"/>
      <sheetName val="Switching Model"/>
      <sheetName val="Report Summary"/>
      <sheetName val="AZNfeed"/>
      <sheetName val="GE Upload1"/>
      <sheetName val="GE3"/>
      <sheetName val="Sheet2"/>
      <sheetName val="Gross margin computatation II"/>
      <sheetName val="GM comp1"/>
      <sheetName val="Chart3"/>
      <sheetName val="Chart4"/>
      <sheetName val="Chart6"/>
      <sheetName val="Pauls GM Comp"/>
      <sheetName val="Chart1"/>
      <sheetName val="Summary"/>
      <sheetName val="CHART RP"/>
      <sheetName val="CHART-GM"/>
      <sheetName val="xbrlPreview"/>
      <sheetName val="Pipeline (2)"/>
      <sheetName val="xbrldates"/>
      <sheetName val="xbrlSettings"/>
      <sheetName val="RI Valuation"/>
      <sheetName val="Convergence Valuation"/>
      <sheetName val=""/>
      <sheetName val="Quart P&amp;L IFRS"/>
      <sheetName val="mwarePreview"/>
      <sheetName val="mwareValPrintout"/>
      <sheetName val="GVAT Analysis"/>
      <sheetName val="Profit Map"/>
      <sheetName val="GVAT Adjusted"/>
      <sheetName val="GVAT Stock Adj"/>
      <sheetName val="GVAT Pension"/>
      <sheetName val="mwareTaxoPres"/>
      <sheetName val="IFRS adjustments"/>
      <sheetName val="IFRS-OptionsAdj"/>
      <sheetName val="Model_Template"/>
      <sheetName val="mwareDates"/>
      <sheetName val="mwareSettings"/>
      <sheetName val="IFRS Quart P&amp;L"/>
      <sheetName val="IFRS Ann P&amp;L ($)"/>
      <sheetName val="IFRS Ann P&amp;L(£)"/>
      <sheetName val="IFRS Margin Drivers"/>
      <sheetName val="IFRS Balance Sheet"/>
      <sheetName val="IFRS Cash Flow"/>
      <sheetName val="DCF NEW"/>
      <sheetName val="CHART - Drivers RevGr"/>
      <sheetName val="MWare_Cached"/>
      <sheetName val="ModelWare Summary"/>
      <sheetName val="QPreview"/>
      <sheetName val="RI GW"/>
      <sheetName val="Simple RI Valuation"/>
      <sheetName val="Drivers Chart"/>
      <sheetName val="Nexium Value"/>
      <sheetName val="DCF 2020"/>
      <sheetName val="Pipeline for report"/>
      <sheetName val="Primary Care"/>
      <sheetName val="Quart P&amp;L PF"/>
      <sheetName val="Toprol P&amp;L"/>
      <sheetName val="IFRS Quart P&amp;L (ex US Toprol)"/>
      <sheetName val="Medi BS"/>
      <sheetName val="MW-Cache"/>
      <sheetName val="MW Valuation 2020"/>
      <sheetName val="MW Valuation"/>
      <sheetName val="PPI"/>
      <sheetName val="MWA RR_AZN.L"/>
      <sheetName val="Quart P&amp;L ($)"/>
      <sheetName val="cons"/>
      <sheetName val="Gross margin"/>
      <sheetName val="Ann P&amp;L(£)"/>
      <sheetName val="Sheet1"/>
      <sheetName val="Crestor value"/>
      <sheetName val="Crestor value (2)"/>
      <sheetName val="Seroquel Value"/>
      <sheetName val="Other product DCF"/>
      <sheetName val="Nexium Value Bear"/>
      <sheetName val="EBIT"/>
      <sheetName val="Drivers"/>
      <sheetName val="Chart Data"/>
      <sheetName val="#REF"/>
      <sheetName val="FX"/>
      <sheetName val="Page 3"/>
      <sheetName val="Tables"/>
      <sheetName val="EM growth "/>
      <sheetName val="Brilinta"/>
      <sheetName val="Pipeline- China"/>
      <sheetName val="Buyback flex"/>
      <sheetName val="Changes to model"/>
      <sheetName val="Gross Margins"/>
      <sheetName val="AFOSHEET"/>
      <sheetName val="Merger - Onyx"/>
      <sheetName val="Merger - Amylin"/>
      <sheetName val="__FDSCACHE__"/>
      <sheetName val="Ph III"/>
      <sheetName val="DCF flex"/>
      <sheetName val="R&amp;D"/>
      <sheetName val="Strategy"/>
      <sheetName val="Sales Data"/>
      <sheetName val="Sales by geog"/>
      <sheetName val="Sales by thera"/>
      <sheetName val="sales by business"/>
      <sheetName val="gross profit margin"/>
      <sheetName val="EBIT-reported"/>
      <sheetName val="Pre R&amp;D margin"/>
      <sheetName val="Charts"/>
      <sheetName val="pre r&amp;D cashflow"/>
      <sheetName val="SOTP Analysis"/>
      <sheetName val="Scenarios"/>
      <sheetName val="RI New"/>
      <sheetName val="MW IV (Ext.)"/>
      <sheetName val="DCF 2013"/>
      <sheetName val="RI Old"/>
      <sheetName val="Other Margin Drivers"/>
      <sheetName val="P&amp;L Ex US Toprol"/>
      <sheetName val="Team Contacts"/>
      <sheetName val="Residual Income"/>
      <sheetName val="Quast P&amp;L ($)"/>
      <sheetName val="flex"/>
      <sheetName val="LT Guidance - EPS"/>
      <sheetName val="LT Guidance - PE"/>
      <sheetName val="IMS monthly"/>
      <sheetName val="Model Account (S)"/>
      <sheetName val="P&amp;L_BS_CFS"/>
      <sheetName val="Sales"/>
      <sheetName val="BMS royalties"/>
      <sheetName val="Output"/>
      <sheetName val="Guidance &amp; LT targets"/>
      <sheetName val="Consensus"/>
      <sheetName val="Bull bear"/>
      <sheetName val="Patent expiries"/>
      <sheetName val="Valuation"/>
      <sheetName val="Bull bear_old"/>
      <sheetName val="Patent expiries_old"/>
      <sheetName val="Snapshot"/>
      <sheetName val="Shares"/>
      <sheetName val="Newsflow"/>
      <sheetName val="Bull bear_waterfall"/>
      <sheetName val="R&amp;D sortie"/>
      <sheetName val="Lien R&amp;D - CA Nx Pdts"/>
      <sheetName val="LiensData"/>
      <sheetName val="Old_Grille"/>
      <sheetName val="Old_MOP"/>
      <sheetName val="Old_CA"/>
      <sheetName val="Modeles (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row r="4">
          <cell r="C4">
            <v>37256</v>
          </cell>
        </row>
      </sheetData>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refreshError="1"/>
      <sheetData sheetId="102"/>
      <sheetData sheetId="103" refreshError="1"/>
      <sheetData sheetId="104"/>
      <sheetData sheetId="105"/>
      <sheetData sheetId="106"/>
      <sheetData sheetId="107"/>
      <sheetData sheetId="108"/>
      <sheetData sheetId="109" refreshError="1"/>
      <sheetData sheetId="110"/>
      <sheetData sheetId="111"/>
      <sheetData sheetId="112"/>
      <sheetData sheetId="113"/>
      <sheetData sheetId="114" refreshError="1"/>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Set>
  </externalBook>
</externalLink>
</file>

<file path=xl/externalLinks/externalLink3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Valuation Matrix"/>
      <sheetName val="Overview"/>
      <sheetName val="AD Sensitivities"/>
      <sheetName val="Inputs"/>
      <sheetName val="Funds Output"/>
      <sheetName val="Assumptions"/>
      <sheetName val="PF Credit Stats"/>
      <sheetName val="Module1"/>
      <sheetName val="Module2"/>
      <sheetName val="Pro Forma Balance Sheet"/>
      <sheetName val="PF Financials"/>
      <sheetName val="AccDil"/>
      <sheetName val="JV Assumptions"/>
      <sheetName val="JV AccDil "/>
      <sheetName val="JV Pro Forma Balance Sheet"/>
      <sheetName val="JV Credit Stats "/>
      <sheetName val="JV Financials"/>
      <sheetName val="Returns Analysis"/>
      <sheetName val="Acquiror Financials"/>
      <sheetName val="Target  Financials"/>
      <sheetName val="Target Detail"/>
      <sheetName val="DCF"/>
      <sheetName val="Exit Analysis"/>
      <sheetName val="Buildup"/>
      <sheetName val="Synergies"/>
      <sheetName val="Shareholder Analysis"/>
      <sheetName val="Broncos AccDil Input"/>
      <sheetName val="Broncos AccDil"/>
      <sheetName val="BUD AccDil Input"/>
      <sheetName val="BUD AccDil"/>
      <sheetName val="HEIN AccDil Input"/>
      <sheetName val="HEIN AccDil"/>
      <sheetName val="SAB AccDil Input"/>
      <sheetName val="SAB AccDil"/>
      <sheetName val="PMB AccDil Input"/>
      <sheetName val="PMB AccDil"/>
      <sheetName val="PMB AccDil (2)"/>
      <sheetName val="Combination Analysis"/>
      <sheetName val="Strategic JV Analysis"/>
      <sheetName val="MOL AccDil Input"/>
      <sheetName val="MOL AccDil 2"/>
      <sheetName val="MOL AccDil"/>
      <sheetName val="AdditionalPrintCode"/>
      <sheetName val="MainPrintCode"/>
    </sheetNames>
    <sheetDataSet>
      <sheetData sheetId="0" refreshError="1"/>
      <sheetData sheetId="1" refreshError="1"/>
      <sheetData sheetId="2" refreshError="1"/>
      <sheetData sheetId="3" refreshError="1"/>
      <sheetData sheetId="4"/>
      <sheetData sheetId="5" refreshError="1"/>
      <sheetData sheetId="6"/>
      <sheetData sheetId="7" refreshError="1"/>
      <sheetData sheetId="8" refreshError="1"/>
      <sheetData sheetId="9" refreshError="1"/>
      <sheetData sheetId="10" refreshError="1"/>
      <sheetData sheetId="1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sheetData sheetId="26" refreshError="1"/>
      <sheetData sheetId="27"/>
      <sheetData sheetId="28" refreshError="1"/>
      <sheetData sheetId="29"/>
      <sheetData sheetId="30" refreshError="1"/>
      <sheetData sheetId="31"/>
      <sheetData sheetId="32" refreshError="1"/>
      <sheetData sheetId="33"/>
      <sheetData sheetId="34" refreshError="1"/>
      <sheetData sheetId="35" refreshError="1">
        <row r="26">
          <cell r="T26">
            <v>6000</v>
          </cell>
        </row>
      </sheetData>
      <sheetData sheetId="36" refreshError="1"/>
      <sheetData sheetId="37" refreshError="1"/>
      <sheetData sheetId="38"/>
      <sheetData sheetId="39"/>
      <sheetData sheetId="40"/>
      <sheetData sheetId="41" refreshError="1"/>
      <sheetData sheetId="42" refreshError="1"/>
      <sheetData sheetId="43" refreshError="1"/>
      <sheetData sheetId="44" refreshError="1"/>
    </sheetDataSet>
  </externalBook>
</externalLink>
</file>

<file path=xl/externalLinks/externalLink3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fd shares"/>
      <sheetName val="xchange"/>
      <sheetName val="Side-by_side"/>
      <sheetName val="Val_Matrix"/>
      <sheetName val="ownership"/>
    </sheetNames>
    <sheetDataSet>
      <sheetData sheetId="0" refreshError="1"/>
      <sheetData sheetId="1" refreshError="1">
        <row r="7">
          <cell r="F7" t="str">
            <v>MLNM</v>
          </cell>
          <cell r="H7" t="str">
            <v>VRTX</v>
          </cell>
        </row>
        <row r="9">
          <cell r="L9">
            <v>36578</v>
          </cell>
        </row>
        <row r="10">
          <cell r="K10" t="str">
            <v>^IB_PRICE_HIGH_52W</v>
          </cell>
        </row>
        <row r="11">
          <cell r="H11">
            <v>29.16700559255203</v>
          </cell>
          <cell r="K11" t="str">
            <v>^IB_PRICE_LOW_52W</v>
          </cell>
        </row>
        <row r="14">
          <cell r="K14" t="str">
            <v>^P_PRICE</v>
          </cell>
        </row>
      </sheetData>
      <sheetData sheetId="2" refreshError="1"/>
      <sheetData sheetId="3" refreshError="1"/>
      <sheetData sheetId="4" refreshError="1"/>
      <sheetData sheetId="5" refreshError="1"/>
    </sheetDataSet>
  </externalBook>
</externalLink>
</file>

<file path=xl/externalLinks/externalLink4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Assum"/>
      <sheetName val="Case"/>
      <sheetName val="Group 1"/>
      <sheetName val="Asbury"/>
      <sheetName val="combo"/>
      <sheetName val="Summary New"/>
      <sheetName val="AdditionalPrintCode"/>
      <sheetName val="MainPrintCode"/>
      <sheetName val="Calc"/>
      <sheetName val="AccDil"/>
      <sheetName val="Cases"/>
      <sheetName val="DCF Inputs"/>
      <sheetName val="DCF Matrix"/>
      <sheetName val="Summary Val"/>
      <sheetName val="ValMatrix"/>
      <sheetName val="Macro"/>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externalLinks/externalLink4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ultipleSecurities"/>
      <sheetName val="Model_Template"/>
      <sheetName val="Q&amp;A"/>
      <sheetName val="mwareDates"/>
      <sheetName val="mwareSettings"/>
      <sheetName val="Quarterly"/>
      <sheetName val="INPUT"/>
      <sheetName val="Val"/>
      <sheetName val="PRINT SHEET"/>
      <sheetName val="Key Metrics"/>
      <sheetName val="Profile"/>
      <sheetName val="STA GRAPHS"/>
      <sheetName val="RESIDUAL INCOME"/>
      <sheetName val="Employee"/>
      <sheetName val="Individual"/>
      <sheetName val="Assumptions"/>
      <sheetName val="BS"/>
      <sheetName val="UPS-GAS"/>
      <sheetName val="Combo Box"/>
      <sheetName val="MMD"/>
      <sheetName val="Model"/>
      <sheetName val="MATQTRS"/>
      <sheetName val="UNIV-EBS DATA"/>
      <sheetName val="Ratios"/>
      <sheetName val="MATINC"/>
      <sheetName val="MATBAL"/>
      <sheetName val="Macro1"/>
      <sheetName val="Macro2"/>
      <sheetName val="LXK"/>
      <sheetName val="Valuation"/>
      <sheetName val="Analysis"/>
      <sheetName val="MACRS"/>
      <sheetName val="FutureAcq"/>
      <sheetName val="Credit Output"/>
      <sheetName val="CalcsMO"/>
      <sheetName val=" Capital"/>
      <sheetName val="New Business"/>
      <sheetName val="yearly"/>
      <sheetName val="OnAir"/>
      <sheetName val="RELPE"/>
      <sheetName val="SALESCAT"/>
      <sheetName val="MATCASH"/>
      <sheetName val="FinSum"/>
      <sheetName val="Gas"/>
      <sheetName val="Off Peak"/>
      <sheetName val="Peak"/>
      <sheetName val="Aladdin Macro1"/>
      <sheetName val="DATA"/>
      <sheetName val="Scenario"/>
      <sheetName val="WY"/>
      <sheetName val="changes in EST"/>
      <sheetName val="US peers EBIT Margins"/>
      <sheetName val="Sheet7"/>
      <sheetName val="Model (Euro)"/>
      <sheetName val="Monthly Spot"/>
      <sheetName val="NKEBALST"/>
      <sheetName val="NKEQTRIN"/>
      <sheetName val="main"/>
      <sheetName val="Sheet1"/>
      <sheetName val="DMK"/>
      <sheetName val="Cashflow Model"/>
      <sheetName val="premium detail - P&amp;C"/>
      <sheetName val="Sainsbury"/>
      <sheetName val="Accounts&amp;Forecasts"/>
      <sheetName val="単独"/>
      <sheetName val="ｾｸﾞﾒﾝﾄ"/>
      <sheetName val="Annual"/>
      <sheetName val="macros"/>
    </sheetNames>
    <sheetDataSet>
      <sheetData sheetId="0" refreshError="1"/>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Set>
  </externalBook>
</externalLink>
</file>

<file path=xl/externalLinks/externalLink4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
      <sheetName val="TRADING"/>
      <sheetName val="__FDSCACHE__"/>
      <sheetName val="OPERATING"/>
      <sheetName val="FACTSET"/>
      <sheetName val="TOP"/>
      <sheetName val="Dialog1"/>
      <sheetName val="Module1"/>
    </sheetNames>
    <sheetDataSet>
      <sheetData sheetId="0" refreshError="1">
        <row r="13">
          <cell r="A13" t="str">
            <v>AAII</v>
          </cell>
          <cell r="B13" t="str">
            <v xml:space="preserve">Applied Analytical Industries </v>
          </cell>
        </row>
        <row r="14">
          <cell r="A14" t="str">
            <v>BLPG</v>
          </cell>
          <cell r="B14" t="str">
            <v xml:space="preserve">Boron LePore &amp; Associates </v>
          </cell>
        </row>
        <row r="15">
          <cell r="A15" t="str">
            <v>BREL</v>
          </cell>
          <cell r="B15" t="str">
            <v xml:space="preserve">BioReliance Corporation </v>
          </cell>
        </row>
        <row r="16">
          <cell r="A16" t="str">
            <v>DATA</v>
          </cell>
          <cell r="B16" t="str">
            <v>Collaborative Clinical Research (a)</v>
          </cell>
        </row>
        <row r="17">
          <cell r="A17" t="str">
            <v>CCRO</v>
          </cell>
          <cell r="B17" t="str">
            <v xml:space="preserve">ClinTrials Research </v>
          </cell>
        </row>
        <row r="18">
          <cell r="A18" t="str">
            <v>CVD</v>
          </cell>
          <cell r="B18" t="str">
            <v>Covance</v>
          </cell>
        </row>
        <row r="19">
          <cell r="A19" t="str">
            <v>DJII</v>
          </cell>
          <cell r="B19" t="str">
            <v>DJIA</v>
          </cell>
        </row>
        <row r="20">
          <cell r="A20" t="str">
            <v>ICLRY</v>
          </cell>
          <cell r="B20" t="str">
            <v>ICON plc</v>
          </cell>
        </row>
        <row r="21">
          <cell r="A21" t="str">
            <v>KNDL</v>
          </cell>
          <cell r="B21" t="str">
            <v xml:space="preserve">Kendle International </v>
          </cell>
        </row>
        <row r="22">
          <cell r="A22" t="str">
            <v>PPDI</v>
          </cell>
          <cell r="B22" t="str">
            <v xml:space="preserve">Pharmaceutical Product Development </v>
          </cell>
        </row>
        <row r="23">
          <cell r="A23" t="str">
            <v>PRWW</v>
          </cell>
          <cell r="B23" t="str">
            <v>Premier Research Worldwide</v>
          </cell>
        </row>
        <row r="24">
          <cell r="A24" t="str">
            <v>PRXL</v>
          </cell>
          <cell r="B24" t="str">
            <v>Parexel International</v>
          </cell>
        </row>
        <row r="25">
          <cell r="A25" t="str">
            <v>PDII</v>
          </cell>
          <cell r="B25" t="str">
            <v>Professional Detailing</v>
          </cell>
        </row>
        <row r="26">
          <cell r="A26" t="str">
            <v>QTRN</v>
          </cell>
          <cell r="B26" t="str">
            <v xml:space="preserve">Quintiles Transnational </v>
          </cell>
        </row>
        <row r="27">
          <cell r="A27" t="str">
            <v>SNC</v>
          </cell>
          <cell r="B27" t="str">
            <v>Snyder Communications</v>
          </cell>
        </row>
        <row r="28">
          <cell r="A28" t="str">
            <v>VTIV</v>
          </cell>
          <cell r="B28" t="str">
            <v>Ventiv Health</v>
          </cell>
        </row>
        <row r="29">
          <cell r="A29" t="str">
            <v>SP50</v>
          </cell>
          <cell r="B29" t="str">
            <v>S &amp; P 500</v>
          </cell>
        </row>
        <row r="30">
          <cell r="A30" t="str">
            <v>SPII</v>
          </cell>
          <cell r="B30" t="str">
            <v>S &amp; P 400</v>
          </cell>
        </row>
      </sheetData>
      <sheetData sheetId="1"/>
      <sheetData sheetId="2"/>
      <sheetData sheetId="3"/>
      <sheetData sheetId="4"/>
      <sheetData sheetId="5"/>
      <sheetData sheetId="6"/>
      <sheetData sheetId="7" refreshError="1"/>
    </sheetDataSet>
  </externalBook>
</externalLink>
</file>

<file path=xl/externalLinks/externalLink4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s"/>
      <sheetName val="Trans Assump"/>
      <sheetName val="Hist Inputs"/>
      <sheetName val="Cases"/>
      <sheetName val="DCF Inputs"/>
      <sheetName val="DCF"/>
      <sheetName val="DCF Matrix"/>
      <sheetName val="Standalone"/>
      <sheetName val="Hist Graph"/>
      <sheetName val="Proj Graph"/>
      <sheetName val="LBO"/>
      <sheetName val="LBO Summary"/>
      <sheetName val="LBO IRR"/>
      <sheetName val="LBO Sens"/>
      <sheetName val="Trading Value"/>
      <sheetName val="Trading Val Calc"/>
      <sheetName val="PFMA Statements"/>
      <sheetName val="PFMA Fin Sum"/>
      <sheetName val="PFMA Cap"/>
      <sheetName val="PFMA Credit"/>
      <sheetName val="Fin Graph"/>
      <sheetName val="Credit Graph"/>
      <sheetName val="Earnings"/>
      <sheetName val="Bal Sheets"/>
      <sheetName val="Schedules"/>
      <sheetName val="DCFLBO Code"/>
      <sheetName val="CasesDialog"/>
      <sheetName val="MainPrint Code"/>
      <sheetName val="AdditionalPrint Code"/>
      <sheetName val="InitialPrintDialog"/>
    </sheetNames>
    <sheetDataSet>
      <sheetData sheetId="0" refreshError="1"/>
      <sheetData sheetId="1" refreshError="1">
        <row r="28">
          <cell r="J28" t="str">
            <v>Yes</v>
          </cell>
        </row>
        <row r="29">
          <cell r="J29">
            <v>40</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Set>
  </externalBook>
</externalLink>
</file>

<file path=xl/externalLinks/externalLink4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4)"/>
      <sheetName val="Financials"/>
      <sheetName val="DCF Inputs"/>
      <sheetName val="Wang DCF "/>
      <sheetName val="Sensitivity Analysis"/>
    </sheetNames>
    <sheetDataSet>
      <sheetData sheetId="0" refreshError="1"/>
      <sheetData sheetId="1" refreshError="1"/>
      <sheetData sheetId="2" refreshError="1"/>
      <sheetData sheetId="3" refreshError="1"/>
      <sheetData sheetId="4" refreshError="1"/>
    </sheetDataSet>
  </externalBook>
</externalLink>
</file>

<file path=xl/externalLinks/externalLink4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
      <sheetName val="Cashflow Forecast Port"/>
      <sheetName val="FX Adjustment"/>
      <sheetName val="LBO Control"/>
      <sheetName val="Standalone"/>
      <sheetName val="Balance Sheet"/>
      <sheetName val="Data Validation Names"/>
      <sheetName val="c1"/>
      <sheetName val="DCF Input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4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trol Page"/>
      <sheetName val="__FDSCACHE__"/>
      <sheetName val="Cap"/>
      <sheetName val="Sonoma Cases"/>
      <sheetName val="Sonoma Financials"/>
      <sheetName val="Cabernet Cases"/>
      <sheetName val="Cabernet Financials"/>
      <sheetName val="DEV"/>
      <sheetName val="Valuation Matrix"/>
      <sheetName val="Post Money Ownership"/>
      <sheetName val="Pro Forma Impact"/>
      <sheetName val="Sonoma Caps Table"/>
      <sheetName val="Sonoma Comp Val"/>
      <sheetName val="Relative Contribution"/>
      <sheetName val="Cash Requirments"/>
      <sheetName val="MiniMerger Assumptions"/>
      <sheetName val="Merger Output"/>
      <sheetName val="Stock Price Analysis"/>
      <sheetName val="EPS"/>
      <sheetName val="sonoma index"/>
      <sheetName val="nasdaq index"/>
      <sheetName val="comps index"/>
      <sheetName val="Sonoma"/>
      <sheetName val="Report"/>
      <sheetName val="DCF"/>
      <sheetName val="Valuation Summary"/>
    </sheetNames>
    <sheetDataSet>
      <sheetData sheetId="0" refreshError="1">
        <row r="7">
          <cell r="C7" t="str">
            <v>Cabernet</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Set>
  </externalBook>
</externalLink>
</file>

<file path=xl/externalLinks/externalLink4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trol"/>
      <sheetName val="Cap"/>
      <sheetName val="LS Assmptns"/>
      <sheetName val="LS Fin"/>
      <sheetName val="Clin Assmptns"/>
      <sheetName val="Clin Fin"/>
      <sheetName val="Bio Assmptns"/>
      <sheetName val="Bio Fin"/>
      <sheetName val="Tot Fin"/>
      <sheetName val="Contribution"/>
      <sheetName val="__FDSCACHE__"/>
      <sheetName val="DCF Summary"/>
      <sheetName val="scen comp"/>
      <sheetName val="FD DCF Inputs"/>
      <sheetName val="FD DCF"/>
      <sheetName val="Football field"/>
      <sheetName val="BLANK3"/>
      <sheetName val="Total"/>
      <sheetName val="LS"/>
      <sheetName val="Clin"/>
      <sheetName val="Bio"/>
      <sheetName val="BLANK4"/>
      <sheetName val="BLANK5"/>
      <sheetName val="WACC"/>
      <sheetName val="cash burn"/>
    </sheetNames>
    <sheetDataSet>
      <sheetData sheetId="0" refreshError="1">
        <row r="33">
          <cell r="E33" t="str">
            <v>Burgundy Case</v>
          </cell>
        </row>
      </sheetData>
      <sheetData sheetId="1"/>
      <sheetData sheetId="2"/>
      <sheetData sheetId="3" refreshError="1"/>
      <sheetData sheetId="4" refreshError="1"/>
      <sheetData sheetId="5" refreshError="1"/>
      <sheetData sheetId="6" refreshError="1"/>
      <sheetData sheetId="7" refreshError="1"/>
      <sheetData sheetId="8"/>
      <sheetData sheetId="9" refreshError="1"/>
      <sheetData sheetId="10" refreshError="1"/>
      <sheetData sheetId="11" refreshError="1"/>
      <sheetData sheetId="12" refreshError="1"/>
      <sheetData sheetId="13" refreshError="1"/>
      <sheetData sheetId="14"/>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4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Pill Financials"/>
      <sheetName val="Asset Sale Assump"/>
      <sheetName val="Mult"/>
      <sheetName val="Val Mtx"/>
      <sheetName val="Inputs"/>
      <sheetName val="AdditionalPrintCode"/>
      <sheetName val="MainPrintCode"/>
      <sheetName val="EPS Calc"/>
      <sheetName val="Merger Inputs"/>
      <sheetName val="Calc"/>
      <sheetName val="Module12"/>
      <sheetName val="Module13"/>
      <sheetName val="GAAP"/>
      <sheetName val="AssetPur"/>
      <sheetName val="HAT-MINI-MERGER"/>
      <sheetName val="Pooling"/>
      <sheetName val="Credit"/>
      <sheetName val="FinCosts"/>
      <sheetName val="Debt Capacity"/>
      <sheetName val="Contribution"/>
      <sheetName val="Val_to_King"/>
      <sheetName val="MINI-MERGER"/>
      <sheetName val="Val-Matrix "/>
      <sheetName val="ValMatrix -King-BFO-no trick"/>
      <sheetName val="Val to King - no trick"/>
      <sheetName val="bfo-val"/>
      <sheetName val="Val to King - trick"/>
      <sheetName val="Val Creat - pool"/>
      <sheetName val="val creat summ"/>
      <sheetName val="Exchange Ratio Calc"/>
      <sheetName val="B IS"/>
      <sheetName val="K IS"/>
      <sheetName val="Combined IS"/>
      <sheetName val="B BS"/>
      <sheetName val="K BS"/>
      <sheetName val="PF Balance Sheet"/>
      <sheetName val="shares calcs"/>
      <sheetName val="PF Acquiror"/>
      <sheetName val="Sheet1"/>
      <sheetName val="Price Target"/>
      <sheetName val="Football"/>
      <sheetName val="Val Matrix"/>
      <sheetName val="Syn_Val_Creat"/>
      <sheetName val="cost syn"/>
      <sheetName val="side-by-side"/>
      <sheetName val="Cont. Analysis"/>
      <sheetName val="SHARE CALC"/>
      <sheetName val="Stock Change"/>
      <sheetName val="PF BS"/>
      <sheetName val="Mini-Merger - K &amp; Q"/>
      <sheetName val="Mini Merger OP"/>
      <sheetName val="Mini Merger 2"/>
      <sheetName val="King_bishop"/>
      <sheetName val="bishop-check"/>
      <sheetName val="InitialPrintDialog"/>
      <sheetName val="b-k_trick_cash-premium"/>
      <sheetName val="bishop-king-19.9-30-50"/>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Set>
  </externalBook>
</externalLink>
</file>

<file path=xl/externalLinks/externalLink4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Assumptions"/>
      <sheetName val="Inputs"/>
      <sheetName val="Sideby side"/>
      <sheetName val="AD"/>
      <sheetName val="Value Creation"/>
      <sheetName val="CA"/>
      <sheetName val="Options"/>
      <sheetName val="Val Matrix"/>
    </sheetNames>
    <sheetDataSet>
      <sheetData sheetId="0" refreshError="1"/>
      <sheetData sheetId="1" refreshError="1"/>
      <sheetData sheetId="2" refreshError="1"/>
      <sheetData sheetId="3" refreshError="1"/>
      <sheetData sheetId="4" refreshError="1">
        <row r="18">
          <cell r="T18">
            <v>0.3</v>
          </cell>
        </row>
      </sheetData>
      <sheetData sheetId="5" refreshError="1"/>
      <sheetData sheetId="6" refreshError="1"/>
      <sheetData sheetId="7" refreshError="1"/>
      <sheetData sheetId="8" refreshError="1"/>
    </sheetDataSet>
  </externalBook>
</externalLink>
</file>

<file path=xl/externalLinks/externalLink5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Inputs"/>
      <sheetName val="mini-m inputs"/>
      <sheetName val="mini-merger"/>
      <sheetName val="mini-merger normalized"/>
      <sheetName val="XR Calc"/>
      <sheetName val="PPDS"/>
      <sheetName val="Rel. Cont."/>
      <sheetName val="Then and Now"/>
      <sheetName val="Acc.Del Sensitivity"/>
    </sheetNames>
    <sheetDataSet>
      <sheetData sheetId="0" refreshError="1"/>
      <sheetData sheetId="1" refreshError="1">
        <row r="31">
          <cell r="L31">
            <v>24.990000000000002</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5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intManagerCode"/>
      <sheetName val="LBO"/>
      <sheetName val="Sensitivity"/>
      <sheetName val="Shadow Quick LBO2"/>
    </sheetNames>
    <sheetDataSet>
      <sheetData sheetId="0" refreshError="1"/>
      <sheetData sheetId="1" refreshError="1">
        <row r="8">
          <cell r="Y8">
            <v>850</v>
          </cell>
        </row>
      </sheetData>
      <sheetData sheetId="2" refreshError="1"/>
      <sheetData sheetId="3" refreshError="1"/>
    </sheetDataSet>
  </externalBook>
</externalLink>
</file>

<file path=xl/externalLinks/externalLink5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ist Inputs"/>
      <sheetName val="Calcs for Sensitivy"/>
      <sheetName val="Cases"/>
      <sheetName val="Financials"/>
      <sheetName val="Performance"/>
    </sheetNames>
    <sheetDataSet>
      <sheetData sheetId="0" refreshError="1"/>
      <sheetData sheetId="1" refreshError="1"/>
      <sheetData sheetId="2" refreshError="1"/>
      <sheetData sheetId="3" refreshError="1"/>
      <sheetData sheetId="4" refreshError="1"/>
    </sheetDataSet>
  </externalBook>
</externalLink>
</file>

<file path=xl/externalLinks/externalLink5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trol Page"/>
      <sheetName val="Cases"/>
      <sheetName val="Earnings"/>
      <sheetName val="DCF Input"/>
      <sheetName val="__FDSCACHE__"/>
      <sheetName val="DCF Output"/>
      <sheetName val="Contribution Analysis"/>
      <sheetName val="Valuation Matrix"/>
      <sheetName val="Sheet1"/>
      <sheetName val="Credit Statistics"/>
    </sheetNames>
    <sheetDataSet>
      <sheetData sheetId="0" refreshError="1">
        <row r="5">
          <cell r="C5" t="str">
            <v>New York Times</v>
          </cell>
        </row>
      </sheetData>
      <sheetData sheetId="1" refreshError="1"/>
      <sheetData sheetId="2" refreshError="1">
        <row r="50">
          <cell r="P50">
            <v>169.94192100000001</v>
          </cell>
        </row>
      </sheetData>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5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Cases"/>
      <sheetName val="Financials"/>
      <sheetName val="Sheet2 (2)"/>
      <sheetName val="Standalone Financials"/>
      <sheetName val="DCF Inputs"/>
      <sheetName val="DCF Matrix"/>
      <sheetName val="DCF Matrix (2)"/>
      <sheetName val="Side-by-Side"/>
      <sheetName val="Sheet4 (2)"/>
      <sheetName val="Sheet17"/>
      <sheetName val="Sheet2"/>
      <sheetName val="Sensitivity Analysis"/>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Module1"/>
      <sheetName val="Module2"/>
      <sheetName val="Logistics Valuation Model"/>
    </sheetNames>
    <definedNames>
      <definedName name="Print_DCF"/>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Set>
  </externalBook>
</externalLink>
</file>

<file path=xl/externalLinks/externalLink5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oRollUp"/>
      <sheetName val="Module3"/>
      <sheetName val="Geographic"/>
      <sheetName val="Model Assumptions"/>
      <sheetName val="Summary PF #4"/>
      <sheetName val="Summary of Pro Forma (3)"/>
      <sheetName val="Summary of Pro Forma (2)"/>
      <sheetName val="WellSens"/>
      <sheetName val="WellPoint"/>
      <sheetName val="SumFin"/>
      <sheetName val="Dental Valsum"/>
      <sheetName val="Dental DCF Inputs"/>
      <sheetName val="Dental DCF"/>
      <sheetName val="Dental Cases"/>
      <sheetName val="Dental (Klammer)"/>
      <sheetName val="Dental"/>
      <sheetName val="Hard Rock"/>
      <sheetName val="Poundstone"/>
      <sheetName val="Cases"/>
      <sheetName val="Covenant"/>
      <sheetName val="RushValSum"/>
      <sheetName val="RushMatrix"/>
      <sheetName val="Rush"/>
      <sheetName val="California"/>
      <sheetName val="CA Cases"/>
      <sheetName val="CredSens"/>
      <sheetName val="Dental PMAT"/>
      <sheetName val="PMAT (2)"/>
      <sheetName val="PFMA Income"/>
      <sheetName val="PFMA Balance"/>
      <sheetName val="PFMA Schedules"/>
      <sheetName val="SynSchedule"/>
      <sheetName val="DCF Inputs"/>
      <sheetName val="DCF Matrix"/>
      <sheetName val="Valuation Summary"/>
      <sheetName val="MemVal"/>
      <sheetName val="Sensitivities"/>
      <sheetName val="Synergy Analysis"/>
      <sheetName val="DCF Assumptions"/>
      <sheetName val="Sheet1"/>
      <sheetName val="DCFSENS"/>
      <sheetName val="SIDE"/>
      <sheetName val="PMAT"/>
      <sheetName val="Macred"/>
      <sheetName val="CredBuil(Update97Pound)"/>
      <sheetName val="CredDental"/>
      <sheetName val="Credit Buildup"/>
      <sheetName val="Financial Overview"/>
      <sheetName val="Sheet2"/>
      <sheetName val="Convert Analysis"/>
      <sheetName val="ConsMix With Convert"/>
      <sheetName val="Incr. Int"/>
      <sheetName val="Seller"/>
      <sheetName val="ConsMix"/>
      <sheetName val="Dollar for Dollar"/>
      <sheetName val="DCFYN26"/>
    </sheetNames>
    <definedNames>
      <definedName name="Print_HardRock"/>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Set>
  </externalBook>
</externalLink>
</file>

<file path=xl/externalLinks/externalLink5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lcs for Sensitivy"/>
      <sheetName val="Financials"/>
      <sheetName val="Hist Inputs"/>
      <sheetName val="DCF7"/>
    </sheetNames>
    <definedNames>
      <definedName name="Print_ibt"/>
      <definedName name="Print_image"/>
      <definedName name="Print_valmat"/>
    </definedNames>
    <sheetDataSet>
      <sheetData sheetId="0" refreshError="1"/>
      <sheetData sheetId="1" refreshError="1"/>
      <sheetData sheetId="2" refreshError="1"/>
      <sheetData sheetId="3" refreshError="1"/>
    </sheetDataSet>
  </externalBook>
</externalLink>
</file>

<file path=xl/externalLinks/externalLink5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s"/>
      <sheetName val="HIST20"/>
      <sheetName val="Graphs"/>
      <sheetName val="14150"/>
      <sheetName val="Hist Inputs"/>
    </sheetNames>
    <definedNames>
      <definedName name="Print_Valmax"/>
    </definedNames>
    <sheetDataSet>
      <sheetData sheetId="0" refreshError="1"/>
      <sheetData sheetId="1" refreshError="1"/>
      <sheetData sheetId="2" refreshError="1"/>
      <sheetData sheetId="3" refreshError="1"/>
      <sheetData sheetId="4" refreshError="1"/>
    </sheetDataSet>
  </externalBook>
</externalLink>
</file>

<file path=xl/externalLinks/externalLink5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odel"/>
      <sheetName val="LBO_2"/>
    </sheetNames>
    <definedNames>
      <definedName name="PrintModelReports"/>
      <definedName name="PrintPreviewModelReports"/>
    </definedNames>
    <sheetDataSet>
      <sheetData sheetId="0" refreshError="1"/>
      <sheetData sheetId="1" refreshError="1"/>
    </sheetDataSet>
  </externalBook>
</externalLink>
</file>

<file path=xl/externalLinks/externalLink5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FD Value"/>
      <sheetName val="Sheet13"/>
      <sheetName val="Sheet14"/>
      <sheetName val="Sheet12"/>
      <sheetName val="__FDSCACHE__"/>
      <sheetName val="Input"/>
      <sheetName val="FD TSO"/>
      <sheetName val="Value"/>
      <sheetName val="PF BS"/>
      <sheetName val="Sheet6"/>
      <sheetName val="Sheet1"/>
      <sheetName val="Sheet11"/>
      <sheetName val="Sheet16"/>
      <sheetName val="MiniMerg"/>
      <sheetName val="MiniMergSummary"/>
      <sheetName val="Sheet10"/>
      <sheetName val="Breakup"/>
      <sheetName val="Sheet7"/>
      <sheetName val="DCF"/>
      <sheetName val="Sheet4"/>
      <sheetName val="Sheet3"/>
      <sheetName val="Sheet9"/>
      <sheetName val="Sheet8"/>
      <sheetName val="Sheet5"/>
      <sheetName val="Multiple"/>
      <sheetName val="Multiple2"/>
      <sheetName val="Single"/>
      <sheetName val="Sheet2"/>
      <sheetName val="MainPrint Code"/>
      <sheetName val="AdditionalPrint Code"/>
      <sheetName val="InitialPrintDialog"/>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row r="13">
          <cell r="T13">
            <v>0.2</v>
          </cell>
        </row>
      </sheetData>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Set>
  </externalBook>
</externalLink>
</file>

<file path=xl/externalLinks/externalLink6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s"/>
      <sheetName val="__FDSCACHE__"/>
      <sheetName val="Switches(2)"/>
      <sheetName val="SumVal"/>
      <sheetName val="Goodwill"/>
      <sheetName val="Debtrealloc"/>
      <sheetName val="Matrix"/>
      <sheetName val="Valmatrix"/>
      <sheetName val="40"/>
      <sheetName val="Borg"/>
      <sheetName val="Schw"/>
      <sheetName val="Elec"/>
      <sheetName val="Cable"/>
      <sheetName val="Corp"/>
      <sheetName val="Target"/>
      <sheetName val="10-Year DCF"/>
      <sheetName val="Combined"/>
      <sheetName val="Switches"/>
      <sheetName val="BearSens"/>
      <sheetName val="BearSens (38)"/>
      <sheetName val="Sources &amp; Uses"/>
      <sheetName val="Combined  PF BS"/>
      <sheetName val="Amort"/>
      <sheetName val="CorpExpense"/>
      <sheetName val="LBO Summary"/>
      <sheetName val="LBO Financials"/>
      <sheetName val="LBO PF BS"/>
      <sheetName val="5-Year DCF"/>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row r="53">
          <cell r="D53">
            <v>5</v>
          </cell>
        </row>
      </sheetData>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Set>
  </externalBook>
</externalLink>
</file>

<file path=xl/externalLinks/externalLink6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redit Stats (2)"/>
      <sheetName val="Assumptions"/>
      <sheetName val="Blend"/>
      <sheetName val="__FDSCACHE__"/>
      <sheetName val="Acc-Dil"/>
      <sheetName val="Credit Stats"/>
      <sheetName val="accdil"/>
      <sheetName val="val_matrix"/>
      <sheetName val="PrintManagerCode"/>
      <sheetName val="Shares"/>
      <sheetName val="ENDP"/>
    </sheetNames>
    <sheetDataSet>
      <sheetData sheetId="0" refreshError="1"/>
      <sheetData sheetId="1" refreshError="1">
        <row r="15">
          <cell r="C15">
            <v>0</v>
          </cell>
        </row>
        <row r="20">
          <cell r="C20">
            <v>0</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externalLinks/externalLink6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agle"/>
      <sheetName val="VERTIGO"/>
      <sheetName val="Data"/>
      <sheetName val="Xrate"/>
      <sheetName val="Outputs"/>
      <sheetName val="Inputs"/>
      <sheetName val="Transinputs"/>
      <sheetName val="Shares"/>
      <sheetName val="Acquiror"/>
      <sheetName val="Target"/>
      <sheetName val="Calcs"/>
      <sheetName val="Summary"/>
      <sheetName val="EPS"/>
      <sheetName val="RD Sense"/>
      <sheetName val="Sense"/>
      <sheetName val="Contribute"/>
      <sheetName val="TMat"/>
      <sheetName val="PMat"/>
      <sheetName val="Majors"/>
      <sheetName val="LIQUID"/>
      <sheetName val="LESLIE"/>
      <sheetName val="Tainted"/>
      <sheetName val="Module1"/>
      <sheetName val="Matrix"/>
      <sheetName val="Graph"/>
      <sheetName val="Structure"/>
      <sheetName val="Exchange Ratio"/>
      <sheetName val="Interloper"/>
      <sheetName val="Merger Code"/>
      <sheetName val="MainPrint Code"/>
      <sheetName val="AdditionalPrint Code"/>
      <sheetName val="InitialPrintDialog"/>
      <sheetName val="MainPrint Code (2)"/>
      <sheetName val="AdditionalPrint Code (2)"/>
      <sheetName val="InitialPrintDialog (2)"/>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Set>
  </externalBook>
</externalLink>
</file>

<file path=xl/externalLinks/externalLink6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ns Assump"/>
      <sheetName val="Trans Sum"/>
      <sheetName val="LBO Sum"/>
      <sheetName val="Cases"/>
      <sheetName val="Research"/>
      <sheetName val="Synergy"/>
      <sheetName val="Standalone"/>
      <sheetName val="Summary"/>
      <sheetName val="DCF Inputs"/>
      <sheetName val="DCF Matrix"/>
      <sheetName val="DCF Sens"/>
      <sheetName val="Comps"/>
      <sheetName val="Val Anal"/>
      <sheetName val="Gr Cos Sen"/>
      <sheetName val="Val Matrix"/>
      <sheetName val="Comparison"/>
      <sheetName val="Print Mod"/>
      <sheetName val="Val Mod"/>
      <sheetName val="Module1"/>
    </sheetNames>
    <sheetDataSet>
      <sheetData sheetId="0" refreshError="1">
        <row r="19">
          <cell r="C19">
            <v>3</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Set>
  </externalBook>
</externalLink>
</file>

<file path=xl/externalLinks/externalLink6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Inputs"/>
      <sheetName val="Assumptions"/>
      <sheetName val="Calcs"/>
      <sheetName val="Prem Sens2"/>
      <sheetName val="Premium Sensitivity"/>
      <sheetName val="Exchange rate"/>
      <sheetName val="Contribution"/>
      <sheetName val="Comparison"/>
      <sheetName val="Proforma Growth Matrix"/>
      <sheetName val="Proforma Price"/>
      <sheetName val="Pro-Forma Stock Price"/>
      <sheetName val="2001 Sensitivities"/>
      <sheetName val="2002 Sensitivities "/>
      <sheetName val="Old Sensitivities"/>
      <sheetName val="Output"/>
      <sheetName val="Value Impact"/>
      <sheetName val="ProForma"/>
      <sheetName val="Interloper"/>
      <sheetName val="Interloper-Cash"/>
    </sheetNames>
    <sheetDataSet>
      <sheetData sheetId="0" refreshError="1"/>
      <sheetData sheetId="1" refreshError="1">
        <row r="59">
          <cell r="AC59">
            <v>0.1</v>
          </cell>
        </row>
        <row r="60">
          <cell r="AC60">
            <v>0.1</v>
          </cell>
        </row>
        <row r="61">
          <cell r="AC61">
            <v>0.1</v>
          </cell>
        </row>
        <row r="95">
          <cell r="AA95">
            <v>75</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Set>
  </externalBook>
</externalLink>
</file>

<file path=xl/externalLinks/externalLink6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gt;&gt;&gt;"/>
      <sheetName val="post proforma"/>
      <sheetName val="Canada"/>
      <sheetName val="summary"/>
      <sheetName val="PRESENTATION&gt;&gt;&gt;"/>
      <sheetName val="PF Adj"/>
      <sheetName val="Hist Results"/>
      <sheetName val="Quarters"/>
      <sheetName val="Retail IS Summary"/>
      <sheetName val="IS Summary"/>
      <sheetName val="Proj Results"/>
      <sheetName val="Case Summary"/>
      <sheetName val="MODEL&gt;&gt;&gt;"/>
      <sheetName val="Assump"/>
      <sheetName val="LBO"/>
      <sheetName val="Consolidated"/>
      <sheetName val="Retail"/>
      <sheetName val="Closed"/>
      <sheetName val="Franchising"/>
      <sheetName val="Manufacturing"/>
      <sheetName val="Rite Aid"/>
      <sheetName val="DS.com"/>
      <sheetName val="Corporate"/>
      <sheetName val="New Prototype"/>
      <sheetName val="Takeback Prototype"/>
      <sheetName val="Buyback Prototype"/>
      <sheetName val="Convert '04"/>
      <sheetName val="Convert '05"/>
      <sheetName val="Convert '06"/>
      <sheetName val="Convert '07"/>
      <sheetName val="Convert '08"/>
      <sheetName val="DO NOT PRINT&gt;&gt;&gt;"/>
      <sheetName val="Sell Plant"/>
      <sheetName val="New Rollup"/>
      <sheetName val="Buyback Rollup"/>
      <sheetName val="Takeback Rollup"/>
      <sheetName val="Convert Rollup"/>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row r="6">
          <cell r="P6">
            <v>1</v>
          </cell>
        </row>
      </sheetData>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Set>
  </externalBook>
</externalLink>
</file>

<file path=xl/externalLinks/externalLink6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mparison of Assumps."/>
      <sheetName val="Assumptions"/>
      <sheetName val="Syn. Assumps."/>
      <sheetName val="Synergy Output"/>
      <sheetName val="Lazard"/>
      <sheetName val="Hist. ROIC"/>
      <sheetName val="PF Cred Stats"/>
      <sheetName val="Summary"/>
      <sheetName val="Summary - Sales"/>
      <sheetName val="PF P&amp;L"/>
      <sheetName val="PF ROIC"/>
      <sheetName val="PF BS Adj"/>
      <sheetName val="PF CF"/>
      <sheetName val="__FDSCACHE__"/>
      <sheetName val="PF BS"/>
      <sheetName val="Holl. BS"/>
      <sheetName val="Holl. CF"/>
      <sheetName val="Holl P&amp;L Output"/>
      <sheetName val="Holl. P&amp;L"/>
      <sheetName val="Holl. Cases"/>
      <sheetName val="Divestiture"/>
      <sheetName val="Div. Output"/>
      <sheetName val="Tit P&amp;L Output (Div)"/>
      <sheetName val="Titan CF"/>
      <sheetName val="Lev Recap"/>
      <sheetName val="Titan BS"/>
      <sheetName val="Div. Tit BS"/>
      <sheetName val="Tit P&amp;L Output (Old)"/>
      <sheetName val="Titan P&amp;L"/>
      <sheetName val="Titan Cases"/>
      <sheetName val="Titan Mgmt Cases"/>
      <sheetName val="Fully Diluted Share"/>
      <sheetName val="Stock Price"/>
      <sheetName val="Acc-Dil Matrix"/>
      <sheetName val="ROIC Anal."/>
      <sheetName val="Growth Anal."/>
      <sheetName val="Impl. Val."/>
      <sheetName val="Disc Val Analysis"/>
      <sheetName val="PF Ownership"/>
      <sheetName val="Contr. Output"/>
      <sheetName val="Contribution"/>
      <sheetName val="Adjustments"/>
      <sheetName val="Acq. DCF"/>
      <sheetName val="Def DCF"/>
      <sheetName val="Fluid DCF"/>
      <sheetName val="DCF Output"/>
      <sheetName val="Pension DCF"/>
      <sheetName val="S-O-P DCF"/>
      <sheetName val="MoFlo DCF"/>
      <sheetName val="Elec DCF"/>
      <sheetName val="Graveyard"/>
      <sheetName val="Credit Stats"/>
      <sheetName val="ROIC (Old)"/>
      <sheetName val="Val Matrix"/>
      <sheetName val="DCF"/>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row r="10">
          <cell r="K10">
            <v>93</v>
          </cell>
        </row>
      </sheetData>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Set>
  </externalBook>
</externalLink>
</file>

<file path=xl/externalLinks/externalLink6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ssumptions"/>
      <sheetName val="sales  graph"/>
      <sheetName val="P&amp;L Slide"/>
      <sheetName val="Productivity"/>
      <sheetName val="Pipeline &amp; Resources"/>
      <sheetName val="MLNM Buildup"/>
      <sheetName val="Inflam"/>
      <sheetName val="Metabolic"/>
      <sheetName val="Oncology"/>
      <sheetName val="SDA"/>
      <sheetName val="G2P Platform"/>
      <sheetName val="Patient Mgnt"/>
      <sheetName val="Research Mgnt"/>
      <sheetName val="Inflam SM"/>
      <sheetName val="Inflam Ab"/>
      <sheetName val="LDP-02"/>
      <sheetName val="LDP-977 oral"/>
      <sheetName val="LDP-977 inhale"/>
      <sheetName val="LDP-519"/>
      <sheetName val="CAMPATH-MS"/>
      <sheetName val="CAMPATH-Trans"/>
      <sheetName val="Onco SM"/>
      <sheetName val="Onco Ab"/>
      <sheetName val="CAMPATH-CCLFR"/>
      <sheetName val="CAMPATH-CCLFA"/>
      <sheetName val="CAMPATH-NHL"/>
      <sheetName val="LDP-341"/>
      <sheetName val="Metabolic SM"/>
      <sheetName val="pipeline2"/>
      <sheetName val="Metabolic DP"/>
      <sheetName val="Bayer"/>
      <sheetName val="SDA SM"/>
      <sheetName val="SDA Royalties"/>
      <sheetName val="CAMPATH Buildup"/>
      <sheetName val="LDP-01"/>
    </sheetNames>
    <sheetDataSet>
      <sheetData sheetId="0" refreshError="1">
        <row r="51">
          <cell r="E51" t="str">
            <v>TV</v>
          </cell>
        </row>
        <row r="52">
          <cell r="E52" t="str">
            <v>E-Lead</v>
          </cell>
        </row>
        <row r="53">
          <cell r="E53" t="str">
            <v>L-Lead</v>
          </cell>
        </row>
        <row r="54">
          <cell r="E54" t="str">
            <v>Preclin</v>
          </cell>
        </row>
        <row r="55">
          <cell r="E55" t="str">
            <v>Phase I</v>
          </cell>
        </row>
        <row r="56">
          <cell r="E56" t="str">
            <v>Phase IIa</v>
          </cell>
        </row>
        <row r="57">
          <cell r="E57" t="str">
            <v>Phase IIb</v>
          </cell>
        </row>
        <row r="58">
          <cell r="E58" t="str">
            <v>Phase III</v>
          </cell>
        </row>
        <row r="59">
          <cell r="E59" t="str">
            <v>NDA</v>
          </cell>
        </row>
        <row r="60">
          <cell r="E60" t="str">
            <v>Market</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Set>
  </externalBook>
</externalLink>
</file>

<file path=xl/externalLinks/externalLink6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p. Exp. &amp; Eff."/>
      <sheetName val="Bach P&amp;L"/>
      <sheetName val="Chopin P&amp;L"/>
      <sheetName val="Contrib. Analysis"/>
      <sheetName val="Prices"/>
      <sheetName val="Exchange Ratio"/>
      <sheetName val="__FDSCACHE__"/>
      <sheetName val="MOE Accretion Dilution"/>
      <sheetName val="Input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row r="9">
          <cell r="K9" t="str">
            <v>Chopin</v>
          </cell>
        </row>
      </sheetData>
    </sheetDataSet>
  </externalBook>
</externalLink>
</file>

<file path=xl/externalLinks/externalLink6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Inputs"/>
      <sheetName val="EPS Calc"/>
      <sheetName val="Merger Inputs"/>
      <sheetName val="Calc"/>
      <sheetName val="AccDilMult"/>
      <sheetName val="CreditStats"/>
      <sheetName val="TradingValtoAsbury"/>
      <sheetName val="TradingValtoGroup1"/>
      <sheetName val="AccDilPre"/>
      <sheetName val="AccDilPre POOL"/>
      <sheetName val="Output 1"/>
      <sheetName val="MINI-MERGER 2"/>
      <sheetName val="AccDilwCredit"/>
      <sheetName val="Sheet1"/>
      <sheetName val="Sheet2"/>
      <sheetName val="Sheet3"/>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externalLinks/externalLink7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Input"/>
      <sheetName val="sum_macro"/>
      <sheetName val="print_macro"/>
      <sheetName val="DCFLBO Code"/>
      <sheetName val="__FDSCACHE__"/>
      <sheetName val="CasesDialog"/>
      <sheetName val="MainPrint Code"/>
      <sheetName val="AdditionalPrint Code"/>
      <sheetName val="InitialPrintDialog"/>
    </sheetNames>
    <sheetDataSet>
      <sheetData sheetId="0" refreshError="1"/>
      <sheetData sheetId="1" refreshError="1">
        <row r="63">
          <cell r="K63">
            <v>86.5</v>
          </cell>
        </row>
        <row r="64">
          <cell r="K64">
            <v>40.0625</v>
          </cell>
        </row>
        <row r="68">
          <cell r="K68">
            <v>3.1</v>
          </cell>
        </row>
        <row r="70">
          <cell r="K70">
            <v>4.4639999999999995</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7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s"/>
    </sheetNames>
    <sheetDataSet>
      <sheetData sheetId="0" refreshError="1">
        <row r="49">
          <cell r="AF49">
            <v>12.538055999999999</v>
          </cell>
        </row>
      </sheetData>
    </sheetDataSet>
  </externalBook>
</externalLink>
</file>

<file path=xl/externalLinks/externalLink7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nsinputs"/>
      <sheetName val="Acquiror"/>
      <sheetName val="Target"/>
      <sheetName val="Summary"/>
      <sheetName val="Mergesum"/>
      <sheetName val="Module1"/>
      <sheetName val="Calcs"/>
      <sheetName val="Reconcile"/>
      <sheetName val="Matrix"/>
      <sheetName val="Valuation"/>
      <sheetName val="SumVal"/>
      <sheetName val="Macros"/>
      <sheetName val="Cover1"/>
      <sheetName val="Sensinput"/>
      <sheetName val="Sensmacros"/>
      <sheetName val="Sens"/>
      <sheetName val="SensII Input"/>
      <sheetName val="SensII"/>
      <sheetName val="Sensgraph"/>
      <sheetName val="Cover2"/>
      <sheetName val="Exchinput"/>
      <sheetName val="Exchmacros"/>
      <sheetName val="Sens2"/>
      <sheetName val="Sens3"/>
    </sheetNames>
    <sheetDataSet>
      <sheetData sheetId="0" refreshError="1"/>
      <sheetData sheetId="1" refreshError="1"/>
      <sheetData sheetId="2" refreshError="1">
        <row r="23">
          <cell r="P23">
            <v>135269</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Set>
  </externalBook>
</externalLink>
</file>

<file path=xl/externalLinks/externalLink7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IT Screen"/>
      <sheetName val="Exclusion List"/>
      <sheetName val="MVT Demo"/>
      <sheetName val="OIT Screening"/>
      <sheetName val="Inputs"/>
      <sheetName val="GWP-WLine"/>
      <sheetName val="Forward Curves"/>
      <sheetName val="Broadcast Comps"/>
      <sheetName val="UTX"/>
      <sheetName val="Data"/>
      <sheetName val="All Sum"/>
      <sheetName val="Consol_Income"/>
      <sheetName val="Financials"/>
      <sheetName val="Cash Flow-Industrial"/>
      <sheetName val="Geo"/>
      <sheetName val="DCF"/>
      <sheetName val="Annual-consolidated"/>
      <sheetName val="Qtrly Inc St"/>
      <sheetName val="Bal Sheet - Cons."/>
      <sheetName val="Bal Sheet-Industrial"/>
      <sheetName val="Cash Flow - Cons."/>
      <sheetName val="CENMODEL"/>
      <sheetName val="MultipleSecurities"/>
    </sheetNames>
    <sheetDataSet>
      <sheetData sheetId="0"/>
      <sheetData sheetId="1" refreshError="1">
        <row r="1">
          <cell r="A1" t="str">
            <v>ticker</v>
          </cell>
        </row>
        <row r="2">
          <cell r="A2" t="str">
            <v>ABP.L</v>
          </cell>
        </row>
        <row r="3">
          <cell r="A3" t="str">
            <v>AGG.L</v>
          </cell>
        </row>
        <row r="4">
          <cell r="A4" t="str">
            <v>AHLN.AS</v>
          </cell>
        </row>
        <row r="5">
          <cell r="A5" t="str">
            <v>AHo.N</v>
          </cell>
        </row>
        <row r="6">
          <cell r="A6" t="str">
            <v>AIRF.PA</v>
          </cell>
        </row>
        <row r="7">
          <cell r="A7" t="str">
            <v>AKH.N</v>
          </cell>
        </row>
        <row r="8">
          <cell r="A8" t="str">
            <v>AIB.N</v>
          </cell>
        </row>
        <row r="9">
          <cell r="A9" t="str">
            <v>ALBK.I</v>
          </cell>
        </row>
        <row r="10">
          <cell r="A10" t="str">
            <v>ALO.N</v>
          </cell>
        </row>
        <row r="11">
          <cell r="A11" t="str">
            <v>AHC.N</v>
          </cell>
        </row>
        <row r="12">
          <cell r="A12" t="str">
            <v>AMGN.O</v>
          </cell>
        </row>
        <row r="13">
          <cell r="A13" t="str">
            <v>AAL.L</v>
          </cell>
        </row>
        <row r="14">
          <cell r="A14" t="str">
            <v>ANGL.I</v>
          </cell>
        </row>
        <row r="15">
          <cell r="A15" t="str">
            <v>A3TV.MC</v>
          </cell>
        </row>
        <row r="16">
          <cell r="A16" t="str">
            <v>5201.T</v>
          </cell>
        </row>
        <row r="17">
          <cell r="A17" t="str">
            <v>ASGLY.PK</v>
          </cell>
        </row>
        <row r="18">
          <cell r="A18" t="str">
            <v>020560.KQ</v>
          </cell>
        </row>
        <row r="19">
          <cell r="A19" t="str">
            <v>ASSAb.ST</v>
          </cell>
        </row>
        <row r="20">
          <cell r="A20" t="str">
            <v>AZN.L</v>
          </cell>
        </row>
        <row r="21">
          <cell r="A21" t="str">
            <v>AZN.N</v>
          </cell>
        </row>
        <row r="22">
          <cell r="A22" t="str">
            <v>AZN.ST</v>
          </cell>
        </row>
        <row r="23">
          <cell r="A23" t="str">
            <v>ATML.O</v>
          </cell>
        </row>
        <row r="24">
          <cell r="A24" t="str">
            <v>AMS.S</v>
          </cell>
        </row>
        <row r="25">
          <cell r="A25" t="str">
            <v>AWG.L</v>
          </cell>
        </row>
        <row r="26">
          <cell r="A26" t="str">
            <v>BBY.L</v>
          </cell>
        </row>
        <row r="27">
          <cell r="A27" t="str">
            <v>BRL.N</v>
          </cell>
        </row>
        <row r="28">
          <cell r="A28" t="str">
            <v>BCOM.BR</v>
          </cell>
        </row>
        <row r="29">
          <cell r="A29" t="str">
            <v>BKG_u.L</v>
          </cell>
        </row>
        <row r="30">
          <cell r="A30" t="str">
            <v>BEZQ.TA</v>
          </cell>
        </row>
        <row r="31">
          <cell r="A31" t="str">
            <v>1114.HK</v>
          </cell>
        </row>
        <row r="32">
          <cell r="A32" t="str">
            <v>CBA.N</v>
          </cell>
        </row>
        <row r="33">
          <cell r="A33" t="str">
            <v>BAB.N</v>
          </cell>
        </row>
        <row r="34">
          <cell r="A34" t="str">
            <v>BAY.L</v>
          </cell>
        </row>
        <row r="35">
          <cell r="A35" t="str">
            <v>BGY.L</v>
          </cell>
        </row>
        <row r="36">
          <cell r="A36" t="str">
            <v>BGY.N</v>
          </cell>
        </row>
        <row r="37">
          <cell r="A37" t="str">
            <v>BSY.L</v>
          </cell>
        </row>
        <row r="38">
          <cell r="A38" t="str">
            <v>BSY.N</v>
          </cell>
        </row>
        <row r="39">
          <cell r="A39" t="str">
            <v>BLGSY.OTC</v>
          </cell>
        </row>
        <row r="40">
          <cell r="A40" t="str">
            <v>BULG.MI</v>
          </cell>
        </row>
        <row r="41">
          <cell r="A41" t="str">
            <v>BNI.N</v>
          </cell>
        </row>
        <row r="42">
          <cell r="A42" t="str">
            <v>CW.L</v>
          </cell>
        </row>
        <row r="43">
          <cell r="A43" t="str">
            <v>CWP.N</v>
          </cell>
        </row>
        <row r="44">
          <cell r="A44" t="str">
            <v>CECO.O</v>
          </cell>
        </row>
        <row r="45">
          <cell r="A45" t="str">
            <v>CASP.PA</v>
          </cell>
        </row>
        <row r="46">
          <cell r="A46" t="str">
            <v>CASP_p.PA</v>
          </cell>
        </row>
        <row r="47">
          <cell r="A47" t="str">
            <v>6952.T</v>
          </cell>
        </row>
        <row r="48">
          <cell r="A48" t="str">
            <v>CSIOY.PK</v>
          </cell>
        </row>
        <row r="49">
          <cell r="A49" t="str">
            <v>0293.HK</v>
          </cell>
        </row>
        <row r="50">
          <cell r="A50" t="str">
            <v>CE.N</v>
          </cell>
        </row>
        <row r="51">
          <cell r="A51" t="str">
            <v>CZ.N</v>
          </cell>
        </row>
        <row r="52">
          <cell r="A52" t="str">
            <v>CNA.L</v>
          </cell>
        </row>
        <row r="53">
          <cell r="A53" t="str">
            <v>CVX.N</v>
          </cell>
        </row>
        <row r="54">
          <cell r="A54" t="str">
            <v>2002.TW</v>
          </cell>
        </row>
        <row r="55">
          <cell r="A55" t="str">
            <v>2002q.L</v>
          </cell>
        </row>
        <row r="56">
          <cell r="A56" t="str">
            <v>2891.TW</v>
          </cell>
        </row>
        <row r="57">
          <cell r="A57" t="str">
            <v>1110.HK</v>
          </cell>
        </row>
        <row r="58">
          <cell r="A58" t="str">
            <v>CBKG.DE</v>
          </cell>
        </row>
        <row r="59">
          <cell r="A59" t="str">
            <v>CRZBY.OTC</v>
          </cell>
        </row>
        <row r="60">
          <cell r="A60" t="str">
            <v>CAL.N</v>
          </cell>
        </row>
        <row r="61">
          <cell r="A61" t="str">
            <v>CHRN.S</v>
          </cell>
        </row>
        <row r="62">
          <cell r="A62" t="str">
            <v>CRBK.BO</v>
          </cell>
        </row>
        <row r="63">
          <cell r="A63" t="str">
            <v>COSr.AT</v>
          </cell>
        </row>
        <row r="64">
          <cell r="A64" t="str">
            <v>CSGKY.OTC</v>
          </cell>
        </row>
        <row r="65">
          <cell r="A65" t="str">
            <v>CSGN.VX</v>
          </cell>
        </row>
        <row r="66">
          <cell r="A66" t="str">
            <v>8601.T</v>
          </cell>
        </row>
        <row r="67">
          <cell r="A67" t="str">
            <v>DSECY.PK</v>
          </cell>
        </row>
        <row r="68">
          <cell r="A68" t="str">
            <v>DES.N</v>
          </cell>
        </row>
        <row r="69">
          <cell r="A69" t="str">
            <v>DESCB.MX</v>
          </cell>
        </row>
        <row r="70">
          <cell r="A70" t="str">
            <v>DT.N</v>
          </cell>
        </row>
        <row r="71">
          <cell r="A71" t="str">
            <v>DTEGn.DE</v>
          </cell>
        </row>
        <row r="72">
          <cell r="A72" t="str">
            <v>DEO.N</v>
          </cell>
        </row>
        <row r="73">
          <cell r="A73" t="str">
            <v>DGE.L</v>
          </cell>
        </row>
        <row r="74">
          <cell r="A74" t="str">
            <v>2884.TW</v>
          </cell>
        </row>
        <row r="75">
          <cell r="A75" t="str">
            <v>ELN.N</v>
          </cell>
        </row>
        <row r="76">
          <cell r="A76" t="str">
            <v>AKD_pb.SN</v>
          </cell>
        </row>
        <row r="77">
          <cell r="A77" t="str">
            <v>AKOa.N</v>
          </cell>
        </row>
        <row r="78">
          <cell r="A78" t="str">
            <v>AKOb.N</v>
          </cell>
        </row>
        <row r="79">
          <cell r="A79" t="str">
            <v>AND_pa.SN</v>
          </cell>
        </row>
        <row r="80">
          <cell r="A80" t="str">
            <v>END.SN</v>
          </cell>
        </row>
        <row r="81">
          <cell r="A81" t="str">
            <v>EOC.N</v>
          </cell>
        </row>
        <row r="82">
          <cell r="A82" t="str">
            <v>ENE.SN</v>
          </cell>
        </row>
        <row r="83">
          <cell r="A83" t="str">
            <v>ENI.N</v>
          </cell>
        </row>
        <row r="84">
          <cell r="A84" t="str">
            <v>2618.TW</v>
          </cell>
        </row>
        <row r="85">
          <cell r="A85" t="str">
            <v>XJT.N</v>
          </cell>
        </row>
        <row r="86">
          <cell r="A86" t="str">
            <v>XOM.N</v>
          </cell>
        </row>
        <row r="87">
          <cell r="A87" t="str">
            <v>FAMVY.OTC</v>
          </cell>
        </row>
        <row r="88">
          <cell r="A88" t="str">
            <v>FOR.AS</v>
          </cell>
        </row>
        <row r="89">
          <cell r="A89" t="str">
            <v>FOR.BR</v>
          </cell>
        </row>
        <row r="90">
          <cell r="A90" t="str">
            <v>FRNT.O</v>
          </cell>
        </row>
        <row r="91">
          <cell r="A91" t="str">
            <v>2817.TW</v>
          </cell>
        </row>
        <row r="92">
          <cell r="A92" t="str">
            <v>2881.TW</v>
          </cell>
        </row>
        <row r="93">
          <cell r="A93" t="str">
            <v>2881q.L</v>
          </cell>
        </row>
        <row r="94">
          <cell r="A94" t="str">
            <v>GAZPq.L</v>
          </cell>
        </row>
        <row r="95">
          <cell r="A95" t="str">
            <v>RADGYP.OTC</v>
          </cell>
        </row>
        <row r="96">
          <cell r="A96" t="str">
            <v>GFCP.PA</v>
          </cell>
        </row>
        <row r="97">
          <cell r="A97" t="str">
            <v>GD.N</v>
          </cell>
        </row>
        <row r="98">
          <cell r="A98" t="str">
            <v>GASI.MI</v>
          </cell>
        </row>
        <row r="99">
          <cell r="A99" t="str">
            <v>GNW.N</v>
          </cell>
        </row>
        <row r="100">
          <cell r="A100" t="str">
            <v>TL5.MC</v>
          </cell>
        </row>
        <row r="101">
          <cell r="A101" t="str">
            <v>GRAS.BO</v>
          </cell>
        </row>
        <row r="102">
          <cell r="A102" t="str">
            <v>GFS.L</v>
          </cell>
        </row>
        <row r="103">
          <cell r="A103" t="str">
            <v>ASR.N</v>
          </cell>
        </row>
        <row r="104">
          <cell r="A104" t="str">
            <v>ASUR.MX</v>
          </cell>
        </row>
        <row r="105">
          <cell r="A105" t="str">
            <v>GCARSOA1.MX</v>
          </cell>
        </row>
        <row r="106">
          <cell r="A106" t="str">
            <v>GPOOY.O</v>
          </cell>
        </row>
        <row r="107">
          <cell r="A107" t="str">
            <v>PRS.MC</v>
          </cell>
        </row>
        <row r="108">
          <cell r="A108" t="str">
            <v>HAN.N</v>
          </cell>
        </row>
        <row r="109">
          <cell r="A109" t="str">
            <v>HNS.L</v>
          </cell>
        </row>
        <row r="110">
          <cell r="A110" t="str">
            <v>HAS.L</v>
          </cell>
        </row>
        <row r="111">
          <cell r="A111" t="str">
            <v>HRMS.PA</v>
          </cell>
        </row>
        <row r="112">
          <cell r="A112" t="str">
            <v>HLT.N</v>
          </cell>
        </row>
        <row r="113">
          <cell r="A113" t="str">
            <v>HOLMb.ST</v>
          </cell>
        </row>
        <row r="114">
          <cell r="A114" t="str">
            <v>011170.KS</v>
          </cell>
        </row>
        <row r="115">
          <cell r="A115" t="str">
            <v>HMT.N</v>
          </cell>
        </row>
        <row r="116">
          <cell r="A116" t="str">
            <v>HVMG.DE</v>
          </cell>
        </row>
        <row r="117">
          <cell r="A117" t="str">
            <v>HVMGY.OTC</v>
          </cell>
        </row>
        <row r="118">
          <cell r="A118" t="str">
            <v>012330.KS</v>
          </cell>
        </row>
        <row r="119">
          <cell r="A119" t="str">
            <v>IBE.MC</v>
          </cell>
        </row>
        <row r="120">
          <cell r="A120" t="str">
            <v>IBLA.MC</v>
          </cell>
        </row>
        <row r="121">
          <cell r="A121" t="str">
            <v>ITX.MC</v>
          </cell>
        </row>
        <row r="122">
          <cell r="A122" t="str">
            <v>ING.AS</v>
          </cell>
        </row>
        <row r="123">
          <cell r="A123" t="str">
            <v>ING.N</v>
          </cell>
        </row>
        <row r="124">
          <cell r="A124" t="str">
            <v>IPR.L</v>
          </cell>
        </row>
        <row r="125">
          <cell r="A125" t="str">
            <v>IPR.N</v>
          </cell>
        </row>
        <row r="126">
          <cell r="A126" t="str">
            <v>ITRK.L</v>
          </cell>
        </row>
        <row r="127">
          <cell r="A127" t="str">
            <v>JCDX.PA</v>
          </cell>
        </row>
        <row r="128">
          <cell r="A128" t="str">
            <v>KEL.L</v>
          </cell>
        </row>
        <row r="129">
          <cell r="A129" t="str">
            <v>KPN.AS</v>
          </cell>
        </row>
        <row r="130">
          <cell r="A130" t="str">
            <v>KPN.N</v>
          </cell>
        </row>
        <row r="131">
          <cell r="A131" t="str">
            <v>LQI.N</v>
          </cell>
        </row>
        <row r="132">
          <cell r="A132" t="str">
            <v>LH.N</v>
          </cell>
        </row>
        <row r="133">
          <cell r="A133" t="str">
            <v>0992.HK</v>
          </cell>
        </row>
        <row r="134">
          <cell r="A134" t="str">
            <v>LGHLY.O</v>
          </cell>
        </row>
        <row r="135">
          <cell r="A135" t="str">
            <v>LING.DE</v>
          </cell>
        </row>
        <row r="136">
          <cell r="A136" t="str">
            <v>LAD.N</v>
          </cell>
        </row>
        <row r="137">
          <cell r="A137" t="str">
            <v>LOG.L</v>
          </cell>
        </row>
        <row r="138">
          <cell r="A138" t="str">
            <v>LMI.L</v>
          </cell>
        </row>
        <row r="139">
          <cell r="A139" t="str">
            <v>LKOH.RTS</v>
          </cell>
        </row>
        <row r="140">
          <cell r="A140" t="str">
            <v>LUKOY.OTC</v>
          </cell>
        </row>
        <row r="141">
          <cell r="A141" t="str">
            <v>LUN.CO</v>
          </cell>
        </row>
        <row r="142">
          <cell r="A142" t="str">
            <v>LYO.N</v>
          </cell>
        </row>
        <row r="143">
          <cell r="A143" t="str">
            <v>MANG.DE</v>
          </cell>
        </row>
        <row r="144">
          <cell r="A144" t="str">
            <v>MANG_p.DE</v>
          </cell>
        </row>
        <row r="145">
          <cell r="A145" t="str">
            <v>MOLB.BU</v>
          </cell>
        </row>
        <row r="146">
          <cell r="A146" t="str">
            <v>MOLBq.L</v>
          </cell>
        </row>
        <row r="147">
          <cell r="A147" t="str">
            <v>MRLAV.HE</v>
          </cell>
        </row>
        <row r="148">
          <cell r="A148" t="str">
            <v>MRLBV.HE</v>
          </cell>
        </row>
        <row r="149">
          <cell r="A149" t="str">
            <v>NGT.L</v>
          </cell>
        </row>
        <row r="150">
          <cell r="A150" t="str">
            <v>NGT.N</v>
          </cell>
        </row>
        <row r="151">
          <cell r="A151" t="str">
            <v>NXT.L</v>
          </cell>
        </row>
        <row r="152">
          <cell r="A152" t="str">
            <v>NHH.MC</v>
          </cell>
        </row>
        <row r="153">
          <cell r="A153" t="str">
            <v>8603.T</v>
          </cell>
        </row>
        <row r="154">
          <cell r="A154" t="str">
            <v>NIKOY.PK</v>
          </cell>
        </row>
        <row r="155">
          <cell r="A155" t="str">
            <v>NSG.OL</v>
          </cell>
        </row>
        <row r="156">
          <cell r="A156" t="str">
            <v>NSG.OTC</v>
          </cell>
        </row>
        <row r="157">
          <cell r="A157" t="str">
            <v>NSGB.OL</v>
          </cell>
        </row>
        <row r="158">
          <cell r="A158" t="str">
            <v>NOC.N</v>
          </cell>
        </row>
        <row r="159">
          <cell r="A159" t="str">
            <v>NVDA.O</v>
          </cell>
        </row>
        <row r="160">
          <cell r="A160" t="str">
            <v>OMVKY.OTC</v>
          </cell>
        </row>
        <row r="161">
          <cell r="A161" t="str">
            <v>OMVV.VI</v>
          </cell>
        </row>
        <row r="162">
          <cell r="A162" t="str">
            <v>ORBC.BO</v>
          </cell>
        </row>
        <row r="163">
          <cell r="A163" t="str">
            <v>0008.HK</v>
          </cell>
        </row>
        <row r="164">
          <cell r="A164" t="str">
            <v>PCW.N</v>
          </cell>
        </row>
        <row r="165">
          <cell r="A165" t="str">
            <v>PNN.L</v>
          </cell>
        </row>
        <row r="166">
          <cell r="A166" t="str">
            <v>PDRDY.OTC</v>
          </cell>
        </row>
        <row r="167">
          <cell r="A167" t="str">
            <v>PERP.PA</v>
          </cell>
        </row>
        <row r="168">
          <cell r="A168" t="str">
            <v>PER.BA</v>
          </cell>
        </row>
        <row r="169">
          <cell r="A169" t="str">
            <v>PZE.N</v>
          </cell>
        </row>
        <row r="170">
          <cell r="A170" t="str">
            <v>PNCL.O</v>
          </cell>
        </row>
        <row r="171">
          <cell r="A171" t="str">
            <v>PT.N</v>
          </cell>
        </row>
        <row r="172">
          <cell r="A172" t="str">
            <v>PTCO.IN</v>
          </cell>
        </row>
        <row r="173">
          <cell r="A173" t="str">
            <v>PPS.N</v>
          </cell>
        </row>
        <row r="174">
          <cell r="A174" t="str">
            <v>DPBGn.DE</v>
          </cell>
        </row>
        <row r="175">
          <cell r="A175" t="str">
            <v>PCO.N</v>
          </cell>
        </row>
        <row r="176">
          <cell r="A176" t="str">
            <v>PFG.N</v>
          </cell>
        </row>
        <row r="177">
          <cell r="A177" t="str">
            <v>PSMG_p.DE</v>
          </cell>
        </row>
        <row r="178">
          <cell r="A178" t="str">
            <v>PEUGY.OTC</v>
          </cell>
        </row>
        <row r="179">
          <cell r="A179" t="str">
            <v>PEUP.PA</v>
          </cell>
        </row>
        <row r="180">
          <cell r="A180" t="str">
            <v>PUBP.PA</v>
          </cell>
        </row>
        <row r="181">
          <cell r="A181" t="str">
            <v>PUMG.DE</v>
          </cell>
        </row>
        <row r="182">
          <cell r="A182" t="str">
            <v>PUMG.OTC</v>
          </cell>
        </row>
        <row r="183">
          <cell r="A183" t="str">
            <v>RANB.BO</v>
          </cell>
        </row>
        <row r="184">
          <cell r="A184" t="str">
            <v>RANBq.L</v>
          </cell>
        </row>
        <row r="185">
          <cell r="A185" t="str">
            <v>RTN.N</v>
          </cell>
        </row>
        <row r="186">
          <cell r="A186" t="str">
            <v>RTNa.N</v>
          </cell>
        </row>
        <row r="187">
          <cell r="A187" t="str">
            <v>RCOP.PA</v>
          </cell>
        </row>
        <row r="188">
          <cell r="A188" t="str">
            <v>RENA.PA</v>
          </cell>
        </row>
        <row r="189">
          <cell r="A189" t="str">
            <v>RSA.L</v>
          </cell>
        </row>
        <row r="190">
          <cell r="A190" t="str">
            <v>SBS.N</v>
          </cell>
        </row>
        <row r="191">
          <cell r="A191" t="str">
            <v>SBSP3.SA</v>
          </cell>
        </row>
        <row r="192">
          <cell r="A192" t="str">
            <v>005930.KS</v>
          </cell>
        </row>
        <row r="193">
          <cell r="A193" t="str">
            <v>0593q.L</v>
          </cell>
        </row>
        <row r="194">
          <cell r="A194" t="str">
            <v>SANM.O</v>
          </cell>
        </row>
        <row r="195">
          <cell r="A195" t="str">
            <v>SASY.PA</v>
          </cell>
        </row>
        <row r="196">
          <cell r="A196" t="str">
            <v>SNY.N</v>
          </cell>
        </row>
        <row r="197">
          <cell r="A197" t="str">
            <v>SAPJ.J</v>
          </cell>
        </row>
        <row r="198">
          <cell r="A198" t="str">
            <v>SPP.N</v>
          </cell>
        </row>
        <row r="199">
          <cell r="A199" t="str">
            <v>SAS.ST</v>
          </cell>
        </row>
        <row r="200">
          <cell r="A200" t="str">
            <v>SCAb.ST</v>
          </cell>
        </row>
        <row r="201">
          <cell r="A201" t="str">
            <v>SVCBY.OTC</v>
          </cell>
        </row>
        <row r="202">
          <cell r="A202" t="str">
            <v>SCHG.DE</v>
          </cell>
        </row>
        <row r="203">
          <cell r="A203" t="str">
            <v>SCO.N</v>
          </cell>
        </row>
        <row r="204">
          <cell r="A204" t="str">
            <v>SCOR.PA</v>
          </cell>
        </row>
        <row r="205">
          <cell r="A205" t="str">
            <v>SPI.N</v>
          </cell>
        </row>
        <row r="206">
          <cell r="A206" t="str">
            <v>SPW.L</v>
          </cell>
        </row>
        <row r="207">
          <cell r="A207" t="str">
            <v>SVT.L</v>
          </cell>
        </row>
        <row r="208">
          <cell r="A208" t="str">
            <v>8184.T</v>
          </cell>
        </row>
        <row r="209">
          <cell r="A209" t="str">
            <v>SHI.L</v>
          </cell>
        </row>
        <row r="210">
          <cell r="A210" t="str">
            <v>2890.TW</v>
          </cell>
        </row>
        <row r="211">
          <cell r="A211" t="str">
            <v>SKFa.ST</v>
          </cell>
        </row>
        <row r="212">
          <cell r="A212" t="str">
            <v>SKFb.ST</v>
          </cell>
        </row>
        <row r="213">
          <cell r="A213" t="str">
            <v>SKFR.O</v>
          </cell>
        </row>
        <row r="214">
          <cell r="A214" t="str">
            <v>SCGLY.OTC</v>
          </cell>
        </row>
        <row r="215">
          <cell r="A215" t="str">
            <v>SOGN.PA</v>
          </cell>
        </row>
        <row r="216">
          <cell r="A216" t="str">
            <v>6758.T</v>
          </cell>
        </row>
        <row r="217">
          <cell r="A217" t="str">
            <v>SNE.N</v>
          </cell>
        </row>
        <row r="218">
          <cell r="A218" t="str">
            <v>SGC.L</v>
          </cell>
        </row>
        <row r="219">
          <cell r="A219" t="str">
            <v>SEO.N</v>
          </cell>
        </row>
        <row r="220">
          <cell r="A220" t="str">
            <v>STERV.HE</v>
          </cell>
        </row>
        <row r="221">
          <cell r="A221" t="str">
            <v>LYOE.PA</v>
          </cell>
        </row>
        <row r="222">
          <cell r="A222" t="str">
            <v>5713.T</v>
          </cell>
        </row>
        <row r="223">
          <cell r="A223" t="str">
            <v>SLF.TO</v>
          </cell>
        </row>
        <row r="224">
          <cell r="A224" t="str">
            <v>SHO.N</v>
          </cell>
        </row>
        <row r="225">
          <cell r="A225" t="str">
            <v>SNGS.RTS</v>
          </cell>
        </row>
        <row r="226">
          <cell r="A226" t="str">
            <v>SNGSyq.L</v>
          </cell>
        </row>
        <row r="227">
          <cell r="A227" t="str">
            <v>SCM.N</v>
          </cell>
        </row>
        <row r="228">
          <cell r="A228" t="str">
            <v>SCMN.VX</v>
          </cell>
        </row>
        <row r="229">
          <cell r="A229" t="str">
            <v>2887.TW</v>
          </cell>
        </row>
        <row r="230">
          <cell r="A230" t="str">
            <v>1310.TW</v>
          </cell>
        </row>
        <row r="231">
          <cell r="A231" t="str">
            <v>TELA.VI</v>
          </cell>
        </row>
        <row r="232">
          <cell r="A232" t="str">
            <v>TKA.US</v>
          </cell>
        </row>
        <row r="233">
          <cell r="A233" t="str">
            <v>TMB.N</v>
          </cell>
        </row>
        <row r="234">
          <cell r="A234" t="str">
            <v>TMCP4.SA</v>
          </cell>
        </row>
        <row r="235">
          <cell r="A235" t="str">
            <v>TLSN.ST</v>
          </cell>
        </row>
        <row r="236">
          <cell r="A236" t="str">
            <v>TKGJ.J</v>
          </cell>
        </row>
        <row r="237">
          <cell r="A237" t="str">
            <v>THAI.BK</v>
          </cell>
        </row>
        <row r="238">
          <cell r="A238" t="str">
            <v>UU.L</v>
          </cell>
        </row>
        <row r="239">
          <cell r="A239" t="str">
            <v>UU.N</v>
          </cell>
        </row>
        <row r="240">
          <cell r="A240" t="str">
            <v>UNM.N</v>
          </cell>
        </row>
        <row r="241">
          <cell r="A241" t="str">
            <v>UPM.N</v>
          </cell>
        </row>
        <row r="242">
          <cell r="A242" t="str">
            <v>UPM1V.HE</v>
          </cell>
        </row>
        <row r="243">
          <cell r="A243" t="str">
            <v>VLO.N</v>
          </cell>
        </row>
        <row r="244">
          <cell r="A244" t="str">
            <v>VDOR.AS</v>
          </cell>
        </row>
        <row r="245">
          <cell r="A245" t="str">
            <v>2388.TW</v>
          </cell>
        </row>
        <row r="246">
          <cell r="A246" t="str">
            <v>VIA.N</v>
          </cell>
        </row>
        <row r="247">
          <cell r="A247" t="str">
            <v>6792.T</v>
          </cell>
        </row>
        <row r="248">
          <cell r="A248" t="str">
            <v>VJAPY.PK</v>
          </cell>
        </row>
        <row r="249">
          <cell r="A249" t="str">
            <v>VMOB.L</v>
          </cell>
        </row>
        <row r="250">
          <cell r="A250" t="str">
            <v>VLKAY.OTC</v>
          </cell>
        </row>
        <row r="251">
          <cell r="A251" t="str">
            <v>VOWG.DE</v>
          </cell>
        </row>
        <row r="252">
          <cell r="A252" t="str">
            <v>VOWG_p.F</v>
          </cell>
        </row>
        <row r="253">
          <cell r="A253" t="str">
            <v>WLTHYP.O</v>
          </cell>
        </row>
        <row r="254">
          <cell r="A254" t="str">
            <v>WOW.AX</v>
          </cell>
        </row>
        <row r="255">
          <cell r="A255" t="str">
            <v>XTA.L</v>
          </cell>
        </row>
      </sheetData>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externalLinks/externalLink7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TOC"/>
      <sheetName val="P&amp;L"/>
      <sheetName val="Waterfall"/>
      <sheetName val="Sheet2"/>
      <sheetName val="New BXLT"/>
      <sheetName val="New BAX"/>
      <sheetName val="Reconciliation"/>
      <sheetName val="New guidance"/>
      <sheetName val="BAX"/>
      <sheetName val="BioSciences"/>
      <sheetName val="Medical Products"/>
      <sheetName val="Balance Sheet"/>
      <sheetName val="Cash Flow"/>
      <sheetName val="Pro Forma P&amp;L"/>
      <sheetName val="Pro Forma Sales"/>
      <sheetName val="P&amp;L Variance"/>
      <sheetName val="Product Line Variance"/>
      <sheetName val="Guidance at a Glance"/>
      <sheetName val="Hemophilia Segment Build"/>
      <sheetName val="FEIBA Model"/>
      <sheetName val="rFIX Model"/>
      <sheetName val="rVWF Model"/>
      <sheetName val="rFVIIa Model"/>
      <sheetName val="Model Changes"/>
      <sheetName val="SOTP Comps"/>
      <sheetName val="Baxalta Waterfall"/>
      <sheetName val="Pacritinib"/>
      <sheetName val="MM-398"/>
      <sheetName val="MS vs Cons"/>
      <sheetName val="Baxter Waterfall"/>
      <sheetName val="Bull Base Base"/>
      <sheetName val="MP"/>
      <sheetName val="Med Deliv Old"/>
      <sheetName val="Spin Segment P&amp;L"/>
      <sheetName val="Vaccines Divest"/>
      <sheetName val="Sheet4"/>
      <sheetName val="Sheet1"/>
      <sheetName val="Catalysts 2015"/>
      <sheetName val="SOTP"/>
      <sheetName val="Summary Segment P&amp;L"/>
      <sheetName val="Segment Historical"/>
      <sheetName val="Spin Segment Summary"/>
      <sheetName val="Item phasing"/>
      <sheetName val="model notes 101014"/>
      <sheetName val="LRP Analysis (2)"/>
      <sheetName val="Sheet3"/>
      <sheetName val="BioScience Old"/>
      <sheetName val="Product sales estimates"/>
      <sheetName val="Gambro Financing"/>
      <sheetName val="Summary"/>
      <sheetName val="Summary 2"/>
      <sheetName val="BAX Old"/>
      <sheetName val="Pipeline"/>
      <sheetName val="Catalysts "/>
      <sheetName val="Abbrev Catalysts"/>
      <sheetName val="Notes"/>
      <sheetName val="LINKS"/>
      <sheetName val="Renal Old"/>
      <sheetName val="EPS Preview"/>
      <sheetName val="Modeling Notes and Questions"/>
      <sheetName val="Gambro"/>
      <sheetName val="Gambro 2"/>
      <sheetName val="Hemophilia"/>
      <sheetName val="EM"/>
      <sheetName val="FX"/>
      <sheetName val="2011-12"/>
      <sheetName val="Currency"/>
      <sheetName val="EM Currency"/>
      <sheetName val="MS vs Consensus"/>
      <sheetName val="LINKSBackup"/>
      <sheetName val="Thomson Consensus (Raw)"/>
      <sheetName val="2Q11 Model Notes"/>
      <sheetName val="Margin Seasonality"/>
      <sheetName val="Buyback Analysis"/>
      <sheetName val="Hikma Margins"/>
      <sheetName val="LRP Analysis"/>
      <sheetName val="IVIG Changes"/>
      <sheetName val="rVIII market"/>
      <sheetName val="BAX P&amp;L pro forma rFVIII"/>
      <sheetName val="FX by Geography"/>
      <sheetName val="DCF"/>
      <sheetName val="Reform Analysis"/>
      <sheetName val="Reform Reconciliation"/>
      <sheetName val="Colleague Recall"/>
      <sheetName val="Guidance Reconciliation"/>
      <sheetName val="IVIG Price and Corporate GMs"/>
      <sheetName val="FX and GMs"/>
      <sheetName val="ApaTech Accretion"/>
      <sheetName val="CSL SCIG"/>
      <sheetName val="CSL Results"/>
      <sheetName val="Modeling to Do"/>
      <sheetName val="Guidance Chart"/>
      <sheetName val="HHI"/>
      <sheetName val="Options"/>
      <sheetName val="Pension"/>
      <sheetName val="MW-Cache"/>
      <sheetName val="OPEB"/>
      <sheetName val="Plasma Industry GMs"/>
      <sheetName val="Octapharma Impact"/>
      <sheetName val="mwareSettings"/>
      <sheetName val="mwareDates"/>
      <sheetName val="MWA RR"/>
      <sheetName val="BioScience"/>
      <sheetName val="Med Deliv"/>
      <sheetName val="Renal"/>
      <sheetName val="Valuation"/>
      <sheetName val="Currency Geography"/>
      <sheetName val="Buyback Offset to Tax"/>
      <sheetName val="FCF Valuation"/>
      <sheetName val="Product Line Guidance"/>
      <sheetName val="Swine Flu Charts"/>
      <sheetName val="Guidance"/>
      <sheetName val="MW Valuation"/>
      <sheetName val="Margin Charts"/>
      <sheetName val="Buyback Worksheet"/>
      <sheetName val="Collections-new"/>
      <sheetName val="Pretax Margins"/>
      <sheetName val="Prodsales"/>
      <sheetName val="Variance Table"/>
      <sheetName val="Desk Preview"/>
      <sheetName val="Spin Segment Summary v2"/>
      <sheetName val="Segments"/>
      <sheetName val="Segments 2"/>
      <sheetName val="2013-14"/>
      <sheetName val="New Currency"/>
      <sheetName val="#REF"/>
      <sheetName val="IS"/>
      <sheetName val="BS"/>
      <sheetName val="CFS"/>
      <sheetName val="Debt"/>
      <sheetName val="Variance"/>
      <sheetName val="ModelChanges"/>
      <sheetName val="Preview"/>
      <sheetName val="BBB"/>
      <sheetName val="Comps"/>
      <sheetName val="PFCalcs1"/>
      <sheetName val="PFCalcs2"/>
      <sheetName val="GrossMargin"/>
    </sheetNames>
    <sheetDataSet>
      <sheetData sheetId="0"/>
      <sheetData sheetId="1"/>
      <sheetData sheetId="2" refreshError="1"/>
      <sheetData sheetId="3"/>
      <sheetData sheetId="4"/>
      <sheetData sheetId="5"/>
      <sheetData sheetId="6"/>
      <sheetData sheetId="7"/>
      <sheetData sheetId="8"/>
      <sheetData sheetId="9"/>
      <sheetData sheetId="10"/>
      <sheetData sheetId="11"/>
      <sheetData sheetId="12" refreshError="1">
        <row r="6">
          <cell r="AH6">
            <v>38442</v>
          </cell>
        </row>
        <row r="7">
          <cell r="AH7">
            <v>38625</v>
          </cell>
        </row>
        <row r="8">
          <cell r="B8" t="str">
            <v>Cash and Equivalents</v>
          </cell>
          <cell r="D8">
            <v>709</v>
          </cell>
          <cell r="F8">
            <v>606</v>
          </cell>
          <cell r="H8">
            <v>694</v>
          </cell>
          <cell r="I8">
            <v>496</v>
          </cell>
          <cell r="J8">
            <v>568</v>
          </cell>
          <cell r="K8" t="e">
            <v>#REF!</v>
          </cell>
          <cell r="M8">
            <v>723</v>
          </cell>
          <cell r="N8">
            <v>431</v>
          </cell>
          <cell r="O8">
            <v>470</v>
          </cell>
          <cell r="P8">
            <v>582</v>
          </cell>
          <cell r="R8">
            <v>522</v>
          </cell>
          <cell r="S8">
            <v>472</v>
          </cell>
          <cell r="T8">
            <v>278</v>
          </cell>
          <cell r="U8">
            <v>1169</v>
          </cell>
          <cell r="W8">
            <v>1408</v>
          </cell>
          <cell r="X8">
            <v>608</v>
          </cell>
          <cell r="Y8">
            <v>830</v>
          </cell>
          <cell r="Z8">
            <v>925</v>
          </cell>
          <cell r="AB8">
            <v>648</v>
          </cell>
          <cell r="AC8">
            <v>760</v>
          </cell>
          <cell r="AD8">
            <v>822</v>
          </cell>
          <cell r="AE8">
            <v>1109</v>
          </cell>
          <cell r="AH8">
            <v>1106</v>
          </cell>
          <cell r="AI8">
            <v>1428</v>
          </cell>
          <cell r="AJ8">
            <v>1712</v>
          </cell>
          <cell r="AK8">
            <v>841</v>
          </cell>
          <cell r="AN8">
            <v>881</v>
          </cell>
          <cell r="AO8">
            <v>1061</v>
          </cell>
          <cell r="AP8">
            <v>2067</v>
          </cell>
          <cell r="AQ8">
            <v>2485</v>
          </cell>
          <cell r="AT8">
            <v>2384</v>
          </cell>
          <cell r="AU8">
            <v>2486</v>
          </cell>
          <cell r="AV8">
            <v>1818</v>
          </cell>
          <cell r="AW8">
            <v>2539</v>
          </cell>
          <cell r="AZ8">
            <v>1736</v>
          </cell>
          <cell r="BA8">
            <v>2147</v>
          </cell>
          <cell r="BB8">
            <v>2191</v>
          </cell>
          <cell r="BC8">
            <v>2131</v>
          </cell>
          <cell r="BF8">
            <v>1703</v>
          </cell>
          <cell r="BG8">
            <v>1802</v>
          </cell>
          <cell r="BH8">
            <v>2571</v>
          </cell>
          <cell r="BI8">
            <v>2786</v>
          </cell>
          <cell r="BL8">
            <v>2203.1324715770152</v>
          </cell>
          <cell r="BM8">
            <v>2115.5882677094369</v>
          </cell>
          <cell r="BN8">
            <v>2183.7289572370833</v>
          </cell>
          <cell r="BO8">
            <v>2221.3350043870255</v>
          </cell>
          <cell r="BR8">
            <v>2258.8663529210999</v>
          </cell>
          <cell r="BS8">
            <v>2564.9789267082033</v>
          </cell>
          <cell r="BT8">
            <v>2798.5106217155358</v>
          </cell>
          <cell r="BU8">
            <v>2977.1056120745116</v>
          </cell>
          <cell r="BX8">
            <v>3114.0527576149179</v>
          </cell>
          <cell r="BY8">
            <v>3537.9519649167696</v>
          </cell>
          <cell r="BZ8">
            <v>3891.0143549861828</v>
          </cell>
          <cell r="CA8">
            <v>4203.2423469950436</v>
          </cell>
        </row>
        <row r="9">
          <cell r="AH9">
            <v>1982</v>
          </cell>
        </row>
        <row r="10">
          <cell r="AH10">
            <v>2105</v>
          </cell>
        </row>
        <row r="11">
          <cell r="AH11">
            <v>447</v>
          </cell>
        </row>
        <row r="12">
          <cell r="AH12">
            <v>690</v>
          </cell>
        </row>
        <row r="13">
          <cell r="AH13">
            <v>968</v>
          </cell>
        </row>
        <row r="14">
          <cell r="AH14">
            <v>588</v>
          </cell>
        </row>
        <row r="15">
          <cell r="AH15">
            <v>249</v>
          </cell>
        </row>
        <row r="16">
          <cell r="AH16">
            <v>5781</v>
          </cell>
        </row>
        <row r="17">
          <cell r="AH17">
            <v>4310</v>
          </cell>
        </row>
        <row r="18">
          <cell r="AH18">
            <v>-3684</v>
          </cell>
        </row>
        <row r="19">
          <cell r="AH19">
            <v>2153</v>
          </cell>
        </row>
        <row r="20">
          <cell r="AH20">
            <v>1617</v>
          </cell>
        </row>
        <row r="21">
          <cell r="AH21">
            <v>536</v>
          </cell>
        </row>
        <row r="22">
          <cell r="AH22">
            <v>-385</v>
          </cell>
        </row>
        <row r="23">
          <cell r="AH23">
            <v>1564</v>
          </cell>
        </row>
        <row r="24">
          <cell r="AH24">
            <v>13808</v>
          </cell>
        </row>
        <row r="25">
          <cell r="AH25">
            <v>1531</v>
          </cell>
        </row>
        <row r="26">
          <cell r="AH26">
            <v>13783</v>
          </cell>
        </row>
        <row r="27">
          <cell r="AH27">
            <v>550</v>
          </cell>
        </row>
        <row r="28">
          <cell r="AH28">
            <v>1027</v>
          </cell>
        </row>
        <row r="29">
          <cell r="AH29">
            <v>2701</v>
          </cell>
        </row>
        <row r="30">
          <cell r="AH30">
            <v>417</v>
          </cell>
        </row>
        <row r="31">
          <cell r="AH31">
            <v>4695</v>
          </cell>
        </row>
        <row r="32">
          <cell r="AH32">
            <v>502</v>
          </cell>
        </row>
        <row r="33">
          <cell r="AH33">
            <v>3022</v>
          </cell>
        </row>
        <row r="34">
          <cell r="AH34">
            <v>0</v>
          </cell>
        </row>
        <row r="35">
          <cell r="AH35">
            <v>0</v>
          </cell>
        </row>
        <row r="36">
          <cell r="B36" t="str">
            <v>Other LT Liabilities</v>
          </cell>
          <cell r="C36">
            <v>461</v>
          </cell>
          <cell r="D36">
            <v>400</v>
          </cell>
          <cell r="E36">
            <v>311</v>
          </cell>
          <cell r="F36">
            <v>411</v>
          </cell>
          <cell r="G36">
            <v>330</v>
          </cell>
          <cell r="H36">
            <v>617</v>
          </cell>
          <cell r="I36">
            <v>615</v>
          </cell>
          <cell r="J36">
            <v>615</v>
          </cell>
          <cell r="K36">
            <v>632</v>
          </cell>
          <cell r="L36">
            <v>214</v>
          </cell>
          <cell r="M36">
            <v>695</v>
          </cell>
          <cell r="N36">
            <v>700</v>
          </cell>
          <cell r="O36">
            <v>714</v>
          </cell>
          <cell r="P36">
            <v>448</v>
          </cell>
          <cell r="Q36">
            <v>201</v>
          </cell>
          <cell r="R36">
            <v>496</v>
          </cell>
          <cell r="S36">
            <v>482</v>
          </cell>
          <cell r="T36">
            <v>488</v>
          </cell>
          <cell r="U36">
            <v>1280</v>
          </cell>
          <cell r="V36">
            <v>0</v>
          </cell>
          <cell r="W36">
            <v>1249</v>
          </cell>
          <cell r="X36">
            <v>1999</v>
          </cell>
          <cell r="Y36">
            <v>1738</v>
          </cell>
          <cell r="Z36">
            <v>2206</v>
          </cell>
          <cell r="AA36">
            <v>0</v>
          </cell>
          <cell r="AB36">
            <v>2289</v>
          </cell>
          <cell r="AC36">
            <v>2299</v>
          </cell>
          <cell r="AD36">
            <v>2046</v>
          </cell>
          <cell r="AE36">
            <v>2223</v>
          </cell>
          <cell r="AF36">
            <v>0</v>
          </cell>
          <cell r="AG36">
            <v>0</v>
          </cell>
          <cell r="AH36">
            <v>2081</v>
          </cell>
          <cell r="AI36">
            <v>2016</v>
          </cell>
          <cell r="AJ36">
            <v>2128</v>
          </cell>
          <cell r="AK36">
            <v>1849</v>
          </cell>
          <cell r="AL36">
            <v>0</v>
          </cell>
          <cell r="AM36">
            <v>0</v>
          </cell>
          <cell r="AN36">
            <v>1832</v>
          </cell>
          <cell r="AO36">
            <v>1937</v>
          </cell>
          <cell r="AP36">
            <v>1944</v>
          </cell>
          <cell r="AQ36">
            <v>2237</v>
          </cell>
          <cell r="AR36">
            <v>0</v>
          </cell>
          <cell r="AS36">
            <v>0</v>
          </cell>
          <cell r="AT36">
            <v>2131</v>
          </cell>
          <cell r="AU36">
            <v>2127</v>
          </cell>
          <cell r="AV36">
            <v>2142</v>
          </cell>
          <cell r="AW36">
            <v>1902</v>
          </cell>
          <cell r="AX36">
            <v>0</v>
          </cell>
          <cell r="AY36">
            <v>0</v>
          </cell>
          <cell r="AZ36">
            <v>2008</v>
          </cell>
          <cell r="BA36">
            <v>1686</v>
          </cell>
          <cell r="BB36">
            <v>1641</v>
          </cell>
          <cell r="BC36">
            <v>2179</v>
          </cell>
          <cell r="BD36">
            <v>0</v>
          </cell>
          <cell r="BE36">
            <v>0</v>
          </cell>
          <cell r="BF36">
            <v>1998</v>
          </cell>
          <cell r="BG36">
            <v>1981</v>
          </cell>
          <cell r="BH36">
            <v>2039</v>
          </cell>
          <cell r="BI36">
            <v>2030</v>
          </cell>
          <cell r="BJ36">
            <v>0</v>
          </cell>
          <cell r="BK36">
            <v>0</v>
          </cell>
          <cell r="BL36">
            <v>1578.5814360770578</v>
          </cell>
          <cell r="BM36">
            <v>1670.569586220571</v>
          </cell>
          <cell r="BN36">
            <v>1708.0087252421076</v>
          </cell>
          <cell r="BO36">
            <v>1869.3483375112569</v>
          </cell>
          <cell r="BP36">
            <v>0</v>
          </cell>
          <cell r="BQ36">
            <v>0</v>
          </cell>
          <cell r="BR36">
            <v>1841.2975250297529</v>
          </cell>
          <cell r="BS36">
            <v>1989.9729229462646</v>
          </cell>
          <cell r="BT36">
            <v>2017.7905376142542</v>
          </cell>
          <cell r="BU36">
            <v>2187.3499691017018</v>
          </cell>
          <cell r="BV36">
            <v>0</v>
          </cell>
          <cell r="BW36">
            <v>0</v>
          </cell>
          <cell r="BX36">
            <v>2165.032731613036</v>
          </cell>
          <cell r="BY36">
            <v>2329.6533877337702</v>
          </cell>
          <cell r="BZ36">
            <v>2351.6964473158505</v>
          </cell>
          <cell r="CA36">
            <v>2539.9532765022932</v>
          </cell>
        </row>
        <row r="37">
          <cell r="AH37">
            <v>9798</v>
          </cell>
        </row>
        <row r="38">
          <cell r="AH38">
            <v>2128</v>
          </cell>
        </row>
        <row r="39">
          <cell r="AH39">
            <v>648</v>
          </cell>
        </row>
        <row r="40">
          <cell r="AH40">
            <v>-1405</v>
          </cell>
        </row>
        <row r="41">
          <cell r="AH41">
            <v>3549</v>
          </cell>
        </row>
        <row r="42">
          <cell r="AH42">
            <v>2485</v>
          </cell>
        </row>
        <row r="43">
          <cell r="AH43">
            <v>-1267</v>
          </cell>
        </row>
        <row r="44">
          <cell r="AH44">
            <v>4010</v>
          </cell>
        </row>
        <row r="45">
          <cell r="AH45">
            <v>0</v>
          </cell>
        </row>
        <row r="46">
          <cell r="AH46">
            <v>4376</v>
          </cell>
        </row>
        <row r="47">
          <cell r="B47" t="str">
            <v>Total Liabilities &amp; Shareholders' Equity</v>
          </cell>
          <cell r="D47" t="e">
            <v>#REF!</v>
          </cell>
          <cell r="F47" t="e">
            <v>#REF!</v>
          </cell>
          <cell r="H47" t="e">
            <v>#REF!</v>
          </cell>
          <cell r="I47" t="e">
            <v>#REF!</v>
          </cell>
          <cell r="J47" t="e">
            <v>#REF!</v>
          </cell>
          <cell r="K47" t="e">
            <v>#REF!</v>
          </cell>
          <cell r="M47" t="e">
            <v>#REF!</v>
          </cell>
          <cell r="N47" t="e">
            <v>#REF!</v>
          </cell>
          <cell r="O47" t="e">
            <v>#REF!</v>
          </cell>
          <cell r="P47" t="e">
            <v>#REF!</v>
          </cell>
          <cell r="R47" t="e">
            <v>#REF!</v>
          </cell>
          <cell r="S47" t="e">
            <v>#REF!</v>
          </cell>
          <cell r="T47" t="e">
            <v>#REF!</v>
          </cell>
          <cell r="U47" t="e">
            <v>#REF!</v>
          </cell>
          <cell r="W47" t="e">
            <v>#REF!</v>
          </cell>
          <cell r="X47" t="e">
            <v>#REF!</v>
          </cell>
          <cell r="Y47" t="e">
            <v>#REF!</v>
          </cell>
          <cell r="Z47" t="e">
            <v>#REF!</v>
          </cell>
          <cell r="AB47" t="e">
            <v>#REF!</v>
          </cell>
          <cell r="AC47" t="e">
            <v>#REF!</v>
          </cell>
          <cell r="AD47" t="e">
            <v>#REF!</v>
          </cell>
          <cell r="AE47" t="e">
            <v>#REF!</v>
          </cell>
          <cell r="AF47">
            <v>0</v>
          </cell>
          <cell r="AH47">
            <v>13808</v>
          </cell>
          <cell r="AI47">
            <v>13626</v>
          </cell>
          <cell r="AJ47">
            <v>13783</v>
          </cell>
          <cell r="AK47">
            <v>12727</v>
          </cell>
          <cell r="AN47">
            <v>12780</v>
          </cell>
          <cell r="AO47">
            <v>13007</v>
          </cell>
          <cell r="AP47">
            <v>13931</v>
          </cell>
          <cell r="AQ47">
            <v>14686</v>
          </cell>
          <cell r="AT47">
            <v>14483</v>
          </cell>
          <cell r="AU47">
            <v>14659</v>
          </cell>
          <cell r="AV47">
            <v>14147</v>
          </cell>
          <cell r="AW47">
            <v>15294</v>
          </cell>
          <cell r="AZ47">
            <v>14972</v>
          </cell>
          <cell r="BA47">
            <v>15470</v>
          </cell>
          <cell r="BB47">
            <v>15209</v>
          </cell>
          <cell r="BC47">
            <v>15405</v>
          </cell>
          <cell r="BD47">
            <v>59</v>
          </cell>
          <cell r="BE47">
            <v>222</v>
          </cell>
          <cell r="BF47">
            <v>14953</v>
          </cell>
          <cell r="BG47">
            <v>15743</v>
          </cell>
          <cell r="BH47">
            <v>16954</v>
          </cell>
          <cell r="BI47">
            <v>17354</v>
          </cell>
          <cell r="BJ47">
            <v>230</v>
          </cell>
          <cell r="BK47">
            <v>236</v>
          </cell>
          <cell r="BL47">
            <v>16742.027131967465</v>
          </cell>
          <cell r="BM47">
            <v>16403.410375920059</v>
          </cell>
          <cell r="BN47">
            <v>16638.101655836064</v>
          </cell>
          <cell r="BO47">
            <v>17025.475494854938</v>
          </cell>
          <cell r="BP47">
            <v>237</v>
          </cell>
          <cell r="BQ47">
            <v>247</v>
          </cell>
          <cell r="BR47">
            <v>17303.972720073307</v>
          </cell>
          <cell r="BS47">
            <v>17578.770160350105</v>
          </cell>
          <cell r="BT47">
            <v>17945.336004727251</v>
          </cell>
          <cell r="BU47">
            <v>18515.120006178458</v>
          </cell>
          <cell r="BV47">
            <v>238</v>
          </cell>
          <cell r="BW47">
            <v>238</v>
          </cell>
          <cell r="BX47">
            <v>18871.453948687617</v>
          </cell>
          <cell r="BY47">
            <v>19265.299342125301</v>
          </cell>
          <cell r="BZ47">
            <v>19735.639160976152</v>
          </cell>
          <cell r="CA47">
            <v>20439.77430159802</v>
          </cell>
        </row>
        <row r="48">
          <cell r="AH48">
            <v>0</v>
          </cell>
        </row>
        <row r="49">
          <cell r="AH49">
            <v>13783</v>
          </cell>
        </row>
        <row r="50">
          <cell r="AH50">
            <v>0</v>
          </cell>
        </row>
        <row r="52">
          <cell r="AH52">
            <v>1.2313099041533546</v>
          </cell>
        </row>
        <row r="53">
          <cell r="AH53">
            <v>0.78296059637912674</v>
          </cell>
        </row>
        <row r="54">
          <cell r="AH54">
            <v>0.23556975505857294</v>
          </cell>
        </row>
        <row r="55">
          <cell r="AH55">
            <v>2650</v>
          </cell>
        </row>
        <row r="56">
          <cell r="AH56">
            <v>-4.193037974683544</v>
          </cell>
        </row>
        <row r="59">
          <cell r="AH59">
            <v>0.27594875378523182</v>
          </cell>
        </row>
        <row r="60">
          <cell r="AH60">
            <v>0.40573818097339992</v>
          </cell>
        </row>
        <row r="61">
          <cell r="AH61">
            <v>0.3330677867902665</v>
          </cell>
        </row>
        <row r="64">
          <cell r="AH64">
            <v>0.22907586779001943</v>
          </cell>
        </row>
        <row r="65">
          <cell r="AH65">
            <v>0.15285593495934957</v>
          </cell>
        </row>
        <row r="66">
          <cell r="AH66">
            <v>8.9124055732751395E-2</v>
          </cell>
        </row>
        <row r="67">
          <cell r="AH67" t="str">
            <v>NA</v>
          </cell>
        </row>
        <row r="69">
          <cell r="AH69">
            <v>75.894880402853545</v>
          </cell>
        </row>
        <row r="70">
          <cell r="AH70">
            <v>201.21463932107494</v>
          </cell>
        </row>
        <row r="71">
          <cell r="AH71">
            <v>135.84246817538897</v>
          </cell>
        </row>
        <row r="72">
          <cell r="AH72">
            <v>1.6488496799861616</v>
          </cell>
        </row>
        <row r="73">
          <cell r="AH73">
            <v>0.96722079138375083</v>
          </cell>
        </row>
        <row r="74">
          <cell r="AH74">
            <v>2383</v>
          </cell>
        </row>
        <row r="75">
          <cell r="AH75">
            <v>9291</v>
          </cell>
        </row>
        <row r="76">
          <cell r="AH76">
            <v>1414</v>
          </cell>
        </row>
        <row r="77">
          <cell r="AH77">
            <v>5482</v>
          </cell>
        </row>
        <row r="78">
          <cell r="AH78">
            <v>353</v>
          </cell>
        </row>
        <row r="79">
          <cell r="AH79">
            <v>1399</v>
          </cell>
        </row>
        <row r="80">
          <cell r="AH80">
            <v>0.248</v>
          </cell>
        </row>
        <row r="81">
          <cell r="AH81">
            <v>265.45600000000002</v>
          </cell>
        </row>
        <row r="82">
          <cell r="AH82">
            <v>1050.4497546012269</v>
          </cell>
        </row>
        <row r="83">
          <cell r="AH83">
            <v>500</v>
          </cell>
        </row>
        <row r="85">
          <cell r="AH85">
            <v>-41</v>
          </cell>
        </row>
        <row r="87">
          <cell r="AH87">
            <v>220.91503999999998</v>
          </cell>
        </row>
        <row r="88">
          <cell r="AH88">
            <v>0.30327306019684136</v>
          </cell>
        </row>
        <row r="89">
          <cell r="AH89">
            <v>5781</v>
          </cell>
        </row>
        <row r="90">
          <cell r="AH90">
            <v>3857.5</v>
          </cell>
        </row>
        <row r="91">
          <cell r="AH91">
            <v>2398</v>
          </cell>
        </row>
        <row r="92">
          <cell r="AH92">
            <v>3493</v>
          </cell>
        </row>
        <row r="93">
          <cell r="AH93">
            <v>1577</v>
          </cell>
        </row>
        <row r="94">
          <cell r="AH94">
            <v>3022</v>
          </cell>
        </row>
        <row r="95">
          <cell r="AH95">
            <v>4599</v>
          </cell>
        </row>
        <row r="96">
          <cell r="AH96">
            <v>8609</v>
          </cell>
        </row>
        <row r="97">
          <cell r="AH97">
            <v>11914</v>
          </cell>
        </row>
        <row r="98">
          <cell r="AH98">
            <v>328.71600000000001</v>
          </cell>
        </row>
        <row r="99">
          <cell r="AH99">
            <v>1232.0956493506494</v>
          </cell>
        </row>
        <row r="100">
          <cell r="AH100">
            <v>559</v>
          </cell>
        </row>
        <row r="101">
          <cell r="AH101">
            <v>1647</v>
          </cell>
        </row>
        <row r="102">
          <cell r="AH102">
            <v>-43</v>
          </cell>
        </row>
        <row r="103">
          <cell r="AH103">
            <v>65</v>
          </cell>
        </row>
        <row r="104">
          <cell r="AH104">
            <v>-133</v>
          </cell>
        </row>
        <row r="105">
          <cell r="AH105">
            <v>1644</v>
          </cell>
        </row>
        <row r="106">
          <cell r="AH106">
            <v>7994</v>
          </cell>
        </row>
        <row r="107">
          <cell r="AH107">
            <v>-3684</v>
          </cell>
        </row>
        <row r="108">
          <cell r="AH108">
            <v>4310</v>
          </cell>
        </row>
        <row r="109">
          <cell r="AH109">
            <v>1354</v>
          </cell>
        </row>
        <row r="110">
          <cell r="AH110">
            <v>15.026315789473685</v>
          </cell>
        </row>
        <row r="111">
          <cell r="AH111">
            <v>27.699248120300751</v>
          </cell>
        </row>
        <row r="112">
          <cell r="AH112">
            <v>0.46084563422566927</v>
          </cell>
        </row>
        <row r="113">
          <cell r="AH113">
            <v>296.16200000000003</v>
          </cell>
        </row>
        <row r="114">
          <cell r="AH114">
            <v>7831</v>
          </cell>
        </row>
        <row r="115">
          <cell r="AH115">
            <v>-3674</v>
          </cell>
        </row>
        <row r="116">
          <cell r="AH116">
            <v>4157</v>
          </cell>
        </row>
        <row r="118">
          <cell r="AH118">
            <v>0</v>
          </cell>
        </row>
        <row r="119">
          <cell r="AH119">
            <v>-14</v>
          </cell>
        </row>
        <row r="120">
          <cell r="AH120">
            <v>8738</v>
          </cell>
        </row>
        <row r="121">
          <cell r="AH121">
            <v>921</v>
          </cell>
        </row>
        <row r="122">
          <cell r="AH122">
            <v>-385</v>
          </cell>
        </row>
        <row r="123">
          <cell r="AH123">
            <v>536</v>
          </cell>
        </row>
        <row r="124">
          <cell r="AH124">
            <v>-3674</v>
          </cell>
        </row>
        <row r="125">
          <cell r="AH125">
            <v>14.988549618320612</v>
          </cell>
        </row>
        <row r="126">
          <cell r="AH126">
            <v>7.1374045801526718</v>
          </cell>
        </row>
        <row r="127">
          <cell r="AH127">
            <v>0.47619047619047616</v>
          </cell>
        </row>
        <row r="128">
          <cell r="AH128">
            <v>-131</v>
          </cell>
        </row>
        <row r="129">
          <cell r="AH129">
            <v>889</v>
          </cell>
        </row>
        <row r="130">
          <cell r="AH130">
            <v>-387</v>
          </cell>
        </row>
        <row r="131">
          <cell r="AH131">
            <v>502</v>
          </cell>
        </row>
        <row r="132">
          <cell r="AH132">
            <v>4114</v>
          </cell>
        </row>
        <row r="133">
          <cell r="AH133">
            <v>0</v>
          </cell>
        </row>
        <row r="134">
          <cell r="AH134">
            <v>-14</v>
          </cell>
        </row>
        <row r="135">
          <cell r="AH135">
            <v>7.1374045801526718</v>
          </cell>
        </row>
        <row r="136">
          <cell r="AH136">
            <v>899</v>
          </cell>
        </row>
        <row r="137">
          <cell r="AH137">
            <v>-400</v>
          </cell>
        </row>
        <row r="138">
          <cell r="AH138">
            <v>499</v>
          </cell>
        </row>
        <row r="139">
          <cell r="AH139">
            <v>-387</v>
          </cell>
        </row>
        <row r="140">
          <cell r="AH140">
            <v>15.875</v>
          </cell>
        </row>
        <row r="142">
          <cell r="AH142">
            <v>0</v>
          </cell>
        </row>
        <row r="143">
          <cell r="AH143">
            <v>-14</v>
          </cell>
        </row>
        <row r="145">
          <cell r="AH145">
            <v>899</v>
          </cell>
        </row>
        <row r="146">
          <cell r="AH146">
            <v>-400</v>
          </cell>
        </row>
        <row r="147">
          <cell r="AH147">
            <v>499</v>
          </cell>
        </row>
        <row r="149">
          <cell r="AH149">
            <v>15.875</v>
          </cell>
        </row>
      </sheetData>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refreshError="1"/>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refreshError="1"/>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refreshError="1"/>
      <sheetData sheetId="122" refreshError="1"/>
      <sheetData sheetId="123" refreshError="1"/>
      <sheetData sheetId="124" refreshError="1"/>
      <sheetData sheetId="125" refreshError="1"/>
      <sheetData sheetId="126" refreshError="1"/>
      <sheetData sheetId="127"/>
      <sheetData sheetId="128"/>
      <sheetData sheetId="129"/>
      <sheetData sheetId="130"/>
      <sheetData sheetId="131"/>
      <sheetData sheetId="132"/>
      <sheetData sheetId="133"/>
      <sheetData sheetId="134"/>
      <sheetData sheetId="135"/>
      <sheetData sheetId="136"/>
      <sheetData sheetId="137"/>
      <sheetData sheetId="138" refreshError="1"/>
    </sheetDataSet>
  </externalBook>
</externalLink>
</file>

<file path=xl/externalLinks/externalLink7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ource"/>
      <sheetName val="Data1"/>
      <sheetName val="Data2"/>
      <sheetName val="Custom Indices"/>
      <sheetName val="MW-Cache"/>
      <sheetName val="Multiples"/>
      <sheetName val="Multiples (2)"/>
      <sheetName val="LST Perf"/>
      <sheetName val="3yr"/>
      <sheetName val="Charts01"/>
      <sheetName val="LST Charts"/>
      <sheetName val="Mth &amp; Yr Perf"/>
      <sheetName val="Data3"/>
      <sheetName val="EPSRev"/>
    </sheetNames>
    <sheetDataSet>
      <sheetData sheetId="0"/>
      <sheetData sheetId="1"/>
      <sheetData sheetId="2"/>
      <sheetData sheetId="3"/>
      <sheetData sheetId="4"/>
      <sheetData sheetId="5"/>
      <sheetData sheetId="6">
        <row r="11">
          <cell r="AF11" t="str">
            <v>Abs NTM P/E</v>
          </cell>
          <cell r="AG11" t="str">
            <v>3 Yr Avg</v>
          </cell>
          <cell r="AH11" t="str">
            <v>10 Yr Avg</v>
          </cell>
          <cell r="AI11" t="str">
            <v>StdDev1</v>
          </cell>
          <cell r="AJ11" t="str">
            <v>StdDev2</v>
          </cell>
          <cell r="AU11" t="str">
            <v>Abs NTM EV/EBITDA</v>
          </cell>
          <cell r="AV11" t="str">
            <v>3 Yr Avg</v>
          </cell>
          <cell r="AW11" t="str">
            <v>10 Yr Avg</v>
          </cell>
          <cell r="AX11" t="str">
            <v>StdDev1</v>
          </cell>
          <cell r="AY11" t="str">
            <v>StdDev2</v>
          </cell>
        </row>
        <row r="12">
          <cell r="A12">
            <v>39554</v>
          </cell>
          <cell r="AF12">
            <v>19.022824490272455</v>
          </cell>
          <cell r="AG12">
            <v>20.469360058004284</v>
          </cell>
          <cell r="AH12">
            <v>17.881583490985356</v>
          </cell>
          <cell r="AI12">
            <v>15.547864889645153</v>
          </cell>
          <cell r="AJ12">
            <v>20.215302092325562</v>
          </cell>
          <cell r="AU12">
            <v>11.833104338306244</v>
          </cell>
          <cell r="AV12">
            <v>14.263722316306255</v>
          </cell>
          <cell r="AW12">
            <v>12.105561258724364</v>
          </cell>
          <cell r="AX12">
            <v>10.242049449424412</v>
          </cell>
          <cell r="AY12">
            <v>13.969073068024317</v>
          </cell>
        </row>
        <row r="13">
          <cell r="A13">
            <v>39555</v>
          </cell>
          <cell r="AF13">
            <v>18.797101771464554</v>
          </cell>
          <cell r="AG13">
            <v>20.469360058004284</v>
          </cell>
          <cell r="AH13">
            <v>17.881583490985356</v>
          </cell>
          <cell r="AI13">
            <v>15.547864889645153</v>
          </cell>
          <cell r="AJ13">
            <v>20.215302092325562</v>
          </cell>
          <cell r="AU13">
            <v>11.696768757545325</v>
          </cell>
          <cell r="AV13">
            <v>14.263722316306255</v>
          </cell>
          <cell r="AW13">
            <v>12.105561258724364</v>
          </cell>
          <cell r="AX13">
            <v>10.242049449424412</v>
          </cell>
          <cell r="AY13">
            <v>13.969073068024317</v>
          </cell>
        </row>
        <row r="14">
          <cell r="A14">
            <v>39556</v>
          </cell>
          <cell r="AF14">
            <v>19.310123108021994</v>
          </cell>
          <cell r="AG14">
            <v>20.469360058004284</v>
          </cell>
          <cell r="AH14">
            <v>17.881583490985356</v>
          </cell>
          <cell r="AI14">
            <v>15.547864889645153</v>
          </cell>
          <cell r="AJ14">
            <v>20.215302092325562</v>
          </cell>
          <cell r="AU14">
            <v>12.006631505219497</v>
          </cell>
          <cell r="AV14">
            <v>14.263722316306255</v>
          </cell>
          <cell r="AW14">
            <v>12.105561258724364</v>
          </cell>
          <cell r="AX14">
            <v>10.242049449424412</v>
          </cell>
          <cell r="AY14">
            <v>13.969073068024317</v>
          </cell>
        </row>
        <row r="15">
          <cell r="A15">
            <v>39559</v>
          </cell>
          <cell r="AF15">
            <v>19.274208023313616</v>
          </cell>
          <cell r="AG15">
            <v>20.469360058004284</v>
          </cell>
          <cell r="AH15">
            <v>17.881583490985356</v>
          </cell>
          <cell r="AI15">
            <v>15.547864889645153</v>
          </cell>
          <cell r="AJ15">
            <v>20.215302092325562</v>
          </cell>
          <cell r="AU15">
            <v>11.984938943843071</v>
          </cell>
          <cell r="AV15">
            <v>14.263722316306255</v>
          </cell>
          <cell r="AW15">
            <v>12.105561258724364</v>
          </cell>
          <cell r="AX15">
            <v>10.242049449424412</v>
          </cell>
          <cell r="AY15">
            <v>13.969073068024317</v>
          </cell>
        </row>
        <row r="16">
          <cell r="A16">
            <v>39560</v>
          </cell>
          <cell r="AF16">
            <v>18.884314372636645</v>
          </cell>
          <cell r="AG16">
            <v>20.469360058004284</v>
          </cell>
          <cell r="AH16">
            <v>17.881583490985356</v>
          </cell>
          <cell r="AI16">
            <v>15.547864889645153</v>
          </cell>
          <cell r="AJ16">
            <v>20.215302092325562</v>
          </cell>
          <cell r="AU16">
            <v>11.749444804924439</v>
          </cell>
          <cell r="AV16">
            <v>14.263722316306255</v>
          </cell>
          <cell r="AW16">
            <v>12.105561258724364</v>
          </cell>
          <cell r="AX16">
            <v>10.242049449424412</v>
          </cell>
          <cell r="AY16">
            <v>13.969073068024317</v>
          </cell>
        </row>
        <row r="17">
          <cell r="A17">
            <v>39561</v>
          </cell>
          <cell r="AF17">
            <v>19.135689697336424</v>
          </cell>
          <cell r="AG17">
            <v>20.469360058004284</v>
          </cell>
          <cell r="AH17">
            <v>17.881583490985356</v>
          </cell>
          <cell r="AI17">
            <v>15.547864889645153</v>
          </cell>
          <cell r="AJ17">
            <v>20.215302092325562</v>
          </cell>
          <cell r="AU17">
            <v>11.901274452657308</v>
          </cell>
          <cell r="AV17">
            <v>14.263722316306255</v>
          </cell>
          <cell r="AW17">
            <v>12.105561258724364</v>
          </cell>
          <cell r="AX17">
            <v>10.242049449424412</v>
          </cell>
          <cell r="AY17">
            <v>13.969073068024317</v>
          </cell>
        </row>
        <row r="18">
          <cell r="A18">
            <v>39562</v>
          </cell>
          <cell r="AF18">
            <v>18.858661766744767</v>
          </cell>
          <cell r="AG18">
            <v>20.469360058004284</v>
          </cell>
          <cell r="AH18">
            <v>17.881583490985356</v>
          </cell>
          <cell r="AI18">
            <v>15.547864889645153</v>
          </cell>
          <cell r="AJ18">
            <v>20.215302092325562</v>
          </cell>
          <cell r="AU18">
            <v>11.73395073795249</v>
          </cell>
          <cell r="AV18">
            <v>14.263722316306255</v>
          </cell>
          <cell r="AW18">
            <v>12.105561258724364</v>
          </cell>
          <cell r="AX18">
            <v>10.242049449424412</v>
          </cell>
          <cell r="AY18">
            <v>13.969073068024317</v>
          </cell>
        </row>
        <row r="19">
          <cell r="A19">
            <v>39563</v>
          </cell>
          <cell r="AF19">
            <v>19.346030497410322</v>
          </cell>
          <cell r="AG19">
            <v>20.469360058004284</v>
          </cell>
          <cell r="AH19">
            <v>17.881583490985356</v>
          </cell>
          <cell r="AI19">
            <v>15.547864889645153</v>
          </cell>
          <cell r="AJ19">
            <v>20.215302092325562</v>
          </cell>
          <cell r="AU19">
            <v>12.028319418654709</v>
          </cell>
          <cell r="AV19">
            <v>14.263722316306255</v>
          </cell>
          <cell r="AW19">
            <v>12.105561258724364</v>
          </cell>
          <cell r="AX19">
            <v>10.242049449424412</v>
          </cell>
          <cell r="AY19">
            <v>13.969073068024317</v>
          </cell>
        </row>
        <row r="20">
          <cell r="A20">
            <v>39566</v>
          </cell>
          <cell r="AF20">
            <v>19.638456250397414</v>
          </cell>
          <cell r="AG20">
            <v>20.469360058004284</v>
          </cell>
          <cell r="AH20">
            <v>17.881583490985356</v>
          </cell>
          <cell r="AI20">
            <v>15.547864889645153</v>
          </cell>
          <cell r="AJ20">
            <v>20.215302092325562</v>
          </cell>
          <cell r="AU20">
            <v>12.204943353868222</v>
          </cell>
          <cell r="AV20">
            <v>14.263722316306255</v>
          </cell>
          <cell r="AW20">
            <v>12.105561258724364</v>
          </cell>
          <cell r="AX20">
            <v>10.242049449424412</v>
          </cell>
          <cell r="AY20">
            <v>13.969073068024317</v>
          </cell>
        </row>
        <row r="21">
          <cell r="A21">
            <v>39567</v>
          </cell>
          <cell r="AF21">
            <v>19.812881965762937</v>
          </cell>
          <cell r="AG21">
            <v>20.469360058004284</v>
          </cell>
          <cell r="AH21">
            <v>17.881583490985356</v>
          </cell>
          <cell r="AI21">
            <v>15.547864889645153</v>
          </cell>
          <cell r="AJ21">
            <v>20.215302092325562</v>
          </cell>
          <cell r="AU21">
            <v>12.310295758489199</v>
          </cell>
          <cell r="AV21">
            <v>14.263722316306255</v>
          </cell>
          <cell r="AW21">
            <v>12.105561258724364</v>
          </cell>
          <cell r="AX21">
            <v>10.242049449424412</v>
          </cell>
          <cell r="AY21">
            <v>13.969073068024317</v>
          </cell>
        </row>
        <row r="22">
          <cell r="A22">
            <v>39568</v>
          </cell>
          <cell r="AF22">
            <v>19.941137299902298</v>
          </cell>
          <cell r="AG22">
            <v>20.469360058004284</v>
          </cell>
          <cell r="AH22">
            <v>17.881583490985356</v>
          </cell>
          <cell r="AI22">
            <v>15.547864889645153</v>
          </cell>
          <cell r="AJ22">
            <v>20.215302092325562</v>
          </cell>
          <cell r="AU22">
            <v>12.219711422465767</v>
          </cell>
          <cell r="AV22">
            <v>14.263722316306255</v>
          </cell>
          <cell r="AW22">
            <v>12.105561258724364</v>
          </cell>
          <cell r="AX22">
            <v>10.242049449424412</v>
          </cell>
          <cell r="AY22">
            <v>13.969073068024317</v>
          </cell>
        </row>
        <row r="23">
          <cell r="A23">
            <v>39569</v>
          </cell>
          <cell r="AF23">
            <v>20.796272646500977</v>
          </cell>
          <cell r="AG23">
            <v>20.469360058004284</v>
          </cell>
          <cell r="AH23">
            <v>17.881583490985356</v>
          </cell>
          <cell r="AI23">
            <v>15.547864889645153</v>
          </cell>
          <cell r="AJ23">
            <v>20.215302092325562</v>
          </cell>
          <cell r="AU23">
            <v>12.744576646573043</v>
          </cell>
          <cell r="AV23">
            <v>14.263722316306255</v>
          </cell>
          <cell r="AW23">
            <v>12.105561258724364</v>
          </cell>
          <cell r="AX23">
            <v>10.242049449424412</v>
          </cell>
          <cell r="AY23">
            <v>13.969073068024317</v>
          </cell>
        </row>
        <row r="24">
          <cell r="A24">
            <v>39570</v>
          </cell>
          <cell r="AF24">
            <v>20.617749646365471</v>
          </cell>
          <cell r="AG24">
            <v>20.469360058004284</v>
          </cell>
          <cell r="AH24">
            <v>17.881583490985356</v>
          </cell>
          <cell r="AI24">
            <v>15.547864889645153</v>
          </cell>
          <cell r="AJ24">
            <v>20.215302092325562</v>
          </cell>
          <cell r="AU24">
            <v>12.758968799112457</v>
          </cell>
          <cell r="AV24">
            <v>14.263722316306255</v>
          </cell>
          <cell r="AW24">
            <v>12.105561258724364</v>
          </cell>
          <cell r="AX24">
            <v>10.242049449424412</v>
          </cell>
          <cell r="AY24">
            <v>13.969073068024317</v>
          </cell>
        </row>
        <row r="25">
          <cell r="A25">
            <v>39573</v>
          </cell>
          <cell r="AF25">
            <v>20.460426596363824</v>
          </cell>
          <cell r="AG25">
            <v>20.469360058004284</v>
          </cell>
          <cell r="AH25">
            <v>17.881583490985356</v>
          </cell>
          <cell r="AI25">
            <v>15.547864889645153</v>
          </cell>
          <cell r="AJ25">
            <v>20.215302092325562</v>
          </cell>
          <cell r="AU25">
            <v>12.677643548114551</v>
          </cell>
          <cell r="AV25">
            <v>14.263722316306255</v>
          </cell>
          <cell r="AW25">
            <v>12.105561258724364</v>
          </cell>
          <cell r="AX25">
            <v>10.242049449424412</v>
          </cell>
          <cell r="AY25">
            <v>13.969073068024317</v>
          </cell>
        </row>
        <row r="26">
          <cell r="A26">
            <v>39574</v>
          </cell>
          <cell r="AF26">
            <v>20.288314010020546</v>
          </cell>
          <cell r="AG26">
            <v>20.469360058004284</v>
          </cell>
          <cell r="AH26">
            <v>17.881583490985356</v>
          </cell>
          <cell r="AI26">
            <v>15.547864889645153</v>
          </cell>
          <cell r="AJ26">
            <v>20.215302092325562</v>
          </cell>
          <cell r="AU26">
            <v>12.575226185769049</v>
          </cell>
          <cell r="AV26">
            <v>14.263722316306255</v>
          </cell>
          <cell r="AW26">
            <v>12.105561258724364</v>
          </cell>
          <cell r="AX26">
            <v>10.242049449424412</v>
          </cell>
          <cell r="AY26">
            <v>13.969073068024317</v>
          </cell>
        </row>
        <row r="27">
          <cell r="A27">
            <v>39575</v>
          </cell>
          <cell r="AF27">
            <v>20.166832122332682</v>
          </cell>
          <cell r="AG27">
            <v>20.469360058004284</v>
          </cell>
          <cell r="AH27">
            <v>17.881583490985356</v>
          </cell>
          <cell r="AI27">
            <v>15.547864889645153</v>
          </cell>
          <cell r="AJ27">
            <v>20.215302092325562</v>
          </cell>
          <cell r="AU27">
            <v>12.502937140707999</v>
          </cell>
          <cell r="AV27">
            <v>14.263722316306255</v>
          </cell>
          <cell r="AW27">
            <v>12.105561258724364</v>
          </cell>
          <cell r="AX27">
            <v>10.242049449424412</v>
          </cell>
          <cell r="AY27">
            <v>13.969073068024317</v>
          </cell>
        </row>
        <row r="28">
          <cell r="A28">
            <v>39576</v>
          </cell>
          <cell r="AF28">
            <v>20.430048278409696</v>
          </cell>
          <cell r="AG28">
            <v>20.469360058004284</v>
          </cell>
          <cell r="AH28">
            <v>17.881583490985356</v>
          </cell>
          <cell r="AI28">
            <v>15.547864889645153</v>
          </cell>
          <cell r="AJ28">
            <v>20.215302092325562</v>
          </cell>
          <cell r="AU28">
            <v>12.731258839388429</v>
          </cell>
          <cell r="AV28">
            <v>14.263722316306255</v>
          </cell>
          <cell r="AW28">
            <v>12.105561258724364</v>
          </cell>
          <cell r="AX28">
            <v>10.242049449424412</v>
          </cell>
          <cell r="AY28">
            <v>13.969073068024317</v>
          </cell>
        </row>
        <row r="29">
          <cell r="A29">
            <v>39577</v>
          </cell>
          <cell r="AF29">
            <v>20.632531083577131</v>
          </cell>
          <cell r="AG29">
            <v>20.469360058004284</v>
          </cell>
          <cell r="AH29">
            <v>17.881583490985356</v>
          </cell>
          <cell r="AI29">
            <v>15.547864889645153</v>
          </cell>
          <cell r="AJ29">
            <v>20.215302092325562</v>
          </cell>
          <cell r="AU29">
            <v>12.852430654704321</v>
          </cell>
          <cell r="AV29">
            <v>14.263722316306255</v>
          </cell>
          <cell r="AW29">
            <v>12.105561258724364</v>
          </cell>
          <cell r="AX29">
            <v>10.242049449424412</v>
          </cell>
          <cell r="AY29">
            <v>13.969073068024317</v>
          </cell>
        </row>
        <row r="30">
          <cell r="A30">
            <v>39580</v>
          </cell>
          <cell r="AF30">
            <v>20.905873176906976</v>
          </cell>
          <cell r="AG30">
            <v>20.469360058004284</v>
          </cell>
          <cell r="AH30">
            <v>17.881583490985356</v>
          </cell>
          <cell r="AI30">
            <v>15.547864889645153</v>
          </cell>
          <cell r="AJ30">
            <v>20.215302092325562</v>
          </cell>
          <cell r="AU30">
            <v>13.016006804410633</v>
          </cell>
          <cell r="AV30">
            <v>14.263722316306255</v>
          </cell>
          <cell r="AW30">
            <v>12.105561258724364</v>
          </cell>
          <cell r="AX30">
            <v>10.242049449424412</v>
          </cell>
          <cell r="AY30">
            <v>13.969073068024317</v>
          </cell>
        </row>
        <row r="31">
          <cell r="A31">
            <v>39581</v>
          </cell>
          <cell r="AF31">
            <v>20.789450714476168</v>
          </cell>
          <cell r="AG31">
            <v>20.469360058004284</v>
          </cell>
          <cell r="AH31">
            <v>17.881583490985356</v>
          </cell>
          <cell r="AI31">
            <v>15.547864889645153</v>
          </cell>
          <cell r="AJ31">
            <v>20.215302092325562</v>
          </cell>
          <cell r="AU31">
            <v>12.946336092842698</v>
          </cell>
          <cell r="AV31">
            <v>14.263722316306255</v>
          </cell>
          <cell r="AW31">
            <v>12.105561258724364</v>
          </cell>
          <cell r="AX31">
            <v>10.242049449424412</v>
          </cell>
          <cell r="AY31">
            <v>13.969073068024317</v>
          </cell>
        </row>
        <row r="32">
          <cell r="A32">
            <v>39582</v>
          </cell>
          <cell r="AF32">
            <v>21.062792807806016</v>
          </cell>
          <cell r="AG32">
            <v>20.469360058004284</v>
          </cell>
          <cell r="AH32">
            <v>17.881583490985356</v>
          </cell>
          <cell r="AI32">
            <v>15.547864889645153</v>
          </cell>
          <cell r="AJ32">
            <v>20.215302092325562</v>
          </cell>
          <cell r="AU32">
            <v>13.10991224254901</v>
          </cell>
          <cell r="AV32">
            <v>14.263722316306255</v>
          </cell>
          <cell r="AW32">
            <v>12.105561258724364</v>
          </cell>
          <cell r="AX32">
            <v>10.242049449424412</v>
          </cell>
          <cell r="AY32">
            <v>13.969073068024317</v>
          </cell>
        </row>
        <row r="33">
          <cell r="A33">
            <v>39583</v>
          </cell>
          <cell r="AF33">
            <v>21.042548526234697</v>
          </cell>
          <cell r="AG33">
            <v>20.469360058004284</v>
          </cell>
          <cell r="AH33">
            <v>17.881583490985356</v>
          </cell>
          <cell r="AI33">
            <v>15.547864889645153</v>
          </cell>
          <cell r="AJ33">
            <v>20.215302092325562</v>
          </cell>
          <cell r="AU33">
            <v>13.09779745410693</v>
          </cell>
          <cell r="AV33">
            <v>14.263722316306255</v>
          </cell>
          <cell r="AW33">
            <v>12.105561258724364</v>
          </cell>
          <cell r="AX33">
            <v>10.242049449424412</v>
          </cell>
          <cell r="AY33">
            <v>13.969073068024317</v>
          </cell>
        </row>
        <row r="34">
          <cell r="A34">
            <v>39584</v>
          </cell>
          <cell r="AF34">
            <v>21.265275612973454</v>
          </cell>
          <cell r="AG34">
            <v>20.469360058004284</v>
          </cell>
          <cell r="AH34">
            <v>17.881583490985356</v>
          </cell>
          <cell r="AI34">
            <v>15.547864889645153</v>
          </cell>
          <cell r="AJ34">
            <v>20.215302092325562</v>
          </cell>
          <cell r="AU34">
            <v>13.281845446246418</v>
          </cell>
          <cell r="AV34">
            <v>14.263722316306255</v>
          </cell>
          <cell r="AW34">
            <v>12.105561258724364</v>
          </cell>
          <cell r="AX34">
            <v>10.242049449424412</v>
          </cell>
          <cell r="AY34">
            <v>13.969073068024317</v>
          </cell>
        </row>
        <row r="35">
          <cell r="A35">
            <v>39587</v>
          </cell>
          <cell r="AF35">
            <v>21.320957637755953</v>
          </cell>
          <cell r="AG35">
            <v>20.469360058004284</v>
          </cell>
          <cell r="AH35">
            <v>17.881583490985356</v>
          </cell>
          <cell r="AI35">
            <v>15.547864889645153</v>
          </cell>
          <cell r="AJ35">
            <v>20.215302092325562</v>
          </cell>
          <cell r="AU35">
            <v>13.315295088584335</v>
          </cell>
          <cell r="AV35">
            <v>14.263722316306255</v>
          </cell>
          <cell r="AW35">
            <v>12.105561258724364</v>
          </cell>
          <cell r="AX35">
            <v>10.242049449424412</v>
          </cell>
          <cell r="AY35">
            <v>13.969073068024317</v>
          </cell>
        </row>
        <row r="36">
          <cell r="A36">
            <v>39588</v>
          </cell>
          <cell r="AF36">
            <v>21.158970988665505</v>
          </cell>
          <cell r="AG36">
            <v>20.469360058004284</v>
          </cell>
          <cell r="AH36">
            <v>17.881583490985356</v>
          </cell>
          <cell r="AI36">
            <v>15.547864889645153</v>
          </cell>
          <cell r="AJ36">
            <v>20.215302092325562</v>
          </cell>
          <cell r="AU36">
            <v>13.21798549007821</v>
          </cell>
          <cell r="AV36">
            <v>14.263722316306255</v>
          </cell>
          <cell r="AW36">
            <v>12.105561258724364</v>
          </cell>
          <cell r="AX36">
            <v>10.242049449424412</v>
          </cell>
          <cell r="AY36">
            <v>13.969073068024317</v>
          </cell>
        </row>
        <row r="37">
          <cell r="A37">
            <v>39589</v>
          </cell>
          <cell r="AF37">
            <v>20.678086664911174</v>
          </cell>
          <cell r="AG37">
            <v>20.469360058004284</v>
          </cell>
          <cell r="AH37">
            <v>17.881583490985356</v>
          </cell>
          <cell r="AI37">
            <v>15.547864889645153</v>
          </cell>
          <cell r="AJ37">
            <v>20.215302092325562</v>
          </cell>
          <cell r="AU37">
            <v>12.929105753784045</v>
          </cell>
          <cell r="AV37">
            <v>14.263722316306255</v>
          </cell>
          <cell r="AW37">
            <v>12.105561258724364</v>
          </cell>
          <cell r="AX37">
            <v>10.242049449424412</v>
          </cell>
          <cell r="AY37">
            <v>13.969073068024317</v>
          </cell>
        </row>
        <row r="38">
          <cell r="A38">
            <v>39590</v>
          </cell>
          <cell r="AF38">
            <v>20.956495776432423</v>
          </cell>
          <cell r="AG38">
            <v>20.469360058004284</v>
          </cell>
          <cell r="AH38">
            <v>17.881583490985356</v>
          </cell>
          <cell r="AI38">
            <v>15.547864889645153</v>
          </cell>
          <cell r="AJ38">
            <v>20.215302092325562</v>
          </cell>
          <cell r="AU38">
            <v>13.096353357303844</v>
          </cell>
          <cell r="AV38">
            <v>14.263722316306255</v>
          </cell>
          <cell r="AW38">
            <v>12.105561258724364</v>
          </cell>
          <cell r="AX38">
            <v>10.242049449424412</v>
          </cell>
          <cell r="AY38">
            <v>13.969073068024317</v>
          </cell>
        </row>
        <row r="39">
          <cell r="A39">
            <v>39591</v>
          </cell>
          <cell r="AF39">
            <v>20.546478839970476</v>
          </cell>
          <cell r="AG39">
            <v>20.469360058004284</v>
          </cell>
          <cell r="AH39">
            <v>17.881583490985356</v>
          </cell>
          <cell r="AI39">
            <v>15.547864889645153</v>
          </cell>
          <cell r="AJ39">
            <v>20.215302092325562</v>
          </cell>
          <cell r="AU39">
            <v>12.850045506058981</v>
          </cell>
          <cell r="AV39">
            <v>14.263722316306255</v>
          </cell>
          <cell r="AW39">
            <v>12.105561258724364</v>
          </cell>
          <cell r="AX39">
            <v>10.242049449424412</v>
          </cell>
          <cell r="AY39">
            <v>13.969073068024317</v>
          </cell>
        </row>
        <row r="40">
          <cell r="A40">
            <v>39594</v>
          </cell>
          <cell r="AF40">
            <v>20.546478839970476</v>
          </cell>
          <cell r="AG40">
            <v>20.469360058004284</v>
          </cell>
          <cell r="AH40">
            <v>17.881583490985356</v>
          </cell>
          <cell r="AI40">
            <v>15.547864889645153</v>
          </cell>
          <cell r="AJ40">
            <v>20.215302092325562</v>
          </cell>
          <cell r="AU40">
            <v>12.850045506058981</v>
          </cell>
          <cell r="AV40">
            <v>14.263722316306255</v>
          </cell>
          <cell r="AW40">
            <v>12.105561258724364</v>
          </cell>
          <cell r="AX40">
            <v>10.242049449424412</v>
          </cell>
          <cell r="AY40">
            <v>13.969073068024317</v>
          </cell>
        </row>
        <row r="41">
          <cell r="A41">
            <v>39595</v>
          </cell>
          <cell r="AF41">
            <v>20.718583327183783</v>
          </cell>
          <cell r="AG41">
            <v>20.469360058004284</v>
          </cell>
          <cell r="AH41">
            <v>17.881583490985356</v>
          </cell>
          <cell r="AI41">
            <v>15.547864889645153</v>
          </cell>
          <cell r="AJ41">
            <v>20.215302092325562</v>
          </cell>
          <cell r="AU41">
            <v>12.953433153410579</v>
          </cell>
          <cell r="AV41">
            <v>14.263722316306255</v>
          </cell>
          <cell r="AW41">
            <v>12.105561258724364</v>
          </cell>
          <cell r="AX41">
            <v>10.242049449424412</v>
          </cell>
          <cell r="AY41">
            <v>13.969073068024317</v>
          </cell>
        </row>
        <row r="42">
          <cell r="A42">
            <v>39596</v>
          </cell>
          <cell r="AF42">
            <v>20.394618634328491</v>
          </cell>
          <cell r="AG42">
            <v>20.469360058004284</v>
          </cell>
          <cell r="AH42">
            <v>17.881583490985356</v>
          </cell>
          <cell r="AI42">
            <v>15.547864889645153</v>
          </cell>
          <cell r="AJ42">
            <v>20.215302092325562</v>
          </cell>
          <cell r="AU42">
            <v>12.75881912584151</v>
          </cell>
          <cell r="AV42">
            <v>14.263722316306255</v>
          </cell>
          <cell r="AW42">
            <v>12.105561258724364</v>
          </cell>
          <cell r="AX42">
            <v>10.242049449424412</v>
          </cell>
          <cell r="AY42">
            <v>13.969073068024317</v>
          </cell>
        </row>
        <row r="43">
          <cell r="A43">
            <v>39597</v>
          </cell>
          <cell r="AF43">
            <v>20.566854641058168</v>
          </cell>
          <cell r="AG43">
            <v>20.469360058004284</v>
          </cell>
          <cell r="AH43">
            <v>17.881583490985356</v>
          </cell>
          <cell r="AI43">
            <v>15.547864889645153</v>
          </cell>
          <cell r="AJ43">
            <v>20.215302092325562</v>
          </cell>
          <cell r="AU43">
            <v>12.868289687396864</v>
          </cell>
          <cell r="AV43">
            <v>14.263722316306255</v>
          </cell>
          <cell r="AW43">
            <v>12.105561258724364</v>
          </cell>
          <cell r="AX43">
            <v>10.242049449424412</v>
          </cell>
          <cell r="AY43">
            <v>13.969073068024317</v>
          </cell>
        </row>
        <row r="44">
          <cell r="A44">
            <v>39598</v>
          </cell>
          <cell r="AF44">
            <v>20.51120016764013</v>
          </cell>
          <cell r="AG44">
            <v>20.469360058004284</v>
          </cell>
          <cell r="AH44">
            <v>17.881583490985356</v>
          </cell>
          <cell r="AI44">
            <v>15.547864889645153</v>
          </cell>
          <cell r="AJ44">
            <v>20.215302092325562</v>
          </cell>
          <cell r="AU44">
            <v>12.834840349143839</v>
          </cell>
          <cell r="AV44">
            <v>14.263722316306255</v>
          </cell>
          <cell r="AW44">
            <v>12.105561258724364</v>
          </cell>
          <cell r="AX44">
            <v>10.242049449424412</v>
          </cell>
          <cell r="AY44">
            <v>13.969073068024317</v>
          </cell>
        </row>
        <row r="45">
          <cell r="A45">
            <v>39601</v>
          </cell>
          <cell r="AF45">
            <v>19.874164831337648</v>
          </cell>
          <cell r="AG45">
            <v>20.469360058004284</v>
          </cell>
          <cell r="AH45">
            <v>17.881583490985356</v>
          </cell>
          <cell r="AI45">
            <v>15.547864889645153</v>
          </cell>
          <cell r="AJ45">
            <v>20.215302092325562</v>
          </cell>
          <cell r="AU45">
            <v>12.483537988858313</v>
          </cell>
          <cell r="AV45">
            <v>14.263722316306255</v>
          </cell>
          <cell r="AW45">
            <v>12.105561258724364</v>
          </cell>
          <cell r="AX45">
            <v>10.242049449424412</v>
          </cell>
          <cell r="AY45">
            <v>13.969073068024317</v>
          </cell>
        </row>
        <row r="46">
          <cell r="A46">
            <v>39602</v>
          </cell>
          <cell r="AF46">
            <v>19.748886400024055</v>
          </cell>
          <cell r="AG46">
            <v>20.469360058004284</v>
          </cell>
          <cell r="AH46">
            <v>17.881583490985356</v>
          </cell>
          <cell r="AI46">
            <v>15.547864889645153</v>
          </cell>
          <cell r="AJ46">
            <v>20.215302092325562</v>
          </cell>
          <cell r="AU46">
            <v>12.408023117038463</v>
          </cell>
          <cell r="AV46">
            <v>14.263722316306255</v>
          </cell>
          <cell r="AW46">
            <v>12.105561258724364</v>
          </cell>
          <cell r="AX46">
            <v>10.242049449424412</v>
          </cell>
          <cell r="AY46">
            <v>13.969073068024317</v>
          </cell>
        </row>
        <row r="47">
          <cell r="A47">
            <v>39603</v>
          </cell>
          <cell r="AF47">
            <v>20.029508582825329</v>
          </cell>
          <cell r="AG47">
            <v>20.469360058004284</v>
          </cell>
          <cell r="AH47">
            <v>17.881583490985356</v>
          </cell>
          <cell r="AI47">
            <v>15.547864889645153</v>
          </cell>
          <cell r="AJ47">
            <v>20.215302092325562</v>
          </cell>
          <cell r="AU47">
            <v>12.577175523736463</v>
          </cell>
          <cell r="AV47">
            <v>14.263722316306255</v>
          </cell>
          <cell r="AW47">
            <v>12.105561258724364</v>
          </cell>
          <cell r="AX47">
            <v>10.242049449424412</v>
          </cell>
          <cell r="AY47">
            <v>13.969073068024317</v>
          </cell>
        </row>
        <row r="48">
          <cell r="A48">
            <v>39604</v>
          </cell>
          <cell r="AF48">
            <v>20.229959084064333</v>
          </cell>
          <cell r="AG48">
            <v>20.469360058004284</v>
          </cell>
          <cell r="AH48">
            <v>17.881583490985356</v>
          </cell>
          <cell r="AI48">
            <v>15.547864889645153</v>
          </cell>
          <cell r="AJ48">
            <v>20.215302092325562</v>
          </cell>
          <cell r="AU48">
            <v>12.698002339243095</v>
          </cell>
          <cell r="AV48">
            <v>14.263722316306255</v>
          </cell>
          <cell r="AW48">
            <v>12.105561258724364</v>
          </cell>
          <cell r="AX48">
            <v>10.242049449424412</v>
          </cell>
          <cell r="AY48">
            <v>13.969073068024317</v>
          </cell>
        </row>
        <row r="49">
          <cell r="A49">
            <v>39605</v>
          </cell>
          <cell r="AF49">
            <v>19.593542147422649</v>
          </cell>
          <cell r="AG49">
            <v>20.469360058004284</v>
          </cell>
          <cell r="AH49">
            <v>17.881583490985356</v>
          </cell>
          <cell r="AI49">
            <v>15.547864889645153</v>
          </cell>
          <cell r="AJ49">
            <v>20.215302092325562</v>
          </cell>
          <cell r="AU49">
            <v>12.314385280100822</v>
          </cell>
          <cell r="AV49">
            <v>14.263722316306255</v>
          </cell>
          <cell r="AW49">
            <v>12.105561258724364</v>
          </cell>
          <cell r="AX49">
            <v>10.242049449424412</v>
          </cell>
          <cell r="AY49">
            <v>13.969073068024317</v>
          </cell>
        </row>
        <row r="50">
          <cell r="A50">
            <v>39608</v>
          </cell>
          <cell r="AF50">
            <v>19.368042474399353</v>
          </cell>
          <cell r="AG50">
            <v>20.469360058004284</v>
          </cell>
          <cell r="AH50">
            <v>17.881583490985356</v>
          </cell>
          <cell r="AI50">
            <v>15.547864889645153</v>
          </cell>
          <cell r="AJ50">
            <v>20.215302092325562</v>
          </cell>
          <cell r="AU50">
            <v>12.178459417003555</v>
          </cell>
          <cell r="AV50">
            <v>14.263722316306255</v>
          </cell>
          <cell r="AW50">
            <v>12.105561258724364</v>
          </cell>
          <cell r="AX50">
            <v>10.242049449424412</v>
          </cell>
          <cell r="AY50">
            <v>13.969073068024317</v>
          </cell>
        </row>
        <row r="51">
          <cell r="A51">
            <v>39609</v>
          </cell>
          <cell r="AF51">
            <v>19.28786277501748</v>
          </cell>
          <cell r="AG51">
            <v>20.469360058004284</v>
          </cell>
          <cell r="AH51">
            <v>17.881583490985356</v>
          </cell>
          <cell r="AI51">
            <v>15.547864889645153</v>
          </cell>
          <cell r="AJ51">
            <v>20.215302092325562</v>
          </cell>
          <cell r="AU51">
            <v>12.13012899286039</v>
          </cell>
          <cell r="AV51">
            <v>14.263722316306255</v>
          </cell>
          <cell r="AW51">
            <v>12.105561258724364</v>
          </cell>
          <cell r="AX51">
            <v>10.242049449424412</v>
          </cell>
          <cell r="AY51">
            <v>13.969073068024317</v>
          </cell>
        </row>
        <row r="52">
          <cell r="A52">
            <v>39610</v>
          </cell>
          <cell r="AF52">
            <v>18.886970291472799</v>
          </cell>
          <cell r="AG52">
            <v>20.469360058004284</v>
          </cell>
          <cell r="AH52">
            <v>17.881583490985356</v>
          </cell>
          <cell r="AI52">
            <v>15.547864889645153</v>
          </cell>
          <cell r="AJ52">
            <v>20.215302092325562</v>
          </cell>
          <cell r="AU52">
            <v>11.888480496858408</v>
          </cell>
          <cell r="AV52">
            <v>14.263722316306255</v>
          </cell>
          <cell r="AW52">
            <v>12.105561258724364</v>
          </cell>
          <cell r="AX52">
            <v>10.242049449424412</v>
          </cell>
          <cell r="AY52">
            <v>13.969073068024317</v>
          </cell>
        </row>
        <row r="53">
          <cell r="A53">
            <v>39611</v>
          </cell>
          <cell r="AF53">
            <v>19.232739764125771</v>
          </cell>
          <cell r="AG53">
            <v>20.469360058004284</v>
          </cell>
          <cell r="AH53">
            <v>17.881583490985356</v>
          </cell>
          <cell r="AI53">
            <v>15.547864889645153</v>
          </cell>
          <cell r="AJ53">
            <v>20.215302092325562</v>
          </cell>
          <cell r="AU53">
            <v>12.096902147200169</v>
          </cell>
          <cell r="AV53">
            <v>14.263722316306255</v>
          </cell>
          <cell r="AW53">
            <v>12.105561258724364</v>
          </cell>
          <cell r="AX53">
            <v>10.242049449424412</v>
          </cell>
          <cell r="AY53">
            <v>13.969073068024317</v>
          </cell>
        </row>
        <row r="54">
          <cell r="A54">
            <v>39612</v>
          </cell>
          <cell r="AF54">
            <v>19.56848495781875</v>
          </cell>
          <cell r="AG54">
            <v>20.469360058004284</v>
          </cell>
          <cell r="AH54">
            <v>17.881583490985356</v>
          </cell>
          <cell r="AI54">
            <v>15.547864889645153</v>
          </cell>
          <cell r="AJ54">
            <v>20.215302092325562</v>
          </cell>
          <cell r="AU54">
            <v>12.299281399558391</v>
          </cell>
          <cell r="AV54">
            <v>14.263722316306255</v>
          </cell>
          <cell r="AW54">
            <v>12.105561258724364</v>
          </cell>
          <cell r="AX54">
            <v>10.242049449424412</v>
          </cell>
          <cell r="AY54">
            <v>13.969073068024317</v>
          </cell>
        </row>
        <row r="55">
          <cell r="A55">
            <v>39615</v>
          </cell>
          <cell r="AF55">
            <v>19.443206526505158</v>
          </cell>
          <cell r="AG55">
            <v>20.469360058004284</v>
          </cell>
          <cell r="AH55">
            <v>17.881583490985356</v>
          </cell>
          <cell r="AI55">
            <v>15.547864889645153</v>
          </cell>
          <cell r="AJ55">
            <v>20.215302092325562</v>
          </cell>
          <cell r="AU55">
            <v>12.22376652773854</v>
          </cell>
          <cell r="AV55">
            <v>14.263722316306255</v>
          </cell>
          <cell r="AW55">
            <v>12.105561258724364</v>
          </cell>
          <cell r="AX55">
            <v>10.242049449424412</v>
          </cell>
          <cell r="AY55">
            <v>13.969073068024317</v>
          </cell>
        </row>
        <row r="56">
          <cell r="A56">
            <v>39616</v>
          </cell>
          <cell r="AF56">
            <v>19.242764043085756</v>
          </cell>
          <cell r="AG56">
            <v>20.469360058004284</v>
          </cell>
          <cell r="AH56">
            <v>17.881583490985356</v>
          </cell>
          <cell r="AI56">
            <v>15.547864889645153</v>
          </cell>
          <cell r="AJ56">
            <v>20.215302092325562</v>
          </cell>
          <cell r="AU56">
            <v>12.102944545183705</v>
          </cell>
          <cell r="AV56">
            <v>14.263722316306255</v>
          </cell>
          <cell r="AW56">
            <v>12.105561258724364</v>
          </cell>
          <cell r="AX56">
            <v>10.242049449424412</v>
          </cell>
          <cell r="AY56">
            <v>13.969073068024317</v>
          </cell>
        </row>
        <row r="57">
          <cell r="A57">
            <v>39617</v>
          </cell>
          <cell r="AF57">
            <v>19.112477481201971</v>
          </cell>
          <cell r="AG57">
            <v>20.469360058004284</v>
          </cell>
          <cell r="AH57">
            <v>17.881583490985356</v>
          </cell>
          <cell r="AI57">
            <v>15.547864889645153</v>
          </cell>
          <cell r="AJ57">
            <v>20.215302092325562</v>
          </cell>
          <cell r="AU57">
            <v>12.024410890847985</v>
          </cell>
          <cell r="AV57">
            <v>14.263722316306255</v>
          </cell>
          <cell r="AW57">
            <v>12.105561258724364</v>
          </cell>
          <cell r="AX57">
            <v>10.242049449424412</v>
          </cell>
          <cell r="AY57">
            <v>13.969073068024317</v>
          </cell>
        </row>
        <row r="58">
          <cell r="A58">
            <v>39618</v>
          </cell>
          <cell r="AF58">
            <v>19.28786277501748</v>
          </cell>
          <cell r="AG58">
            <v>20.469360058004284</v>
          </cell>
          <cell r="AH58">
            <v>17.881583490985356</v>
          </cell>
          <cell r="AI58">
            <v>15.547864889645153</v>
          </cell>
          <cell r="AJ58">
            <v>20.215302092325562</v>
          </cell>
          <cell r="AU58">
            <v>12.13012899286039</v>
          </cell>
          <cell r="AV58">
            <v>14.263722316306255</v>
          </cell>
          <cell r="AW58">
            <v>12.105561258724364</v>
          </cell>
          <cell r="AX58">
            <v>10.242049449424412</v>
          </cell>
          <cell r="AY58">
            <v>13.969073068024317</v>
          </cell>
        </row>
        <row r="59">
          <cell r="A59">
            <v>39619</v>
          </cell>
          <cell r="AF59">
            <v>18.902002701002978</v>
          </cell>
          <cell r="AG59">
            <v>20.469360058004284</v>
          </cell>
          <cell r="AH59">
            <v>17.881583490985356</v>
          </cell>
          <cell r="AI59">
            <v>15.547864889645153</v>
          </cell>
          <cell r="AJ59">
            <v>20.215302092325562</v>
          </cell>
          <cell r="AU59">
            <v>11.897541677357815</v>
          </cell>
          <cell r="AV59">
            <v>14.263722316306255</v>
          </cell>
          <cell r="AW59">
            <v>12.105561258724364</v>
          </cell>
          <cell r="AX59">
            <v>10.242049449424412</v>
          </cell>
          <cell r="AY59">
            <v>13.969073068024317</v>
          </cell>
        </row>
        <row r="60">
          <cell r="A60">
            <v>39622</v>
          </cell>
          <cell r="AF60">
            <v>19.087420291598075</v>
          </cell>
          <cell r="AG60">
            <v>20.469360058004284</v>
          </cell>
          <cell r="AH60">
            <v>17.881583490985356</v>
          </cell>
          <cell r="AI60">
            <v>15.547864889645153</v>
          </cell>
          <cell r="AJ60">
            <v>20.215302092325562</v>
          </cell>
          <cell r="AU60">
            <v>12.009307010305552</v>
          </cell>
          <cell r="AV60">
            <v>14.263722316306255</v>
          </cell>
          <cell r="AW60">
            <v>12.105561258724364</v>
          </cell>
          <cell r="AX60">
            <v>10.242049449424412</v>
          </cell>
          <cell r="AY60">
            <v>13.969073068024317</v>
          </cell>
        </row>
        <row r="61">
          <cell r="A61">
            <v>39623</v>
          </cell>
          <cell r="AF61">
            <v>19.087420291598075</v>
          </cell>
          <cell r="AG61">
            <v>20.469360058004284</v>
          </cell>
          <cell r="AH61">
            <v>17.881583490985356</v>
          </cell>
          <cell r="AI61">
            <v>15.547864889645153</v>
          </cell>
          <cell r="AJ61">
            <v>20.215302092325562</v>
          </cell>
          <cell r="AU61">
            <v>12.009307010305552</v>
          </cell>
          <cell r="AV61">
            <v>14.263722316306255</v>
          </cell>
          <cell r="AW61">
            <v>12.105561258724364</v>
          </cell>
          <cell r="AX61">
            <v>10.242049449424412</v>
          </cell>
          <cell r="AY61">
            <v>13.969073068024317</v>
          </cell>
        </row>
        <row r="62">
          <cell r="A62">
            <v>39624</v>
          </cell>
          <cell r="AF62">
            <v>19.347993916479375</v>
          </cell>
          <cell r="AG62">
            <v>20.469360058004284</v>
          </cell>
          <cell r="AH62">
            <v>17.881583490985356</v>
          </cell>
          <cell r="AI62">
            <v>15.547864889645153</v>
          </cell>
          <cell r="AJ62">
            <v>20.215302092325562</v>
          </cell>
          <cell r="AU62">
            <v>12.16637462103648</v>
          </cell>
          <cell r="AV62">
            <v>14.263722316306255</v>
          </cell>
          <cell r="AW62">
            <v>12.105561258724364</v>
          </cell>
          <cell r="AX62">
            <v>10.242049449424412</v>
          </cell>
          <cell r="AY62">
            <v>13.969073068024317</v>
          </cell>
        </row>
        <row r="63">
          <cell r="A63">
            <v>39625</v>
          </cell>
          <cell r="AF63">
            <v>18.876953529218689</v>
          </cell>
          <cell r="AG63">
            <v>20.469360058004284</v>
          </cell>
          <cell r="AH63">
            <v>17.881583490985356</v>
          </cell>
          <cell r="AI63">
            <v>15.547864889645153</v>
          </cell>
          <cell r="AJ63">
            <v>20.215302092325562</v>
          </cell>
          <cell r="AU63">
            <v>11.88244262976718</v>
          </cell>
          <cell r="AV63">
            <v>14.263722316306255</v>
          </cell>
          <cell r="AW63">
            <v>12.105561258724364</v>
          </cell>
          <cell r="AX63">
            <v>10.242049449424412</v>
          </cell>
          <cell r="AY63">
            <v>13.969073068024317</v>
          </cell>
        </row>
        <row r="64">
          <cell r="A64">
            <v>39626</v>
          </cell>
          <cell r="AF64">
            <v>18.741650317831379</v>
          </cell>
          <cell r="AG64">
            <v>20.469360058004284</v>
          </cell>
          <cell r="AH64">
            <v>17.881583490985356</v>
          </cell>
          <cell r="AI64">
            <v>15.547864889645153</v>
          </cell>
          <cell r="AJ64">
            <v>20.215302092325562</v>
          </cell>
          <cell r="AU64">
            <v>11.800885057904306</v>
          </cell>
          <cell r="AV64">
            <v>14.263722316306255</v>
          </cell>
          <cell r="AW64">
            <v>12.105561258724364</v>
          </cell>
          <cell r="AX64">
            <v>10.242049449424412</v>
          </cell>
          <cell r="AY64">
            <v>13.969073068024317</v>
          </cell>
        </row>
        <row r="65">
          <cell r="A65">
            <v>39629</v>
          </cell>
          <cell r="AF65">
            <v>18.440979075996403</v>
          </cell>
          <cell r="AG65">
            <v>20.469360058004284</v>
          </cell>
          <cell r="AH65">
            <v>17.881583490985356</v>
          </cell>
          <cell r="AI65">
            <v>15.547864889645153</v>
          </cell>
          <cell r="AJ65">
            <v>20.215302092325562</v>
          </cell>
          <cell r="AU65">
            <v>11.619647553179744</v>
          </cell>
          <cell r="AV65">
            <v>14.263722316306255</v>
          </cell>
          <cell r="AW65">
            <v>12.105561258724364</v>
          </cell>
          <cell r="AX65">
            <v>10.242049449424412</v>
          </cell>
          <cell r="AY65">
            <v>13.969073068024317</v>
          </cell>
        </row>
        <row r="66">
          <cell r="A66">
            <v>39630</v>
          </cell>
          <cell r="AF66">
            <v>18.400040756975947</v>
          </cell>
          <cell r="AG66">
            <v>20.469360058004284</v>
          </cell>
          <cell r="AH66">
            <v>17.881583490985356</v>
          </cell>
          <cell r="AI66">
            <v>15.547864889645153</v>
          </cell>
          <cell r="AJ66">
            <v>20.215302092325562</v>
          </cell>
          <cell r="AU66">
            <v>11.653790952818131</v>
          </cell>
          <cell r="AV66">
            <v>14.263722316306255</v>
          </cell>
          <cell r="AW66">
            <v>12.105561258724364</v>
          </cell>
          <cell r="AX66">
            <v>10.242049449424412</v>
          </cell>
          <cell r="AY66">
            <v>13.969073068024317</v>
          </cell>
        </row>
        <row r="67">
          <cell r="A67">
            <v>39631</v>
          </cell>
          <cell r="AF67">
            <v>18.291134491828725</v>
          </cell>
          <cell r="AG67">
            <v>20.469360058004284</v>
          </cell>
          <cell r="AH67">
            <v>17.881583490985356</v>
          </cell>
          <cell r="AI67">
            <v>15.547864889645153</v>
          </cell>
          <cell r="AJ67">
            <v>20.215302092325562</v>
          </cell>
          <cell r="AU67">
            <v>11.587776958237196</v>
          </cell>
          <cell r="AV67">
            <v>14.263722316306255</v>
          </cell>
          <cell r="AW67">
            <v>12.105561258724364</v>
          </cell>
          <cell r="AX67">
            <v>10.242049449424412</v>
          </cell>
          <cell r="AY67">
            <v>13.969073068024317</v>
          </cell>
        </row>
        <row r="68">
          <cell r="A68">
            <v>39632</v>
          </cell>
          <cell r="AF68">
            <v>18.315887175786852</v>
          </cell>
          <cell r="AG68">
            <v>20.469360058004284</v>
          </cell>
          <cell r="AH68">
            <v>17.881583490985356</v>
          </cell>
          <cell r="AI68">
            <v>15.547864889645153</v>
          </cell>
          <cell r="AJ68">
            <v>20.215302092325562</v>
          </cell>
          <cell r="AU68">
            <v>11.602780902615114</v>
          </cell>
          <cell r="AV68">
            <v>14.263722316306255</v>
          </cell>
          <cell r="AW68">
            <v>12.105561258724364</v>
          </cell>
          <cell r="AX68">
            <v>10.242049449424412</v>
          </cell>
          <cell r="AY68">
            <v>13.969073068024317</v>
          </cell>
        </row>
        <row r="69">
          <cell r="A69">
            <v>39633</v>
          </cell>
          <cell r="AF69">
            <v>18.315887175786852</v>
          </cell>
          <cell r="AG69">
            <v>20.469360058004284</v>
          </cell>
          <cell r="AH69">
            <v>17.881583490985356</v>
          </cell>
          <cell r="AI69">
            <v>15.547864889645153</v>
          </cell>
          <cell r="AJ69">
            <v>20.215302092325562</v>
          </cell>
          <cell r="AU69">
            <v>11.602780902615114</v>
          </cell>
          <cell r="AV69">
            <v>14.263722316306255</v>
          </cell>
          <cell r="AW69">
            <v>12.105561258724364</v>
          </cell>
          <cell r="AX69">
            <v>10.242049449424412</v>
          </cell>
          <cell r="AY69">
            <v>13.969073068024317</v>
          </cell>
        </row>
        <row r="70">
          <cell r="A70">
            <v>39636</v>
          </cell>
          <cell r="AF70">
            <v>18.34063243438532</v>
          </cell>
          <cell r="AG70">
            <v>20.469360058004284</v>
          </cell>
          <cell r="AH70">
            <v>17.881583490985356</v>
          </cell>
          <cell r="AI70">
            <v>15.547864889645153</v>
          </cell>
          <cell r="AJ70">
            <v>20.215302092325562</v>
          </cell>
          <cell r="AU70">
            <v>11.617780346079773</v>
          </cell>
          <cell r="AV70">
            <v>14.263722316306255</v>
          </cell>
          <cell r="AW70">
            <v>12.105561258724364</v>
          </cell>
          <cell r="AX70">
            <v>10.242049449424412</v>
          </cell>
          <cell r="AY70">
            <v>13.969073068024317</v>
          </cell>
        </row>
        <row r="71">
          <cell r="A71">
            <v>39637</v>
          </cell>
          <cell r="AF71">
            <v>18.85050663641703</v>
          </cell>
          <cell r="AG71">
            <v>20.469360058004284</v>
          </cell>
          <cell r="AH71">
            <v>17.881583490985356</v>
          </cell>
          <cell r="AI71">
            <v>15.547864889645153</v>
          </cell>
          <cell r="AJ71">
            <v>20.215302092325562</v>
          </cell>
          <cell r="AU71">
            <v>11.926842756441356</v>
          </cell>
          <cell r="AV71">
            <v>14.263722316306255</v>
          </cell>
          <cell r="AW71">
            <v>12.105561258724364</v>
          </cell>
          <cell r="AX71">
            <v>10.242049449424412</v>
          </cell>
          <cell r="AY71">
            <v>13.969073068024317</v>
          </cell>
        </row>
        <row r="72">
          <cell r="A72">
            <v>39638</v>
          </cell>
          <cell r="AF72">
            <v>18.513893796732575</v>
          </cell>
          <cell r="AG72">
            <v>20.469360058004284</v>
          </cell>
          <cell r="AH72">
            <v>17.881583490985356</v>
          </cell>
          <cell r="AI72">
            <v>15.547864889645153</v>
          </cell>
          <cell r="AJ72">
            <v>20.215302092325562</v>
          </cell>
          <cell r="AU72">
            <v>11.722803455811935</v>
          </cell>
          <cell r="AV72">
            <v>14.263722316306255</v>
          </cell>
          <cell r="AW72">
            <v>12.105561258724364</v>
          </cell>
          <cell r="AX72">
            <v>10.242049449424412</v>
          </cell>
          <cell r="AY72">
            <v>13.969073068024317</v>
          </cell>
        </row>
        <row r="73">
          <cell r="A73">
            <v>39639</v>
          </cell>
          <cell r="AF73">
            <v>18.860409096067421</v>
          </cell>
          <cell r="AG73">
            <v>20.469360058004284</v>
          </cell>
          <cell r="AH73">
            <v>17.881583490985356</v>
          </cell>
          <cell r="AI73">
            <v>15.547864889645153</v>
          </cell>
          <cell r="AJ73">
            <v>20.215302092325562</v>
          </cell>
          <cell r="AU73">
            <v>11.932845174362999</v>
          </cell>
          <cell r="AV73">
            <v>14.263722316306255</v>
          </cell>
          <cell r="AW73">
            <v>12.105561258724364</v>
          </cell>
          <cell r="AX73">
            <v>10.242049449424412</v>
          </cell>
          <cell r="AY73">
            <v>13.969073068024317</v>
          </cell>
        </row>
        <row r="74">
          <cell r="A74">
            <v>39640</v>
          </cell>
          <cell r="AF74">
            <v>18.583197153613931</v>
          </cell>
          <cell r="AG74">
            <v>20.469360058004284</v>
          </cell>
          <cell r="AH74">
            <v>17.881583490985356</v>
          </cell>
          <cell r="AI74">
            <v>15.547864889645153</v>
          </cell>
          <cell r="AJ74">
            <v>20.215302092325562</v>
          </cell>
          <cell r="AU74">
            <v>11.764811979558676</v>
          </cell>
          <cell r="AV74">
            <v>14.263722316306255</v>
          </cell>
          <cell r="AW74">
            <v>12.105561258724364</v>
          </cell>
          <cell r="AX74">
            <v>10.242049449424412</v>
          </cell>
          <cell r="AY74">
            <v>13.969073068024317</v>
          </cell>
        </row>
        <row r="75">
          <cell r="A75">
            <v>39643</v>
          </cell>
          <cell r="AF75">
            <v>18.08817317588996</v>
          </cell>
          <cell r="AG75">
            <v>20.469360058004284</v>
          </cell>
          <cell r="AH75">
            <v>17.881583490985356</v>
          </cell>
          <cell r="AI75">
            <v>15.547864889645153</v>
          </cell>
          <cell r="AJ75">
            <v>20.215302092325562</v>
          </cell>
          <cell r="AU75">
            <v>11.464751095653369</v>
          </cell>
          <cell r="AV75">
            <v>14.263722316306255</v>
          </cell>
          <cell r="AW75">
            <v>12.105561258724364</v>
          </cell>
          <cell r="AX75">
            <v>10.242049449424412</v>
          </cell>
          <cell r="AY75">
            <v>13.969073068024317</v>
          </cell>
        </row>
        <row r="76">
          <cell r="A76">
            <v>39644</v>
          </cell>
          <cell r="AF76">
            <v>18.273897219825471</v>
          </cell>
          <cell r="AG76">
            <v>20.469360058004284</v>
          </cell>
          <cell r="AH76">
            <v>17.881583490985356</v>
          </cell>
          <cell r="AI76">
            <v>15.547864889645153</v>
          </cell>
          <cell r="AJ76">
            <v>20.215302092325562</v>
          </cell>
          <cell r="AU76">
            <v>11.627049680040081</v>
          </cell>
          <cell r="AV76">
            <v>14.263722316306255</v>
          </cell>
          <cell r="AW76">
            <v>12.105561258724364</v>
          </cell>
          <cell r="AX76">
            <v>10.242049449424412</v>
          </cell>
          <cell r="AY76">
            <v>13.969073068024317</v>
          </cell>
        </row>
        <row r="77">
          <cell r="A77">
            <v>39645</v>
          </cell>
          <cell r="AF77">
            <v>18.877584658436255</v>
          </cell>
          <cell r="AG77">
            <v>20.469360058004284</v>
          </cell>
          <cell r="AH77">
            <v>17.881583490985356</v>
          </cell>
          <cell r="AI77">
            <v>15.547864889645153</v>
          </cell>
          <cell r="AJ77">
            <v>20.215302092325562</v>
          </cell>
          <cell r="AU77">
            <v>11.994555306672266</v>
          </cell>
          <cell r="AV77">
            <v>14.263722316306255</v>
          </cell>
          <cell r="AW77">
            <v>12.105561258724364</v>
          </cell>
          <cell r="AX77">
            <v>10.242049449424412</v>
          </cell>
          <cell r="AY77">
            <v>13.969073068024317</v>
          </cell>
        </row>
        <row r="78">
          <cell r="A78">
            <v>39646</v>
          </cell>
          <cell r="AF78">
            <v>19.535703381885845</v>
          </cell>
          <cell r="AG78">
            <v>20.469360058004284</v>
          </cell>
          <cell r="AH78">
            <v>17.881583490985356</v>
          </cell>
          <cell r="AI78">
            <v>15.547864889645153</v>
          </cell>
          <cell r="AJ78">
            <v>20.215302092325562</v>
          </cell>
          <cell r="AU78">
            <v>12.395196960598831</v>
          </cell>
          <cell r="AV78">
            <v>14.263722316306255</v>
          </cell>
          <cell r="AW78">
            <v>12.105561258724364</v>
          </cell>
          <cell r="AX78">
            <v>10.242049449424412</v>
          </cell>
          <cell r="AY78">
            <v>13.969073068024317</v>
          </cell>
        </row>
        <row r="79">
          <cell r="A79">
            <v>39647</v>
          </cell>
          <cell r="AF79">
            <v>19.674253988912877</v>
          </cell>
          <cell r="AG79">
            <v>20.469360058004284</v>
          </cell>
          <cell r="AH79">
            <v>17.881583490985356</v>
          </cell>
          <cell r="AI79">
            <v>15.547864889645153</v>
          </cell>
          <cell r="AJ79">
            <v>20.215302092325562</v>
          </cell>
          <cell r="AU79">
            <v>12.479542143882606</v>
          </cell>
          <cell r="AV79">
            <v>14.263722316306255</v>
          </cell>
          <cell r="AW79">
            <v>12.105561258724364</v>
          </cell>
          <cell r="AX79">
            <v>10.242049449424412</v>
          </cell>
          <cell r="AY79">
            <v>13.969073068024317</v>
          </cell>
        </row>
        <row r="80">
          <cell r="A80">
            <v>39650</v>
          </cell>
          <cell r="AF80">
            <v>19.684152475489498</v>
          </cell>
          <cell r="AG80">
            <v>20.469360058004284</v>
          </cell>
          <cell r="AH80">
            <v>17.881583490985356</v>
          </cell>
          <cell r="AI80">
            <v>15.547864889645153</v>
          </cell>
          <cell r="AJ80">
            <v>20.215302092325562</v>
          </cell>
          <cell r="AU80">
            <v>12.382193975070434</v>
          </cell>
          <cell r="AV80">
            <v>14.263722316306255</v>
          </cell>
          <cell r="AW80">
            <v>12.105561258724364</v>
          </cell>
          <cell r="AX80">
            <v>10.242049449424412</v>
          </cell>
          <cell r="AY80">
            <v>13.969073068024317</v>
          </cell>
        </row>
        <row r="81">
          <cell r="A81">
            <v>39651</v>
          </cell>
          <cell r="AF81">
            <v>19.921666670792149</v>
          </cell>
          <cell r="AG81">
            <v>20.469360058004284</v>
          </cell>
          <cell r="AH81">
            <v>17.881583490985356</v>
          </cell>
          <cell r="AI81">
            <v>15.547864889645153</v>
          </cell>
          <cell r="AJ81">
            <v>20.215302092325562</v>
          </cell>
          <cell r="AU81">
            <v>12.52558789009786</v>
          </cell>
          <cell r="AV81">
            <v>14.263722316306255</v>
          </cell>
          <cell r="AW81">
            <v>12.105561258724364</v>
          </cell>
          <cell r="AX81">
            <v>10.242049449424412</v>
          </cell>
          <cell r="AY81">
            <v>13.969073068024317</v>
          </cell>
        </row>
        <row r="82">
          <cell r="A82">
            <v>39652</v>
          </cell>
          <cell r="AF82">
            <v>19.788061843275887</v>
          </cell>
          <cell r="AG82">
            <v>20.469360058004284</v>
          </cell>
          <cell r="AH82">
            <v>17.881583490985356</v>
          </cell>
          <cell r="AI82">
            <v>15.547864889645153</v>
          </cell>
          <cell r="AJ82">
            <v>20.215302092325562</v>
          </cell>
          <cell r="AU82">
            <v>12.444926945771106</v>
          </cell>
          <cell r="AV82">
            <v>14.263722316306255</v>
          </cell>
          <cell r="AW82">
            <v>12.105561258724364</v>
          </cell>
          <cell r="AX82">
            <v>10.242049449424412</v>
          </cell>
          <cell r="AY82">
            <v>13.969073068024317</v>
          </cell>
        </row>
        <row r="83">
          <cell r="A83">
            <v>39653</v>
          </cell>
          <cell r="AF83">
            <v>19.67919976842364</v>
          </cell>
          <cell r="AG83">
            <v>20.469360058004284</v>
          </cell>
          <cell r="AH83">
            <v>17.881583490985356</v>
          </cell>
          <cell r="AI83">
            <v>15.547864889645153</v>
          </cell>
          <cell r="AJ83">
            <v>20.215302092325562</v>
          </cell>
          <cell r="AU83">
            <v>12.3792038882874</v>
          </cell>
          <cell r="AV83">
            <v>14.263722316306255</v>
          </cell>
          <cell r="AW83">
            <v>12.105561258724364</v>
          </cell>
          <cell r="AX83">
            <v>10.242049449424412</v>
          </cell>
          <cell r="AY83">
            <v>13.969073068024317</v>
          </cell>
        </row>
        <row r="84">
          <cell r="A84">
            <v>39654</v>
          </cell>
          <cell r="AF84">
            <v>19.703942521087658</v>
          </cell>
          <cell r="AG84">
            <v>20.469360058004284</v>
          </cell>
          <cell r="AH84">
            <v>17.881583490985356</v>
          </cell>
          <cell r="AI84">
            <v>15.547864889645153</v>
          </cell>
          <cell r="AJ84">
            <v>20.215302092325562</v>
          </cell>
          <cell r="AU84">
            <v>12.394141775130448</v>
          </cell>
          <cell r="AV84">
            <v>14.263722316306255</v>
          </cell>
          <cell r="AW84">
            <v>12.105561258724364</v>
          </cell>
          <cell r="AX84">
            <v>10.242049449424412</v>
          </cell>
          <cell r="AY84">
            <v>13.969073068024317</v>
          </cell>
        </row>
        <row r="85">
          <cell r="A85">
            <v>39657</v>
          </cell>
          <cell r="AF85">
            <v>19.491171078449032</v>
          </cell>
          <cell r="AG85">
            <v>20.469360058004284</v>
          </cell>
          <cell r="AH85">
            <v>17.881583490985356</v>
          </cell>
          <cell r="AI85">
            <v>15.547864889645153</v>
          </cell>
          <cell r="AJ85">
            <v>20.215302092325562</v>
          </cell>
          <cell r="AU85">
            <v>12.265685746946072</v>
          </cell>
          <cell r="AV85">
            <v>14.263722316306255</v>
          </cell>
          <cell r="AW85">
            <v>12.105561258724364</v>
          </cell>
          <cell r="AX85">
            <v>10.242049449424412</v>
          </cell>
          <cell r="AY85">
            <v>13.969073068024317</v>
          </cell>
        </row>
        <row r="86">
          <cell r="A86">
            <v>39658</v>
          </cell>
          <cell r="AF86">
            <v>19.263547947342555</v>
          </cell>
          <cell r="AG86">
            <v>20.469360058004284</v>
          </cell>
          <cell r="AH86">
            <v>17.881583490985356</v>
          </cell>
          <cell r="AI86">
            <v>15.547864889645153</v>
          </cell>
          <cell r="AJ86">
            <v>20.215302092325562</v>
          </cell>
          <cell r="AU86">
            <v>11.934341709589011</v>
          </cell>
          <cell r="AV86">
            <v>14.263722316306255</v>
          </cell>
          <cell r="AW86">
            <v>12.105561258724364</v>
          </cell>
          <cell r="AX86">
            <v>10.242049449424412</v>
          </cell>
          <cell r="AY86">
            <v>13.969073068024317</v>
          </cell>
        </row>
        <row r="87">
          <cell r="A87">
            <v>39659</v>
          </cell>
          <cell r="AF87">
            <v>19.862290101267941</v>
          </cell>
          <cell r="AG87">
            <v>20.469360058004284</v>
          </cell>
          <cell r="AH87">
            <v>17.881583490985356</v>
          </cell>
          <cell r="AI87">
            <v>15.547864889645153</v>
          </cell>
          <cell r="AJ87">
            <v>20.215302092325562</v>
          </cell>
          <cell r="AU87">
            <v>12.295386671939978</v>
          </cell>
          <cell r="AV87">
            <v>14.263722316306255</v>
          </cell>
          <cell r="AW87">
            <v>12.105561258724364</v>
          </cell>
          <cell r="AX87">
            <v>10.242049449424412</v>
          </cell>
          <cell r="AY87">
            <v>13.969073068024317</v>
          </cell>
        </row>
        <row r="88">
          <cell r="A88">
            <v>39660</v>
          </cell>
          <cell r="AF88">
            <v>19.916720891281379</v>
          </cell>
          <cell r="AG88">
            <v>20.469360058004284</v>
          </cell>
          <cell r="AH88">
            <v>17.881583490985356</v>
          </cell>
          <cell r="AI88">
            <v>15.547864889645153</v>
          </cell>
          <cell r="AJ88">
            <v>20.215302092325562</v>
          </cell>
          <cell r="AU88">
            <v>12.328208751364814</v>
          </cell>
          <cell r="AV88">
            <v>14.263722316306255</v>
          </cell>
          <cell r="AW88">
            <v>12.105561258724364</v>
          </cell>
          <cell r="AX88">
            <v>10.242049449424412</v>
          </cell>
          <cell r="AY88">
            <v>13.969073068024317</v>
          </cell>
        </row>
        <row r="89">
          <cell r="A89">
            <v>39661</v>
          </cell>
          <cell r="AF89">
            <v>19.216448850835633</v>
          </cell>
          <cell r="AG89">
            <v>20.469360058004284</v>
          </cell>
          <cell r="AH89">
            <v>17.881583490985356</v>
          </cell>
          <cell r="AI89">
            <v>15.547864889645153</v>
          </cell>
          <cell r="AJ89">
            <v>20.215302092325562</v>
          </cell>
          <cell r="AU89">
            <v>11.921053668660496</v>
          </cell>
          <cell r="AV89">
            <v>14.263722316306255</v>
          </cell>
          <cell r="AW89">
            <v>12.105561258724364</v>
          </cell>
          <cell r="AX89">
            <v>10.242049449424412</v>
          </cell>
          <cell r="AY89">
            <v>13.969073068024317</v>
          </cell>
        </row>
        <row r="90">
          <cell r="A90">
            <v>39664</v>
          </cell>
          <cell r="AF90">
            <v>19.123378137431622</v>
          </cell>
          <cell r="AG90">
            <v>20.469360058004284</v>
          </cell>
          <cell r="AH90">
            <v>17.881583490985356</v>
          </cell>
          <cell r="AI90">
            <v>15.547864889645153</v>
          </cell>
          <cell r="AJ90">
            <v>20.215302092325562</v>
          </cell>
          <cell r="AU90">
            <v>11.864845115460195</v>
          </cell>
          <cell r="AV90">
            <v>14.263722316306255</v>
          </cell>
          <cell r="AW90">
            <v>12.105561258724364</v>
          </cell>
          <cell r="AX90">
            <v>10.242049449424412</v>
          </cell>
          <cell r="AY90">
            <v>13.969073068024317</v>
          </cell>
        </row>
        <row r="91">
          <cell r="A91">
            <v>39665</v>
          </cell>
          <cell r="AF91">
            <v>19.569134647414621</v>
          </cell>
          <cell r="AG91">
            <v>20.469360058004284</v>
          </cell>
          <cell r="AH91">
            <v>17.881583490985356</v>
          </cell>
          <cell r="AI91">
            <v>15.547864889645153</v>
          </cell>
          <cell r="AJ91">
            <v>20.215302092325562</v>
          </cell>
          <cell r="AU91">
            <v>12.134052555581532</v>
          </cell>
          <cell r="AV91">
            <v>14.263722316306255</v>
          </cell>
          <cell r="AW91">
            <v>12.105561258724364</v>
          </cell>
          <cell r="AX91">
            <v>10.242049449424412</v>
          </cell>
          <cell r="AY91">
            <v>13.969073068024317</v>
          </cell>
        </row>
        <row r="92">
          <cell r="A92">
            <v>39666</v>
          </cell>
          <cell r="AF92">
            <v>19.756698880862643</v>
          </cell>
          <cell r="AG92">
            <v>20.469360058004284</v>
          </cell>
          <cell r="AH92">
            <v>17.881583490985356</v>
          </cell>
          <cell r="AI92">
            <v>15.547864889645153</v>
          </cell>
          <cell r="AJ92">
            <v>20.215302092325562</v>
          </cell>
          <cell r="AU92">
            <v>12.281968243838239</v>
          </cell>
          <cell r="AV92">
            <v>14.263722316306255</v>
          </cell>
          <cell r="AW92">
            <v>12.105561258724364</v>
          </cell>
          <cell r="AX92">
            <v>10.242049449424412</v>
          </cell>
          <cell r="AY92">
            <v>13.969073068024317</v>
          </cell>
        </row>
        <row r="93">
          <cell r="A93">
            <v>39667</v>
          </cell>
          <cell r="AF93">
            <v>19.639474978104342</v>
          </cell>
          <cell r="AG93">
            <v>20.469360058004284</v>
          </cell>
          <cell r="AH93">
            <v>17.881583490985356</v>
          </cell>
          <cell r="AI93">
            <v>15.547864889645153</v>
          </cell>
          <cell r="AJ93">
            <v>20.215302092325562</v>
          </cell>
          <cell r="AU93">
            <v>12.210967234318137</v>
          </cell>
          <cell r="AV93">
            <v>14.263722316306255</v>
          </cell>
          <cell r="AW93">
            <v>12.105561258724364</v>
          </cell>
          <cell r="AX93">
            <v>10.242049449424412</v>
          </cell>
          <cell r="AY93">
            <v>13.969073068024317</v>
          </cell>
        </row>
        <row r="94">
          <cell r="A94">
            <v>39668</v>
          </cell>
          <cell r="AF94">
            <v>19.991139848460701</v>
          </cell>
          <cell r="AG94">
            <v>20.469360058004284</v>
          </cell>
          <cell r="AH94">
            <v>17.881583490985356</v>
          </cell>
          <cell r="AI94">
            <v>15.547864889645153</v>
          </cell>
          <cell r="AJ94">
            <v>20.215302092325562</v>
          </cell>
          <cell r="AU94">
            <v>12.423966121239172</v>
          </cell>
          <cell r="AV94">
            <v>14.263722316306255</v>
          </cell>
          <cell r="AW94">
            <v>12.105561258724364</v>
          </cell>
          <cell r="AX94">
            <v>10.242049449424412</v>
          </cell>
          <cell r="AY94">
            <v>13.969073068024317</v>
          </cell>
        </row>
        <row r="95">
          <cell r="A95">
            <v>39671</v>
          </cell>
          <cell r="AF95">
            <v>19.942294642655629</v>
          </cell>
          <cell r="AG95">
            <v>20.469360058004284</v>
          </cell>
          <cell r="AH95">
            <v>17.881583490985356</v>
          </cell>
          <cell r="AI95">
            <v>15.547864889645153</v>
          </cell>
          <cell r="AJ95">
            <v>20.215302092325562</v>
          </cell>
          <cell r="AU95">
            <v>12.394381208599571</v>
          </cell>
          <cell r="AV95">
            <v>14.263722316306255</v>
          </cell>
          <cell r="AW95">
            <v>12.105561258724364</v>
          </cell>
          <cell r="AX95">
            <v>10.242049449424412</v>
          </cell>
          <cell r="AY95">
            <v>13.969073068024317</v>
          </cell>
        </row>
        <row r="96">
          <cell r="A96">
            <v>39672</v>
          </cell>
          <cell r="AF96">
            <v>19.888567651437462</v>
          </cell>
          <cell r="AG96">
            <v>20.469360058004284</v>
          </cell>
          <cell r="AH96">
            <v>17.881583490985356</v>
          </cell>
          <cell r="AI96">
            <v>15.547864889645153</v>
          </cell>
          <cell r="AJ96">
            <v>20.215302092325562</v>
          </cell>
          <cell r="AU96">
            <v>12.394569950179713</v>
          </cell>
          <cell r="AV96">
            <v>14.263722316306255</v>
          </cell>
          <cell r="AW96">
            <v>12.105561258724364</v>
          </cell>
          <cell r="AX96">
            <v>10.242049449424412</v>
          </cell>
          <cell r="AY96">
            <v>13.969073068024317</v>
          </cell>
        </row>
        <row r="97">
          <cell r="A97">
            <v>39673</v>
          </cell>
          <cell r="AF97">
            <v>19.888567651437462</v>
          </cell>
          <cell r="AG97">
            <v>20.469360058004284</v>
          </cell>
          <cell r="AH97">
            <v>17.881583490985356</v>
          </cell>
          <cell r="AI97">
            <v>15.547864889645153</v>
          </cell>
          <cell r="AJ97">
            <v>20.215302092325562</v>
          </cell>
          <cell r="AU97">
            <v>12.394569950179713</v>
          </cell>
          <cell r="AV97">
            <v>14.263722316306255</v>
          </cell>
          <cell r="AW97">
            <v>12.105561258724364</v>
          </cell>
          <cell r="AX97">
            <v>10.242049449424412</v>
          </cell>
          <cell r="AY97">
            <v>13.969073068024317</v>
          </cell>
        </row>
        <row r="98">
          <cell r="A98">
            <v>39674</v>
          </cell>
          <cell r="AF98">
            <v>20.303730410179455</v>
          </cell>
          <cell r="AG98">
            <v>20.469360058004284</v>
          </cell>
          <cell r="AH98">
            <v>17.881583490985356</v>
          </cell>
          <cell r="AI98">
            <v>15.547864889645153</v>
          </cell>
          <cell r="AJ98">
            <v>20.215302092325562</v>
          </cell>
          <cell r="AU98">
            <v>12.646694479289513</v>
          </cell>
          <cell r="AV98">
            <v>14.263722316306255</v>
          </cell>
          <cell r="AW98">
            <v>12.105561258724364</v>
          </cell>
          <cell r="AX98">
            <v>10.242049449424412</v>
          </cell>
          <cell r="AY98">
            <v>13.969073068024317</v>
          </cell>
        </row>
        <row r="99">
          <cell r="A99">
            <v>39675</v>
          </cell>
          <cell r="AF99">
            <v>20.357456912974868</v>
          </cell>
          <cell r="AG99">
            <v>20.469360058004284</v>
          </cell>
          <cell r="AH99">
            <v>17.881583490985356</v>
          </cell>
          <cell r="AI99">
            <v>15.547864889645153</v>
          </cell>
          <cell r="AJ99">
            <v>20.215302092325562</v>
          </cell>
          <cell r="AU99">
            <v>12.679322090829277</v>
          </cell>
          <cell r="AV99">
            <v>14.263722316306255</v>
          </cell>
          <cell r="AW99">
            <v>12.105561258724364</v>
          </cell>
          <cell r="AX99">
            <v>10.242049449424412</v>
          </cell>
          <cell r="AY99">
            <v>13.969073068024317</v>
          </cell>
        </row>
        <row r="100">
          <cell r="A100">
            <v>39678</v>
          </cell>
          <cell r="AF100">
            <v>20.215817733655324</v>
          </cell>
          <cell r="AG100">
            <v>20.469360058004284</v>
          </cell>
          <cell r="AH100">
            <v>17.881583490985356</v>
          </cell>
          <cell r="AI100">
            <v>15.547864889645153</v>
          </cell>
          <cell r="AJ100">
            <v>20.215302092325562</v>
          </cell>
          <cell r="AU100">
            <v>12.593305918527005</v>
          </cell>
          <cell r="AV100">
            <v>14.263722316306255</v>
          </cell>
          <cell r="AW100">
            <v>12.105561258724364</v>
          </cell>
          <cell r="AX100">
            <v>10.242049449424412</v>
          </cell>
          <cell r="AY100">
            <v>13.969073068024317</v>
          </cell>
        </row>
        <row r="101">
          <cell r="A101">
            <v>39679</v>
          </cell>
          <cell r="AF101">
            <v>19.839730260396433</v>
          </cell>
          <cell r="AG101">
            <v>20.469360058004284</v>
          </cell>
          <cell r="AH101">
            <v>17.881583490985356</v>
          </cell>
          <cell r="AI101">
            <v>15.547864889645153</v>
          </cell>
          <cell r="AJ101">
            <v>20.215302092325562</v>
          </cell>
          <cell r="AU101">
            <v>12.36491145129007</v>
          </cell>
          <cell r="AV101">
            <v>14.263722316306255</v>
          </cell>
          <cell r="AW101">
            <v>12.105561258724364</v>
          </cell>
          <cell r="AX101">
            <v>10.242049449424412</v>
          </cell>
          <cell r="AY101">
            <v>13.969073068024317</v>
          </cell>
        </row>
        <row r="102">
          <cell r="A102">
            <v>39680</v>
          </cell>
          <cell r="AF102">
            <v>19.584627486600883</v>
          </cell>
          <cell r="AG102">
            <v>20.469360058004284</v>
          </cell>
          <cell r="AH102">
            <v>17.881583490985356</v>
          </cell>
          <cell r="AI102">
            <v>15.547864889645153</v>
          </cell>
          <cell r="AJ102">
            <v>20.215302092325562</v>
          </cell>
          <cell r="AU102">
            <v>12.255165217114929</v>
          </cell>
          <cell r="AV102">
            <v>14.263722316306255</v>
          </cell>
          <cell r="AW102">
            <v>12.105561258724364</v>
          </cell>
          <cell r="AX102">
            <v>10.242049449424412</v>
          </cell>
          <cell r="AY102">
            <v>13.969073068024317</v>
          </cell>
        </row>
        <row r="103">
          <cell r="A103">
            <v>39681</v>
          </cell>
          <cell r="AF103">
            <v>19.375397004324341</v>
          </cell>
          <cell r="AG103">
            <v>20.469360058004284</v>
          </cell>
          <cell r="AH103">
            <v>17.881583490985356</v>
          </cell>
          <cell r="AI103">
            <v>15.547864889645153</v>
          </cell>
          <cell r="AJ103">
            <v>20.215302092325562</v>
          </cell>
          <cell r="AU103">
            <v>12.127618841156941</v>
          </cell>
          <cell r="AV103">
            <v>14.263722316306255</v>
          </cell>
          <cell r="AW103">
            <v>12.105561258724364</v>
          </cell>
          <cell r="AX103">
            <v>10.242049449424412</v>
          </cell>
          <cell r="AY103">
            <v>13.969073068024317</v>
          </cell>
        </row>
        <row r="104">
          <cell r="A104">
            <v>39682</v>
          </cell>
          <cell r="AF104">
            <v>19.477580588919398</v>
          </cell>
          <cell r="AG104">
            <v>20.469360058004284</v>
          </cell>
          <cell r="AH104">
            <v>17.881583490985356</v>
          </cell>
          <cell r="AI104">
            <v>15.547864889645153</v>
          </cell>
          <cell r="AJ104">
            <v>20.215302092325562</v>
          </cell>
          <cell r="AU104">
            <v>12.189909697420752</v>
          </cell>
          <cell r="AV104">
            <v>14.263722316306255</v>
          </cell>
          <cell r="AW104">
            <v>12.105561258724364</v>
          </cell>
          <cell r="AX104">
            <v>10.242049449424412</v>
          </cell>
          <cell r="AY104">
            <v>13.969073068024317</v>
          </cell>
        </row>
        <row r="105">
          <cell r="A105">
            <v>39685</v>
          </cell>
          <cell r="AF105">
            <v>19.088319452443297</v>
          </cell>
          <cell r="AG105">
            <v>20.469360058004284</v>
          </cell>
          <cell r="AH105">
            <v>17.881583490985356</v>
          </cell>
          <cell r="AI105">
            <v>15.547864889645153</v>
          </cell>
          <cell r="AJ105">
            <v>20.215302092325562</v>
          </cell>
          <cell r="AU105">
            <v>11.952617087287626</v>
          </cell>
          <cell r="AV105">
            <v>14.263722316306255</v>
          </cell>
          <cell r="AW105">
            <v>12.105561258724364</v>
          </cell>
          <cell r="AX105">
            <v>10.242049449424412</v>
          </cell>
          <cell r="AY105">
            <v>13.969073068024317</v>
          </cell>
        </row>
        <row r="106">
          <cell r="A106">
            <v>39686</v>
          </cell>
          <cell r="AF106">
            <v>19.117512955050529</v>
          </cell>
          <cell r="AG106">
            <v>20.469360058004284</v>
          </cell>
          <cell r="AH106">
            <v>17.881583490985356</v>
          </cell>
          <cell r="AI106">
            <v>15.547864889645153</v>
          </cell>
          <cell r="AJ106">
            <v>20.215302092325562</v>
          </cell>
          <cell r="AU106">
            <v>11.970413373080014</v>
          </cell>
          <cell r="AV106">
            <v>14.263722316306255</v>
          </cell>
          <cell r="AW106">
            <v>12.105561258724364</v>
          </cell>
          <cell r="AX106">
            <v>10.242049449424412</v>
          </cell>
          <cell r="AY106">
            <v>13.969073068024317</v>
          </cell>
        </row>
        <row r="107">
          <cell r="A107">
            <v>39687</v>
          </cell>
          <cell r="AF107">
            <v>19.09805289066049</v>
          </cell>
          <cell r="AG107">
            <v>20.469360058004284</v>
          </cell>
          <cell r="AH107">
            <v>17.881583490985356</v>
          </cell>
          <cell r="AI107">
            <v>15.547864889645153</v>
          </cell>
          <cell r="AJ107">
            <v>20.215302092325562</v>
          </cell>
          <cell r="AU107">
            <v>11.958550566753457</v>
          </cell>
          <cell r="AV107">
            <v>14.263722316306255</v>
          </cell>
          <cell r="AW107">
            <v>12.105561258724364</v>
          </cell>
          <cell r="AX107">
            <v>10.242049449424412</v>
          </cell>
          <cell r="AY107">
            <v>13.969073068024317</v>
          </cell>
        </row>
        <row r="108">
          <cell r="A108">
            <v>39688</v>
          </cell>
          <cell r="AF108">
            <v>19.453250399398595</v>
          </cell>
          <cell r="AG108">
            <v>20.469360058004284</v>
          </cell>
          <cell r="AH108">
            <v>17.881583490985356</v>
          </cell>
          <cell r="AI108">
            <v>15.547864889645153</v>
          </cell>
          <cell r="AJ108">
            <v>20.215302092325562</v>
          </cell>
          <cell r="AU108">
            <v>12.175078075058728</v>
          </cell>
          <cell r="AV108">
            <v>14.263722316306255</v>
          </cell>
          <cell r="AW108">
            <v>12.105561258724364</v>
          </cell>
          <cell r="AX108">
            <v>10.242049449424412</v>
          </cell>
          <cell r="AY108">
            <v>13.969073068024317</v>
          </cell>
        </row>
        <row r="109">
          <cell r="A109">
            <v>39689</v>
          </cell>
          <cell r="AF109">
            <v>19.068852576008915</v>
          </cell>
          <cell r="AG109">
            <v>20.469360058004284</v>
          </cell>
          <cell r="AH109">
            <v>17.881583490985356</v>
          </cell>
          <cell r="AI109">
            <v>15.547864889645153</v>
          </cell>
          <cell r="AJ109">
            <v>20.215302092325562</v>
          </cell>
          <cell r="AU109">
            <v>11.940750128355964</v>
          </cell>
          <cell r="AV109">
            <v>14.263722316306255</v>
          </cell>
          <cell r="AW109">
            <v>12.105561258724364</v>
          </cell>
          <cell r="AX109">
            <v>10.242049449424412</v>
          </cell>
          <cell r="AY109">
            <v>13.969073068024317</v>
          </cell>
        </row>
        <row r="110">
          <cell r="A110">
            <v>39692</v>
          </cell>
          <cell r="AF110">
            <v>18.894344471148628</v>
          </cell>
          <cell r="AG110">
            <v>20.469360058004284</v>
          </cell>
          <cell r="AH110">
            <v>17.881583490985356</v>
          </cell>
          <cell r="AI110">
            <v>15.547864889645153</v>
          </cell>
          <cell r="AJ110">
            <v>20.215302092325562</v>
          </cell>
          <cell r="AU110">
            <v>11.858652239914594</v>
          </cell>
          <cell r="AV110">
            <v>14.263722316306255</v>
          </cell>
          <cell r="AW110">
            <v>12.105561258724364</v>
          </cell>
          <cell r="AX110">
            <v>10.242049449424412</v>
          </cell>
          <cell r="AY110">
            <v>13.969073068024317</v>
          </cell>
        </row>
        <row r="111">
          <cell r="A111">
            <v>39693</v>
          </cell>
          <cell r="AF111">
            <v>19.116123355663603</v>
          </cell>
          <cell r="AG111">
            <v>20.469360058004284</v>
          </cell>
          <cell r="AH111">
            <v>17.881583490985356</v>
          </cell>
          <cell r="AI111">
            <v>15.547864889645153</v>
          </cell>
          <cell r="AJ111">
            <v>20.215302092325562</v>
          </cell>
          <cell r="AU111">
            <v>11.994158642924551</v>
          </cell>
          <cell r="AV111">
            <v>14.263722316306255</v>
          </cell>
          <cell r="AW111">
            <v>12.105561258724364</v>
          </cell>
          <cell r="AX111">
            <v>10.242049449424412</v>
          </cell>
          <cell r="AY111">
            <v>13.969073068024317</v>
          </cell>
        </row>
        <row r="112">
          <cell r="A112">
            <v>39694</v>
          </cell>
          <cell r="AF112">
            <v>18.889525664544525</v>
          </cell>
          <cell r="AG112">
            <v>20.469360058004284</v>
          </cell>
          <cell r="AH112">
            <v>17.881583490985356</v>
          </cell>
          <cell r="AI112">
            <v>15.547864889645153</v>
          </cell>
          <cell r="AJ112">
            <v>20.215302092325562</v>
          </cell>
          <cell r="AU112">
            <v>11.855707959844153</v>
          </cell>
          <cell r="AV112">
            <v>14.263722316306255</v>
          </cell>
          <cell r="AW112">
            <v>12.105561258724364</v>
          </cell>
          <cell r="AX112">
            <v>10.242049449424412</v>
          </cell>
          <cell r="AY112">
            <v>13.969073068024317</v>
          </cell>
        </row>
        <row r="113">
          <cell r="A113">
            <v>39695</v>
          </cell>
          <cell r="AF113">
            <v>18.552041906020012</v>
          </cell>
          <cell r="AG113">
            <v>20.469360058004284</v>
          </cell>
          <cell r="AH113">
            <v>17.881583490985356</v>
          </cell>
          <cell r="AI113">
            <v>15.547864889645153</v>
          </cell>
          <cell r="AJ113">
            <v>20.215302092325562</v>
          </cell>
          <cell r="AU113">
            <v>11.649506137285838</v>
          </cell>
          <cell r="AV113">
            <v>14.263722316306255</v>
          </cell>
          <cell r="AW113">
            <v>12.105561258724364</v>
          </cell>
          <cell r="AX113">
            <v>10.242049449424412</v>
          </cell>
          <cell r="AY113">
            <v>13.969073068024317</v>
          </cell>
        </row>
        <row r="114">
          <cell r="A114">
            <v>39696</v>
          </cell>
          <cell r="AF114">
            <v>18.441155838614574</v>
          </cell>
          <cell r="AG114">
            <v>20.469360058004284</v>
          </cell>
          <cell r="AH114">
            <v>17.881583490985356</v>
          </cell>
          <cell r="AI114">
            <v>15.547864889645153</v>
          </cell>
          <cell r="AJ114">
            <v>20.215302092325562</v>
          </cell>
          <cell r="AU114">
            <v>11.581754997807924</v>
          </cell>
          <cell r="AV114">
            <v>14.263722316306255</v>
          </cell>
          <cell r="AW114">
            <v>12.105561258724364</v>
          </cell>
          <cell r="AX114">
            <v>10.242049449424412</v>
          </cell>
          <cell r="AY114">
            <v>13.969073068024317</v>
          </cell>
        </row>
        <row r="115">
          <cell r="A115">
            <v>39699</v>
          </cell>
          <cell r="AF115">
            <v>18.523116049108914</v>
          </cell>
          <cell r="AG115">
            <v>20.469360058004284</v>
          </cell>
          <cell r="AH115">
            <v>17.881583490985356</v>
          </cell>
          <cell r="AI115">
            <v>15.547864889645153</v>
          </cell>
          <cell r="AJ115">
            <v>20.215302092325562</v>
          </cell>
          <cell r="AU115">
            <v>11.631832503330218</v>
          </cell>
          <cell r="AV115">
            <v>14.263722316306255</v>
          </cell>
          <cell r="AW115">
            <v>12.105561258724364</v>
          </cell>
          <cell r="AX115">
            <v>10.242049449424412</v>
          </cell>
          <cell r="AY115">
            <v>13.969073068024317</v>
          </cell>
        </row>
        <row r="116">
          <cell r="A116">
            <v>39700</v>
          </cell>
          <cell r="AF116">
            <v>18.301336682472222</v>
          </cell>
          <cell r="AG116">
            <v>20.469360058004284</v>
          </cell>
          <cell r="AH116">
            <v>17.881583490985356</v>
          </cell>
          <cell r="AI116">
            <v>15.547864889645153</v>
          </cell>
          <cell r="AJ116">
            <v>20.215302092325562</v>
          </cell>
          <cell r="AU116">
            <v>11.496325805744972</v>
          </cell>
          <cell r="AV116">
            <v>14.263722316306255</v>
          </cell>
          <cell r="AW116">
            <v>12.105561258724364</v>
          </cell>
          <cell r="AX116">
            <v>10.242049449424412</v>
          </cell>
          <cell r="AY116">
            <v>13.969073068024317</v>
          </cell>
        </row>
        <row r="117">
          <cell r="A117">
            <v>39701</v>
          </cell>
          <cell r="AF117">
            <v>18.595431414569234</v>
          </cell>
          <cell r="AG117">
            <v>20.469360058004284</v>
          </cell>
          <cell r="AH117">
            <v>17.881583490985356</v>
          </cell>
          <cell r="AI117">
            <v>15.547864889645153</v>
          </cell>
          <cell r="AJ117">
            <v>20.215302092325562</v>
          </cell>
          <cell r="AU117">
            <v>11.676017030082209</v>
          </cell>
          <cell r="AV117">
            <v>14.263722316306255</v>
          </cell>
          <cell r="AW117">
            <v>12.105561258724364</v>
          </cell>
          <cell r="AX117">
            <v>10.242049449424412</v>
          </cell>
          <cell r="AY117">
            <v>13.969073068024317</v>
          </cell>
        </row>
        <row r="118">
          <cell r="A118">
            <v>39702</v>
          </cell>
          <cell r="AF118">
            <v>18.990774600863478</v>
          </cell>
          <cell r="AG118">
            <v>20.469360058004284</v>
          </cell>
          <cell r="AH118">
            <v>17.881583490985356</v>
          </cell>
          <cell r="AI118">
            <v>15.547864889645153</v>
          </cell>
          <cell r="AJ118">
            <v>20.215302092325562</v>
          </cell>
          <cell r="AU118">
            <v>11.917570833756475</v>
          </cell>
          <cell r="AV118">
            <v>14.263722316306255</v>
          </cell>
          <cell r="AW118">
            <v>12.105561258724364</v>
          </cell>
          <cell r="AX118">
            <v>10.242049449424412</v>
          </cell>
          <cell r="AY118">
            <v>13.969073068024317</v>
          </cell>
        </row>
        <row r="119">
          <cell r="A119">
            <v>39703</v>
          </cell>
          <cell r="AF119">
            <v>19.041881559942226</v>
          </cell>
          <cell r="AG119">
            <v>20.469360058004284</v>
          </cell>
          <cell r="AH119">
            <v>17.881583490985356</v>
          </cell>
          <cell r="AI119">
            <v>15.547864889645153</v>
          </cell>
          <cell r="AJ119">
            <v>20.215302092325562</v>
          </cell>
          <cell r="AU119">
            <v>11.964699346003611</v>
          </cell>
          <cell r="AV119">
            <v>14.263722316306255</v>
          </cell>
          <cell r="AW119">
            <v>12.105561258724364</v>
          </cell>
          <cell r="AX119">
            <v>10.242049449424412</v>
          </cell>
          <cell r="AY119">
            <v>13.969073068024317</v>
          </cell>
        </row>
        <row r="120">
          <cell r="A120">
            <v>39706</v>
          </cell>
          <cell r="AF120">
            <v>18.821827731598603</v>
          </cell>
          <cell r="AG120">
            <v>20.469360058004284</v>
          </cell>
          <cell r="AH120">
            <v>17.881583490985356</v>
          </cell>
          <cell r="AI120">
            <v>15.547864889645153</v>
          </cell>
          <cell r="AJ120">
            <v>20.215302092325562</v>
          </cell>
          <cell r="AU120">
            <v>11.841754497158295</v>
          </cell>
          <cell r="AV120">
            <v>14.263722316306255</v>
          </cell>
          <cell r="AW120">
            <v>12.105561258724364</v>
          </cell>
          <cell r="AX120">
            <v>10.242049449424412</v>
          </cell>
          <cell r="AY120">
            <v>13.969073068024317</v>
          </cell>
        </row>
        <row r="121">
          <cell r="A121">
            <v>39707</v>
          </cell>
          <cell r="AF121">
            <v>18.889289001325142</v>
          </cell>
          <cell r="AG121">
            <v>20.469360058004284</v>
          </cell>
          <cell r="AH121">
            <v>17.881583490985356</v>
          </cell>
          <cell r="AI121">
            <v>15.547864889645153</v>
          </cell>
          <cell r="AJ121">
            <v>20.215302092325562</v>
          </cell>
          <cell r="AU121">
            <v>11.88306938606086</v>
          </cell>
          <cell r="AV121">
            <v>14.263722316306255</v>
          </cell>
          <cell r="AW121">
            <v>12.105561258724364</v>
          </cell>
          <cell r="AX121">
            <v>10.242049449424412</v>
          </cell>
          <cell r="AY121">
            <v>13.969073068024317</v>
          </cell>
        </row>
        <row r="122">
          <cell r="A122">
            <v>39708</v>
          </cell>
          <cell r="AF122">
            <v>18.229122756294423</v>
          </cell>
          <cell r="AG122">
            <v>20.469360058004284</v>
          </cell>
          <cell r="AH122">
            <v>17.881583490985356</v>
          </cell>
          <cell r="AI122">
            <v>15.547864889645153</v>
          </cell>
          <cell r="AJ122">
            <v>20.215302092325562</v>
          </cell>
          <cell r="AU122">
            <v>11.478767848582722</v>
          </cell>
          <cell r="AV122">
            <v>14.263722316306255</v>
          </cell>
          <cell r="AW122">
            <v>12.105561258724364</v>
          </cell>
          <cell r="AX122">
            <v>10.242049449424412</v>
          </cell>
          <cell r="AY122">
            <v>13.969073068024317</v>
          </cell>
        </row>
        <row r="123">
          <cell r="A123">
            <v>39709</v>
          </cell>
          <cell r="AF123">
            <v>18.976022166004096</v>
          </cell>
          <cell r="AG123">
            <v>20.469360058004284</v>
          </cell>
          <cell r="AH123">
            <v>17.881583490985356</v>
          </cell>
          <cell r="AI123">
            <v>15.547864889645153</v>
          </cell>
          <cell r="AJ123">
            <v>20.215302092325562</v>
          </cell>
          <cell r="AU123">
            <v>11.928638899587998</v>
          </cell>
          <cell r="AV123">
            <v>14.263722316306255</v>
          </cell>
          <cell r="AW123">
            <v>12.105561258724364</v>
          </cell>
          <cell r="AX123">
            <v>10.242049449424412</v>
          </cell>
          <cell r="AY123">
            <v>13.969073068024317</v>
          </cell>
        </row>
        <row r="124">
          <cell r="A124">
            <v>39710</v>
          </cell>
          <cell r="AF124">
            <v>19.106128900132514</v>
          </cell>
          <cell r="AG124">
            <v>20.469360058004284</v>
          </cell>
          <cell r="AH124">
            <v>17.881583490985356</v>
          </cell>
          <cell r="AI124">
            <v>15.547864889645153</v>
          </cell>
          <cell r="AJ124">
            <v>20.215302092325562</v>
          </cell>
          <cell r="AU124">
            <v>12.008268976894383</v>
          </cell>
          <cell r="AV124">
            <v>14.263722316306255</v>
          </cell>
          <cell r="AW124">
            <v>12.105561258724364</v>
          </cell>
          <cell r="AX124">
            <v>10.242049449424412</v>
          </cell>
          <cell r="AY124">
            <v>13.969073068024317</v>
          </cell>
        </row>
        <row r="125">
          <cell r="A125">
            <v>39713</v>
          </cell>
          <cell r="AF125">
            <v>18.147205878809782</v>
          </cell>
          <cell r="AG125">
            <v>20.469360058004284</v>
          </cell>
          <cell r="AH125">
            <v>17.881583490985356</v>
          </cell>
          <cell r="AI125">
            <v>15.547864889645153</v>
          </cell>
          <cell r="AJ125">
            <v>20.215302092325562</v>
          </cell>
          <cell r="AU125">
            <v>11.421373034648756</v>
          </cell>
          <cell r="AV125">
            <v>14.263722316306255</v>
          </cell>
          <cell r="AW125">
            <v>12.105561258724364</v>
          </cell>
          <cell r="AX125">
            <v>10.242049449424412</v>
          </cell>
          <cell r="AY125">
            <v>13.969073068024317</v>
          </cell>
        </row>
        <row r="126">
          <cell r="A126">
            <v>39714</v>
          </cell>
          <cell r="AF126">
            <v>18.205035056017344</v>
          </cell>
          <cell r="AG126">
            <v>20.469360058004284</v>
          </cell>
          <cell r="AH126">
            <v>17.881583490985356</v>
          </cell>
          <cell r="AI126">
            <v>15.547864889645153</v>
          </cell>
          <cell r="AJ126">
            <v>20.215302092325562</v>
          </cell>
          <cell r="AU126">
            <v>11.456766605031188</v>
          </cell>
          <cell r="AV126">
            <v>14.263722316306255</v>
          </cell>
          <cell r="AW126">
            <v>12.105561258724364</v>
          </cell>
          <cell r="AX126">
            <v>10.242049449424412</v>
          </cell>
          <cell r="AY126">
            <v>13.969073068024317</v>
          </cell>
        </row>
        <row r="127">
          <cell r="A127">
            <v>39715</v>
          </cell>
          <cell r="AF127">
            <v>18.17611661245633</v>
          </cell>
          <cell r="AG127">
            <v>20.469360058004284</v>
          </cell>
          <cell r="AH127">
            <v>17.881583490985356</v>
          </cell>
          <cell r="AI127">
            <v>15.547864889645153</v>
          </cell>
          <cell r="AJ127">
            <v>20.215302092325562</v>
          </cell>
          <cell r="AU127">
            <v>11.439067460465228</v>
          </cell>
          <cell r="AV127">
            <v>14.263722316306255</v>
          </cell>
          <cell r="AW127">
            <v>12.105561258724364</v>
          </cell>
          <cell r="AX127">
            <v>10.242049449424412</v>
          </cell>
          <cell r="AY127">
            <v>13.969073068024317</v>
          </cell>
        </row>
        <row r="128">
          <cell r="A128">
            <v>39716</v>
          </cell>
          <cell r="AF128">
            <v>18.260128148470155</v>
          </cell>
          <cell r="AG128">
            <v>20.469360058004284</v>
          </cell>
          <cell r="AH128">
            <v>17.881583490985356</v>
          </cell>
          <cell r="AI128">
            <v>15.547864889645153</v>
          </cell>
          <cell r="AJ128">
            <v>20.215302092325562</v>
          </cell>
          <cell r="AU128">
            <v>11.495103495407099</v>
          </cell>
          <cell r="AV128">
            <v>14.263722316306255</v>
          </cell>
          <cell r="AW128">
            <v>12.105561258724364</v>
          </cell>
          <cell r="AX128">
            <v>10.242049449424412</v>
          </cell>
          <cell r="AY128">
            <v>13.969073068024317</v>
          </cell>
        </row>
        <row r="129">
          <cell r="A129">
            <v>39717</v>
          </cell>
          <cell r="AF129">
            <v>18.669551070934432</v>
          </cell>
          <cell r="AG129">
            <v>20.469360058004284</v>
          </cell>
          <cell r="AH129">
            <v>17.881583490985356</v>
          </cell>
          <cell r="AI129">
            <v>15.547864889645153</v>
          </cell>
          <cell r="AJ129">
            <v>20.215302092325562</v>
          </cell>
          <cell r="AU129">
            <v>11.745788831516526</v>
          </cell>
          <cell r="AV129">
            <v>14.263722316306255</v>
          </cell>
          <cell r="AW129">
            <v>12.105561258724364</v>
          </cell>
          <cell r="AX129">
            <v>10.242049449424412</v>
          </cell>
          <cell r="AY129">
            <v>13.969073068024317</v>
          </cell>
        </row>
        <row r="130">
          <cell r="A130">
            <v>39720</v>
          </cell>
          <cell r="AF130">
            <v>17.961494768454909</v>
          </cell>
          <cell r="AG130">
            <v>20.469360058004284</v>
          </cell>
          <cell r="AH130">
            <v>17.881583490985356</v>
          </cell>
          <cell r="AI130">
            <v>15.547864889645153</v>
          </cell>
          <cell r="AJ130">
            <v>20.215302092325562</v>
          </cell>
          <cell r="AU130">
            <v>11.312253427335621</v>
          </cell>
          <cell r="AV130">
            <v>14.263722316306255</v>
          </cell>
          <cell r="AW130">
            <v>12.105561258724364</v>
          </cell>
          <cell r="AX130">
            <v>10.242049449424412</v>
          </cell>
          <cell r="AY130">
            <v>13.969073068024317</v>
          </cell>
        </row>
        <row r="131">
          <cell r="A131">
            <v>39721</v>
          </cell>
          <cell r="AF131">
            <v>18.081912425055062</v>
          </cell>
          <cell r="AG131">
            <v>20.469360058004284</v>
          </cell>
          <cell r="AH131">
            <v>17.881583490985356</v>
          </cell>
          <cell r="AI131">
            <v>15.547864889645153</v>
          </cell>
          <cell r="AJ131">
            <v>20.215302092325562</v>
          </cell>
          <cell r="AU131">
            <v>11.385983888093964</v>
          </cell>
          <cell r="AV131">
            <v>14.263722316306255</v>
          </cell>
          <cell r="AW131">
            <v>12.105561258724364</v>
          </cell>
          <cell r="AX131">
            <v>10.242049449424412</v>
          </cell>
          <cell r="AY131">
            <v>13.969073068024317</v>
          </cell>
        </row>
        <row r="132">
          <cell r="A132">
            <v>39722</v>
          </cell>
          <cell r="AF132">
            <v>17.945933566621619</v>
          </cell>
          <cell r="AG132">
            <v>20.469360058004284</v>
          </cell>
          <cell r="AH132">
            <v>17.881583490985356</v>
          </cell>
          <cell r="AI132">
            <v>15.547864889645153</v>
          </cell>
          <cell r="AJ132">
            <v>20.215302092325562</v>
          </cell>
          <cell r="AU132">
            <v>11.325375281741339</v>
          </cell>
          <cell r="AV132">
            <v>14.263722316306255</v>
          </cell>
          <cell r="AW132">
            <v>12.105561258724364</v>
          </cell>
          <cell r="AX132">
            <v>10.242049449424412</v>
          </cell>
          <cell r="AY132">
            <v>13.969073068024317</v>
          </cell>
        </row>
        <row r="133">
          <cell r="A133">
            <v>39723</v>
          </cell>
          <cell r="AF133">
            <v>17.950704036008123</v>
          </cell>
          <cell r="AG133">
            <v>20.469360058004284</v>
          </cell>
          <cell r="AH133">
            <v>17.881583490985356</v>
          </cell>
          <cell r="AI133">
            <v>15.547864889645153</v>
          </cell>
          <cell r="AJ133">
            <v>20.215302092325562</v>
          </cell>
          <cell r="AU133">
            <v>11.328302784963514</v>
          </cell>
          <cell r="AV133">
            <v>14.263722316306255</v>
          </cell>
          <cell r="AW133">
            <v>12.105561258724364</v>
          </cell>
          <cell r="AX133">
            <v>10.242049449424412</v>
          </cell>
          <cell r="AY133">
            <v>13.969073068024317</v>
          </cell>
        </row>
        <row r="134">
          <cell r="A134">
            <v>39724</v>
          </cell>
          <cell r="AF134">
            <v>17.999038872074351</v>
          </cell>
          <cell r="AG134">
            <v>20.469360058004284</v>
          </cell>
          <cell r="AH134">
            <v>17.881583490985356</v>
          </cell>
          <cell r="AI134">
            <v>15.547864889645153</v>
          </cell>
          <cell r="AJ134">
            <v>20.215302092325562</v>
          </cell>
          <cell r="AU134">
            <v>11.342948502183958</v>
          </cell>
          <cell r="AV134">
            <v>14.263722316306255</v>
          </cell>
          <cell r="AW134">
            <v>12.105561258724364</v>
          </cell>
          <cell r="AX134">
            <v>10.242049449424412</v>
          </cell>
          <cell r="AY134">
            <v>13.969073068024317</v>
          </cell>
        </row>
        <row r="135">
          <cell r="A135">
            <v>39727</v>
          </cell>
          <cell r="AF135">
            <v>16.699054325316222</v>
          </cell>
          <cell r="AG135">
            <v>20.469360058004284</v>
          </cell>
          <cell r="AH135">
            <v>17.881583490985356</v>
          </cell>
          <cell r="AI135">
            <v>15.547864889645153</v>
          </cell>
          <cell r="AJ135">
            <v>20.215302092325562</v>
          </cell>
          <cell r="AU135">
            <v>10.546268993247994</v>
          </cell>
          <cell r="AV135">
            <v>14.263722316306255</v>
          </cell>
          <cell r="AW135">
            <v>12.105561258724364</v>
          </cell>
          <cell r="AX135">
            <v>10.242049449424412</v>
          </cell>
          <cell r="AY135">
            <v>13.969073068024317</v>
          </cell>
        </row>
        <row r="136">
          <cell r="A136">
            <v>39728</v>
          </cell>
          <cell r="AF136">
            <v>15.953476182891425</v>
          </cell>
          <cell r="AG136">
            <v>20.469360058004284</v>
          </cell>
          <cell r="AH136">
            <v>17.881583490985356</v>
          </cell>
          <cell r="AI136">
            <v>15.547864889645153</v>
          </cell>
          <cell r="AJ136">
            <v>20.215302092325562</v>
          </cell>
          <cell r="AU136">
            <v>10.08935061690141</v>
          </cell>
          <cell r="AV136">
            <v>14.263722316306255</v>
          </cell>
          <cell r="AW136">
            <v>12.105561258724364</v>
          </cell>
          <cell r="AX136">
            <v>10.242049449424412</v>
          </cell>
          <cell r="AY136">
            <v>13.969073068024317</v>
          </cell>
        </row>
        <row r="137">
          <cell r="A137">
            <v>39729</v>
          </cell>
          <cell r="AF137">
            <v>15.800540704159532</v>
          </cell>
          <cell r="AG137">
            <v>20.469360058004284</v>
          </cell>
          <cell r="AH137">
            <v>17.881583490985356</v>
          </cell>
          <cell r="AI137">
            <v>15.547864889645153</v>
          </cell>
          <cell r="AJ137">
            <v>20.215302092325562</v>
          </cell>
          <cell r="AU137">
            <v>9.9956259934827294</v>
          </cell>
          <cell r="AV137">
            <v>14.263722316306255</v>
          </cell>
          <cell r="AW137">
            <v>12.105561258724364</v>
          </cell>
          <cell r="AX137">
            <v>10.242049449424412</v>
          </cell>
          <cell r="AY137">
            <v>13.969073068024317</v>
          </cell>
        </row>
        <row r="138">
          <cell r="A138">
            <v>39730</v>
          </cell>
          <cell r="AF138">
            <v>14.462320375977153</v>
          </cell>
          <cell r="AG138">
            <v>20.469360058004284</v>
          </cell>
          <cell r="AH138">
            <v>17.881583490985356</v>
          </cell>
          <cell r="AI138">
            <v>15.547864889645153</v>
          </cell>
          <cell r="AJ138">
            <v>20.215302092325562</v>
          </cell>
          <cell r="AU138">
            <v>9.1755141571050132</v>
          </cell>
          <cell r="AV138">
            <v>14.263722316306255</v>
          </cell>
          <cell r="AW138">
            <v>12.105561258724364</v>
          </cell>
          <cell r="AX138">
            <v>10.242049449424412</v>
          </cell>
          <cell r="AY138">
            <v>13.969073068024317</v>
          </cell>
        </row>
        <row r="139">
          <cell r="A139">
            <v>39731</v>
          </cell>
          <cell r="AF139">
            <v>14.447982794329867</v>
          </cell>
          <cell r="AG139">
            <v>20.469360058004284</v>
          </cell>
          <cell r="AH139">
            <v>17.881583490985356</v>
          </cell>
          <cell r="AI139">
            <v>15.547864889645153</v>
          </cell>
          <cell r="AJ139">
            <v>20.215302092325562</v>
          </cell>
          <cell r="AU139">
            <v>9.1667275468837044</v>
          </cell>
          <cell r="AV139">
            <v>14.263722316306255</v>
          </cell>
          <cell r="AW139">
            <v>12.105561258724364</v>
          </cell>
          <cell r="AX139">
            <v>10.242049449424412</v>
          </cell>
          <cell r="AY139">
            <v>13.969073068024317</v>
          </cell>
        </row>
        <row r="140">
          <cell r="A140">
            <v>39734</v>
          </cell>
          <cell r="AF140">
            <v>15.389515851522885</v>
          </cell>
          <cell r="AG140">
            <v>20.469360058004284</v>
          </cell>
          <cell r="AH140">
            <v>17.881583490985356</v>
          </cell>
          <cell r="AI140">
            <v>15.547864889645153</v>
          </cell>
          <cell r="AJ140">
            <v>20.215302092325562</v>
          </cell>
          <cell r="AU140">
            <v>9.7437344778676849</v>
          </cell>
          <cell r="AV140">
            <v>14.263722316306255</v>
          </cell>
          <cell r="AW140">
            <v>12.105561258724364</v>
          </cell>
          <cell r="AX140">
            <v>10.242049449424412</v>
          </cell>
          <cell r="AY140">
            <v>13.969073068024317</v>
          </cell>
        </row>
        <row r="141">
          <cell r="A141">
            <v>39735</v>
          </cell>
          <cell r="AF141">
            <v>15.660901123417943</v>
          </cell>
          <cell r="AG141">
            <v>20.469360058004284</v>
          </cell>
          <cell r="AH141">
            <v>17.881583490985356</v>
          </cell>
          <cell r="AI141">
            <v>15.547864889645153</v>
          </cell>
          <cell r="AJ141">
            <v>20.215302092325562</v>
          </cell>
          <cell r="AU141">
            <v>9.9077560836116252</v>
          </cell>
          <cell r="AV141">
            <v>14.263722316306255</v>
          </cell>
          <cell r="AW141">
            <v>12.105561258724364</v>
          </cell>
          <cell r="AX141">
            <v>10.242049449424412</v>
          </cell>
          <cell r="AY141">
            <v>13.969073068024317</v>
          </cell>
        </row>
        <row r="142">
          <cell r="A142">
            <v>39736</v>
          </cell>
          <cell r="AF142">
            <v>14.886463230022919</v>
          </cell>
          <cell r="AG142">
            <v>20.469360058004284</v>
          </cell>
          <cell r="AH142">
            <v>17.881583490985356</v>
          </cell>
          <cell r="AI142">
            <v>15.547864889645153</v>
          </cell>
          <cell r="AJ142">
            <v>20.215302092325562</v>
          </cell>
          <cell r="AU142">
            <v>9.4332647797191918</v>
          </cell>
          <cell r="AV142">
            <v>14.263722316306255</v>
          </cell>
          <cell r="AW142">
            <v>12.105561258724364</v>
          </cell>
          <cell r="AX142">
            <v>10.242049449424412</v>
          </cell>
          <cell r="AY142">
            <v>13.969073068024317</v>
          </cell>
        </row>
        <row r="143">
          <cell r="A143">
            <v>39737</v>
          </cell>
          <cell r="AF143">
            <v>15.316704963749357</v>
          </cell>
          <cell r="AG143">
            <v>20.469360058004284</v>
          </cell>
          <cell r="AH143">
            <v>17.881583490985356</v>
          </cell>
          <cell r="AI143">
            <v>15.547864889645153</v>
          </cell>
          <cell r="AJ143">
            <v>20.215302092325562</v>
          </cell>
          <cell r="AU143">
            <v>9.6968701158809498</v>
          </cell>
          <cell r="AV143">
            <v>14.263722316306255</v>
          </cell>
          <cell r="AW143">
            <v>12.105561258724364</v>
          </cell>
          <cell r="AX143">
            <v>10.242049449424412</v>
          </cell>
          <cell r="AY143">
            <v>13.969073068024317</v>
          </cell>
        </row>
        <row r="144">
          <cell r="A144">
            <v>39738</v>
          </cell>
          <cell r="AF144">
            <v>15.555729742651458</v>
          </cell>
          <cell r="AG144">
            <v>20.469360058004284</v>
          </cell>
          <cell r="AH144">
            <v>17.881583490985356</v>
          </cell>
          <cell r="AI144">
            <v>15.547864889645153</v>
          </cell>
          <cell r="AJ144">
            <v>20.215302092325562</v>
          </cell>
          <cell r="AU144">
            <v>9.8433185011822708</v>
          </cell>
          <cell r="AV144">
            <v>14.263722316306255</v>
          </cell>
          <cell r="AW144">
            <v>12.105561258724364</v>
          </cell>
          <cell r="AX144">
            <v>10.242049449424412</v>
          </cell>
          <cell r="AY144">
            <v>13.969073068024317</v>
          </cell>
        </row>
        <row r="145">
          <cell r="A145">
            <v>39741</v>
          </cell>
          <cell r="AF145">
            <v>15.156322751324188</v>
          </cell>
          <cell r="AG145">
            <v>20.469360058004284</v>
          </cell>
          <cell r="AH145">
            <v>17.881583490985356</v>
          </cell>
          <cell r="AI145">
            <v>15.547864889645153</v>
          </cell>
          <cell r="AJ145">
            <v>20.215302092325562</v>
          </cell>
          <cell r="AU145">
            <v>9.5416351203583183</v>
          </cell>
          <cell r="AV145">
            <v>14.263722316306255</v>
          </cell>
          <cell r="AW145">
            <v>12.105561258724364</v>
          </cell>
          <cell r="AX145">
            <v>10.242049449424412</v>
          </cell>
          <cell r="AY145">
            <v>13.969073068024317</v>
          </cell>
        </row>
        <row r="146">
          <cell r="A146">
            <v>39742</v>
          </cell>
          <cell r="AF146">
            <v>15.103412217413648</v>
          </cell>
          <cell r="AG146">
            <v>20.469360058004284</v>
          </cell>
          <cell r="AH146">
            <v>17.881583490985356</v>
          </cell>
          <cell r="AI146">
            <v>15.547864889645153</v>
          </cell>
          <cell r="AJ146">
            <v>20.215302092325562</v>
          </cell>
          <cell r="AU146">
            <v>9.5094161826952579</v>
          </cell>
          <cell r="AV146">
            <v>14.263722316306255</v>
          </cell>
          <cell r="AW146">
            <v>12.105561258724364</v>
          </cell>
          <cell r="AX146">
            <v>10.242049449424412</v>
          </cell>
          <cell r="AY146">
            <v>13.969073068024317</v>
          </cell>
        </row>
        <row r="147">
          <cell r="A147">
            <v>39743</v>
          </cell>
          <cell r="AF147">
            <v>14.242417508418857</v>
          </cell>
          <cell r="AG147">
            <v>20.469360058004284</v>
          </cell>
          <cell r="AH147">
            <v>17.881583490985356</v>
          </cell>
          <cell r="AI147">
            <v>15.547864889645153</v>
          </cell>
          <cell r="AJ147">
            <v>20.215302092325562</v>
          </cell>
          <cell r="AU147">
            <v>8.9851286201423601</v>
          </cell>
          <cell r="AV147">
            <v>14.263722316306255</v>
          </cell>
          <cell r="AW147">
            <v>12.105561258724364</v>
          </cell>
          <cell r="AX147">
            <v>10.242049449424412</v>
          </cell>
          <cell r="AY147">
            <v>13.969073068024317</v>
          </cell>
        </row>
        <row r="148">
          <cell r="A148">
            <v>39744</v>
          </cell>
          <cell r="AF148">
            <v>13.83837902838034</v>
          </cell>
          <cell r="AG148">
            <v>20.469360058004284</v>
          </cell>
          <cell r="AH148">
            <v>17.881583490985356</v>
          </cell>
          <cell r="AI148">
            <v>15.547864889645153</v>
          </cell>
          <cell r="AJ148">
            <v>20.215302092325562</v>
          </cell>
          <cell r="AU148">
            <v>8.7390965044232196</v>
          </cell>
          <cell r="AV148">
            <v>14.263722316306255</v>
          </cell>
          <cell r="AW148">
            <v>12.105561258724364</v>
          </cell>
          <cell r="AX148">
            <v>10.242049449424412</v>
          </cell>
          <cell r="AY148">
            <v>13.969073068024317</v>
          </cell>
        </row>
        <row r="149">
          <cell r="A149">
            <v>39745</v>
          </cell>
          <cell r="AF149">
            <v>13.429532948534222</v>
          </cell>
          <cell r="AG149">
            <v>20.469360058004284</v>
          </cell>
          <cell r="AH149">
            <v>17.881583490985356</v>
          </cell>
          <cell r="AI149">
            <v>15.547864889645153</v>
          </cell>
          <cell r="AJ149">
            <v>20.215302092325562</v>
          </cell>
          <cell r="AU149">
            <v>8.4901368854819079</v>
          </cell>
          <cell r="AV149">
            <v>14.263722316306255</v>
          </cell>
          <cell r="AW149">
            <v>12.105561258724364</v>
          </cell>
          <cell r="AX149">
            <v>10.242049449424412</v>
          </cell>
          <cell r="AY149">
            <v>13.969073068024317</v>
          </cell>
        </row>
        <row r="150">
          <cell r="A150">
            <v>39748</v>
          </cell>
          <cell r="AF150">
            <v>12.611825877827073</v>
          </cell>
          <cell r="AG150">
            <v>20.469360058004284</v>
          </cell>
          <cell r="AH150">
            <v>17.881583490985356</v>
          </cell>
          <cell r="AI150">
            <v>15.547864889645153</v>
          </cell>
          <cell r="AJ150">
            <v>20.215302092325562</v>
          </cell>
          <cell r="AU150">
            <v>7.9922085677993948</v>
          </cell>
          <cell r="AV150">
            <v>14.263722316306255</v>
          </cell>
          <cell r="AW150">
            <v>12.105561258724364</v>
          </cell>
          <cell r="AX150">
            <v>10.242049449424412</v>
          </cell>
          <cell r="AY150">
            <v>13.969073068024317</v>
          </cell>
        </row>
        <row r="151">
          <cell r="A151">
            <v>39749</v>
          </cell>
          <cell r="AF151">
            <v>13.609682809494554</v>
          </cell>
          <cell r="AG151">
            <v>20.469360058004284</v>
          </cell>
          <cell r="AH151">
            <v>17.881583490985356</v>
          </cell>
          <cell r="AI151">
            <v>15.547864889645153</v>
          </cell>
          <cell r="AJ151">
            <v>20.215302092325562</v>
          </cell>
          <cell r="AU151">
            <v>8.6177953005464207</v>
          </cell>
          <cell r="AV151">
            <v>14.263722316306255</v>
          </cell>
          <cell r="AW151">
            <v>12.105561258724364</v>
          </cell>
          <cell r="AX151">
            <v>10.242049449424412</v>
          </cell>
          <cell r="AY151">
            <v>13.969073068024317</v>
          </cell>
        </row>
        <row r="152">
          <cell r="A152">
            <v>39750</v>
          </cell>
          <cell r="AF152">
            <v>14.547920075460006</v>
          </cell>
          <cell r="AG152">
            <v>20.469360058004284</v>
          </cell>
          <cell r="AH152">
            <v>17.881583490985356</v>
          </cell>
          <cell r="AI152">
            <v>15.547864889645153</v>
          </cell>
          <cell r="AJ152">
            <v>20.215302092325562</v>
          </cell>
          <cell r="AU152">
            <v>9.2259434594609928</v>
          </cell>
          <cell r="AV152">
            <v>14.263722316306255</v>
          </cell>
          <cell r="AW152">
            <v>12.105561258724364</v>
          </cell>
          <cell r="AX152">
            <v>10.242049449424412</v>
          </cell>
          <cell r="AY152">
            <v>13.969073068024317</v>
          </cell>
        </row>
        <row r="153">
          <cell r="A153">
            <v>39751</v>
          </cell>
          <cell r="AF153">
            <v>14.721167394946443</v>
          </cell>
          <cell r="AG153">
            <v>20.469360058004284</v>
          </cell>
          <cell r="AH153">
            <v>17.881583490985356</v>
          </cell>
          <cell r="AI153">
            <v>15.547864889645153</v>
          </cell>
          <cell r="AJ153">
            <v>20.215302092325562</v>
          </cell>
          <cell r="AU153">
            <v>9.3320400300434994</v>
          </cell>
          <cell r="AV153">
            <v>14.263722316306255</v>
          </cell>
          <cell r="AW153">
            <v>12.105561258724364</v>
          </cell>
          <cell r="AX153">
            <v>10.242049449424412</v>
          </cell>
          <cell r="AY153">
            <v>13.969073068024317</v>
          </cell>
        </row>
        <row r="154">
          <cell r="A154">
            <v>39752</v>
          </cell>
          <cell r="AF154">
            <v>14.70657754075553</v>
          </cell>
          <cell r="AG154">
            <v>20.469360058004284</v>
          </cell>
          <cell r="AH154">
            <v>17.881583490985356</v>
          </cell>
          <cell r="AI154">
            <v>15.547864889645153</v>
          </cell>
          <cell r="AJ154">
            <v>20.215302092325562</v>
          </cell>
          <cell r="AU154">
            <v>9.3886077040398686</v>
          </cell>
          <cell r="AV154">
            <v>14.263722316306255</v>
          </cell>
          <cell r="AW154">
            <v>12.105561258724364</v>
          </cell>
          <cell r="AX154">
            <v>10.242049449424412</v>
          </cell>
          <cell r="AY154">
            <v>13.969073068024317</v>
          </cell>
        </row>
        <row r="155">
          <cell r="A155">
            <v>39755</v>
          </cell>
          <cell r="AF155">
            <v>15.141122178248621</v>
          </cell>
          <cell r="AG155">
            <v>20.469360058004284</v>
          </cell>
          <cell r="AH155">
            <v>17.881583490985356</v>
          </cell>
          <cell r="AI155">
            <v>15.547864889645153</v>
          </cell>
          <cell r="AJ155">
            <v>20.215302092325562</v>
          </cell>
          <cell r="AU155">
            <v>9.6726141205225513</v>
          </cell>
          <cell r="AV155">
            <v>14.263722316306255</v>
          </cell>
          <cell r="AW155">
            <v>12.105561258724364</v>
          </cell>
          <cell r="AX155">
            <v>10.242049449424412</v>
          </cell>
          <cell r="AY155">
            <v>13.969073068024317</v>
          </cell>
        </row>
        <row r="156">
          <cell r="A156">
            <v>39756</v>
          </cell>
          <cell r="AF156">
            <v>15.232356446263626</v>
          </cell>
          <cell r="AG156">
            <v>20.469360058004284</v>
          </cell>
          <cell r="AH156">
            <v>17.881583490985356</v>
          </cell>
          <cell r="AI156">
            <v>15.547864889645153</v>
          </cell>
          <cell r="AJ156">
            <v>20.215302092325562</v>
          </cell>
          <cell r="AU156">
            <v>9.7289758146974989</v>
          </cell>
          <cell r="AV156">
            <v>14.263722316306255</v>
          </cell>
          <cell r="AW156">
            <v>12.105561258724364</v>
          </cell>
          <cell r="AX156">
            <v>10.242049449424412</v>
          </cell>
          <cell r="AY156">
            <v>13.969073068024317</v>
          </cell>
        </row>
        <row r="157">
          <cell r="A157">
            <v>39757</v>
          </cell>
          <cell r="AF157">
            <v>14.041430074954651</v>
          </cell>
          <cell r="AG157">
            <v>20.469360058004284</v>
          </cell>
          <cell r="AH157">
            <v>17.881583490985356</v>
          </cell>
          <cell r="AI157">
            <v>15.547864889645153</v>
          </cell>
          <cell r="AJ157">
            <v>20.215302092325562</v>
          </cell>
          <cell r="AU157">
            <v>8.9932585301180072</v>
          </cell>
          <cell r="AV157">
            <v>14.263722316306255</v>
          </cell>
          <cell r="AW157">
            <v>12.105561258724364</v>
          </cell>
          <cell r="AX157">
            <v>10.242049449424412</v>
          </cell>
          <cell r="AY157">
            <v>13.969073068024317</v>
          </cell>
        </row>
        <row r="158">
          <cell r="A158">
            <v>39758</v>
          </cell>
          <cell r="AF158">
            <v>13.892564938834198</v>
          </cell>
          <cell r="AG158">
            <v>20.469360058004284</v>
          </cell>
          <cell r="AH158">
            <v>17.881583490985356</v>
          </cell>
          <cell r="AI158">
            <v>15.547864889645153</v>
          </cell>
          <cell r="AJ158">
            <v>20.215302092325562</v>
          </cell>
          <cell r="AU158">
            <v>8.9012942774541592</v>
          </cell>
          <cell r="AV158">
            <v>14.263722316306255</v>
          </cell>
          <cell r="AW158">
            <v>12.105561258724364</v>
          </cell>
          <cell r="AX158">
            <v>10.242049449424412</v>
          </cell>
          <cell r="AY158">
            <v>13.969073068024317</v>
          </cell>
        </row>
        <row r="159">
          <cell r="A159">
            <v>39759</v>
          </cell>
          <cell r="AF159">
            <v>14.406396440020774</v>
          </cell>
          <cell r="AG159">
            <v>20.469360058004284</v>
          </cell>
          <cell r="AH159">
            <v>17.881583490985356</v>
          </cell>
          <cell r="AI159">
            <v>15.547864889645153</v>
          </cell>
          <cell r="AJ159">
            <v>20.215302092325562</v>
          </cell>
          <cell r="AU159">
            <v>9.2187234031262086</v>
          </cell>
          <cell r="AV159">
            <v>14.263722316306255</v>
          </cell>
          <cell r="AW159">
            <v>12.105561258724364</v>
          </cell>
          <cell r="AX159">
            <v>10.242049449424412</v>
          </cell>
          <cell r="AY159">
            <v>13.969073068024317</v>
          </cell>
        </row>
        <row r="160">
          <cell r="A160">
            <v>39762</v>
          </cell>
          <cell r="AF160">
            <v>13.974200224901219</v>
          </cell>
          <cell r="AG160">
            <v>20.469360058004284</v>
          </cell>
          <cell r="AH160">
            <v>17.881583490985356</v>
          </cell>
          <cell r="AI160">
            <v>15.547864889645153</v>
          </cell>
          <cell r="AJ160">
            <v>20.215302092325562</v>
          </cell>
          <cell r="AU160">
            <v>8.9517260190278112</v>
          </cell>
          <cell r="AV160">
            <v>14.263722316306255</v>
          </cell>
          <cell r="AW160">
            <v>12.105561258724364</v>
          </cell>
          <cell r="AX160">
            <v>10.242049449424412</v>
          </cell>
          <cell r="AY160">
            <v>13.969073068024317</v>
          </cell>
        </row>
        <row r="161">
          <cell r="A161">
            <v>39763</v>
          </cell>
          <cell r="AF161">
            <v>14.247925598967333</v>
          </cell>
          <cell r="AG161">
            <v>20.469360058004284</v>
          </cell>
          <cell r="AH161">
            <v>17.881583490985356</v>
          </cell>
          <cell r="AI161">
            <v>15.547864889645153</v>
          </cell>
          <cell r="AJ161">
            <v>20.215302092325562</v>
          </cell>
          <cell r="AU161">
            <v>9.1208250446099548</v>
          </cell>
          <cell r="AV161">
            <v>14.263722316306255</v>
          </cell>
          <cell r="AW161">
            <v>12.105561258724364</v>
          </cell>
          <cell r="AX161">
            <v>10.242049449424412</v>
          </cell>
          <cell r="AY161">
            <v>13.969073068024317</v>
          </cell>
        </row>
        <row r="162">
          <cell r="A162">
            <v>39764</v>
          </cell>
          <cell r="AF162">
            <v>14.012618242501038</v>
          </cell>
          <cell r="AG162">
            <v>20.469360058004284</v>
          </cell>
          <cell r="AH162">
            <v>17.881583490985356</v>
          </cell>
          <cell r="AI162">
            <v>15.547864889645153</v>
          </cell>
          <cell r="AJ162">
            <v>20.215302092325562</v>
          </cell>
          <cell r="AU162">
            <v>8.9754594758295081</v>
          </cell>
          <cell r="AV162">
            <v>14.263722316306255</v>
          </cell>
          <cell r="AW162">
            <v>12.105561258724364</v>
          </cell>
          <cell r="AX162">
            <v>10.242049449424412</v>
          </cell>
          <cell r="AY162">
            <v>13.969073068024317</v>
          </cell>
        </row>
        <row r="163">
          <cell r="A163">
            <v>39765</v>
          </cell>
          <cell r="AF163">
            <v>14.411196171101375</v>
          </cell>
          <cell r="AG163">
            <v>20.469360058004284</v>
          </cell>
          <cell r="AH163">
            <v>17.881583490985356</v>
          </cell>
          <cell r="AI163">
            <v>15.547864889645153</v>
          </cell>
          <cell r="AJ163">
            <v>20.215302092325562</v>
          </cell>
          <cell r="AU163">
            <v>9.2216885277572551</v>
          </cell>
          <cell r="AV163">
            <v>14.263722316306255</v>
          </cell>
          <cell r="AW163">
            <v>12.105561258724364</v>
          </cell>
          <cell r="AX163">
            <v>10.242049449424412</v>
          </cell>
          <cell r="AY163">
            <v>13.969073068024317</v>
          </cell>
        </row>
        <row r="164">
          <cell r="A164">
            <v>39766</v>
          </cell>
          <cell r="AF164">
            <v>14.137471277248478</v>
          </cell>
          <cell r="AG164">
            <v>20.469360058004284</v>
          </cell>
          <cell r="AH164">
            <v>17.881583490985356</v>
          </cell>
          <cell r="AI164">
            <v>15.547864889645153</v>
          </cell>
          <cell r="AJ164">
            <v>20.215302092325562</v>
          </cell>
          <cell r="AU164">
            <v>9.0525897988359052</v>
          </cell>
          <cell r="AV164">
            <v>14.263722316306255</v>
          </cell>
          <cell r="AW164">
            <v>12.105561258724364</v>
          </cell>
          <cell r="AX164">
            <v>10.242049449424412</v>
          </cell>
          <cell r="AY164">
            <v>13.969073068024317</v>
          </cell>
        </row>
        <row r="165">
          <cell r="A165">
            <v>39769</v>
          </cell>
          <cell r="AF165">
            <v>13.527605776966293</v>
          </cell>
          <cell r="AG165">
            <v>20.469360058004284</v>
          </cell>
          <cell r="AH165">
            <v>17.881583490985356</v>
          </cell>
          <cell r="AI165">
            <v>15.547864889645153</v>
          </cell>
          <cell r="AJ165">
            <v>20.215302092325562</v>
          </cell>
          <cell r="AU165">
            <v>8.6758338543578599</v>
          </cell>
          <cell r="AV165">
            <v>14.263722316306255</v>
          </cell>
          <cell r="AW165">
            <v>12.105561258724364</v>
          </cell>
          <cell r="AX165">
            <v>10.242049449424412</v>
          </cell>
          <cell r="AY165">
            <v>13.969073068024317</v>
          </cell>
        </row>
        <row r="166">
          <cell r="A166">
            <v>39770</v>
          </cell>
          <cell r="AF166">
            <v>13.777311366247959</v>
          </cell>
          <cell r="AG166">
            <v>20.469360058004284</v>
          </cell>
          <cell r="AH166">
            <v>17.881583490985356</v>
          </cell>
          <cell r="AI166">
            <v>15.547864889645153</v>
          </cell>
          <cell r="AJ166">
            <v>20.215302092325562</v>
          </cell>
          <cell r="AU166">
            <v>8.8300942037098586</v>
          </cell>
          <cell r="AV166">
            <v>14.263722316306255</v>
          </cell>
          <cell r="AW166">
            <v>12.105561258724364</v>
          </cell>
          <cell r="AX166">
            <v>10.242049449424412</v>
          </cell>
          <cell r="AY166">
            <v>13.969073068024317</v>
          </cell>
        </row>
        <row r="167">
          <cell r="A167">
            <v>39771</v>
          </cell>
          <cell r="AF167">
            <v>12.749655086859809</v>
          </cell>
          <cell r="AG167">
            <v>20.469360058004284</v>
          </cell>
          <cell r="AH167">
            <v>17.881583490985356</v>
          </cell>
          <cell r="AI167">
            <v>15.547864889645153</v>
          </cell>
          <cell r="AJ167">
            <v>20.215302092325562</v>
          </cell>
          <cell r="AU167">
            <v>8.1952401056168718</v>
          </cell>
          <cell r="AV167">
            <v>14.263722316306255</v>
          </cell>
          <cell r="AW167">
            <v>12.105561258724364</v>
          </cell>
          <cell r="AX167">
            <v>10.242049449424412</v>
          </cell>
          <cell r="AY167">
            <v>13.969073068024317</v>
          </cell>
        </row>
        <row r="168">
          <cell r="A168">
            <v>39772</v>
          </cell>
          <cell r="AF168">
            <v>11.582740816923845</v>
          </cell>
          <cell r="AG168">
            <v>20.469360058004284</v>
          </cell>
          <cell r="AH168">
            <v>17.881583490985356</v>
          </cell>
          <cell r="AI168">
            <v>15.547864889645153</v>
          </cell>
          <cell r="AJ168">
            <v>20.215302092325562</v>
          </cell>
          <cell r="AU168">
            <v>7.4743567506948247</v>
          </cell>
          <cell r="AV168">
            <v>14.263722316306255</v>
          </cell>
          <cell r="AW168">
            <v>12.105561258724364</v>
          </cell>
          <cell r="AX168">
            <v>10.242049449424412</v>
          </cell>
          <cell r="AY168">
            <v>13.969073068024317</v>
          </cell>
        </row>
        <row r="169">
          <cell r="A169">
            <v>39773</v>
          </cell>
          <cell r="AF169">
            <v>12.322265806019075</v>
          </cell>
          <cell r="AG169">
            <v>20.469360058004284</v>
          </cell>
          <cell r="AH169">
            <v>17.881583490985356</v>
          </cell>
          <cell r="AI169">
            <v>15.547864889645153</v>
          </cell>
          <cell r="AJ169">
            <v>20.215302092325562</v>
          </cell>
          <cell r="AU169">
            <v>7.9312122960614211</v>
          </cell>
          <cell r="AV169">
            <v>14.263722316306255</v>
          </cell>
          <cell r="AW169">
            <v>12.105561258724364</v>
          </cell>
          <cell r="AX169">
            <v>10.242049449424412</v>
          </cell>
          <cell r="AY169">
            <v>13.969073068024317</v>
          </cell>
        </row>
        <row r="170">
          <cell r="A170">
            <v>39776</v>
          </cell>
          <cell r="AF170">
            <v>12.418307008312903</v>
          </cell>
          <cell r="AG170">
            <v>20.469360058004284</v>
          </cell>
          <cell r="AH170">
            <v>17.881583490985356</v>
          </cell>
          <cell r="AI170">
            <v>15.547864889645153</v>
          </cell>
          <cell r="AJ170">
            <v>20.215302092325562</v>
          </cell>
          <cell r="AU170">
            <v>7.990543564779319</v>
          </cell>
          <cell r="AV170">
            <v>14.263722316306255</v>
          </cell>
          <cell r="AW170">
            <v>12.105561258724364</v>
          </cell>
          <cell r="AX170">
            <v>10.242049449424412</v>
          </cell>
          <cell r="AY170">
            <v>13.969073068024317</v>
          </cell>
        </row>
        <row r="171">
          <cell r="A171">
            <v>39777</v>
          </cell>
          <cell r="AF171">
            <v>12.624202277583716</v>
          </cell>
          <cell r="AG171">
            <v>20.469360058004284</v>
          </cell>
          <cell r="AH171">
            <v>17.881583490985356</v>
          </cell>
          <cell r="AI171">
            <v>15.547864889645153</v>
          </cell>
          <cell r="AJ171">
            <v>20.215302092325562</v>
          </cell>
          <cell r="AU171">
            <v>8.1771733071197428</v>
          </cell>
          <cell r="AV171">
            <v>14.263722316306255</v>
          </cell>
          <cell r="AW171">
            <v>12.105561258724364</v>
          </cell>
          <cell r="AX171">
            <v>10.242049449424412</v>
          </cell>
          <cell r="AY171">
            <v>13.969073068024317</v>
          </cell>
        </row>
        <row r="172">
          <cell r="A172">
            <v>39778</v>
          </cell>
          <cell r="AF172">
            <v>12.720975097561807</v>
          </cell>
          <cell r="AG172">
            <v>20.469360058004284</v>
          </cell>
          <cell r="AH172">
            <v>17.881583490985356</v>
          </cell>
          <cell r="AI172">
            <v>15.547864889645153</v>
          </cell>
          <cell r="AJ172">
            <v>20.215302092325562</v>
          </cell>
          <cell r="AU172">
            <v>8.2373762334244347</v>
          </cell>
          <cell r="AV172">
            <v>14.263722316306255</v>
          </cell>
          <cell r="AW172">
            <v>12.105561258724364</v>
          </cell>
          <cell r="AX172">
            <v>10.242049449424412</v>
          </cell>
          <cell r="AY172">
            <v>13.969073068024317</v>
          </cell>
        </row>
        <row r="173">
          <cell r="A173">
            <v>39779</v>
          </cell>
          <cell r="AF173">
            <v>12.720975097561807</v>
          </cell>
          <cell r="AG173">
            <v>20.469360058004284</v>
          </cell>
          <cell r="AH173">
            <v>17.881583490985356</v>
          </cell>
          <cell r="AI173">
            <v>15.547864889645153</v>
          </cell>
          <cell r="AJ173">
            <v>20.215302092325562</v>
          </cell>
          <cell r="AU173">
            <v>8.2373762334244347</v>
          </cell>
          <cell r="AV173">
            <v>14.263722316306255</v>
          </cell>
          <cell r="AW173">
            <v>12.105561258724364</v>
          </cell>
          <cell r="AX173">
            <v>10.242049449424412</v>
          </cell>
          <cell r="AY173">
            <v>13.969073068024317</v>
          </cell>
        </row>
        <row r="174">
          <cell r="A174">
            <v>39780</v>
          </cell>
          <cell r="AF174">
            <v>12.619358725290528</v>
          </cell>
          <cell r="AG174">
            <v>20.469360058004284</v>
          </cell>
          <cell r="AH174">
            <v>17.881583490985356</v>
          </cell>
          <cell r="AI174">
            <v>15.547864889645153</v>
          </cell>
          <cell r="AJ174">
            <v>20.215302092325562</v>
          </cell>
          <cell r="AU174">
            <v>8.1741601054601674</v>
          </cell>
          <cell r="AV174">
            <v>14.263722316306255</v>
          </cell>
          <cell r="AW174">
            <v>12.105561258724364</v>
          </cell>
          <cell r="AX174">
            <v>10.242049449424412</v>
          </cell>
          <cell r="AY174">
            <v>13.969073068024317</v>
          </cell>
        </row>
        <row r="175">
          <cell r="A175">
            <v>39783</v>
          </cell>
          <cell r="AF175">
            <v>11.679838345611895</v>
          </cell>
          <cell r="AG175">
            <v>20.469360058004284</v>
          </cell>
          <cell r="AH175">
            <v>17.881583490985356</v>
          </cell>
          <cell r="AI175">
            <v>15.547864889645153</v>
          </cell>
          <cell r="AJ175">
            <v>20.215302092325562</v>
          </cell>
          <cell r="AU175">
            <v>7.6022975885232853</v>
          </cell>
          <cell r="AV175">
            <v>14.263722316306255</v>
          </cell>
          <cell r="AW175">
            <v>12.105561258724364</v>
          </cell>
          <cell r="AX175">
            <v>10.242049449424412</v>
          </cell>
          <cell r="AY175">
            <v>13.969073068024317</v>
          </cell>
        </row>
        <row r="176">
          <cell r="A176">
            <v>39784</v>
          </cell>
          <cell r="AF176">
            <v>12.083252009874077</v>
          </cell>
          <cell r="AG176">
            <v>20.469360058004284</v>
          </cell>
          <cell r="AH176">
            <v>17.881583490985356</v>
          </cell>
          <cell r="AI176">
            <v>15.547864889645153</v>
          </cell>
          <cell r="AJ176">
            <v>20.215302092325562</v>
          </cell>
          <cell r="AU176">
            <v>7.8537608860930446</v>
          </cell>
          <cell r="AV176">
            <v>14.263722316306255</v>
          </cell>
          <cell r="AW176">
            <v>12.105561258724364</v>
          </cell>
          <cell r="AX176">
            <v>10.242049449424412</v>
          </cell>
          <cell r="AY176">
            <v>13.969073068024317</v>
          </cell>
        </row>
        <row r="177">
          <cell r="A177">
            <v>39785</v>
          </cell>
          <cell r="AF177">
            <v>12.296904471426634</v>
          </cell>
          <cell r="AG177">
            <v>20.469360058004284</v>
          </cell>
          <cell r="AH177">
            <v>17.881583490985356</v>
          </cell>
          <cell r="AI177">
            <v>15.547864889645153</v>
          </cell>
          <cell r="AJ177">
            <v>20.215302092325562</v>
          </cell>
          <cell r="AU177">
            <v>7.925609381482583</v>
          </cell>
          <cell r="AV177">
            <v>14.263722316306255</v>
          </cell>
          <cell r="AW177">
            <v>12.105561258724364</v>
          </cell>
          <cell r="AX177">
            <v>10.242049449424412</v>
          </cell>
          <cell r="AY177">
            <v>13.969073068024317</v>
          </cell>
        </row>
        <row r="178">
          <cell r="A178">
            <v>39786</v>
          </cell>
          <cell r="AF178">
            <v>11.483947668079951</v>
          </cell>
          <cell r="AG178">
            <v>20.469360058004284</v>
          </cell>
          <cell r="AH178">
            <v>17.881583490985356</v>
          </cell>
          <cell r="AI178">
            <v>15.547864889645153</v>
          </cell>
          <cell r="AJ178">
            <v>20.215302092325562</v>
          </cell>
          <cell r="AU178">
            <v>7.4166940396491707</v>
          </cell>
          <cell r="AV178">
            <v>14.263722316306255</v>
          </cell>
          <cell r="AW178">
            <v>12.105561258724364</v>
          </cell>
          <cell r="AX178">
            <v>10.242049449424412</v>
          </cell>
          <cell r="AY178">
            <v>13.969073068024317</v>
          </cell>
        </row>
        <row r="179">
          <cell r="A179">
            <v>39787</v>
          </cell>
          <cell r="AF179">
            <v>11.983038643246516</v>
          </cell>
          <cell r="AG179">
            <v>20.469360058004284</v>
          </cell>
          <cell r="AH179">
            <v>17.881583490985356</v>
          </cell>
          <cell r="AI179">
            <v>15.547864889645153</v>
          </cell>
          <cell r="AJ179">
            <v>20.215302092325562</v>
          </cell>
          <cell r="AU179">
            <v>7.7250371091799241</v>
          </cell>
          <cell r="AV179">
            <v>14.263722316306255</v>
          </cell>
          <cell r="AW179">
            <v>12.105561258724364</v>
          </cell>
          <cell r="AX179">
            <v>10.242049449424412</v>
          </cell>
          <cell r="AY179">
            <v>13.969073068024317</v>
          </cell>
        </row>
        <row r="180">
          <cell r="A180">
            <v>39790</v>
          </cell>
          <cell r="AF180">
            <v>12.557365520784362</v>
          </cell>
          <cell r="AG180">
            <v>20.469360058004284</v>
          </cell>
          <cell r="AH180">
            <v>17.881583490985356</v>
          </cell>
          <cell r="AI180">
            <v>15.547864889645153</v>
          </cell>
          <cell r="AJ180">
            <v>20.215302092325562</v>
          </cell>
          <cell r="AU180">
            <v>8.0782827566463808</v>
          </cell>
          <cell r="AV180">
            <v>14.263722316306255</v>
          </cell>
          <cell r="AW180">
            <v>12.105561258724364</v>
          </cell>
          <cell r="AX180">
            <v>10.242049449424412</v>
          </cell>
          <cell r="AY180">
            <v>13.969073068024317</v>
          </cell>
        </row>
        <row r="181">
          <cell r="A181">
            <v>39791</v>
          </cell>
          <cell r="AF181">
            <v>12.387741175672335</v>
          </cell>
          <cell r="AG181">
            <v>20.469360058004284</v>
          </cell>
          <cell r="AH181">
            <v>17.881583490985356</v>
          </cell>
          <cell r="AI181">
            <v>15.547864889645153</v>
          </cell>
          <cell r="AJ181">
            <v>20.215302092325562</v>
          </cell>
          <cell r="AU181">
            <v>7.9735085779839379</v>
          </cell>
          <cell r="AV181">
            <v>14.263722316306255</v>
          </cell>
          <cell r="AW181">
            <v>12.105561258724364</v>
          </cell>
          <cell r="AX181">
            <v>10.242049449424412</v>
          </cell>
          <cell r="AY181">
            <v>13.969073068024317</v>
          </cell>
        </row>
        <row r="182">
          <cell r="A182">
            <v>39792</v>
          </cell>
          <cell r="AF182">
            <v>12.702763009310193</v>
          </cell>
          <cell r="AG182">
            <v>20.469360058004284</v>
          </cell>
          <cell r="AH182">
            <v>17.881583490985356</v>
          </cell>
          <cell r="AI182">
            <v>15.547864889645153</v>
          </cell>
          <cell r="AJ182">
            <v>20.215302092325562</v>
          </cell>
          <cell r="AU182">
            <v>8.168092402955196</v>
          </cell>
          <cell r="AV182">
            <v>14.263722316306255</v>
          </cell>
          <cell r="AW182">
            <v>12.105561258724364</v>
          </cell>
          <cell r="AX182">
            <v>10.242049449424412</v>
          </cell>
          <cell r="AY182">
            <v>13.969073068024317</v>
          </cell>
        </row>
        <row r="183">
          <cell r="A183">
            <v>39793</v>
          </cell>
          <cell r="AF183">
            <v>12.736692143282944</v>
          </cell>
          <cell r="AG183">
            <v>20.469360058004284</v>
          </cell>
          <cell r="AH183">
            <v>17.881583490985356</v>
          </cell>
          <cell r="AI183">
            <v>15.547864889645153</v>
          </cell>
          <cell r="AJ183">
            <v>20.215302092325562</v>
          </cell>
          <cell r="AU183">
            <v>8.189049873077634</v>
          </cell>
          <cell r="AV183">
            <v>14.263722316306255</v>
          </cell>
          <cell r="AW183">
            <v>12.105561258724364</v>
          </cell>
          <cell r="AX183">
            <v>10.242049449424412</v>
          </cell>
          <cell r="AY183">
            <v>13.969073068024317</v>
          </cell>
        </row>
        <row r="184">
          <cell r="A184">
            <v>39794</v>
          </cell>
          <cell r="AF184">
            <v>12.907968443929013</v>
          </cell>
          <cell r="AG184">
            <v>20.469360058004284</v>
          </cell>
          <cell r="AH184">
            <v>17.881583490985356</v>
          </cell>
          <cell r="AI184">
            <v>15.547864889645153</v>
          </cell>
          <cell r="AJ184">
            <v>20.215302092325562</v>
          </cell>
          <cell r="AU184">
            <v>8.2519136019326158</v>
          </cell>
          <cell r="AV184">
            <v>14.263722316306255</v>
          </cell>
          <cell r="AW184">
            <v>12.105561258724364</v>
          </cell>
          <cell r="AX184">
            <v>10.242049449424412</v>
          </cell>
          <cell r="AY184">
            <v>13.969073068024317</v>
          </cell>
        </row>
        <row r="185">
          <cell r="A185">
            <v>39797</v>
          </cell>
          <cell r="AF185">
            <v>12.498657064057458</v>
          </cell>
          <cell r="AG185">
            <v>20.469360058004284</v>
          </cell>
          <cell r="AH185">
            <v>17.881583490985356</v>
          </cell>
          <cell r="AI185">
            <v>15.547864889645153</v>
          </cell>
          <cell r="AJ185">
            <v>20.215302092325562</v>
          </cell>
          <cell r="AU185">
            <v>8.0004500050003617</v>
          </cell>
          <cell r="AV185">
            <v>14.263722316306255</v>
          </cell>
          <cell r="AW185">
            <v>12.105561258724364</v>
          </cell>
          <cell r="AX185">
            <v>10.242049449424412</v>
          </cell>
          <cell r="AY185">
            <v>13.969073068024317</v>
          </cell>
        </row>
        <row r="186">
          <cell r="A186">
            <v>39798</v>
          </cell>
          <cell r="AF186">
            <v>13.3465223026771</v>
          </cell>
          <cell r="AG186">
            <v>20.469360058004284</v>
          </cell>
          <cell r="AH186">
            <v>17.881583490985356</v>
          </cell>
          <cell r="AI186">
            <v>15.547864889645153</v>
          </cell>
          <cell r="AJ186">
            <v>20.215302092325562</v>
          </cell>
          <cell r="AU186">
            <v>8.5213425408590648</v>
          </cell>
          <cell r="AV186">
            <v>14.263722316306255</v>
          </cell>
          <cell r="AW186">
            <v>12.105561258724364</v>
          </cell>
          <cell r="AX186">
            <v>10.242049449424412</v>
          </cell>
          <cell r="AY186">
            <v>13.969073068024317</v>
          </cell>
        </row>
        <row r="187">
          <cell r="A187">
            <v>39799</v>
          </cell>
          <cell r="AF187">
            <v>13.123391735634209</v>
          </cell>
          <cell r="AG187">
            <v>20.469360058004284</v>
          </cell>
          <cell r="AH187">
            <v>17.881583490985356</v>
          </cell>
          <cell r="AI187">
            <v>15.547864889645153</v>
          </cell>
          <cell r="AJ187">
            <v>20.215302092325562</v>
          </cell>
          <cell r="AU187">
            <v>8.3536956524668184</v>
          </cell>
          <cell r="AV187">
            <v>14.263722316306255</v>
          </cell>
          <cell r="AW187">
            <v>12.105561258724364</v>
          </cell>
          <cell r="AX187">
            <v>10.242049449424412</v>
          </cell>
          <cell r="AY187">
            <v>13.969073068024317</v>
          </cell>
        </row>
        <row r="188">
          <cell r="A188">
            <v>39800</v>
          </cell>
          <cell r="AF188">
            <v>13.535818738518065</v>
          </cell>
          <cell r="AG188">
            <v>20.469360058004284</v>
          </cell>
          <cell r="AH188">
            <v>17.881583490985356</v>
          </cell>
          <cell r="AI188">
            <v>15.547864889645153</v>
          </cell>
          <cell r="AJ188">
            <v>20.215302092325562</v>
          </cell>
          <cell r="AU188">
            <v>8.5931865458111911</v>
          </cell>
          <cell r="AV188">
            <v>14.263722316306255</v>
          </cell>
          <cell r="AW188">
            <v>12.105561258724364</v>
          </cell>
          <cell r="AX188">
            <v>10.242049449424412</v>
          </cell>
          <cell r="AY188">
            <v>13.969073068024317</v>
          </cell>
        </row>
        <row r="189">
          <cell r="A189">
            <v>39801</v>
          </cell>
          <cell r="AF189">
            <v>13.256581996325782</v>
          </cell>
          <cell r="AG189">
            <v>20.469360058004284</v>
          </cell>
          <cell r="AH189">
            <v>17.881583490985356</v>
          </cell>
          <cell r="AI189">
            <v>15.547864889645153</v>
          </cell>
          <cell r="AJ189">
            <v>20.215302092325562</v>
          </cell>
          <cell r="AU189">
            <v>8.4225523190906095</v>
          </cell>
          <cell r="AV189">
            <v>14.263722316306255</v>
          </cell>
          <cell r="AW189">
            <v>12.105561258724364</v>
          </cell>
          <cell r="AX189">
            <v>10.242049449424412</v>
          </cell>
          <cell r="AY189">
            <v>13.969073068024317</v>
          </cell>
        </row>
        <row r="190">
          <cell r="A190">
            <v>39804</v>
          </cell>
          <cell r="AF190">
            <v>13.085115492957748</v>
          </cell>
          <cell r="AG190">
            <v>20.469360058004284</v>
          </cell>
          <cell r="AH190">
            <v>17.881583490985356</v>
          </cell>
          <cell r="AI190">
            <v>15.547864889645153</v>
          </cell>
          <cell r="AJ190">
            <v>20.215302092325562</v>
          </cell>
          <cell r="AU190">
            <v>8.3177736499907553</v>
          </cell>
          <cell r="AV190">
            <v>14.263722316306255</v>
          </cell>
          <cell r="AW190">
            <v>12.105561258724364</v>
          </cell>
          <cell r="AX190">
            <v>10.242049449424412</v>
          </cell>
          <cell r="AY190">
            <v>13.969073068024317</v>
          </cell>
        </row>
        <row r="191">
          <cell r="A191">
            <v>39805</v>
          </cell>
          <cell r="AF191">
            <v>13.05572271892223</v>
          </cell>
          <cell r="AG191">
            <v>20.469360058004284</v>
          </cell>
          <cell r="AH191">
            <v>17.881583490985356</v>
          </cell>
          <cell r="AI191">
            <v>15.547864889645153</v>
          </cell>
          <cell r="AJ191">
            <v>20.215302092325562</v>
          </cell>
          <cell r="AU191">
            <v>8.299812499071475</v>
          </cell>
          <cell r="AV191">
            <v>14.263722316306255</v>
          </cell>
          <cell r="AW191">
            <v>12.105561258724364</v>
          </cell>
          <cell r="AX191">
            <v>10.242049449424412</v>
          </cell>
          <cell r="AY191">
            <v>13.969073068024317</v>
          </cell>
        </row>
        <row r="192">
          <cell r="A192">
            <v>39806</v>
          </cell>
          <cell r="AF192">
            <v>13.236982241273731</v>
          </cell>
          <cell r="AG192">
            <v>20.469360058004284</v>
          </cell>
          <cell r="AH192">
            <v>17.881583490985356</v>
          </cell>
          <cell r="AI192">
            <v>15.547864889645153</v>
          </cell>
          <cell r="AJ192">
            <v>20.215302092325562</v>
          </cell>
          <cell r="AU192">
            <v>8.4105754244278099</v>
          </cell>
          <cell r="AV192">
            <v>14.263722316306255</v>
          </cell>
          <cell r="AW192">
            <v>12.105561258724364</v>
          </cell>
          <cell r="AX192">
            <v>10.242049449424412</v>
          </cell>
          <cell r="AY192">
            <v>13.969073068024317</v>
          </cell>
        </row>
        <row r="193">
          <cell r="A193">
            <v>39807</v>
          </cell>
          <cell r="AF193">
            <v>13.236982241273731</v>
          </cell>
          <cell r="AG193">
            <v>20.469360058004284</v>
          </cell>
          <cell r="AH193">
            <v>17.881583490985356</v>
          </cell>
          <cell r="AI193">
            <v>15.547864889645153</v>
          </cell>
          <cell r="AJ193">
            <v>20.215302092325562</v>
          </cell>
          <cell r="AU193">
            <v>8.4105754244278099</v>
          </cell>
          <cell r="AV193">
            <v>14.263722316306255</v>
          </cell>
          <cell r="AW193">
            <v>12.105561258724364</v>
          </cell>
          <cell r="AX193">
            <v>10.242049449424412</v>
          </cell>
          <cell r="AY193">
            <v>13.969073068024317</v>
          </cell>
        </row>
        <row r="194">
          <cell r="A194">
            <v>39808</v>
          </cell>
          <cell r="AF194">
            <v>13.271278383343541</v>
          </cell>
          <cell r="AG194">
            <v>20.469360058004284</v>
          </cell>
          <cell r="AH194">
            <v>17.881583490985356</v>
          </cell>
          <cell r="AI194">
            <v>15.547864889645153</v>
          </cell>
          <cell r="AJ194">
            <v>20.215302092325562</v>
          </cell>
          <cell r="AU194">
            <v>8.4315328945502479</v>
          </cell>
          <cell r="AV194">
            <v>14.263722316306255</v>
          </cell>
          <cell r="AW194">
            <v>12.105561258724364</v>
          </cell>
          <cell r="AX194">
            <v>10.242049449424412</v>
          </cell>
          <cell r="AY194">
            <v>13.969073068024317</v>
          </cell>
        </row>
        <row r="195">
          <cell r="A195">
            <v>39811</v>
          </cell>
          <cell r="AF195">
            <v>13.135068153655514</v>
          </cell>
          <cell r="AG195">
            <v>20.469360058004284</v>
          </cell>
          <cell r="AH195">
            <v>17.881583490985356</v>
          </cell>
          <cell r="AI195">
            <v>15.547864889645153</v>
          </cell>
          <cell r="AJ195">
            <v>20.215302092325562</v>
          </cell>
          <cell r="AU195">
            <v>8.2549099211357717</v>
          </cell>
          <cell r="AV195">
            <v>14.263722316306255</v>
          </cell>
          <cell r="AW195">
            <v>12.105561258724364</v>
          </cell>
          <cell r="AX195">
            <v>10.242049449424412</v>
          </cell>
          <cell r="AY195">
            <v>13.969073068024317</v>
          </cell>
        </row>
        <row r="196">
          <cell r="A196">
            <v>39812</v>
          </cell>
          <cell r="AF196">
            <v>13.660469888475836</v>
          </cell>
          <cell r="AG196">
            <v>20.469360058004284</v>
          </cell>
          <cell r="AH196">
            <v>17.881583490985356</v>
          </cell>
          <cell r="AI196">
            <v>15.547864889645153</v>
          </cell>
          <cell r="AJ196">
            <v>20.215302092325562</v>
          </cell>
          <cell r="AU196">
            <v>8.572233566126167</v>
          </cell>
          <cell r="AV196">
            <v>14.263722316306255</v>
          </cell>
          <cell r="AW196">
            <v>12.105561258724364</v>
          </cell>
          <cell r="AX196">
            <v>10.242049449424412</v>
          </cell>
          <cell r="AY196">
            <v>13.969073068024317</v>
          </cell>
        </row>
        <row r="197">
          <cell r="A197">
            <v>39813</v>
          </cell>
          <cell r="AF197">
            <v>13.980193564356435</v>
          </cell>
          <cell r="AG197">
            <v>20.469360058004284</v>
          </cell>
          <cell r="AH197">
            <v>17.881583490985356</v>
          </cell>
          <cell r="AI197">
            <v>15.547864889645153</v>
          </cell>
          <cell r="AJ197">
            <v>20.215302092325562</v>
          </cell>
          <cell r="AU197">
            <v>8.7209027821911906</v>
          </cell>
          <cell r="AV197">
            <v>14.263722316306255</v>
          </cell>
          <cell r="AW197">
            <v>12.105561258724364</v>
          </cell>
          <cell r="AX197">
            <v>10.242049449424412</v>
          </cell>
          <cell r="AY197">
            <v>13.969073068024317</v>
          </cell>
        </row>
        <row r="198">
          <cell r="A198">
            <v>39814</v>
          </cell>
          <cell r="AF198">
            <v>13.807412930520641</v>
          </cell>
          <cell r="AG198">
            <v>20.469360058004284</v>
          </cell>
          <cell r="AH198">
            <v>17.881583490985356</v>
          </cell>
          <cell r="AI198">
            <v>15.547864889645153</v>
          </cell>
          <cell r="AJ198">
            <v>20.215302092325562</v>
          </cell>
          <cell r="AU198">
            <v>8.6591766159387298</v>
          </cell>
          <cell r="AV198">
            <v>14.263722316306255</v>
          </cell>
          <cell r="AW198">
            <v>12.105561258724364</v>
          </cell>
          <cell r="AX198">
            <v>10.242049449424412</v>
          </cell>
          <cell r="AY198">
            <v>13.969073068024317</v>
          </cell>
        </row>
        <row r="199">
          <cell r="A199">
            <v>39815</v>
          </cell>
          <cell r="AF199">
            <v>14.232780637347753</v>
          </cell>
          <cell r="AG199">
            <v>20.469360058004284</v>
          </cell>
          <cell r="AH199">
            <v>17.881583490985356</v>
          </cell>
          <cell r="AI199">
            <v>15.547864889645153</v>
          </cell>
          <cell r="AJ199">
            <v>20.215302092325562</v>
          </cell>
          <cell r="AU199">
            <v>8.9161594571225127</v>
          </cell>
          <cell r="AV199">
            <v>14.263722316306255</v>
          </cell>
          <cell r="AW199">
            <v>12.105561258724364</v>
          </cell>
          <cell r="AX199">
            <v>10.242049449424412</v>
          </cell>
          <cell r="AY199">
            <v>13.969073068024317</v>
          </cell>
        </row>
        <row r="200">
          <cell r="A200">
            <v>39818</v>
          </cell>
          <cell r="AF200">
            <v>13.820894103208099</v>
          </cell>
          <cell r="AG200">
            <v>20.469360058004284</v>
          </cell>
          <cell r="AH200">
            <v>17.881583490985356</v>
          </cell>
          <cell r="AI200">
            <v>15.547864889645153</v>
          </cell>
          <cell r="AJ200">
            <v>20.215302092325562</v>
          </cell>
          <cell r="AU200">
            <v>8.7707155752722201</v>
          </cell>
          <cell r="AV200">
            <v>14.263722316306255</v>
          </cell>
          <cell r="AW200">
            <v>12.105561258724364</v>
          </cell>
          <cell r="AX200">
            <v>10.242049449424412</v>
          </cell>
          <cell r="AY200">
            <v>13.969073068024317</v>
          </cell>
        </row>
        <row r="201">
          <cell r="A201">
            <v>39819</v>
          </cell>
          <cell r="AF201">
            <v>13.475406885247297</v>
          </cell>
          <cell r="AG201">
            <v>20.469360058004284</v>
          </cell>
          <cell r="AH201">
            <v>17.881583490985356</v>
          </cell>
          <cell r="AI201">
            <v>15.547864889645153</v>
          </cell>
          <cell r="AJ201">
            <v>20.215302092325562</v>
          </cell>
          <cell r="AU201">
            <v>8.5456327286701708</v>
          </cell>
          <cell r="AV201">
            <v>14.263722316306255</v>
          </cell>
          <cell r="AW201">
            <v>12.105561258724364</v>
          </cell>
          <cell r="AX201">
            <v>10.242049449424412</v>
          </cell>
          <cell r="AY201">
            <v>13.969073068024317</v>
          </cell>
        </row>
        <row r="202">
          <cell r="A202">
            <v>39820</v>
          </cell>
          <cell r="AF202">
            <v>13.51475213114894</v>
          </cell>
          <cell r="AG202">
            <v>20.469360058004284</v>
          </cell>
          <cell r="AH202">
            <v>17.881583490985356</v>
          </cell>
          <cell r="AI202">
            <v>15.547864889645153</v>
          </cell>
          <cell r="AJ202">
            <v>20.215302092325562</v>
          </cell>
          <cell r="AU202">
            <v>8.5696421658619801</v>
          </cell>
          <cell r="AV202">
            <v>14.263722316306255</v>
          </cell>
          <cell r="AW202">
            <v>12.105561258724364</v>
          </cell>
          <cell r="AX202">
            <v>10.242049449424412</v>
          </cell>
          <cell r="AY202">
            <v>13.969073068024317</v>
          </cell>
        </row>
        <row r="203">
          <cell r="A203">
            <v>39821</v>
          </cell>
          <cell r="AF203">
            <v>13.677048196722728</v>
          </cell>
          <cell r="AG203">
            <v>20.469360058004284</v>
          </cell>
          <cell r="AH203">
            <v>17.881583490985356</v>
          </cell>
          <cell r="AI203">
            <v>15.547864889645153</v>
          </cell>
          <cell r="AJ203">
            <v>20.215302092325562</v>
          </cell>
          <cell r="AU203">
            <v>8.6686792185878083</v>
          </cell>
          <cell r="AV203">
            <v>14.263722316306255</v>
          </cell>
          <cell r="AW203">
            <v>12.105561258724364</v>
          </cell>
          <cell r="AX203">
            <v>10.242049449424412</v>
          </cell>
          <cell r="AY203">
            <v>13.969073068024317</v>
          </cell>
        </row>
        <row r="204">
          <cell r="A204">
            <v>39822</v>
          </cell>
          <cell r="AF204">
            <v>13.48032245901779</v>
          </cell>
          <cell r="AG204">
            <v>20.469360058004284</v>
          </cell>
          <cell r="AH204">
            <v>17.881583490985356</v>
          </cell>
          <cell r="AI204">
            <v>15.547864889645153</v>
          </cell>
          <cell r="AJ204">
            <v>20.215302092325562</v>
          </cell>
          <cell r="AU204">
            <v>8.5486323327392206</v>
          </cell>
          <cell r="AV204">
            <v>14.263722316306255</v>
          </cell>
          <cell r="AW204">
            <v>12.105561258724364</v>
          </cell>
          <cell r="AX204">
            <v>10.242049449424412</v>
          </cell>
          <cell r="AY204">
            <v>13.969073068024317</v>
          </cell>
        </row>
        <row r="205">
          <cell r="A205">
            <v>39825</v>
          </cell>
          <cell r="AF205">
            <v>13.544259344263699</v>
          </cell>
          <cell r="AG205">
            <v>20.469360058004284</v>
          </cell>
          <cell r="AH205">
            <v>17.881583490985356</v>
          </cell>
          <cell r="AI205">
            <v>15.547864889645153</v>
          </cell>
          <cell r="AJ205">
            <v>20.215302092325562</v>
          </cell>
          <cell r="AU205">
            <v>8.5876481933692208</v>
          </cell>
          <cell r="AV205">
            <v>14.263722316306255</v>
          </cell>
          <cell r="AW205">
            <v>12.105561258724364</v>
          </cell>
          <cell r="AX205">
            <v>10.242049449424412</v>
          </cell>
          <cell r="AY205">
            <v>13.969073068024317</v>
          </cell>
        </row>
        <row r="206">
          <cell r="A206">
            <v>39826</v>
          </cell>
          <cell r="AF206">
            <v>13.799999016394873</v>
          </cell>
          <cell r="AG206">
            <v>20.469360058004284</v>
          </cell>
          <cell r="AH206">
            <v>17.881583490985356</v>
          </cell>
          <cell r="AI206">
            <v>15.547864889645153</v>
          </cell>
          <cell r="AJ206">
            <v>20.215302092325562</v>
          </cell>
          <cell r="AU206">
            <v>8.7437068341218236</v>
          </cell>
          <cell r="AV206">
            <v>14.263722316306255</v>
          </cell>
          <cell r="AW206">
            <v>12.105561258724364</v>
          </cell>
          <cell r="AX206">
            <v>10.242049449424412</v>
          </cell>
          <cell r="AY206">
            <v>13.969073068024317</v>
          </cell>
        </row>
        <row r="207">
          <cell r="A207">
            <v>39827</v>
          </cell>
          <cell r="AF207">
            <v>13.298357704919411</v>
          </cell>
          <cell r="AG207">
            <v>20.469360058004284</v>
          </cell>
          <cell r="AH207">
            <v>17.881583490985356</v>
          </cell>
          <cell r="AI207">
            <v>15.547864889645153</v>
          </cell>
          <cell r="AJ207">
            <v>20.215302092325562</v>
          </cell>
          <cell r="AU207">
            <v>8.4375929623011885</v>
          </cell>
          <cell r="AV207">
            <v>14.263722316306255</v>
          </cell>
          <cell r="AW207">
            <v>12.105561258724364</v>
          </cell>
          <cell r="AX207">
            <v>10.242049449424412</v>
          </cell>
          <cell r="AY207">
            <v>13.969073068024317</v>
          </cell>
        </row>
        <row r="208">
          <cell r="A208">
            <v>39828</v>
          </cell>
          <cell r="AF208">
            <v>13.48032245901779</v>
          </cell>
          <cell r="AG208">
            <v>20.469360058004284</v>
          </cell>
          <cell r="AH208">
            <v>17.881583490985356</v>
          </cell>
          <cell r="AI208">
            <v>15.547864889645153</v>
          </cell>
          <cell r="AJ208">
            <v>20.215302092325562</v>
          </cell>
          <cell r="AU208">
            <v>8.5486323327392206</v>
          </cell>
          <cell r="AV208">
            <v>14.263722316306255</v>
          </cell>
          <cell r="AW208">
            <v>12.105561258724364</v>
          </cell>
          <cell r="AX208">
            <v>10.242049449424412</v>
          </cell>
          <cell r="AY208">
            <v>13.969073068024317</v>
          </cell>
        </row>
        <row r="209">
          <cell r="A209">
            <v>39829</v>
          </cell>
          <cell r="AF209">
            <v>13.516801537382323</v>
          </cell>
          <cell r="AG209">
            <v>20.469360058004284</v>
          </cell>
          <cell r="AH209">
            <v>17.881583490985356</v>
          </cell>
          <cell r="AI209">
            <v>15.547864889645153</v>
          </cell>
          <cell r="AJ209">
            <v>20.215302092325562</v>
          </cell>
          <cell r="AU209">
            <v>8.6409937706805753</v>
          </cell>
          <cell r="AV209">
            <v>14.263722316306255</v>
          </cell>
          <cell r="AW209">
            <v>12.105561258724364</v>
          </cell>
          <cell r="AX209">
            <v>10.242049449424412</v>
          </cell>
          <cell r="AY209">
            <v>13.969073068024317</v>
          </cell>
        </row>
        <row r="210">
          <cell r="A210">
            <v>39832</v>
          </cell>
          <cell r="AF210">
            <v>13.516801537382323</v>
          </cell>
          <cell r="AG210">
            <v>20.469360058004284</v>
          </cell>
          <cell r="AH210">
            <v>17.881583490985356</v>
          </cell>
          <cell r="AI210">
            <v>15.547864889645153</v>
          </cell>
          <cell r="AJ210">
            <v>20.215302092325562</v>
          </cell>
          <cell r="AU210">
            <v>8.6409937706805753</v>
          </cell>
          <cell r="AV210">
            <v>14.263722316306255</v>
          </cell>
          <cell r="AW210">
            <v>12.105561258724364</v>
          </cell>
          <cell r="AX210">
            <v>10.242049449424412</v>
          </cell>
          <cell r="AY210">
            <v>13.969073068024317</v>
          </cell>
        </row>
        <row r="211">
          <cell r="A211">
            <v>39833</v>
          </cell>
          <cell r="AF211">
            <v>13.004010317247957</v>
          </cell>
          <cell r="AG211">
            <v>20.469360058004284</v>
          </cell>
          <cell r="AH211">
            <v>17.881583490985356</v>
          </cell>
          <cell r="AI211">
            <v>15.547864889645153</v>
          </cell>
          <cell r="AJ211">
            <v>20.215302092325562</v>
          </cell>
          <cell r="AU211">
            <v>8.3256626944861107</v>
          </cell>
          <cell r="AV211">
            <v>14.263722316306255</v>
          </cell>
          <cell r="AW211">
            <v>12.105561258724364</v>
          </cell>
          <cell r="AX211">
            <v>10.242049449424412</v>
          </cell>
          <cell r="AY211">
            <v>13.969073068024317</v>
          </cell>
        </row>
        <row r="212">
          <cell r="A212">
            <v>39834</v>
          </cell>
          <cell r="AF212">
            <v>13.223068181866687</v>
          </cell>
          <cell r="AG212">
            <v>20.469360058004284</v>
          </cell>
          <cell r="AH212">
            <v>17.881583490985356</v>
          </cell>
          <cell r="AI212">
            <v>15.547864889645153</v>
          </cell>
          <cell r="AJ212">
            <v>20.215302092325562</v>
          </cell>
          <cell r="AU212">
            <v>8.4603681057468307</v>
          </cell>
          <cell r="AV212">
            <v>14.263722316306255</v>
          </cell>
          <cell r="AW212">
            <v>12.105561258724364</v>
          </cell>
          <cell r="AX212">
            <v>10.242049449424412</v>
          </cell>
          <cell r="AY212">
            <v>13.969073068024317</v>
          </cell>
        </row>
        <row r="213">
          <cell r="A213">
            <v>39835</v>
          </cell>
          <cell r="AF213">
            <v>13.228044257786486</v>
          </cell>
          <cell r="AG213">
            <v>20.469360058004284</v>
          </cell>
          <cell r="AH213">
            <v>17.881583490985356</v>
          </cell>
          <cell r="AI213">
            <v>15.547864889645153</v>
          </cell>
          <cell r="AJ213">
            <v>20.215302092325562</v>
          </cell>
          <cell r="AU213">
            <v>8.4634280477142543</v>
          </cell>
          <cell r="AV213">
            <v>14.263722316306255</v>
          </cell>
          <cell r="AW213">
            <v>12.105561258724364</v>
          </cell>
          <cell r="AX213">
            <v>10.242049449424412</v>
          </cell>
          <cell r="AY213">
            <v>13.969073068024317</v>
          </cell>
        </row>
        <row r="214">
          <cell r="A214">
            <v>39836</v>
          </cell>
          <cell r="AF214">
            <v>13.338706548863078</v>
          </cell>
          <cell r="AG214">
            <v>20.469360058004284</v>
          </cell>
          <cell r="AH214">
            <v>17.881583490985356</v>
          </cell>
          <cell r="AI214">
            <v>15.547864889645153</v>
          </cell>
          <cell r="AJ214">
            <v>20.215302092325562</v>
          </cell>
          <cell r="AU214">
            <v>8.4940446116356441</v>
          </cell>
          <cell r="AV214">
            <v>14.263722316306255</v>
          </cell>
          <cell r="AW214">
            <v>12.105561258724364</v>
          </cell>
          <cell r="AX214">
            <v>10.242049449424412</v>
          </cell>
          <cell r="AY214">
            <v>13.969073068024317</v>
          </cell>
        </row>
        <row r="215">
          <cell r="A215">
            <v>39839</v>
          </cell>
          <cell r="AF215">
            <v>13.688802346320157</v>
          </cell>
          <cell r="AG215">
            <v>20.469360058004284</v>
          </cell>
          <cell r="AH215">
            <v>17.881583490985356</v>
          </cell>
          <cell r="AI215">
            <v>15.547864889645153</v>
          </cell>
          <cell r="AJ215">
            <v>20.215302092325562</v>
          </cell>
          <cell r="AU215">
            <v>8.7083467824582037</v>
          </cell>
          <cell r="AV215">
            <v>14.263722316306255</v>
          </cell>
          <cell r="AW215">
            <v>12.105561258724364</v>
          </cell>
          <cell r="AX215">
            <v>10.242049449424412</v>
          </cell>
          <cell r="AY215">
            <v>13.969073068024317</v>
          </cell>
        </row>
        <row r="216">
          <cell r="A216">
            <v>39840</v>
          </cell>
          <cell r="AF216">
            <v>13.858847604731574</v>
          </cell>
          <cell r="AG216">
            <v>20.469360058004284</v>
          </cell>
          <cell r="AH216">
            <v>17.881583490985356</v>
          </cell>
          <cell r="AI216">
            <v>15.547864889645153</v>
          </cell>
          <cell r="AJ216">
            <v>20.215302092325562</v>
          </cell>
          <cell r="AU216">
            <v>8.8124356297975321</v>
          </cell>
          <cell r="AV216">
            <v>14.263722316306255</v>
          </cell>
          <cell r="AW216">
            <v>12.105561258724364</v>
          </cell>
          <cell r="AX216">
            <v>10.242049449424412</v>
          </cell>
          <cell r="AY216">
            <v>13.969073068024317</v>
          </cell>
        </row>
        <row r="217">
          <cell r="A217">
            <v>39841</v>
          </cell>
          <cell r="AF217">
            <v>14.293966031394362</v>
          </cell>
          <cell r="AG217">
            <v>20.469360058004284</v>
          </cell>
          <cell r="AH217">
            <v>17.881583490985356</v>
          </cell>
          <cell r="AI217">
            <v>15.547864889645153</v>
          </cell>
          <cell r="AJ217">
            <v>20.215302092325562</v>
          </cell>
          <cell r="AU217">
            <v>9.0787822242897587</v>
          </cell>
          <cell r="AV217">
            <v>14.263722316306255</v>
          </cell>
          <cell r="AW217">
            <v>12.105561258724364</v>
          </cell>
          <cell r="AX217">
            <v>10.242049449424412</v>
          </cell>
          <cell r="AY217">
            <v>13.969073068024317</v>
          </cell>
        </row>
        <row r="218">
          <cell r="A218">
            <v>39842</v>
          </cell>
          <cell r="AF218">
            <v>13.818835484696544</v>
          </cell>
          <cell r="AG218">
            <v>20.469360058004284</v>
          </cell>
          <cell r="AH218">
            <v>17.881583490985356</v>
          </cell>
          <cell r="AI218">
            <v>15.547864889645153</v>
          </cell>
          <cell r="AJ218">
            <v>20.215302092325562</v>
          </cell>
          <cell r="AU218">
            <v>8.7879432358727776</v>
          </cell>
          <cell r="AV218">
            <v>14.263722316306255</v>
          </cell>
          <cell r="AW218">
            <v>12.105561258724364</v>
          </cell>
          <cell r="AX218">
            <v>10.242049449424412</v>
          </cell>
          <cell r="AY218">
            <v>13.969073068024317</v>
          </cell>
        </row>
        <row r="219">
          <cell r="A219">
            <v>39843</v>
          </cell>
          <cell r="AF219">
            <v>13.458734906744217</v>
          </cell>
          <cell r="AG219">
            <v>20.469360058004284</v>
          </cell>
          <cell r="AH219">
            <v>17.881583490985356</v>
          </cell>
          <cell r="AI219">
            <v>15.547864889645153</v>
          </cell>
          <cell r="AJ219">
            <v>20.215302092325562</v>
          </cell>
          <cell r="AU219">
            <v>8.5675168950535809</v>
          </cell>
          <cell r="AV219">
            <v>14.263722316306255</v>
          </cell>
          <cell r="AW219">
            <v>12.105561258724364</v>
          </cell>
          <cell r="AX219">
            <v>10.242049449424412</v>
          </cell>
          <cell r="AY219">
            <v>13.969073068024317</v>
          </cell>
        </row>
        <row r="220">
          <cell r="A220">
            <v>39846</v>
          </cell>
          <cell r="AF220">
            <v>13.552005600443261</v>
          </cell>
          <cell r="AG220">
            <v>20.469360058004284</v>
          </cell>
          <cell r="AH220">
            <v>17.881583490985356</v>
          </cell>
          <cell r="AI220">
            <v>15.547864889645153</v>
          </cell>
          <cell r="AJ220">
            <v>20.215302092325562</v>
          </cell>
          <cell r="AU220">
            <v>8.6475518715636355</v>
          </cell>
          <cell r="AV220">
            <v>14.263722316306255</v>
          </cell>
          <cell r="AW220">
            <v>12.105561258724364</v>
          </cell>
          <cell r="AX220">
            <v>10.242049449424412</v>
          </cell>
          <cell r="AY220">
            <v>13.969073068024317</v>
          </cell>
        </row>
        <row r="221">
          <cell r="A221">
            <v>39847</v>
          </cell>
          <cell r="AF221">
            <v>13.626308372678483</v>
          </cell>
          <cell r="AG221">
            <v>20.469360058004284</v>
          </cell>
          <cell r="AH221">
            <v>17.881583490985356</v>
          </cell>
          <cell r="AI221">
            <v>15.547864889645153</v>
          </cell>
          <cell r="AJ221">
            <v>20.215302092325562</v>
          </cell>
          <cell r="AU221">
            <v>8.6931721599853322</v>
          </cell>
          <cell r="AV221">
            <v>14.263722316306255</v>
          </cell>
          <cell r="AW221">
            <v>12.105561258724364</v>
          </cell>
          <cell r="AX221">
            <v>10.242049449424412</v>
          </cell>
          <cell r="AY221">
            <v>13.969073068024317</v>
          </cell>
        </row>
        <row r="222">
          <cell r="A222">
            <v>39848</v>
          </cell>
          <cell r="AF222">
            <v>13.610635138252288</v>
          </cell>
          <cell r="AG222">
            <v>20.469360058004284</v>
          </cell>
          <cell r="AH222">
            <v>17.881583490985356</v>
          </cell>
          <cell r="AI222">
            <v>15.547864889645153</v>
          </cell>
          <cell r="AJ222">
            <v>20.215302092325562</v>
          </cell>
          <cell r="AU222">
            <v>8.9950620251078615</v>
          </cell>
          <cell r="AV222">
            <v>14.263722316306255</v>
          </cell>
          <cell r="AW222">
            <v>12.105561258724364</v>
          </cell>
          <cell r="AX222">
            <v>10.242049449424412</v>
          </cell>
          <cell r="AY222">
            <v>13.969073068024317</v>
          </cell>
        </row>
        <row r="223">
          <cell r="A223">
            <v>39849</v>
          </cell>
          <cell r="AF223">
            <v>13.412053222454654</v>
          </cell>
          <cell r="AG223">
            <v>20.469360058004284</v>
          </cell>
          <cell r="AH223">
            <v>17.881583490985356</v>
          </cell>
          <cell r="AI223">
            <v>15.547864889645153</v>
          </cell>
          <cell r="AJ223">
            <v>20.215302092325562</v>
          </cell>
          <cell r="AU223">
            <v>8.9788166984436213</v>
          </cell>
          <cell r="AV223">
            <v>14.263722316306255</v>
          </cell>
          <cell r="AW223">
            <v>12.105561258724364</v>
          </cell>
          <cell r="AX223">
            <v>10.242049449424412</v>
          </cell>
          <cell r="AY223">
            <v>13.969073068024317</v>
          </cell>
        </row>
        <row r="224">
          <cell r="A224">
            <v>39850</v>
          </cell>
          <cell r="AF224">
            <v>13.796451246153142</v>
          </cell>
          <cell r="AG224">
            <v>20.469360058004284</v>
          </cell>
          <cell r="AH224">
            <v>17.881583490985356</v>
          </cell>
          <cell r="AI224">
            <v>15.547864889645153</v>
          </cell>
          <cell r="AJ224">
            <v>20.215302092325562</v>
          </cell>
          <cell r="AU224">
            <v>9.0159637473461967</v>
          </cell>
          <cell r="AV224">
            <v>14.263722316306255</v>
          </cell>
          <cell r="AW224">
            <v>12.105561258724364</v>
          </cell>
          <cell r="AX224">
            <v>10.242049449424412</v>
          </cell>
          <cell r="AY224">
            <v>13.969073068024317</v>
          </cell>
        </row>
        <row r="225">
          <cell r="A225">
            <v>39853</v>
          </cell>
          <cell r="AF225">
            <v>13.64315581047908</v>
          </cell>
          <cell r="AG225">
            <v>20.469360058004284</v>
          </cell>
          <cell r="AH225">
            <v>17.881583490985356</v>
          </cell>
          <cell r="AI225">
            <v>15.547864889645153</v>
          </cell>
          <cell r="AJ225">
            <v>20.215302092325562</v>
          </cell>
          <cell r="AU225">
            <v>9.297140561642923</v>
          </cell>
          <cell r="AV225">
            <v>14.263722316306255</v>
          </cell>
          <cell r="AW225">
            <v>12.105561258724364</v>
          </cell>
          <cell r="AX225">
            <v>10.242049449424412</v>
          </cell>
          <cell r="AY225">
            <v>13.969073068024317</v>
          </cell>
        </row>
        <row r="226">
          <cell r="A226">
            <v>39854</v>
          </cell>
          <cell r="AF226">
            <v>13.367434506279501</v>
          </cell>
          <cell r="AG226">
            <v>20.469360058004284</v>
          </cell>
          <cell r="AH226">
            <v>17.881583490985356</v>
          </cell>
          <cell r="AI226">
            <v>15.547864889645153</v>
          </cell>
          <cell r="AJ226">
            <v>20.215302092325562</v>
          </cell>
          <cell r="AU226">
            <v>9.0294586707362186</v>
          </cell>
          <cell r="AV226">
            <v>14.263722316306255</v>
          </cell>
          <cell r="AW226">
            <v>12.105561258724364</v>
          </cell>
          <cell r="AX226">
            <v>10.242049449424412</v>
          </cell>
          <cell r="AY226">
            <v>13.969073068024317</v>
          </cell>
        </row>
        <row r="227">
          <cell r="A227">
            <v>39855</v>
          </cell>
          <cell r="AF227">
            <v>13.331260269727025</v>
          </cell>
          <cell r="AG227">
            <v>20.469360058004284</v>
          </cell>
          <cell r="AH227">
            <v>17.881583490985356</v>
          </cell>
          <cell r="AI227">
            <v>15.547864889645153</v>
          </cell>
          <cell r="AJ227">
            <v>20.215302092325562</v>
          </cell>
          <cell r="AU227">
            <v>9.0068805367115665</v>
          </cell>
          <cell r="AV227">
            <v>14.263722316306255</v>
          </cell>
          <cell r="AW227">
            <v>12.105561258724364</v>
          </cell>
          <cell r="AX227">
            <v>10.242049449424412</v>
          </cell>
          <cell r="AY227">
            <v>13.969073068024317</v>
          </cell>
        </row>
        <row r="228">
          <cell r="A228">
            <v>39856</v>
          </cell>
          <cell r="AF228">
            <v>13.553452177958331</v>
          </cell>
          <cell r="AG228">
            <v>20.469360058004284</v>
          </cell>
          <cell r="AH228">
            <v>17.881583490985356</v>
          </cell>
          <cell r="AI228">
            <v>15.547864889645153</v>
          </cell>
          <cell r="AJ228">
            <v>20.215302092325562</v>
          </cell>
          <cell r="AU228">
            <v>9.1455615196802729</v>
          </cell>
          <cell r="AV228">
            <v>14.263722316306255</v>
          </cell>
          <cell r="AW228">
            <v>12.105561258724364</v>
          </cell>
          <cell r="AX228">
            <v>10.242049449424412</v>
          </cell>
          <cell r="AY228">
            <v>13.969073068024317</v>
          </cell>
        </row>
        <row r="229">
          <cell r="A229">
            <v>39857</v>
          </cell>
          <cell r="AF229">
            <v>13.486276546273313</v>
          </cell>
          <cell r="AG229">
            <v>20.469360058004284</v>
          </cell>
          <cell r="AH229">
            <v>17.881583490985356</v>
          </cell>
          <cell r="AI229">
            <v>15.547864889645153</v>
          </cell>
          <cell r="AJ229">
            <v>20.215302092325562</v>
          </cell>
          <cell r="AU229">
            <v>9.1036338783553497</v>
          </cell>
          <cell r="AV229">
            <v>14.263722316306255</v>
          </cell>
          <cell r="AW229">
            <v>12.105561258724364</v>
          </cell>
          <cell r="AX229">
            <v>10.242049449424412</v>
          </cell>
          <cell r="AY229">
            <v>13.969073068024317</v>
          </cell>
        </row>
        <row r="230">
          <cell r="A230">
            <v>39860</v>
          </cell>
          <cell r="AF230">
            <v>13.486276546273313</v>
          </cell>
          <cell r="AG230">
            <v>20.469360058004284</v>
          </cell>
          <cell r="AH230">
            <v>17.881583490985356</v>
          </cell>
          <cell r="AI230">
            <v>15.547864889645153</v>
          </cell>
          <cell r="AJ230">
            <v>20.215302092325562</v>
          </cell>
          <cell r="AU230">
            <v>9.1036338783553497</v>
          </cell>
          <cell r="AV230">
            <v>14.263722316306255</v>
          </cell>
          <cell r="AW230">
            <v>12.105561258724364</v>
          </cell>
          <cell r="AX230">
            <v>10.242049449424412</v>
          </cell>
          <cell r="AY230">
            <v>13.969073068024317</v>
          </cell>
        </row>
        <row r="231">
          <cell r="A231">
            <v>39861</v>
          </cell>
          <cell r="AF231">
            <v>13.021235467370769</v>
          </cell>
          <cell r="AG231">
            <v>20.469360058004284</v>
          </cell>
          <cell r="AH231">
            <v>17.881583490985356</v>
          </cell>
          <cell r="AI231">
            <v>15.547864889645153</v>
          </cell>
          <cell r="AJ231">
            <v>20.215302092325562</v>
          </cell>
          <cell r="AU231">
            <v>8.8133786910427006</v>
          </cell>
          <cell r="AV231">
            <v>14.263722316306255</v>
          </cell>
          <cell r="AW231">
            <v>12.105561258724364</v>
          </cell>
          <cell r="AX231">
            <v>10.242049449424412</v>
          </cell>
          <cell r="AY231">
            <v>13.969073068024317</v>
          </cell>
        </row>
        <row r="232">
          <cell r="A232">
            <v>39862</v>
          </cell>
          <cell r="AF232">
            <v>13.284757918670335</v>
          </cell>
          <cell r="AG232">
            <v>20.469360058004284</v>
          </cell>
          <cell r="AH232">
            <v>17.881583490985356</v>
          </cell>
          <cell r="AI232">
            <v>15.547864889645153</v>
          </cell>
          <cell r="AJ232">
            <v>20.215302092325562</v>
          </cell>
          <cell r="AU232">
            <v>8.9778561145072064</v>
          </cell>
          <cell r="AV232">
            <v>14.263722316306255</v>
          </cell>
          <cell r="AW232">
            <v>12.105561258724364</v>
          </cell>
          <cell r="AX232">
            <v>10.242049449424412</v>
          </cell>
          <cell r="AY232">
            <v>13.969073068024317</v>
          </cell>
        </row>
        <row r="233">
          <cell r="A233">
            <v>39863</v>
          </cell>
          <cell r="AF233">
            <v>13.553452177958331</v>
          </cell>
          <cell r="AG233">
            <v>20.469360058004284</v>
          </cell>
          <cell r="AH233">
            <v>17.881583490985356</v>
          </cell>
          <cell r="AI233">
            <v>15.547864889645153</v>
          </cell>
          <cell r="AJ233">
            <v>20.215302092325562</v>
          </cell>
          <cell r="AU233">
            <v>9.1256272936758815</v>
          </cell>
          <cell r="AV233">
            <v>14.263722316306255</v>
          </cell>
          <cell r="AW233">
            <v>12.105561258724364</v>
          </cell>
          <cell r="AX233">
            <v>10.242049449424412</v>
          </cell>
          <cell r="AY233">
            <v>13.969073068024317</v>
          </cell>
        </row>
        <row r="234">
          <cell r="A234">
            <v>39864</v>
          </cell>
          <cell r="AF234">
            <v>13.36226218157532</v>
          </cell>
          <cell r="AG234">
            <v>20.469360058004284</v>
          </cell>
          <cell r="AH234">
            <v>17.881583490985356</v>
          </cell>
          <cell r="AI234">
            <v>15.547864889645153</v>
          </cell>
          <cell r="AJ234">
            <v>20.215302092325562</v>
          </cell>
          <cell r="AU234">
            <v>9.006577340061245</v>
          </cell>
          <cell r="AV234">
            <v>14.263722316306255</v>
          </cell>
          <cell r="AW234">
            <v>12.105561258724364</v>
          </cell>
          <cell r="AX234">
            <v>10.242049449424412</v>
          </cell>
          <cell r="AY234">
            <v>13.969073068024317</v>
          </cell>
        </row>
        <row r="235">
          <cell r="A235">
            <v>39867</v>
          </cell>
          <cell r="AF235">
            <v>13.016063659382342</v>
          </cell>
          <cell r="AG235">
            <v>20.469360058004284</v>
          </cell>
          <cell r="AH235">
            <v>17.881583490985356</v>
          </cell>
          <cell r="AI235">
            <v>15.547864889645153</v>
          </cell>
          <cell r="AJ235">
            <v>20.215302092325562</v>
          </cell>
          <cell r="AU235">
            <v>8.791006866771605</v>
          </cell>
          <cell r="AV235">
            <v>14.263722316306255</v>
          </cell>
          <cell r="AW235">
            <v>12.105561258724364</v>
          </cell>
          <cell r="AX235">
            <v>10.242049449424412</v>
          </cell>
          <cell r="AY235">
            <v>13.969073068024317</v>
          </cell>
        </row>
        <row r="236">
          <cell r="A236">
            <v>39868</v>
          </cell>
          <cell r="AF236">
            <v>13.36226218157532</v>
          </cell>
          <cell r="AG236">
            <v>20.469360058004284</v>
          </cell>
          <cell r="AH236">
            <v>17.881583490985356</v>
          </cell>
          <cell r="AI236">
            <v>15.547864889645153</v>
          </cell>
          <cell r="AJ236">
            <v>20.215302092325562</v>
          </cell>
          <cell r="AU236">
            <v>9.006577340061245</v>
          </cell>
          <cell r="AV236">
            <v>14.263722316306255</v>
          </cell>
          <cell r="AW236">
            <v>12.105561258724364</v>
          </cell>
          <cell r="AX236">
            <v>10.242049449424412</v>
          </cell>
          <cell r="AY236">
            <v>13.969073068024317</v>
          </cell>
        </row>
        <row r="237">
          <cell r="A237">
            <v>39869</v>
          </cell>
          <cell r="AF237">
            <v>12.866219190824481</v>
          </cell>
          <cell r="AG237">
            <v>20.469360058004284</v>
          </cell>
          <cell r="AH237">
            <v>17.881583490985356</v>
          </cell>
          <cell r="AI237">
            <v>15.547864889645153</v>
          </cell>
          <cell r="AJ237">
            <v>20.215302092325562</v>
          </cell>
          <cell r="AU237">
            <v>8.6977018959639967</v>
          </cell>
          <cell r="AV237">
            <v>14.263722316306255</v>
          </cell>
          <cell r="AW237">
            <v>12.105561258724364</v>
          </cell>
          <cell r="AX237">
            <v>10.242049449424412</v>
          </cell>
          <cell r="AY237">
            <v>13.969073068024317</v>
          </cell>
        </row>
        <row r="238">
          <cell r="A238">
            <v>39870</v>
          </cell>
          <cell r="AF238">
            <v>12.437344597738091</v>
          </cell>
          <cell r="AG238">
            <v>20.469360058004284</v>
          </cell>
          <cell r="AH238">
            <v>17.881583490985356</v>
          </cell>
          <cell r="AI238">
            <v>15.547864889645153</v>
          </cell>
          <cell r="AJ238">
            <v>20.215302092325562</v>
          </cell>
          <cell r="AU238">
            <v>8.430650787750432</v>
          </cell>
          <cell r="AV238">
            <v>14.263722316306255</v>
          </cell>
          <cell r="AW238">
            <v>12.105561258724364</v>
          </cell>
          <cell r="AX238">
            <v>10.242049449424412</v>
          </cell>
          <cell r="AY238">
            <v>13.969073068024317</v>
          </cell>
        </row>
        <row r="239">
          <cell r="A239">
            <v>39871</v>
          </cell>
          <cell r="AF239">
            <v>11.946466180955113</v>
          </cell>
          <cell r="AG239">
            <v>20.469360058004284</v>
          </cell>
          <cell r="AH239">
            <v>17.881583490985356</v>
          </cell>
          <cell r="AI239">
            <v>15.547864889645153</v>
          </cell>
          <cell r="AJ239">
            <v>20.215302092325562</v>
          </cell>
          <cell r="AU239">
            <v>8.1249912142685154</v>
          </cell>
          <cell r="AV239">
            <v>14.263722316306255</v>
          </cell>
          <cell r="AW239">
            <v>12.105561258724364</v>
          </cell>
          <cell r="AX239">
            <v>10.242049449424412</v>
          </cell>
          <cell r="AY239">
            <v>13.969073068024317</v>
          </cell>
        </row>
        <row r="240">
          <cell r="A240">
            <v>39874</v>
          </cell>
          <cell r="AF240">
            <v>11.380868246290072</v>
          </cell>
          <cell r="AG240">
            <v>20.469360058004284</v>
          </cell>
          <cell r="AH240">
            <v>17.881583490985356</v>
          </cell>
          <cell r="AI240">
            <v>15.547864889645153</v>
          </cell>
          <cell r="AJ240">
            <v>20.215302092325562</v>
          </cell>
          <cell r="AU240">
            <v>7.782646626029484</v>
          </cell>
          <cell r="AV240">
            <v>14.263722316306255</v>
          </cell>
          <cell r="AW240">
            <v>12.105561258724364</v>
          </cell>
          <cell r="AX240">
            <v>10.242049449424412</v>
          </cell>
          <cell r="AY240">
            <v>13.969073068024317</v>
          </cell>
        </row>
        <row r="241">
          <cell r="A241">
            <v>39875</v>
          </cell>
          <cell r="AF241">
            <v>11.539717758465196</v>
          </cell>
          <cell r="AG241">
            <v>20.469360058004284</v>
          </cell>
          <cell r="AH241">
            <v>17.881583490985356</v>
          </cell>
          <cell r="AI241">
            <v>15.547864889645153</v>
          </cell>
          <cell r="AJ241">
            <v>20.215302092325562</v>
          </cell>
          <cell r="AU241">
            <v>7.8817568008115391</v>
          </cell>
          <cell r="AV241">
            <v>14.263722316306255</v>
          </cell>
          <cell r="AW241">
            <v>12.105561258724364</v>
          </cell>
          <cell r="AX241">
            <v>10.242049449424412</v>
          </cell>
          <cell r="AY241">
            <v>13.969073068024317</v>
          </cell>
        </row>
        <row r="242">
          <cell r="A242">
            <v>39876</v>
          </cell>
          <cell r="AF242">
            <v>11.99705913239027</v>
          </cell>
          <cell r="AG242">
            <v>20.469360058004284</v>
          </cell>
          <cell r="AH242">
            <v>17.881583490985356</v>
          </cell>
          <cell r="AI242">
            <v>15.547864889645153</v>
          </cell>
          <cell r="AJ242">
            <v>20.215302092325562</v>
          </cell>
          <cell r="AU242">
            <v>8.1695007517254883</v>
          </cell>
          <cell r="AV242">
            <v>14.263722316306255</v>
          </cell>
          <cell r="AW242">
            <v>12.105561258724364</v>
          </cell>
          <cell r="AX242">
            <v>10.242049449424412</v>
          </cell>
          <cell r="AY242">
            <v>13.969073068024317</v>
          </cell>
        </row>
        <row r="243">
          <cell r="A243">
            <v>39877</v>
          </cell>
          <cell r="AF243">
            <v>11.505288797707138</v>
          </cell>
          <cell r="AG243">
            <v>20.469360058004284</v>
          </cell>
          <cell r="AH243">
            <v>17.881583490985356</v>
          </cell>
          <cell r="AI243">
            <v>15.547864889645153</v>
          </cell>
          <cell r="AJ243">
            <v>20.215302092325562</v>
          </cell>
          <cell r="AU243">
            <v>7.8625747020025996</v>
          </cell>
          <cell r="AV243">
            <v>14.263722316306255</v>
          </cell>
          <cell r="AW243">
            <v>12.105561258724364</v>
          </cell>
          <cell r="AX243">
            <v>10.242049449424412</v>
          </cell>
          <cell r="AY243">
            <v>13.969073068024317</v>
          </cell>
        </row>
        <row r="244">
          <cell r="A244">
            <v>39878</v>
          </cell>
          <cell r="AF244">
            <v>11.500168788691415</v>
          </cell>
          <cell r="AG244">
            <v>20.469360058004284</v>
          </cell>
          <cell r="AH244">
            <v>17.881583490985356</v>
          </cell>
          <cell r="AI244">
            <v>15.547864889645153</v>
          </cell>
          <cell r="AJ244">
            <v>20.215302092325562</v>
          </cell>
          <cell r="AU244">
            <v>7.8593791775251942</v>
          </cell>
          <cell r="AV244">
            <v>14.263722316306255</v>
          </cell>
          <cell r="AW244">
            <v>12.105561258724364</v>
          </cell>
          <cell r="AX244">
            <v>10.242049449424412</v>
          </cell>
          <cell r="AY244">
            <v>13.969073068024317</v>
          </cell>
        </row>
        <row r="245">
          <cell r="A245">
            <v>39881</v>
          </cell>
          <cell r="AF245">
            <v>11.208178695742376</v>
          </cell>
          <cell r="AG245">
            <v>20.469360058004284</v>
          </cell>
          <cell r="AH245">
            <v>17.881583490985356</v>
          </cell>
          <cell r="AI245">
            <v>15.547864889645153</v>
          </cell>
          <cell r="AJ245">
            <v>20.215302092325562</v>
          </cell>
          <cell r="AU245">
            <v>7.677140926320364</v>
          </cell>
          <cell r="AV245">
            <v>14.263722316306255</v>
          </cell>
          <cell r="AW245">
            <v>12.105561258724364</v>
          </cell>
          <cell r="AX245">
            <v>10.242049449424412</v>
          </cell>
          <cell r="AY245">
            <v>13.969073068024317</v>
          </cell>
        </row>
        <row r="246">
          <cell r="A246">
            <v>39882</v>
          </cell>
          <cell r="AF246">
            <v>11.720435725829793</v>
          </cell>
          <cell r="AG246">
            <v>20.469360058004284</v>
          </cell>
          <cell r="AH246">
            <v>17.881583490985356</v>
          </cell>
          <cell r="AI246">
            <v>15.547864889645153</v>
          </cell>
          <cell r="AJ246">
            <v>20.215302092325562</v>
          </cell>
          <cell r="AU246">
            <v>7.9968532302128246</v>
          </cell>
          <cell r="AV246">
            <v>14.263722316306255</v>
          </cell>
          <cell r="AW246">
            <v>12.105561258724364</v>
          </cell>
          <cell r="AX246">
            <v>10.242049449424412</v>
          </cell>
          <cell r="AY246">
            <v>13.969073068024317</v>
          </cell>
        </row>
        <row r="247">
          <cell r="A247">
            <v>39883</v>
          </cell>
          <cell r="AF247">
            <v>11.623796289187458</v>
          </cell>
          <cell r="AG247">
            <v>20.469360058004284</v>
          </cell>
          <cell r="AH247">
            <v>17.881583490985356</v>
          </cell>
          <cell r="AI247">
            <v>15.547864889645153</v>
          </cell>
          <cell r="AJ247">
            <v>20.215302092325562</v>
          </cell>
          <cell r="AU247">
            <v>7.9425027779757134</v>
          </cell>
          <cell r="AV247">
            <v>14.263722316306255</v>
          </cell>
          <cell r="AW247">
            <v>12.105561258724364</v>
          </cell>
          <cell r="AX247">
            <v>10.242049449424412</v>
          </cell>
          <cell r="AY247">
            <v>13.969073068024317</v>
          </cell>
        </row>
        <row r="248">
          <cell r="A248">
            <v>39884</v>
          </cell>
          <cell r="AF248">
            <v>11.93601689059501</v>
          </cell>
          <cell r="AG248">
            <v>20.469360058004284</v>
          </cell>
          <cell r="AH248">
            <v>17.881583490985356</v>
          </cell>
          <cell r="AI248">
            <v>15.547864889645153</v>
          </cell>
          <cell r="AJ248">
            <v>20.215302092325562</v>
          </cell>
          <cell r="AU248">
            <v>8.13752760306242</v>
          </cell>
          <cell r="AV248">
            <v>14.263722316306255</v>
          </cell>
          <cell r="AW248">
            <v>12.105561258724364</v>
          </cell>
          <cell r="AX248">
            <v>10.242049449424412</v>
          </cell>
          <cell r="AY248">
            <v>13.969073068024317</v>
          </cell>
        </row>
        <row r="249">
          <cell r="A249">
            <v>39885</v>
          </cell>
          <cell r="AF249">
            <v>12.243121689059501</v>
          </cell>
          <cell r="AG249">
            <v>20.469360058004284</v>
          </cell>
          <cell r="AH249">
            <v>17.881583490985356</v>
          </cell>
          <cell r="AI249">
            <v>15.547864889645153</v>
          </cell>
          <cell r="AJ249">
            <v>20.215302092325562</v>
          </cell>
          <cell r="AU249">
            <v>8.3293569036717194</v>
          </cell>
          <cell r="AV249">
            <v>14.263722316306255</v>
          </cell>
          <cell r="AW249">
            <v>12.105561258724364</v>
          </cell>
          <cell r="AX249">
            <v>10.242049449424412</v>
          </cell>
          <cell r="AY249">
            <v>13.969073068024317</v>
          </cell>
        </row>
        <row r="250">
          <cell r="A250">
            <v>39888</v>
          </cell>
          <cell r="AF250">
            <v>12.084445809341011</v>
          </cell>
          <cell r="AG250">
            <v>20.469360058004284</v>
          </cell>
          <cell r="AH250">
            <v>17.881583490985356</v>
          </cell>
          <cell r="AI250">
            <v>15.547864889645153</v>
          </cell>
          <cell r="AJ250">
            <v>20.215302092325562</v>
          </cell>
          <cell r="AU250">
            <v>8.2302419332051056</v>
          </cell>
          <cell r="AV250">
            <v>14.263722316306255</v>
          </cell>
          <cell r="AW250">
            <v>12.105561258724364</v>
          </cell>
          <cell r="AX250">
            <v>10.242049449424412</v>
          </cell>
          <cell r="AY250">
            <v>13.969073068024317</v>
          </cell>
        </row>
        <row r="251">
          <cell r="A251">
            <v>39889</v>
          </cell>
          <cell r="AF251">
            <v>12.560457581573896</v>
          </cell>
          <cell r="AG251">
            <v>20.469360058004284</v>
          </cell>
          <cell r="AH251">
            <v>17.881583490985356</v>
          </cell>
          <cell r="AI251">
            <v>15.547864889645153</v>
          </cell>
          <cell r="AJ251">
            <v>20.215302092325562</v>
          </cell>
          <cell r="AU251">
            <v>8.527576933523525</v>
          </cell>
          <cell r="AV251">
            <v>14.263722316306255</v>
          </cell>
          <cell r="AW251">
            <v>12.105561258724364</v>
          </cell>
          <cell r="AX251">
            <v>10.242049449424412</v>
          </cell>
          <cell r="AY251">
            <v>13.969073068024317</v>
          </cell>
        </row>
        <row r="252">
          <cell r="A252">
            <v>39890</v>
          </cell>
          <cell r="AF252">
            <v>12.714009980806141</v>
          </cell>
          <cell r="AG252">
            <v>20.469360058004284</v>
          </cell>
          <cell r="AH252">
            <v>17.881583490985356</v>
          </cell>
          <cell r="AI252">
            <v>15.547864889645153</v>
          </cell>
          <cell r="AJ252">
            <v>20.215302092325562</v>
          </cell>
          <cell r="AU252">
            <v>8.6234915838281747</v>
          </cell>
          <cell r="AV252">
            <v>14.263722316306255</v>
          </cell>
          <cell r="AW252">
            <v>12.105561258724364</v>
          </cell>
          <cell r="AX252">
            <v>10.242049449424412</v>
          </cell>
          <cell r="AY252">
            <v>13.969073068024317</v>
          </cell>
        </row>
        <row r="253">
          <cell r="A253">
            <v>39891</v>
          </cell>
          <cell r="AF253">
            <v>12.667946257197697</v>
          </cell>
          <cell r="AG253">
            <v>20.469360058004284</v>
          </cell>
          <cell r="AH253">
            <v>17.881583490985356</v>
          </cell>
          <cell r="AI253">
            <v>15.547864889645153</v>
          </cell>
          <cell r="AJ253">
            <v>20.215302092325562</v>
          </cell>
          <cell r="AU253">
            <v>8.5947184356147641</v>
          </cell>
          <cell r="AV253">
            <v>14.263722316306255</v>
          </cell>
          <cell r="AW253">
            <v>12.105561258724364</v>
          </cell>
          <cell r="AX253">
            <v>10.242049449424412</v>
          </cell>
          <cell r="AY253">
            <v>13.969073068024317</v>
          </cell>
        </row>
        <row r="254">
          <cell r="A254">
            <v>39892</v>
          </cell>
          <cell r="AF254">
            <v>12.770311964171464</v>
          </cell>
          <cell r="AG254">
            <v>20.469360058004284</v>
          </cell>
          <cell r="AH254">
            <v>17.881583490985356</v>
          </cell>
          <cell r="AI254">
            <v>15.547864889645153</v>
          </cell>
          <cell r="AJ254">
            <v>20.215302092325562</v>
          </cell>
          <cell r="AU254">
            <v>8.6586599372563455</v>
          </cell>
          <cell r="AV254">
            <v>14.263722316306255</v>
          </cell>
          <cell r="AW254">
            <v>12.105561258724364</v>
          </cell>
          <cell r="AX254">
            <v>10.242049449424412</v>
          </cell>
          <cell r="AY254">
            <v>13.969073068024317</v>
          </cell>
        </row>
        <row r="255">
          <cell r="A255">
            <v>39895</v>
          </cell>
          <cell r="AF255">
            <v>13.417748263868768</v>
          </cell>
          <cell r="AG255">
            <v>20.469360058004284</v>
          </cell>
          <cell r="AH255">
            <v>17.881583490985356</v>
          </cell>
          <cell r="AI255">
            <v>15.547864889645153</v>
          </cell>
          <cell r="AJ255">
            <v>20.215302092325562</v>
          </cell>
          <cell r="AU255">
            <v>9.0103405941273174</v>
          </cell>
          <cell r="AV255">
            <v>14.263722316306255</v>
          </cell>
          <cell r="AW255">
            <v>12.105561258724364</v>
          </cell>
          <cell r="AX255">
            <v>10.242049449424412</v>
          </cell>
          <cell r="AY255">
            <v>13.969073068024317</v>
          </cell>
        </row>
        <row r="256">
          <cell r="A256">
            <v>39896</v>
          </cell>
          <cell r="AF256">
            <v>13.366245204955554</v>
          </cell>
          <cell r="AG256">
            <v>20.469360058004284</v>
          </cell>
          <cell r="AH256">
            <v>17.881583490985356</v>
          </cell>
          <cell r="AI256">
            <v>15.547864889645153</v>
          </cell>
          <cell r="AJ256">
            <v>20.215302092325562</v>
          </cell>
          <cell r="AU256">
            <v>8.9783722411488061</v>
          </cell>
          <cell r="AV256">
            <v>14.263722316306255</v>
          </cell>
          <cell r="AW256">
            <v>12.105561258724364</v>
          </cell>
          <cell r="AX256">
            <v>10.242049449424412</v>
          </cell>
          <cell r="AY256">
            <v>13.969073068024317</v>
          </cell>
        </row>
        <row r="257">
          <cell r="A257">
            <v>39897</v>
          </cell>
          <cell r="AF257">
            <v>13.703352740413571</v>
          </cell>
          <cell r="AG257">
            <v>20.469360058004284</v>
          </cell>
          <cell r="AH257">
            <v>17.881583490985356</v>
          </cell>
          <cell r="AI257">
            <v>15.547864889645153</v>
          </cell>
          <cell r="AJ257">
            <v>20.215302092325562</v>
          </cell>
          <cell r="AU257">
            <v>9.1925791650444513</v>
          </cell>
          <cell r="AV257">
            <v>14.263722316306255</v>
          </cell>
          <cell r="AW257">
            <v>12.105561258724364</v>
          </cell>
          <cell r="AX257">
            <v>10.242049449424412</v>
          </cell>
          <cell r="AY257">
            <v>13.969073068024317</v>
          </cell>
        </row>
        <row r="258">
          <cell r="A258">
            <v>39898</v>
          </cell>
          <cell r="AF258">
            <v>14.156358263967178</v>
          </cell>
          <cell r="AG258">
            <v>20.469360058004284</v>
          </cell>
          <cell r="AH258">
            <v>17.881583490985356</v>
          </cell>
          <cell r="AI258">
            <v>15.547864889645153</v>
          </cell>
          <cell r="AJ258">
            <v>20.215302092325562</v>
          </cell>
          <cell r="AU258">
            <v>9.473927271319031</v>
          </cell>
          <cell r="AV258">
            <v>14.263722316306255</v>
          </cell>
          <cell r="AW258">
            <v>12.105561258724364</v>
          </cell>
          <cell r="AX258">
            <v>10.242049449424412</v>
          </cell>
          <cell r="AY258">
            <v>13.969073068024317</v>
          </cell>
        </row>
        <row r="259">
          <cell r="A259">
            <v>39899</v>
          </cell>
          <cell r="AF259">
            <v>14.151205864335758</v>
          </cell>
          <cell r="AG259">
            <v>20.469360058004284</v>
          </cell>
          <cell r="AH259">
            <v>17.881583490985356</v>
          </cell>
          <cell r="AI259">
            <v>15.547864889645153</v>
          </cell>
          <cell r="AJ259">
            <v>20.215302092325562</v>
          </cell>
          <cell r="AU259">
            <v>9.4707272708693697</v>
          </cell>
          <cell r="AV259">
            <v>14.263722316306255</v>
          </cell>
          <cell r="AW259">
            <v>12.105561258724364</v>
          </cell>
          <cell r="AX259">
            <v>10.242049449424412</v>
          </cell>
          <cell r="AY259">
            <v>13.969073068024317</v>
          </cell>
        </row>
        <row r="260">
          <cell r="A260">
            <v>39902</v>
          </cell>
          <cell r="AF260">
            <v>13.538620089674094</v>
          </cell>
          <cell r="AG260">
            <v>20.469360058004284</v>
          </cell>
          <cell r="AH260">
            <v>17.881583490985356</v>
          </cell>
          <cell r="AI260">
            <v>15.547864889645153</v>
          </cell>
          <cell r="AJ260">
            <v>20.215302092325562</v>
          </cell>
          <cell r="AU260">
            <v>9.0902686701004303</v>
          </cell>
          <cell r="AV260">
            <v>14.263722316306255</v>
          </cell>
          <cell r="AW260">
            <v>12.105561258724364</v>
          </cell>
          <cell r="AX260">
            <v>10.242049449424412</v>
          </cell>
          <cell r="AY260">
            <v>13.969073068024317</v>
          </cell>
        </row>
        <row r="261">
          <cell r="A261">
            <v>39903</v>
          </cell>
          <cell r="AF261">
            <v>13.82174879928343</v>
          </cell>
          <cell r="AG261">
            <v>20.469360058004284</v>
          </cell>
          <cell r="AH261">
            <v>17.881583490985356</v>
          </cell>
          <cell r="AI261">
            <v>15.547864889645153</v>
          </cell>
          <cell r="AJ261">
            <v>20.215302092325562</v>
          </cell>
          <cell r="AU261">
            <v>9.2661113963781965</v>
          </cell>
          <cell r="AV261">
            <v>14.263722316306255</v>
          </cell>
          <cell r="AW261">
            <v>12.105561258724364</v>
          </cell>
          <cell r="AX261">
            <v>10.242049449424412</v>
          </cell>
          <cell r="AY261">
            <v>13.969073068024317</v>
          </cell>
        </row>
        <row r="262">
          <cell r="A262">
            <v>39904</v>
          </cell>
          <cell r="AF262">
            <v>13.385002385009859</v>
          </cell>
          <cell r="AG262">
            <v>20.469360058004284</v>
          </cell>
          <cell r="AH262">
            <v>17.881583490985356</v>
          </cell>
          <cell r="AI262">
            <v>15.547864889645153</v>
          </cell>
          <cell r="AJ262">
            <v>20.215302092325562</v>
          </cell>
          <cell r="AU262">
            <v>8.9981707801150677</v>
          </cell>
          <cell r="AV262">
            <v>14.263722316306255</v>
          </cell>
          <cell r="AW262">
            <v>12.105561258724364</v>
          </cell>
          <cell r="AX262">
            <v>10.242049449424412</v>
          </cell>
          <cell r="AY262">
            <v>13.969073068024317</v>
          </cell>
        </row>
        <row r="263">
          <cell r="A263">
            <v>39905</v>
          </cell>
          <cell r="AF263">
            <v>13.7734226575823</v>
          </cell>
          <cell r="AG263">
            <v>20.469360058004284</v>
          </cell>
          <cell r="AH263">
            <v>17.881583490985356</v>
          </cell>
          <cell r="AI263">
            <v>15.547864889645153</v>
          </cell>
          <cell r="AJ263">
            <v>20.215302092325562</v>
          </cell>
          <cell r="AU263">
            <v>9.2396273633969948</v>
          </cell>
          <cell r="AV263">
            <v>14.263722316306255</v>
          </cell>
          <cell r="AW263">
            <v>12.105561258724364</v>
          </cell>
          <cell r="AX263">
            <v>10.242049449424412</v>
          </cell>
          <cell r="AY263">
            <v>13.969073068024317</v>
          </cell>
        </row>
        <row r="264">
          <cell r="A264">
            <v>39906</v>
          </cell>
          <cell r="AF264">
            <v>13.456552129473238</v>
          </cell>
          <cell r="AG264">
            <v>20.469360058004284</v>
          </cell>
          <cell r="AH264">
            <v>17.881583490985356</v>
          </cell>
          <cell r="AI264">
            <v>15.547864889645153</v>
          </cell>
          <cell r="AJ264">
            <v>20.215302092325562</v>
          </cell>
          <cell r="AU264">
            <v>9.0426487799846562</v>
          </cell>
          <cell r="AV264">
            <v>14.263722316306255</v>
          </cell>
          <cell r="AW264">
            <v>12.105561258724364</v>
          </cell>
          <cell r="AX264">
            <v>10.242049449424412</v>
          </cell>
          <cell r="AY264">
            <v>13.969073068024317</v>
          </cell>
        </row>
        <row r="265">
          <cell r="A265">
            <v>39909</v>
          </cell>
          <cell r="AF265">
            <v>13.379894207837797</v>
          </cell>
          <cell r="AG265">
            <v>20.469360058004284</v>
          </cell>
          <cell r="AH265">
            <v>17.881583490985356</v>
          </cell>
          <cell r="AI265">
            <v>15.547864889645153</v>
          </cell>
          <cell r="AJ265">
            <v>20.215302092325562</v>
          </cell>
          <cell r="AU265">
            <v>8.9949953459427014</v>
          </cell>
          <cell r="AV265">
            <v>14.263722316306255</v>
          </cell>
          <cell r="AW265">
            <v>12.105561258724364</v>
          </cell>
          <cell r="AX265">
            <v>10.242049449424412</v>
          </cell>
          <cell r="AY265">
            <v>13.969073068024317</v>
          </cell>
        </row>
        <row r="266">
          <cell r="A266">
            <v>39910</v>
          </cell>
          <cell r="AF266">
            <v>13.221463032369297</v>
          </cell>
          <cell r="AG266">
            <v>20.469360058004284</v>
          </cell>
          <cell r="AH266">
            <v>17.881583490985356</v>
          </cell>
          <cell r="AI266">
            <v>15.547864889645153</v>
          </cell>
          <cell r="AJ266">
            <v>20.215302092325562</v>
          </cell>
          <cell r="AU266">
            <v>8.8965085958546819</v>
          </cell>
          <cell r="AV266">
            <v>14.263722316306255</v>
          </cell>
          <cell r="AW266">
            <v>12.105561258724364</v>
          </cell>
          <cell r="AX266">
            <v>10.242049449424412</v>
          </cell>
          <cell r="AY266">
            <v>13.969073068024317</v>
          </cell>
        </row>
        <row r="267">
          <cell r="A267">
            <v>39911</v>
          </cell>
          <cell r="AF267">
            <v>13.206131345827558</v>
          </cell>
          <cell r="AG267">
            <v>20.469360058004284</v>
          </cell>
          <cell r="AH267">
            <v>17.881583490985356</v>
          </cell>
          <cell r="AI267">
            <v>15.547864889645153</v>
          </cell>
          <cell r="AJ267">
            <v>20.215302092325562</v>
          </cell>
          <cell r="AU267">
            <v>8.8869778455058377</v>
          </cell>
          <cell r="AV267">
            <v>14.263722316306255</v>
          </cell>
          <cell r="AW267">
            <v>12.105561258724364</v>
          </cell>
          <cell r="AX267">
            <v>10.242049449424412</v>
          </cell>
          <cell r="AY267">
            <v>13.969073068024317</v>
          </cell>
        </row>
        <row r="268">
          <cell r="A268">
            <v>39912</v>
          </cell>
          <cell r="AF268">
            <v>13.844972913118934</v>
          </cell>
          <cell r="AG268">
            <v>20.469360058004284</v>
          </cell>
          <cell r="AH268">
            <v>17.881583490985356</v>
          </cell>
          <cell r="AI268">
            <v>15.547864889645153</v>
          </cell>
          <cell r="AJ268">
            <v>20.215302092325562</v>
          </cell>
          <cell r="AU268">
            <v>9.2841056809688531</v>
          </cell>
          <cell r="AV268">
            <v>14.263722316306255</v>
          </cell>
          <cell r="AW268">
            <v>12.105561258724364</v>
          </cell>
          <cell r="AX268">
            <v>10.242049449424412</v>
          </cell>
          <cell r="AY268">
            <v>13.969073068024317</v>
          </cell>
        </row>
        <row r="269">
          <cell r="A269">
            <v>39913</v>
          </cell>
          <cell r="AF269">
            <v>13.844972913118934</v>
          </cell>
          <cell r="AG269">
            <v>20.469360058004284</v>
          </cell>
          <cell r="AH269">
            <v>17.881583490985356</v>
          </cell>
          <cell r="AI269">
            <v>15.547864889645153</v>
          </cell>
          <cell r="AJ269">
            <v>20.215302092325562</v>
          </cell>
          <cell r="AU269">
            <v>9.2841056809688531</v>
          </cell>
          <cell r="AV269">
            <v>14.263722316306255</v>
          </cell>
          <cell r="AW269">
            <v>12.105561258724364</v>
          </cell>
          <cell r="AX269">
            <v>10.242049449424412</v>
          </cell>
          <cell r="AY269">
            <v>13.969073068024317</v>
          </cell>
        </row>
        <row r="270">
          <cell r="A270">
            <v>39916</v>
          </cell>
          <cell r="AF270">
            <v>13.758091482113814</v>
          </cell>
          <cell r="AG270">
            <v>20.469360058004284</v>
          </cell>
          <cell r="AH270">
            <v>17.881583490985356</v>
          </cell>
          <cell r="AI270">
            <v>15.547864889645153</v>
          </cell>
          <cell r="AJ270">
            <v>20.215302092325562</v>
          </cell>
          <cell r="AU270">
            <v>9.2300969307504186</v>
          </cell>
          <cell r="AV270">
            <v>14.263722316306255</v>
          </cell>
          <cell r="AW270">
            <v>12.105561258724364</v>
          </cell>
          <cell r="AX270">
            <v>10.242049449424412</v>
          </cell>
          <cell r="AY270">
            <v>13.969073068024317</v>
          </cell>
        </row>
        <row r="271">
          <cell r="A271">
            <v>39917</v>
          </cell>
          <cell r="AF271">
            <v>13.655870187394893</v>
          </cell>
          <cell r="AG271">
            <v>20.469360058004284</v>
          </cell>
          <cell r="AH271">
            <v>17.881583490985356</v>
          </cell>
          <cell r="AI271">
            <v>15.547864889645153</v>
          </cell>
          <cell r="AJ271">
            <v>20.215302092325562</v>
          </cell>
          <cell r="AU271">
            <v>9.1665523469468475</v>
          </cell>
          <cell r="AV271">
            <v>14.263722316306255</v>
          </cell>
          <cell r="AW271">
            <v>12.105561258724364</v>
          </cell>
          <cell r="AX271">
            <v>10.242049449424412</v>
          </cell>
          <cell r="AY271">
            <v>13.969073068024317</v>
          </cell>
        </row>
        <row r="272">
          <cell r="A272">
            <v>39918</v>
          </cell>
          <cell r="AF272">
            <v>13.653843950153814</v>
          </cell>
          <cell r="AG272">
            <v>20.469360058004284</v>
          </cell>
          <cell r="AH272">
            <v>17.881583490985356</v>
          </cell>
          <cell r="AI272">
            <v>15.547864889645153</v>
          </cell>
          <cell r="AJ272">
            <v>20.215302092325562</v>
          </cell>
          <cell r="AU272">
            <v>9.1570219143002713</v>
          </cell>
          <cell r="AV272">
            <v>14.263722316306255</v>
          </cell>
          <cell r="AW272">
            <v>12.105561258724364</v>
          </cell>
          <cell r="AX272">
            <v>10.242049449424412</v>
          </cell>
          <cell r="AY272">
            <v>13.969073068024317</v>
          </cell>
        </row>
        <row r="273">
          <cell r="A273">
            <v>39919</v>
          </cell>
          <cell r="AF273">
            <v>13.771511080645549</v>
          </cell>
          <cell r="AG273">
            <v>20.469360058004284</v>
          </cell>
          <cell r="AH273">
            <v>17.881583490985356</v>
          </cell>
          <cell r="AI273">
            <v>15.547864889645153</v>
          </cell>
          <cell r="AJ273">
            <v>20.215302092325562</v>
          </cell>
          <cell r="AU273">
            <v>9.2300969307504186</v>
          </cell>
          <cell r="AV273">
            <v>14.263722316306255</v>
          </cell>
          <cell r="AW273">
            <v>12.105561258724364</v>
          </cell>
          <cell r="AX273">
            <v>10.242049449424412</v>
          </cell>
          <cell r="AY273">
            <v>13.969073068024317</v>
          </cell>
        </row>
        <row r="274">
          <cell r="A274">
            <v>39920</v>
          </cell>
          <cell r="AF274">
            <v>13.965902719516835</v>
          </cell>
          <cell r="AG274">
            <v>20.469360058004284</v>
          </cell>
          <cell r="AH274">
            <v>17.881583490985356</v>
          </cell>
          <cell r="AI274">
            <v>15.547864889645153</v>
          </cell>
          <cell r="AJ274">
            <v>20.215302092325562</v>
          </cell>
          <cell r="AU274">
            <v>9.3508202980062229</v>
          </cell>
          <cell r="AV274">
            <v>14.263722316306255</v>
          </cell>
          <cell r="AW274">
            <v>12.105561258724364</v>
          </cell>
          <cell r="AX274">
            <v>10.242049449424412</v>
          </cell>
          <cell r="AY274">
            <v>13.969073068024317</v>
          </cell>
        </row>
        <row r="275">
          <cell r="A275">
            <v>39923</v>
          </cell>
          <cell r="AF275">
            <v>13.510267808220528</v>
          </cell>
          <cell r="AG275">
            <v>20.469360058004284</v>
          </cell>
          <cell r="AH275">
            <v>17.881583490985356</v>
          </cell>
          <cell r="AI275">
            <v>15.547864889645153</v>
          </cell>
          <cell r="AJ275">
            <v>20.215302092325562</v>
          </cell>
          <cell r="AU275">
            <v>9.033118029635812</v>
          </cell>
          <cell r="AV275">
            <v>14.263722316306255</v>
          </cell>
          <cell r="AW275">
            <v>12.105561258724364</v>
          </cell>
          <cell r="AX275">
            <v>10.242049449424412</v>
          </cell>
          <cell r="AY275">
            <v>13.969073068024317</v>
          </cell>
        </row>
        <row r="276">
          <cell r="A276">
            <v>39924</v>
          </cell>
          <cell r="AF276">
            <v>13.494857876713677</v>
          </cell>
          <cell r="AG276">
            <v>20.469360058004284</v>
          </cell>
          <cell r="AH276">
            <v>17.881583490985356</v>
          </cell>
          <cell r="AI276">
            <v>15.547864889645153</v>
          </cell>
          <cell r="AJ276">
            <v>20.215302092325562</v>
          </cell>
          <cell r="AU276">
            <v>9.0235875969892358</v>
          </cell>
          <cell r="AV276">
            <v>14.263722316306255</v>
          </cell>
          <cell r="AW276">
            <v>12.105561258724364</v>
          </cell>
          <cell r="AX276">
            <v>10.242049449424412</v>
          </cell>
          <cell r="AY276">
            <v>13.969073068024317</v>
          </cell>
        </row>
        <row r="277">
          <cell r="A277">
            <v>39925</v>
          </cell>
          <cell r="AF277">
            <v>13.24828458904242</v>
          </cell>
          <cell r="AG277">
            <v>20.469360058004284</v>
          </cell>
          <cell r="AH277">
            <v>17.881583490985356</v>
          </cell>
          <cell r="AI277">
            <v>15.547864889645153</v>
          </cell>
          <cell r="AJ277">
            <v>20.215302092325562</v>
          </cell>
          <cell r="AU277">
            <v>8.8710917789805137</v>
          </cell>
          <cell r="AV277">
            <v>14.263722316306255</v>
          </cell>
          <cell r="AW277">
            <v>12.105561258724364</v>
          </cell>
          <cell r="AX277">
            <v>10.242049449424412</v>
          </cell>
          <cell r="AY277">
            <v>13.969073068024317</v>
          </cell>
        </row>
        <row r="278">
          <cell r="A278">
            <v>39926</v>
          </cell>
          <cell r="AF278">
            <v>13.571917294521905</v>
          </cell>
          <cell r="AG278">
            <v>20.469360058004284</v>
          </cell>
          <cell r="AH278">
            <v>17.881583490985356</v>
          </cell>
          <cell r="AI278">
            <v>15.547864889645153</v>
          </cell>
          <cell r="AJ278">
            <v>20.215302092325562</v>
          </cell>
          <cell r="AU278">
            <v>9.0712457965652149</v>
          </cell>
          <cell r="AV278">
            <v>14.263722316306255</v>
          </cell>
          <cell r="AW278">
            <v>12.105561258724364</v>
          </cell>
          <cell r="AX278">
            <v>10.242049449424412</v>
          </cell>
          <cell r="AY278">
            <v>13.969073068024317</v>
          </cell>
        </row>
        <row r="279">
          <cell r="A279">
            <v>39927</v>
          </cell>
          <cell r="AF279">
            <v>13.874997431508236</v>
          </cell>
          <cell r="AG279">
            <v>20.469360058004284</v>
          </cell>
          <cell r="AH279">
            <v>17.881583490985356</v>
          </cell>
          <cell r="AI279">
            <v>15.547864889645153</v>
          </cell>
          <cell r="AJ279">
            <v>20.215302092325562</v>
          </cell>
          <cell r="AU279">
            <v>9.2586888640946814</v>
          </cell>
          <cell r="AV279">
            <v>14.263722316306255</v>
          </cell>
          <cell r="AW279">
            <v>12.105561258724364</v>
          </cell>
          <cell r="AX279">
            <v>10.242049449424412</v>
          </cell>
          <cell r="AY279">
            <v>13.969073068024317</v>
          </cell>
        </row>
        <row r="280">
          <cell r="A280">
            <v>39930</v>
          </cell>
          <cell r="AF280">
            <v>14.054787328768528</v>
          </cell>
          <cell r="AG280">
            <v>20.469360058004284</v>
          </cell>
          <cell r="AH280">
            <v>17.881583490985356</v>
          </cell>
          <cell r="AI280">
            <v>15.547864889645153</v>
          </cell>
          <cell r="AJ280">
            <v>20.215302092325562</v>
          </cell>
          <cell r="AU280">
            <v>9.336613032686401</v>
          </cell>
          <cell r="AV280">
            <v>14.263722316306255</v>
          </cell>
          <cell r="AW280">
            <v>12.105561258724364</v>
          </cell>
          <cell r="AX280">
            <v>10.242049449424412</v>
          </cell>
          <cell r="AY280">
            <v>13.969073068024317</v>
          </cell>
        </row>
        <row r="281">
          <cell r="A281">
            <v>39931</v>
          </cell>
          <cell r="AF281">
            <v>13.900683904110979</v>
          </cell>
          <cell r="AG281">
            <v>20.469360058004284</v>
          </cell>
          <cell r="AH281">
            <v>17.881583490985356</v>
          </cell>
          <cell r="AI281">
            <v>15.547864889645153</v>
          </cell>
          <cell r="AJ281">
            <v>20.215302092325562</v>
          </cell>
          <cell r="AU281">
            <v>9.2416445618162779</v>
          </cell>
          <cell r="AV281">
            <v>14.263722316306255</v>
          </cell>
          <cell r="AW281">
            <v>12.105561258724364</v>
          </cell>
          <cell r="AX281">
            <v>10.242049449424412</v>
          </cell>
          <cell r="AY281">
            <v>13.969073068024317</v>
          </cell>
        </row>
        <row r="282">
          <cell r="A282">
            <v>39932</v>
          </cell>
          <cell r="AF282">
            <v>14.470889897261721</v>
          </cell>
          <cell r="AG282">
            <v>20.469360058004284</v>
          </cell>
          <cell r="AH282">
            <v>17.881583490985356</v>
          </cell>
          <cell r="AI282">
            <v>15.547864889645153</v>
          </cell>
          <cell r="AJ282">
            <v>20.215302092325562</v>
          </cell>
          <cell r="AU282">
            <v>9.5930422765058836</v>
          </cell>
          <cell r="AV282">
            <v>14.263722316306255</v>
          </cell>
          <cell r="AW282">
            <v>12.105561258724364</v>
          </cell>
          <cell r="AX282">
            <v>10.242049449424412</v>
          </cell>
          <cell r="AY282">
            <v>13.969073068024317</v>
          </cell>
        </row>
        <row r="283">
          <cell r="A283">
            <v>39933</v>
          </cell>
          <cell r="AF283">
            <v>14.702052739727497</v>
          </cell>
          <cell r="AG283">
            <v>20.469360058004284</v>
          </cell>
          <cell r="AH283">
            <v>17.881583490985356</v>
          </cell>
          <cell r="AI283">
            <v>15.547864889645153</v>
          </cell>
          <cell r="AJ283">
            <v>20.215302092325562</v>
          </cell>
          <cell r="AU283">
            <v>9.749234956187907</v>
          </cell>
          <cell r="AV283">
            <v>14.263722316306255</v>
          </cell>
          <cell r="AW283">
            <v>12.105561258724364</v>
          </cell>
          <cell r="AX283">
            <v>10.242049449424412</v>
          </cell>
          <cell r="AY283">
            <v>13.969073068024317</v>
          </cell>
        </row>
        <row r="284">
          <cell r="A284">
            <v>39934</v>
          </cell>
          <cell r="AF284">
            <v>13.64006740237831</v>
          </cell>
          <cell r="AG284">
            <v>20.469360058004284</v>
          </cell>
          <cell r="AH284">
            <v>17.881583490985356</v>
          </cell>
          <cell r="AI284">
            <v>15.547864889645153</v>
          </cell>
          <cell r="AJ284">
            <v>20.215302092325562</v>
          </cell>
          <cell r="AU284">
            <v>9.1067372125739094</v>
          </cell>
          <cell r="AV284">
            <v>14.263722316306255</v>
          </cell>
          <cell r="AW284">
            <v>12.105561258724364</v>
          </cell>
          <cell r="AX284">
            <v>10.242049449424412</v>
          </cell>
          <cell r="AY284">
            <v>13.969073068024317</v>
          </cell>
        </row>
        <row r="285">
          <cell r="A285">
            <v>39937</v>
          </cell>
          <cell r="AF285">
            <v>14.510571328174127</v>
          </cell>
          <cell r="AG285">
            <v>20.469360058004284</v>
          </cell>
          <cell r="AH285">
            <v>17.881583490985356</v>
          </cell>
          <cell r="AI285">
            <v>15.547864889645153</v>
          </cell>
          <cell r="AJ285">
            <v>20.215302092325562</v>
          </cell>
          <cell r="AU285">
            <v>9.7826674139612813</v>
          </cell>
          <cell r="AV285">
            <v>14.263722316306255</v>
          </cell>
          <cell r="AW285">
            <v>12.105561258724364</v>
          </cell>
          <cell r="AX285">
            <v>10.242049449424412</v>
          </cell>
          <cell r="AY285">
            <v>13.969073068024317</v>
          </cell>
        </row>
        <row r="286">
          <cell r="A286">
            <v>39938</v>
          </cell>
          <cell r="AF286">
            <v>14.660435937453057</v>
          </cell>
          <cell r="AG286">
            <v>20.469360058004284</v>
          </cell>
          <cell r="AH286">
            <v>17.881583490985356</v>
          </cell>
          <cell r="AI286">
            <v>15.547864889645153</v>
          </cell>
          <cell r="AJ286">
            <v>20.215302092325562</v>
          </cell>
          <cell r="AU286">
            <v>9.8763896144191925</v>
          </cell>
          <cell r="AV286">
            <v>14.263722316306255</v>
          </cell>
          <cell r="AW286">
            <v>12.105561258724364</v>
          </cell>
          <cell r="AX286">
            <v>10.242049449424412</v>
          </cell>
          <cell r="AY286">
            <v>13.969073068024317</v>
          </cell>
        </row>
        <row r="287">
          <cell r="A287">
            <v>39939</v>
          </cell>
          <cell r="AF287">
            <v>14.732781607533783</v>
          </cell>
          <cell r="AG287">
            <v>20.469360058004284</v>
          </cell>
          <cell r="AH287">
            <v>17.881583490985356</v>
          </cell>
          <cell r="AI287">
            <v>15.547864889645153</v>
          </cell>
          <cell r="AJ287">
            <v>20.215302092325562</v>
          </cell>
          <cell r="AU287">
            <v>9.9216330873524665</v>
          </cell>
          <cell r="AV287">
            <v>14.263722316306255</v>
          </cell>
          <cell r="AW287">
            <v>12.105561258724364</v>
          </cell>
          <cell r="AX287">
            <v>10.242049449424412</v>
          </cell>
          <cell r="AY287">
            <v>13.969073068024317</v>
          </cell>
        </row>
        <row r="288">
          <cell r="A288">
            <v>39940</v>
          </cell>
          <cell r="AF288">
            <v>14.887810701036077</v>
          </cell>
          <cell r="AG288">
            <v>20.469360058004284</v>
          </cell>
          <cell r="AH288">
            <v>17.881583490985356</v>
          </cell>
          <cell r="AI288">
            <v>15.547864889645153</v>
          </cell>
          <cell r="AJ288">
            <v>20.215302092325562</v>
          </cell>
          <cell r="AU288">
            <v>10.018585048512202</v>
          </cell>
          <cell r="AV288">
            <v>14.263722316306255</v>
          </cell>
          <cell r="AW288">
            <v>12.105561258724364</v>
          </cell>
          <cell r="AX288">
            <v>10.242049449424412</v>
          </cell>
          <cell r="AY288">
            <v>13.969073068024317</v>
          </cell>
        </row>
        <row r="289">
          <cell r="A289">
            <v>39941</v>
          </cell>
          <cell r="AF289">
            <v>15.373564703330535</v>
          </cell>
          <cell r="AG289">
            <v>20.469360058004284</v>
          </cell>
          <cell r="AH289">
            <v>17.881583490985356</v>
          </cell>
          <cell r="AI289">
            <v>15.547864889645153</v>
          </cell>
          <cell r="AJ289">
            <v>20.215302092325562</v>
          </cell>
          <cell r="AU289">
            <v>10.322365468688247</v>
          </cell>
          <cell r="AV289">
            <v>14.263722316306255</v>
          </cell>
          <cell r="AW289">
            <v>12.105561258724364</v>
          </cell>
          <cell r="AX289">
            <v>10.242049449424412</v>
          </cell>
          <cell r="AY289">
            <v>13.969073068024317</v>
          </cell>
        </row>
        <row r="290">
          <cell r="A290">
            <v>39944</v>
          </cell>
          <cell r="AF290">
            <v>15.311548518455014</v>
          </cell>
          <cell r="AG290">
            <v>20.469360058004284</v>
          </cell>
          <cell r="AH290">
            <v>17.881583490985356</v>
          </cell>
          <cell r="AI290">
            <v>15.547864889645153</v>
          </cell>
          <cell r="AJ290">
            <v>20.215302092325562</v>
          </cell>
          <cell r="AU290">
            <v>10.283581840328596</v>
          </cell>
          <cell r="AV290">
            <v>14.263722316306255</v>
          </cell>
          <cell r="AW290">
            <v>12.105561258724364</v>
          </cell>
          <cell r="AX290">
            <v>10.242049449424412</v>
          </cell>
          <cell r="AY290">
            <v>13.969073068024317</v>
          </cell>
        </row>
        <row r="291">
          <cell r="A291">
            <v>39945</v>
          </cell>
          <cell r="AF291">
            <v>15.347725229183958</v>
          </cell>
          <cell r="AG291">
            <v>20.469360058004284</v>
          </cell>
          <cell r="AH291">
            <v>17.881583490985356</v>
          </cell>
          <cell r="AI291">
            <v>15.547864889645153</v>
          </cell>
          <cell r="AJ291">
            <v>20.215302092325562</v>
          </cell>
          <cell r="AU291">
            <v>10.306206000570027</v>
          </cell>
          <cell r="AV291">
            <v>14.263722316306255</v>
          </cell>
          <cell r="AW291">
            <v>12.105561258724364</v>
          </cell>
          <cell r="AX291">
            <v>10.242049449424412</v>
          </cell>
          <cell r="AY291">
            <v>13.969073068024317</v>
          </cell>
        </row>
        <row r="292">
          <cell r="A292">
            <v>39946</v>
          </cell>
          <cell r="AF292">
            <v>15.218535609828239</v>
          </cell>
          <cell r="AG292">
            <v>20.469360058004284</v>
          </cell>
          <cell r="AH292">
            <v>17.881583490985356</v>
          </cell>
          <cell r="AI292">
            <v>15.547864889645153</v>
          </cell>
          <cell r="AJ292">
            <v>20.215302092325562</v>
          </cell>
          <cell r="AU292">
            <v>10.225413507528511</v>
          </cell>
          <cell r="AV292">
            <v>14.263722316306255</v>
          </cell>
          <cell r="AW292">
            <v>12.105561258724364</v>
          </cell>
          <cell r="AX292">
            <v>10.242049449424412</v>
          </cell>
          <cell r="AY292">
            <v>13.969073068024317</v>
          </cell>
        </row>
        <row r="293">
          <cell r="A293">
            <v>39947</v>
          </cell>
          <cell r="AF293">
            <v>15.321885755037382</v>
          </cell>
          <cell r="AG293">
            <v>20.469360058004284</v>
          </cell>
          <cell r="AH293">
            <v>17.881583490985356</v>
          </cell>
          <cell r="AI293">
            <v>15.547864889645153</v>
          </cell>
          <cell r="AJ293">
            <v>20.215302092325562</v>
          </cell>
          <cell r="AU293">
            <v>10.290046532451806</v>
          </cell>
          <cell r="AV293">
            <v>14.263722316306255</v>
          </cell>
          <cell r="AW293">
            <v>12.105561258724364</v>
          </cell>
          <cell r="AX293">
            <v>10.242049449424412</v>
          </cell>
          <cell r="AY293">
            <v>13.969073068024317</v>
          </cell>
        </row>
        <row r="294">
          <cell r="A294">
            <v>39948</v>
          </cell>
          <cell r="AF294">
            <v>15.259877321539024</v>
          </cell>
          <cell r="AG294">
            <v>20.469360058004284</v>
          </cell>
          <cell r="AH294">
            <v>17.881583490985356</v>
          </cell>
          <cell r="AI294">
            <v>15.547864889645153</v>
          </cell>
          <cell r="AJ294">
            <v>20.215302092325562</v>
          </cell>
          <cell r="AU294">
            <v>10.251267751641739</v>
          </cell>
          <cell r="AV294">
            <v>14.263722316306255</v>
          </cell>
          <cell r="AW294">
            <v>12.105561258724364</v>
          </cell>
          <cell r="AX294">
            <v>10.242049449424412</v>
          </cell>
          <cell r="AY294">
            <v>13.969073068024317</v>
          </cell>
        </row>
        <row r="295">
          <cell r="A295">
            <v>39951</v>
          </cell>
          <cell r="AF295">
            <v>15.518256560250462</v>
          </cell>
          <cell r="AG295">
            <v>20.469360058004284</v>
          </cell>
          <cell r="AH295">
            <v>17.881583490985356</v>
          </cell>
          <cell r="AI295">
            <v>15.547864889645153</v>
          </cell>
          <cell r="AJ295">
            <v>20.215302092325562</v>
          </cell>
          <cell r="AU295">
            <v>10.412852737724771</v>
          </cell>
          <cell r="AV295">
            <v>14.263722316306255</v>
          </cell>
          <cell r="AW295">
            <v>12.105561258724364</v>
          </cell>
          <cell r="AX295">
            <v>10.242049449424412</v>
          </cell>
          <cell r="AY295">
            <v>13.969073068024317</v>
          </cell>
        </row>
        <row r="296">
          <cell r="A296">
            <v>39952</v>
          </cell>
          <cell r="AF296">
            <v>15.342552993583432</v>
          </cell>
          <cell r="AG296">
            <v>20.469360058004284</v>
          </cell>
          <cell r="AH296">
            <v>17.881583490985356</v>
          </cell>
          <cell r="AI296">
            <v>15.547864889645153</v>
          </cell>
          <cell r="AJ296">
            <v>20.215302092325562</v>
          </cell>
          <cell r="AU296">
            <v>10.302971392318616</v>
          </cell>
          <cell r="AV296">
            <v>14.263722316306255</v>
          </cell>
          <cell r="AW296">
            <v>12.105561258724364</v>
          </cell>
          <cell r="AX296">
            <v>10.242049449424412</v>
          </cell>
          <cell r="AY296">
            <v>13.969073068024317</v>
          </cell>
        </row>
        <row r="297">
          <cell r="A297">
            <v>39953</v>
          </cell>
          <cell r="AF297">
            <v>15.515539562131154</v>
          </cell>
          <cell r="AG297">
            <v>20.469360058004284</v>
          </cell>
          <cell r="AH297">
            <v>17.881583490985356</v>
          </cell>
          <cell r="AI297">
            <v>15.547864889645153</v>
          </cell>
          <cell r="AJ297">
            <v>20.215302092325562</v>
          </cell>
          <cell r="AU297">
            <v>10.380533801488331</v>
          </cell>
          <cell r="AV297">
            <v>14.263722316306255</v>
          </cell>
          <cell r="AW297">
            <v>12.105561258724364</v>
          </cell>
          <cell r="AX297">
            <v>10.242049449424412</v>
          </cell>
          <cell r="AY297">
            <v>13.969073068024317</v>
          </cell>
        </row>
        <row r="298">
          <cell r="A298">
            <v>39954</v>
          </cell>
          <cell r="AF298">
            <v>14.857176651519554</v>
          </cell>
          <cell r="AG298">
            <v>20.469360058004284</v>
          </cell>
          <cell r="AH298">
            <v>17.881583490985356</v>
          </cell>
          <cell r="AI298">
            <v>15.547864889645153</v>
          </cell>
          <cell r="AJ298">
            <v>20.215302092325562</v>
          </cell>
          <cell r="AU298">
            <v>9.9701066441575446</v>
          </cell>
          <cell r="AV298">
            <v>14.263722316306255</v>
          </cell>
          <cell r="AW298">
            <v>12.105561258724364</v>
          </cell>
          <cell r="AX298">
            <v>10.242049449424412</v>
          </cell>
          <cell r="AY298">
            <v>13.969073068024317</v>
          </cell>
        </row>
        <row r="299">
          <cell r="A299">
            <v>39955</v>
          </cell>
          <cell r="AF299">
            <v>14.820893193483574</v>
          </cell>
          <cell r="AG299">
            <v>20.469360058004284</v>
          </cell>
          <cell r="AH299">
            <v>17.881583490985356</v>
          </cell>
          <cell r="AI299">
            <v>15.547864889645153</v>
          </cell>
          <cell r="AJ299">
            <v>20.215302092325562</v>
          </cell>
          <cell r="AU299">
            <v>9.9474873314656982</v>
          </cell>
          <cell r="AV299">
            <v>14.263722316306255</v>
          </cell>
          <cell r="AW299">
            <v>12.105561258724364</v>
          </cell>
          <cell r="AX299">
            <v>10.242049449424412</v>
          </cell>
          <cell r="AY299">
            <v>13.969073068024317</v>
          </cell>
        </row>
        <row r="300">
          <cell r="A300">
            <v>39958</v>
          </cell>
          <cell r="AF300">
            <v>14.820893193483574</v>
          </cell>
          <cell r="AG300">
            <v>20.469360058004284</v>
          </cell>
          <cell r="AH300">
            <v>17.881583490985356</v>
          </cell>
          <cell r="AI300">
            <v>15.547864889645153</v>
          </cell>
          <cell r="AJ300">
            <v>20.215302092325562</v>
          </cell>
          <cell r="AU300">
            <v>9.9474873314656982</v>
          </cell>
          <cell r="AV300">
            <v>14.263722316306255</v>
          </cell>
          <cell r="AW300">
            <v>12.105561258724364</v>
          </cell>
          <cell r="AX300">
            <v>10.242049449424412</v>
          </cell>
          <cell r="AY300">
            <v>13.969073068024317</v>
          </cell>
        </row>
        <row r="301">
          <cell r="A301">
            <v>39959</v>
          </cell>
          <cell r="AF301">
            <v>15.266712342971275</v>
          </cell>
          <cell r="AG301">
            <v>20.469360058004284</v>
          </cell>
          <cell r="AH301">
            <v>17.881583490985356</v>
          </cell>
          <cell r="AI301">
            <v>15.547864889645153</v>
          </cell>
          <cell r="AJ301">
            <v>20.215302092325562</v>
          </cell>
          <cell r="AU301">
            <v>10.225413507528511</v>
          </cell>
          <cell r="AV301">
            <v>14.263722316306255</v>
          </cell>
          <cell r="AW301">
            <v>12.105561258724364</v>
          </cell>
          <cell r="AX301">
            <v>10.242049449424412</v>
          </cell>
          <cell r="AY301">
            <v>13.969073068024317</v>
          </cell>
        </row>
        <row r="302">
          <cell r="A302">
            <v>39960</v>
          </cell>
          <cell r="AF302">
            <v>15.16303502618047</v>
          </cell>
          <cell r="AG302">
            <v>20.469360058004284</v>
          </cell>
          <cell r="AH302">
            <v>17.881583490985356</v>
          </cell>
          <cell r="AI302">
            <v>15.547864889645153</v>
          </cell>
          <cell r="AJ302">
            <v>20.215302092325562</v>
          </cell>
          <cell r="AU302">
            <v>10.160780482605215</v>
          </cell>
          <cell r="AV302">
            <v>14.263722316306255</v>
          </cell>
          <cell r="AW302">
            <v>12.105561258724364</v>
          </cell>
          <cell r="AX302">
            <v>10.242049449424412</v>
          </cell>
          <cell r="AY302">
            <v>13.969073068024317</v>
          </cell>
        </row>
        <row r="303">
          <cell r="A303">
            <v>39961</v>
          </cell>
          <cell r="AF303">
            <v>15.126743792229091</v>
          </cell>
          <cell r="AG303">
            <v>20.469360058004284</v>
          </cell>
          <cell r="AH303">
            <v>17.881583490985356</v>
          </cell>
          <cell r="AI303">
            <v>15.547864889645153</v>
          </cell>
          <cell r="AJ303">
            <v>20.215302092325562</v>
          </cell>
          <cell r="AU303">
            <v>10.138156322363786</v>
          </cell>
          <cell r="AV303">
            <v>14.263722316306255</v>
          </cell>
          <cell r="AW303">
            <v>12.105561258724364</v>
          </cell>
          <cell r="AX303">
            <v>10.242049449424412</v>
          </cell>
          <cell r="AY303">
            <v>13.969073068024317</v>
          </cell>
        </row>
        <row r="304">
          <cell r="A304">
            <v>39962</v>
          </cell>
          <cell r="AF304">
            <v>15.168216377807365</v>
          </cell>
          <cell r="AG304">
            <v>20.469360058004284</v>
          </cell>
          <cell r="AH304">
            <v>17.881583490985356</v>
          </cell>
          <cell r="AI304">
            <v>15.547864889645153</v>
          </cell>
          <cell r="AJ304">
            <v>20.215302092325562</v>
          </cell>
          <cell r="AU304">
            <v>10.164010566477014</v>
          </cell>
          <cell r="AV304">
            <v>14.263722316306255</v>
          </cell>
          <cell r="AW304">
            <v>12.105561258724364</v>
          </cell>
          <cell r="AX304">
            <v>10.242049449424412</v>
          </cell>
          <cell r="AY304">
            <v>13.969073068024317</v>
          </cell>
        </row>
        <row r="305">
          <cell r="A305">
            <v>39965</v>
          </cell>
          <cell r="AF305">
            <v>15.361751898369741</v>
          </cell>
          <cell r="AG305">
            <v>20.469360058004284</v>
          </cell>
          <cell r="AH305">
            <v>17.881583490985356</v>
          </cell>
          <cell r="AI305">
            <v>15.547864889645153</v>
          </cell>
          <cell r="AJ305">
            <v>20.215302092325562</v>
          </cell>
          <cell r="AU305">
            <v>10.286859220625251</v>
          </cell>
          <cell r="AV305">
            <v>14.263722316306255</v>
          </cell>
          <cell r="AW305">
            <v>12.105561258724364</v>
          </cell>
          <cell r="AX305">
            <v>10.242049449424412</v>
          </cell>
          <cell r="AY305">
            <v>13.969073068024317</v>
          </cell>
        </row>
        <row r="306">
          <cell r="A306">
            <v>39966</v>
          </cell>
          <cell r="AF306">
            <v>15.490280655393837</v>
          </cell>
          <cell r="AG306">
            <v>20.469360058004284</v>
          </cell>
          <cell r="AH306">
            <v>17.881583490985356</v>
          </cell>
          <cell r="AI306">
            <v>15.547864889645153</v>
          </cell>
          <cell r="AJ306">
            <v>20.215302092325562</v>
          </cell>
          <cell r="AU306">
            <v>10.367047466945678</v>
          </cell>
          <cell r="AV306">
            <v>14.263722316306255</v>
          </cell>
          <cell r="AW306">
            <v>12.105561258724364</v>
          </cell>
          <cell r="AX306">
            <v>10.242049449424412</v>
          </cell>
          <cell r="AY306">
            <v>13.969073068024317</v>
          </cell>
        </row>
        <row r="307">
          <cell r="A307">
            <v>39967</v>
          </cell>
          <cell r="AF307">
            <v>15.459435296053138</v>
          </cell>
          <cell r="AG307">
            <v>20.469360058004284</v>
          </cell>
          <cell r="AH307">
            <v>17.881583490985356</v>
          </cell>
          <cell r="AI307">
            <v>15.547864889645153</v>
          </cell>
          <cell r="AJ307">
            <v>20.215302092325562</v>
          </cell>
          <cell r="AU307">
            <v>10.347803250087731</v>
          </cell>
          <cell r="AV307">
            <v>14.263722316306255</v>
          </cell>
          <cell r="AW307">
            <v>12.105561258724364</v>
          </cell>
          <cell r="AX307">
            <v>10.242049449424412</v>
          </cell>
          <cell r="AY307">
            <v>13.969073068024317</v>
          </cell>
        </row>
        <row r="308">
          <cell r="A308">
            <v>39968</v>
          </cell>
          <cell r="AF308">
            <v>15.279491437414206</v>
          </cell>
          <cell r="AG308">
            <v>20.469360058004284</v>
          </cell>
          <cell r="AH308">
            <v>17.881583490985356</v>
          </cell>
          <cell r="AI308">
            <v>15.547864889645153</v>
          </cell>
          <cell r="AJ308">
            <v>20.215302092325562</v>
          </cell>
          <cell r="AU308">
            <v>10.235537459968235</v>
          </cell>
          <cell r="AV308">
            <v>14.263722316306255</v>
          </cell>
          <cell r="AW308">
            <v>12.105561258724364</v>
          </cell>
          <cell r="AX308">
            <v>10.242049449424412</v>
          </cell>
          <cell r="AY308">
            <v>13.969073068024317</v>
          </cell>
        </row>
        <row r="309">
          <cell r="A309">
            <v>39969</v>
          </cell>
          <cell r="AF309">
            <v>15.17153190854922</v>
          </cell>
          <cell r="AG309">
            <v>20.469360058004284</v>
          </cell>
          <cell r="AH309">
            <v>17.881583490985356</v>
          </cell>
          <cell r="AI309">
            <v>15.547864889645153</v>
          </cell>
          <cell r="AJ309">
            <v>20.215302092325562</v>
          </cell>
          <cell r="AU309">
            <v>10.16818221983594</v>
          </cell>
          <cell r="AV309">
            <v>14.263722316306255</v>
          </cell>
          <cell r="AW309">
            <v>12.105561258724364</v>
          </cell>
          <cell r="AX309">
            <v>10.242049449424412</v>
          </cell>
          <cell r="AY309">
            <v>13.969073068024317</v>
          </cell>
        </row>
        <row r="310">
          <cell r="A310">
            <v>39972</v>
          </cell>
          <cell r="AF310">
            <v>14.960742690569587</v>
          </cell>
          <cell r="AG310">
            <v>20.469360058004284</v>
          </cell>
          <cell r="AH310">
            <v>17.881583490985356</v>
          </cell>
          <cell r="AI310">
            <v>15.547864889645153</v>
          </cell>
          <cell r="AJ310">
            <v>20.215302092325562</v>
          </cell>
          <cell r="AU310">
            <v>10.036672212858496</v>
          </cell>
          <cell r="AV310">
            <v>14.263722316306255</v>
          </cell>
          <cell r="AW310">
            <v>12.105561258724364</v>
          </cell>
          <cell r="AX310">
            <v>10.242049449424412</v>
          </cell>
          <cell r="AY310">
            <v>13.969073068024317</v>
          </cell>
        </row>
        <row r="311">
          <cell r="A311">
            <v>39973</v>
          </cell>
          <cell r="AF311">
            <v>14.955604624978793</v>
          </cell>
          <cell r="AG311">
            <v>20.469360058004284</v>
          </cell>
          <cell r="AH311">
            <v>17.881583490985356</v>
          </cell>
          <cell r="AI311">
            <v>15.547864889645153</v>
          </cell>
          <cell r="AJ311">
            <v>20.215302092325562</v>
          </cell>
          <cell r="AU311">
            <v>10.033466607523591</v>
          </cell>
          <cell r="AV311">
            <v>14.263722316306255</v>
          </cell>
          <cell r="AW311">
            <v>12.105561258724364</v>
          </cell>
          <cell r="AX311">
            <v>10.242049449424412</v>
          </cell>
          <cell r="AY311">
            <v>13.969073068024317</v>
          </cell>
        </row>
        <row r="312">
          <cell r="A312">
            <v>39974</v>
          </cell>
          <cell r="AF312">
            <v>14.76537640931782</v>
          </cell>
          <cell r="AG312">
            <v>20.469360058004284</v>
          </cell>
          <cell r="AH312">
            <v>17.881583490985356</v>
          </cell>
          <cell r="AI312">
            <v>15.547864889645153</v>
          </cell>
          <cell r="AJ312">
            <v>20.215302092325562</v>
          </cell>
          <cell r="AU312">
            <v>9.9147844746865168</v>
          </cell>
          <cell r="AV312">
            <v>14.263722316306255</v>
          </cell>
          <cell r="AW312">
            <v>12.105561258724364</v>
          </cell>
          <cell r="AX312">
            <v>10.242049449424412</v>
          </cell>
          <cell r="AY312">
            <v>13.969073068024317</v>
          </cell>
        </row>
        <row r="313">
          <cell r="A313">
            <v>39975</v>
          </cell>
          <cell r="AF313">
            <v>15.22808507575485</v>
          </cell>
          <cell r="AG313">
            <v>20.469360058004284</v>
          </cell>
          <cell r="AH313">
            <v>17.881583490985356</v>
          </cell>
          <cell r="AI313">
            <v>15.547864889645153</v>
          </cell>
          <cell r="AJ313">
            <v>20.215302092325562</v>
          </cell>
          <cell r="AU313">
            <v>10.203465368969916</v>
          </cell>
          <cell r="AV313">
            <v>14.263722316306255</v>
          </cell>
          <cell r="AW313">
            <v>12.105561258724364</v>
          </cell>
          <cell r="AX313">
            <v>10.242049449424412</v>
          </cell>
          <cell r="AY313">
            <v>13.969073068024317</v>
          </cell>
        </row>
        <row r="314">
          <cell r="A314">
            <v>39976</v>
          </cell>
          <cell r="AF314">
            <v>15.269214792117589</v>
          </cell>
          <cell r="AG314">
            <v>20.469360058004284</v>
          </cell>
          <cell r="AH314">
            <v>17.881583490985356</v>
          </cell>
          <cell r="AI314">
            <v>15.547864889645153</v>
          </cell>
          <cell r="AJ314">
            <v>20.215302092325562</v>
          </cell>
          <cell r="AU314">
            <v>10.229125928545438</v>
          </cell>
          <cell r="AV314">
            <v>14.263722316306255</v>
          </cell>
          <cell r="AW314">
            <v>12.105561258724364</v>
          </cell>
          <cell r="AX314">
            <v>10.242049449424412</v>
          </cell>
          <cell r="AY314">
            <v>13.969073068024317</v>
          </cell>
        </row>
        <row r="315">
          <cell r="A315">
            <v>39979</v>
          </cell>
          <cell r="AF315">
            <v>14.857921227295394</v>
          </cell>
          <cell r="AG315">
            <v>20.469360058004284</v>
          </cell>
          <cell r="AH315">
            <v>17.881583490985356</v>
          </cell>
          <cell r="AI315">
            <v>15.547864889645153</v>
          </cell>
          <cell r="AJ315">
            <v>20.215302092325562</v>
          </cell>
          <cell r="AU315">
            <v>9.972522578061108</v>
          </cell>
          <cell r="AV315">
            <v>14.263722316306255</v>
          </cell>
          <cell r="AW315">
            <v>12.105561258724364</v>
          </cell>
          <cell r="AX315">
            <v>10.242049449424412</v>
          </cell>
          <cell r="AY315">
            <v>13.969073068024317</v>
          </cell>
        </row>
        <row r="316">
          <cell r="A316">
            <v>39980</v>
          </cell>
          <cell r="AF316">
            <v>14.693400819499354</v>
          </cell>
          <cell r="AG316">
            <v>20.469360058004284</v>
          </cell>
          <cell r="AH316">
            <v>17.881583490985356</v>
          </cell>
          <cell r="AI316">
            <v>15.547864889645153</v>
          </cell>
          <cell r="AJ316">
            <v>20.215302092325562</v>
          </cell>
          <cell r="AU316">
            <v>9.8698793775000606</v>
          </cell>
          <cell r="AV316">
            <v>14.263722316306255</v>
          </cell>
          <cell r="AW316">
            <v>12.105561258724364</v>
          </cell>
          <cell r="AX316">
            <v>10.242049449424412</v>
          </cell>
          <cell r="AY316">
            <v>13.969073068024317</v>
          </cell>
        </row>
        <row r="317">
          <cell r="A317">
            <v>39981</v>
          </cell>
          <cell r="AF317">
            <v>15.053287508547163</v>
          </cell>
          <cell r="AG317">
            <v>20.469360058004284</v>
          </cell>
          <cell r="AH317">
            <v>17.881583490985356</v>
          </cell>
          <cell r="AI317">
            <v>15.547864889645153</v>
          </cell>
          <cell r="AJ317">
            <v>20.215302092325562</v>
          </cell>
          <cell r="AU317">
            <v>10.094410316233086</v>
          </cell>
          <cell r="AV317">
            <v>14.263722316306255</v>
          </cell>
          <cell r="AW317">
            <v>12.105561258724364</v>
          </cell>
          <cell r="AX317">
            <v>10.242049449424412</v>
          </cell>
          <cell r="AY317">
            <v>13.969073068024317</v>
          </cell>
        </row>
        <row r="318">
          <cell r="A318">
            <v>39982</v>
          </cell>
          <cell r="AF318">
            <v>15.274353371823413</v>
          </cell>
          <cell r="AG318">
            <v>20.469360058004284</v>
          </cell>
          <cell r="AH318">
            <v>17.881583490985356</v>
          </cell>
          <cell r="AI318">
            <v>15.547864889645153</v>
          </cell>
          <cell r="AJ318">
            <v>20.215302092325562</v>
          </cell>
          <cell r="AU318">
            <v>10.232331854633328</v>
          </cell>
          <cell r="AV318">
            <v>14.263722316306255</v>
          </cell>
          <cell r="AW318">
            <v>12.105561258724364</v>
          </cell>
          <cell r="AX318">
            <v>10.242049449424412</v>
          </cell>
          <cell r="AY318">
            <v>13.969073068024317</v>
          </cell>
        </row>
        <row r="319">
          <cell r="A319">
            <v>39983</v>
          </cell>
          <cell r="AF319">
            <v>15.433728002303235</v>
          </cell>
          <cell r="AG319">
            <v>20.469360058004284</v>
          </cell>
          <cell r="AH319">
            <v>17.881583490985356</v>
          </cell>
          <cell r="AI319">
            <v>15.547864889645153</v>
          </cell>
          <cell r="AJ319">
            <v>20.215302092325562</v>
          </cell>
          <cell r="AU319">
            <v>10.331764638564689</v>
          </cell>
          <cell r="AV319">
            <v>14.263722316306255</v>
          </cell>
          <cell r="AW319">
            <v>12.105561258724364</v>
          </cell>
          <cell r="AX319">
            <v>10.242049449424412</v>
          </cell>
          <cell r="AY319">
            <v>13.969073068024317</v>
          </cell>
        </row>
        <row r="320">
          <cell r="A320">
            <v>39986</v>
          </cell>
          <cell r="AF320">
            <v>15.126609819121446</v>
          </cell>
          <cell r="AG320">
            <v>20.469360058004284</v>
          </cell>
          <cell r="AH320">
            <v>17.881583490985356</v>
          </cell>
          <cell r="AI320">
            <v>15.547864889645153</v>
          </cell>
          <cell r="AJ320">
            <v>20.215302092325562</v>
          </cell>
          <cell r="AU320">
            <v>10.091199899603403</v>
          </cell>
          <cell r="AV320">
            <v>14.263722316306255</v>
          </cell>
          <cell r="AW320">
            <v>12.105561258724364</v>
          </cell>
          <cell r="AX320">
            <v>10.242049449424412</v>
          </cell>
          <cell r="AY320">
            <v>13.969073068024317</v>
          </cell>
        </row>
        <row r="321">
          <cell r="A321">
            <v>39987</v>
          </cell>
          <cell r="AF321">
            <v>15.121444444444444</v>
          </cell>
          <cell r="AG321">
            <v>20.469360058004284</v>
          </cell>
          <cell r="AH321">
            <v>17.881583490985356</v>
          </cell>
          <cell r="AI321">
            <v>15.547864889645153</v>
          </cell>
          <cell r="AJ321">
            <v>20.215302092325562</v>
          </cell>
          <cell r="AU321">
            <v>10.087993973515511</v>
          </cell>
          <cell r="AV321">
            <v>14.263722316306255</v>
          </cell>
          <cell r="AW321">
            <v>12.105561258724364</v>
          </cell>
          <cell r="AX321">
            <v>10.242049449424412</v>
          </cell>
          <cell r="AY321">
            <v>13.969073068024317</v>
          </cell>
        </row>
        <row r="322">
          <cell r="A322">
            <v>39988</v>
          </cell>
          <cell r="AF322">
            <v>15.348835658914728</v>
          </cell>
          <cell r="AG322">
            <v>20.469360058004284</v>
          </cell>
          <cell r="AH322">
            <v>17.881583490985356</v>
          </cell>
          <cell r="AI322">
            <v>15.547864889645153</v>
          </cell>
          <cell r="AJ322">
            <v>20.215302092325562</v>
          </cell>
          <cell r="AU322">
            <v>10.229125928545438</v>
          </cell>
          <cell r="AV322">
            <v>14.263722316306255</v>
          </cell>
          <cell r="AW322">
            <v>12.105561258724364</v>
          </cell>
          <cell r="AX322">
            <v>10.242049449424412</v>
          </cell>
          <cell r="AY322">
            <v>13.969073068024317</v>
          </cell>
        </row>
        <row r="323">
          <cell r="A323">
            <v>39989</v>
          </cell>
          <cell r="AF323">
            <v>16.000744317195231</v>
          </cell>
          <cell r="AG323">
            <v>20.469360058004284</v>
          </cell>
          <cell r="AH323">
            <v>17.881583490985356</v>
          </cell>
          <cell r="AI323">
            <v>15.547864889645153</v>
          </cell>
          <cell r="AJ323">
            <v>20.215302092325562</v>
          </cell>
          <cell r="AU323">
            <v>10.604406600572061</v>
          </cell>
          <cell r="AV323">
            <v>14.263722316306255</v>
          </cell>
          <cell r="AW323">
            <v>12.105561258724364</v>
          </cell>
          <cell r="AX323">
            <v>10.242049449424412</v>
          </cell>
          <cell r="AY323">
            <v>13.969073068024317</v>
          </cell>
        </row>
        <row r="324">
          <cell r="A324">
            <v>39990</v>
          </cell>
          <cell r="AF324">
            <v>16.031842366472553</v>
          </cell>
          <cell r="AG324">
            <v>20.469360058004284</v>
          </cell>
          <cell r="AH324">
            <v>17.881583490985356</v>
          </cell>
          <cell r="AI324">
            <v>15.547864889645153</v>
          </cell>
          <cell r="AJ324">
            <v>20.215302092325562</v>
          </cell>
          <cell r="AU324">
            <v>10.623650817430008</v>
          </cell>
          <cell r="AV324">
            <v>14.263722316306255</v>
          </cell>
          <cell r="AW324">
            <v>12.105561258724364</v>
          </cell>
          <cell r="AX324">
            <v>10.242049449424412</v>
          </cell>
          <cell r="AY324">
            <v>13.969073068024317</v>
          </cell>
        </row>
        <row r="325">
          <cell r="A325">
            <v>39993</v>
          </cell>
          <cell r="AF325">
            <v>16.011112925254693</v>
          </cell>
          <cell r="AG325">
            <v>20.469360058004284</v>
          </cell>
          <cell r="AH325">
            <v>17.881583490985356</v>
          </cell>
          <cell r="AI325">
            <v>15.547864889645153</v>
          </cell>
          <cell r="AJ325">
            <v>20.215302092325562</v>
          </cell>
          <cell r="AU325">
            <v>10.610822943289635</v>
          </cell>
          <cell r="AV325">
            <v>14.263722316306255</v>
          </cell>
          <cell r="AW325">
            <v>12.105561258724364</v>
          </cell>
          <cell r="AX325">
            <v>10.242049449424412</v>
          </cell>
          <cell r="AY325">
            <v>13.969073068024317</v>
          </cell>
        </row>
        <row r="326">
          <cell r="A326">
            <v>39994</v>
          </cell>
          <cell r="AF326">
            <v>15.84524474092734</v>
          </cell>
          <cell r="AG326">
            <v>20.469360058004284</v>
          </cell>
          <cell r="AH326">
            <v>17.881583490985356</v>
          </cell>
          <cell r="AI326">
            <v>15.547864889645153</v>
          </cell>
          <cell r="AJ326">
            <v>20.215302092325562</v>
          </cell>
          <cell r="AU326">
            <v>10.50817974272859</v>
          </cell>
          <cell r="AV326">
            <v>14.263722316306255</v>
          </cell>
          <cell r="AW326">
            <v>12.105561258724364</v>
          </cell>
          <cell r="AX326">
            <v>10.242049449424412</v>
          </cell>
          <cell r="AY326">
            <v>13.969073068024317</v>
          </cell>
        </row>
        <row r="327">
          <cell r="A327">
            <v>39995</v>
          </cell>
          <cell r="AF327">
            <v>15.662326097244476</v>
          </cell>
          <cell r="AG327">
            <v>20.469360058004284</v>
          </cell>
          <cell r="AH327">
            <v>17.881583490985356</v>
          </cell>
          <cell r="AI327">
            <v>15.547864889645153</v>
          </cell>
          <cell r="AJ327">
            <v>20.215302092325562</v>
          </cell>
          <cell r="AU327">
            <v>10.401520011198661</v>
          </cell>
          <cell r="AV327">
            <v>14.263722316306255</v>
          </cell>
          <cell r="AW327">
            <v>12.105561258724364</v>
          </cell>
          <cell r="AX327">
            <v>10.242049449424412</v>
          </cell>
          <cell r="AY327">
            <v>13.969073068024317</v>
          </cell>
        </row>
        <row r="328">
          <cell r="A328">
            <v>39996</v>
          </cell>
          <cell r="AF328">
            <v>15.333458828367197</v>
          </cell>
          <cell r="AG328">
            <v>20.469360058004284</v>
          </cell>
          <cell r="AH328">
            <v>17.881583490985356</v>
          </cell>
          <cell r="AI328">
            <v>15.547864889645153</v>
          </cell>
          <cell r="AJ328">
            <v>20.215302092325562</v>
          </cell>
          <cell r="AU328">
            <v>10.197762324268577</v>
          </cell>
          <cell r="AV328">
            <v>14.263722316306255</v>
          </cell>
          <cell r="AW328">
            <v>12.105561258724364</v>
          </cell>
          <cell r="AX328">
            <v>10.242049449424412</v>
          </cell>
          <cell r="AY328">
            <v>13.969073068024317</v>
          </cell>
        </row>
        <row r="329">
          <cell r="A329">
            <v>39997</v>
          </cell>
          <cell r="AF329">
            <v>15.333458828367197</v>
          </cell>
          <cell r="AG329">
            <v>20.469360058004284</v>
          </cell>
          <cell r="AH329">
            <v>17.881583490985356</v>
          </cell>
          <cell r="AI329">
            <v>15.547864889645153</v>
          </cell>
          <cell r="AJ329">
            <v>20.215302092325562</v>
          </cell>
          <cell r="AU329">
            <v>10.197762324268577</v>
          </cell>
          <cell r="AV329">
            <v>14.263722316306255</v>
          </cell>
          <cell r="AW329">
            <v>12.105561258724364</v>
          </cell>
          <cell r="AX329">
            <v>10.242049449424412</v>
          </cell>
          <cell r="AY329">
            <v>13.969073068024317</v>
          </cell>
        </row>
        <row r="330">
          <cell r="A330">
            <v>40000</v>
          </cell>
          <cell r="AF330">
            <v>15.133055023264161</v>
          </cell>
          <cell r="AG330">
            <v>20.469360058004284</v>
          </cell>
          <cell r="AH330">
            <v>17.881583490985356</v>
          </cell>
          <cell r="AI330">
            <v>15.547864889645153</v>
          </cell>
          <cell r="AJ330">
            <v>20.215302092325562</v>
          </cell>
          <cell r="AU330">
            <v>10.073597289787692</v>
          </cell>
          <cell r="AV330">
            <v>14.263722316306255</v>
          </cell>
          <cell r="AW330">
            <v>12.105561258724364</v>
          </cell>
          <cell r="AX330">
            <v>10.242049449424412</v>
          </cell>
          <cell r="AY330">
            <v>13.969073068024317</v>
          </cell>
        </row>
        <row r="331">
          <cell r="A331">
            <v>40001</v>
          </cell>
          <cell r="AF331">
            <v>14.773357427467467</v>
          </cell>
          <cell r="AG331">
            <v>20.469360058004284</v>
          </cell>
          <cell r="AH331">
            <v>17.881583490985356</v>
          </cell>
          <cell r="AI331">
            <v>15.547864889645153</v>
          </cell>
          <cell r="AJ331">
            <v>20.215302092325562</v>
          </cell>
          <cell r="AU331">
            <v>9.8507379266043156</v>
          </cell>
          <cell r="AV331">
            <v>14.263722316306255</v>
          </cell>
          <cell r="AW331">
            <v>12.105561258724364</v>
          </cell>
          <cell r="AX331">
            <v>10.242049449424412</v>
          </cell>
          <cell r="AY331">
            <v>13.969073068024317</v>
          </cell>
        </row>
        <row r="332">
          <cell r="A332">
            <v>40002</v>
          </cell>
          <cell r="AF332">
            <v>14.567810438556029</v>
          </cell>
          <cell r="AG332">
            <v>20.469360058004284</v>
          </cell>
          <cell r="AH332">
            <v>17.881583490985356</v>
          </cell>
          <cell r="AI332">
            <v>15.547864889645153</v>
          </cell>
          <cell r="AJ332">
            <v>20.215302092325562</v>
          </cell>
          <cell r="AU332">
            <v>9.7233863079436365</v>
          </cell>
          <cell r="AV332">
            <v>14.263722316306255</v>
          </cell>
          <cell r="AW332">
            <v>12.105561258724364</v>
          </cell>
          <cell r="AX332">
            <v>10.242049449424412</v>
          </cell>
          <cell r="AY332">
            <v>13.969073068024317</v>
          </cell>
        </row>
        <row r="333">
          <cell r="A333">
            <v>40003</v>
          </cell>
          <cell r="AF333">
            <v>14.387665217089458</v>
          </cell>
          <cell r="AG333">
            <v>20.469360058004284</v>
          </cell>
          <cell r="AH333">
            <v>17.881583490985356</v>
          </cell>
          <cell r="AI333">
            <v>15.547864889645153</v>
          </cell>
          <cell r="AJ333">
            <v>20.215302092325562</v>
          </cell>
          <cell r="AU333">
            <v>9.5731415882512785</v>
          </cell>
          <cell r="AV333">
            <v>14.263722316306255</v>
          </cell>
          <cell r="AW333">
            <v>12.105561258724364</v>
          </cell>
          <cell r="AX333">
            <v>10.242049449424412</v>
          </cell>
          <cell r="AY333">
            <v>13.969073068024317</v>
          </cell>
        </row>
        <row r="334">
          <cell r="A334">
            <v>40004</v>
          </cell>
          <cell r="AF334">
            <v>14.480094959310373</v>
          </cell>
          <cell r="AG334">
            <v>20.469360058004284</v>
          </cell>
          <cell r="AH334">
            <v>17.881583490985356</v>
          </cell>
          <cell r="AI334">
            <v>15.547864889645153</v>
          </cell>
          <cell r="AJ334">
            <v>20.215302092325562</v>
          </cell>
          <cell r="AU334">
            <v>9.6301815483767523</v>
          </cell>
          <cell r="AV334">
            <v>14.263722316306255</v>
          </cell>
          <cell r="AW334">
            <v>12.105561258724364</v>
          </cell>
          <cell r="AX334">
            <v>10.242049449424412</v>
          </cell>
          <cell r="AY334">
            <v>13.969073068024317</v>
          </cell>
        </row>
        <row r="335">
          <cell r="A335">
            <v>40007</v>
          </cell>
          <cell r="AF335">
            <v>14.608464609130817</v>
          </cell>
          <cell r="AG335">
            <v>20.469360058004284</v>
          </cell>
          <cell r="AH335">
            <v>17.881583490985356</v>
          </cell>
          <cell r="AI335">
            <v>15.547864889645153</v>
          </cell>
          <cell r="AJ335">
            <v>20.215302092325562</v>
          </cell>
          <cell r="AU335">
            <v>9.7094006344754487</v>
          </cell>
          <cell r="AV335">
            <v>14.263722316306255</v>
          </cell>
          <cell r="AW335">
            <v>12.105561258724364</v>
          </cell>
          <cell r="AX335">
            <v>10.242049449424412</v>
          </cell>
          <cell r="AY335">
            <v>13.969073068024317</v>
          </cell>
        </row>
        <row r="336">
          <cell r="A336">
            <v>40008</v>
          </cell>
          <cell r="AF336">
            <v>14.464691628289119</v>
          </cell>
          <cell r="AG336">
            <v>20.469360058004284</v>
          </cell>
          <cell r="AH336">
            <v>17.881583490985356</v>
          </cell>
          <cell r="AI336">
            <v>15.547864889645153</v>
          </cell>
          <cell r="AJ336">
            <v>20.215302092325562</v>
          </cell>
          <cell r="AU336">
            <v>9.6206758917975979</v>
          </cell>
          <cell r="AV336">
            <v>14.263722316306255</v>
          </cell>
          <cell r="AW336">
            <v>12.105561258724364</v>
          </cell>
          <cell r="AX336">
            <v>10.242049449424412</v>
          </cell>
          <cell r="AY336">
            <v>13.969073068024317</v>
          </cell>
        </row>
        <row r="337">
          <cell r="A337">
            <v>40009</v>
          </cell>
          <cell r="AF337">
            <v>14.83952843837182</v>
          </cell>
          <cell r="AG337">
            <v>20.469360058004284</v>
          </cell>
          <cell r="AH337">
            <v>17.881583490985356</v>
          </cell>
          <cell r="AI337">
            <v>15.547864889645153</v>
          </cell>
          <cell r="AJ337">
            <v>20.215302092325562</v>
          </cell>
          <cell r="AU337">
            <v>9.8519940388240705</v>
          </cell>
          <cell r="AV337">
            <v>14.263722316306255</v>
          </cell>
          <cell r="AW337">
            <v>12.105561258724364</v>
          </cell>
          <cell r="AX337">
            <v>10.242049449424412</v>
          </cell>
          <cell r="AY337">
            <v>13.969073068024317</v>
          </cell>
        </row>
        <row r="338">
          <cell r="A338">
            <v>40010</v>
          </cell>
          <cell r="AF338">
            <v>15.147618678812483</v>
          </cell>
          <cell r="AG338">
            <v>20.469360058004284</v>
          </cell>
          <cell r="AH338">
            <v>17.881583490985356</v>
          </cell>
          <cell r="AI338">
            <v>15.547864889645153</v>
          </cell>
          <cell r="AJ338">
            <v>20.215302092325562</v>
          </cell>
          <cell r="AU338">
            <v>10.04212174671901</v>
          </cell>
          <cell r="AV338">
            <v>14.263722316306255</v>
          </cell>
          <cell r="AW338">
            <v>12.105561258724364</v>
          </cell>
          <cell r="AX338">
            <v>10.242049449424412</v>
          </cell>
          <cell r="AY338">
            <v>13.969073068024317</v>
          </cell>
        </row>
        <row r="339">
          <cell r="A339">
            <v>40011</v>
          </cell>
          <cell r="AF339">
            <v>14.931950991892345</v>
          </cell>
          <cell r="AG339">
            <v>20.469360058004284</v>
          </cell>
          <cell r="AH339">
            <v>17.881583490985356</v>
          </cell>
          <cell r="AI339">
            <v>15.547864889645153</v>
          </cell>
          <cell r="AJ339">
            <v>20.215302092325562</v>
          </cell>
          <cell r="AU339">
            <v>9.9090295626807237</v>
          </cell>
          <cell r="AV339">
            <v>14.263722316306255</v>
          </cell>
          <cell r="AW339">
            <v>12.105561258724364</v>
          </cell>
          <cell r="AX339">
            <v>10.242049449424412</v>
          </cell>
          <cell r="AY339">
            <v>13.969073068024317</v>
          </cell>
        </row>
        <row r="340">
          <cell r="A340">
            <v>40014</v>
          </cell>
          <cell r="AF340">
            <v>15.008977403092006</v>
          </cell>
          <cell r="AG340">
            <v>20.469360058004284</v>
          </cell>
          <cell r="AH340">
            <v>17.881583490985356</v>
          </cell>
          <cell r="AI340">
            <v>15.547864889645153</v>
          </cell>
          <cell r="AJ340">
            <v>20.215302092325562</v>
          </cell>
          <cell r="AU340">
            <v>9.9565638662270395</v>
          </cell>
          <cell r="AV340">
            <v>14.263722316306255</v>
          </cell>
          <cell r="AW340">
            <v>12.105561258724364</v>
          </cell>
          <cell r="AX340">
            <v>10.242049449424412</v>
          </cell>
          <cell r="AY340">
            <v>13.969073068024317</v>
          </cell>
        </row>
        <row r="341">
          <cell r="A341">
            <v>40015</v>
          </cell>
          <cell r="AF341">
            <v>15.286252765832572</v>
          </cell>
          <cell r="AG341">
            <v>20.469360058004284</v>
          </cell>
          <cell r="AH341">
            <v>17.881583490985356</v>
          </cell>
          <cell r="AI341">
            <v>15.547864889645153</v>
          </cell>
          <cell r="AJ341">
            <v>20.215302092325562</v>
          </cell>
          <cell r="AU341">
            <v>10.12767519094216</v>
          </cell>
          <cell r="AV341">
            <v>14.263722316306255</v>
          </cell>
          <cell r="AW341">
            <v>12.105561258724364</v>
          </cell>
          <cell r="AX341">
            <v>10.242049449424412</v>
          </cell>
          <cell r="AY341">
            <v>13.969073068024317</v>
          </cell>
        </row>
        <row r="342">
          <cell r="A342">
            <v>40016</v>
          </cell>
          <cell r="AF342">
            <v>15.080864406991456</v>
          </cell>
          <cell r="AG342">
            <v>20.469360058004284</v>
          </cell>
          <cell r="AH342">
            <v>17.881583490985356</v>
          </cell>
          <cell r="AI342">
            <v>15.547864889645153</v>
          </cell>
          <cell r="AJ342">
            <v>20.215302092325562</v>
          </cell>
          <cell r="AU342">
            <v>10.00092655444231</v>
          </cell>
          <cell r="AV342">
            <v>14.263722316306255</v>
          </cell>
          <cell r="AW342">
            <v>12.105561258724364</v>
          </cell>
          <cell r="AX342">
            <v>10.242049449424412</v>
          </cell>
          <cell r="AY342">
            <v>13.969073068024317</v>
          </cell>
        </row>
        <row r="343">
          <cell r="A343">
            <v>40017</v>
          </cell>
          <cell r="AF343">
            <v>15.486508906073865</v>
          </cell>
          <cell r="AG343">
            <v>20.469360058004284</v>
          </cell>
          <cell r="AH343">
            <v>17.881583490985356</v>
          </cell>
          <cell r="AI343">
            <v>15.547864889645153</v>
          </cell>
          <cell r="AJ343">
            <v>20.215302092325562</v>
          </cell>
          <cell r="AU343">
            <v>10.251256648379782</v>
          </cell>
          <cell r="AV343">
            <v>14.263722316306255</v>
          </cell>
          <cell r="AW343">
            <v>12.105561258724364</v>
          </cell>
          <cell r="AX343">
            <v>10.242049449424412</v>
          </cell>
          <cell r="AY343">
            <v>13.969073068024317</v>
          </cell>
        </row>
        <row r="344">
          <cell r="A344">
            <v>40018</v>
          </cell>
          <cell r="AF344">
            <v>15.66410906102629</v>
          </cell>
          <cell r="AG344">
            <v>20.469360058004284</v>
          </cell>
          <cell r="AH344">
            <v>17.881583490985356</v>
          </cell>
          <cell r="AI344">
            <v>15.547864889645153</v>
          </cell>
          <cell r="AJ344">
            <v>20.215302092325562</v>
          </cell>
          <cell r="AU344">
            <v>10.378010038024799</v>
          </cell>
          <cell r="AV344">
            <v>14.263722316306255</v>
          </cell>
          <cell r="AW344">
            <v>12.105561258724364</v>
          </cell>
          <cell r="AX344">
            <v>10.242049449424412</v>
          </cell>
          <cell r="AY344">
            <v>13.969073068024317</v>
          </cell>
        </row>
        <row r="345">
          <cell r="A345">
            <v>40021</v>
          </cell>
          <cell r="AF345">
            <v>15.679485619876907</v>
          </cell>
          <cell r="AG345">
            <v>20.469360058004284</v>
          </cell>
          <cell r="AH345">
            <v>17.881583490985356</v>
          </cell>
          <cell r="AI345">
            <v>15.547864889645153</v>
          </cell>
          <cell r="AJ345">
            <v>20.215302092325562</v>
          </cell>
          <cell r="AU345">
            <v>10.387516011480296</v>
          </cell>
          <cell r="AV345">
            <v>14.263722316306255</v>
          </cell>
          <cell r="AW345">
            <v>12.105561258724364</v>
          </cell>
          <cell r="AX345">
            <v>10.242049449424412</v>
          </cell>
          <cell r="AY345">
            <v>13.969073068024317</v>
          </cell>
        </row>
        <row r="346">
          <cell r="A346">
            <v>40022</v>
          </cell>
          <cell r="AF346">
            <v>15.787120506693128</v>
          </cell>
          <cell r="AG346">
            <v>20.469360058004284</v>
          </cell>
          <cell r="AH346">
            <v>17.881583490985356</v>
          </cell>
          <cell r="AI346">
            <v>15.547864889645153</v>
          </cell>
          <cell r="AJ346">
            <v>20.215302092325562</v>
          </cell>
          <cell r="AU346">
            <v>10.454057191916101</v>
          </cell>
          <cell r="AV346">
            <v>14.263722316306255</v>
          </cell>
          <cell r="AW346">
            <v>12.105561258724364</v>
          </cell>
          <cell r="AX346">
            <v>10.242049449424412</v>
          </cell>
          <cell r="AY346">
            <v>13.969073068024317</v>
          </cell>
        </row>
        <row r="347">
          <cell r="A347">
            <v>40023</v>
          </cell>
          <cell r="AF347">
            <v>15.874256219599795</v>
          </cell>
          <cell r="AG347">
            <v>20.469360058004284</v>
          </cell>
          <cell r="AH347">
            <v>17.881583490985356</v>
          </cell>
          <cell r="AI347">
            <v>15.547864889645153</v>
          </cell>
          <cell r="AJ347">
            <v>20.215302092325562</v>
          </cell>
          <cell r="AU347">
            <v>10.328672779636275</v>
          </cell>
          <cell r="AV347">
            <v>14.263722316306255</v>
          </cell>
          <cell r="AW347">
            <v>12.105561258724364</v>
          </cell>
          <cell r="AX347">
            <v>10.242049449424412</v>
          </cell>
          <cell r="AY347">
            <v>13.969073068024317</v>
          </cell>
        </row>
        <row r="348">
          <cell r="A348">
            <v>40024</v>
          </cell>
          <cell r="AF348">
            <v>17.153963665430684</v>
          </cell>
          <cell r="AG348">
            <v>20.469360058004284</v>
          </cell>
          <cell r="AH348">
            <v>17.881583490985356</v>
          </cell>
          <cell r="AI348">
            <v>15.547864889645153</v>
          </cell>
          <cell r="AJ348">
            <v>20.215302092325562</v>
          </cell>
          <cell r="AU348">
            <v>11.203625621222189</v>
          </cell>
          <cell r="AV348">
            <v>14.263722316306255</v>
          </cell>
          <cell r="AW348">
            <v>12.105561258724364</v>
          </cell>
          <cell r="AX348">
            <v>10.242049449424412</v>
          </cell>
          <cell r="AY348">
            <v>13.969073068024317</v>
          </cell>
        </row>
        <row r="349">
          <cell r="A349">
            <v>40025</v>
          </cell>
          <cell r="AF349">
            <v>16.946327384334044</v>
          </cell>
          <cell r="AG349">
            <v>20.469360058004284</v>
          </cell>
          <cell r="AH349">
            <v>17.881583490985356</v>
          </cell>
          <cell r="AI349">
            <v>15.547864889645153</v>
          </cell>
          <cell r="AJ349">
            <v>20.215302092325562</v>
          </cell>
          <cell r="AU349">
            <v>10.982767983567422</v>
          </cell>
          <cell r="AV349">
            <v>14.263722316306255</v>
          </cell>
          <cell r="AW349">
            <v>12.105561258724364</v>
          </cell>
          <cell r="AX349">
            <v>10.242049449424412</v>
          </cell>
          <cell r="AY349">
            <v>13.969073068024317</v>
          </cell>
        </row>
        <row r="350">
          <cell r="A350">
            <v>40028</v>
          </cell>
          <cell r="AF350">
            <v>16.904756100019824</v>
          </cell>
          <cell r="AG350">
            <v>20.469360058004284</v>
          </cell>
          <cell r="AH350">
            <v>17.881583490985356</v>
          </cell>
          <cell r="AI350">
            <v>15.547864889645153</v>
          </cell>
          <cell r="AJ350">
            <v>20.215302092325562</v>
          </cell>
          <cell r="AU350">
            <v>10.96502813078474</v>
          </cell>
          <cell r="AV350">
            <v>14.263722316306255</v>
          </cell>
          <cell r="AW350">
            <v>12.105561258724364</v>
          </cell>
          <cell r="AX350">
            <v>10.242049449424412</v>
          </cell>
          <cell r="AY350">
            <v>13.969073068024317</v>
          </cell>
        </row>
        <row r="351">
          <cell r="A351">
            <v>40029</v>
          </cell>
          <cell r="AF351">
            <v>16.980310692915399</v>
          </cell>
          <cell r="AG351">
            <v>20.469360058004284</v>
          </cell>
          <cell r="AH351">
            <v>17.881583490985356</v>
          </cell>
          <cell r="AI351">
            <v>15.547864889645153</v>
          </cell>
          <cell r="AJ351">
            <v>20.215302092325562</v>
          </cell>
          <cell r="AU351">
            <v>11.01179013366472</v>
          </cell>
          <cell r="AV351">
            <v>14.263722316306255</v>
          </cell>
          <cell r="AW351">
            <v>12.105561258724364</v>
          </cell>
          <cell r="AX351">
            <v>10.242049449424412</v>
          </cell>
          <cell r="AY351">
            <v>13.969073068024317</v>
          </cell>
        </row>
        <row r="352">
          <cell r="A352">
            <v>40030</v>
          </cell>
          <cell r="AF352">
            <v>16.61763363623708</v>
          </cell>
          <cell r="AG352">
            <v>20.469360058004284</v>
          </cell>
          <cell r="AH352">
            <v>17.881583490985356</v>
          </cell>
          <cell r="AI352">
            <v>15.547864889645153</v>
          </cell>
          <cell r="AJ352">
            <v>20.215302092325562</v>
          </cell>
          <cell r="AU352">
            <v>10.787323229417959</v>
          </cell>
          <cell r="AV352">
            <v>14.263722316306255</v>
          </cell>
          <cell r="AW352">
            <v>12.105561258724364</v>
          </cell>
          <cell r="AX352">
            <v>10.242049449424412</v>
          </cell>
          <cell r="AY352">
            <v>13.969073068024317</v>
          </cell>
        </row>
        <row r="353">
          <cell r="A353">
            <v>40031</v>
          </cell>
          <cell r="AF353">
            <v>16.295254478049625</v>
          </cell>
          <cell r="AG353">
            <v>20.469360058004284</v>
          </cell>
          <cell r="AH353">
            <v>17.881583490985356</v>
          </cell>
          <cell r="AI353">
            <v>15.547864889645153</v>
          </cell>
          <cell r="AJ353">
            <v>20.215302092325562</v>
          </cell>
          <cell r="AU353">
            <v>10.587797369428975</v>
          </cell>
          <cell r="AV353">
            <v>14.263722316306255</v>
          </cell>
          <cell r="AW353">
            <v>12.105561258724364</v>
          </cell>
          <cell r="AX353">
            <v>10.242049449424412</v>
          </cell>
          <cell r="AY353">
            <v>13.969073068024317</v>
          </cell>
        </row>
        <row r="354">
          <cell r="A354">
            <v>40032</v>
          </cell>
          <cell r="AF354">
            <v>16.537036831820476</v>
          </cell>
          <cell r="AG354">
            <v>20.469360058004284</v>
          </cell>
          <cell r="AH354">
            <v>17.881583490985356</v>
          </cell>
          <cell r="AI354">
            <v>15.547864889645153</v>
          </cell>
          <cell r="AJ354">
            <v>20.215302092325562</v>
          </cell>
          <cell r="AU354">
            <v>10.737440517384089</v>
          </cell>
          <cell r="AV354">
            <v>14.263722316306255</v>
          </cell>
          <cell r="AW354">
            <v>12.105561258724364</v>
          </cell>
          <cell r="AX354">
            <v>10.242049449424412</v>
          </cell>
          <cell r="AY354">
            <v>13.969073068024317</v>
          </cell>
        </row>
        <row r="355">
          <cell r="A355">
            <v>40035</v>
          </cell>
          <cell r="AF355">
            <v>16.446371219602295</v>
          </cell>
          <cell r="AG355">
            <v>20.469360058004284</v>
          </cell>
          <cell r="AH355">
            <v>17.881583490985356</v>
          </cell>
          <cell r="AI355">
            <v>15.547864889645153</v>
          </cell>
          <cell r="AJ355">
            <v>20.215302092325562</v>
          </cell>
          <cell r="AU355">
            <v>10.681326051576278</v>
          </cell>
          <cell r="AV355">
            <v>14.263722316306255</v>
          </cell>
          <cell r="AW355">
            <v>12.105561258724364</v>
          </cell>
          <cell r="AX355">
            <v>10.242049449424412</v>
          </cell>
          <cell r="AY355">
            <v>13.969073068024317</v>
          </cell>
        </row>
        <row r="356">
          <cell r="A356">
            <v>40036</v>
          </cell>
          <cell r="AF356">
            <v>16.335552880257925</v>
          </cell>
          <cell r="AG356">
            <v>20.469360058004284</v>
          </cell>
          <cell r="AH356">
            <v>17.881583490985356</v>
          </cell>
          <cell r="AI356">
            <v>15.547864889645153</v>
          </cell>
          <cell r="AJ356">
            <v>20.215302092325562</v>
          </cell>
          <cell r="AU356">
            <v>10.61273872544591</v>
          </cell>
          <cell r="AV356">
            <v>14.263722316306255</v>
          </cell>
          <cell r="AW356">
            <v>12.105561258724364</v>
          </cell>
          <cell r="AX356">
            <v>10.242049449424412</v>
          </cell>
          <cell r="AY356">
            <v>13.969073068024317</v>
          </cell>
        </row>
        <row r="357">
          <cell r="A357">
            <v>40037</v>
          </cell>
          <cell r="AF357">
            <v>16.657932038445377</v>
          </cell>
          <cell r="AG357">
            <v>20.469360058004284</v>
          </cell>
          <cell r="AH357">
            <v>17.881583490985356</v>
          </cell>
          <cell r="AI357">
            <v>15.547864889645153</v>
          </cell>
          <cell r="AJ357">
            <v>20.215302092325562</v>
          </cell>
          <cell r="AU357">
            <v>10.812264585434891</v>
          </cell>
          <cell r="AV357">
            <v>14.263722316306255</v>
          </cell>
          <cell r="AW357">
            <v>12.105561258724364</v>
          </cell>
          <cell r="AX357">
            <v>10.242049449424412</v>
          </cell>
          <cell r="AY357">
            <v>13.969073068024317</v>
          </cell>
        </row>
        <row r="358">
          <cell r="A358">
            <v>40038</v>
          </cell>
          <cell r="AF358">
            <v>16.647855171164849</v>
          </cell>
          <cell r="AG358">
            <v>20.469360058004284</v>
          </cell>
          <cell r="AH358">
            <v>17.881583490985356</v>
          </cell>
          <cell r="AI358">
            <v>15.547864889645153</v>
          </cell>
          <cell r="AJ358">
            <v>20.215302092325562</v>
          </cell>
          <cell r="AU358">
            <v>10.806027843514457</v>
          </cell>
          <cell r="AV358">
            <v>14.263722316306255</v>
          </cell>
          <cell r="AW358">
            <v>12.105561258724364</v>
          </cell>
          <cell r="AX358">
            <v>10.242049449424412</v>
          </cell>
          <cell r="AY358">
            <v>13.969073068024317</v>
          </cell>
        </row>
        <row r="359">
          <cell r="A359">
            <v>40039</v>
          </cell>
          <cell r="AF359">
            <v>16.461482238924901</v>
          </cell>
          <cell r="AG359">
            <v>20.469360058004284</v>
          </cell>
          <cell r="AH359">
            <v>17.881583490985356</v>
          </cell>
          <cell r="AI359">
            <v>15.547864889645153</v>
          </cell>
          <cell r="AJ359">
            <v>20.215302092325562</v>
          </cell>
          <cell r="AU359">
            <v>10.690678514504107</v>
          </cell>
          <cell r="AV359">
            <v>14.263722316306255</v>
          </cell>
          <cell r="AW359">
            <v>12.105561258724364</v>
          </cell>
          <cell r="AX359">
            <v>10.242049449424412</v>
          </cell>
          <cell r="AY359">
            <v>13.969073068024317</v>
          </cell>
        </row>
        <row r="360">
          <cell r="A360">
            <v>40042</v>
          </cell>
          <cell r="AF360">
            <v>16.395996453830897</v>
          </cell>
          <cell r="AG360">
            <v>20.469360058004284</v>
          </cell>
          <cell r="AH360">
            <v>17.881583490985356</v>
          </cell>
          <cell r="AI360">
            <v>15.547864889645153</v>
          </cell>
          <cell r="AJ360">
            <v>20.215302092325562</v>
          </cell>
          <cell r="AU360">
            <v>10.650148265398062</v>
          </cell>
          <cell r="AV360">
            <v>14.263722316306255</v>
          </cell>
          <cell r="AW360">
            <v>12.105561258724364</v>
          </cell>
          <cell r="AX360">
            <v>10.242049449424412</v>
          </cell>
          <cell r="AY360">
            <v>13.969073068024317</v>
          </cell>
        </row>
        <row r="361">
          <cell r="A361">
            <v>40043</v>
          </cell>
          <cell r="AF361">
            <v>16.436294856039201</v>
          </cell>
          <cell r="AG361">
            <v>20.469360058004284</v>
          </cell>
          <cell r="AH361">
            <v>17.881583490985356</v>
          </cell>
          <cell r="AI361">
            <v>15.547864889645153</v>
          </cell>
          <cell r="AJ361">
            <v>20.215302092325562</v>
          </cell>
          <cell r="AU361">
            <v>10.675089621414998</v>
          </cell>
          <cell r="AV361">
            <v>14.263722316306255</v>
          </cell>
          <cell r="AW361">
            <v>12.105561258724364</v>
          </cell>
          <cell r="AX361">
            <v>10.242049449424412</v>
          </cell>
          <cell r="AY361">
            <v>13.969073068024317</v>
          </cell>
        </row>
        <row r="362">
          <cell r="A362">
            <v>40044</v>
          </cell>
          <cell r="AF362">
            <v>16.743562994904053</v>
          </cell>
          <cell r="AG362">
            <v>20.469360058004284</v>
          </cell>
          <cell r="AH362">
            <v>17.881583490985356</v>
          </cell>
          <cell r="AI362">
            <v>15.547864889645153</v>
          </cell>
          <cell r="AJ362">
            <v>20.215302092325562</v>
          </cell>
          <cell r="AU362">
            <v>10.865263018476154</v>
          </cell>
          <cell r="AV362">
            <v>14.263722316306255</v>
          </cell>
          <cell r="AW362">
            <v>12.105561258724364</v>
          </cell>
          <cell r="AX362">
            <v>10.242049449424412</v>
          </cell>
          <cell r="AY362">
            <v>13.969073068024317</v>
          </cell>
        </row>
        <row r="363">
          <cell r="A363">
            <v>40045</v>
          </cell>
          <cell r="AF363">
            <v>17.423584554010322</v>
          </cell>
          <cell r="AG363">
            <v>20.469360058004284</v>
          </cell>
          <cell r="AH363">
            <v>17.881583490985356</v>
          </cell>
          <cell r="AI363">
            <v>15.547864889645153</v>
          </cell>
          <cell r="AJ363">
            <v>20.215302092325562</v>
          </cell>
          <cell r="AU363">
            <v>11.286139749945354</v>
          </cell>
          <cell r="AV363">
            <v>14.263722316306255</v>
          </cell>
          <cell r="AW363">
            <v>12.105561258724364</v>
          </cell>
          <cell r="AX363">
            <v>10.242049449424412</v>
          </cell>
          <cell r="AY363">
            <v>13.969073068024317</v>
          </cell>
        </row>
        <row r="364">
          <cell r="A364">
            <v>40046</v>
          </cell>
          <cell r="AF364">
            <v>17.403431323166696</v>
          </cell>
          <cell r="AG364">
            <v>20.469360058004284</v>
          </cell>
          <cell r="AH364">
            <v>17.881583490985356</v>
          </cell>
          <cell r="AI364">
            <v>15.547864889645153</v>
          </cell>
          <cell r="AJ364">
            <v>20.215302092325562</v>
          </cell>
          <cell r="AU364">
            <v>11.273666577863636</v>
          </cell>
          <cell r="AV364">
            <v>14.263722316306255</v>
          </cell>
          <cell r="AW364">
            <v>12.105561258724364</v>
          </cell>
          <cell r="AX364">
            <v>10.242049449424412</v>
          </cell>
          <cell r="AY364">
            <v>13.969073068024317</v>
          </cell>
        </row>
        <row r="365">
          <cell r="A365">
            <v>40049</v>
          </cell>
          <cell r="AF365">
            <v>17.433653361811899</v>
          </cell>
          <cell r="AG365">
            <v>20.469360058004284</v>
          </cell>
          <cell r="AH365">
            <v>17.881583490985356</v>
          </cell>
          <cell r="AI365">
            <v>15.547864889645153</v>
          </cell>
          <cell r="AJ365">
            <v>20.215302092325562</v>
          </cell>
          <cell r="AU365">
            <v>11.292371503719291</v>
          </cell>
          <cell r="AV365">
            <v>14.263722316306255</v>
          </cell>
          <cell r="AW365">
            <v>12.105561258724364</v>
          </cell>
          <cell r="AX365">
            <v>10.242049449424412</v>
          </cell>
          <cell r="AY365">
            <v>13.969073068024317</v>
          </cell>
        </row>
        <row r="366">
          <cell r="A366">
            <v>40050</v>
          </cell>
          <cell r="AF366">
            <v>17.544471701156276</v>
          </cell>
          <cell r="AG366">
            <v>20.469360058004284</v>
          </cell>
          <cell r="AH366">
            <v>17.881583490985356</v>
          </cell>
          <cell r="AI366">
            <v>15.547864889645153</v>
          </cell>
          <cell r="AJ366">
            <v>20.215302092325562</v>
          </cell>
          <cell r="AU366">
            <v>11.360958829849663</v>
          </cell>
          <cell r="AV366">
            <v>14.263722316306255</v>
          </cell>
          <cell r="AW366">
            <v>12.105561258724364</v>
          </cell>
          <cell r="AX366">
            <v>10.242049449424412</v>
          </cell>
          <cell r="AY366">
            <v>13.969073068024317</v>
          </cell>
        </row>
        <row r="367">
          <cell r="A367">
            <v>40051</v>
          </cell>
          <cell r="AF367">
            <v>17.358098768916324</v>
          </cell>
          <cell r="AG367">
            <v>20.469360058004284</v>
          </cell>
          <cell r="AH367">
            <v>17.881583490985356</v>
          </cell>
          <cell r="AI367">
            <v>15.547864889645153</v>
          </cell>
          <cell r="AJ367">
            <v>20.215302092325562</v>
          </cell>
          <cell r="AU367">
            <v>11.245609500839311</v>
          </cell>
          <cell r="AV367">
            <v>14.263722316306255</v>
          </cell>
          <cell r="AW367">
            <v>12.105561258724364</v>
          </cell>
          <cell r="AX367">
            <v>10.242049449424412</v>
          </cell>
          <cell r="AY367">
            <v>13.969073068024317</v>
          </cell>
        </row>
        <row r="368">
          <cell r="A368">
            <v>40052</v>
          </cell>
          <cell r="AF368">
            <v>17.257356793135049</v>
          </cell>
          <cell r="AG368">
            <v>20.469360058004284</v>
          </cell>
          <cell r="AH368">
            <v>17.881583490985356</v>
          </cell>
          <cell r="AI368">
            <v>15.547864889645153</v>
          </cell>
          <cell r="AJ368">
            <v>20.215302092325562</v>
          </cell>
          <cell r="AU368">
            <v>11.183258604870224</v>
          </cell>
          <cell r="AV368">
            <v>14.263722316306255</v>
          </cell>
          <cell r="AW368">
            <v>12.105561258724364</v>
          </cell>
          <cell r="AX368">
            <v>10.242049449424412</v>
          </cell>
          <cell r="AY368">
            <v>13.969073068024317</v>
          </cell>
        </row>
        <row r="369">
          <cell r="A369">
            <v>40053</v>
          </cell>
          <cell r="AF369">
            <v>17.015574439364194</v>
          </cell>
          <cell r="AG369">
            <v>20.469360058004284</v>
          </cell>
          <cell r="AH369">
            <v>17.881583490985356</v>
          </cell>
          <cell r="AI369">
            <v>15.547864889645153</v>
          </cell>
          <cell r="AJ369">
            <v>20.215302092325562</v>
          </cell>
          <cell r="AU369">
            <v>11.033615456915106</v>
          </cell>
          <cell r="AV369">
            <v>14.263722316306255</v>
          </cell>
          <cell r="AW369">
            <v>12.105561258724364</v>
          </cell>
          <cell r="AX369">
            <v>10.242049449424412</v>
          </cell>
          <cell r="AY369">
            <v>13.969073068024317</v>
          </cell>
        </row>
        <row r="370">
          <cell r="A370">
            <v>40056</v>
          </cell>
          <cell r="AF370">
            <v>16.985344844957471</v>
          </cell>
          <cell r="AG370">
            <v>20.469360058004284</v>
          </cell>
          <cell r="AH370">
            <v>17.881583490985356</v>
          </cell>
          <cell r="AI370">
            <v>15.547864889645153</v>
          </cell>
          <cell r="AJ370">
            <v>20.215302092325562</v>
          </cell>
          <cell r="AU370">
            <v>11.01490585467211</v>
          </cell>
          <cell r="AV370">
            <v>14.263722316306255</v>
          </cell>
          <cell r="AW370">
            <v>12.105561258724364</v>
          </cell>
          <cell r="AX370">
            <v>10.242049449424412</v>
          </cell>
          <cell r="AY370">
            <v>13.969073068024317</v>
          </cell>
        </row>
        <row r="371">
          <cell r="A371">
            <v>40057</v>
          </cell>
          <cell r="AF371">
            <v>16.484371430247904</v>
          </cell>
          <cell r="AG371">
            <v>20.469360058004284</v>
          </cell>
          <cell r="AH371">
            <v>17.881583490985356</v>
          </cell>
          <cell r="AI371">
            <v>15.547864889645153</v>
          </cell>
          <cell r="AJ371">
            <v>20.215302092325562</v>
          </cell>
          <cell r="AU371">
            <v>10.712396682544297</v>
          </cell>
          <cell r="AV371">
            <v>14.263722316306255</v>
          </cell>
          <cell r="AW371">
            <v>12.105561258724364</v>
          </cell>
          <cell r="AX371">
            <v>10.242049449424412</v>
          </cell>
          <cell r="AY371">
            <v>13.969073068024317</v>
          </cell>
        </row>
        <row r="372">
          <cell r="A372">
            <v>40058</v>
          </cell>
          <cell r="AF372">
            <v>16.424448908303486</v>
          </cell>
          <cell r="AG372">
            <v>20.469360058004284</v>
          </cell>
          <cell r="AH372">
            <v>17.881583490985356</v>
          </cell>
          <cell r="AI372">
            <v>15.547864889645153</v>
          </cell>
          <cell r="AJ372">
            <v>20.215302092325562</v>
          </cell>
          <cell r="AU372">
            <v>10.675268446418476</v>
          </cell>
          <cell r="AV372">
            <v>14.263722316306255</v>
          </cell>
          <cell r="AW372">
            <v>12.105561258724364</v>
          </cell>
          <cell r="AX372">
            <v>10.242049449424412</v>
          </cell>
          <cell r="AY372">
            <v>13.969073068024317</v>
          </cell>
        </row>
        <row r="373">
          <cell r="A373">
            <v>40059</v>
          </cell>
          <cell r="AF373">
            <v>16.48936268494047</v>
          </cell>
          <cell r="AG373">
            <v>20.469360058004284</v>
          </cell>
          <cell r="AH373">
            <v>17.881583490985356</v>
          </cell>
          <cell r="AI373">
            <v>15.547864889645153</v>
          </cell>
          <cell r="AJ373">
            <v>20.215302092325562</v>
          </cell>
          <cell r="AU373">
            <v>10.715489284070003</v>
          </cell>
          <cell r="AV373">
            <v>14.263722316306255</v>
          </cell>
          <cell r="AW373">
            <v>12.105561258724364</v>
          </cell>
          <cell r="AX373">
            <v>10.242049449424412</v>
          </cell>
          <cell r="AY373">
            <v>13.969073068024317</v>
          </cell>
        </row>
        <row r="374">
          <cell r="A374">
            <v>40060</v>
          </cell>
          <cell r="AF374">
            <v>16.709088752698186</v>
          </cell>
          <cell r="AG374">
            <v>20.469360058004284</v>
          </cell>
          <cell r="AH374">
            <v>17.881583490985356</v>
          </cell>
          <cell r="AI374">
            <v>15.547864889645153</v>
          </cell>
          <cell r="AJ374">
            <v>20.215302092325562</v>
          </cell>
          <cell r="AU374">
            <v>10.851632441300152</v>
          </cell>
          <cell r="AV374">
            <v>14.263722316306255</v>
          </cell>
          <cell r="AW374">
            <v>12.105561258724364</v>
          </cell>
          <cell r="AX374">
            <v>10.242049449424412</v>
          </cell>
          <cell r="AY374">
            <v>13.969073068024317</v>
          </cell>
        </row>
        <row r="375">
          <cell r="A375">
            <v>40063</v>
          </cell>
          <cell r="AF375">
            <v>16.709088752698186</v>
          </cell>
          <cell r="AG375">
            <v>20.469360058004284</v>
          </cell>
          <cell r="AH375">
            <v>17.881583490985356</v>
          </cell>
          <cell r="AI375">
            <v>15.547864889645153</v>
          </cell>
          <cell r="AJ375">
            <v>20.215302092325562</v>
          </cell>
          <cell r="AU375">
            <v>10.851632441300152</v>
          </cell>
          <cell r="AV375">
            <v>14.263722316306255</v>
          </cell>
          <cell r="AW375">
            <v>12.105561258724364</v>
          </cell>
          <cell r="AX375">
            <v>10.242049449424412</v>
          </cell>
          <cell r="AY375">
            <v>13.969073068024317</v>
          </cell>
        </row>
        <row r="376">
          <cell r="A376">
            <v>40064</v>
          </cell>
          <cell r="AF376">
            <v>16.729067753972842</v>
          </cell>
          <cell r="AG376">
            <v>20.469360058004284</v>
          </cell>
          <cell r="AH376">
            <v>17.881583490985356</v>
          </cell>
          <cell r="AI376">
            <v>15.547864889645153</v>
          </cell>
          <cell r="AJ376">
            <v>20.215302092325562</v>
          </cell>
          <cell r="AU376">
            <v>10.864011511019072</v>
          </cell>
          <cell r="AV376">
            <v>14.263722316306255</v>
          </cell>
          <cell r="AW376">
            <v>12.105561258724364</v>
          </cell>
          <cell r="AX376">
            <v>10.242049449424412</v>
          </cell>
          <cell r="AY376">
            <v>13.969073068024317</v>
          </cell>
        </row>
        <row r="377">
          <cell r="A377">
            <v>40065</v>
          </cell>
          <cell r="AF377">
            <v>16.913834564501169</v>
          </cell>
          <cell r="AG377">
            <v>20.469360058004284</v>
          </cell>
          <cell r="AH377">
            <v>17.881583490985356</v>
          </cell>
          <cell r="AI377">
            <v>15.547864889645153</v>
          </cell>
          <cell r="AJ377">
            <v>20.215302092325562</v>
          </cell>
          <cell r="AU377">
            <v>10.978493771559995</v>
          </cell>
          <cell r="AV377">
            <v>14.263722316306255</v>
          </cell>
          <cell r="AW377">
            <v>12.105561258724364</v>
          </cell>
          <cell r="AX377">
            <v>10.242049449424412</v>
          </cell>
          <cell r="AY377">
            <v>13.969073068024317</v>
          </cell>
        </row>
        <row r="378">
          <cell r="A378">
            <v>40066</v>
          </cell>
          <cell r="AF378">
            <v>17.148541387588779</v>
          </cell>
          <cell r="AG378">
            <v>20.469360058004284</v>
          </cell>
          <cell r="AH378">
            <v>17.881583490985356</v>
          </cell>
          <cell r="AI378">
            <v>15.547864889645153</v>
          </cell>
          <cell r="AJ378">
            <v>20.215302092325562</v>
          </cell>
          <cell r="AU378">
            <v>11.123919065175315</v>
          </cell>
          <cell r="AV378">
            <v>14.263722316306255</v>
          </cell>
          <cell r="AW378">
            <v>12.105561258724364</v>
          </cell>
          <cell r="AX378">
            <v>10.242049449424412</v>
          </cell>
          <cell r="AY378">
            <v>13.969073068024317</v>
          </cell>
        </row>
        <row r="379">
          <cell r="A379">
            <v>40067</v>
          </cell>
          <cell r="AF379">
            <v>17.088610875641855</v>
          </cell>
          <cell r="AG379">
            <v>20.469360058004284</v>
          </cell>
          <cell r="AH379">
            <v>17.881583490985356</v>
          </cell>
          <cell r="AI379">
            <v>15.547864889645153</v>
          </cell>
          <cell r="AJ379">
            <v>20.215302092325562</v>
          </cell>
          <cell r="AU379">
            <v>11.086785878411737</v>
          </cell>
          <cell r="AV379">
            <v>14.263722316306255</v>
          </cell>
          <cell r="AW379">
            <v>12.105561258724364</v>
          </cell>
          <cell r="AX379">
            <v>10.242049449424412</v>
          </cell>
          <cell r="AY379">
            <v>13.969073068024317</v>
          </cell>
        </row>
        <row r="380">
          <cell r="A380">
            <v>40070</v>
          </cell>
          <cell r="AF380">
            <v>17.158523397598756</v>
          </cell>
          <cell r="AG380">
            <v>20.469360058004284</v>
          </cell>
          <cell r="AH380">
            <v>17.881583490985356</v>
          </cell>
          <cell r="AI380">
            <v>15.547864889645153</v>
          </cell>
          <cell r="AJ380">
            <v>20.215302092325562</v>
          </cell>
          <cell r="AU380">
            <v>11.130103958811874</v>
          </cell>
          <cell r="AV380">
            <v>14.263722316306255</v>
          </cell>
          <cell r="AW380">
            <v>12.105561258724364</v>
          </cell>
          <cell r="AX380">
            <v>10.242049449424412</v>
          </cell>
          <cell r="AY380">
            <v>13.969073068024317</v>
          </cell>
        </row>
        <row r="381">
          <cell r="A381">
            <v>40071</v>
          </cell>
          <cell r="AF381">
            <v>17.268386431477616</v>
          </cell>
          <cell r="AG381">
            <v>20.469360058004284</v>
          </cell>
          <cell r="AH381">
            <v>17.881583490985356</v>
          </cell>
          <cell r="AI381">
            <v>15.547864889645153</v>
          </cell>
          <cell r="AJ381">
            <v>20.215302092325562</v>
          </cell>
          <cell r="AU381">
            <v>11.198175537426952</v>
          </cell>
          <cell r="AV381">
            <v>14.263722316306255</v>
          </cell>
          <cell r="AW381">
            <v>12.105561258724364</v>
          </cell>
          <cell r="AX381">
            <v>10.242049449424412</v>
          </cell>
          <cell r="AY381">
            <v>13.969073068024317</v>
          </cell>
        </row>
        <row r="382">
          <cell r="A382">
            <v>40072</v>
          </cell>
          <cell r="AF382">
            <v>17.378249465356472</v>
          </cell>
          <cell r="AG382">
            <v>20.469360058004284</v>
          </cell>
          <cell r="AH382">
            <v>17.881583490985356</v>
          </cell>
          <cell r="AI382">
            <v>15.547864889645153</v>
          </cell>
          <cell r="AJ382">
            <v>20.215302092325562</v>
          </cell>
          <cell r="AU382">
            <v>11.266247116042026</v>
          </cell>
          <cell r="AV382">
            <v>14.263722316306255</v>
          </cell>
          <cell r="AW382">
            <v>12.105561258724364</v>
          </cell>
          <cell r="AX382">
            <v>10.242049449424412</v>
          </cell>
          <cell r="AY382">
            <v>13.969073068024317</v>
          </cell>
        </row>
        <row r="383">
          <cell r="A383">
            <v>40073</v>
          </cell>
          <cell r="AF383">
            <v>17.254040393330396</v>
          </cell>
          <cell r="AG383">
            <v>20.469360058004284</v>
          </cell>
          <cell r="AH383">
            <v>17.881583490985356</v>
          </cell>
          <cell r="AI383">
            <v>15.547864889645153</v>
          </cell>
          <cell r="AJ383">
            <v>20.215302092325562</v>
          </cell>
          <cell r="AU383">
            <v>11.198175537426952</v>
          </cell>
          <cell r="AV383">
            <v>14.263722316306255</v>
          </cell>
          <cell r="AW383">
            <v>12.105561258724364</v>
          </cell>
          <cell r="AX383">
            <v>10.242049449424412</v>
          </cell>
          <cell r="AY383">
            <v>13.969073068024317</v>
          </cell>
        </row>
        <row r="384">
          <cell r="A384">
            <v>40074</v>
          </cell>
          <cell r="AF384">
            <v>17.288971106456916</v>
          </cell>
          <cell r="AG384">
            <v>20.469360058004284</v>
          </cell>
          <cell r="AH384">
            <v>17.881583490985356</v>
          </cell>
          <cell r="AI384">
            <v>15.547864889645153</v>
          </cell>
          <cell r="AJ384">
            <v>20.215302092325562</v>
          </cell>
          <cell r="AU384">
            <v>11.219836743531038</v>
          </cell>
          <cell r="AV384">
            <v>14.263722316306255</v>
          </cell>
          <cell r="AW384">
            <v>12.105561258724364</v>
          </cell>
          <cell r="AX384">
            <v>10.242049449424412</v>
          </cell>
          <cell r="AY384">
            <v>13.969073068024317</v>
          </cell>
        </row>
        <row r="385">
          <cell r="A385">
            <v>40077</v>
          </cell>
          <cell r="AF385">
            <v>17.388761667874565</v>
          </cell>
          <cell r="AG385">
            <v>20.469360058004284</v>
          </cell>
          <cell r="AH385">
            <v>17.881583490985356</v>
          </cell>
          <cell r="AI385">
            <v>15.547864889645153</v>
          </cell>
          <cell r="AJ385">
            <v>20.215302092325562</v>
          </cell>
          <cell r="AU385">
            <v>11.281718787286657</v>
          </cell>
          <cell r="AV385">
            <v>14.263722316306255</v>
          </cell>
          <cell r="AW385">
            <v>12.105561258724364</v>
          </cell>
          <cell r="AX385">
            <v>10.242049449424412</v>
          </cell>
          <cell r="AY385">
            <v>13.969073068024317</v>
          </cell>
        </row>
        <row r="386">
          <cell r="A386">
            <v>40078</v>
          </cell>
          <cell r="AF386">
            <v>17.249053784177217</v>
          </cell>
          <cell r="AG386">
            <v>20.469360058004284</v>
          </cell>
          <cell r="AH386">
            <v>17.881583490985356</v>
          </cell>
          <cell r="AI386">
            <v>15.547864889645153</v>
          </cell>
          <cell r="AJ386">
            <v>20.215302092325562</v>
          </cell>
          <cell r="AU386">
            <v>11.1950832453161</v>
          </cell>
          <cell r="AV386">
            <v>14.263722316306255</v>
          </cell>
          <cell r="AW386">
            <v>12.105561258724364</v>
          </cell>
          <cell r="AX386">
            <v>10.242049449424412</v>
          </cell>
          <cell r="AY386">
            <v>13.969073068024317</v>
          </cell>
        </row>
        <row r="387">
          <cell r="A387">
            <v>40079</v>
          </cell>
          <cell r="AF387">
            <v>16.919737995950936</v>
          </cell>
          <cell r="AG387">
            <v>20.469360058004284</v>
          </cell>
          <cell r="AH387">
            <v>17.881583490985356</v>
          </cell>
          <cell r="AI387">
            <v>15.547864889645153</v>
          </cell>
          <cell r="AJ387">
            <v>20.215302092325562</v>
          </cell>
          <cell r="AU387">
            <v>10.990868200056015</v>
          </cell>
          <cell r="AV387">
            <v>14.263722316306255</v>
          </cell>
          <cell r="AW387">
            <v>12.105561258724364</v>
          </cell>
          <cell r="AX387">
            <v>10.242049449424412</v>
          </cell>
          <cell r="AY387">
            <v>13.969073068024317</v>
          </cell>
        </row>
        <row r="388">
          <cell r="A388">
            <v>40080</v>
          </cell>
          <cell r="AF388">
            <v>16.780029613293298</v>
          </cell>
          <cell r="AG388">
            <v>20.469360058004284</v>
          </cell>
          <cell r="AH388">
            <v>17.881583490985356</v>
          </cell>
          <cell r="AI388">
            <v>15.547864889645153</v>
          </cell>
          <cell r="AJ388">
            <v>20.215302092325562</v>
          </cell>
          <cell r="AU388">
            <v>10.9042323486706</v>
          </cell>
          <cell r="AV388">
            <v>14.263722316306255</v>
          </cell>
          <cell r="AW388">
            <v>12.105561258724364</v>
          </cell>
          <cell r="AX388">
            <v>10.242049449424412</v>
          </cell>
          <cell r="AY388">
            <v>13.969073068024317</v>
          </cell>
        </row>
        <row r="389">
          <cell r="A389">
            <v>40081</v>
          </cell>
          <cell r="AF389">
            <v>16.765061303508812</v>
          </cell>
          <cell r="AG389">
            <v>20.469360058004284</v>
          </cell>
          <cell r="AH389">
            <v>17.881583490985356</v>
          </cell>
          <cell r="AI389">
            <v>15.547864889645153</v>
          </cell>
          <cell r="AJ389">
            <v>20.215302092325562</v>
          </cell>
          <cell r="AU389">
            <v>10.894950212285432</v>
          </cell>
          <cell r="AV389">
            <v>14.263722316306255</v>
          </cell>
          <cell r="AW389">
            <v>12.105561258724364</v>
          </cell>
          <cell r="AX389">
            <v>10.242049449424412</v>
          </cell>
          <cell r="AY389">
            <v>13.969073068024317</v>
          </cell>
        </row>
        <row r="390">
          <cell r="A390">
            <v>40084</v>
          </cell>
          <cell r="AF390">
            <v>17.219117164608246</v>
          </cell>
          <cell r="AG390">
            <v>20.469360058004284</v>
          </cell>
          <cell r="AH390">
            <v>17.881583490985356</v>
          </cell>
          <cell r="AI390">
            <v>15.547864889645153</v>
          </cell>
          <cell r="AJ390">
            <v>20.215302092325562</v>
          </cell>
          <cell r="AU390">
            <v>11.176518972545765</v>
          </cell>
          <cell r="AV390">
            <v>14.263722316306255</v>
          </cell>
          <cell r="AW390">
            <v>12.105561258724364</v>
          </cell>
          <cell r="AX390">
            <v>10.242049449424412</v>
          </cell>
          <cell r="AY390">
            <v>13.969073068024317</v>
          </cell>
        </row>
        <row r="391">
          <cell r="A391">
            <v>40085</v>
          </cell>
          <cell r="AF391">
            <v>17.214130056494778</v>
          </cell>
          <cell r="AG391">
            <v>20.469360058004284</v>
          </cell>
          <cell r="AH391">
            <v>17.881583490985356</v>
          </cell>
          <cell r="AI391">
            <v>15.547864889645153</v>
          </cell>
          <cell r="AJ391">
            <v>20.215302092325562</v>
          </cell>
          <cell r="AU391">
            <v>11.173426371020051</v>
          </cell>
          <cell r="AV391">
            <v>14.263722316306255</v>
          </cell>
          <cell r="AW391">
            <v>12.105561258724364</v>
          </cell>
          <cell r="AX391">
            <v>10.242049449424412</v>
          </cell>
          <cell r="AY391">
            <v>13.969073068024317</v>
          </cell>
        </row>
        <row r="392">
          <cell r="A392">
            <v>40086</v>
          </cell>
          <cell r="AF392">
            <v>17.234085474392732</v>
          </cell>
          <cell r="AG392">
            <v>20.469360058004284</v>
          </cell>
          <cell r="AH392">
            <v>17.881583490985356</v>
          </cell>
          <cell r="AI392">
            <v>15.547864889645153</v>
          </cell>
          <cell r="AJ392">
            <v>20.215302092325562</v>
          </cell>
          <cell r="AU392">
            <v>11.185801108930931</v>
          </cell>
          <cell r="AV392">
            <v>14.263722316306255</v>
          </cell>
          <cell r="AW392">
            <v>12.105561258724364</v>
          </cell>
          <cell r="AX392">
            <v>10.242049449424412</v>
          </cell>
          <cell r="AY392">
            <v>13.969073068024317</v>
          </cell>
        </row>
        <row r="393">
          <cell r="A393">
            <v>40087</v>
          </cell>
          <cell r="AF393">
            <v>16.64925028882778</v>
          </cell>
          <cell r="AG393">
            <v>20.469360058004284</v>
          </cell>
          <cell r="AH393">
            <v>17.881583490985356</v>
          </cell>
          <cell r="AI393">
            <v>15.547864889645153</v>
          </cell>
          <cell r="AJ393">
            <v>20.215302092325562</v>
          </cell>
          <cell r="AU393">
            <v>10.828992466859681</v>
          </cell>
          <cell r="AV393">
            <v>14.263722316306255</v>
          </cell>
          <cell r="AW393">
            <v>12.105561258724364</v>
          </cell>
          <cell r="AX393">
            <v>10.242049449424412</v>
          </cell>
          <cell r="AY393">
            <v>13.969073068024317</v>
          </cell>
        </row>
        <row r="394">
          <cell r="A394">
            <v>40088</v>
          </cell>
          <cell r="AF394">
            <v>16.624509943786641</v>
          </cell>
          <cell r="AG394">
            <v>20.469360058004284</v>
          </cell>
          <cell r="AH394">
            <v>17.881583490985356</v>
          </cell>
          <cell r="AI394">
            <v>15.547864889645153</v>
          </cell>
          <cell r="AJ394">
            <v>20.215302092325562</v>
          </cell>
          <cell r="AU394">
            <v>10.813636267700169</v>
          </cell>
          <cell r="AV394">
            <v>14.263722316306255</v>
          </cell>
          <cell r="AW394">
            <v>12.105561258724364</v>
          </cell>
          <cell r="AX394">
            <v>10.242049449424412</v>
          </cell>
          <cell r="AY394">
            <v>13.969073068024317</v>
          </cell>
        </row>
        <row r="395">
          <cell r="A395">
            <v>40091</v>
          </cell>
          <cell r="AF395">
            <v>16.724921594251832</v>
          </cell>
          <cell r="AG395">
            <v>20.469360058004284</v>
          </cell>
          <cell r="AH395">
            <v>17.881583490985356</v>
          </cell>
          <cell r="AI395">
            <v>15.547864889645153</v>
          </cell>
          <cell r="AJ395">
            <v>20.215302092325562</v>
          </cell>
          <cell r="AU395">
            <v>10.976401905728759</v>
          </cell>
          <cell r="AV395">
            <v>14.263722316306255</v>
          </cell>
          <cell r="AW395">
            <v>12.105561258724364</v>
          </cell>
          <cell r="AX395">
            <v>10.242049449424412</v>
          </cell>
          <cell r="AY395">
            <v>13.969073068024317</v>
          </cell>
        </row>
        <row r="396">
          <cell r="A396">
            <v>40092</v>
          </cell>
          <cell r="AF396">
            <v>16.974844821955219</v>
          </cell>
          <cell r="AG396">
            <v>20.469360058004284</v>
          </cell>
          <cell r="AH396">
            <v>17.881583490985356</v>
          </cell>
          <cell r="AI396">
            <v>15.547864889645153</v>
          </cell>
          <cell r="AJ396">
            <v>20.215302092325562</v>
          </cell>
          <cell r="AU396">
            <v>11.13302881078134</v>
          </cell>
          <cell r="AV396">
            <v>14.263722316306255</v>
          </cell>
          <cell r="AW396">
            <v>12.105561258724364</v>
          </cell>
          <cell r="AX396">
            <v>10.242049449424412</v>
          </cell>
          <cell r="AY396">
            <v>13.969073068024317</v>
          </cell>
        </row>
        <row r="397">
          <cell r="A397">
            <v>40093</v>
          </cell>
          <cell r="AF397">
            <v>17.087551127084275</v>
          </cell>
          <cell r="AG397">
            <v>20.469360058004284</v>
          </cell>
          <cell r="AH397">
            <v>17.881583490985356</v>
          </cell>
          <cell r="AI397">
            <v>15.547864889645153</v>
          </cell>
          <cell r="AJ397">
            <v>20.215302092325562</v>
          </cell>
          <cell r="AU397">
            <v>11.203661860436194</v>
          </cell>
          <cell r="AV397">
            <v>14.263722316306255</v>
          </cell>
          <cell r="AW397">
            <v>12.105561258724364</v>
          </cell>
          <cell r="AX397">
            <v>10.242049449424412</v>
          </cell>
          <cell r="AY397">
            <v>13.969073068024317</v>
          </cell>
        </row>
        <row r="398">
          <cell r="A398">
            <v>40094</v>
          </cell>
          <cell r="AF398">
            <v>17.366867690298935</v>
          </cell>
          <cell r="AG398">
            <v>20.469360058004284</v>
          </cell>
          <cell r="AH398">
            <v>17.881583490985356</v>
          </cell>
          <cell r="AI398">
            <v>15.547864889645153</v>
          </cell>
          <cell r="AJ398">
            <v>20.215302092325562</v>
          </cell>
          <cell r="AU398">
            <v>11.378709571000163</v>
          </cell>
          <cell r="AV398">
            <v>14.263722316306255</v>
          </cell>
          <cell r="AW398">
            <v>12.105561258724364</v>
          </cell>
          <cell r="AX398">
            <v>10.242049449424412</v>
          </cell>
          <cell r="AY398">
            <v>13.969073068024317</v>
          </cell>
        </row>
        <row r="399">
          <cell r="A399">
            <v>40095</v>
          </cell>
          <cell r="AF399">
            <v>17.450172819341741</v>
          </cell>
          <cell r="AG399">
            <v>20.469360058004284</v>
          </cell>
          <cell r="AH399">
            <v>17.881583490985356</v>
          </cell>
          <cell r="AI399">
            <v>15.547864889645153</v>
          </cell>
          <cell r="AJ399">
            <v>20.215302092325562</v>
          </cell>
          <cell r="AU399">
            <v>11.430916901454721</v>
          </cell>
          <cell r="AV399">
            <v>14.263722316306255</v>
          </cell>
          <cell r="AW399">
            <v>12.105561258724364</v>
          </cell>
          <cell r="AX399">
            <v>10.242049449424412</v>
          </cell>
          <cell r="AY399">
            <v>13.969073068024317</v>
          </cell>
        </row>
        <row r="400">
          <cell r="A400">
            <v>40098</v>
          </cell>
          <cell r="AF400">
            <v>17.26886197321301</v>
          </cell>
          <cell r="AG400">
            <v>20.469360058004284</v>
          </cell>
          <cell r="AH400">
            <v>17.881583490985356</v>
          </cell>
          <cell r="AI400">
            <v>15.547864889645153</v>
          </cell>
          <cell r="AJ400">
            <v>20.215302092325562</v>
          </cell>
          <cell r="AU400">
            <v>11.317289380945459</v>
          </cell>
          <cell r="AV400">
            <v>14.263722316306255</v>
          </cell>
          <cell r="AW400">
            <v>12.105561258724364</v>
          </cell>
          <cell r="AX400">
            <v>10.242049449424412</v>
          </cell>
          <cell r="AY400">
            <v>13.969073068024317</v>
          </cell>
        </row>
        <row r="401">
          <cell r="A401">
            <v>40099</v>
          </cell>
          <cell r="AF401">
            <v>17.254161385169883</v>
          </cell>
          <cell r="AG401">
            <v>20.469360058004284</v>
          </cell>
          <cell r="AH401">
            <v>17.881583490985356</v>
          </cell>
          <cell r="AI401">
            <v>15.547864889645153</v>
          </cell>
          <cell r="AJ401">
            <v>20.215302092325562</v>
          </cell>
          <cell r="AU401">
            <v>11.308076521345308</v>
          </cell>
          <cell r="AV401">
            <v>14.263722316306255</v>
          </cell>
          <cell r="AW401">
            <v>12.105561258724364</v>
          </cell>
          <cell r="AX401">
            <v>10.242049449424412</v>
          </cell>
          <cell r="AY401">
            <v>13.969073068024317</v>
          </cell>
        </row>
        <row r="402">
          <cell r="A402">
            <v>40100</v>
          </cell>
          <cell r="AF402">
            <v>17.553083796146716</v>
          </cell>
          <cell r="AG402">
            <v>20.469360058004284</v>
          </cell>
          <cell r="AH402">
            <v>17.881583490985356</v>
          </cell>
          <cell r="AI402">
            <v>15.547864889645153</v>
          </cell>
          <cell r="AJ402">
            <v>20.215302092325562</v>
          </cell>
          <cell r="AU402">
            <v>11.495411218133565</v>
          </cell>
          <cell r="AV402">
            <v>14.263722316306255</v>
          </cell>
          <cell r="AW402">
            <v>12.105561258724364</v>
          </cell>
          <cell r="AX402">
            <v>10.242049449424412</v>
          </cell>
          <cell r="AY402">
            <v>13.969073068024317</v>
          </cell>
        </row>
        <row r="403">
          <cell r="A403">
            <v>40101</v>
          </cell>
          <cell r="AF403">
            <v>17.660892192095762</v>
          </cell>
          <cell r="AG403">
            <v>20.469360058004284</v>
          </cell>
          <cell r="AH403">
            <v>17.881583490985356</v>
          </cell>
          <cell r="AI403">
            <v>15.547864889645153</v>
          </cell>
          <cell r="AJ403">
            <v>20.215302092325562</v>
          </cell>
          <cell r="AU403">
            <v>11.562974747747637</v>
          </cell>
          <cell r="AV403">
            <v>14.263722316306255</v>
          </cell>
          <cell r="AW403">
            <v>12.105561258724364</v>
          </cell>
          <cell r="AX403">
            <v>10.242049449424412</v>
          </cell>
          <cell r="AY403">
            <v>13.969073068024317</v>
          </cell>
        </row>
        <row r="404">
          <cell r="A404">
            <v>40102</v>
          </cell>
          <cell r="AF404">
            <v>17.616790427966389</v>
          </cell>
          <cell r="AG404">
            <v>20.469360058004284</v>
          </cell>
          <cell r="AH404">
            <v>17.881583490985356</v>
          </cell>
          <cell r="AI404">
            <v>15.547864889645153</v>
          </cell>
          <cell r="AJ404">
            <v>20.215302092325562</v>
          </cell>
          <cell r="AU404">
            <v>11.53533616894719</v>
          </cell>
          <cell r="AV404">
            <v>14.263722316306255</v>
          </cell>
          <cell r="AW404">
            <v>12.105561258724364</v>
          </cell>
          <cell r="AX404">
            <v>10.242049449424412</v>
          </cell>
          <cell r="AY404">
            <v>13.969073068024317</v>
          </cell>
        </row>
        <row r="405">
          <cell r="A405">
            <v>40105</v>
          </cell>
          <cell r="AF405">
            <v>17.920610748123227</v>
          </cell>
          <cell r="AG405">
            <v>20.469360058004284</v>
          </cell>
          <cell r="AH405">
            <v>17.881583490985356</v>
          </cell>
          <cell r="AI405">
            <v>15.547864889645153</v>
          </cell>
          <cell r="AJ405">
            <v>20.215302092325562</v>
          </cell>
          <cell r="AU405">
            <v>11.725740385776227</v>
          </cell>
          <cell r="AV405">
            <v>14.263722316306255</v>
          </cell>
          <cell r="AW405">
            <v>12.105561258724364</v>
          </cell>
          <cell r="AX405">
            <v>10.242049449424412</v>
          </cell>
          <cell r="AY405">
            <v>13.969073068024317</v>
          </cell>
        </row>
        <row r="406">
          <cell r="A406">
            <v>40106</v>
          </cell>
          <cell r="AF406">
            <v>17.621688337146395</v>
          </cell>
          <cell r="AG406">
            <v>20.469360058004284</v>
          </cell>
          <cell r="AH406">
            <v>17.881583490985356</v>
          </cell>
          <cell r="AI406">
            <v>15.547864889645153</v>
          </cell>
          <cell r="AJ406">
            <v>20.215302092325562</v>
          </cell>
          <cell r="AU406">
            <v>11.538405688987972</v>
          </cell>
          <cell r="AV406">
            <v>14.263722316306255</v>
          </cell>
          <cell r="AW406">
            <v>12.105561258724364</v>
          </cell>
          <cell r="AX406">
            <v>10.242049449424412</v>
          </cell>
          <cell r="AY406">
            <v>13.969073068024317</v>
          </cell>
        </row>
        <row r="407">
          <cell r="A407">
            <v>40107</v>
          </cell>
          <cell r="AF407">
            <v>17.513879941197352</v>
          </cell>
          <cell r="AG407">
            <v>20.469360058004284</v>
          </cell>
          <cell r="AH407">
            <v>17.881583490985356</v>
          </cell>
          <cell r="AI407">
            <v>15.547864889645153</v>
          </cell>
          <cell r="AJ407">
            <v>20.215302092325562</v>
          </cell>
          <cell r="AU407">
            <v>11.470842159373902</v>
          </cell>
          <cell r="AV407">
            <v>14.263722316306255</v>
          </cell>
          <cell r="AW407">
            <v>12.105561258724364</v>
          </cell>
          <cell r="AX407">
            <v>10.242049449424412</v>
          </cell>
          <cell r="AY407">
            <v>13.969073068024317</v>
          </cell>
        </row>
        <row r="408">
          <cell r="A408">
            <v>40108</v>
          </cell>
          <cell r="AF408">
            <v>17.714796145052318</v>
          </cell>
          <cell r="AG408">
            <v>20.469360058004284</v>
          </cell>
          <cell r="AH408">
            <v>17.881583490985356</v>
          </cell>
          <cell r="AI408">
            <v>15.547864889645153</v>
          </cell>
          <cell r="AJ408">
            <v>20.215302092325562</v>
          </cell>
          <cell r="AU408">
            <v>11.596756359001894</v>
          </cell>
          <cell r="AV408">
            <v>14.263722316306255</v>
          </cell>
          <cell r="AW408">
            <v>12.105561258724364</v>
          </cell>
          <cell r="AX408">
            <v>10.242049449424412</v>
          </cell>
          <cell r="AY408">
            <v>13.969073068024317</v>
          </cell>
        </row>
        <row r="409">
          <cell r="A409">
            <v>40109</v>
          </cell>
          <cell r="AF409">
            <v>17.636388925189522</v>
          </cell>
          <cell r="AG409">
            <v>20.469360058004284</v>
          </cell>
          <cell r="AH409">
            <v>17.881583490985356</v>
          </cell>
          <cell r="AI409">
            <v>15.547864889645153</v>
          </cell>
          <cell r="AJ409">
            <v>20.215302092325562</v>
          </cell>
          <cell r="AU409">
            <v>11.547618548588124</v>
          </cell>
          <cell r="AV409">
            <v>14.263722316306255</v>
          </cell>
          <cell r="AW409">
            <v>12.105561258724364</v>
          </cell>
          <cell r="AX409">
            <v>10.242049449424412</v>
          </cell>
          <cell r="AY409">
            <v>13.969073068024317</v>
          </cell>
        </row>
        <row r="410">
          <cell r="A410">
            <v>40112</v>
          </cell>
          <cell r="AF410">
            <v>17.541544477030012</v>
          </cell>
          <cell r="AG410">
            <v>20.469360058004284</v>
          </cell>
          <cell r="AH410">
            <v>17.881583490985356</v>
          </cell>
          <cell r="AI410">
            <v>15.547864889645153</v>
          </cell>
          <cell r="AJ410">
            <v>20.215302092325562</v>
          </cell>
          <cell r="AU410">
            <v>11.516910756852445</v>
          </cell>
          <cell r="AV410">
            <v>14.263722316306255</v>
          </cell>
          <cell r="AW410">
            <v>12.105561258724364</v>
          </cell>
          <cell r="AX410">
            <v>10.242049449424412</v>
          </cell>
          <cell r="AY410">
            <v>13.969073068024317</v>
          </cell>
        </row>
        <row r="411">
          <cell r="A411">
            <v>40113</v>
          </cell>
          <cell r="AF411">
            <v>17.551314271751423</v>
          </cell>
          <cell r="AG411">
            <v>20.469360058004284</v>
          </cell>
          <cell r="AH411">
            <v>17.881583490985356</v>
          </cell>
          <cell r="AI411">
            <v>15.547864889645153</v>
          </cell>
          <cell r="AJ411">
            <v>20.215302092325562</v>
          </cell>
          <cell r="AU411">
            <v>11.523049489828459</v>
          </cell>
          <cell r="AV411">
            <v>14.263722316306255</v>
          </cell>
          <cell r="AW411">
            <v>12.105561258724364</v>
          </cell>
          <cell r="AX411">
            <v>10.242049449424412</v>
          </cell>
          <cell r="AY411">
            <v>13.969073068024317</v>
          </cell>
        </row>
        <row r="412">
          <cell r="A412">
            <v>40114</v>
          </cell>
          <cell r="AF412">
            <v>17.280425778069098</v>
          </cell>
          <cell r="AG412">
            <v>20.469360058004284</v>
          </cell>
          <cell r="AH412">
            <v>17.881583490985356</v>
          </cell>
          <cell r="AI412">
            <v>15.547864889645153</v>
          </cell>
          <cell r="AJ412">
            <v>20.215302092325562</v>
          </cell>
          <cell r="AU412">
            <v>11.132834940418924</v>
          </cell>
          <cell r="AV412">
            <v>14.263722316306255</v>
          </cell>
          <cell r="AW412">
            <v>12.105561258724364</v>
          </cell>
          <cell r="AX412">
            <v>10.242049449424412</v>
          </cell>
          <cell r="AY412">
            <v>13.969073068024317</v>
          </cell>
        </row>
        <row r="413">
          <cell r="A413">
            <v>40115</v>
          </cell>
          <cell r="AF413">
            <v>16.643998737015785</v>
          </cell>
          <cell r="AG413">
            <v>20.469360058004284</v>
          </cell>
          <cell r="AH413">
            <v>17.881583490985356</v>
          </cell>
          <cell r="AI413">
            <v>15.547864889645153</v>
          </cell>
          <cell r="AJ413">
            <v>20.215302092325562</v>
          </cell>
          <cell r="AU413">
            <v>10.718493021206088</v>
          </cell>
          <cell r="AV413">
            <v>14.263722316306255</v>
          </cell>
          <cell r="AW413">
            <v>12.105561258724364</v>
          </cell>
          <cell r="AX413">
            <v>10.242049449424412</v>
          </cell>
          <cell r="AY413">
            <v>13.969073068024317</v>
          </cell>
        </row>
        <row r="414">
          <cell r="A414">
            <v>40116</v>
          </cell>
          <cell r="AF414">
            <v>16.134884271177953</v>
          </cell>
          <cell r="AG414">
            <v>20.469360058004284</v>
          </cell>
          <cell r="AH414">
            <v>17.881583490985356</v>
          </cell>
          <cell r="AI414">
            <v>15.547864889645153</v>
          </cell>
          <cell r="AJ414">
            <v>20.215302092325562</v>
          </cell>
          <cell r="AU414">
            <v>10.3992917000738</v>
          </cell>
          <cell r="AV414">
            <v>14.263722316306255</v>
          </cell>
          <cell r="AW414">
            <v>12.105561258724364</v>
          </cell>
          <cell r="AX414">
            <v>10.242049449424412</v>
          </cell>
          <cell r="AY414">
            <v>13.969073068024317</v>
          </cell>
        </row>
        <row r="415">
          <cell r="A415">
            <v>40119</v>
          </cell>
          <cell r="AF415">
            <v>16.005706165221749</v>
          </cell>
          <cell r="AG415">
            <v>20.469360058004284</v>
          </cell>
          <cell r="AH415">
            <v>17.881583490985356</v>
          </cell>
          <cell r="AI415">
            <v>15.547864889645153</v>
          </cell>
          <cell r="AJ415">
            <v>20.215302092325562</v>
          </cell>
          <cell r="AU415">
            <v>10.337485387866902</v>
          </cell>
          <cell r="AV415">
            <v>14.263722316306255</v>
          </cell>
          <cell r="AW415">
            <v>12.105561258724364</v>
          </cell>
          <cell r="AX415">
            <v>10.242049449424412</v>
          </cell>
          <cell r="AY415">
            <v>13.969073068024317</v>
          </cell>
        </row>
        <row r="416">
          <cell r="A416">
            <v>40120</v>
          </cell>
          <cell r="AF416">
            <v>15.894186960351334</v>
          </cell>
          <cell r="AG416">
            <v>20.469360058004284</v>
          </cell>
          <cell r="AH416">
            <v>17.881583490985356</v>
          </cell>
          <cell r="AI416">
            <v>15.547864889645153</v>
          </cell>
          <cell r="AJ416">
            <v>20.215302092325562</v>
          </cell>
          <cell r="AU416">
            <v>10.267417507013034</v>
          </cell>
          <cell r="AV416">
            <v>14.263722316306255</v>
          </cell>
          <cell r="AW416">
            <v>12.105561258724364</v>
          </cell>
          <cell r="AX416">
            <v>10.242049449424412</v>
          </cell>
          <cell r="AY416">
            <v>13.969073068024317</v>
          </cell>
        </row>
        <row r="417">
          <cell r="A417">
            <v>40121</v>
          </cell>
          <cell r="AF417">
            <v>15.976614662526856</v>
          </cell>
          <cell r="AG417">
            <v>20.469360058004284</v>
          </cell>
          <cell r="AH417">
            <v>17.881583490985356</v>
          </cell>
          <cell r="AI417">
            <v>15.547864889645153</v>
          </cell>
          <cell r="AJ417">
            <v>20.215302092325562</v>
          </cell>
          <cell r="AU417">
            <v>10.319207101655531</v>
          </cell>
          <cell r="AV417">
            <v>14.263722316306255</v>
          </cell>
          <cell r="AW417">
            <v>12.105561258724364</v>
          </cell>
          <cell r="AX417">
            <v>10.242049449424412</v>
          </cell>
          <cell r="AY417">
            <v>13.969073068024317</v>
          </cell>
        </row>
        <row r="418">
          <cell r="A418">
            <v>40122</v>
          </cell>
          <cell r="AF418">
            <v>16.345116889111186</v>
          </cell>
          <cell r="AG418">
            <v>20.469360058004284</v>
          </cell>
          <cell r="AH418">
            <v>17.881583490985356</v>
          </cell>
          <cell r="AI418">
            <v>15.547864889645153</v>
          </cell>
          <cell r="AJ418">
            <v>20.215302092325562</v>
          </cell>
          <cell r="AU418">
            <v>10.55073825484747</v>
          </cell>
          <cell r="AV418">
            <v>14.263722316306255</v>
          </cell>
          <cell r="AW418">
            <v>12.105561258724364</v>
          </cell>
          <cell r="AX418">
            <v>10.242049449424412</v>
          </cell>
          <cell r="AY418">
            <v>13.969073068024317</v>
          </cell>
        </row>
        <row r="419">
          <cell r="A419">
            <v>40123</v>
          </cell>
          <cell r="AF419">
            <v>16.243297114553595</v>
          </cell>
          <cell r="AG419">
            <v>20.469360058004284</v>
          </cell>
          <cell r="AH419">
            <v>17.881583490985356</v>
          </cell>
          <cell r="AI419">
            <v>15.547864889645153</v>
          </cell>
          <cell r="AJ419">
            <v>20.215302092325562</v>
          </cell>
          <cell r="AU419">
            <v>10.486764557755935</v>
          </cell>
          <cell r="AV419">
            <v>14.263722316306255</v>
          </cell>
          <cell r="AW419">
            <v>12.105561258724364</v>
          </cell>
          <cell r="AX419">
            <v>10.242049449424412</v>
          </cell>
          <cell r="AY419">
            <v>13.969073068024317</v>
          </cell>
        </row>
        <row r="420">
          <cell r="A420">
            <v>40126</v>
          </cell>
          <cell r="AF420">
            <v>16.446943936786887</v>
          </cell>
          <cell r="AG420">
            <v>20.469360058004284</v>
          </cell>
          <cell r="AH420">
            <v>17.881583490985356</v>
          </cell>
          <cell r="AI420">
            <v>15.547864889645153</v>
          </cell>
          <cell r="AJ420">
            <v>20.215302092325562</v>
          </cell>
          <cell r="AU420">
            <v>10.614716521662883</v>
          </cell>
          <cell r="AV420">
            <v>14.263722316306255</v>
          </cell>
          <cell r="AW420">
            <v>12.105561258724364</v>
          </cell>
          <cell r="AX420">
            <v>10.242049449424412</v>
          </cell>
          <cell r="AY420">
            <v>13.969073068024317</v>
          </cell>
        </row>
        <row r="421">
          <cell r="A421">
            <v>40127</v>
          </cell>
          <cell r="AF421">
            <v>16.330571137763741</v>
          </cell>
          <cell r="AG421">
            <v>20.469360058004284</v>
          </cell>
          <cell r="AH421">
            <v>17.881583490985356</v>
          </cell>
          <cell r="AI421">
            <v>15.547864889645153</v>
          </cell>
          <cell r="AJ421">
            <v>20.215302092325562</v>
          </cell>
          <cell r="AU421">
            <v>10.541599111741787</v>
          </cell>
          <cell r="AV421">
            <v>14.263722316306255</v>
          </cell>
          <cell r="AW421">
            <v>12.105561258724364</v>
          </cell>
          <cell r="AX421">
            <v>10.242049449424412</v>
          </cell>
          <cell r="AY421">
            <v>13.969073068024317</v>
          </cell>
        </row>
        <row r="422">
          <cell r="A422">
            <v>40128</v>
          </cell>
          <cell r="AF422">
            <v>16.412998839939259</v>
          </cell>
          <cell r="AG422">
            <v>20.469360058004284</v>
          </cell>
          <cell r="AH422">
            <v>17.881583490985356</v>
          </cell>
          <cell r="AI422">
            <v>15.547864889645153</v>
          </cell>
          <cell r="AJ422">
            <v>20.215302092325562</v>
          </cell>
          <cell r="AU422">
            <v>10.593388706384282</v>
          </cell>
          <cell r="AV422">
            <v>14.263722316306255</v>
          </cell>
          <cell r="AW422">
            <v>12.105561258724364</v>
          </cell>
          <cell r="AX422">
            <v>10.242049449424412</v>
          </cell>
          <cell r="AY422">
            <v>13.969073068024317</v>
          </cell>
        </row>
        <row r="423">
          <cell r="A423">
            <v>40129</v>
          </cell>
          <cell r="AF423">
            <v>16.266660848486431</v>
          </cell>
          <cell r="AG423">
            <v>20.469360058004284</v>
          </cell>
          <cell r="AH423">
            <v>17.881583490985356</v>
          </cell>
          <cell r="AI423">
            <v>15.547864889645153</v>
          </cell>
          <cell r="AJ423">
            <v>20.215302092325562</v>
          </cell>
          <cell r="AU423">
            <v>10.501993314900071</v>
          </cell>
          <cell r="AV423">
            <v>14.263722316306255</v>
          </cell>
          <cell r="AW423">
            <v>12.105561258724364</v>
          </cell>
          <cell r="AX423">
            <v>10.242049449424412</v>
          </cell>
          <cell r="AY423">
            <v>13.969073068024317</v>
          </cell>
        </row>
        <row r="424">
          <cell r="A424">
            <v>40130</v>
          </cell>
          <cell r="AF424">
            <v>16.431515151516752</v>
          </cell>
          <cell r="AG424">
            <v>20.469360058004284</v>
          </cell>
          <cell r="AH424">
            <v>17.881583490985356</v>
          </cell>
          <cell r="AI424">
            <v>15.547864889645153</v>
          </cell>
          <cell r="AJ424">
            <v>20.215302092325562</v>
          </cell>
          <cell r="AU424">
            <v>10.605577378557198</v>
          </cell>
          <cell r="AV424">
            <v>14.263722316306255</v>
          </cell>
          <cell r="AW424">
            <v>12.105561258724364</v>
          </cell>
          <cell r="AX424">
            <v>10.242049449424412</v>
          </cell>
          <cell r="AY424">
            <v>13.969073068024317</v>
          </cell>
        </row>
        <row r="425">
          <cell r="A425">
            <v>40133</v>
          </cell>
          <cell r="AF425">
            <v>16.644842181819804</v>
          </cell>
          <cell r="AG425">
            <v>20.469360058004284</v>
          </cell>
          <cell r="AH425">
            <v>17.881583490985356</v>
          </cell>
          <cell r="AI425">
            <v>15.547864889645153</v>
          </cell>
          <cell r="AJ425">
            <v>20.215302092325562</v>
          </cell>
          <cell r="AU425">
            <v>10.739618651854343</v>
          </cell>
          <cell r="AV425">
            <v>14.263722316306255</v>
          </cell>
          <cell r="AW425">
            <v>12.105561258724364</v>
          </cell>
          <cell r="AX425">
            <v>10.242049449424412</v>
          </cell>
          <cell r="AY425">
            <v>13.969073068024317</v>
          </cell>
        </row>
        <row r="426">
          <cell r="A426">
            <v>40134</v>
          </cell>
          <cell r="AF426">
            <v>16.426661818183415</v>
          </cell>
          <cell r="AG426">
            <v>20.469360058004284</v>
          </cell>
          <cell r="AH426">
            <v>17.881583490985356</v>
          </cell>
          <cell r="AI426">
            <v>15.547864889645153</v>
          </cell>
          <cell r="AJ426">
            <v>20.215302092325562</v>
          </cell>
          <cell r="AU426">
            <v>10.602527849489968</v>
          </cell>
          <cell r="AV426">
            <v>14.263722316306255</v>
          </cell>
          <cell r="AW426">
            <v>12.105561258724364</v>
          </cell>
          <cell r="AX426">
            <v>10.242049449424412</v>
          </cell>
          <cell r="AY426">
            <v>13.969073068024317</v>
          </cell>
        </row>
        <row r="427">
          <cell r="A427">
            <v>40135</v>
          </cell>
          <cell r="AF427">
            <v>16.35878351515311</v>
          </cell>
          <cell r="AG427">
            <v>20.469360058004284</v>
          </cell>
          <cell r="AH427">
            <v>17.881583490985356</v>
          </cell>
          <cell r="AI427">
            <v>15.547864889645153</v>
          </cell>
          <cell r="AJ427">
            <v>20.215302092325562</v>
          </cell>
          <cell r="AU427">
            <v>10.559877397953157</v>
          </cell>
          <cell r="AV427">
            <v>14.263722316306255</v>
          </cell>
          <cell r="AW427">
            <v>12.105561258724364</v>
          </cell>
          <cell r="AX427">
            <v>10.242049449424412</v>
          </cell>
          <cell r="AY427">
            <v>13.969073068024317</v>
          </cell>
        </row>
        <row r="428">
          <cell r="A428">
            <v>40136</v>
          </cell>
          <cell r="AF428">
            <v>16.072724363637928</v>
          </cell>
          <cell r="AG428">
            <v>20.469360058004284</v>
          </cell>
          <cell r="AH428">
            <v>17.881583490985356</v>
          </cell>
          <cell r="AI428">
            <v>15.547864889645153</v>
          </cell>
          <cell r="AJ428">
            <v>20.215302092325562</v>
          </cell>
          <cell r="AU428">
            <v>10.380135839403712</v>
          </cell>
          <cell r="AV428">
            <v>14.263722316306255</v>
          </cell>
          <cell r="AW428">
            <v>12.105561258724364</v>
          </cell>
          <cell r="AX428">
            <v>10.242049449424412</v>
          </cell>
          <cell r="AY428">
            <v>13.969073068024317</v>
          </cell>
        </row>
        <row r="429">
          <cell r="A429">
            <v>40137</v>
          </cell>
          <cell r="AF429">
            <v>15.932114424243974</v>
          </cell>
          <cell r="AG429">
            <v>20.469360058004284</v>
          </cell>
          <cell r="AH429">
            <v>17.881583490985356</v>
          </cell>
          <cell r="AI429">
            <v>15.547864889645153</v>
          </cell>
          <cell r="AJ429">
            <v>20.215302092325562</v>
          </cell>
          <cell r="AU429">
            <v>10.291785407262859</v>
          </cell>
          <cell r="AV429">
            <v>14.263722316306255</v>
          </cell>
          <cell r="AW429">
            <v>12.105561258724364</v>
          </cell>
          <cell r="AX429">
            <v>10.242049449424412</v>
          </cell>
          <cell r="AY429">
            <v>13.969073068024317</v>
          </cell>
        </row>
        <row r="430">
          <cell r="A430">
            <v>40140</v>
          </cell>
          <cell r="AF430">
            <v>16.09696824242581</v>
          </cell>
          <cell r="AG430">
            <v>20.469360058004284</v>
          </cell>
          <cell r="AH430">
            <v>17.881583490985356</v>
          </cell>
          <cell r="AI430">
            <v>15.547864889645153</v>
          </cell>
          <cell r="AJ430">
            <v>20.215302092325562</v>
          </cell>
          <cell r="AU430">
            <v>10.395369166271726</v>
          </cell>
          <cell r="AV430">
            <v>14.263722316306255</v>
          </cell>
          <cell r="AW430">
            <v>12.105561258724364</v>
          </cell>
          <cell r="AX430">
            <v>10.242049449424412</v>
          </cell>
          <cell r="AY430">
            <v>13.969073068024317</v>
          </cell>
        </row>
        <row r="431">
          <cell r="A431">
            <v>40141</v>
          </cell>
          <cell r="AF431">
            <v>16.315148606062195</v>
          </cell>
          <cell r="AG431">
            <v>20.469360058004284</v>
          </cell>
          <cell r="AH431">
            <v>17.881583490985356</v>
          </cell>
          <cell r="AI431">
            <v>15.547864889645153</v>
          </cell>
          <cell r="AJ431">
            <v>20.215302092325562</v>
          </cell>
          <cell r="AU431">
            <v>10.5324599686361</v>
          </cell>
          <cell r="AV431">
            <v>14.263722316306255</v>
          </cell>
          <cell r="AW431">
            <v>12.105561258724364</v>
          </cell>
          <cell r="AX431">
            <v>10.242049449424412</v>
          </cell>
          <cell r="AY431">
            <v>13.969073068024317</v>
          </cell>
        </row>
        <row r="432">
          <cell r="A432">
            <v>40142</v>
          </cell>
          <cell r="AF432">
            <v>16.271514181819764</v>
          </cell>
          <cell r="AG432">
            <v>20.469360058004284</v>
          </cell>
          <cell r="AH432">
            <v>17.881583490985356</v>
          </cell>
          <cell r="AI432">
            <v>15.547864889645153</v>
          </cell>
          <cell r="AJ432">
            <v>20.215302092325562</v>
          </cell>
          <cell r="AU432">
            <v>10.505042843967306</v>
          </cell>
          <cell r="AV432">
            <v>14.263722316306255</v>
          </cell>
          <cell r="AW432">
            <v>12.105561258724364</v>
          </cell>
          <cell r="AX432">
            <v>10.242049449424412</v>
          </cell>
          <cell r="AY432">
            <v>13.969073068024317</v>
          </cell>
        </row>
        <row r="433">
          <cell r="A433">
            <v>40143</v>
          </cell>
          <cell r="AF433">
            <v>16.271514181819764</v>
          </cell>
          <cell r="AG433">
            <v>20.469360058004284</v>
          </cell>
          <cell r="AH433">
            <v>17.881583490985356</v>
          </cell>
          <cell r="AI433">
            <v>15.547864889645153</v>
          </cell>
          <cell r="AJ433">
            <v>20.215302092325562</v>
          </cell>
          <cell r="AU433">
            <v>10.505042843967306</v>
          </cell>
          <cell r="AV433">
            <v>14.263722316306255</v>
          </cell>
          <cell r="AW433">
            <v>12.105561258724364</v>
          </cell>
          <cell r="AX433">
            <v>10.242049449424412</v>
          </cell>
          <cell r="AY433">
            <v>13.969073068024317</v>
          </cell>
        </row>
        <row r="434">
          <cell r="A434">
            <v>40144</v>
          </cell>
          <cell r="AF434">
            <v>16.145448727274299</v>
          </cell>
          <cell r="AG434">
            <v>20.469360058004284</v>
          </cell>
          <cell r="AH434">
            <v>17.881583490985356</v>
          </cell>
          <cell r="AI434">
            <v>15.547864889645153</v>
          </cell>
          <cell r="AJ434">
            <v>20.215302092325562</v>
          </cell>
          <cell r="AU434">
            <v>10.425831250283876</v>
          </cell>
          <cell r="AV434">
            <v>14.263722316306255</v>
          </cell>
          <cell r="AW434">
            <v>12.105561258724364</v>
          </cell>
          <cell r="AX434">
            <v>10.242049449424412</v>
          </cell>
          <cell r="AY434">
            <v>13.969073068024317</v>
          </cell>
        </row>
        <row r="435">
          <cell r="A435">
            <v>40147</v>
          </cell>
          <cell r="AF435">
            <v>16.155148121213692</v>
          </cell>
          <cell r="AG435">
            <v>20.469360058004284</v>
          </cell>
          <cell r="AH435">
            <v>17.881583490985356</v>
          </cell>
          <cell r="AI435">
            <v>15.547864889645153</v>
          </cell>
          <cell r="AJ435">
            <v>20.215302092325562</v>
          </cell>
          <cell r="AU435">
            <v>10.431925738694463</v>
          </cell>
          <cell r="AV435">
            <v>14.263722316306255</v>
          </cell>
          <cell r="AW435">
            <v>12.105561258724364</v>
          </cell>
          <cell r="AX435">
            <v>10.242049449424412</v>
          </cell>
          <cell r="AY435">
            <v>13.969073068024317</v>
          </cell>
        </row>
        <row r="436">
          <cell r="A436">
            <v>40148</v>
          </cell>
          <cell r="AF436">
            <v>16.162341018251681</v>
          </cell>
          <cell r="AG436">
            <v>20.469360058004284</v>
          </cell>
          <cell r="AH436">
            <v>17.881583490985356</v>
          </cell>
          <cell r="AI436">
            <v>15.547864889645153</v>
          </cell>
          <cell r="AJ436">
            <v>20.215302092325562</v>
          </cell>
          <cell r="AU436">
            <v>10.455007577307709</v>
          </cell>
          <cell r="AV436">
            <v>14.263722316306255</v>
          </cell>
          <cell r="AW436">
            <v>12.105561258724364</v>
          </cell>
          <cell r="AX436">
            <v>10.242049449424412</v>
          </cell>
          <cell r="AY436">
            <v>13.969073068024317</v>
          </cell>
        </row>
        <row r="437">
          <cell r="A437">
            <v>40149</v>
          </cell>
          <cell r="AF437">
            <v>16.407295389048993</v>
          </cell>
          <cell r="AG437">
            <v>20.469360058004284</v>
          </cell>
          <cell r="AH437">
            <v>17.881583490985356</v>
          </cell>
          <cell r="AI437">
            <v>15.547864889645153</v>
          </cell>
          <cell r="AJ437">
            <v>20.215302092325562</v>
          </cell>
          <cell r="AU437">
            <v>10.609234130570288</v>
          </cell>
          <cell r="AV437">
            <v>14.263722316306255</v>
          </cell>
          <cell r="AW437">
            <v>12.105561258724364</v>
          </cell>
          <cell r="AX437">
            <v>10.242049449424412</v>
          </cell>
          <cell r="AY437">
            <v>13.969073068024317</v>
          </cell>
        </row>
        <row r="438">
          <cell r="A438">
            <v>40150</v>
          </cell>
          <cell r="AF438">
            <v>16.306434678194048</v>
          </cell>
          <cell r="AG438">
            <v>20.469360058004284</v>
          </cell>
          <cell r="AH438">
            <v>17.881583490985356</v>
          </cell>
          <cell r="AI438">
            <v>15.547864889645153</v>
          </cell>
          <cell r="AJ438">
            <v>20.215302092325562</v>
          </cell>
          <cell r="AU438">
            <v>10.545730875885997</v>
          </cell>
          <cell r="AV438">
            <v>14.263722316306255</v>
          </cell>
          <cell r="AW438">
            <v>12.105561258724364</v>
          </cell>
          <cell r="AX438">
            <v>10.242049449424412</v>
          </cell>
          <cell r="AY438">
            <v>13.969073068024317</v>
          </cell>
        </row>
        <row r="439">
          <cell r="A439">
            <v>40151</v>
          </cell>
          <cell r="AF439">
            <v>16.455329010566764</v>
          </cell>
          <cell r="AG439">
            <v>20.469360058004284</v>
          </cell>
          <cell r="AH439">
            <v>17.881583490985356</v>
          </cell>
          <cell r="AI439">
            <v>15.547864889645153</v>
          </cell>
          <cell r="AJ439">
            <v>20.215302092325562</v>
          </cell>
          <cell r="AU439">
            <v>10.639476742136237</v>
          </cell>
          <cell r="AV439">
            <v>14.263722316306255</v>
          </cell>
          <cell r="AW439">
            <v>12.105561258724364</v>
          </cell>
          <cell r="AX439">
            <v>10.242049449424412</v>
          </cell>
          <cell r="AY439">
            <v>13.969073068024317</v>
          </cell>
        </row>
        <row r="440">
          <cell r="A440">
            <v>40154</v>
          </cell>
          <cell r="AF440">
            <v>16.39769452449568</v>
          </cell>
          <cell r="AG440">
            <v>20.469360058004284</v>
          </cell>
          <cell r="AH440">
            <v>17.881583490985356</v>
          </cell>
          <cell r="AI440">
            <v>15.547864889645153</v>
          </cell>
          <cell r="AJ440">
            <v>20.215302092325562</v>
          </cell>
          <cell r="AU440">
            <v>10.603189297634344</v>
          </cell>
          <cell r="AV440">
            <v>14.263722316306255</v>
          </cell>
          <cell r="AW440">
            <v>12.105561258724364</v>
          </cell>
          <cell r="AX440">
            <v>10.242049449424412</v>
          </cell>
          <cell r="AY440">
            <v>13.969073068024317</v>
          </cell>
        </row>
        <row r="441">
          <cell r="A441">
            <v>40155</v>
          </cell>
          <cell r="AF441">
            <v>16.638813759213757</v>
          </cell>
          <cell r="AG441">
            <v>20.469360058004284</v>
          </cell>
          <cell r="AH441">
            <v>17.881583490985356</v>
          </cell>
          <cell r="AI441">
            <v>15.547864889645153</v>
          </cell>
          <cell r="AJ441">
            <v>20.215302092325562</v>
          </cell>
          <cell r="AU441">
            <v>10.55358421156447</v>
          </cell>
          <cell r="AV441">
            <v>14.263722316306255</v>
          </cell>
          <cell r="AW441">
            <v>12.105561258724364</v>
          </cell>
          <cell r="AX441">
            <v>10.242049449424412</v>
          </cell>
          <cell r="AY441">
            <v>13.969073068024317</v>
          </cell>
        </row>
        <row r="442">
          <cell r="A442">
            <v>40156</v>
          </cell>
          <cell r="AF442">
            <v>16.570017690417689</v>
          </cell>
          <cell r="AG442">
            <v>20.469360058004284</v>
          </cell>
          <cell r="AH442">
            <v>17.881583490985356</v>
          </cell>
          <cell r="AI442">
            <v>15.547864889645153</v>
          </cell>
          <cell r="AJ442">
            <v>20.215302092325562</v>
          </cell>
          <cell r="AU442">
            <v>10.511105924879976</v>
          </cell>
          <cell r="AV442">
            <v>14.263722316306255</v>
          </cell>
          <cell r="AW442">
            <v>12.105561258724364</v>
          </cell>
          <cell r="AX442">
            <v>10.242049449424412</v>
          </cell>
          <cell r="AY442">
            <v>13.969073068024317</v>
          </cell>
        </row>
        <row r="443">
          <cell r="A443">
            <v>40157</v>
          </cell>
          <cell r="AF443">
            <v>16.914004422604421</v>
          </cell>
          <cell r="AG443">
            <v>20.469360058004284</v>
          </cell>
          <cell r="AH443">
            <v>17.881583490985356</v>
          </cell>
          <cell r="AI443">
            <v>15.547864889645153</v>
          </cell>
          <cell r="AJ443">
            <v>20.215302092325562</v>
          </cell>
          <cell r="AU443">
            <v>10.723501302714793</v>
          </cell>
          <cell r="AV443">
            <v>14.263722316306255</v>
          </cell>
          <cell r="AW443">
            <v>12.105561258724364</v>
          </cell>
          <cell r="AX443">
            <v>10.242049449424412</v>
          </cell>
          <cell r="AY443">
            <v>13.969073068024317</v>
          </cell>
        </row>
        <row r="444">
          <cell r="A444">
            <v>40158</v>
          </cell>
          <cell r="AF444">
            <v>17.022113022113022</v>
          </cell>
          <cell r="AG444">
            <v>20.469360058004284</v>
          </cell>
          <cell r="AH444">
            <v>17.881583490985356</v>
          </cell>
          <cell r="AI444">
            <v>15.547864889645153</v>
          </cell>
          <cell r="AJ444">
            <v>20.215302092325562</v>
          </cell>
          <cell r="AU444">
            <v>10.790253199492478</v>
          </cell>
          <cell r="AV444">
            <v>14.263722316306255</v>
          </cell>
          <cell r="AW444">
            <v>12.105561258724364</v>
          </cell>
          <cell r="AX444">
            <v>10.242049449424412</v>
          </cell>
          <cell r="AY444">
            <v>13.969073068024317</v>
          </cell>
        </row>
        <row r="445">
          <cell r="A445">
            <v>40161</v>
          </cell>
          <cell r="AF445">
            <v>17.223581326781325</v>
          </cell>
          <cell r="AG445">
            <v>20.469360058004284</v>
          </cell>
          <cell r="AH445">
            <v>17.881583490985356</v>
          </cell>
          <cell r="AI445">
            <v>15.547864889645153</v>
          </cell>
          <cell r="AJ445">
            <v>20.215302092325562</v>
          </cell>
          <cell r="AU445">
            <v>10.914650255215358</v>
          </cell>
          <cell r="AV445">
            <v>14.263722316306255</v>
          </cell>
          <cell r="AW445">
            <v>12.105561258724364</v>
          </cell>
          <cell r="AX445">
            <v>10.242049449424412</v>
          </cell>
          <cell r="AY445">
            <v>13.969073068024317</v>
          </cell>
        </row>
        <row r="446">
          <cell r="A446">
            <v>40162</v>
          </cell>
          <cell r="AF446">
            <v>17.361172972972973</v>
          </cell>
          <cell r="AG446">
            <v>20.469360058004284</v>
          </cell>
          <cell r="AH446">
            <v>17.881583490985356</v>
          </cell>
          <cell r="AI446">
            <v>15.547864889645153</v>
          </cell>
          <cell r="AJ446">
            <v>20.215302092325562</v>
          </cell>
          <cell r="AU446">
            <v>10.999606525168021</v>
          </cell>
          <cell r="AV446">
            <v>14.263722316306255</v>
          </cell>
          <cell r="AW446">
            <v>12.105561258724364</v>
          </cell>
          <cell r="AX446">
            <v>10.242049449424412</v>
          </cell>
          <cell r="AY446">
            <v>13.969073068024317</v>
          </cell>
        </row>
        <row r="447">
          <cell r="A447">
            <v>40163</v>
          </cell>
          <cell r="AF447">
            <v>17.423098208770845</v>
          </cell>
          <cell r="AG447">
            <v>20.469360058004284</v>
          </cell>
          <cell r="AH447">
            <v>17.881583490985356</v>
          </cell>
          <cell r="AI447">
            <v>15.547864889645153</v>
          </cell>
          <cell r="AJ447">
            <v>20.215302092325562</v>
          </cell>
          <cell r="AU447">
            <v>10.97836980915644</v>
          </cell>
          <cell r="AV447">
            <v>14.263722316306255</v>
          </cell>
          <cell r="AW447">
            <v>12.105561258724364</v>
          </cell>
          <cell r="AX447">
            <v>10.242049449424412</v>
          </cell>
          <cell r="AY447">
            <v>13.969073068024317</v>
          </cell>
        </row>
        <row r="448">
          <cell r="A448">
            <v>40164</v>
          </cell>
          <cell r="AF448">
            <v>17.082146016059294</v>
          </cell>
          <cell r="AG448">
            <v>20.469360058004284</v>
          </cell>
          <cell r="AH448">
            <v>17.881583490985356</v>
          </cell>
          <cell r="AI448">
            <v>15.547864889645153</v>
          </cell>
          <cell r="AJ448">
            <v>20.215302092325562</v>
          </cell>
          <cell r="AU448">
            <v>10.769011932235895</v>
          </cell>
          <cell r="AV448">
            <v>14.263722316306255</v>
          </cell>
          <cell r="AW448">
            <v>12.105561258724364</v>
          </cell>
          <cell r="AX448">
            <v>10.242049449424412</v>
          </cell>
          <cell r="AY448">
            <v>13.969073068024317</v>
          </cell>
        </row>
        <row r="449">
          <cell r="A449">
            <v>40165</v>
          </cell>
          <cell r="AF449">
            <v>17.01296751080914</v>
          </cell>
          <cell r="AG449">
            <v>20.469360058004284</v>
          </cell>
          <cell r="AH449">
            <v>17.881583490985356</v>
          </cell>
          <cell r="AI449">
            <v>15.547864889645153</v>
          </cell>
          <cell r="AJ449">
            <v>20.215302092325562</v>
          </cell>
          <cell r="AU449">
            <v>10.726533645551399</v>
          </cell>
          <cell r="AV449">
            <v>14.263722316306255</v>
          </cell>
          <cell r="AW449">
            <v>12.105561258724364</v>
          </cell>
          <cell r="AX449">
            <v>10.242049449424412</v>
          </cell>
          <cell r="AY449">
            <v>13.969073068024317</v>
          </cell>
        </row>
        <row r="450">
          <cell r="A450">
            <v>40168</v>
          </cell>
          <cell r="AF450">
            <v>17.205679061148853</v>
          </cell>
          <cell r="AG450">
            <v>20.469360058004284</v>
          </cell>
          <cell r="AH450">
            <v>17.881583490985356</v>
          </cell>
          <cell r="AI450">
            <v>15.547864889645153</v>
          </cell>
          <cell r="AJ450">
            <v>20.215302092325562</v>
          </cell>
          <cell r="AU450">
            <v>10.844866015601067</v>
          </cell>
          <cell r="AV450">
            <v>14.263722316306255</v>
          </cell>
          <cell r="AW450">
            <v>12.105561258724364</v>
          </cell>
          <cell r="AX450">
            <v>10.242049449424412</v>
          </cell>
          <cell r="AY450">
            <v>13.969073068024317</v>
          </cell>
        </row>
        <row r="451">
          <cell r="A451">
            <v>40169</v>
          </cell>
          <cell r="AF451">
            <v>17.388505497220503</v>
          </cell>
          <cell r="AG451">
            <v>20.469360058004284</v>
          </cell>
          <cell r="AH451">
            <v>17.881583490985356</v>
          </cell>
          <cell r="AI451">
            <v>15.547864889645153</v>
          </cell>
          <cell r="AJ451">
            <v>20.215302092325562</v>
          </cell>
          <cell r="AU451">
            <v>10.957128541899854</v>
          </cell>
          <cell r="AV451">
            <v>14.263722316306255</v>
          </cell>
          <cell r="AW451">
            <v>12.105561258724364</v>
          </cell>
          <cell r="AX451">
            <v>10.242049449424412</v>
          </cell>
          <cell r="AY451">
            <v>13.969073068024317</v>
          </cell>
        </row>
        <row r="452">
          <cell r="A452">
            <v>40170</v>
          </cell>
          <cell r="AF452">
            <v>17.566393082149474</v>
          </cell>
          <cell r="AG452">
            <v>20.469360058004284</v>
          </cell>
          <cell r="AH452">
            <v>17.881583490985356</v>
          </cell>
          <cell r="AI452">
            <v>15.547864889645153</v>
          </cell>
          <cell r="AJ452">
            <v>20.215302092325562</v>
          </cell>
          <cell r="AU452">
            <v>11.066358421945704</v>
          </cell>
          <cell r="AV452">
            <v>14.263722316306255</v>
          </cell>
          <cell r="AW452">
            <v>12.105561258724364</v>
          </cell>
          <cell r="AX452">
            <v>10.242049449424412</v>
          </cell>
          <cell r="AY452">
            <v>13.969073068024317</v>
          </cell>
        </row>
        <row r="453">
          <cell r="A453">
            <v>40171</v>
          </cell>
          <cell r="AF453">
            <v>17.428037059913525</v>
          </cell>
          <cell r="AG453">
            <v>20.469360058004284</v>
          </cell>
          <cell r="AH453">
            <v>17.881583490985356</v>
          </cell>
          <cell r="AI453">
            <v>15.547864889645153</v>
          </cell>
          <cell r="AJ453">
            <v>20.215302092325562</v>
          </cell>
          <cell r="AU453">
            <v>10.981402455409377</v>
          </cell>
          <cell r="AV453">
            <v>14.263722316306255</v>
          </cell>
          <cell r="AW453">
            <v>12.105561258724364</v>
          </cell>
          <cell r="AX453">
            <v>10.242049449424412</v>
          </cell>
          <cell r="AY453">
            <v>13.969073068024317</v>
          </cell>
        </row>
        <row r="454">
          <cell r="A454">
            <v>40172</v>
          </cell>
          <cell r="AF454">
            <v>17.428037059913525</v>
          </cell>
          <cell r="AG454">
            <v>20.469360058004284</v>
          </cell>
          <cell r="AH454">
            <v>17.881583490985356</v>
          </cell>
          <cell r="AI454">
            <v>15.547864889645153</v>
          </cell>
          <cell r="AJ454">
            <v>20.215302092325562</v>
          </cell>
          <cell r="AU454">
            <v>10.981402455409377</v>
          </cell>
          <cell r="AV454">
            <v>14.263722316306255</v>
          </cell>
          <cell r="AW454">
            <v>12.105561258724364</v>
          </cell>
          <cell r="AX454">
            <v>10.242049449424412</v>
          </cell>
          <cell r="AY454">
            <v>13.969073068024317</v>
          </cell>
        </row>
        <row r="455">
          <cell r="A455">
            <v>40175</v>
          </cell>
          <cell r="AF455">
            <v>17.516984311303275</v>
          </cell>
          <cell r="AG455">
            <v>20.469360058004284</v>
          </cell>
          <cell r="AH455">
            <v>17.881583490985356</v>
          </cell>
          <cell r="AI455">
            <v>15.547864889645153</v>
          </cell>
          <cell r="AJ455">
            <v>20.215302092325562</v>
          </cell>
          <cell r="AU455">
            <v>11.036019519346638</v>
          </cell>
          <cell r="AV455">
            <v>14.263722316306255</v>
          </cell>
          <cell r="AW455">
            <v>12.105561258724364</v>
          </cell>
          <cell r="AX455">
            <v>10.242049449424412</v>
          </cell>
          <cell r="AY455">
            <v>13.969073068024317</v>
          </cell>
        </row>
        <row r="456">
          <cell r="A456">
            <v>40176</v>
          </cell>
          <cell r="AF456">
            <v>17.512038542310066</v>
          </cell>
          <cell r="AG456">
            <v>20.469360058004284</v>
          </cell>
          <cell r="AH456">
            <v>17.881583490985356</v>
          </cell>
          <cell r="AI456">
            <v>15.547864889645153</v>
          </cell>
          <cell r="AJ456">
            <v>20.215302092325562</v>
          </cell>
          <cell r="AU456">
            <v>11.032982625265026</v>
          </cell>
          <cell r="AV456">
            <v>14.263722316306255</v>
          </cell>
          <cell r="AW456">
            <v>12.105561258724364</v>
          </cell>
          <cell r="AX456">
            <v>10.242049449424412</v>
          </cell>
          <cell r="AY456">
            <v>13.969073068024317</v>
          </cell>
        </row>
        <row r="457">
          <cell r="A457">
            <v>40177</v>
          </cell>
          <cell r="AF457">
            <v>17.571339345274861</v>
          </cell>
          <cell r="AG457">
            <v>20.469360058004284</v>
          </cell>
          <cell r="AH457">
            <v>17.881583490985356</v>
          </cell>
          <cell r="AI457">
            <v>15.547864889645153</v>
          </cell>
          <cell r="AJ457">
            <v>20.215302092325562</v>
          </cell>
          <cell r="AU457">
            <v>11.069395619443645</v>
          </cell>
          <cell r="AV457">
            <v>14.263722316306255</v>
          </cell>
          <cell r="AW457">
            <v>12.105561258724364</v>
          </cell>
          <cell r="AX457">
            <v>10.242049449424412</v>
          </cell>
          <cell r="AY457">
            <v>13.969073068024317</v>
          </cell>
        </row>
        <row r="458">
          <cell r="A458">
            <v>40178</v>
          </cell>
          <cell r="AF458">
            <v>17.378628289067322</v>
          </cell>
          <cell r="AG458">
            <v>20.469360058004284</v>
          </cell>
          <cell r="AH458">
            <v>17.881583490985356</v>
          </cell>
          <cell r="AI458">
            <v>15.547864889645153</v>
          </cell>
          <cell r="AJ458">
            <v>20.215302092325562</v>
          </cell>
          <cell r="AU458">
            <v>10.951063552810309</v>
          </cell>
          <cell r="AV458">
            <v>14.263722316306255</v>
          </cell>
          <cell r="AW458">
            <v>12.105561258724364</v>
          </cell>
          <cell r="AX458">
            <v>10.242049449424412</v>
          </cell>
          <cell r="AY458">
            <v>13.969073068024317</v>
          </cell>
        </row>
        <row r="459">
          <cell r="A459">
            <v>40179</v>
          </cell>
          <cell r="AF459">
            <v>17.239315312741105</v>
          </cell>
          <cell r="AG459">
            <v>20.469360058004284</v>
          </cell>
          <cell r="AH459">
            <v>17.881583490985356</v>
          </cell>
          <cell r="AI459">
            <v>15.547864889645153</v>
          </cell>
          <cell r="AJ459">
            <v>20.215302092325562</v>
          </cell>
          <cell r="AU459">
            <v>10.87303384663849</v>
          </cell>
          <cell r="AV459">
            <v>14.263722316306255</v>
          </cell>
          <cell r="AW459">
            <v>12.105561258724364</v>
          </cell>
          <cell r="AX459">
            <v>10.242049449424412</v>
          </cell>
          <cell r="AY459">
            <v>13.969073068024317</v>
          </cell>
        </row>
        <row r="460">
          <cell r="A460">
            <v>40182</v>
          </cell>
          <cell r="AF460">
            <v>17.337211838676826</v>
          </cell>
          <cell r="AG460">
            <v>20.469360058004284</v>
          </cell>
          <cell r="AH460">
            <v>17.881583490985356</v>
          </cell>
          <cell r="AI460">
            <v>15.547864889645153</v>
          </cell>
          <cell r="AJ460">
            <v>20.215302092325562</v>
          </cell>
          <cell r="AU460">
            <v>10.948820500123214</v>
          </cell>
          <cell r="AV460">
            <v>14.263722316306255</v>
          </cell>
          <cell r="AW460">
            <v>12.105561258724364</v>
          </cell>
          <cell r="AX460">
            <v>10.242049449424412</v>
          </cell>
          <cell r="AY460">
            <v>13.969073068024317</v>
          </cell>
        </row>
        <row r="461">
          <cell r="A461">
            <v>40183</v>
          </cell>
          <cell r="AF461">
            <v>17.131109461740753</v>
          </cell>
          <cell r="AG461">
            <v>20.469360058004284</v>
          </cell>
          <cell r="AH461">
            <v>17.881583490985356</v>
          </cell>
          <cell r="AI461">
            <v>15.547864889645153</v>
          </cell>
          <cell r="AJ461">
            <v>20.215302092325562</v>
          </cell>
          <cell r="AU461">
            <v>10.821974620601107</v>
          </cell>
          <cell r="AV461">
            <v>14.263722316306255</v>
          </cell>
          <cell r="AW461">
            <v>12.105561258724364</v>
          </cell>
          <cell r="AX461">
            <v>10.242049449424412</v>
          </cell>
          <cell r="AY461">
            <v>13.969073068024317</v>
          </cell>
        </row>
        <row r="462">
          <cell r="A462">
            <v>40184</v>
          </cell>
          <cell r="AF462">
            <v>17.243980984513342</v>
          </cell>
          <cell r="AG462">
            <v>20.469360058004284</v>
          </cell>
          <cell r="AH462">
            <v>17.881583490985356</v>
          </cell>
          <cell r="AI462">
            <v>15.547864889645153</v>
          </cell>
          <cell r="AJ462">
            <v>20.215302092325562</v>
          </cell>
          <cell r="AU462">
            <v>10.891441493288021</v>
          </cell>
          <cell r="AV462">
            <v>14.263722316306255</v>
          </cell>
          <cell r="AW462">
            <v>12.105561258724364</v>
          </cell>
          <cell r="AX462">
            <v>10.242049449424412</v>
          </cell>
          <cell r="AY462">
            <v>13.969073068024317</v>
          </cell>
        </row>
        <row r="463">
          <cell r="A463">
            <v>40185</v>
          </cell>
          <cell r="AF463">
            <v>17.46970881766779</v>
          </cell>
          <cell r="AG463">
            <v>20.469360058004284</v>
          </cell>
          <cell r="AH463">
            <v>17.881583490985356</v>
          </cell>
          <cell r="AI463">
            <v>15.547864889645153</v>
          </cell>
          <cell r="AJ463">
            <v>20.215302092325562</v>
          </cell>
          <cell r="AU463">
            <v>11.030365876183307</v>
          </cell>
          <cell r="AV463">
            <v>14.263722316306255</v>
          </cell>
          <cell r="AW463">
            <v>12.105561258724364</v>
          </cell>
          <cell r="AX463">
            <v>10.242049449424412</v>
          </cell>
          <cell r="AY463">
            <v>13.969073068024317</v>
          </cell>
        </row>
        <row r="464">
          <cell r="A464">
            <v>40186</v>
          </cell>
          <cell r="AF464">
            <v>17.46970881766779</v>
          </cell>
          <cell r="AG464">
            <v>20.469360058004284</v>
          </cell>
          <cell r="AH464">
            <v>17.881583490985356</v>
          </cell>
          <cell r="AI464">
            <v>15.547864889645153</v>
          </cell>
          <cell r="AJ464">
            <v>20.215302092325562</v>
          </cell>
          <cell r="AU464">
            <v>11.030365876183307</v>
          </cell>
          <cell r="AV464">
            <v>14.263722316306255</v>
          </cell>
          <cell r="AW464">
            <v>12.105561258724364</v>
          </cell>
          <cell r="AX464">
            <v>10.242049449424412</v>
          </cell>
          <cell r="AY464">
            <v>13.969073068024317</v>
          </cell>
        </row>
        <row r="465">
          <cell r="A465">
            <v>40189</v>
          </cell>
          <cell r="AF465">
            <v>17.695444502378745</v>
          </cell>
          <cell r="AG465">
            <v>20.469360058004284</v>
          </cell>
          <cell r="AH465">
            <v>17.881583490985356</v>
          </cell>
          <cell r="AI465">
            <v>15.547864889645153</v>
          </cell>
          <cell r="AJ465">
            <v>20.215302092325562</v>
          </cell>
          <cell r="AU465">
            <v>11.169295091325584</v>
          </cell>
          <cell r="AV465">
            <v>14.263722316306255</v>
          </cell>
          <cell r="AW465">
            <v>12.105561258724364</v>
          </cell>
          <cell r="AX465">
            <v>10.242049449424412</v>
          </cell>
          <cell r="AY465">
            <v>13.969073068024317</v>
          </cell>
        </row>
        <row r="466">
          <cell r="A466">
            <v>40190</v>
          </cell>
          <cell r="AF466">
            <v>17.567851801872674</v>
          </cell>
          <cell r="AG466">
            <v>20.469360058004284</v>
          </cell>
          <cell r="AH466">
            <v>17.881583490985356</v>
          </cell>
          <cell r="AI466">
            <v>15.547864889645153</v>
          </cell>
          <cell r="AJ466">
            <v>20.215302092325562</v>
          </cell>
          <cell r="AU466">
            <v>11.090768057543174</v>
          </cell>
          <cell r="AV466">
            <v>14.263722316306255</v>
          </cell>
          <cell r="AW466">
            <v>12.105561258724364</v>
          </cell>
          <cell r="AX466">
            <v>10.242049449424412</v>
          </cell>
          <cell r="AY466">
            <v>13.969073068024317</v>
          </cell>
        </row>
        <row r="467">
          <cell r="A467">
            <v>40191</v>
          </cell>
          <cell r="AF467">
            <v>17.813212942802007</v>
          </cell>
          <cell r="AG467">
            <v>20.469360058004284</v>
          </cell>
          <cell r="AH467">
            <v>17.881583490985356</v>
          </cell>
          <cell r="AI467">
            <v>15.547864889645153</v>
          </cell>
          <cell r="AJ467">
            <v>20.215302092325562</v>
          </cell>
          <cell r="AU467">
            <v>11.241775776058628</v>
          </cell>
          <cell r="AV467">
            <v>14.263722316306255</v>
          </cell>
          <cell r="AW467">
            <v>12.105561258724364</v>
          </cell>
          <cell r="AX467">
            <v>10.242049449424412</v>
          </cell>
          <cell r="AY467">
            <v>13.969073068024317</v>
          </cell>
        </row>
        <row r="468">
          <cell r="A468">
            <v>40192</v>
          </cell>
          <cell r="AF468">
            <v>17.945710412515254</v>
          </cell>
          <cell r="AG468">
            <v>20.469360058004284</v>
          </cell>
          <cell r="AH468">
            <v>17.881583490985356</v>
          </cell>
          <cell r="AI468">
            <v>15.547864889645153</v>
          </cell>
          <cell r="AJ468">
            <v>20.215302092325562</v>
          </cell>
          <cell r="AU468">
            <v>11.32332145413416</v>
          </cell>
          <cell r="AV468">
            <v>14.263722316306255</v>
          </cell>
          <cell r="AW468">
            <v>12.105561258724364</v>
          </cell>
          <cell r="AX468">
            <v>10.242049449424412</v>
          </cell>
          <cell r="AY468">
            <v>13.969073068024317</v>
          </cell>
        </row>
        <row r="469">
          <cell r="A469">
            <v>40193</v>
          </cell>
          <cell r="AF469">
            <v>17.641464560652015</v>
          </cell>
          <cell r="AG469">
            <v>20.469360058004284</v>
          </cell>
          <cell r="AH469">
            <v>17.881583490985356</v>
          </cell>
          <cell r="AI469">
            <v>15.547864889645153</v>
          </cell>
          <cell r="AJ469">
            <v>20.215302092325562</v>
          </cell>
          <cell r="AU469">
            <v>11.136073091236746</v>
          </cell>
          <cell r="AV469">
            <v>14.263722316306255</v>
          </cell>
          <cell r="AW469">
            <v>12.105561258724364</v>
          </cell>
          <cell r="AX469">
            <v>10.242049449424412</v>
          </cell>
          <cell r="AY469">
            <v>13.969073068024317</v>
          </cell>
        </row>
        <row r="470">
          <cell r="A470">
            <v>40196</v>
          </cell>
          <cell r="AF470">
            <v>17.641464560652015</v>
          </cell>
          <cell r="AG470">
            <v>20.469360058004284</v>
          </cell>
          <cell r="AH470">
            <v>17.881583490985356</v>
          </cell>
          <cell r="AI470">
            <v>15.547864889645153</v>
          </cell>
          <cell r="AJ470">
            <v>20.215302092325562</v>
          </cell>
          <cell r="AU470">
            <v>11.136073091236746</v>
          </cell>
          <cell r="AV470">
            <v>14.263722316306255</v>
          </cell>
          <cell r="AW470">
            <v>12.105561258724364</v>
          </cell>
          <cell r="AX470">
            <v>10.242049449424412</v>
          </cell>
          <cell r="AY470">
            <v>13.969073068024317</v>
          </cell>
        </row>
        <row r="471">
          <cell r="A471">
            <v>40197</v>
          </cell>
          <cell r="AF471">
            <v>17.921172826255475</v>
          </cell>
          <cell r="AG471">
            <v>20.469360058004284</v>
          </cell>
          <cell r="AH471">
            <v>17.881583490985356</v>
          </cell>
          <cell r="AI471">
            <v>15.547864889645153</v>
          </cell>
          <cell r="AJ471">
            <v>20.215302092325562</v>
          </cell>
          <cell r="AU471">
            <v>11.308219776236303</v>
          </cell>
          <cell r="AV471">
            <v>14.263722316306255</v>
          </cell>
          <cell r="AW471">
            <v>12.105561258724364</v>
          </cell>
          <cell r="AX471">
            <v>10.242049449424412</v>
          </cell>
          <cell r="AY471">
            <v>13.969073068024317</v>
          </cell>
        </row>
        <row r="472">
          <cell r="A472">
            <v>40198</v>
          </cell>
          <cell r="AF472">
            <v>17.729791136330597</v>
          </cell>
          <cell r="AG472">
            <v>20.469360058004284</v>
          </cell>
          <cell r="AH472">
            <v>17.881583490985356</v>
          </cell>
          <cell r="AI472">
            <v>15.547864889645153</v>
          </cell>
          <cell r="AJ472">
            <v>20.215302092325562</v>
          </cell>
          <cell r="AU472">
            <v>11.190433755794249</v>
          </cell>
          <cell r="AV472">
            <v>14.263722316306255</v>
          </cell>
          <cell r="AW472">
            <v>12.105561258724364</v>
          </cell>
          <cell r="AX472">
            <v>10.242049449424412</v>
          </cell>
          <cell r="AY472">
            <v>13.969073068024317</v>
          </cell>
        </row>
        <row r="473">
          <cell r="A473">
            <v>40199</v>
          </cell>
          <cell r="AF473">
            <v>17.091850697747493</v>
          </cell>
          <cell r="AG473">
            <v>20.469360058004284</v>
          </cell>
          <cell r="AH473">
            <v>17.881583490985356</v>
          </cell>
          <cell r="AI473">
            <v>15.547864889645153</v>
          </cell>
          <cell r="AJ473">
            <v>20.215302092325562</v>
          </cell>
          <cell r="AU473">
            <v>10.79781278160776</v>
          </cell>
          <cell r="AV473">
            <v>14.263722316306255</v>
          </cell>
          <cell r="AW473">
            <v>12.105561258724364</v>
          </cell>
          <cell r="AX473">
            <v>10.242049449424412</v>
          </cell>
          <cell r="AY473">
            <v>13.969073068024317</v>
          </cell>
        </row>
        <row r="474">
          <cell r="A474">
            <v>40200</v>
          </cell>
          <cell r="AF474">
            <v>16.900469498544897</v>
          </cell>
          <cell r="AG474">
            <v>20.469360058004284</v>
          </cell>
          <cell r="AH474">
            <v>17.881583490985356</v>
          </cell>
          <cell r="AI474">
            <v>15.547864889645153</v>
          </cell>
          <cell r="AJ474">
            <v>20.215302092325562</v>
          </cell>
          <cell r="AU474">
            <v>10.680027063181141</v>
          </cell>
          <cell r="AV474">
            <v>14.263722316306255</v>
          </cell>
          <cell r="AW474">
            <v>12.105561258724364</v>
          </cell>
          <cell r="AX474">
            <v>10.242049449424412</v>
          </cell>
          <cell r="AY474">
            <v>13.969073068024317</v>
          </cell>
        </row>
        <row r="475">
          <cell r="A475">
            <v>40203</v>
          </cell>
          <cell r="AF475">
            <v>16.9201023155975</v>
          </cell>
          <cell r="AG475">
            <v>20.469360058004284</v>
          </cell>
          <cell r="AH475">
            <v>17.881583490985356</v>
          </cell>
          <cell r="AI475">
            <v>15.547864889645153</v>
          </cell>
          <cell r="AJ475">
            <v>20.215302092325562</v>
          </cell>
          <cell r="AU475">
            <v>10.692110096785875</v>
          </cell>
          <cell r="AV475">
            <v>14.263722316306255</v>
          </cell>
          <cell r="AW475">
            <v>12.105561258724364</v>
          </cell>
          <cell r="AX475">
            <v>10.242049449424412</v>
          </cell>
          <cell r="AY475">
            <v>13.969073068024317</v>
          </cell>
        </row>
        <row r="476">
          <cell r="A476">
            <v>40204</v>
          </cell>
          <cell r="AF476">
            <v>16.797421745132834</v>
          </cell>
          <cell r="AG476">
            <v>20.469360058004284</v>
          </cell>
          <cell r="AH476">
            <v>17.881583490985356</v>
          </cell>
          <cell r="AI476">
            <v>15.547864889645153</v>
          </cell>
          <cell r="AJ476">
            <v>20.215302092325562</v>
          </cell>
          <cell r="AU476">
            <v>10.616606237528147</v>
          </cell>
          <cell r="AV476">
            <v>14.263722316306255</v>
          </cell>
          <cell r="AW476">
            <v>12.105561258724364</v>
          </cell>
          <cell r="AX476">
            <v>10.242049449424412</v>
          </cell>
          <cell r="AY476">
            <v>13.969073068024317</v>
          </cell>
        </row>
        <row r="477">
          <cell r="A477">
            <v>40205</v>
          </cell>
          <cell r="AF477">
            <v>16.713999938661424</v>
          </cell>
          <cell r="AG477">
            <v>20.469360058004284</v>
          </cell>
          <cell r="AH477">
            <v>17.881583490985356</v>
          </cell>
          <cell r="AI477">
            <v>15.547864889645153</v>
          </cell>
          <cell r="AJ477">
            <v>20.215302092325562</v>
          </cell>
          <cell r="AU477">
            <v>10.565264217263769</v>
          </cell>
          <cell r="AV477">
            <v>14.263722316306255</v>
          </cell>
          <cell r="AW477">
            <v>12.105561258724364</v>
          </cell>
          <cell r="AX477">
            <v>10.242049449424412</v>
          </cell>
          <cell r="AY477">
            <v>13.969073068024317</v>
          </cell>
        </row>
        <row r="478">
          <cell r="A478">
            <v>40206</v>
          </cell>
          <cell r="AF478">
            <v>16.409747216686235</v>
          </cell>
          <cell r="AG478">
            <v>20.469360058004284</v>
          </cell>
          <cell r="AH478">
            <v>17.881583490985356</v>
          </cell>
          <cell r="AI478">
            <v>15.547864889645153</v>
          </cell>
          <cell r="AJ478">
            <v>20.215302092325562</v>
          </cell>
          <cell r="AU478">
            <v>10.378011626150236</v>
          </cell>
          <cell r="AV478">
            <v>14.263722316306255</v>
          </cell>
          <cell r="AW478">
            <v>12.105561258724364</v>
          </cell>
          <cell r="AX478">
            <v>10.242049449424412</v>
          </cell>
          <cell r="AY478">
            <v>13.969073068024317</v>
          </cell>
        </row>
        <row r="479">
          <cell r="A479">
            <v>40207</v>
          </cell>
          <cell r="AF479">
            <v>16.453917619998613</v>
          </cell>
          <cell r="AG479">
            <v>20.469360058004284</v>
          </cell>
          <cell r="AH479">
            <v>17.881583490985356</v>
          </cell>
          <cell r="AI479">
            <v>15.547864889645153</v>
          </cell>
          <cell r="AJ479">
            <v>20.215302092325562</v>
          </cell>
          <cell r="AU479">
            <v>10.405196337652823</v>
          </cell>
          <cell r="AV479">
            <v>14.263722316306255</v>
          </cell>
          <cell r="AW479">
            <v>12.105561258724364</v>
          </cell>
          <cell r="AX479">
            <v>10.242049449424412</v>
          </cell>
          <cell r="AY479">
            <v>13.969073068024317</v>
          </cell>
        </row>
        <row r="480">
          <cell r="A480">
            <v>40210</v>
          </cell>
          <cell r="AF480">
            <v>16.345597566171477</v>
          </cell>
          <cell r="AG480">
            <v>20.469360058004284</v>
          </cell>
          <cell r="AH480">
            <v>17.881583490985356</v>
          </cell>
          <cell r="AI480">
            <v>15.547864889645153</v>
          </cell>
          <cell r="AJ480">
            <v>20.215302092325562</v>
          </cell>
          <cell r="AU480">
            <v>10.34856281788632</v>
          </cell>
          <cell r="AV480">
            <v>14.263722316306255</v>
          </cell>
          <cell r="AW480">
            <v>12.105561258724364</v>
          </cell>
          <cell r="AX480">
            <v>10.242049449424412</v>
          </cell>
          <cell r="AY480">
            <v>13.969073068024317</v>
          </cell>
        </row>
        <row r="481">
          <cell r="A481">
            <v>40211</v>
          </cell>
          <cell r="AF481">
            <v>16.798293885003286</v>
          </cell>
          <cell r="AG481">
            <v>20.469360058004284</v>
          </cell>
          <cell r="AH481">
            <v>17.881583490985356</v>
          </cell>
          <cell r="AI481">
            <v>15.547864889645153</v>
          </cell>
          <cell r="AJ481">
            <v>20.215302092325562</v>
          </cell>
          <cell r="AU481">
            <v>10.627506105716035</v>
          </cell>
          <cell r="AV481">
            <v>14.263722316306255</v>
          </cell>
          <cell r="AW481">
            <v>12.105561258724364</v>
          </cell>
          <cell r="AX481">
            <v>10.242049449424412</v>
          </cell>
          <cell r="AY481">
            <v>13.969073068024317</v>
          </cell>
        </row>
        <row r="482">
          <cell r="A482">
            <v>40212</v>
          </cell>
          <cell r="AF482">
            <v>16.553913124938102</v>
          </cell>
          <cell r="AG482">
            <v>20.469360058004284</v>
          </cell>
          <cell r="AH482">
            <v>17.881583490985356</v>
          </cell>
          <cell r="AI482">
            <v>15.547864889645153</v>
          </cell>
          <cell r="AJ482">
            <v>20.215302092325562</v>
          </cell>
          <cell r="AU482">
            <v>10.435547084645538</v>
          </cell>
          <cell r="AV482">
            <v>14.263722316306255</v>
          </cell>
          <cell r="AW482">
            <v>12.105561258724364</v>
          </cell>
          <cell r="AX482">
            <v>10.242049449424412</v>
          </cell>
          <cell r="AY482">
            <v>13.969073068024317</v>
          </cell>
        </row>
        <row r="483">
          <cell r="A483">
            <v>40213</v>
          </cell>
          <cell r="AF483">
            <v>16.026063659506828</v>
          </cell>
          <cell r="AG483">
            <v>20.469360058004284</v>
          </cell>
          <cell r="AH483">
            <v>17.881583490985356</v>
          </cell>
          <cell r="AI483">
            <v>15.547864889645153</v>
          </cell>
          <cell r="AJ483">
            <v>20.215302092325562</v>
          </cell>
          <cell r="AU483">
            <v>10.111615130573455</v>
          </cell>
          <cell r="AV483">
            <v>14.263722316306255</v>
          </cell>
          <cell r="AW483">
            <v>12.105561258724364</v>
          </cell>
          <cell r="AX483">
            <v>10.242049449424412</v>
          </cell>
          <cell r="AY483">
            <v>13.969073068024317</v>
          </cell>
        </row>
        <row r="484">
          <cell r="A484">
            <v>40214</v>
          </cell>
          <cell r="AF484">
            <v>15.977185867021332</v>
          </cell>
          <cell r="AG484">
            <v>20.469360058004284</v>
          </cell>
          <cell r="AH484">
            <v>17.881583490985356</v>
          </cell>
          <cell r="AI484">
            <v>15.547864889645153</v>
          </cell>
          <cell r="AJ484">
            <v>20.215302092325562</v>
          </cell>
          <cell r="AU484">
            <v>10.081619687047485</v>
          </cell>
          <cell r="AV484">
            <v>14.263722316306255</v>
          </cell>
          <cell r="AW484">
            <v>12.105561258724364</v>
          </cell>
          <cell r="AX484">
            <v>10.242049449424412</v>
          </cell>
          <cell r="AY484">
            <v>13.969073068024317</v>
          </cell>
        </row>
        <row r="485">
          <cell r="A485">
            <v>40217</v>
          </cell>
          <cell r="AF485">
            <v>16.177574259242107</v>
          </cell>
          <cell r="AG485">
            <v>20.469360058004284</v>
          </cell>
          <cell r="AH485">
            <v>17.881583490985356</v>
          </cell>
          <cell r="AI485">
            <v>15.547864889645153</v>
          </cell>
          <cell r="AJ485">
            <v>20.215302092325562</v>
          </cell>
          <cell r="AU485">
            <v>10.204594526876873</v>
          </cell>
          <cell r="AV485">
            <v>14.263722316306255</v>
          </cell>
          <cell r="AW485">
            <v>12.105561258724364</v>
          </cell>
          <cell r="AX485">
            <v>10.242049449424412</v>
          </cell>
          <cell r="AY485">
            <v>13.969073068024317</v>
          </cell>
        </row>
        <row r="486">
          <cell r="A486">
            <v>40218</v>
          </cell>
          <cell r="AF486">
            <v>16.588121616945028</v>
          </cell>
          <cell r="AG486">
            <v>20.469360058004284</v>
          </cell>
          <cell r="AH486">
            <v>17.881583490985356</v>
          </cell>
          <cell r="AI486">
            <v>15.547864889645153</v>
          </cell>
          <cell r="AJ486">
            <v>20.215302092325562</v>
          </cell>
          <cell r="AU486">
            <v>10.456540235889159</v>
          </cell>
          <cell r="AV486">
            <v>14.263722316306255</v>
          </cell>
          <cell r="AW486">
            <v>12.105561258724364</v>
          </cell>
          <cell r="AX486">
            <v>10.242049449424412</v>
          </cell>
          <cell r="AY486">
            <v>13.969073068024317</v>
          </cell>
        </row>
        <row r="487">
          <cell r="A487">
            <v>40219</v>
          </cell>
          <cell r="AF487">
            <v>16.514812259445783</v>
          </cell>
          <cell r="AG487">
            <v>20.469360058004284</v>
          </cell>
          <cell r="AH487">
            <v>17.881583490985356</v>
          </cell>
          <cell r="AI487">
            <v>15.547864889645153</v>
          </cell>
          <cell r="AJ487">
            <v>20.215302092325562</v>
          </cell>
          <cell r="AU487">
            <v>10.321364532480708</v>
          </cell>
          <cell r="AV487">
            <v>14.263722316306255</v>
          </cell>
          <cell r="AW487">
            <v>12.105561258724364</v>
          </cell>
          <cell r="AX487">
            <v>10.242049449424412</v>
          </cell>
          <cell r="AY487">
            <v>13.969073068024317</v>
          </cell>
        </row>
        <row r="488">
          <cell r="A488">
            <v>40220</v>
          </cell>
          <cell r="AF488">
            <v>16.154973083199085</v>
          </cell>
          <cell r="AG488">
            <v>20.469360058004284</v>
          </cell>
          <cell r="AH488">
            <v>17.881583490985356</v>
          </cell>
          <cell r="AI488">
            <v>15.547864889645153</v>
          </cell>
          <cell r="AJ488">
            <v>20.215302092325562</v>
          </cell>
          <cell r="AU488">
            <v>10.076766735884112</v>
          </cell>
          <cell r="AV488">
            <v>14.263722316306255</v>
          </cell>
          <cell r="AW488">
            <v>12.105561258724364</v>
          </cell>
          <cell r="AX488">
            <v>10.242049449424412</v>
          </cell>
          <cell r="AY488">
            <v>13.969073068024317</v>
          </cell>
        </row>
        <row r="489">
          <cell r="A489">
            <v>40221</v>
          </cell>
          <cell r="AF489">
            <v>15.973898858076717</v>
          </cell>
          <cell r="AG489">
            <v>20.469360058004284</v>
          </cell>
          <cell r="AH489">
            <v>17.881583490985356</v>
          </cell>
          <cell r="AI489">
            <v>15.547864889645153</v>
          </cell>
          <cell r="AJ489">
            <v>20.215302092325562</v>
          </cell>
          <cell r="AU489">
            <v>10.250863845959357</v>
          </cell>
          <cell r="AV489">
            <v>14.263722316306255</v>
          </cell>
          <cell r="AW489">
            <v>12.105561258724364</v>
          </cell>
          <cell r="AX489">
            <v>10.242049449424412</v>
          </cell>
          <cell r="AY489">
            <v>13.969073068024317</v>
          </cell>
        </row>
        <row r="490">
          <cell r="A490">
            <v>40224</v>
          </cell>
          <cell r="AF490">
            <v>16.256774693755247</v>
          </cell>
          <cell r="AG490">
            <v>20.469360058004284</v>
          </cell>
          <cell r="AH490">
            <v>17.881583490985356</v>
          </cell>
          <cell r="AI490">
            <v>15.547864889645153</v>
          </cell>
          <cell r="AJ490">
            <v>20.215302092325562</v>
          </cell>
          <cell r="AU490">
            <v>10.250863845959357</v>
          </cell>
          <cell r="AV490">
            <v>14.263722316306255</v>
          </cell>
          <cell r="AW490">
            <v>12.105561258724364</v>
          </cell>
          <cell r="AX490">
            <v>10.242049449424412</v>
          </cell>
          <cell r="AY490">
            <v>13.969073068024317</v>
          </cell>
        </row>
        <row r="491">
          <cell r="A491">
            <v>40225</v>
          </cell>
          <cell r="AF491">
            <v>16.441055495005738</v>
          </cell>
          <cell r="AG491">
            <v>20.469360058004284</v>
          </cell>
          <cell r="AH491">
            <v>17.881583490985356</v>
          </cell>
          <cell r="AI491">
            <v>15.547864889645153</v>
          </cell>
          <cell r="AJ491">
            <v>20.215302092325562</v>
          </cell>
          <cell r="AU491">
            <v>10.273771247373046</v>
          </cell>
          <cell r="AV491">
            <v>14.263722316306255</v>
          </cell>
          <cell r="AW491">
            <v>12.105561258724364</v>
          </cell>
          <cell r="AX491">
            <v>10.242049449424412</v>
          </cell>
          <cell r="AY491">
            <v>13.969073068024317</v>
          </cell>
        </row>
        <row r="492">
          <cell r="A492">
            <v>40226</v>
          </cell>
          <cell r="AF492">
            <v>16.585913489829593</v>
          </cell>
          <cell r="AG492">
            <v>20.469360058004284</v>
          </cell>
          <cell r="AH492">
            <v>17.881583490985356</v>
          </cell>
          <cell r="AI492">
            <v>15.547864889645153</v>
          </cell>
          <cell r="AJ492">
            <v>20.215302092325562</v>
          </cell>
          <cell r="AU492">
            <v>10.307368466016177</v>
          </cell>
          <cell r="AV492">
            <v>14.263722316306255</v>
          </cell>
          <cell r="AW492">
            <v>12.105561258724364</v>
          </cell>
          <cell r="AX492">
            <v>10.242049449424412</v>
          </cell>
          <cell r="AY492">
            <v>13.969073068024317</v>
          </cell>
        </row>
        <row r="493">
          <cell r="A493">
            <v>40227</v>
          </cell>
          <cell r="AF493">
            <v>16.681063161191105</v>
          </cell>
          <cell r="AG493">
            <v>20.469360058004284</v>
          </cell>
          <cell r="AH493">
            <v>17.881583490985356</v>
          </cell>
          <cell r="AI493">
            <v>15.547864889645153</v>
          </cell>
          <cell r="AJ493">
            <v>20.215302092325562</v>
          </cell>
          <cell r="AU493">
            <v>10.36540010878881</v>
          </cell>
          <cell r="AV493">
            <v>14.263722316306255</v>
          </cell>
          <cell r="AW493">
            <v>12.105561258724364</v>
          </cell>
          <cell r="AX493">
            <v>10.242049449424412</v>
          </cell>
          <cell r="AY493">
            <v>13.969073068024317</v>
          </cell>
        </row>
        <row r="494">
          <cell r="A494">
            <v>40228</v>
          </cell>
          <cell r="AF494">
            <v>16.495768638499378</v>
          </cell>
          <cell r="AG494">
            <v>20.469360058004284</v>
          </cell>
          <cell r="AH494">
            <v>17.881583490985356</v>
          </cell>
          <cell r="AI494">
            <v>15.547864889645153</v>
          </cell>
          <cell r="AJ494">
            <v>20.215302092325562</v>
          </cell>
          <cell r="AU494">
            <v>10.25238925552252</v>
          </cell>
          <cell r="AV494">
            <v>14.263722316306255</v>
          </cell>
          <cell r="AW494">
            <v>12.105561258724364</v>
          </cell>
          <cell r="AX494">
            <v>10.242049449424412</v>
          </cell>
          <cell r="AY494">
            <v>13.969073068024317</v>
          </cell>
        </row>
        <row r="495">
          <cell r="A495">
            <v>40231</v>
          </cell>
          <cell r="AF495">
            <v>16.430671924884347</v>
          </cell>
          <cell r="AG495">
            <v>20.469360058004284</v>
          </cell>
          <cell r="AH495">
            <v>17.881583490985356</v>
          </cell>
          <cell r="AI495">
            <v>15.547864889645153</v>
          </cell>
          <cell r="AJ495">
            <v>20.215302092325562</v>
          </cell>
          <cell r="AU495">
            <v>10.212686866894956</v>
          </cell>
          <cell r="AV495">
            <v>14.263722316306255</v>
          </cell>
          <cell r="AW495">
            <v>12.105561258724364</v>
          </cell>
          <cell r="AX495">
            <v>10.242049449424412</v>
          </cell>
          <cell r="AY495">
            <v>13.969073068024317</v>
          </cell>
        </row>
        <row r="496">
          <cell r="A496">
            <v>40232</v>
          </cell>
          <cell r="AF496">
            <v>16.440682065729423</v>
          </cell>
          <cell r="AG496">
            <v>20.469360058004284</v>
          </cell>
          <cell r="AH496">
            <v>17.881583490985356</v>
          </cell>
          <cell r="AI496">
            <v>15.547864889645153</v>
          </cell>
          <cell r="AJ496">
            <v>20.215302092325562</v>
          </cell>
          <cell r="AU496">
            <v>10.218792036879389</v>
          </cell>
          <cell r="AV496">
            <v>14.263722316306255</v>
          </cell>
          <cell r="AW496">
            <v>12.105561258724364</v>
          </cell>
          <cell r="AX496">
            <v>10.242049449424412</v>
          </cell>
          <cell r="AY496">
            <v>13.969073068024317</v>
          </cell>
        </row>
        <row r="497">
          <cell r="A497">
            <v>40233</v>
          </cell>
          <cell r="AF497">
            <v>16.525821596245862</v>
          </cell>
          <cell r="AG497">
            <v>20.469360058004284</v>
          </cell>
          <cell r="AH497">
            <v>17.881583490985356</v>
          </cell>
          <cell r="AI497">
            <v>15.547864889645153</v>
          </cell>
          <cell r="AJ497">
            <v>20.215302092325562</v>
          </cell>
          <cell r="AU497">
            <v>10.270718509667587</v>
          </cell>
          <cell r="AV497">
            <v>14.263722316306255</v>
          </cell>
          <cell r="AW497">
            <v>12.105561258724364</v>
          </cell>
          <cell r="AX497">
            <v>10.242049449424412</v>
          </cell>
          <cell r="AY497">
            <v>13.969073068024317</v>
          </cell>
        </row>
        <row r="498">
          <cell r="A498">
            <v>40234</v>
          </cell>
          <cell r="AF498">
            <v>16.495768638499378</v>
          </cell>
          <cell r="AG498">
            <v>20.469360058004284</v>
          </cell>
          <cell r="AH498">
            <v>17.881583490985356</v>
          </cell>
          <cell r="AI498">
            <v>15.547864889645153</v>
          </cell>
          <cell r="AJ498">
            <v>20.215302092325562</v>
          </cell>
          <cell r="AU498">
            <v>10.25238925552252</v>
          </cell>
          <cell r="AV498">
            <v>14.263722316306255</v>
          </cell>
          <cell r="AW498">
            <v>12.105561258724364</v>
          </cell>
          <cell r="AX498">
            <v>10.242049449424412</v>
          </cell>
          <cell r="AY498">
            <v>13.969073068024317</v>
          </cell>
        </row>
        <row r="499">
          <cell r="A499">
            <v>40235</v>
          </cell>
          <cell r="AF499">
            <v>16.570890516433657</v>
          </cell>
          <cell r="AG499">
            <v>20.469360058004284</v>
          </cell>
          <cell r="AH499">
            <v>17.881583490985356</v>
          </cell>
          <cell r="AI499">
            <v>15.547864889645153</v>
          </cell>
          <cell r="AJ499">
            <v>20.215302092325562</v>
          </cell>
          <cell r="AU499">
            <v>10.298205976929028</v>
          </cell>
          <cell r="AV499">
            <v>14.263722316306255</v>
          </cell>
          <cell r="AW499">
            <v>12.105561258724364</v>
          </cell>
          <cell r="AX499">
            <v>10.242049449424412</v>
          </cell>
          <cell r="AY499">
            <v>13.969073068024317</v>
          </cell>
        </row>
        <row r="500">
          <cell r="A500">
            <v>40238</v>
          </cell>
          <cell r="AF500">
            <v>16.678365211989441</v>
          </cell>
          <cell r="AG500">
            <v>20.469360058004284</v>
          </cell>
          <cell r="AH500">
            <v>17.881583490985356</v>
          </cell>
          <cell r="AI500">
            <v>15.547864889645153</v>
          </cell>
          <cell r="AJ500">
            <v>20.215302092325562</v>
          </cell>
          <cell r="AU500">
            <v>10.373856876010226</v>
          </cell>
          <cell r="AV500">
            <v>14.263722316306255</v>
          </cell>
          <cell r="AW500">
            <v>12.105561258724364</v>
          </cell>
          <cell r="AX500">
            <v>10.242049449424412</v>
          </cell>
          <cell r="AY500">
            <v>13.969073068024317</v>
          </cell>
        </row>
        <row r="501">
          <cell r="A501">
            <v>40239</v>
          </cell>
          <cell r="AF501">
            <v>16.817516757260442</v>
          </cell>
          <cell r="AG501">
            <v>20.469360058004284</v>
          </cell>
          <cell r="AH501">
            <v>17.881583490985356</v>
          </cell>
          <cell r="AI501">
            <v>15.547864889645153</v>
          </cell>
          <cell r="AJ501">
            <v>20.215302092325562</v>
          </cell>
          <cell r="AU501">
            <v>10.458819878943515</v>
          </cell>
          <cell r="AV501">
            <v>14.263722316306255</v>
          </cell>
          <cell r="AW501">
            <v>12.105561258724364</v>
          </cell>
          <cell r="AX501">
            <v>10.242049449424412</v>
          </cell>
          <cell r="AY501">
            <v>13.969073068024317</v>
          </cell>
        </row>
        <row r="502">
          <cell r="A502">
            <v>40240</v>
          </cell>
          <cell r="AF502">
            <v>16.80260810684889</v>
          </cell>
          <cell r="AG502">
            <v>20.469360058004284</v>
          </cell>
          <cell r="AH502">
            <v>17.881583490985356</v>
          </cell>
          <cell r="AI502">
            <v>15.547864889645153</v>
          </cell>
          <cell r="AJ502">
            <v>20.215302092325562</v>
          </cell>
          <cell r="AU502">
            <v>10.449716970986717</v>
          </cell>
          <cell r="AV502">
            <v>14.263722316306255</v>
          </cell>
          <cell r="AW502">
            <v>12.105561258724364</v>
          </cell>
          <cell r="AX502">
            <v>10.242049449424412</v>
          </cell>
          <cell r="AY502">
            <v>13.969073068024317</v>
          </cell>
        </row>
        <row r="503">
          <cell r="A503">
            <v>40241</v>
          </cell>
          <cell r="AF503">
            <v>16.83817366702938</v>
          </cell>
          <cell r="AG503">
            <v>20.469360058004284</v>
          </cell>
          <cell r="AH503">
            <v>17.881583490985356</v>
          </cell>
          <cell r="AI503">
            <v>15.547864889645153</v>
          </cell>
          <cell r="AJ503">
            <v>20.215302092325562</v>
          </cell>
          <cell r="AU503">
            <v>10.461852462100298</v>
          </cell>
          <cell r="AV503">
            <v>14.263722316306255</v>
          </cell>
          <cell r="AW503">
            <v>12.105561258724364</v>
          </cell>
          <cell r="AX503">
            <v>10.242049449424412</v>
          </cell>
          <cell r="AY503">
            <v>13.969073068024317</v>
          </cell>
        </row>
        <row r="504">
          <cell r="A504">
            <v>40242</v>
          </cell>
          <cell r="AF504">
            <v>17.076940525415825</v>
          </cell>
          <cell r="AG504">
            <v>20.469360058004284</v>
          </cell>
          <cell r="AH504">
            <v>17.881583490985356</v>
          </cell>
          <cell r="AI504">
            <v>15.547864889645153</v>
          </cell>
          <cell r="AJ504">
            <v>20.215302092325562</v>
          </cell>
          <cell r="AU504">
            <v>10.607502630693645</v>
          </cell>
          <cell r="AV504">
            <v>14.263722316306255</v>
          </cell>
          <cell r="AW504">
            <v>12.105561258724364</v>
          </cell>
          <cell r="AX504">
            <v>10.242049449424412</v>
          </cell>
          <cell r="AY504">
            <v>13.969073068024317</v>
          </cell>
        </row>
        <row r="505">
          <cell r="A505">
            <v>40245</v>
          </cell>
          <cell r="AF505">
            <v>17.057046603450956</v>
          </cell>
          <cell r="AG505">
            <v>20.469360058004284</v>
          </cell>
          <cell r="AH505">
            <v>17.881583490985356</v>
          </cell>
          <cell r="AI505">
            <v>15.547864889645153</v>
          </cell>
          <cell r="AJ505">
            <v>20.215302092325562</v>
          </cell>
          <cell r="AU505">
            <v>10.595367139580064</v>
          </cell>
          <cell r="AV505">
            <v>14.263722316306255</v>
          </cell>
          <cell r="AW505">
            <v>12.105561258724364</v>
          </cell>
          <cell r="AX505">
            <v>10.242049449424412</v>
          </cell>
          <cell r="AY505">
            <v>13.969073068024317</v>
          </cell>
        </row>
        <row r="506">
          <cell r="A506">
            <v>40246</v>
          </cell>
          <cell r="AF506">
            <v>17.211249992227579</v>
          </cell>
          <cell r="AG506">
            <v>20.469360058004284</v>
          </cell>
          <cell r="AH506">
            <v>17.881583490985356</v>
          </cell>
          <cell r="AI506">
            <v>15.547864889645153</v>
          </cell>
          <cell r="AJ506">
            <v>20.215302092325562</v>
          </cell>
          <cell r="AU506">
            <v>10.689432747029777</v>
          </cell>
          <cell r="AV506">
            <v>14.263722316306255</v>
          </cell>
          <cell r="AW506">
            <v>12.105561258724364</v>
          </cell>
          <cell r="AX506">
            <v>10.242049449424412</v>
          </cell>
          <cell r="AY506">
            <v>13.969073068024317</v>
          </cell>
        </row>
        <row r="507">
          <cell r="A507">
            <v>40247</v>
          </cell>
          <cell r="AF507">
            <v>17.246074428726875</v>
          </cell>
          <cell r="AG507">
            <v>20.469360058004284</v>
          </cell>
          <cell r="AH507">
            <v>17.881583490985356</v>
          </cell>
          <cell r="AI507">
            <v>15.547864889645153</v>
          </cell>
          <cell r="AJ507">
            <v>20.215302092325562</v>
          </cell>
          <cell r="AU507">
            <v>10.710676001146231</v>
          </cell>
          <cell r="AV507">
            <v>14.263722316306255</v>
          </cell>
          <cell r="AW507">
            <v>12.105561258724364</v>
          </cell>
          <cell r="AX507">
            <v>10.242049449424412</v>
          </cell>
          <cell r="AY507">
            <v>13.969073068024317</v>
          </cell>
        </row>
        <row r="508">
          <cell r="A508">
            <v>40248</v>
          </cell>
          <cell r="AF508">
            <v>17.310735519975129</v>
          </cell>
          <cell r="AG508">
            <v>20.469360058004284</v>
          </cell>
          <cell r="AH508">
            <v>17.881583490985356</v>
          </cell>
          <cell r="AI508">
            <v>15.547864889645153</v>
          </cell>
          <cell r="AJ508">
            <v>20.215302092325562</v>
          </cell>
          <cell r="AU508">
            <v>10.750119912689829</v>
          </cell>
          <cell r="AV508">
            <v>14.263722316306255</v>
          </cell>
          <cell r="AW508">
            <v>12.105561258724364</v>
          </cell>
          <cell r="AX508">
            <v>10.242049449424412</v>
          </cell>
          <cell r="AY508">
            <v>13.969073068024317</v>
          </cell>
        </row>
        <row r="509">
          <cell r="A509">
            <v>40249</v>
          </cell>
          <cell r="AF509">
            <v>17.295813461837401</v>
          </cell>
          <cell r="AG509">
            <v>20.469360058004284</v>
          </cell>
          <cell r="AH509">
            <v>17.881583490985356</v>
          </cell>
          <cell r="AI509">
            <v>15.547864889645153</v>
          </cell>
          <cell r="AJ509">
            <v>20.215302092325562</v>
          </cell>
          <cell r="AU509">
            <v>10.741017308173411</v>
          </cell>
          <cell r="AV509">
            <v>14.263722316306255</v>
          </cell>
          <cell r="AW509">
            <v>12.105561258724364</v>
          </cell>
          <cell r="AX509">
            <v>10.242049449424412</v>
          </cell>
          <cell r="AY509">
            <v>13.969073068024317</v>
          </cell>
        </row>
        <row r="510">
          <cell r="A510">
            <v>40252</v>
          </cell>
          <cell r="AF510">
            <v>17.295813461837401</v>
          </cell>
          <cell r="AG510">
            <v>20.469360058004284</v>
          </cell>
          <cell r="AH510">
            <v>17.881583490985356</v>
          </cell>
          <cell r="AI510">
            <v>15.547864889645153</v>
          </cell>
          <cell r="AJ510">
            <v>20.215302092325562</v>
          </cell>
          <cell r="AU510">
            <v>10.669973984047703</v>
          </cell>
          <cell r="AV510">
            <v>14.263722316306255</v>
          </cell>
          <cell r="AW510">
            <v>12.105561258724364</v>
          </cell>
          <cell r="AX510">
            <v>10.242049449424412</v>
          </cell>
          <cell r="AY510">
            <v>13.969073068024317</v>
          </cell>
        </row>
        <row r="511">
          <cell r="A511">
            <v>40253</v>
          </cell>
          <cell r="AF511">
            <v>17.226172547800406</v>
          </cell>
          <cell r="AG511">
            <v>20.469360058004284</v>
          </cell>
          <cell r="AH511">
            <v>17.881583490985356</v>
          </cell>
          <cell r="AI511">
            <v>15.547864889645153</v>
          </cell>
          <cell r="AJ511">
            <v>20.215302092325562</v>
          </cell>
          <cell r="AU511">
            <v>10.627778384016981</v>
          </cell>
          <cell r="AV511">
            <v>14.263722316306255</v>
          </cell>
          <cell r="AW511">
            <v>12.105561258724364</v>
          </cell>
          <cell r="AX511">
            <v>10.242049449424412</v>
          </cell>
          <cell r="AY511">
            <v>13.969073068024317</v>
          </cell>
        </row>
        <row r="512">
          <cell r="A512">
            <v>40254</v>
          </cell>
          <cell r="AF512">
            <v>17.246074428726875</v>
          </cell>
          <cell r="AG512">
            <v>20.469360058004284</v>
          </cell>
          <cell r="AH512">
            <v>17.881583490985356</v>
          </cell>
          <cell r="AI512">
            <v>15.547864889645153</v>
          </cell>
          <cell r="AJ512">
            <v>20.215302092325562</v>
          </cell>
          <cell r="AU512">
            <v>10.639836982314332</v>
          </cell>
          <cell r="AV512">
            <v>14.263722316306255</v>
          </cell>
          <cell r="AW512">
            <v>12.105561258724364</v>
          </cell>
          <cell r="AX512">
            <v>10.242049449424412</v>
          </cell>
          <cell r="AY512">
            <v>13.969073068024317</v>
          </cell>
        </row>
        <row r="513">
          <cell r="A513">
            <v>40255</v>
          </cell>
          <cell r="AF513">
            <v>17.136637711798542</v>
          </cell>
          <cell r="AG513">
            <v>20.469360058004284</v>
          </cell>
          <cell r="AH513">
            <v>17.881583490985356</v>
          </cell>
          <cell r="AI513">
            <v>15.547864889645153</v>
          </cell>
          <cell r="AJ513">
            <v>20.215302092325562</v>
          </cell>
          <cell r="AU513">
            <v>10.573529008043199</v>
          </cell>
          <cell r="AV513">
            <v>14.263722316306255</v>
          </cell>
          <cell r="AW513">
            <v>12.105561258724364</v>
          </cell>
          <cell r="AX513">
            <v>10.242049449424412</v>
          </cell>
          <cell r="AY513">
            <v>13.969073068024317</v>
          </cell>
        </row>
        <row r="514">
          <cell r="A514">
            <v>40256</v>
          </cell>
          <cell r="AF514">
            <v>16.98243432302192</v>
          </cell>
          <cell r="AG514">
            <v>20.469360058004284</v>
          </cell>
          <cell r="AH514">
            <v>17.881583490985356</v>
          </cell>
          <cell r="AI514">
            <v>15.547864889645153</v>
          </cell>
          <cell r="AJ514">
            <v>20.215302092325562</v>
          </cell>
          <cell r="AU514">
            <v>10.480096797880888</v>
          </cell>
          <cell r="AV514">
            <v>14.263722316306255</v>
          </cell>
          <cell r="AW514">
            <v>12.105561258724364</v>
          </cell>
          <cell r="AX514">
            <v>10.242049449424412</v>
          </cell>
          <cell r="AY514">
            <v>13.969073068024317</v>
          </cell>
        </row>
        <row r="515">
          <cell r="A515">
            <v>40259</v>
          </cell>
          <cell r="AF515">
            <v>17.171454686771337</v>
          </cell>
          <cell r="AG515">
            <v>20.469360058004284</v>
          </cell>
          <cell r="AH515">
            <v>17.881583490985356</v>
          </cell>
          <cell r="AI515">
            <v>15.547864889645153</v>
          </cell>
          <cell r="AJ515">
            <v>20.215302092325562</v>
          </cell>
          <cell r="AU515">
            <v>10.594624698278558</v>
          </cell>
          <cell r="AV515">
            <v>14.263722316306255</v>
          </cell>
          <cell r="AW515">
            <v>12.105561258724364</v>
          </cell>
          <cell r="AX515">
            <v>10.242049449424412</v>
          </cell>
          <cell r="AY515">
            <v>13.969073068024317</v>
          </cell>
        </row>
        <row r="516">
          <cell r="A516">
            <v>40260</v>
          </cell>
          <cell r="AF516">
            <v>17.201299300481892</v>
          </cell>
          <cell r="AG516">
            <v>20.469360058004284</v>
          </cell>
          <cell r="AH516">
            <v>17.881583490985356</v>
          </cell>
          <cell r="AI516">
            <v>15.547864889645153</v>
          </cell>
          <cell r="AJ516">
            <v>20.215302092325562</v>
          </cell>
          <cell r="AU516">
            <v>10.612707622671726</v>
          </cell>
          <cell r="AV516">
            <v>14.263722316306255</v>
          </cell>
          <cell r="AW516">
            <v>12.105561258724364</v>
          </cell>
          <cell r="AX516">
            <v>10.242049449424412</v>
          </cell>
          <cell r="AY516">
            <v>13.969073068024317</v>
          </cell>
        </row>
        <row r="517">
          <cell r="A517">
            <v>40261</v>
          </cell>
          <cell r="AF517">
            <v>17.042124047878129</v>
          </cell>
          <cell r="AG517">
            <v>20.469360058004284</v>
          </cell>
          <cell r="AH517">
            <v>17.881583490985356</v>
          </cell>
          <cell r="AI517">
            <v>15.547864889645153</v>
          </cell>
          <cell r="AJ517">
            <v>20.215302092325562</v>
          </cell>
          <cell r="AU517">
            <v>10.516262948064362</v>
          </cell>
          <cell r="AV517">
            <v>14.263722316306255</v>
          </cell>
          <cell r="AW517">
            <v>12.105561258724364</v>
          </cell>
          <cell r="AX517">
            <v>10.242049449424412</v>
          </cell>
          <cell r="AY517">
            <v>13.969073068024317</v>
          </cell>
        </row>
        <row r="518">
          <cell r="A518">
            <v>40262</v>
          </cell>
          <cell r="AF518">
            <v>17.088198757763973</v>
          </cell>
          <cell r="AG518">
            <v>20.469360058004284</v>
          </cell>
          <cell r="AH518">
            <v>17.881583490985356</v>
          </cell>
          <cell r="AI518">
            <v>15.547864889645153</v>
          </cell>
          <cell r="AJ518">
            <v>20.215302092325562</v>
          </cell>
          <cell r="AU518">
            <v>10.509002040712643</v>
          </cell>
          <cell r="AV518">
            <v>14.263722316306255</v>
          </cell>
          <cell r="AW518">
            <v>12.105561258724364</v>
          </cell>
          <cell r="AX518">
            <v>10.242049449424412</v>
          </cell>
          <cell r="AY518">
            <v>13.969073068024317</v>
          </cell>
        </row>
        <row r="519">
          <cell r="A519">
            <v>40263</v>
          </cell>
          <cell r="AF519">
            <v>16.978881490683229</v>
          </cell>
          <cell r="AG519">
            <v>20.469360058004284</v>
          </cell>
          <cell r="AH519">
            <v>17.881583490985356</v>
          </cell>
          <cell r="AI519">
            <v>15.547864889645153</v>
          </cell>
          <cell r="AJ519">
            <v>20.215302092325562</v>
          </cell>
          <cell r="AU519">
            <v>10.442986122102909</v>
          </cell>
          <cell r="AV519">
            <v>14.263722316306255</v>
          </cell>
          <cell r="AW519">
            <v>12.105561258724364</v>
          </cell>
          <cell r="AX519">
            <v>10.242049449424412</v>
          </cell>
          <cell r="AY519">
            <v>13.969073068024317</v>
          </cell>
        </row>
        <row r="520">
          <cell r="A520">
            <v>40266</v>
          </cell>
          <cell r="AF520">
            <v>17.132917267080742</v>
          </cell>
          <cell r="AG520">
            <v>20.469360058004284</v>
          </cell>
          <cell r="AH520">
            <v>17.881583490985356</v>
          </cell>
          <cell r="AI520">
            <v>15.547864889645153</v>
          </cell>
          <cell r="AJ520">
            <v>20.215302092325562</v>
          </cell>
          <cell r="AU520">
            <v>10.536007229830883</v>
          </cell>
          <cell r="AV520">
            <v>14.263722316306255</v>
          </cell>
          <cell r="AW520">
            <v>12.105561258724364</v>
          </cell>
          <cell r="AX520">
            <v>10.242049449424412</v>
          </cell>
          <cell r="AY520">
            <v>13.969073068024317</v>
          </cell>
        </row>
        <row r="521">
          <cell r="A521">
            <v>40267</v>
          </cell>
          <cell r="AF521">
            <v>17.291919503105589</v>
          </cell>
          <cell r="AG521">
            <v>20.469360058004284</v>
          </cell>
          <cell r="AH521">
            <v>17.881583490985356</v>
          </cell>
          <cell r="AI521">
            <v>15.547864889645153</v>
          </cell>
          <cell r="AJ521">
            <v>20.215302092325562</v>
          </cell>
          <cell r="AU521">
            <v>10.631089172729503</v>
          </cell>
          <cell r="AV521">
            <v>14.263722316306255</v>
          </cell>
          <cell r="AW521">
            <v>12.105561258724364</v>
          </cell>
          <cell r="AX521">
            <v>10.242049449424412</v>
          </cell>
          <cell r="AY521">
            <v>13.969073068024317</v>
          </cell>
        </row>
        <row r="522">
          <cell r="A522">
            <v>40268</v>
          </cell>
          <cell r="AF522">
            <v>17.331672049689438</v>
          </cell>
          <cell r="AG522">
            <v>20.469360058004284</v>
          </cell>
          <cell r="AH522">
            <v>17.881583490985356</v>
          </cell>
          <cell r="AI522">
            <v>15.547864889645153</v>
          </cell>
          <cell r="AJ522">
            <v>20.215302092325562</v>
          </cell>
          <cell r="AU522">
            <v>10.655093333564722</v>
          </cell>
          <cell r="AV522">
            <v>14.263722316306255</v>
          </cell>
          <cell r="AW522">
            <v>12.105561258724364</v>
          </cell>
          <cell r="AX522">
            <v>10.242049449424412</v>
          </cell>
          <cell r="AY522">
            <v>13.969073068024317</v>
          </cell>
        </row>
        <row r="523">
          <cell r="A523">
            <v>40269</v>
          </cell>
          <cell r="AF523">
            <v>16.999176335252319</v>
          </cell>
          <cell r="AG523">
            <v>20.469360058004284</v>
          </cell>
          <cell r="AH523">
            <v>17.881583490985356</v>
          </cell>
          <cell r="AI523">
            <v>15.547864889645153</v>
          </cell>
          <cell r="AJ523">
            <v>20.215302092325562</v>
          </cell>
          <cell r="AU523">
            <v>10.468971346316557</v>
          </cell>
          <cell r="AV523">
            <v>14.263722316306255</v>
          </cell>
          <cell r="AW523">
            <v>12.105561258724364</v>
          </cell>
          <cell r="AX523">
            <v>10.242049449424412</v>
          </cell>
          <cell r="AY523">
            <v>13.969073068024317</v>
          </cell>
        </row>
        <row r="524">
          <cell r="A524">
            <v>40270</v>
          </cell>
          <cell r="AF524">
            <v>16.999176335252319</v>
          </cell>
          <cell r="AG524">
            <v>20.469360058004284</v>
          </cell>
          <cell r="AH524">
            <v>17.881583490985356</v>
          </cell>
          <cell r="AI524">
            <v>15.547864889645153</v>
          </cell>
          <cell r="AJ524">
            <v>20.215302092325562</v>
          </cell>
          <cell r="AU524">
            <v>10.468971346316557</v>
          </cell>
          <cell r="AV524">
            <v>14.263722316306255</v>
          </cell>
          <cell r="AW524">
            <v>12.105561258724364</v>
          </cell>
          <cell r="AX524">
            <v>10.242049449424412</v>
          </cell>
          <cell r="AY524">
            <v>13.969073068024317</v>
          </cell>
        </row>
        <row r="525">
          <cell r="A525">
            <v>40273</v>
          </cell>
          <cell r="AF525">
            <v>17.053408545605649</v>
          </cell>
          <cell r="AG525">
            <v>20.469360058004284</v>
          </cell>
          <cell r="AH525">
            <v>17.881583490985356</v>
          </cell>
          <cell r="AI525">
            <v>15.547864889645153</v>
          </cell>
          <cell r="AJ525">
            <v>20.215302092325562</v>
          </cell>
          <cell r="AU525">
            <v>10.50176943987727</v>
          </cell>
          <cell r="AV525">
            <v>14.263722316306255</v>
          </cell>
          <cell r="AW525">
            <v>12.105561258724364</v>
          </cell>
          <cell r="AX525">
            <v>10.242049449424412</v>
          </cell>
          <cell r="AY525">
            <v>13.969073068024317</v>
          </cell>
        </row>
        <row r="526">
          <cell r="A526">
            <v>40274</v>
          </cell>
          <cell r="AF526">
            <v>17.186517337717415</v>
          </cell>
          <cell r="AG526">
            <v>20.469360058004284</v>
          </cell>
          <cell r="AH526">
            <v>17.881583490985356</v>
          </cell>
          <cell r="AI526">
            <v>15.547864889645153</v>
          </cell>
          <cell r="AJ526">
            <v>20.215302092325562</v>
          </cell>
          <cell r="AU526">
            <v>10.582269839713303</v>
          </cell>
          <cell r="AV526">
            <v>14.263722316306255</v>
          </cell>
          <cell r="AW526">
            <v>12.105561258724364</v>
          </cell>
          <cell r="AX526">
            <v>10.242049449424412</v>
          </cell>
          <cell r="AY526">
            <v>13.969073068024317</v>
          </cell>
        </row>
        <row r="527">
          <cell r="A527">
            <v>40275</v>
          </cell>
          <cell r="AF527">
            <v>16.944944617914597</v>
          </cell>
          <cell r="AG527">
            <v>20.469360058004284</v>
          </cell>
          <cell r="AH527">
            <v>17.881583490985356</v>
          </cell>
          <cell r="AI527">
            <v>15.547864889645153</v>
          </cell>
          <cell r="AJ527">
            <v>20.215302092325562</v>
          </cell>
          <cell r="AU527">
            <v>10.436173550917619</v>
          </cell>
          <cell r="AV527">
            <v>14.263722316306255</v>
          </cell>
          <cell r="AW527">
            <v>12.105561258724364</v>
          </cell>
          <cell r="AX527">
            <v>10.242049449424412</v>
          </cell>
          <cell r="AY527">
            <v>13.969073068024317</v>
          </cell>
        </row>
        <row r="528">
          <cell r="A528">
            <v>40276</v>
          </cell>
          <cell r="AF528">
            <v>16.925219556287644</v>
          </cell>
          <cell r="AG528">
            <v>20.469360058004284</v>
          </cell>
          <cell r="AH528">
            <v>17.881583490985356</v>
          </cell>
          <cell r="AI528">
            <v>15.547864889645153</v>
          </cell>
          <cell r="AJ528">
            <v>20.215302092325562</v>
          </cell>
          <cell r="AU528">
            <v>10.424244396407474</v>
          </cell>
          <cell r="AV528">
            <v>14.263722316306255</v>
          </cell>
          <cell r="AW528">
            <v>12.105561258724364</v>
          </cell>
          <cell r="AX528">
            <v>10.242049449424412</v>
          </cell>
          <cell r="AY528">
            <v>13.969073068024317</v>
          </cell>
        </row>
        <row r="529">
          <cell r="A529">
            <v>40277</v>
          </cell>
          <cell r="AF529">
            <v>17.078060805260542</v>
          </cell>
          <cell r="AG529">
            <v>20.469360058004284</v>
          </cell>
          <cell r="AH529">
            <v>17.881583490985356</v>
          </cell>
          <cell r="AI529">
            <v>15.547864889645153</v>
          </cell>
          <cell r="AJ529">
            <v>20.215302092325562</v>
          </cell>
          <cell r="AU529">
            <v>10.516678423180297</v>
          </cell>
          <cell r="AV529">
            <v>14.263722316306255</v>
          </cell>
          <cell r="AW529">
            <v>12.105561258724364</v>
          </cell>
          <cell r="AX529">
            <v>10.242049449424412</v>
          </cell>
          <cell r="AY529">
            <v>13.969073068024317</v>
          </cell>
        </row>
        <row r="530">
          <cell r="A530">
            <v>40280</v>
          </cell>
          <cell r="AF530">
            <v>17.023828594907208</v>
          </cell>
          <cell r="AG530">
            <v>20.469360058004284</v>
          </cell>
          <cell r="AH530">
            <v>17.881583490985356</v>
          </cell>
          <cell r="AI530">
            <v>15.547864889645153</v>
          </cell>
          <cell r="AJ530">
            <v>20.215302092325562</v>
          </cell>
          <cell r="AU530">
            <v>10.483880329619582</v>
          </cell>
          <cell r="AV530">
            <v>14.263722316306255</v>
          </cell>
          <cell r="AW530">
            <v>12.105561258724364</v>
          </cell>
          <cell r="AX530">
            <v>10.242049449424412</v>
          </cell>
          <cell r="AY530">
            <v>13.969073068024317</v>
          </cell>
        </row>
        <row r="531">
          <cell r="A531">
            <v>40281</v>
          </cell>
          <cell r="AF531">
            <v>17.186517337717415</v>
          </cell>
          <cell r="AG531">
            <v>20.469360058004284</v>
          </cell>
          <cell r="AH531">
            <v>17.881583490985356</v>
          </cell>
          <cell r="AI531">
            <v>15.547864889645153</v>
          </cell>
          <cell r="AJ531">
            <v>20.215302092325562</v>
          </cell>
          <cell r="AU531">
            <v>10.582269839713303</v>
          </cell>
          <cell r="AV531">
            <v>14.263722316306255</v>
          </cell>
          <cell r="AW531">
            <v>12.105561258724364</v>
          </cell>
          <cell r="AX531">
            <v>10.242049449424412</v>
          </cell>
          <cell r="AY531">
            <v>13.969073068024317</v>
          </cell>
        </row>
        <row r="532">
          <cell r="A532">
            <v>40282</v>
          </cell>
          <cell r="AF532">
            <v>17.3492134757618</v>
          </cell>
          <cell r="AG532">
            <v>20.469360058004284</v>
          </cell>
          <cell r="AH532">
            <v>17.881583490985356</v>
          </cell>
          <cell r="AI532">
            <v>15.547864889645153</v>
          </cell>
          <cell r="AJ532">
            <v>20.215302092325562</v>
          </cell>
          <cell r="AU532">
            <v>10.680663822233665</v>
          </cell>
          <cell r="AV532">
            <v>14.263722316306255</v>
          </cell>
          <cell r="AW532">
            <v>12.105561258724364</v>
          </cell>
          <cell r="AX532">
            <v>10.242049449424412</v>
          </cell>
          <cell r="AY532">
            <v>13.969073068024317</v>
          </cell>
        </row>
        <row r="533">
          <cell r="A533">
            <v>40283</v>
          </cell>
          <cell r="AF533">
            <v>17.472467378802076</v>
          </cell>
          <cell r="AG533">
            <v>20.469360058004284</v>
          </cell>
          <cell r="AH533">
            <v>17.881583490985356</v>
          </cell>
          <cell r="AI533">
            <v>15.547864889645153</v>
          </cell>
          <cell r="AJ533">
            <v>20.215302092325562</v>
          </cell>
          <cell r="AU533">
            <v>10.755204266322158</v>
          </cell>
          <cell r="AV533">
            <v>14.263722316306255</v>
          </cell>
          <cell r="AW533">
            <v>12.105561258724364</v>
          </cell>
          <cell r="AX533">
            <v>10.242049449424412</v>
          </cell>
          <cell r="AY533">
            <v>13.969073068024317</v>
          </cell>
        </row>
        <row r="534">
          <cell r="A534">
            <v>40284</v>
          </cell>
          <cell r="AF534">
            <v>17.230894165983649</v>
          </cell>
          <cell r="AG534">
            <v>20.469360058004284</v>
          </cell>
          <cell r="AH534">
            <v>17.881583490985356</v>
          </cell>
          <cell r="AI534">
            <v>15.547864889645153</v>
          </cell>
          <cell r="AJ534">
            <v>20.215302092325562</v>
          </cell>
          <cell r="AU534">
            <v>10.609107679364701</v>
          </cell>
          <cell r="AV534">
            <v>14.263722316306255</v>
          </cell>
          <cell r="AW534">
            <v>12.105561258724364</v>
          </cell>
          <cell r="AX534">
            <v>10.242049449424412</v>
          </cell>
          <cell r="AY534">
            <v>13.969073068024317</v>
          </cell>
        </row>
        <row r="535">
          <cell r="A535">
            <v>40287</v>
          </cell>
          <cell r="AF535">
            <v>17.127357929336146</v>
          </cell>
          <cell r="AG535">
            <v>20.469360058004284</v>
          </cell>
          <cell r="AH535">
            <v>17.881583490985356</v>
          </cell>
          <cell r="AI535">
            <v>15.547864889645153</v>
          </cell>
          <cell r="AJ535">
            <v>20.215302092325562</v>
          </cell>
          <cell r="AU535">
            <v>10.546491917359708</v>
          </cell>
          <cell r="AV535">
            <v>14.263722316306255</v>
          </cell>
          <cell r="AW535">
            <v>12.105561258724364</v>
          </cell>
          <cell r="AX535">
            <v>10.242049449424412</v>
          </cell>
          <cell r="AY535">
            <v>13.969073068024317</v>
          </cell>
        </row>
        <row r="536">
          <cell r="A536">
            <v>40288</v>
          </cell>
          <cell r="AF536">
            <v>17.393590304028034</v>
          </cell>
          <cell r="AG536">
            <v>20.469360058004284</v>
          </cell>
          <cell r="AH536">
            <v>17.881583490985356</v>
          </cell>
          <cell r="AI536">
            <v>15.547864889645153</v>
          </cell>
          <cell r="AJ536">
            <v>20.215302092325562</v>
          </cell>
          <cell r="AU536">
            <v>10.707501661885063</v>
          </cell>
          <cell r="AV536">
            <v>14.263722316306255</v>
          </cell>
          <cell r="AW536">
            <v>12.105561258724364</v>
          </cell>
          <cell r="AX536">
            <v>10.242049449424412</v>
          </cell>
          <cell r="AY536">
            <v>13.969073068024317</v>
          </cell>
        </row>
        <row r="537">
          <cell r="A537">
            <v>40289</v>
          </cell>
          <cell r="AF537">
            <v>17.383728019722366</v>
          </cell>
          <cell r="AG537">
            <v>20.469360058004284</v>
          </cell>
          <cell r="AH537">
            <v>17.881583490985356</v>
          </cell>
          <cell r="AI537">
            <v>15.547864889645153</v>
          </cell>
          <cell r="AJ537">
            <v>20.215302092325562</v>
          </cell>
          <cell r="AU537">
            <v>10.701537233710878</v>
          </cell>
          <cell r="AV537">
            <v>14.263722316306255</v>
          </cell>
          <cell r="AW537">
            <v>12.105561258724364</v>
          </cell>
          <cell r="AX537">
            <v>10.242049449424412</v>
          </cell>
          <cell r="AY537">
            <v>13.969073068024317</v>
          </cell>
        </row>
        <row r="538">
          <cell r="A538">
            <v>40290</v>
          </cell>
          <cell r="AF538">
            <v>17.497119638456969</v>
          </cell>
          <cell r="AG538">
            <v>20.469360058004284</v>
          </cell>
          <cell r="AH538">
            <v>17.881583490985356</v>
          </cell>
          <cell r="AI538">
            <v>15.547864889645153</v>
          </cell>
          <cell r="AJ538">
            <v>20.215302092325562</v>
          </cell>
          <cell r="AU538">
            <v>10.770113249625188</v>
          </cell>
          <cell r="AV538">
            <v>14.263722316306255</v>
          </cell>
          <cell r="AW538">
            <v>12.105561258724364</v>
          </cell>
          <cell r="AX538">
            <v>10.242049449424412</v>
          </cell>
          <cell r="AY538">
            <v>13.969073068024317</v>
          </cell>
        </row>
        <row r="539">
          <cell r="A539">
            <v>40291</v>
          </cell>
          <cell r="AF539">
            <v>17.760096406330746</v>
          </cell>
          <cell r="AG539">
            <v>20.469360058004284</v>
          </cell>
          <cell r="AH539">
            <v>17.881583490985356</v>
          </cell>
          <cell r="AI539">
            <v>15.547864889645153</v>
          </cell>
          <cell r="AJ539">
            <v>20.215302092325562</v>
          </cell>
          <cell r="AU539">
            <v>10.91024958267333</v>
          </cell>
          <cell r="AV539">
            <v>14.263722316306255</v>
          </cell>
          <cell r="AW539">
            <v>12.105561258724364</v>
          </cell>
          <cell r="AX539">
            <v>10.242049449424412</v>
          </cell>
          <cell r="AY539">
            <v>13.969073068024317</v>
          </cell>
        </row>
        <row r="540">
          <cell r="A540">
            <v>40294</v>
          </cell>
          <cell r="AF540">
            <v>17.977725525774993</v>
          </cell>
          <cell r="AG540">
            <v>20.469360058004284</v>
          </cell>
          <cell r="AH540">
            <v>17.881583490985356</v>
          </cell>
          <cell r="AI540">
            <v>15.547864889645153</v>
          </cell>
          <cell r="AJ540">
            <v>20.215302092325562</v>
          </cell>
          <cell r="AU540">
            <v>11.033192509249419</v>
          </cell>
          <cell r="AV540">
            <v>14.263722316306255</v>
          </cell>
          <cell r="AW540">
            <v>12.105561258724364</v>
          </cell>
          <cell r="AX540">
            <v>10.242049449424412</v>
          </cell>
          <cell r="AY540">
            <v>13.969073068024317</v>
          </cell>
        </row>
        <row r="541">
          <cell r="A541">
            <v>40295</v>
          </cell>
          <cell r="AF541">
            <v>18.028465772644672</v>
          </cell>
          <cell r="AG541">
            <v>20.469360058004284</v>
          </cell>
          <cell r="AH541">
            <v>17.881583490985356</v>
          </cell>
          <cell r="AI541">
            <v>15.547864889645153</v>
          </cell>
          <cell r="AJ541">
            <v>20.215302092325562</v>
          </cell>
          <cell r="AU541">
            <v>11.057073848133292</v>
          </cell>
          <cell r="AV541">
            <v>14.263722316306255</v>
          </cell>
          <cell r="AW541">
            <v>12.105561258724364</v>
          </cell>
          <cell r="AX541">
            <v>10.242049449424412</v>
          </cell>
          <cell r="AY541">
            <v>13.969073068024317</v>
          </cell>
        </row>
        <row r="542">
          <cell r="A542">
            <v>40296</v>
          </cell>
          <cell r="AF542">
            <v>18.20672085826466</v>
          </cell>
          <cell r="AG542">
            <v>20.469360058004284</v>
          </cell>
          <cell r="AH542">
            <v>17.881583490985356</v>
          </cell>
          <cell r="AI542">
            <v>15.547864889645153</v>
          </cell>
          <cell r="AJ542">
            <v>20.215302092325562</v>
          </cell>
          <cell r="AU542">
            <v>11.164537485036535</v>
          </cell>
          <cell r="AV542">
            <v>14.263722316306255</v>
          </cell>
          <cell r="AW542">
            <v>12.105561258724364</v>
          </cell>
          <cell r="AX542">
            <v>10.242049449424412</v>
          </cell>
          <cell r="AY542">
            <v>13.969073068024317</v>
          </cell>
        </row>
        <row r="543">
          <cell r="A543">
            <v>40297</v>
          </cell>
          <cell r="AF543">
            <v>18.795952300393871</v>
          </cell>
          <cell r="AG543">
            <v>20.469360058004284</v>
          </cell>
          <cell r="AH543">
            <v>17.881583490985356</v>
          </cell>
          <cell r="AI543">
            <v>15.547864889645153</v>
          </cell>
          <cell r="AJ543">
            <v>20.215302092325562</v>
          </cell>
          <cell r="AU543">
            <v>11.62292606702691</v>
          </cell>
          <cell r="AV543">
            <v>14.263722316306255</v>
          </cell>
          <cell r="AW543">
            <v>12.105561258724364</v>
          </cell>
          <cell r="AX543">
            <v>10.242049449424412</v>
          </cell>
          <cell r="AY543">
            <v>13.969073068024317</v>
          </cell>
        </row>
        <row r="544">
          <cell r="A544">
            <v>40298</v>
          </cell>
          <cell r="AF544">
            <v>18.284344806714898</v>
          </cell>
          <cell r="AG544">
            <v>20.469360058004284</v>
          </cell>
          <cell r="AH544">
            <v>17.881583490985356</v>
          </cell>
          <cell r="AI544">
            <v>15.547864889645153</v>
          </cell>
          <cell r="AJ544">
            <v>20.215302092325562</v>
          </cell>
          <cell r="AU544">
            <v>11.205329545022114</v>
          </cell>
          <cell r="AV544">
            <v>14.263722316306255</v>
          </cell>
          <cell r="AW544">
            <v>12.105561258724364</v>
          </cell>
          <cell r="AX544">
            <v>10.242049449424412</v>
          </cell>
          <cell r="AY544">
            <v>13.969073068024317</v>
          </cell>
        </row>
        <row r="545">
          <cell r="A545">
            <v>40301</v>
          </cell>
          <cell r="AF545">
            <v>18.175837538642238</v>
          </cell>
          <cell r="AG545">
            <v>20.469360058004284</v>
          </cell>
          <cell r="AH545">
            <v>17.881583490985356</v>
          </cell>
          <cell r="AI545">
            <v>15.547864889645153</v>
          </cell>
          <cell r="AJ545">
            <v>20.215302092325562</v>
          </cell>
          <cell r="AU545">
            <v>11.149070556611012</v>
          </cell>
          <cell r="AV545">
            <v>14.263722316306255</v>
          </cell>
          <cell r="AW545">
            <v>12.105561258724364</v>
          </cell>
          <cell r="AX545">
            <v>10.242049449424412</v>
          </cell>
          <cell r="AY545">
            <v>13.969073068024317</v>
          </cell>
        </row>
        <row r="546">
          <cell r="A546">
            <v>40302</v>
          </cell>
          <cell r="AF546">
            <v>17.804295357871244</v>
          </cell>
          <cell r="AG546">
            <v>20.469360058004284</v>
          </cell>
          <cell r="AH546">
            <v>17.881583490985356</v>
          </cell>
          <cell r="AI546">
            <v>15.547864889645153</v>
          </cell>
          <cell r="AJ546">
            <v>20.215302092325562</v>
          </cell>
          <cell r="AU546">
            <v>10.927075172905717</v>
          </cell>
          <cell r="AV546">
            <v>14.263722316306255</v>
          </cell>
          <cell r="AW546">
            <v>12.105561258724364</v>
          </cell>
          <cell r="AX546">
            <v>10.242049449424412</v>
          </cell>
          <cell r="AY546">
            <v>13.969073068024317</v>
          </cell>
        </row>
        <row r="547">
          <cell r="A547">
            <v>40303</v>
          </cell>
          <cell r="AF547">
            <v>17.660635353643904</v>
          </cell>
          <cell r="AG547">
            <v>20.469360058004284</v>
          </cell>
          <cell r="AH547">
            <v>17.881583490985356</v>
          </cell>
          <cell r="AI547">
            <v>15.547864889645153</v>
          </cell>
          <cell r="AJ547">
            <v>20.215302092325562</v>
          </cell>
          <cell r="AU547">
            <v>10.841238733836073</v>
          </cell>
          <cell r="AV547">
            <v>14.263722316306255</v>
          </cell>
          <cell r="AW547">
            <v>12.105561258724364</v>
          </cell>
          <cell r="AX547">
            <v>10.242049449424412</v>
          </cell>
          <cell r="AY547">
            <v>13.969073068024317</v>
          </cell>
        </row>
        <row r="548">
          <cell r="A548">
            <v>40304</v>
          </cell>
          <cell r="AF548">
            <v>17.190016744169366</v>
          </cell>
          <cell r="AG548">
            <v>20.469360058004284</v>
          </cell>
          <cell r="AH548">
            <v>17.881583490985356</v>
          </cell>
          <cell r="AI548">
            <v>15.547864889645153</v>
          </cell>
          <cell r="AJ548">
            <v>20.215302092325562</v>
          </cell>
          <cell r="AU548">
            <v>10.560045469124239</v>
          </cell>
          <cell r="AV548">
            <v>14.263722316306255</v>
          </cell>
          <cell r="AW548">
            <v>12.105561258724364</v>
          </cell>
          <cell r="AX548">
            <v>10.242049449424412</v>
          </cell>
          <cell r="AY548">
            <v>13.969073068024317</v>
          </cell>
        </row>
        <row r="549">
          <cell r="A549">
            <v>40305</v>
          </cell>
          <cell r="AF549">
            <v>16.749120518377357</v>
          </cell>
          <cell r="AG549">
            <v>20.469360058004284</v>
          </cell>
          <cell r="AH549">
            <v>17.881583490985356</v>
          </cell>
          <cell r="AI549">
            <v>15.547864889645153</v>
          </cell>
          <cell r="AJ549">
            <v>20.215302092325562</v>
          </cell>
          <cell r="AU549">
            <v>10.296611243121133</v>
          </cell>
          <cell r="AV549">
            <v>14.263722316306255</v>
          </cell>
          <cell r="AW549">
            <v>12.105561258724364</v>
          </cell>
          <cell r="AX549">
            <v>10.242049449424412</v>
          </cell>
          <cell r="AY549">
            <v>13.969073068024317</v>
          </cell>
        </row>
        <row r="550">
          <cell r="A550">
            <v>40308</v>
          </cell>
          <cell r="AF550">
            <v>17.690357737326437</v>
          </cell>
          <cell r="AG550">
            <v>20.469360058004284</v>
          </cell>
          <cell r="AH550">
            <v>17.881583490985356</v>
          </cell>
          <cell r="AI550">
            <v>15.547864889645153</v>
          </cell>
          <cell r="AJ550">
            <v>20.215302092325562</v>
          </cell>
          <cell r="AU550">
            <v>10.858997772544807</v>
          </cell>
          <cell r="AV550">
            <v>14.263722316306255</v>
          </cell>
          <cell r="AW550">
            <v>12.105561258724364</v>
          </cell>
          <cell r="AX550">
            <v>10.242049449424412</v>
          </cell>
          <cell r="AY550">
            <v>13.969073068024317</v>
          </cell>
        </row>
        <row r="551">
          <cell r="A551">
            <v>40309</v>
          </cell>
          <cell r="AF551">
            <v>17.789434166029981</v>
          </cell>
          <cell r="AG551">
            <v>20.469360058004284</v>
          </cell>
          <cell r="AH551">
            <v>17.881583490985356</v>
          </cell>
          <cell r="AI551">
            <v>15.547864889645153</v>
          </cell>
          <cell r="AJ551">
            <v>20.215302092325562</v>
          </cell>
          <cell r="AU551">
            <v>10.918195653551351</v>
          </cell>
          <cell r="AV551">
            <v>14.263722316306255</v>
          </cell>
          <cell r="AW551">
            <v>12.105561258724364</v>
          </cell>
          <cell r="AX551">
            <v>10.242049449424412</v>
          </cell>
          <cell r="AY551">
            <v>13.969073068024317</v>
          </cell>
        </row>
        <row r="552">
          <cell r="A552">
            <v>40310</v>
          </cell>
          <cell r="AF552">
            <v>18.116393266666751</v>
          </cell>
          <cell r="AG552">
            <v>20.469360058004284</v>
          </cell>
          <cell r="AH552">
            <v>17.881583490985356</v>
          </cell>
          <cell r="AI552">
            <v>15.547864889645153</v>
          </cell>
          <cell r="AJ552">
            <v>20.215302092325562</v>
          </cell>
          <cell r="AU552">
            <v>11.11355277518739</v>
          </cell>
          <cell r="AV552">
            <v>14.263722316306255</v>
          </cell>
          <cell r="AW552">
            <v>12.105561258724364</v>
          </cell>
          <cell r="AX552">
            <v>10.242049449424412</v>
          </cell>
          <cell r="AY552">
            <v>13.969073068024317</v>
          </cell>
        </row>
        <row r="553">
          <cell r="A553">
            <v>40311</v>
          </cell>
          <cell r="AF553">
            <v>17.838976095803559</v>
          </cell>
          <cell r="AG553">
            <v>20.469360058004284</v>
          </cell>
          <cell r="AH553">
            <v>17.881583490985356</v>
          </cell>
          <cell r="AI553">
            <v>15.547864889645153</v>
          </cell>
          <cell r="AJ553">
            <v>20.215302092325562</v>
          </cell>
          <cell r="AU553">
            <v>10.947796814008461</v>
          </cell>
          <cell r="AV553">
            <v>14.263722316306255</v>
          </cell>
          <cell r="AW553">
            <v>12.105561258724364</v>
          </cell>
          <cell r="AX553">
            <v>10.242049449424412</v>
          </cell>
          <cell r="AY553">
            <v>13.969073068024317</v>
          </cell>
        </row>
        <row r="554">
          <cell r="A554">
            <v>40312</v>
          </cell>
          <cell r="AF554">
            <v>17.368357486329018</v>
          </cell>
          <cell r="AG554">
            <v>20.469360058004284</v>
          </cell>
          <cell r="AH554">
            <v>17.881583490985356</v>
          </cell>
          <cell r="AI554">
            <v>15.547864889645153</v>
          </cell>
          <cell r="AJ554">
            <v>20.215302092325562</v>
          </cell>
          <cell r="AU554">
            <v>10.666603549296623</v>
          </cell>
          <cell r="AV554">
            <v>14.263722316306255</v>
          </cell>
          <cell r="AW554">
            <v>12.105561258724364</v>
          </cell>
          <cell r="AX554">
            <v>10.242049449424412</v>
          </cell>
          <cell r="AY554">
            <v>13.969073068024317</v>
          </cell>
        </row>
        <row r="555">
          <cell r="A555">
            <v>40315</v>
          </cell>
          <cell r="AF555">
            <v>17.338635102646489</v>
          </cell>
          <cell r="AG555">
            <v>20.469360058004284</v>
          </cell>
          <cell r="AH555">
            <v>17.881583490985356</v>
          </cell>
          <cell r="AI555">
            <v>15.547864889645153</v>
          </cell>
          <cell r="AJ555">
            <v>20.215302092325562</v>
          </cell>
          <cell r="AU555">
            <v>10.648844510587887</v>
          </cell>
          <cell r="AV555">
            <v>14.263722316306255</v>
          </cell>
          <cell r="AW555">
            <v>12.105561258724364</v>
          </cell>
          <cell r="AX555">
            <v>10.242049449424412</v>
          </cell>
          <cell r="AY555">
            <v>13.969073068024317</v>
          </cell>
        </row>
        <row r="556">
          <cell r="A556">
            <v>40316</v>
          </cell>
          <cell r="AF556">
            <v>17.135523890989617</v>
          </cell>
          <cell r="AG556">
            <v>20.469360058004284</v>
          </cell>
          <cell r="AH556">
            <v>17.881583490985356</v>
          </cell>
          <cell r="AI556">
            <v>15.547864889645153</v>
          </cell>
          <cell r="AJ556">
            <v>20.215302092325562</v>
          </cell>
          <cell r="AU556">
            <v>10.527486146180792</v>
          </cell>
          <cell r="AV556">
            <v>14.263722316306255</v>
          </cell>
          <cell r="AW556">
            <v>12.105561258724364</v>
          </cell>
          <cell r="AX556">
            <v>10.242049449424412</v>
          </cell>
          <cell r="AY556">
            <v>13.969073068024317</v>
          </cell>
        </row>
        <row r="557">
          <cell r="A557">
            <v>40317</v>
          </cell>
          <cell r="AF557">
            <v>17.016627420805456</v>
          </cell>
          <cell r="AG557">
            <v>20.469360058004284</v>
          </cell>
          <cell r="AH557">
            <v>17.881583490985356</v>
          </cell>
          <cell r="AI557">
            <v>15.547864889645153</v>
          </cell>
          <cell r="AJ557">
            <v>20.215302092325562</v>
          </cell>
          <cell r="AU557">
            <v>10.456445847432031</v>
          </cell>
          <cell r="AV557">
            <v>14.263722316306255</v>
          </cell>
          <cell r="AW557">
            <v>12.105561258724364</v>
          </cell>
          <cell r="AX557">
            <v>10.242049449424412</v>
          </cell>
          <cell r="AY557">
            <v>13.969073068024317</v>
          </cell>
        </row>
        <row r="558">
          <cell r="A558">
            <v>40318</v>
          </cell>
          <cell r="AF558">
            <v>16.273543059263464</v>
          </cell>
          <cell r="AG558">
            <v>20.469360058004284</v>
          </cell>
          <cell r="AH558">
            <v>17.881583490985356</v>
          </cell>
          <cell r="AI558">
            <v>15.547864889645153</v>
          </cell>
          <cell r="AJ558">
            <v>20.215302092325562</v>
          </cell>
          <cell r="AU558">
            <v>10.012455080021441</v>
          </cell>
          <cell r="AV558">
            <v>14.263722316306255</v>
          </cell>
          <cell r="AW558">
            <v>12.105561258724364</v>
          </cell>
          <cell r="AX558">
            <v>10.242049449424412</v>
          </cell>
          <cell r="AY558">
            <v>13.969073068024317</v>
          </cell>
        </row>
        <row r="559">
          <cell r="A559">
            <v>40319</v>
          </cell>
          <cell r="AF559">
            <v>16.377578337606362</v>
          </cell>
          <cell r="AG559">
            <v>20.469360058004284</v>
          </cell>
          <cell r="AH559">
            <v>17.881583490985356</v>
          </cell>
          <cell r="AI559">
            <v>15.547864889645153</v>
          </cell>
          <cell r="AJ559">
            <v>20.215302092325562</v>
          </cell>
          <cell r="AU559">
            <v>10.074615859415838</v>
          </cell>
          <cell r="AV559">
            <v>14.263722316306255</v>
          </cell>
          <cell r="AW559">
            <v>12.105561258724364</v>
          </cell>
          <cell r="AX559">
            <v>10.242049449424412</v>
          </cell>
          <cell r="AY559">
            <v>13.969073068024317</v>
          </cell>
        </row>
        <row r="560">
          <cell r="A560">
            <v>40322</v>
          </cell>
          <cell r="AF560">
            <v>16.209139937648619</v>
          </cell>
          <cell r="AG560">
            <v>20.469360058004284</v>
          </cell>
          <cell r="AH560">
            <v>17.881583490985356</v>
          </cell>
          <cell r="AI560">
            <v>15.547864889645153</v>
          </cell>
          <cell r="AJ560">
            <v>20.215302092325562</v>
          </cell>
          <cell r="AU560">
            <v>9.9739744002099648</v>
          </cell>
          <cell r="AV560">
            <v>14.263722316306255</v>
          </cell>
          <cell r="AW560">
            <v>12.105561258724364</v>
          </cell>
          <cell r="AX560">
            <v>10.242049449424412</v>
          </cell>
          <cell r="AY560">
            <v>13.969073068024317</v>
          </cell>
        </row>
        <row r="561">
          <cell r="A561">
            <v>40323</v>
          </cell>
          <cell r="AF561">
            <v>16.124924700786341</v>
          </cell>
          <cell r="AG561">
            <v>20.469360058004284</v>
          </cell>
          <cell r="AH561">
            <v>17.881583490985356</v>
          </cell>
          <cell r="AI561">
            <v>15.547864889645153</v>
          </cell>
          <cell r="AJ561">
            <v>20.215302092325562</v>
          </cell>
          <cell r="AU561">
            <v>9.9236560385577857</v>
          </cell>
          <cell r="AV561">
            <v>14.263722316306255</v>
          </cell>
          <cell r="AW561">
            <v>12.105561258724364</v>
          </cell>
          <cell r="AX561">
            <v>10.242049449424412</v>
          </cell>
          <cell r="AY561">
            <v>13.969073068024317</v>
          </cell>
        </row>
        <row r="562">
          <cell r="A562">
            <v>40324</v>
          </cell>
          <cell r="AF562">
            <v>15.913122973506313</v>
          </cell>
          <cell r="AG562">
            <v>20.469360058004284</v>
          </cell>
          <cell r="AH562">
            <v>17.881583490985356</v>
          </cell>
          <cell r="AI562">
            <v>15.547864889645153</v>
          </cell>
          <cell r="AJ562">
            <v>20.215302092325562</v>
          </cell>
          <cell r="AU562">
            <v>9.8271463359260309</v>
          </cell>
          <cell r="AV562">
            <v>14.263722316306255</v>
          </cell>
          <cell r="AW562">
            <v>12.105561258724364</v>
          </cell>
          <cell r="AX562">
            <v>10.242049449424412</v>
          </cell>
          <cell r="AY562">
            <v>13.969073068024317</v>
          </cell>
        </row>
        <row r="563">
          <cell r="A563">
            <v>40325</v>
          </cell>
          <cell r="AF563">
            <v>16.335332343692944</v>
          </cell>
          <cell r="AG563">
            <v>20.469360058004284</v>
          </cell>
          <cell r="AH563">
            <v>17.881583490985356</v>
          </cell>
          <cell r="AI563">
            <v>15.547864889645153</v>
          </cell>
          <cell r="AJ563">
            <v>20.215302092325562</v>
          </cell>
          <cell r="AU563">
            <v>10.12531243379121</v>
          </cell>
          <cell r="AV563">
            <v>14.263722316306255</v>
          </cell>
          <cell r="AW563">
            <v>12.105561258724364</v>
          </cell>
          <cell r="AX563">
            <v>10.242049449424412</v>
          </cell>
          <cell r="AY563">
            <v>13.969073068024317</v>
          </cell>
        </row>
        <row r="564">
          <cell r="A564">
            <v>40326</v>
          </cell>
          <cell r="AF564">
            <v>16.195501165473715</v>
          </cell>
          <cell r="AG564">
            <v>20.469360058004284</v>
          </cell>
          <cell r="AH564">
            <v>17.881583490985356</v>
          </cell>
          <cell r="AI564">
            <v>15.547864889645153</v>
          </cell>
          <cell r="AJ564">
            <v>20.215302092325562</v>
          </cell>
          <cell r="AU564">
            <v>10.041151960340652</v>
          </cell>
          <cell r="AV564">
            <v>14.263722316306255</v>
          </cell>
          <cell r="AW564">
            <v>12.105561258724364</v>
          </cell>
          <cell r="AX564">
            <v>10.242049449424412</v>
          </cell>
          <cell r="AY564">
            <v>13.969073068024317</v>
          </cell>
        </row>
        <row r="565">
          <cell r="A565">
            <v>40329</v>
          </cell>
          <cell r="AF565">
            <v>16.195501165473715</v>
          </cell>
          <cell r="AG565">
            <v>20.469360058004284</v>
          </cell>
          <cell r="AH565">
            <v>17.881583490985356</v>
          </cell>
          <cell r="AI565">
            <v>15.547864889645153</v>
          </cell>
          <cell r="AJ565">
            <v>20.215302092325562</v>
          </cell>
          <cell r="AU565">
            <v>10.041151960340652</v>
          </cell>
          <cell r="AV565">
            <v>14.263722316306255</v>
          </cell>
          <cell r="AW565">
            <v>12.105561258724364</v>
          </cell>
          <cell r="AX565">
            <v>10.242049449424412</v>
          </cell>
          <cell r="AY565">
            <v>13.969073068024317</v>
          </cell>
        </row>
        <row r="566">
          <cell r="A566">
            <v>40330</v>
          </cell>
          <cell r="AF566">
            <v>15.891404104576653</v>
          </cell>
          <cell r="AG566">
            <v>20.469360058004284</v>
          </cell>
          <cell r="AH566">
            <v>17.881583490985356</v>
          </cell>
          <cell r="AI566">
            <v>15.547864889645153</v>
          </cell>
          <cell r="AJ566">
            <v>20.215302092325562</v>
          </cell>
          <cell r="AU566">
            <v>9.866405609778532</v>
          </cell>
          <cell r="AV566">
            <v>14.263722316306255</v>
          </cell>
          <cell r="AW566">
            <v>12.105561258724364</v>
          </cell>
          <cell r="AX566">
            <v>10.242049449424412</v>
          </cell>
          <cell r="AY566">
            <v>13.969073068024317</v>
          </cell>
        </row>
        <row r="567">
          <cell r="A567">
            <v>40331</v>
          </cell>
          <cell r="AF567">
            <v>16.372661624217649</v>
          </cell>
          <cell r="AG567">
            <v>20.469360058004284</v>
          </cell>
          <cell r="AH567">
            <v>17.881583490985356</v>
          </cell>
          <cell r="AI567">
            <v>15.547864889645153</v>
          </cell>
          <cell r="AJ567">
            <v>20.215302092325562</v>
          </cell>
          <cell r="AU567">
            <v>10.156360682189542</v>
          </cell>
          <cell r="AV567">
            <v>14.263722316306255</v>
          </cell>
          <cell r="AW567">
            <v>12.105561258724364</v>
          </cell>
          <cell r="AX567">
            <v>10.242049449424412</v>
          </cell>
          <cell r="AY567">
            <v>13.969073068024317</v>
          </cell>
        </row>
        <row r="568">
          <cell r="A568">
            <v>40332</v>
          </cell>
          <cell r="AF568">
            <v>16.372661624217649</v>
          </cell>
          <cell r="AG568">
            <v>20.469360058004284</v>
          </cell>
          <cell r="AH568">
            <v>17.881583490985356</v>
          </cell>
          <cell r="AI568">
            <v>15.547864889645153</v>
          </cell>
          <cell r="AJ568">
            <v>20.215302092325562</v>
          </cell>
          <cell r="AU568">
            <v>10.156360682189542</v>
          </cell>
          <cell r="AV568">
            <v>14.263722316306255</v>
          </cell>
          <cell r="AW568">
            <v>12.105561258724364</v>
          </cell>
          <cell r="AX568">
            <v>10.242049449424412</v>
          </cell>
          <cell r="AY568">
            <v>13.969073068024317</v>
          </cell>
        </row>
        <row r="569">
          <cell r="A569">
            <v>40333</v>
          </cell>
          <cell r="AF569">
            <v>15.60611692561106</v>
          </cell>
          <cell r="AG569">
            <v>20.469360058004284</v>
          </cell>
          <cell r="AH569">
            <v>17.881583490985356</v>
          </cell>
          <cell r="AI569">
            <v>15.547864889645153</v>
          </cell>
          <cell r="AJ569">
            <v>20.215302092325562</v>
          </cell>
          <cell r="AU569">
            <v>9.6945216157442999</v>
          </cell>
          <cell r="AV569">
            <v>14.263722316306255</v>
          </cell>
          <cell r="AW569">
            <v>12.105561258724364</v>
          </cell>
          <cell r="AX569">
            <v>10.242049449424412</v>
          </cell>
          <cell r="AY569">
            <v>13.969073068024317</v>
          </cell>
        </row>
        <row r="570">
          <cell r="A570">
            <v>40336</v>
          </cell>
          <cell r="AF570">
            <v>15.380379101537789</v>
          </cell>
          <cell r="AG570">
            <v>20.469360058004284</v>
          </cell>
          <cell r="AH570">
            <v>17.881583490985356</v>
          </cell>
          <cell r="AI570">
            <v>15.547864889645153</v>
          </cell>
          <cell r="AJ570">
            <v>20.215302092325562</v>
          </cell>
          <cell r="AU570">
            <v>9.558515788398692</v>
          </cell>
          <cell r="AV570">
            <v>14.263722316306255</v>
          </cell>
          <cell r="AW570">
            <v>12.105561258724364</v>
          </cell>
          <cell r="AX570">
            <v>10.242049449424412</v>
          </cell>
          <cell r="AY570">
            <v>13.969073068024317</v>
          </cell>
        </row>
        <row r="571">
          <cell r="A571">
            <v>40337</v>
          </cell>
          <cell r="AF571">
            <v>15.186877063637558</v>
          </cell>
          <cell r="AG571">
            <v>20.469360058004284</v>
          </cell>
          <cell r="AH571">
            <v>17.881583490985356</v>
          </cell>
          <cell r="AI571">
            <v>15.547864889645153</v>
          </cell>
          <cell r="AJ571">
            <v>20.215302092325562</v>
          </cell>
          <cell r="AU571">
            <v>9.4419318491952211</v>
          </cell>
          <cell r="AV571">
            <v>14.263722316306255</v>
          </cell>
          <cell r="AW571">
            <v>12.105561258724364</v>
          </cell>
          <cell r="AX571">
            <v>10.242049449424412</v>
          </cell>
          <cell r="AY571">
            <v>13.969073068024317</v>
          </cell>
        </row>
        <row r="572">
          <cell r="A572">
            <v>40338</v>
          </cell>
          <cell r="AF572">
            <v>15.176959695964635</v>
          </cell>
          <cell r="AG572">
            <v>20.469360058004284</v>
          </cell>
          <cell r="AH572">
            <v>17.881583490985356</v>
          </cell>
          <cell r="AI572">
            <v>15.547864889645153</v>
          </cell>
          <cell r="AJ572">
            <v>20.215302092325562</v>
          </cell>
          <cell r="AU572">
            <v>9.435956688404227</v>
          </cell>
          <cell r="AV572">
            <v>14.263722316306255</v>
          </cell>
          <cell r="AW572">
            <v>12.105561258724364</v>
          </cell>
          <cell r="AX572">
            <v>10.242049449424412</v>
          </cell>
          <cell r="AY572">
            <v>13.969073068024317</v>
          </cell>
        </row>
        <row r="573">
          <cell r="A573">
            <v>40339</v>
          </cell>
          <cell r="AF573">
            <v>15.422166703504386</v>
          </cell>
          <cell r="AG573">
            <v>20.469360058004284</v>
          </cell>
          <cell r="AH573">
            <v>17.881583490985356</v>
          </cell>
          <cell r="AI573">
            <v>15.547864889645153</v>
          </cell>
          <cell r="AJ573">
            <v>20.215302092325562</v>
          </cell>
          <cell r="AU573">
            <v>9.5734583236741013</v>
          </cell>
          <cell r="AV573">
            <v>14.263722316306255</v>
          </cell>
          <cell r="AW573">
            <v>12.105561258724364</v>
          </cell>
          <cell r="AX573">
            <v>10.242049449424412</v>
          </cell>
          <cell r="AY573">
            <v>13.969073068024317</v>
          </cell>
        </row>
        <row r="574">
          <cell r="A574">
            <v>40340</v>
          </cell>
          <cell r="AF574">
            <v>15.496674423282764</v>
          </cell>
          <cell r="AG574">
            <v>20.469360058004284</v>
          </cell>
          <cell r="AH574">
            <v>17.881583490985356</v>
          </cell>
          <cell r="AI574">
            <v>15.547864889645153</v>
          </cell>
          <cell r="AJ574">
            <v>20.215302092325562</v>
          </cell>
          <cell r="AU574">
            <v>9.618299381010436</v>
          </cell>
          <cell r="AV574">
            <v>14.263722316306255</v>
          </cell>
          <cell r="AW574">
            <v>12.105561258724364</v>
          </cell>
          <cell r="AX574">
            <v>10.242049449424412</v>
          </cell>
          <cell r="AY574">
            <v>13.969073068024317</v>
          </cell>
        </row>
        <row r="575">
          <cell r="A575">
            <v>40343</v>
          </cell>
          <cell r="AF575">
            <v>15.531439129603372</v>
          </cell>
          <cell r="AG575">
            <v>20.469360058004284</v>
          </cell>
          <cell r="AH575">
            <v>17.881583490985356</v>
          </cell>
          <cell r="AI575">
            <v>15.547864889645153</v>
          </cell>
          <cell r="AJ575">
            <v>20.215302092325562</v>
          </cell>
          <cell r="AU575">
            <v>9.6392218598359882</v>
          </cell>
          <cell r="AV575">
            <v>14.263722316306255</v>
          </cell>
          <cell r="AW575">
            <v>12.105561258724364</v>
          </cell>
          <cell r="AX575">
            <v>10.242049449424412</v>
          </cell>
          <cell r="AY575">
            <v>13.969073068024317</v>
          </cell>
        </row>
        <row r="576">
          <cell r="A576">
            <v>40344</v>
          </cell>
          <cell r="AF576">
            <v>15.610910752557327</v>
          </cell>
          <cell r="AG576">
            <v>20.469360058004284</v>
          </cell>
          <cell r="AH576">
            <v>17.881583490985356</v>
          </cell>
          <cell r="AI576">
            <v>15.547864889645153</v>
          </cell>
          <cell r="AJ576">
            <v>20.215302092325562</v>
          </cell>
          <cell r="AU576">
            <v>9.687050348106597</v>
          </cell>
          <cell r="AV576">
            <v>14.263722316306255</v>
          </cell>
          <cell r="AW576">
            <v>12.105561258724364</v>
          </cell>
          <cell r="AX576">
            <v>10.242049449424412</v>
          </cell>
          <cell r="AY576">
            <v>13.969073068024317</v>
          </cell>
        </row>
        <row r="577">
          <cell r="A577">
            <v>40345</v>
          </cell>
          <cell r="AF577">
            <v>15.645682412514562</v>
          </cell>
          <cell r="AG577">
            <v>20.469360058004284</v>
          </cell>
          <cell r="AH577">
            <v>17.881583490985356</v>
          </cell>
          <cell r="AI577">
            <v>15.547864889645153</v>
          </cell>
          <cell r="AJ577">
            <v>20.215302092325562</v>
          </cell>
          <cell r="AU577">
            <v>9.7079770118464062</v>
          </cell>
          <cell r="AV577">
            <v>14.263722316306255</v>
          </cell>
          <cell r="AW577">
            <v>12.105561258724364</v>
          </cell>
          <cell r="AX577">
            <v>10.242049449424412</v>
          </cell>
          <cell r="AY577">
            <v>13.969073068024317</v>
          </cell>
        </row>
        <row r="578">
          <cell r="A578">
            <v>40346</v>
          </cell>
          <cell r="AF578">
            <v>15.68044711883517</v>
          </cell>
          <cell r="AG578">
            <v>20.469360058004284</v>
          </cell>
          <cell r="AH578">
            <v>17.881583490985356</v>
          </cell>
          <cell r="AI578">
            <v>15.547864889645153</v>
          </cell>
          <cell r="AJ578">
            <v>20.215302092325562</v>
          </cell>
          <cell r="AU578">
            <v>9.7288994906719566</v>
          </cell>
          <cell r="AV578">
            <v>14.263722316306255</v>
          </cell>
          <cell r="AW578">
            <v>12.105561258724364</v>
          </cell>
          <cell r="AX578">
            <v>10.242049449424412</v>
          </cell>
          <cell r="AY578">
            <v>13.969073068024317</v>
          </cell>
        </row>
        <row r="579">
          <cell r="A579">
            <v>40347</v>
          </cell>
          <cell r="AF579">
            <v>15.754946891600257</v>
          </cell>
          <cell r="AG579">
            <v>20.469360058004284</v>
          </cell>
          <cell r="AH579">
            <v>17.881583490985356</v>
          </cell>
          <cell r="AI579">
            <v>15.547864889645153</v>
          </cell>
          <cell r="AJ579">
            <v>20.215302092325562</v>
          </cell>
          <cell r="AU579">
            <v>9.773735765249139</v>
          </cell>
          <cell r="AV579">
            <v>14.263722316306255</v>
          </cell>
          <cell r="AW579">
            <v>12.105561258724364</v>
          </cell>
          <cell r="AX579">
            <v>10.242049449424412</v>
          </cell>
          <cell r="AY579">
            <v>13.969073068024317</v>
          </cell>
        </row>
        <row r="580">
          <cell r="A580">
            <v>40350</v>
          </cell>
          <cell r="AF580">
            <v>15.625810905785677</v>
          </cell>
          <cell r="AG580">
            <v>20.469360058004284</v>
          </cell>
          <cell r="AH580">
            <v>17.881583490985356</v>
          </cell>
          <cell r="AI580">
            <v>15.547864889645153</v>
          </cell>
          <cell r="AJ580">
            <v>20.215302092325562</v>
          </cell>
          <cell r="AU580">
            <v>9.696017722591014</v>
          </cell>
          <cell r="AV580">
            <v>14.263722316306255</v>
          </cell>
          <cell r="AW580">
            <v>12.105561258724364</v>
          </cell>
          <cell r="AX580">
            <v>10.242049449424412</v>
          </cell>
          <cell r="AY580">
            <v>13.969073068024317</v>
          </cell>
        </row>
        <row r="581">
          <cell r="A581">
            <v>40351</v>
          </cell>
          <cell r="AF581">
            <v>15.526474729739466</v>
          </cell>
          <cell r="AG581">
            <v>20.469360058004284</v>
          </cell>
          <cell r="AH581">
            <v>17.881583490985356</v>
          </cell>
          <cell r="AI581">
            <v>15.547864889645153</v>
          </cell>
          <cell r="AJ581">
            <v>20.215302092325562</v>
          </cell>
          <cell r="AU581">
            <v>9.63623412997927</v>
          </cell>
          <cell r="AV581">
            <v>14.263722316306255</v>
          </cell>
          <cell r="AW581">
            <v>12.105561258724364</v>
          </cell>
          <cell r="AX581">
            <v>10.242049449424412</v>
          </cell>
          <cell r="AY581">
            <v>13.969073068024317</v>
          </cell>
        </row>
        <row r="582">
          <cell r="A582">
            <v>40352</v>
          </cell>
          <cell r="AF582">
            <v>15.427138553693252</v>
          </cell>
          <cell r="AG582">
            <v>20.469360058004284</v>
          </cell>
          <cell r="AH582">
            <v>17.881583490985356</v>
          </cell>
          <cell r="AI582">
            <v>15.547864889645153</v>
          </cell>
          <cell r="AJ582">
            <v>20.215302092325562</v>
          </cell>
          <cell r="AU582">
            <v>9.5764505373675259</v>
          </cell>
          <cell r="AV582">
            <v>14.263722316306255</v>
          </cell>
          <cell r="AW582">
            <v>12.105561258724364</v>
          </cell>
          <cell r="AX582">
            <v>10.242049449424412</v>
          </cell>
          <cell r="AY582">
            <v>13.969073068024317</v>
          </cell>
        </row>
        <row r="583">
          <cell r="A583">
            <v>40353</v>
          </cell>
          <cell r="AF583">
            <v>15.387402493872111</v>
          </cell>
          <cell r="AG583">
            <v>20.469360058004284</v>
          </cell>
          <cell r="AH583">
            <v>17.881583490985356</v>
          </cell>
          <cell r="AI583">
            <v>15.547864889645153</v>
          </cell>
          <cell r="AJ583">
            <v>20.215302092325562</v>
          </cell>
          <cell r="AU583">
            <v>9.5525361437709968</v>
          </cell>
          <cell r="AV583">
            <v>14.263722316306255</v>
          </cell>
          <cell r="AW583">
            <v>12.105561258724364</v>
          </cell>
          <cell r="AX583">
            <v>10.242049449424412</v>
          </cell>
          <cell r="AY583">
            <v>13.969073068024317</v>
          </cell>
        </row>
        <row r="584">
          <cell r="A584">
            <v>40354</v>
          </cell>
          <cell r="AF584">
            <v>15.412238400464902</v>
          </cell>
          <cell r="AG584">
            <v>20.469360058004284</v>
          </cell>
          <cell r="AH584">
            <v>17.881583490985356</v>
          </cell>
          <cell r="AI584">
            <v>15.547864889645153</v>
          </cell>
          <cell r="AJ584">
            <v>20.215302092325562</v>
          </cell>
          <cell r="AU584">
            <v>9.567483162883109</v>
          </cell>
          <cell r="AV584">
            <v>14.263722316306255</v>
          </cell>
          <cell r="AW584">
            <v>12.105561258724364</v>
          </cell>
          <cell r="AX584">
            <v>10.242049449424412</v>
          </cell>
          <cell r="AY584">
            <v>13.969073068024317</v>
          </cell>
        </row>
        <row r="585">
          <cell r="A585">
            <v>40357</v>
          </cell>
          <cell r="AF585">
            <v>15.451967009961086</v>
          </cell>
          <cell r="AG585">
            <v>20.469360058004284</v>
          </cell>
          <cell r="AH585">
            <v>17.881583490985356</v>
          </cell>
          <cell r="AI585">
            <v>15.547864889645153</v>
          </cell>
          <cell r="AJ585">
            <v>20.215302092325562</v>
          </cell>
          <cell r="AU585">
            <v>9.5913930726429335</v>
          </cell>
          <cell r="AV585">
            <v>14.263722316306255</v>
          </cell>
          <cell r="AW585">
            <v>12.105561258724364</v>
          </cell>
          <cell r="AX585">
            <v>10.242049449424412</v>
          </cell>
          <cell r="AY585">
            <v>13.969073068024317</v>
          </cell>
        </row>
        <row r="586">
          <cell r="A586">
            <v>40358</v>
          </cell>
          <cell r="AF586">
            <v>14.940378526176719</v>
          </cell>
          <cell r="AG586">
            <v>20.469360058004284</v>
          </cell>
          <cell r="AH586">
            <v>17.881583490985356</v>
          </cell>
          <cell r="AI586">
            <v>15.547864889645153</v>
          </cell>
          <cell r="AJ586">
            <v>20.215302092325562</v>
          </cell>
          <cell r="AU586">
            <v>9.2835032512630917</v>
          </cell>
          <cell r="AV586">
            <v>14.263722316306255</v>
          </cell>
          <cell r="AW586">
            <v>12.105561258724364</v>
          </cell>
          <cell r="AX586">
            <v>10.242049449424412</v>
          </cell>
          <cell r="AY586">
            <v>13.969073068024317</v>
          </cell>
        </row>
        <row r="587">
          <cell r="A587">
            <v>40359</v>
          </cell>
          <cell r="AF587">
            <v>14.855942503358857</v>
          </cell>
          <cell r="AG587">
            <v>20.469360058004284</v>
          </cell>
          <cell r="AH587">
            <v>17.881583490985356</v>
          </cell>
          <cell r="AI587">
            <v>15.547864889645153</v>
          </cell>
          <cell r="AJ587">
            <v>20.215302092325562</v>
          </cell>
          <cell r="AU587">
            <v>9.2326870331357647</v>
          </cell>
          <cell r="AV587">
            <v>14.263722316306255</v>
          </cell>
          <cell r="AW587">
            <v>12.105561258724364</v>
          </cell>
          <cell r="AX587">
            <v>10.242049449424412</v>
          </cell>
          <cell r="AY587">
            <v>13.969073068024317</v>
          </cell>
        </row>
        <row r="588">
          <cell r="A588">
            <v>40360</v>
          </cell>
          <cell r="AF588">
            <v>14.525349900364807</v>
          </cell>
          <cell r="AG588">
            <v>20.469360058004284</v>
          </cell>
          <cell r="AH588">
            <v>17.881583490985356</v>
          </cell>
          <cell r="AI588">
            <v>15.547864889645153</v>
          </cell>
          <cell r="AJ588">
            <v>20.215302092325562</v>
          </cell>
          <cell r="AU588">
            <v>9.0395305016721395</v>
          </cell>
          <cell r="AV588">
            <v>14.263722316306255</v>
          </cell>
          <cell r="AW588">
            <v>12.105561258724364</v>
          </cell>
          <cell r="AX588">
            <v>10.242049449424412</v>
          </cell>
          <cell r="AY588">
            <v>13.969073068024317</v>
          </cell>
        </row>
        <row r="589">
          <cell r="A589">
            <v>40361</v>
          </cell>
          <cell r="AF589">
            <v>14.505611114882756</v>
          </cell>
          <cell r="AG589">
            <v>20.469360058004284</v>
          </cell>
          <cell r="AH589">
            <v>17.881583490985356</v>
          </cell>
          <cell r="AI589">
            <v>15.547864889645153</v>
          </cell>
          <cell r="AJ589">
            <v>20.215302092325562</v>
          </cell>
          <cell r="AU589">
            <v>9.0276410324806928</v>
          </cell>
          <cell r="AV589">
            <v>14.263722316306255</v>
          </cell>
          <cell r="AW589">
            <v>12.105561258724364</v>
          </cell>
          <cell r="AX589">
            <v>10.242049449424412</v>
          </cell>
          <cell r="AY589">
            <v>13.969073068024317</v>
          </cell>
        </row>
        <row r="590">
          <cell r="A590">
            <v>40364</v>
          </cell>
          <cell r="AF590">
            <v>14.505611114882756</v>
          </cell>
          <cell r="AG590">
            <v>20.469360058004284</v>
          </cell>
          <cell r="AH590">
            <v>17.881583490985356</v>
          </cell>
          <cell r="AI590">
            <v>15.547864889645153</v>
          </cell>
          <cell r="AJ590">
            <v>20.215302092325562</v>
          </cell>
          <cell r="AU590">
            <v>9.0276410324806928</v>
          </cell>
          <cell r="AV590">
            <v>14.263722316306255</v>
          </cell>
          <cell r="AW590">
            <v>12.105561258724364</v>
          </cell>
          <cell r="AX590">
            <v>10.242049449424412</v>
          </cell>
          <cell r="AY590">
            <v>13.969073068024317</v>
          </cell>
        </row>
        <row r="591">
          <cell r="A591">
            <v>40365</v>
          </cell>
          <cell r="AF591">
            <v>14.633932715978462</v>
          </cell>
          <cell r="AG591">
            <v>20.469360058004284</v>
          </cell>
          <cell r="AH591">
            <v>17.881583490985356</v>
          </cell>
          <cell r="AI591">
            <v>15.547864889645153</v>
          </cell>
          <cell r="AJ591">
            <v>20.215302092325562</v>
          </cell>
          <cell r="AU591">
            <v>9.1049343251309161</v>
          </cell>
          <cell r="AV591">
            <v>14.263722316306255</v>
          </cell>
          <cell r="AW591">
            <v>12.105561258724364</v>
          </cell>
          <cell r="AX591">
            <v>10.242049449424412</v>
          </cell>
          <cell r="AY591">
            <v>13.969073068024317</v>
          </cell>
        </row>
        <row r="592">
          <cell r="A592">
            <v>40366</v>
          </cell>
          <cell r="AF592">
            <v>15.043585190853417</v>
          </cell>
          <cell r="AG592">
            <v>20.469360058004284</v>
          </cell>
          <cell r="AH592">
            <v>17.881583490985356</v>
          </cell>
          <cell r="AI592">
            <v>15.547864889645153</v>
          </cell>
          <cell r="AJ592">
            <v>20.215302092325562</v>
          </cell>
          <cell r="AU592">
            <v>9.3516845866225999</v>
          </cell>
          <cell r="AV592">
            <v>14.263722316306255</v>
          </cell>
          <cell r="AW592">
            <v>12.105561258724364</v>
          </cell>
          <cell r="AX592">
            <v>10.242049449424412</v>
          </cell>
          <cell r="AY592">
            <v>13.969073068024317</v>
          </cell>
        </row>
        <row r="593">
          <cell r="A593">
            <v>40367</v>
          </cell>
          <cell r="AF593">
            <v>14.912568008549757</v>
          </cell>
          <cell r="AG593">
            <v>20.469360058004284</v>
          </cell>
          <cell r="AH593">
            <v>17.881583490985356</v>
          </cell>
          <cell r="AI593">
            <v>15.547864889645153</v>
          </cell>
          <cell r="AJ593">
            <v>20.215302092325562</v>
          </cell>
          <cell r="AU593">
            <v>9.2624970681608492</v>
          </cell>
          <cell r="AV593">
            <v>14.263722316306255</v>
          </cell>
          <cell r="AW593">
            <v>12.105561258724364</v>
          </cell>
          <cell r="AX593">
            <v>10.242049449424412</v>
          </cell>
          <cell r="AY593">
            <v>13.969073068024317</v>
          </cell>
        </row>
        <row r="594">
          <cell r="A594">
            <v>40368</v>
          </cell>
          <cell r="AF594">
            <v>14.93232938928851</v>
          </cell>
          <cell r="AG594">
            <v>20.469360058004284</v>
          </cell>
          <cell r="AH594">
            <v>17.881583490985356</v>
          </cell>
          <cell r="AI594">
            <v>15.547864889645153</v>
          </cell>
          <cell r="AJ594">
            <v>20.215302092325562</v>
          </cell>
          <cell r="AU594">
            <v>9.2743865373522922</v>
          </cell>
          <cell r="AV594">
            <v>14.263722316306255</v>
          </cell>
          <cell r="AW594">
            <v>12.105561258724364</v>
          </cell>
          <cell r="AX594">
            <v>10.242049449424412</v>
          </cell>
          <cell r="AY594">
            <v>13.969073068024317</v>
          </cell>
        </row>
        <row r="595">
          <cell r="A595">
            <v>40371</v>
          </cell>
          <cell r="AF595">
            <v>14.907629763379274</v>
          </cell>
          <cell r="AG595">
            <v>20.469360058004284</v>
          </cell>
          <cell r="AH595">
            <v>17.881583490985356</v>
          </cell>
          <cell r="AI595">
            <v>15.547864889645153</v>
          </cell>
          <cell r="AJ595">
            <v>20.215302092325562</v>
          </cell>
          <cell r="AU595">
            <v>9.2595259643401988</v>
          </cell>
          <cell r="AV595">
            <v>14.263722316306255</v>
          </cell>
          <cell r="AW595">
            <v>12.105561258724364</v>
          </cell>
          <cell r="AX595">
            <v>10.242049449424412</v>
          </cell>
          <cell r="AY595">
            <v>13.969073068024317</v>
          </cell>
        </row>
        <row r="596">
          <cell r="A596">
            <v>40372</v>
          </cell>
          <cell r="AF596">
            <v>15.204097910075589</v>
          </cell>
          <cell r="AG596">
            <v>20.469360058004284</v>
          </cell>
          <cell r="AH596">
            <v>17.881583490985356</v>
          </cell>
          <cell r="AI596">
            <v>15.547864889645153</v>
          </cell>
          <cell r="AJ596">
            <v>20.215302092325562</v>
          </cell>
          <cell r="AU596">
            <v>9.4378965419323695</v>
          </cell>
          <cell r="AV596">
            <v>14.263722316306255</v>
          </cell>
          <cell r="AW596">
            <v>12.105561258724364</v>
          </cell>
          <cell r="AX596">
            <v>10.242049449424412</v>
          </cell>
          <cell r="AY596">
            <v>13.969073068024317</v>
          </cell>
        </row>
        <row r="597">
          <cell r="A597">
            <v>40373</v>
          </cell>
          <cell r="AF597">
            <v>15.026213859683466</v>
          </cell>
          <cell r="AG597">
            <v>20.469360058004284</v>
          </cell>
          <cell r="AH597">
            <v>17.881583490985356</v>
          </cell>
          <cell r="AI597">
            <v>15.547864889645153</v>
          </cell>
          <cell r="AJ597">
            <v>20.215302092325562</v>
          </cell>
          <cell r="AU597">
            <v>9.3308722927290333</v>
          </cell>
          <cell r="AV597">
            <v>14.263722316306255</v>
          </cell>
          <cell r="AW597">
            <v>12.105561258724364</v>
          </cell>
          <cell r="AX597">
            <v>10.242049449424412</v>
          </cell>
          <cell r="AY597">
            <v>13.969073068024317</v>
          </cell>
        </row>
        <row r="598">
          <cell r="A598">
            <v>40374</v>
          </cell>
          <cell r="AF598">
            <v>15.031160010789783</v>
          </cell>
          <cell r="AG598">
            <v>20.469360058004284</v>
          </cell>
          <cell r="AH598">
            <v>17.881583490985356</v>
          </cell>
          <cell r="AI598">
            <v>15.547864889645153</v>
          </cell>
          <cell r="AJ598">
            <v>20.215302092325562</v>
          </cell>
          <cell r="AU598">
            <v>9.3338481531697681</v>
          </cell>
          <cell r="AV598">
            <v>14.263722316306255</v>
          </cell>
          <cell r="AW598">
            <v>12.105561258724364</v>
          </cell>
          <cell r="AX598">
            <v>10.242049449424412</v>
          </cell>
          <cell r="AY598">
            <v>13.969073068024317</v>
          </cell>
        </row>
        <row r="599">
          <cell r="A599">
            <v>40375</v>
          </cell>
          <cell r="AF599">
            <v>14.45303894702959</v>
          </cell>
          <cell r="AG599">
            <v>20.469360058004284</v>
          </cell>
          <cell r="AH599">
            <v>17.881583490985356</v>
          </cell>
          <cell r="AI599">
            <v>15.547864889645153</v>
          </cell>
          <cell r="AJ599">
            <v>20.215302092325562</v>
          </cell>
          <cell r="AU599">
            <v>8.986020606736135</v>
          </cell>
          <cell r="AV599">
            <v>14.263722316306255</v>
          </cell>
          <cell r="AW599">
            <v>12.105561258724364</v>
          </cell>
          <cell r="AX599">
            <v>10.242049449424412</v>
          </cell>
          <cell r="AY599">
            <v>13.969073068024317</v>
          </cell>
        </row>
        <row r="600">
          <cell r="A600">
            <v>40378</v>
          </cell>
          <cell r="AF600">
            <v>14.235624723345113</v>
          </cell>
          <cell r="AG600">
            <v>20.469360058004284</v>
          </cell>
          <cell r="AH600">
            <v>17.881583490985356</v>
          </cell>
          <cell r="AI600">
            <v>15.547864889645153</v>
          </cell>
          <cell r="AJ600">
            <v>20.215302092325562</v>
          </cell>
          <cell r="AU600">
            <v>8.85521295981858</v>
          </cell>
          <cell r="AV600">
            <v>14.263722316306255</v>
          </cell>
          <cell r="AW600">
            <v>12.105561258724364</v>
          </cell>
          <cell r="AX600">
            <v>10.242049449424412</v>
          </cell>
          <cell r="AY600">
            <v>13.969073068024317</v>
          </cell>
        </row>
        <row r="601">
          <cell r="A601">
            <v>40379</v>
          </cell>
          <cell r="AF601">
            <v>14.477739067059815</v>
          </cell>
          <cell r="AG601">
            <v>20.469360058004284</v>
          </cell>
          <cell r="AH601">
            <v>17.881583490985356</v>
          </cell>
          <cell r="AI601">
            <v>15.547864889645153</v>
          </cell>
          <cell r="AJ601">
            <v>20.215302092325562</v>
          </cell>
          <cell r="AU601">
            <v>9.0008814770369838</v>
          </cell>
          <cell r="AV601">
            <v>14.263722316306255</v>
          </cell>
          <cell r="AW601">
            <v>12.105561258724364</v>
          </cell>
          <cell r="AX601">
            <v>10.242049449424412</v>
          </cell>
          <cell r="AY601">
            <v>13.969073068024317</v>
          </cell>
        </row>
        <row r="602">
          <cell r="A602">
            <v>40380</v>
          </cell>
          <cell r="AF602">
            <v>14.097271340366333</v>
          </cell>
          <cell r="AG602">
            <v>20.469360058004284</v>
          </cell>
          <cell r="AH602">
            <v>17.881583490985356</v>
          </cell>
          <cell r="AI602">
            <v>15.547864889645153</v>
          </cell>
          <cell r="AJ602">
            <v>20.215302092325562</v>
          </cell>
          <cell r="AU602">
            <v>8.7719724056182162</v>
          </cell>
          <cell r="AV602">
            <v>14.263722316306255</v>
          </cell>
          <cell r="AW602">
            <v>12.105561258724364</v>
          </cell>
          <cell r="AX602">
            <v>10.242049449424412</v>
          </cell>
          <cell r="AY602">
            <v>13.969073068024317</v>
          </cell>
        </row>
        <row r="603">
          <cell r="A603">
            <v>40381</v>
          </cell>
          <cell r="AF603">
            <v>14.393739487062648</v>
          </cell>
          <cell r="AG603">
            <v>20.469360058004284</v>
          </cell>
          <cell r="AH603">
            <v>17.881583490985356</v>
          </cell>
          <cell r="AI603">
            <v>15.547864889645153</v>
          </cell>
          <cell r="AJ603">
            <v>20.215302092325562</v>
          </cell>
          <cell r="AU603">
            <v>8.9503429832103887</v>
          </cell>
          <cell r="AV603">
            <v>14.263722316306255</v>
          </cell>
          <cell r="AW603">
            <v>12.105561258724364</v>
          </cell>
          <cell r="AX603">
            <v>10.242049449424412</v>
          </cell>
          <cell r="AY603">
            <v>13.969073068024317</v>
          </cell>
        </row>
        <row r="604">
          <cell r="A604">
            <v>40382</v>
          </cell>
          <cell r="AF604">
            <v>14.45303894702959</v>
          </cell>
          <cell r="AG604">
            <v>20.469360058004284</v>
          </cell>
          <cell r="AH604">
            <v>17.881583490985356</v>
          </cell>
          <cell r="AI604">
            <v>15.547864889645153</v>
          </cell>
          <cell r="AJ604">
            <v>20.215302092325562</v>
          </cell>
          <cell r="AU604">
            <v>8.986020606736135</v>
          </cell>
          <cell r="AV604">
            <v>14.263722316306255</v>
          </cell>
          <cell r="AW604">
            <v>12.105561258724364</v>
          </cell>
          <cell r="AX604">
            <v>10.242049449424412</v>
          </cell>
          <cell r="AY604">
            <v>13.969073068024317</v>
          </cell>
        </row>
        <row r="605">
          <cell r="A605">
            <v>40385</v>
          </cell>
          <cell r="AF605">
            <v>14.724799561880834</v>
          </cell>
          <cell r="AG605">
            <v>20.469360058004284</v>
          </cell>
          <cell r="AH605">
            <v>17.881583490985356</v>
          </cell>
          <cell r="AI605">
            <v>15.547864889645153</v>
          </cell>
          <cell r="AJ605">
            <v>20.215302092325562</v>
          </cell>
          <cell r="AU605">
            <v>8.93581289936993</v>
          </cell>
          <cell r="AV605">
            <v>14.263722316306255</v>
          </cell>
          <cell r="AW605">
            <v>12.105561258724364</v>
          </cell>
          <cell r="AX605">
            <v>10.242049449424412</v>
          </cell>
          <cell r="AY605">
            <v>13.969073068024317</v>
          </cell>
        </row>
        <row r="606">
          <cell r="A606">
            <v>40386</v>
          </cell>
          <cell r="AF606">
            <v>14.552522173865654</v>
          </cell>
          <cell r="AG606">
            <v>20.469360058004284</v>
          </cell>
          <cell r="AH606">
            <v>17.881583490985356</v>
          </cell>
          <cell r="AI606">
            <v>15.547864889645153</v>
          </cell>
          <cell r="AJ606">
            <v>20.215302092325562</v>
          </cell>
          <cell r="AU606">
            <v>8.8139642653699948</v>
          </cell>
          <cell r="AV606">
            <v>14.263722316306255</v>
          </cell>
          <cell r="AW606">
            <v>12.105561258724364</v>
          </cell>
          <cell r="AX606">
            <v>10.242049449424412</v>
          </cell>
          <cell r="AY606">
            <v>13.969073068024317</v>
          </cell>
        </row>
        <row r="607">
          <cell r="A607">
            <v>40387</v>
          </cell>
          <cell r="AF607">
            <v>14.601557053767245</v>
          </cell>
          <cell r="AG607">
            <v>20.469360058004284</v>
          </cell>
          <cell r="AH607">
            <v>17.881583490985356</v>
          </cell>
          <cell r="AI607">
            <v>15.547864889645153</v>
          </cell>
          <cell r="AJ607">
            <v>20.215302092325562</v>
          </cell>
          <cell r="AU607">
            <v>8.8371742197442114</v>
          </cell>
          <cell r="AV607">
            <v>14.263722316306255</v>
          </cell>
          <cell r="AW607">
            <v>12.105561258724364</v>
          </cell>
          <cell r="AX607">
            <v>10.242049449424412</v>
          </cell>
          <cell r="AY607">
            <v>13.969073068024317</v>
          </cell>
        </row>
        <row r="608">
          <cell r="A608">
            <v>40388</v>
          </cell>
          <cell r="AF608">
            <v>14.393389150684714</v>
          </cell>
          <cell r="AG608">
            <v>20.469360058004284</v>
          </cell>
          <cell r="AH608">
            <v>17.881583490985356</v>
          </cell>
          <cell r="AI608">
            <v>15.547864889645153</v>
          </cell>
          <cell r="AJ608">
            <v>20.215302092325562</v>
          </cell>
          <cell r="AU608">
            <v>8.8038414262288782</v>
          </cell>
          <cell r="AV608">
            <v>14.263722316306255</v>
          </cell>
          <cell r="AW608">
            <v>12.105561258724364</v>
          </cell>
          <cell r="AX608">
            <v>10.242049449424412</v>
          </cell>
          <cell r="AY608">
            <v>13.969073068024317</v>
          </cell>
        </row>
        <row r="609">
          <cell r="A609">
            <v>40389</v>
          </cell>
          <cell r="AF609">
            <v>14.989172541146401</v>
          </cell>
          <cell r="AG609">
            <v>20.469360058004284</v>
          </cell>
          <cell r="AH609">
            <v>17.881583490985356</v>
          </cell>
          <cell r="AI609">
            <v>15.547864889645153</v>
          </cell>
          <cell r="AJ609">
            <v>20.215302092325562</v>
          </cell>
          <cell r="AU609">
            <v>9.1748264604221816</v>
          </cell>
          <cell r="AV609">
            <v>14.263722316306255</v>
          </cell>
          <cell r="AW609">
            <v>12.105561258724364</v>
          </cell>
          <cell r="AX609">
            <v>10.242049449424412</v>
          </cell>
          <cell r="AY609">
            <v>13.969073068024317</v>
          </cell>
        </row>
        <row r="610">
          <cell r="A610">
            <v>40392</v>
          </cell>
          <cell r="AF610">
            <v>15.333468813818556</v>
          </cell>
          <cell r="AG610">
            <v>20.469360058004284</v>
          </cell>
          <cell r="AH610">
            <v>17.881583490985356</v>
          </cell>
          <cell r="AI610">
            <v>15.547864889645153</v>
          </cell>
          <cell r="AJ610">
            <v>20.215302092325562</v>
          </cell>
          <cell r="AU610">
            <v>9.3696404541969383</v>
          </cell>
          <cell r="AV610">
            <v>14.263722316306255</v>
          </cell>
          <cell r="AW610">
            <v>12.105561258724364</v>
          </cell>
          <cell r="AX610">
            <v>10.242049449424412</v>
          </cell>
          <cell r="AY610">
            <v>13.969073068024317</v>
          </cell>
        </row>
        <row r="611">
          <cell r="A611">
            <v>40393</v>
          </cell>
          <cell r="AF611">
            <v>15.480454611049353</v>
          </cell>
          <cell r="AG611">
            <v>20.469360058004284</v>
          </cell>
          <cell r="AH611">
            <v>17.881583490985356</v>
          </cell>
          <cell r="AI611">
            <v>15.547864889645153</v>
          </cell>
          <cell r="AJ611">
            <v>20.215302092325562</v>
          </cell>
          <cell r="AU611">
            <v>9.4849936276379978</v>
          </cell>
          <cell r="AV611">
            <v>14.263722316306255</v>
          </cell>
          <cell r="AW611">
            <v>12.105561258724364</v>
          </cell>
          <cell r="AX611">
            <v>10.242049449424412</v>
          </cell>
          <cell r="AY611">
            <v>13.969073068024317</v>
          </cell>
        </row>
        <row r="612">
          <cell r="A612">
            <v>40394</v>
          </cell>
          <cell r="AF612">
            <v>15.773284788220469</v>
          </cell>
          <cell r="AG612">
            <v>20.469360058004284</v>
          </cell>
          <cell r="AH612">
            <v>17.881583490985356</v>
          </cell>
          <cell r="AI612">
            <v>15.547864889645153</v>
          </cell>
          <cell r="AJ612">
            <v>20.215302092325562</v>
          </cell>
          <cell r="AU612">
            <v>9.6397387958535816</v>
          </cell>
          <cell r="AV612">
            <v>14.263722316306255</v>
          </cell>
          <cell r="AW612">
            <v>12.105561258724364</v>
          </cell>
          <cell r="AX612">
            <v>10.242049449424412</v>
          </cell>
          <cell r="AY612">
            <v>13.969073068024317</v>
          </cell>
        </row>
        <row r="613">
          <cell r="A613">
            <v>40395</v>
          </cell>
          <cell r="AF613">
            <v>15.719713009252374</v>
          </cell>
          <cell r="AG613">
            <v>20.469360058004284</v>
          </cell>
          <cell r="AH613">
            <v>17.881583490985356</v>
          </cell>
          <cell r="AI613">
            <v>15.547864889645153</v>
          </cell>
          <cell r="AJ613">
            <v>20.215302092325562</v>
          </cell>
          <cell r="AU613">
            <v>9.6134585049906587</v>
          </cell>
          <cell r="AV613">
            <v>14.263722316306255</v>
          </cell>
          <cell r="AW613">
            <v>12.105561258724364</v>
          </cell>
          <cell r="AX613">
            <v>10.242049449424412</v>
          </cell>
          <cell r="AY613">
            <v>13.969073068024317</v>
          </cell>
        </row>
        <row r="614">
          <cell r="A614">
            <v>40396</v>
          </cell>
          <cell r="AF614">
            <v>15.724700470015359</v>
          </cell>
          <cell r="AG614">
            <v>20.469360058004284</v>
          </cell>
          <cell r="AH614">
            <v>17.881583490985356</v>
          </cell>
          <cell r="AI614">
            <v>15.547864889645153</v>
          </cell>
          <cell r="AJ614">
            <v>20.215302092325562</v>
          </cell>
          <cell r="AU614">
            <v>9.6163810676660564</v>
          </cell>
          <cell r="AV614">
            <v>14.263722316306255</v>
          </cell>
          <cell r="AW614">
            <v>12.105561258724364</v>
          </cell>
          <cell r="AX614">
            <v>10.242049449424412</v>
          </cell>
          <cell r="AY614">
            <v>13.969073068024317</v>
          </cell>
        </row>
        <row r="615">
          <cell r="A615">
            <v>40399</v>
          </cell>
          <cell r="AF615">
            <v>15.784866331240419</v>
          </cell>
          <cell r="AG615">
            <v>20.469360058004284</v>
          </cell>
          <cell r="AH615">
            <v>17.881583490985356</v>
          </cell>
          <cell r="AI615">
            <v>15.547864889645153</v>
          </cell>
          <cell r="AJ615">
            <v>20.215302092325562</v>
          </cell>
          <cell r="AU615">
            <v>9.6776912356312934</v>
          </cell>
          <cell r="AV615">
            <v>14.263722316306255</v>
          </cell>
          <cell r="AW615">
            <v>12.105561258724364</v>
          </cell>
          <cell r="AX615">
            <v>10.242049449424412</v>
          </cell>
          <cell r="AY615">
            <v>13.969073068024317</v>
          </cell>
        </row>
        <row r="616">
          <cell r="A616">
            <v>40400</v>
          </cell>
          <cell r="AF616">
            <v>15.708182795184131</v>
          </cell>
          <cell r="AG616">
            <v>20.469360058004284</v>
          </cell>
          <cell r="AH616">
            <v>17.881583490985356</v>
          </cell>
          <cell r="AI616">
            <v>15.547864889645153</v>
          </cell>
          <cell r="AJ616">
            <v>20.215302092325562</v>
          </cell>
          <cell r="AU616">
            <v>9.6338983419316389</v>
          </cell>
          <cell r="AV616">
            <v>14.263722316306255</v>
          </cell>
          <cell r="AW616">
            <v>12.105561258724364</v>
          </cell>
          <cell r="AX616">
            <v>10.242049449424412</v>
          </cell>
          <cell r="AY616">
            <v>13.969073068024317</v>
          </cell>
        </row>
        <row r="617">
          <cell r="A617">
            <v>40401</v>
          </cell>
          <cell r="AF617">
            <v>15.345535355008831</v>
          </cell>
          <cell r="AG617">
            <v>20.469360058004284</v>
          </cell>
          <cell r="AH617">
            <v>17.881583490985356</v>
          </cell>
          <cell r="AI617">
            <v>15.547864889645153</v>
          </cell>
          <cell r="AJ617">
            <v>20.215302092325562</v>
          </cell>
          <cell r="AU617">
            <v>9.4207655684262122</v>
          </cell>
          <cell r="AV617">
            <v>14.263722316306255</v>
          </cell>
          <cell r="AW617">
            <v>12.105561258724364</v>
          </cell>
          <cell r="AX617">
            <v>10.242049449424412</v>
          </cell>
          <cell r="AY617">
            <v>13.969073068024317</v>
          </cell>
        </row>
        <row r="618">
          <cell r="A618">
            <v>40402</v>
          </cell>
          <cell r="AF618">
            <v>15.206429989618819</v>
          </cell>
          <cell r="AG618">
            <v>20.469360058004284</v>
          </cell>
          <cell r="AH618">
            <v>17.881583490985356</v>
          </cell>
          <cell r="AI618">
            <v>15.547864889645153</v>
          </cell>
          <cell r="AJ618">
            <v>20.215302092325562</v>
          </cell>
          <cell r="AU618">
            <v>9.3390114760197509</v>
          </cell>
          <cell r="AV618">
            <v>14.263722316306255</v>
          </cell>
          <cell r="AW618">
            <v>12.105561258724364</v>
          </cell>
          <cell r="AX618">
            <v>10.242049449424412</v>
          </cell>
          <cell r="AY618">
            <v>13.969073068024317</v>
          </cell>
        </row>
        <row r="619">
          <cell r="A619">
            <v>40403</v>
          </cell>
          <cell r="AF619">
            <v>15.022623859684327</v>
          </cell>
          <cell r="AG619">
            <v>20.469360058004284</v>
          </cell>
          <cell r="AH619">
            <v>17.881583490985356</v>
          </cell>
          <cell r="AI619">
            <v>15.547864889645153</v>
          </cell>
          <cell r="AJ619">
            <v>20.215302092325562</v>
          </cell>
          <cell r="AU619">
            <v>9.230986143643765</v>
          </cell>
          <cell r="AV619">
            <v>14.263722316306255</v>
          </cell>
          <cell r="AW619">
            <v>12.105561258724364</v>
          </cell>
          <cell r="AX619">
            <v>10.242049449424412</v>
          </cell>
          <cell r="AY619">
            <v>13.969073068024317</v>
          </cell>
        </row>
        <row r="620">
          <cell r="A620">
            <v>40406</v>
          </cell>
          <cell r="AF620">
            <v>15.017658543210603</v>
          </cell>
          <cell r="AG620">
            <v>20.469360058004284</v>
          </cell>
          <cell r="AH620">
            <v>17.881583490985356</v>
          </cell>
          <cell r="AI620">
            <v>15.547864889645153</v>
          </cell>
          <cell r="AJ620">
            <v>20.215302092325562</v>
          </cell>
          <cell r="AU620">
            <v>9.2280679604329148</v>
          </cell>
          <cell r="AV620">
            <v>14.263722316306255</v>
          </cell>
          <cell r="AW620">
            <v>12.105561258724364</v>
          </cell>
          <cell r="AX620">
            <v>10.242049449424412</v>
          </cell>
          <cell r="AY620">
            <v>13.969073068024317</v>
          </cell>
        </row>
        <row r="621">
          <cell r="A621">
            <v>40407</v>
          </cell>
          <cell r="AF621">
            <v>15.32317329840571</v>
          </cell>
          <cell r="AG621">
            <v>20.469360058004284</v>
          </cell>
          <cell r="AH621">
            <v>17.881583490985356</v>
          </cell>
          <cell r="AI621">
            <v>15.547864889645153</v>
          </cell>
          <cell r="AJ621">
            <v>20.215302092325562</v>
          </cell>
          <cell r="AU621">
            <v>9.4076230872803244</v>
          </cell>
          <cell r="AV621">
            <v>14.263722316306255</v>
          </cell>
          <cell r="AW621">
            <v>12.105561258724364</v>
          </cell>
          <cell r="AX621">
            <v>10.242049449424412</v>
          </cell>
          <cell r="AY621">
            <v>13.969073068024317</v>
          </cell>
        </row>
        <row r="622">
          <cell r="A622">
            <v>40408</v>
          </cell>
          <cell r="AF622">
            <v>15.320945762151142</v>
          </cell>
          <cell r="AG622">
            <v>20.469360058004284</v>
          </cell>
          <cell r="AH622">
            <v>17.881583490985356</v>
          </cell>
          <cell r="AI622">
            <v>15.547864889645153</v>
          </cell>
          <cell r="AJ622">
            <v>20.215302092325562</v>
          </cell>
          <cell r="AU622">
            <v>9.4657763670674413</v>
          </cell>
          <cell r="AV622">
            <v>14.263722316306255</v>
          </cell>
          <cell r="AW622">
            <v>12.105561258724364</v>
          </cell>
          <cell r="AX622">
            <v>10.242049449424412</v>
          </cell>
          <cell r="AY622">
            <v>13.969073068024317</v>
          </cell>
        </row>
        <row r="623">
          <cell r="A623">
            <v>40409</v>
          </cell>
          <cell r="AF623">
            <v>14.992531099686355</v>
          </cell>
          <cell r="AG623">
            <v>20.469360058004284</v>
          </cell>
          <cell r="AH623">
            <v>17.881583490985356</v>
          </cell>
          <cell r="AI623">
            <v>15.547864889645153</v>
          </cell>
          <cell r="AJ623">
            <v>20.215302092325562</v>
          </cell>
          <cell r="AU623">
            <v>9.2715561279206788</v>
          </cell>
          <cell r="AV623">
            <v>14.263722316306255</v>
          </cell>
          <cell r="AW623">
            <v>12.105561258724364</v>
          </cell>
          <cell r="AX623">
            <v>10.242049449424412</v>
          </cell>
          <cell r="AY623">
            <v>13.969073068024317</v>
          </cell>
        </row>
        <row r="624">
          <cell r="A624">
            <v>40410</v>
          </cell>
          <cell r="AF624">
            <v>14.65914347321427</v>
          </cell>
          <cell r="AG624">
            <v>20.469360058004284</v>
          </cell>
          <cell r="AH624">
            <v>17.881583490985356</v>
          </cell>
          <cell r="AI624">
            <v>15.547864889645153</v>
          </cell>
          <cell r="AJ624">
            <v>20.215302092325562</v>
          </cell>
          <cell r="AU624">
            <v>9.0743949413402127</v>
          </cell>
          <cell r="AV624">
            <v>14.263722316306255</v>
          </cell>
          <cell r="AW624">
            <v>12.105561258724364</v>
          </cell>
          <cell r="AX624">
            <v>10.242049449424412</v>
          </cell>
          <cell r="AY624">
            <v>13.969073068024317</v>
          </cell>
        </row>
        <row r="625">
          <cell r="A625">
            <v>40413</v>
          </cell>
          <cell r="AF625">
            <v>14.629288770941917</v>
          </cell>
          <cell r="AG625">
            <v>20.469360058004284</v>
          </cell>
          <cell r="AH625">
            <v>17.881583490985356</v>
          </cell>
          <cell r="AI625">
            <v>15.547864889645153</v>
          </cell>
          <cell r="AJ625">
            <v>20.215302092325562</v>
          </cell>
          <cell r="AU625">
            <v>9.056739251513596</v>
          </cell>
          <cell r="AV625">
            <v>14.263722316306255</v>
          </cell>
          <cell r="AW625">
            <v>12.105561258724364</v>
          </cell>
          <cell r="AX625">
            <v>10.242049449424412</v>
          </cell>
          <cell r="AY625">
            <v>13.969073068024317</v>
          </cell>
        </row>
        <row r="626">
          <cell r="A626">
            <v>40414</v>
          </cell>
          <cell r="AF626">
            <v>14.305855034003752</v>
          </cell>
          <cell r="AG626">
            <v>20.469360058004284</v>
          </cell>
          <cell r="AH626">
            <v>17.881583490985356</v>
          </cell>
          <cell r="AI626">
            <v>15.547864889645153</v>
          </cell>
          <cell r="AJ626">
            <v>20.215302092325562</v>
          </cell>
          <cell r="AU626">
            <v>8.8654646681414295</v>
          </cell>
          <cell r="AV626">
            <v>14.263722316306255</v>
          </cell>
          <cell r="AW626">
            <v>12.105561258724364</v>
          </cell>
          <cell r="AX626">
            <v>10.242049449424412</v>
          </cell>
          <cell r="AY626">
            <v>13.969073068024317</v>
          </cell>
        </row>
        <row r="627">
          <cell r="A627">
            <v>40415</v>
          </cell>
          <cell r="AF627">
            <v>14.380491292089678</v>
          </cell>
          <cell r="AG627">
            <v>20.469360058004284</v>
          </cell>
          <cell r="AH627">
            <v>17.881583490985356</v>
          </cell>
          <cell r="AI627">
            <v>15.547864889645153</v>
          </cell>
          <cell r="AJ627">
            <v>20.215302092325562</v>
          </cell>
          <cell r="AU627">
            <v>8.9096035984366715</v>
          </cell>
          <cell r="AV627">
            <v>14.263722316306255</v>
          </cell>
          <cell r="AW627">
            <v>12.105561258724364</v>
          </cell>
          <cell r="AX627">
            <v>10.242049449424412</v>
          </cell>
          <cell r="AY627">
            <v>13.969073068024317</v>
          </cell>
        </row>
        <row r="628">
          <cell r="A628">
            <v>40416</v>
          </cell>
          <cell r="AF628">
            <v>14.146621164373615</v>
          </cell>
          <cell r="AG628">
            <v>20.469360058004284</v>
          </cell>
          <cell r="AH628">
            <v>17.881583490985356</v>
          </cell>
          <cell r="AI628">
            <v>15.547864889645153</v>
          </cell>
          <cell r="AJ628">
            <v>20.215302092325562</v>
          </cell>
          <cell r="AU628">
            <v>8.7712957902730562</v>
          </cell>
          <cell r="AV628">
            <v>14.263722316306255</v>
          </cell>
          <cell r="AW628">
            <v>12.105561258724364</v>
          </cell>
          <cell r="AX628">
            <v>10.242049449424412</v>
          </cell>
          <cell r="AY628">
            <v>13.969073068024317</v>
          </cell>
        </row>
        <row r="629">
          <cell r="A629">
            <v>40417</v>
          </cell>
          <cell r="AF629">
            <v>14.360583513021837</v>
          </cell>
          <cell r="AG629">
            <v>20.469360058004284</v>
          </cell>
          <cell r="AH629">
            <v>17.881583490985356</v>
          </cell>
          <cell r="AI629">
            <v>15.547864889645153</v>
          </cell>
          <cell r="AJ629">
            <v>20.215302092325562</v>
          </cell>
          <cell r="AU629">
            <v>8.897830392020067</v>
          </cell>
          <cell r="AV629">
            <v>14.263722316306255</v>
          </cell>
          <cell r="AW629">
            <v>12.105561258724364</v>
          </cell>
          <cell r="AX629">
            <v>10.242049449424412</v>
          </cell>
          <cell r="AY629">
            <v>13.969073068024317</v>
          </cell>
        </row>
        <row r="630">
          <cell r="A630">
            <v>40420</v>
          </cell>
          <cell r="AF630">
            <v>13.997341184277399</v>
          </cell>
          <cell r="AG630">
            <v>20.469360058004284</v>
          </cell>
          <cell r="AH630">
            <v>17.881583490985356</v>
          </cell>
          <cell r="AI630">
            <v>15.547864889645153</v>
          </cell>
          <cell r="AJ630">
            <v>20.215302092325562</v>
          </cell>
          <cell r="AU630">
            <v>8.6830135156129842</v>
          </cell>
          <cell r="AV630">
            <v>14.263722316306255</v>
          </cell>
          <cell r="AW630">
            <v>12.105561258724364</v>
          </cell>
          <cell r="AX630">
            <v>10.242049449424412</v>
          </cell>
          <cell r="AY630">
            <v>13.969073068024317</v>
          </cell>
        </row>
        <row r="631">
          <cell r="A631">
            <v>40421</v>
          </cell>
          <cell r="AF631">
            <v>13.823187427435451</v>
          </cell>
          <cell r="AG631">
            <v>20.469360058004284</v>
          </cell>
          <cell r="AH631">
            <v>17.881583490985356</v>
          </cell>
          <cell r="AI631">
            <v>15.547864889645153</v>
          </cell>
          <cell r="AJ631">
            <v>20.215302092325562</v>
          </cell>
          <cell r="AU631">
            <v>8.5800212069008932</v>
          </cell>
          <cell r="AV631">
            <v>14.263722316306255</v>
          </cell>
          <cell r="AW631">
            <v>12.105561258724364</v>
          </cell>
          <cell r="AX631">
            <v>10.242049449424412</v>
          </cell>
          <cell r="AY631">
            <v>13.969073068024317</v>
          </cell>
        </row>
        <row r="632">
          <cell r="A632">
            <v>40422</v>
          </cell>
          <cell r="AF632">
            <v>14.121136217552534</v>
          </cell>
          <cell r="AG632">
            <v>20.469360058004284</v>
          </cell>
          <cell r="AH632">
            <v>17.881583490985356</v>
          </cell>
          <cell r="AI632">
            <v>15.547864889645153</v>
          </cell>
          <cell r="AJ632">
            <v>20.215302092325562</v>
          </cell>
          <cell r="AU632">
            <v>8.7685409786820632</v>
          </cell>
          <cell r="AV632">
            <v>14.263722316306255</v>
          </cell>
          <cell r="AW632">
            <v>12.105561258724364</v>
          </cell>
          <cell r="AX632">
            <v>10.242049449424412</v>
          </cell>
          <cell r="AY632">
            <v>13.969073068024317</v>
          </cell>
        </row>
        <row r="633">
          <cell r="A633">
            <v>40423</v>
          </cell>
          <cell r="AF633">
            <v>14.516680346106304</v>
          </cell>
          <cell r="AG633">
            <v>20.469360058004284</v>
          </cell>
          <cell r="AH633">
            <v>17.881583490985356</v>
          </cell>
          <cell r="AI633">
            <v>15.547864889645153</v>
          </cell>
          <cell r="AJ633">
            <v>20.215302092325562</v>
          </cell>
          <cell r="AU633">
            <v>9.0028585599852757</v>
          </cell>
          <cell r="AV633">
            <v>14.263722316306255</v>
          </cell>
          <cell r="AW633">
            <v>12.105561258724364</v>
          </cell>
          <cell r="AX633">
            <v>10.242049449424412</v>
          </cell>
          <cell r="AY633">
            <v>13.969073068024317</v>
          </cell>
        </row>
        <row r="634">
          <cell r="A634">
            <v>40424</v>
          </cell>
          <cell r="AF634">
            <v>14.754015822002472</v>
          </cell>
          <cell r="AG634">
            <v>20.469360058004284</v>
          </cell>
          <cell r="AH634">
            <v>17.881583490985356</v>
          </cell>
          <cell r="AI634">
            <v>15.547864889645153</v>
          </cell>
          <cell r="AJ634">
            <v>20.215302092325562</v>
          </cell>
          <cell r="AU634">
            <v>9.1434544395721389</v>
          </cell>
          <cell r="AV634">
            <v>14.263722316306255</v>
          </cell>
          <cell r="AW634">
            <v>12.105561258724364</v>
          </cell>
          <cell r="AX634">
            <v>10.242049449424412</v>
          </cell>
          <cell r="AY634">
            <v>13.969073068024317</v>
          </cell>
        </row>
        <row r="635">
          <cell r="A635">
            <v>40427</v>
          </cell>
          <cell r="AF635">
            <v>14.754015822002472</v>
          </cell>
          <cell r="AG635">
            <v>20.469360058004284</v>
          </cell>
          <cell r="AH635">
            <v>17.881583490985356</v>
          </cell>
          <cell r="AI635">
            <v>15.547864889645153</v>
          </cell>
          <cell r="AJ635">
            <v>20.215302092325562</v>
          </cell>
          <cell r="AU635">
            <v>9.1434544395721389</v>
          </cell>
          <cell r="AV635">
            <v>14.263722316306255</v>
          </cell>
          <cell r="AW635">
            <v>12.105561258724364</v>
          </cell>
          <cell r="AX635">
            <v>10.242049449424412</v>
          </cell>
          <cell r="AY635">
            <v>13.969073068024317</v>
          </cell>
        </row>
        <row r="636">
          <cell r="A636">
            <v>40428</v>
          </cell>
          <cell r="AF636">
            <v>14.437575772558715</v>
          </cell>
          <cell r="AG636">
            <v>20.469360058004284</v>
          </cell>
          <cell r="AH636">
            <v>17.881583490985356</v>
          </cell>
          <cell r="AI636">
            <v>15.547864889645153</v>
          </cell>
          <cell r="AJ636">
            <v>20.215302092325562</v>
          </cell>
          <cell r="AU636">
            <v>8.9559975626764174</v>
          </cell>
          <cell r="AV636">
            <v>14.263722316306255</v>
          </cell>
          <cell r="AW636">
            <v>12.105561258724364</v>
          </cell>
          <cell r="AX636">
            <v>10.242049449424412</v>
          </cell>
          <cell r="AY636">
            <v>13.969073068024317</v>
          </cell>
        </row>
        <row r="637">
          <cell r="A637">
            <v>40429</v>
          </cell>
          <cell r="AF637">
            <v>14.447459085290483</v>
          </cell>
          <cell r="AG637">
            <v>20.469360058004284</v>
          </cell>
          <cell r="AH637">
            <v>17.881583490985356</v>
          </cell>
          <cell r="AI637">
            <v>15.547864889645153</v>
          </cell>
          <cell r="AJ637">
            <v>20.215302092325562</v>
          </cell>
          <cell r="AU637">
            <v>8.9618523681643349</v>
          </cell>
          <cell r="AV637">
            <v>14.263722316306255</v>
          </cell>
          <cell r="AW637">
            <v>12.105561258724364</v>
          </cell>
          <cell r="AX637">
            <v>10.242049449424412</v>
          </cell>
          <cell r="AY637">
            <v>13.969073068024317</v>
          </cell>
        </row>
        <row r="638">
          <cell r="A638">
            <v>40430</v>
          </cell>
          <cell r="AF638">
            <v>14.660071199011124</v>
          </cell>
          <cell r="AG638">
            <v>20.469360058004284</v>
          </cell>
          <cell r="AH638">
            <v>17.881583490985356</v>
          </cell>
          <cell r="AI638">
            <v>15.547864889645153</v>
          </cell>
          <cell r="AJ638">
            <v>20.215302092325562</v>
          </cell>
          <cell r="AU638">
            <v>9.0878023005396109</v>
          </cell>
          <cell r="AV638">
            <v>14.263722316306255</v>
          </cell>
          <cell r="AW638">
            <v>12.105561258724364</v>
          </cell>
          <cell r="AX638">
            <v>10.242049449424412</v>
          </cell>
          <cell r="AY638">
            <v>13.969073068024317</v>
          </cell>
        </row>
        <row r="639">
          <cell r="A639">
            <v>40431</v>
          </cell>
          <cell r="AF639">
            <v>14.768848454882571</v>
          </cell>
          <cell r="AG639">
            <v>20.469360058004284</v>
          </cell>
          <cell r="AH639">
            <v>17.881583490985356</v>
          </cell>
          <cell r="AI639">
            <v>15.547864889645153</v>
          </cell>
          <cell r="AJ639">
            <v>20.215302092325562</v>
          </cell>
          <cell r="AU639">
            <v>9.1522411877752567</v>
          </cell>
          <cell r="AV639">
            <v>14.263722316306255</v>
          </cell>
          <cell r="AW639">
            <v>12.105561258724364</v>
          </cell>
          <cell r="AX639">
            <v>10.242049449424412</v>
          </cell>
          <cell r="AY639">
            <v>13.969073068024317</v>
          </cell>
        </row>
        <row r="640">
          <cell r="A640">
            <v>40434</v>
          </cell>
          <cell r="AF640">
            <v>14.872675896168108</v>
          </cell>
          <cell r="AG640">
            <v>20.469360058004284</v>
          </cell>
          <cell r="AH640">
            <v>17.881583490985356</v>
          </cell>
          <cell r="AI640">
            <v>15.547864889645153</v>
          </cell>
          <cell r="AJ640">
            <v>20.215302092325562</v>
          </cell>
          <cell r="AU640">
            <v>9.2137478393943333</v>
          </cell>
          <cell r="AV640">
            <v>14.263722316306255</v>
          </cell>
          <cell r="AW640">
            <v>12.105561258724364</v>
          </cell>
          <cell r="AX640">
            <v>10.242049449424412</v>
          </cell>
          <cell r="AY640">
            <v>13.969073068024317</v>
          </cell>
        </row>
        <row r="641">
          <cell r="A641">
            <v>40435</v>
          </cell>
          <cell r="AF641">
            <v>14.922122620519159</v>
          </cell>
          <cell r="AG641">
            <v>20.469360058004284</v>
          </cell>
          <cell r="AH641">
            <v>17.881583490985356</v>
          </cell>
          <cell r="AI641">
            <v>15.547864889645153</v>
          </cell>
          <cell r="AJ641">
            <v>20.215302092325562</v>
          </cell>
          <cell r="AU641">
            <v>9.2430397338175112</v>
          </cell>
          <cell r="AV641">
            <v>14.263722316306255</v>
          </cell>
          <cell r="AW641">
            <v>12.105561258724364</v>
          </cell>
          <cell r="AX641">
            <v>10.242049449424412</v>
          </cell>
          <cell r="AY641">
            <v>13.969073068024317</v>
          </cell>
        </row>
        <row r="642">
          <cell r="A642">
            <v>40436</v>
          </cell>
          <cell r="AF642">
            <v>15.119894684796044</v>
          </cell>
          <cell r="AG642">
            <v>20.469360058004284</v>
          </cell>
          <cell r="AH642">
            <v>17.881583490985356</v>
          </cell>
          <cell r="AI642">
            <v>15.547864889645153</v>
          </cell>
          <cell r="AJ642">
            <v>20.215302092325562</v>
          </cell>
          <cell r="AU642">
            <v>9.3601985244691139</v>
          </cell>
          <cell r="AV642">
            <v>14.263722316306255</v>
          </cell>
          <cell r="AW642">
            <v>12.105561258724364</v>
          </cell>
          <cell r="AX642">
            <v>10.242049449424412</v>
          </cell>
          <cell r="AY642">
            <v>13.969073068024317</v>
          </cell>
        </row>
        <row r="643">
          <cell r="A643">
            <v>40437</v>
          </cell>
          <cell r="AF643">
            <v>15.040790605686032</v>
          </cell>
          <cell r="AG643">
            <v>20.469360058004284</v>
          </cell>
          <cell r="AH643">
            <v>17.881583490985356</v>
          </cell>
          <cell r="AI643">
            <v>15.547864889645153</v>
          </cell>
          <cell r="AJ643">
            <v>20.215302092325562</v>
          </cell>
          <cell r="AU643">
            <v>9.3133378200616281</v>
          </cell>
          <cell r="AV643">
            <v>14.263722316306255</v>
          </cell>
          <cell r="AW643">
            <v>12.105561258724364</v>
          </cell>
          <cell r="AX643">
            <v>10.242049449424412</v>
          </cell>
          <cell r="AY643">
            <v>13.969073068024317</v>
          </cell>
        </row>
        <row r="644">
          <cell r="A644">
            <v>40438</v>
          </cell>
          <cell r="AF644">
            <v>15.159450679851668</v>
          </cell>
          <cell r="AG644">
            <v>20.469360058004284</v>
          </cell>
          <cell r="AH644">
            <v>17.881583490985356</v>
          </cell>
          <cell r="AI644">
            <v>15.547864889645153</v>
          </cell>
          <cell r="AJ644">
            <v>20.215302092325562</v>
          </cell>
          <cell r="AU644">
            <v>9.3836312198838208</v>
          </cell>
          <cell r="AV644">
            <v>14.263722316306255</v>
          </cell>
          <cell r="AW644">
            <v>12.105561258724364</v>
          </cell>
          <cell r="AX644">
            <v>10.242049449424412</v>
          </cell>
          <cell r="AY644">
            <v>13.969073068024317</v>
          </cell>
        </row>
        <row r="645">
          <cell r="A645">
            <v>40441</v>
          </cell>
          <cell r="AF645">
            <v>15.288009394313969</v>
          </cell>
          <cell r="AG645">
            <v>20.469360058004284</v>
          </cell>
          <cell r="AH645">
            <v>17.881583490985356</v>
          </cell>
          <cell r="AI645">
            <v>15.547864889645153</v>
          </cell>
          <cell r="AJ645">
            <v>20.215302092325562</v>
          </cell>
          <cell r="AU645">
            <v>9.4597885051364123</v>
          </cell>
          <cell r="AV645">
            <v>14.263722316306255</v>
          </cell>
          <cell r="AW645">
            <v>12.105561258724364</v>
          </cell>
          <cell r="AX645">
            <v>10.242049449424412</v>
          </cell>
          <cell r="AY645">
            <v>13.969073068024317</v>
          </cell>
        </row>
        <row r="646">
          <cell r="A646">
            <v>40442</v>
          </cell>
          <cell r="AF646">
            <v>15.179232138442522</v>
          </cell>
          <cell r="AG646">
            <v>20.469360058004284</v>
          </cell>
          <cell r="AH646">
            <v>17.881583490985356</v>
          </cell>
          <cell r="AI646">
            <v>15.547864889645153</v>
          </cell>
          <cell r="AJ646">
            <v>20.215302092325562</v>
          </cell>
          <cell r="AU646">
            <v>9.3953496179007665</v>
          </cell>
          <cell r="AV646">
            <v>14.263722316306255</v>
          </cell>
          <cell r="AW646">
            <v>12.105561258724364</v>
          </cell>
          <cell r="AX646">
            <v>10.242049449424412</v>
          </cell>
          <cell r="AY646">
            <v>13.969073068024317</v>
          </cell>
        </row>
        <row r="647">
          <cell r="A647">
            <v>40443</v>
          </cell>
          <cell r="AF647">
            <v>15.174283312731768</v>
          </cell>
          <cell r="AG647">
            <v>20.469360058004284</v>
          </cell>
          <cell r="AH647">
            <v>17.881583490985356</v>
          </cell>
          <cell r="AI647">
            <v>15.547864889645153</v>
          </cell>
          <cell r="AJ647">
            <v>20.215302092325562</v>
          </cell>
          <cell r="AU647">
            <v>9.3924179680869369</v>
          </cell>
          <cell r="AV647">
            <v>14.263722316306255</v>
          </cell>
          <cell r="AW647">
            <v>12.105561258724364</v>
          </cell>
          <cell r="AX647">
            <v>10.242049449424412</v>
          </cell>
          <cell r="AY647">
            <v>13.969073068024317</v>
          </cell>
        </row>
        <row r="648">
          <cell r="A648">
            <v>40444</v>
          </cell>
          <cell r="AF648">
            <v>15.169341409147096</v>
          </cell>
          <cell r="AG648">
            <v>20.469360058004284</v>
          </cell>
          <cell r="AH648">
            <v>17.881583490985356</v>
          </cell>
          <cell r="AI648">
            <v>15.547864889645153</v>
          </cell>
          <cell r="AJ648">
            <v>20.215302092325562</v>
          </cell>
          <cell r="AU648">
            <v>9.3894904188922954</v>
          </cell>
          <cell r="AV648">
            <v>14.263722316306255</v>
          </cell>
          <cell r="AW648">
            <v>12.105561258724364</v>
          </cell>
          <cell r="AX648">
            <v>10.242049449424412</v>
          </cell>
          <cell r="AY648">
            <v>13.969073068024317</v>
          </cell>
        </row>
        <row r="649">
          <cell r="A649">
            <v>40445</v>
          </cell>
          <cell r="AF649">
            <v>15.624222991347342</v>
          </cell>
          <cell r="AG649">
            <v>20.469360058004284</v>
          </cell>
          <cell r="AH649">
            <v>17.881583490985356</v>
          </cell>
          <cell r="AI649">
            <v>15.547864889645153</v>
          </cell>
          <cell r="AJ649">
            <v>20.215302092325562</v>
          </cell>
          <cell r="AU649">
            <v>9.6589590936271534</v>
          </cell>
          <cell r="AV649">
            <v>14.263722316306255</v>
          </cell>
          <cell r="AW649">
            <v>12.105561258724364</v>
          </cell>
          <cell r="AX649">
            <v>10.242049449424412</v>
          </cell>
          <cell r="AY649">
            <v>13.969073068024317</v>
          </cell>
        </row>
        <row r="650">
          <cell r="A650">
            <v>40448</v>
          </cell>
          <cell r="AF650">
            <v>15.505555500618048</v>
          </cell>
          <cell r="AG650">
            <v>20.469360058004284</v>
          </cell>
          <cell r="AH650">
            <v>17.881583490985356</v>
          </cell>
          <cell r="AI650">
            <v>15.547864889645153</v>
          </cell>
          <cell r="AJ650">
            <v>20.215302092325562</v>
          </cell>
          <cell r="AU650">
            <v>9.5886613002844072</v>
          </cell>
          <cell r="AV650">
            <v>14.263722316306255</v>
          </cell>
          <cell r="AW650">
            <v>12.105561258724364</v>
          </cell>
          <cell r="AX650">
            <v>10.242049449424412</v>
          </cell>
          <cell r="AY650">
            <v>13.969073068024317</v>
          </cell>
        </row>
        <row r="651">
          <cell r="A651">
            <v>40449</v>
          </cell>
          <cell r="AF651">
            <v>15.708276885043263</v>
          </cell>
          <cell r="AG651">
            <v>20.469360058004284</v>
          </cell>
          <cell r="AH651">
            <v>17.881583490985356</v>
          </cell>
          <cell r="AI651">
            <v>15.547864889645153</v>
          </cell>
          <cell r="AJ651">
            <v>20.215302092325562</v>
          </cell>
          <cell r="AU651">
            <v>9.7087520336512103</v>
          </cell>
          <cell r="AV651">
            <v>14.263722316306255</v>
          </cell>
          <cell r="AW651">
            <v>12.105561258724364</v>
          </cell>
          <cell r="AX651">
            <v>10.242049449424412</v>
          </cell>
          <cell r="AY651">
            <v>13.969073068024317</v>
          </cell>
        </row>
        <row r="652">
          <cell r="A652">
            <v>40450</v>
          </cell>
          <cell r="AF652">
            <v>15.757723609394315</v>
          </cell>
          <cell r="AG652">
            <v>20.469360058004284</v>
          </cell>
          <cell r="AH652">
            <v>17.881583490985356</v>
          </cell>
          <cell r="AI652">
            <v>15.547864889645153</v>
          </cell>
          <cell r="AJ652">
            <v>20.215302092325562</v>
          </cell>
          <cell r="AU652">
            <v>9.7380439280743865</v>
          </cell>
          <cell r="AV652">
            <v>14.263722316306255</v>
          </cell>
          <cell r="AW652">
            <v>12.105561258724364</v>
          </cell>
          <cell r="AX652">
            <v>10.242049449424412</v>
          </cell>
          <cell r="AY652">
            <v>13.969073068024317</v>
          </cell>
        </row>
        <row r="653">
          <cell r="A653">
            <v>40451</v>
          </cell>
          <cell r="AF653">
            <v>15.807162422744128</v>
          </cell>
          <cell r="AG653">
            <v>20.469360058004284</v>
          </cell>
          <cell r="AH653">
            <v>17.881583490985356</v>
          </cell>
          <cell r="AI653">
            <v>15.547864889645153</v>
          </cell>
          <cell r="AJ653">
            <v>20.215302092325562</v>
          </cell>
          <cell r="AU653">
            <v>9.7673311360756401</v>
          </cell>
          <cell r="AV653">
            <v>14.263722316306255</v>
          </cell>
          <cell r="AW653">
            <v>12.105561258724364</v>
          </cell>
          <cell r="AX653">
            <v>10.242049449424412</v>
          </cell>
          <cell r="AY653">
            <v>13.969073068024317</v>
          </cell>
        </row>
        <row r="654">
          <cell r="A654">
            <v>40452</v>
          </cell>
          <cell r="AF654">
            <v>15.760660146298882</v>
          </cell>
          <cell r="AG654">
            <v>20.469360058004284</v>
          </cell>
          <cell r="AH654">
            <v>17.881583490985356</v>
          </cell>
          <cell r="AI654">
            <v>15.547864889645153</v>
          </cell>
          <cell r="AJ654">
            <v>20.215302092325562</v>
          </cell>
          <cell r="AU654">
            <v>9.7192371559085711</v>
          </cell>
          <cell r="AV654">
            <v>14.263722316306255</v>
          </cell>
          <cell r="AW654">
            <v>12.105561258724364</v>
          </cell>
          <cell r="AX654">
            <v>10.242049449424412</v>
          </cell>
          <cell r="AY654">
            <v>13.969073068024317</v>
          </cell>
        </row>
        <row r="655">
          <cell r="A655">
            <v>40455</v>
          </cell>
          <cell r="AF655">
            <v>15.346426892415387</v>
          </cell>
          <cell r="AG655">
            <v>20.469360058004284</v>
          </cell>
          <cell r="AH655">
            <v>17.881583490985356</v>
          </cell>
          <cell r="AI655">
            <v>15.547864889645153</v>
          </cell>
          <cell r="AJ655">
            <v>20.215302092325562</v>
          </cell>
          <cell r="AU655">
            <v>9.4743392531446293</v>
          </cell>
          <cell r="AV655">
            <v>14.263722316306255</v>
          </cell>
          <cell r="AW655">
            <v>12.105561258724364</v>
          </cell>
          <cell r="AX655">
            <v>10.242049449424412</v>
          </cell>
          <cell r="AY655">
            <v>13.969073068024317</v>
          </cell>
        </row>
        <row r="656">
          <cell r="A656">
            <v>40456</v>
          </cell>
          <cell r="AF656">
            <v>15.834627763624441</v>
          </cell>
          <cell r="AG656">
            <v>20.469360058004284</v>
          </cell>
          <cell r="AH656">
            <v>17.881583490985356</v>
          </cell>
          <cell r="AI656">
            <v>15.547864889645153</v>
          </cell>
          <cell r="AJ656">
            <v>20.215302092325562</v>
          </cell>
          <cell r="AU656">
            <v>9.7629673832277213</v>
          </cell>
          <cell r="AV656">
            <v>14.263722316306255</v>
          </cell>
          <cell r="AW656">
            <v>12.105561258724364</v>
          </cell>
          <cell r="AX656">
            <v>10.242049449424412</v>
          </cell>
          <cell r="AY656">
            <v>13.969073068024317</v>
          </cell>
        </row>
        <row r="657">
          <cell r="A657">
            <v>40457</v>
          </cell>
          <cell r="AF657">
            <v>15.852438480878707</v>
          </cell>
          <cell r="AG657">
            <v>20.469360058004284</v>
          </cell>
          <cell r="AH657">
            <v>17.881583490985356</v>
          </cell>
          <cell r="AI657">
            <v>15.547864889645153</v>
          </cell>
          <cell r="AJ657">
            <v>20.215302092325562</v>
          </cell>
          <cell r="AU657">
            <v>9.8119158970686318</v>
          </cell>
          <cell r="AV657">
            <v>14.263722316306255</v>
          </cell>
          <cell r="AW657">
            <v>12.105561258724364</v>
          </cell>
          <cell r="AX657">
            <v>10.242049449424412</v>
          </cell>
          <cell r="AY657">
            <v>13.969073068024317</v>
          </cell>
        </row>
        <row r="658">
          <cell r="A658">
            <v>40458</v>
          </cell>
          <cell r="AF658">
            <v>15.798266851944422</v>
          </cell>
          <cell r="AG658">
            <v>20.469360058004284</v>
          </cell>
          <cell r="AH658">
            <v>17.881583490985356</v>
          </cell>
          <cell r="AI658">
            <v>15.547864889645153</v>
          </cell>
          <cell r="AJ658">
            <v>20.215302092325562</v>
          </cell>
          <cell r="AU658">
            <v>9.7797615169032248</v>
          </cell>
          <cell r="AV658">
            <v>14.263722316306255</v>
          </cell>
          <cell r="AW658">
            <v>12.105561258724364</v>
          </cell>
          <cell r="AX658">
            <v>10.242049449424412</v>
          </cell>
          <cell r="AY658">
            <v>13.969073068024317</v>
          </cell>
        </row>
        <row r="659">
          <cell r="A659">
            <v>40459</v>
          </cell>
          <cell r="AF659">
            <v>15.758876063828252</v>
          </cell>
          <cell r="AG659">
            <v>20.469360058004284</v>
          </cell>
          <cell r="AH659">
            <v>17.881583490985356</v>
          </cell>
          <cell r="AI659">
            <v>15.547864889645153</v>
          </cell>
          <cell r="AJ659">
            <v>20.215302092325562</v>
          </cell>
          <cell r="AU659">
            <v>9.7563805257641398</v>
          </cell>
          <cell r="AV659">
            <v>14.263722316306255</v>
          </cell>
          <cell r="AW659">
            <v>12.105561258724364</v>
          </cell>
          <cell r="AX659">
            <v>10.242049449424412</v>
          </cell>
          <cell r="AY659">
            <v>13.969073068024317</v>
          </cell>
        </row>
        <row r="660">
          <cell r="A660">
            <v>40462</v>
          </cell>
          <cell r="AF660">
            <v>15.689924086540724</v>
          </cell>
          <cell r="AG660">
            <v>20.469360058004284</v>
          </cell>
          <cell r="AH660">
            <v>17.881583490985356</v>
          </cell>
          <cell r="AI660">
            <v>15.547864889645153</v>
          </cell>
          <cell r="AJ660">
            <v>20.215302092325562</v>
          </cell>
          <cell r="AU660">
            <v>9.7154530488822974</v>
          </cell>
          <cell r="AV660">
            <v>14.263722316306255</v>
          </cell>
          <cell r="AW660">
            <v>12.105561258724364</v>
          </cell>
          <cell r="AX660">
            <v>10.242049449424412</v>
          </cell>
          <cell r="AY660">
            <v>13.969073068024317</v>
          </cell>
        </row>
        <row r="661">
          <cell r="A661">
            <v>40463</v>
          </cell>
          <cell r="AF661">
            <v>15.643771073044332</v>
          </cell>
          <cell r="AG661">
            <v>20.469360058004284</v>
          </cell>
          <cell r="AH661">
            <v>17.881583490985356</v>
          </cell>
          <cell r="AI661">
            <v>15.547864889645153</v>
          </cell>
          <cell r="AJ661">
            <v>20.215302092325562</v>
          </cell>
          <cell r="AU661">
            <v>9.6821066162128027</v>
          </cell>
          <cell r="AV661">
            <v>14.263722316306255</v>
          </cell>
          <cell r="AW661">
            <v>12.105561258724364</v>
          </cell>
          <cell r="AX661">
            <v>10.242049449424412</v>
          </cell>
          <cell r="AY661">
            <v>13.969073068024317</v>
          </cell>
        </row>
        <row r="662">
          <cell r="A662">
            <v>40464</v>
          </cell>
          <cell r="AF662">
            <v>15.691812603641777</v>
          </cell>
          <cell r="AG662">
            <v>20.469360058004284</v>
          </cell>
          <cell r="AH662">
            <v>17.881583490985356</v>
          </cell>
          <cell r="AI662">
            <v>15.547864889645153</v>
          </cell>
          <cell r="AJ662">
            <v>20.215302092325562</v>
          </cell>
          <cell r="AU662">
            <v>9.7113005013826577</v>
          </cell>
          <cell r="AV662">
            <v>14.263722316306255</v>
          </cell>
          <cell r="AW662">
            <v>12.105561258724364</v>
          </cell>
          <cell r="AX662">
            <v>10.242049449424412</v>
          </cell>
          <cell r="AY662">
            <v>13.969073068024317</v>
          </cell>
        </row>
        <row r="663">
          <cell r="A663">
            <v>40465</v>
          </cell>
          <cell r="AF663">
            <v>15.6967302573</v>
          </cell>
          <cell r="AG663">
            <v>20.469360058004284</v>
          </cell>
          <cell r="AH663">
            <v>17.881583490985356</v>
          </cell>
          <cell r="AI663">
            <v>15.547864889645153</v>
          </cell>
          <cell r="AJ663">
            <v>20.215302092325562</v>
          </cell>
          <cell r="AU663">
            <v>9.7142179632188235</v>
          </cell>
          <cell r="AV663">
            <v>14.263722316306255</v>
          </cell>
          <cell r="AW663">
            <v>12.105561258724364</v>
          </cell>
          <cell r="AX663">
            <v>10.242049449424412</v>
          </cell>
          <cell r="AY663">
            <v>13.969073068024317</v>
          </cell>
        </row>
        <row r="664">
          <cell r="A664">
            <v>40466</v>
          </cell>
          <cell r="AF664">
            <v>15.691812603641777</v>
          </cell>
          <cell r="AG664">
            <v>20.469360058004284</v>
          </cell>
          <cell r="AH664">
            <v>17.881583490985356</v>
          </cell>
          <cell r="AI664">
            <v>15.547864889645153</v>
          </cell>
          <cell r="AJ664">
            <v>20.215302092325562</v>
          </cell>
          <cell r="AU664">
            <v>9.7113005013826577</v>
          </cell>
          <cell r="AV664">
            <v>14.263722316306255</v>
          </cell>
          <cell r="AW664">
            <v>12.105561258724364</v>
          </cell>
          <cell r="AX664">
            <v>10.242049449424412</v>
          </cell>
          <cell r="AY664">
            <v>13.969073068024317</v>
          </cell>
        </row>
        <row r="665">
          <cell r="A665">
            <v>40469</v>
          </cell>
          <cell r="AF665">
            <v>15.839424879569693</v>
          </cell>
          <cell r="AG665">
            <v>20.469360058004284</v>
          </cell>
          <cell r="AH665">
            <v>17.881583490985356</v>
          </cell>
          <cell r="AI665">
            <v>15.547864889645153</v>
          </cell>
          <cell r="AJ665">
            <v>20.215302092325562</v>
          </cell>
          <cell r="AU665">
            <v>9.7988733992521304</v>
          </cell>
          <cell r="AV665">
            <v>14.263722316306255</v>
          </cell>
          <cell r="AW665">
            <v>12.105561258724364</v>
          </cell>
          <cell r="AX665">
            <v>10.242049449424412</v>
          </cell>
          <cell r="AY665">
            <v>13.969073068024317</v>
          </cell>
        </row>
        <row r="666">
          <cell r="A666">
            <v>40470</v>
          </cell>
          <cell r="AF666">
            <v>15.566195311604378</v>
          </cell>
          <cell r="AG666">
            <v>20.469360058004284</v>
          </cell>
          <cell r="AH666">
            <v>17.881583490985356</v>
          </cell>
          <cell r="AI666">
            <v>15.547864889645153</v>
          </cell>
          <cell r="AJ666">
            <v>20.215302092325562</v>
          </cell>
          <cell r="AU666">
            <v>9.6851453412661108</v>
          </cell>
          <cell r="AV666">
            <v>14.263722316306255</v>
          </cell>
          <cell r="AW666">
            <v>12.105561258724364</v>
          </cell>
          <cell r="AX666">
            <v>10.242049449424412</v>
          </cell>
          <cell r="AY666">
            <v>13.969073068024317</v>
          </cell>
        </row>
        <row r="667">
          <cell r="A667">
            <v>40471</v>
          </cell>
          <cell r="AF667">
            <v>15.782735773226143</v>
          </cell>
          <cell r="AG667">
            <v>20.469360058004284</v>
          </cell>
          <cell r="AH667">
            <v>17.881583490985356</v>
          </cell>
          <cell r="AI667">
            <v>15.547864889645153</v>
          </cell>
          <cell r="AJ667">
            <v>20.215302092325562</v>
          </cell>
          <cell r="AU667">
            <v>9.8142547697349816</v>
          </cell>
          <cell r="AV667">
            <v>14.263722316306255</v>
          </cell>
          <cell r="AW667">
            <v>12.105561258724364</v>
          </cell>
          <cell r="AX667">
            <v>10.242049449424412</v>
          </cell>
          <cell r="AY667">
            <v>13.969073068024317</v>
          </cell>
        </row>
        <row r="668">
          <cell r="A668">
            <v>40472</v>
          </cell>
          <cell r="AF668">
            <v>15.989431093031282</v>
          </cell>
          <cell r="AG668">
            <v>20.469360058004284</v>
          </cell>
          <cell r="AH668">
            <v>17.881583490985356</v>
          </cell>
          <cell r="AI668">
            <v>15.547864889645153</v>
          </cell>
          <cell r="AJ668">
            <v>20.215302092325562</v>
          </cell>
          <cell r="AU668">
            <v>9.9374941606892921</v>
          </cell>
          <cell r="AV668">
            <v>14.263722316306255</v>
          </cell>
          <cell r="AW668">
            <v>12.105561258724364</v>
          </cell>
          <cell r="AX668">
            <v>10.242049449424412</v>
          </cell>
          <cell r="AY668">
            <v>13.969073068024317</v>
          </cell>
        </row>
        <row r="669">
          <cell r="A669">
            <v>40473</v>
          </cell>
          <cell r="AF669">
            <v>16.05832936892164</v>
          </cell>
          <cell r="AG669">
            <v>20.469360058004284</v>
          </cell>
          <cell r="AH669">
            <v>17.881583490985356</v>
          </cell>
          <cell r="AI669">
            <v>15.547864889645153</v>
          </cell>
          <cell r="AJ669">
            <v>20.215302092325562</v>
          </cell>
          <cell r="AU669">
            <v>9.9785738598645555</v>
          </cell>
          <cell r="AV669">
            <v>14.263722316306255</v>
          </cell>
          <cell r="AW669">
            <v>12.105561258724364</v>
          </cell>
          <cell r="AX669">
            <v>10.242049449424412</v>
          </cell>
          <cell r="AY669">
            <v>13.969073068024317</v>
          </cell>
        </row>
        <row r="670">
          <cell r="A670">
            <v>40476</v>
          </cell>
          <cell r="AF670">
            <v>16.220734592104449</v>
          </cell>
          <cell r="AG670">
            <v>20.469360058004284</v>
          </cell>
          <cell r="AH670">
            <v>17.881583490985356</v>
          </cell>
          <cell r="AI670">
            <v>15.547864889645153</v>
          </cell>
          <cell r="AJ670">
            <v>20.215302092325562</v>
          </cell>
          <cell r="AU670">
            <v>10.026463755446056</v>
          </cell>
          <cell r="AV670">
            <v>14.263722316306255</v>
          </cell>
          <cell r="AW670">
            <v>12.105561258724364</v>
          </cell>
          <cell r="AX670">
            <v>10.242049449424412</v>
          </cell>
          <cell r="AY670">
            <v>13.969073068024317</v>
          </cell>
        </row>
        <row r="671">
          <cell r="A671">
            <v>40477</v>
          </cell>
          <cell r="AF671">
            <v>16.324086189079473</v>
          </cell>
          <cell r="AG671">
            <v>20.469360058004284</v>
          </cell>
          <cell r="AH671">
            <v>17.881583490985356</v>
          </cell>
          <cell r="AI671">
            <v>15.547864889645153</v>
          </cell>
          <cell r="AJ671">
            <v>20.215302092325562</v>
          </cell>
          <cell r="AU671">
            <v>10.087773960165794</v>
          </cell>
          <cell r="AV671">
            <v>14.263722316306255</v>
          </cell>
          <cell r="AW671">
            <v>12.105561258724364</v>
          </cell>
          <cell r="AX671">
            <v>10.242049449424412</v>
          </cell>
          <cell r="AY671">
            <v>13.969073068024317</v>
          </cell>
        </row>
        <row r="672">
          <cell r="A672">
            <v>40478</v>
          </cell>
          <cell r="AF672">
            <v>16.286338249416087</v>
          </cell>
          <cell r="AG672">
            <v>20.469360058004284</v>
          </cell>
          <cell r="AH672">
            <v>17.881583490985356</v>
          </cell>
          <cell r="AI672">
            <v>15.547864889645153</v>
          </cell>
          <cell r="AJ672">
            <v>20.215302092325562</v>
          </cell>
          <cell r="AU672">
            <v>10.084851604486014</v>
          </cell>
          <cell r="AV672">
            <v>14.263722316306255</v>
          </cell>
          <cell r="AW672">
            <v>12.105561258724364</v>
          </cell>
          <cell r="AX672">
            <v>10.242049449424412</v>
          </cell>
          <cell r="AY672">
            <v>13.969073068024317</v>
          </cell>
        </row>
        <row r="673">
          <cell r="A673">
            <v>40479</v>
          </cell>
          <cell r="AF673">
            <v>15.392459625896899</v>
          </cell>
          <cell r="AG673">
            <v>20.469360058004284</v>
          </cell>
          <cell r="AH673">
            <v>17.881583490985356</v>
          </cell>
          <cell r="AI673">
            <v>15.547864889645153</v>
          </cell>
          <cell r="AJ673">
            <v>20.215302092325562</v>
          </cell>
          <cell r="AU673">
            <v>9.4678734091637295</v>
          </cell>
          <cell r="AV673">
            <v>14.263722316306255</v>
          </cell>
          <cell r="AW673">
            <v>12.105561258724364</v>
          </cell>
          <cell r="AX673">
            <v>10.242049449424412</v>
          </cell>
          <cell r="AY673">
            <v>13.969073068024317</v>
          </cell>
        </row>
        <row r="674">
          <cell r="A674">
            <v>40480</v>
          </cell>
          <cell r="AF674">
            <v>15.417018312315209</v>
          </cell>
          <cell r="AG674">
            <v>20.469360058004284</v>
          </cell>
          <cell r="AH674">
            <v>17.881583490985356</v>
          </cell>
          <cell r="AI674">
            <v>15.547864889645153</v>
          </cell>
          <cell r="AJ674">
            <v>20.215302092325562</v>
          </cell>
          <cell r="AU674">
            <v>9.536782403140073</v>
          </cell>
          <cell r="AV674">
            <v>14.263722316306255</v>
          </cell>
          <cell r="AW674">
            <v>12.105561258724364</v>
          </cell>
          <cell r="AX674">
            <v>10.242049449424412</v>
          </cell>
          <cell r="AY674">
            <v>13.969073068024317</v>
          </cell>
        </row>
        <row r="675">
          <cell r="A675">
            <v>40483</v>
          </cell>
          <cell r="AF675">
            <v>15.303584074204256</v>
          </cell>
          <cell r="AG675">
            <v>20.469360058004284</v>
          </cell>
          <cell r="AH675">
            <v>17.881583490985356</v>
          </cell>
          <cell r="AI675">
            <v>15.547864889645153</v>
          </cell>
          <cell r="AJ675">
            <v>20.215302092325562</v>
          </cell>
          <cell r="AU675">
            <v>9.5795440515000294</v>
          </cell>
          <cell r="AV675">
            <v>14.263722316306255</v>
          </cell>
          <cell r="AW675">
            <v>12.105561258724364</v>
          </cell>
          <cell r="AX675">
            <v>10.242049449424412</v>
          </cell>
          <cell r="AY675">
            <v>13.969073068024317</v>
          </cell>
        </row>
        <row r="676">
          <cell r="A676">
            <v>40484</v>
          </cell>
          <cell r="AF676">
            <v>15.425778142008127</v>
          </cell>
          <cell r="AG676">
            <v>20.469360058004284</v>
          </cell>
          <cell r="AH676">
            <v>17.881583490985356</v>
          </cell>
          <cell r="AI676">
            <v>15.547864889645153</v>
          </cell>
          <cell r="AJ676">
            <v>20.215302092325562</v>
          </cell>
          <cell r="AU676">
            <v>9.6537740117764184</v>
          </cell>
          <cell r="AV676">
            <v>14.263722316306255</v>
          </cell>
          <cell r="AW676">
            <v>12.105561258724364</v>
          </cell>
          <cell r="AX676">
            <v>10.242049449424412</v>
          </cell>
          <cell r="AY676">
            <v>13.969073068024317</v>
          </cell>
        </row>
        <row r="677">
          <cell r="A677">
            <v>40485</v>
          </cell>
          <cell r="AF677">
            <v>15.464881221257908</v>
          </cell>
          <cell r="AG677">
            <v>20.469360058004284</v>
          </cell>
          <cell r="AH677">
            <v>17.881583490985356</v>
          </cell>
          <cell r="AI677">
            <v>15.547864889645153</v>
          </cell>
          <cell r="AJ677">
            <v>20.215302092325562</v>
          </cell>
          <cell r="AU677">
            <v>9.6775281929045445</v>
          </cell>
          <cell r="AV677">
            <v>14.263722316306255</v>
          </cell>
          <cell r="AW677">
            <v>12.105561258724364</v>
          </cell>
          <cell r="AX677">
            <v>10.242049449424412</v>
          </cell>
          <cell r="AY677">
            <v>13.969073068024317</v>
          </cell>
        </row>
        <row r="678">
          <cell r="A678">
            <v>40486</v>
          </cell>
          <cell r="AF678">
            <v>15.503976480087349</v>
          </cell>
          <cell r="AG678">
            <v>20.469360058004284</v>
          </cell>
          <cell r="AH678">
            <v>17.881583490985356</v>
          </cell>
          <cell r="AI678">
            <v>15.547864889645153</v>
          </cell>
          <cell r="AJ678">
            <v>20.215302092325562</v>
          </cell>
          <cell r="AU678">
            <v>9.7012776233152156</v>
          </cell>
          <cell r="AV678">
            <v>14.263722316306255</v>
          </cell>
          <cell r="AW678">
            <v>12.105561258724364</v>
          </cell>
          <cell r="AX678">
            <v>10.242049449424412</v>
          </cell>
          <cell r="AY678">
            <v>13.969073068024317</v>
          </cell>
        </row>
        <row r="679">
          <cell r="A679">
            <v>40487</v>
          </cell>
          <cell r="AF679">
            <v>15.502783040770467</v>
          </cell>
          <cell r="AG679">
            <v>20.469360058004284</v>
          </cell>
          <cell r="AH679">
            <v>17.881583490985356</v>
          </cell>
          <cell r="AI679">
            <v>15.547864889645153</v>
          </cell>
          <cell r="AJ679">
            <v>20.215302092325562</v>
          </cell>
          <cell r="AU679">
            <v>9.7012776233152156</v>
          </cell>
          <cell r="AV679">
            <v>14.263722316306255</v>
          </cell>
          <cell r="AW679">
            <v>12.105561258724364</v>
          </cell>
          <cell r="AX679">
            <v>10.242049449424412</v>
          </cell>
          <cell r="AY679">
            <v>13.969073068024317</v>
          </cell>
        </row>
        <row r="680">
          <cell r="A680">
            <v>40490</v>
          </cell>
          <cell r="AF680">
            <v>15.295324090266927</v>
          </cell>
          <cell r="AG680">
            <v>20.469360058004284</v>
          </cell>
          <cell r="AH680">
            <v>17.881583490985356</v>
          </cell>
          <cell r="AI680">
            <v>15.547864889645153</v>
          </cell>
          <cell r="AJ680">
            <v>20.215302092325562</v>
          </cell>
          <cell r="AU680">
            <v>9.5676648824970805</v>
          </cell>
          <cell r="AV680">
            <v>14.263722316306255</v>
          </cell>
          <cell r="AW680">
            <v>12.105561258724364</v>
          </cell>
          <cell r="AX680">
            <v>10.242049449424412</v>
          </cell>
          <cell r="AY680">
            <v>13.969073068024317</v>
          </cell>
        </row>
        <row r="681">
          <cell r="A681">
            <v>40491</v>
          </cell>
          <cell r="AF681">
            <v>15.482627104304136</v>
          </cell>
          <cell r="AG681">
            <v>20.469360058004284</v>
          </cell>
          <cell r="AH681">
            <v>17.881583490985356</v>
          </cell>
          <cell r="AI681">
            <v>15.547864889645153</v>
          </cell>
          <cell r="AJ681">
            <v>20.215302092325562</v>
          </cell>
          <cell r="AU681">
            <v>9.6775281929045445</v>
          </cell>
          <cell r="AV681">
            <v>14.263722316306255</v>
          </cell>
          <cell r="AW681">
            <v>12.105561258724364</v>
          </cell>
          <cell r="AX681">
            <v>10.242049449424412</v>
          </cell>
          <cell r="AY681">
            <v>13.969073068024317</v>
          </cell>
        </row>
        <row r="682">
          <cell r="A682">
            <v>40492</v>
          </cell>
          <cell r="AF682">
            <v>15.506683396124684</v>
          </cell>
          <cell r="AG682">
            <v>20.469360058004284</v>
          </cell>
          <cell r="AH682">
            <v>17.881583490985356</v>
          </cell>
          <cell r="AI682">
            <v>15.547864889645153</v>
          </cell>
          <cell r="AJ682">
            <v>20.215302092325562</v>
          </cell>
          <cell r="AU682">
            <v>9.6923706219217305</v>
          </cell>
          <cell r="AV682">
            <v>14.263722316306255</v>
          </cell>
          <cell r="AW682">
            <v>12.105561258724364</v>
          </cell>
          <cell r="AX682">
            <v>10.242049449424412</v>
          </cell>
          <cell r="AY682">
            <v>13.969073068024317</v>
          </cell>
        </row>
        <row r="683">
          <cell r="A683">
            <v>40493</v>
          </cell>
          <cell r="AF683">
            <v>15.556196014306638</v>
          </cell>
          <cell r="AG683">
            <v>20.469360058004284</v>
          </cell>
          <cell r="AH683">
            <v>17.881583490985356</v>
          </cell>
          <cell r="AI683">
            <v>15.547864889645153</v>
          </cell>
          <cell r="AJ683">
            <v>20.215302092325562</v>
          </cell>
          <cell r="AU683">
            <v>9.7220643875513346</v>
          </cell>
          <cell r="AV683">
            <v>14.263722316306255</v>
          </cell>
          <cell r="AW683">
            <v>12.105561258724364</v>
          </cell>
          <cell r="AX683">
            <v>10.242049449424412</v>
          </cell>
          <cell r="AY683">
            <v>13.969073068024317</v>
          </cell>
        </row>
        <row r="684">
          <cell r="A684">
            <v>40494</v>
          </cell>
          <cell r="AF684">
            <v>15.228337499542734</v>
          </cell>
          <cell r="AG684">
            <v>20.469360058004284</v>
          </cell>
          <cell r="AH684">
            <v>17.881583490985356</v>
          </cell>
          <cell r="AI684">
            <v>15.547864889645153</v>
          </cell>
          <cell r="AJ684">
            <v>20.215302092325562</v>
          </cell>
          <cell r="AU684">
            <v>9.5231286878502939</v>
          </cell>
          <cell r="AV684">
            <v>14.263722316306255</v>
          </cell>
          <cell r="AW684">
            <v>12.105561258724364</v>
          </cell>
          <cell r="AX684">
            <v>10.242049449424412</v>
          </cell>
          <cell r="AY684">
            <v>13.969073068024317</v>
          </cell>
        </row>
        <row r="685">
          <cell r="A685">
            <v>40497</v>
          </cell>
          <cell r="AF685">
            <v>15.31641523975895</v>
          </cell>
          <cell r="AG685">
            <v>20.469360058004284</v>
          </cell>
          <cell r="AH685">
            <v>17.881583490985356</v>
          </cell>
          <cell r="AI685">
            <v>15.547864889645153</v>
          </cell>
          <cell r="AJ685">
            <v>20.215302092325562</v>
          </cell>
          <cell r="AU685">
            <v>9.5765718838905638</v>
          </cell>
          <cell r="AV685">
            <v>14.263722316306255</v>
          </cell>
          <cell r="AW685">
            <v>12.105561258724364</v>
          </cell>
          <cell r="AX685">
            <v>10.242049449424412</v>
          </cell>
          <cell r="AY685">
            <v>13.969073068024317</v>
          </cell>
        </row>
        <row r="686">
          <cell r="A686">
            <v>40498</v>
          </cell>
          <cell r="AF686">
            <v>15.106001867658794</v>
          </cell>
          <cell r="AG686">
            <v>20.469360058004284</v>
          </cell>
          <cell r="AH686">
            <v>17.881583490985356</v>
          </cell>
          <cell r="AI686">
            <v>15.547864889645153</v>
          </cell>
          <cell r="AJ686">
            <v>20.215302092325562</v>
          </cell>
          <cell r="AU686">
            <v>9.4488987275739049</v>
          </cell>
          <cell r="AV686">
            <v>14.263722316306255</v>
          </cell>
          <cell r="AW686">
            <v>12.105561258724364</v>
          </cell>
          <cell r="AX686">
            <v>10.242049449424412</v>
          </cell>
          <cell r="AY686">
            <v>13.969073068024317</v>
          </cell>
        </row>
        <row r="687">
          <cell r="A687">
            <v>40499</v>
          </cell>
          <cell r="AF687">
            <v>15.179400310733993</v>
          </cell>
          <cell r="AG687">
            <v>20.469360058004284</v>
          </cell>
          <cell r="AH687">
            <v>17.881583490985356</v>
          </cell>
          <cell r="AI687">
            <v>15.547864889645153</v>
          </cell>
          <cell r="AJ687">
            <v>20.215302092325562</v>
          </cell>
          <cell r="AU687">
            <v>9.4934349222206915</v>
          </cell>
          <cell r="AV687">
            <v>14.263722316306255</v>
          </cell>
          <cell r="AW687">
            <v>12.105561258724364</v>
          </cell>
          <cell r="AX687">
            <v>10.242049449424412</v>
          </cell>
          <cell r="AY687">
            <v>13.969073068024317</v>
          </cell>
        </row>
        <row r="688">
          <cell r="A688">
            <v>40500</v>
          </cell>
          <cell r="AF688">
            <v>15.249637655375311</v>
          </cell>
          <cell r="AG688">
            <v>20.469360058004284</v>
          </cell>
          <cell r="AH688">
            <v>17.881583490985356</v>
          </cell>
          <cell r="AI688">
            <v>15.547864889645153</v>
          </cell>
          <cell r="AJ688">
            <v>20.215302092325562</v>
          </cell>
          <cell r="AU688">
            <v>9.5082818050354909</v>
          </cell>
          <cell r="AV688">
            <v>14.263722316306255</v>
          </cell>
          <cell r="AW688">
            <v>12.105561258724364</v>
          </cell>
          <cell r="AX688">
            <v>10.242049449424412</v>
          </cell>
          <cell r="AY688">
            <v>13.969073068024317</v>
          </cell>
        </row>
        <row r="689">
          <cell r="A689">
            <v>40501</v>
          </cell>
          <cell r="AF689">
            <v>15.234913677805583</v>
          </cell>
          <cell r="AG689">
            <v>20.469360058004284</v>
          </cell>
          <cell r="AH689">
            <v>17.881583490985356</v>
          </cell>
          <cell r="AI689">
            <v>15.547864889645153</v>
          </cell>
          <cell r="AJ689">
            <v>20.215302092325562</v>
          </cell>
          <cell r="AU689">
            <v>9.4993745067221678</v>
          </cell>
          <cell r="AV689">
            <v>14.263722316306255</v>
          </cell>
          <cell r="AW689">
            <v>12.105561258724364</v>
          </cell>
          <cell r="AX689">
            <v>10.242049449424412</v>
          </cell>
          <cell r="AY689">
            <v>13.969073068024317</v>
          </cell>
        </row>
        <row r="690">
          <cell r="A690">
            <v>40504</v>
          </cell>
          <cell r="AF690">
            <v>15.323256561592725</v>
          </cell>
          <cell r="AG690">
            <v>20.469360058004284</v>
          </cell>
          <cell r="AH690">
            <v>17.881583490985356</v>
          </cell>
          <cell r="AI690">
            <v>15.547864889645153</v>
          </cell>
          <cell r="AJ690">
            <v>20.215302092325562</v>
          </cell>
          <cell r="AU690">
            <v>9.5528177027624377</v>
          </cell>
          <cell r="AV690">
            <v>14.263722316306255</v>
          </cell>
          <cell r="AW690">
            <v>12.105561258724364</v>
          </cell>
          <cell r="AX690">
            <v>10.242049449424412</v>
          </cell>
          <cell r="AY690">
            <v>13.969073068024317</v>
          </cell>
        </row>
        <row r="691">
          <cell r="A691">
            <v>40505</v>
          </cell>
          <cell r="AF691">
            <v>15.146562940968636</v>
          </cell>
          <cell r="AG691">
            <v>20.469360058004284</v>
          </cell>
          <cell r="AH691">
            <v>17.881583490985356</v>
          </cell>
          <cell r="AI691">
            <v>15.547864889645153</v>
          </cell>
          <cell r="AJ691">
            <v>20.215302092325562</v>
          </cell>
          <cell r="AU691">
            <v>9.4459265599644375</v>
          </cell>
          <cell r="AV691">
            <v>14.263722316306255</v>
          </cell>
          <cell r="AW691">
            <v>12.105561258724364</v>
          </cell>
          <cell r="AX691">
            <v>10.242049449424412</v>
          </cell>
          <cell r="AY691">
            <v>13.969073068024317</v>
          </cell>
        </row>
        <row r="692">
          <cell r="A692">
            <v>40506</v>
          </cell>
          <cell r="AF692">
            <v>15.411607298429672</v>
          </cell>
          <cell r="AG692">
            <v>20.469360058004284</v>
          </cell>
          <cell r="AH692">
            <v>17.881583490985356</v>
          </cell>
          <cell r="AI692">
            <v>15.547864889645153</v>
          </cell>
          <cell r="AJ692">
            <v>20.215302092325562</v>
          </cell>
          <cell r="AU692">
            <v>9.6062656495201644</v>
          </cell>
          <cell r="AV692">
            <v>14.263722316306255</v>
          </cell>
          <cell r="AW692">
            <v>12.105561258724364</v>
          </cell>
          <cell r="AX692">
            <v>10.242049449424412</v>
          </cell>
          <cell r="AY692">
            <v>13.969073068024317</v>
          </cell>
        </row>
        <row r="693">
          <cell r="A693">
            <v>40507</v>
          </cell>
          <cell r="AF693">
            <v>15.411607298429672</v>
          </cell>
          <cell r="AG693">
            <v>20.469360058004284</v>
          </cell>
          <cell r="AH693">
            <v>17.881583490985356</v>
          </cell>
          <cell r="AI693">
            <v>15.547864889645153</v>
          </cell>
          <cell r="AJ693">
            <v>20.215302092325562</v>
          </cell>
          <cell r="AU693">
            <v>9.6062656495201644</v>
          </cell>
          <cell r="AV693">
            <v>14.263722316306255</v>
          </cell>
          <cell r="AW693">
            <v>12.105561258724364</v>
          </cell>
          <cell r="AX693">
            <v>10.242049449424412</v>
          </cell>
          <cell r="AY693">
            <v>13.969073068024317</v>
          </cell>
        </row>
        <row r="694">
          <cell r="A694">
            <v>40508</v>
          </cell>
          <cell r="AF694">
            <v>15.318351350357956</v>
          </cell>
          <cell r="AG694">
            <v>20.469360058004284</v>
          </cell>
          <cell r="AH694">
            <v>17.881583490985356</v>
          </cell>
          <cell r="AI694">
            <v>15.547864889645153</v>
          </cell>
          <cell r="AJ694">
            <v>20.215302092325562</v>
          </cell>
          <cell r="AU694">
            <v>9.5498502858704288</v>
          </cell>
          <cell r="AV694">
            <v>14.263722316306255</v>
          </cell>
          <cell r="AW694">
            <v>12.105561258724364</v>
          </cell>
          <cell r="AX694">
            <v>10.242049449424412</v>
          </cell>
          <cell r="AY694">
            <v>13.969073068024317</v>
          </cell>
        </row>
        <row r="695">
          <cell r="A695">
            <v>40511</v>
          </cell>
          <cell r="AF695">
            <v>15.308533074838611</v>
          </cell>
          <cell r="AG695">
            <v>20.469360058004284</v>
          </cell>
          <cell r="AH695">
            <v>17.881583490985356</v>
          </cell>
          <cell r="AI695">
            <v>15.547864889645153</v>
          </cell>
          <cell r="AJ695">
            <v>20.215302092325562</v>
          </cell>
          <cell r="AU695">
            <v>9.5439107013689526</v>
          </cell>
          <cell r="AV695">
            <v>14.263722316306255</v>
          </cell>
          <cell r="AW695">
            <v>12.105561258724364</v>
          </cell>
          <cell r="AX695">
            <v>10.242049449424412</v>
          </cell>
          <cell r="AY695">
            <v>13.969073068024317</v>
          </cell>
        </row>
        <row r="696">
          <cell r="A696">
            <v>40512</v>
          </cell>
          <cell r="AF696">
            <v>15.176018258342285</v>
          </cell>
          <cell r="AG696">
            <v>20.469360058004284</v>
          </cell>
          <cell r="AH696">
            <v>17.881583490985356</v>
          </cell>
          <cell r="AI696">
            <v>15.547864889645153</v>
          </cell>
          <cell r="AJ696">
            <v>20.215302092325562</v>
          </cell>
          <cell r="AU696">
            <v>9.4637456103887061</v>
          </cell>
          <cell r="AV696">
            <v>14.263722316306255</v>
          </cell>
          <cell r="AW696">
            <v>12.105561258724364</v>
          </cell>
          <cell r="AX696">
            <v>10.242049449424412</v>
          </cell>
          <cell r="AY696">
            <v>13.969073068024317</v>
          </cell>
        </row>
        <row r="697">
          <cell r="A697">
            <v>40513</v>
          </cell>
          <cell r="AF697">
            <v>15.490679747039119</v>
          </cell>
          <cell r="AG697">
            <v>20.469360058004284</v>
          </cell>
          <cell r="AH697">
            <v>17.881583490985356</v>
          </cell>
          <cell r="AI697">
            <v>15.547864889645153</v>
          </cell>
          <cell r="AJ697">
            <v>20.215302092325562</v>
          </cell>
          <cell r="AU697">
            <v>9.6825919135594027</v>
          </cell>
          <cell r="AV697">
            <v>14.263722316306255</v>
          </cell>
          <cell r="AW697">
            <v>12.105561258724364</v>
          </cell>
          <cell r="AX697">
            <v>10.242049449424412</v>
          </cell>
          <cell r="AY697">
            <v>13.969073068024317</v>
          </cell>
        </row>
        <row r="698">
          <cell r="A698">
            <v>40514</v>
          </cell>
          <cell r="AF698">
            <v>15.695465915130356</v>
          </cell>
          <cell r="AG698">
            <v>20.469360058004284</v>
          </cell>
          <cell r="AH698">
            <v>17.881583490985356</v>
          </cell>
          <cell r="AI698">
            <v>15.547864889645153</v>
          </cell>
          <cell r="AJ698">
            <v>20.215302092325562</v>
          </cell>
          <cell r="AU698">
            <v>9.806867260840713</v>
          </cell>
          <cell r="AV698">
            <v>14.263722316306255</v>
          </cell>
          <cell r="AW698">
            <v>12.105561258724364</v>
          </cell>
          <cell r="AX698">
            <v>10.242049449424412</v>
          </cell>
          <cell r="AY698">
            <v>13.969073068024317</v>
          </cell>
        </row>
        <row r="699">
          <cell r="A699">
            <v>40515</v>
          </cell>
          <cell r="AF699">
            <v>15.822243296877973</v>
          </cell>
          <cell r="AG699">
            <v>20.469360058004284</v>
          </cell>
          <cell r="AH699">
            <v>17.881583490985356</v>
          </cell>
          <cell r="AI699">
            <v>15.547864889645153</v>
          </cell>
          <cell r="AJ699">
            <v>20.215302092325562</v>
          </cell>
          <cell r="AU699">
            <v>9.8931965857248034</v>
          </cell>
          <cell r="AV699">
            <v>14.263722316306255</v>
          </cell>
          <cell r="AW699">
            <v>12.105561258724364</v>
          </cell>
          <cell r="AX699">
            <v>10.242049449424412</v>
          </cell>
          <cell r="AY699">
            <v>13.969073068024317</v>
          </cell>
        </row>
        <row r="700">
          <cell r="A700">
            <v>40518</v>
          </cell>
          <cell r="AF700">
            <v>15.75885484979838</v>
          </cell>
          <cell r="AG700">
            <v>20.469360058004284</v>
          </cell>
          <cell r="AH700">
            <v>17.881583490985356</v>
          </cell>
          <cell r="AI700">
            <v>15.547864889645153</v>
          </cell>
          <cell r="AJ700">
            <v>20.215302092325562</v>
          </cell>
          <cell r="AU700">
            <v>9.8546924790491861</v>
          </cell>
          <cell r="AV700">
            <v>14.263722316306255</v>
          </cell>
          <cell r="AW700">
            <v>12.105561258724364</v>
          </cell>
          <cell r="AX700">
            <v>10.242049449424412</v>
          </cell>
          <cell r="AY700">
            <v>13.969073068024317</v>
          </cell>
        </row>
        <row r="701">
          <cell r="A701">
            <v>40519</v>
          </cell>
          <cell r="AF701">
            <v>15.792989453462122</v>
          </cell>
          <cell r="AG701">
            <v>20.469360058004284</v>
          </cell>
          <cell r="AH701">
            <v>17.881583490985356</v>
          </cell>
          <cell r="AI701">
            <v>15.547864889645153</v>
          </cell>
          <cell r="AJ701">
            <v>20.215302092325562</v>
          </cell>
          <cell r="AU701">
            <v>9.8754268948828514</v>
          </cell>
          <cell r="AV701">
            <v>14.263722316306255</v>
          </cell>
          <cell r="AW701">
            <v>12.105561258724364</v>
          </cell>
          <cell r="AX701">
            <v>10.242049449424412</v>
          </cell>
          <cell r="AY701">
            <v>13.969073068024317</v>
          </cell>
        </row>
        <row r="702">
          <cell r="A702">
            <v>40520</v>
          </cell>
          <cell r="AF702">
            <v>15.895378636800251</v>
          </cell>
          <cell r="AG702">
            <v>20.469360058004284</v>
          </cell>
          <cell r="AH702">
            <v>17.881583490985356</v>
          </cell>
          <cell r="AI702">
            <v>15.547864889645153</v>
          </cell>
          <cell r="AJ702">
            <v>20.215302092325562</v>
          </cell>
          <cell r="AU702">
            <v>9.9376212570941647</v>
          </cell>
          <cell r="AV702">
            <v>14.263722316306255</v>
          </cell>
          <cell r="AW702">
            <v>12.105561258724364</v>
          </cell>
          <cell r="AX702">
            <v>10.242049449424412</v>
          </cell>
          <cell r="AY702">
            <v>13.969073068024317</v>
          </cell>
        </row>
        <row r="703">
          <cell r="A703">
            <v>40521</v>
          </cell>
          <cell r="AF703">
            <v>15.93706904114396</v>
          </cell>
          <cell r="AG703">
            <v>20.469360058004284</v>
          </cell>
          <cell r="AH703">
            <v>17.881583490985356</v>
          </cell>
          <cell r="AI703">
            <v>15.547864889645153</v>
          </cell>
          <cell r="AJ703">
            <v>20.215302092325562</v>
          </cell>
          <cell r="AU703">
            <v>9.9644161147337762</v>
          </cell>
          <cell r="AV703">
            <v>14.263722316306255</v>
          </cell>
          <cell r="AW703">
            <v>12.105561258724364</v>
          </cell>
          <cell r="AX703">
            <v>10.242049449424412</v>
          </cell>
          <cell r="AY703">
            <v>13.969073068024317</v>
          </cell>
        </row>
        <row r="704">
          <cell r="A704">
            <v>40522</v>
          </cell>
          <cell r="AF704">
            <v>16.148927061645807</v>
          </cell>
          <cell r="AG704">
            <v>20.469360058004284</v>
          </cell>
          <cell r="AH704">
            <v>17.881583490985356</v>
          </cell>
          <cell r="AI704">
            <v>15.547864889645153</v>
          </cell>
          <cell r="AJ704">
            <v>20.215302092325562</v>
          </cell>
          <cell r="AU704">
            <v>10.088774623012993</v>
          </cell>
          <cell r="AV704">
            <v>14.263722316306255</v>
          </cell>
          <cell r="AW704">
            <v>12.105561258724364</v>
          </cell>
          <cell r="AX704">
            <v>10.242049449424412</v>
          </cell>
          <cell r="AY704">
            <v>13.969073068024317</v>
          </cell>
        </row>
        <row r="705">
          <cell r="A705">
            <v>40525</v>
          </cell>
          <cell r="AF705">
            <v>16.16842718598086</v>
          </cell>
          <cell r="AG705">
            <v>20.469360058004284</v>
          </cell>
          <cell r="AH705">
            <v>17.881583490985356</v>
          </cell>
          <cell r="AI705">
            <v>15.547864889645153</v>
          </cell>
          <cell r="AJ705">
            <v>20.215302092325562</v>
          </cell>
          <cell r="AU705">
            <v>10.100616246020691</v>
          </cell>
          <cell r="AV705">
            <v>14.263722316306255</v>
          </cell>
          <cell r="AW705">
            <v>12.105561258724364</v>
          </cell>
          <cell r="AX705">
            <v>10.242049449424412</v>
          </cell>
          <cell r="AY705">
            <v>13.969073068024317</v>
          </cell>
        </row>
        <row r="706">
          <cell r="A706">
            <v>40526</v>
          </cell>
          <cell r="AF706">
            <v>16.456109726901715</v>
          </cell>
          <cell r="AG706">
            <v>20.469360058004284</v>
          </cell>
          <cell r="AH706">
            <v>17.881583490985356</v>
          </cell>
          <cell r="AI706">
            <v>15.547864889645153</v>
          </cell>
          <cell r="AJ706">
            <v>20.215302092325562</v>
          </cell>
          <cell r="AU706">
            <v>10.275314013939969</v>
          </cell>
          <cell r="AV706">
            <v>14.263722316306255</v>
          </cell>
          <cell r="AW706">
            <v>12.105561258724364</v>
          </cell>
          <cell r="AX706">
            <v>10.242049449424412</v>
          </cell>
          <cell r="AY706">
            <v>13.969073068024317</v>
          </cell>
        </row>
        <row r="707">
          <cell r="A707">
            <v>40527</v>
          </cell>
          <cell r="AF707">
            <v>16.441475247573027</v>
          </cell>
          <cell r="AG707">
            <v>20.469360058004284</v>
          </cell>
          <cell r="AH707">
            <v>17.881583490985356</v>
          </cell>
          <cell r="AI707">
            <v>15.547864889645153</v>
          </cell>
          <cell r="AJ707">
            <v>20.215302092325562</v>
          </cell>
          <cell r="AU707">
            <v>10.266427096905661</v>
          </cell>
          <cell r="AV707">
            <v>14.263722316306255</v>
          </cell>
          <cell r="AW707">
            <v>12.105561258724364</v>
          </cell>
          <cell r="AX707">
            <v>10.242049449424412</v>
          </cell>
          <cell r="AY707">
            <v>13.969073068024317</v>
          </cell>
        </row>
        <row r="708">
          <cell r="A708">
            <v>40528</v>
          </cell>
          <cell r="AF708">
            <v>16.68526946574935</v>
          </cell>
          <cell r="AG708">
            <v>20.469360058004284</v>
          </cell>
          <cell r="AH708">
            <v>17.881583490985356</v>
          </cell>
          <cell r="AI708">
            <v>15.547864889645153</v>
          </cell>
          <cell r="AJ708">
            <v>20.215302092325562</v>
          </cell>
          <cell r="AU708">
            <v>10.414473292586147</v>
          </cell>
          <cell r="AV708">
            <v>14.263722316306255</v>
          </cell>
          <cell r="AW708">
            <v>12.105561258724364</v>
          </cell>
          <cell r="AX708">
            <v>10.242049449424412</v>
          </cell>
          <cell r="AY708">
            <v>13.969073068024317</v>
          </cell>
        </row>
        <row r="709">
          <cell r="A709">
            <v>40529</v>
          </cell>
          <cell r="AF709">
            <v>16.792539896923806</v>
          </cell>
          <cell r="AG709">
            <v>20.469360058004284</v>
          </cell>
          <cell r="AH709">
            <v>17.881583490985356</v>
          </cell>
          <cell r="AI709">
            <v>15.547864889645153</v>
          </cell>
          <cell r="AJ709">
            <v>20.215302092325562</v>
          </cell>
          <cell r="AU709">
            <v>10.479614210870341</v>
          </cell>
          <cell r="AV709">
            <v>14.263722316306255</v>
          </cell>
          <cell r="AW709">
            <v>12.105561258724364</v>
          </cell>
          <cell r="AX709">
            <v>10.242049449424412</v>
          </cell>
          <cell r="AY709">
            <v>13.969073068024317</v>
          </cell>
        </row>
        <row r="710">
          <cell r="A710">
            <v>40532</v>
          </cell>
          <cell r="AF710">
            <v>16.743785441584464</v>
          </cell>
          <cell r="AG710">
            <v>20.469360058004284</v>
          </cell>
          <cell r="AH710">
            <v>17.881583490985356</v>
          </cell>
          <cell r="AI710">
            <v>15.547864889645153</v>
          </cell>
          <cell r="AJ710">
            <v>20.215302092325562</v>
          </cell>
          <cell r="AU710">
            <v>10.450007636565763</v>
          </cell>
          <cell r="AV710">
            <v>14.263722316306255</v>
          </cell>
          <cell r="AW710">
            <v>12.105561258724364</v>
          </cell>
          <cell r="AX710">
            <v>10.242049449424412</v>
          </cell>
          <cell r="AY710">
            <v>13.969073068024317</v>
          </cell>
        </row>
        <row r="711">
          <cell r="A711">
            <v>40533</v>
          </cell>
          <cell r="AF711">
            <v>16.88518267500768</v>
          </cell>
          <cell r="AG711">
            <v>20.469360058004284</v>
          </cell>
          <cell r="AH711">
            <v>17.881583490985356</v>
          </cell>
          <cell r="AI711">
            <v>15.547864889645153</v>
          </cell>
          <cell r="AJ711">
            <v>20.215302092325562</v>
          </cell>
          <cell r="AU711">
            <v>10.535872357413709</v>
          </cell>
          <cell r="AV711">
            <v>14.263722316306255</v>
          </cell>
          <cell r="AW711">
            <v>12.105561258724364</v>
          </cell>
          <cell r="AX711">
            <v>10.242049449424412</v>
          </cell>
          <cell r="AY711">
            <v>13.969073068024317</v>
          </cell>
        </row>
        <row r="712">
          <cell r="A712">
            <v>40534</v>
          </cell>
          <cell r="AF712">
            <v>16.963198775177847</v>
          </cell>
          <cell r="AG712">
            <v>20.469360058004284</v>
          </cell>
          <cell r="AH712">
            <v>17.881583490985356</v>
          </cell>
          <cell r="AI712">
            <v>15.547864889645153</v>
          </cell>
          <cell r="AJ712">
            <v>20.215302092325562</v>
          </cell>
          <cell r="AU712">
            <v>10.58324832440103</v>
          </cell>
          <cell r="AV712">
            <v>14.263722316306255</v>
          </cell>
          <cell r="AW712">
            <v>12.105561258724364</v>
          </cell>
          <cell r="AX712">
            <v>10.242049449424412</v>
          </cell>
          <cell r="AY712">
            <v>13.969073068024317</v>
          </cell>
        </row>
        <row r="713">
          <cell r="A713">
            <v>40535</v>
          </cell>
          <cell r="AF713">
            <v>16.865682550672627</v>
          </cell>
          <cell r="AG713">
            <v>20.469360058004284</v>
          </cell>
          <cell r="AH713">
            <v>17.881583490985356</v>
          </cell>
          <cell r="AI713">
            <v>15.547864889645153</v>
          </cell>
          <cell r="AJ713">
            <v>20.215302092325562</v>
          </cell>
          <cell r="AU713">
            <v>10.524030734406006</v>
          </cell>
          <cell r="AV713">
            <v>14.263722316306255</v>
          </cell>
          <cell r="AW713">
            <v>12.105561258724364</v>
          </cell>
          <cell r="AX713">
            <v>10.242049449424412</v>
          </cell>
          <cell r="AY713">
            <v>13.969073068024317</v>
          </cell>
        </row>
        <row r="714">
          <cell r="A714">
            <v>40536</v>
          </cell>
          <cell r="AF714">
            <v>16.865682550672627</v>
          </cell>
          <cell r="AG714">
            <v>20.469360058004284</v>
          </cell>
          <cell r="AH714">
            <v>17.881583490985356</v>
          </cell>
          <cell r="AI714">
            <v>15.547864889645153</v>
          </cell>
          <cell r="AJ714">
            <v>20.215302092325562</v>
          </cell>
          <cell r="AU714">
            <v>10.524030734406006</v>
          </cell>
          <cell r="AV714">
            <v>14.263722316306255</v>
          </cell>
          <cell r="AW714">
            <v>12.105561258724364</v>
          </cell>
          <cell r="AX714">
            <v>10.242049449424412</v>
          </cell>
          <cell r="AY714">
            <v>13.969073068024317</v>
          </cell>
        </row>
        <row r="715">
          <cell r="A715">
            <v>40539</v>
          </cell>
          <cell r="AF715">
            <v>16.841301666089688</v>
          </cell>
          <cell r="AG715">
            <v>20.469360058004284</v>
          </cell>
          <cell r="AH715">
            <v>17.881583490985356</v>
          </cell>
          <cell r="AI715">
            <v>15.547864889645153</v>
          </cell>
          <cell r="AJ715">
            <v>20.215302092325562</v>
          </cell>
          <cell r="AU715">
            <v>10.509225226560789</v>
          </cell>
          <cell r="AV715">
            <v>14.263722316306255</v>
          </cell>
          <cell r="AW715">
            <v>12.105561258724364</v>
          </cell>
          <cell r="AX715">
            <v>10.242049449424412</v>
          </cell>
          <cell r="AY715">
            <v>13.969073068024317</v>
          </cell>
        </row>
        <row r="716">
          <cell r="A716">
            <v>40540</v>
          </cell>
          <cell r="AF716">
            <v>16.826674500587547</v>
          </cell>
          <cell r="AG716">
            <v>20.469360058004284</v>
          </cell>
          <cell r="AH716">
            <v>17.881583490985356</v>
          </cell>
          <cell r="AI716">
            <v>15.547864889645153</v>
          </cell>
          <cell r="AJ716">
            <v>20.215302092325562</v>
          </cell>
          <cell r="AU716">
            <v>10.500342750912349</v>
          </cell>
          <cell r="AV716">
            <v>14.263722316306255</v>
          </cell>
          <cell r="AW716">
            <v>12.105561258724364</v>
          </cell>
          <cell r="AX716">
            <v>10.242049449424412</v>
          </cell>
          <cell r="AY716">
            <v>13.969073068024317</v>
          </cell>
        </row>
        <row r="717">
          <cell r="A717">
            <v>40541</v>
          </cell>
          <cell r="AF717">
            <v>16.841301666089688</v>
          </cell>
          <cell r="AG717">
            <v>20.469360058004284</v>
          </cell>
          <cell r="AH717">
            <v>17.881583490985356</v>
          </cell>
          <cell r="AI717">
            <v>15.547864889645153</v>
          </cell>
          <cell r="AJ717">
            <v>20.215302092325562</v>
          </cell>
          <cell r="AU717">
            <v>10.509225226560789</v>
          </cell>
          <cell r="AV717">
            <v>14.263722316306255</v>
          </cell>
          <cell r="AW717">
            <v>12.105561258724364</v>
          </cell>
          <cell r="AX717">
            <v>10.242049449424412</v>
          </cell>
          <cell r="AY717">
            <v>13.969073068024317</v>
          </cell>
        </row>
        <row r="718">
          <cell r="A718">
            <v>40542</v>
          </cell>
          <cell r="AF718">
            <v>16.724277515834434</v>
          </cell>
          <cell r="AG718">
            <v>20.469360058004284</v>
          </cell>
          <cell r="AH718">
            <v>17.881583490985356</v>
          </cell>
          <cell r="AI718">
            <v>15.547864889645153</v>
          </cell>
          <cell r="AJ718">
            <v>20.215302092325562</v>
          </cell>
          <cell r="AU718">
            <v>10.438161276079805</v>
          </cell>
          <cell r="AV718">
            <v>14.263722316306255</v>
          </cell>
          <cell r="AW718">
            <v>12.105561258724364</v>
          </cell>
          <cell r="AX718">
            <v>10.242049449424412</v>
          </cell>
          <cell r="AY718">
            <v>13.969073068024317</v>
          </cell>
        </row>
        <row r="719">
          <cell r="A719">
            <v>40543</v>
          </cell>
          <cell r="AF719">
            <v>16.660896382581388</v>
          </cell>
          <cell r="AG719">
            <v>20.469360058004284</v>
          </cell>
          <cell r="AH719">
            <v>17.881583490985356</v>
          </cell>
          <cell r="AI719">
            <v>15.547864889645153</v>
          </cell>
          <cell r="AJ719">
            <v>20.215302092325562</v>
          </cell>
          <cell r="AU719">
            <v>10.399672522219182</v>
          </cell>
          <cell r="AV719">
            <v>14.263722316306255</v>
          </cell>
          <cell r="AW719">
            <v>12.105561258724364</v>
          </cell>
          <cell r="AX719">
            <v>10.242049449424412</v>
          </cell>
          <cell r="AY719">
            <v>13.969073068024317</v>
          </cell>
        </row>
        <row r="720">
          <cell r="A720">
            <v>40546</v>
          </cell>
          <cell r="AF720">
            <v>16.979765451813986</v>
          </cell>
          <cell r="AG720">
            <v>20.469360058004284</v>
          </cell>
          <cell r="AH720">
            <v>17.881583490985356</v>
          </cell>
          <cell r="AI720">
            <v>15.547864889645153</v>
          </cell>
          <cell r="AJ720">
            <v>20.215302092325562</v>
          </cell>
          <cell r="AU720">
            <v>10.587810891745912</v>
          </cell>
          <cell r="AV720">
            <v>14.263722316306255</v>
          </cell>
          <cell r="AW720">
            <v>12.105561258724364</v>
          </cell>
          <cell r="AX720">
            <v>10.242049449424412</v>
          </cell>
          <cell r="AY720">
            <v>13.969073068024317</v>
          </cell>
        </row>
        <row r="721">
          <cell r="A721">
            <v>40547</v>
          </cell>
          <cell r="AF721">
            <v>16.791101826616988</v>
          </cell>
          <cell r="AG721">
            <v>20.469360058004284</v>
          </cell>
          <cell r="AH721">
            <v>17.881583490985356</v>
          </cell>
          <cell r="AI721">
            <v>15.547864889645153</v>
          </cell>
          <cell r="AJ721">
            <v>20.215302092325562</v>
          </cell>
          <cell r="AU721">
            <v>10.473278701673344</v>
          </cell>
          <cell r="AV721">
            <v>14.263722316306255</v>
          </cell>
          <cell r="AW721">
            <v>12.105561258724364</v>
          </cell>
          <cell r="AX721">
            <v>10.242049449424412</v>
          </cell>
          <cell r="AY721">
            <v>13.969073068024317</v>
          </cell>
        </row>
        <row r="722">
          <cell r="A722">
            <v>40548</v>
          </cell>
          <cell r="AF722">
            <v>16.950741655545421</v>
          </cell>
          <cell r="AG722">
            <v>20.469360058004284</v>
          </cell>
          <cell r="AH722">
            <v>17.881583490985356</v>
          </cell>
          <cell r="AI722">
            <v>15.547864889645153</v>
          </cell>
          <cell r="AJ722">
            <v>20.215302092325562</v>
          </cell>
          <cell r="AU722">
            <v>10.570191390650308</v>
          </cell>
          <cell r="AV722">
            <v>14.263722316306255</v>
          </cell>
          <cell r="AW722">
            <v>12.105561258724364</v>
          </cell>
          <cell r="AX722">
            <v>10.242049449424412</v>
          </cell>
          <cell r="AY722">
            <v>13.969073068024317</v>
          </cell>
        </row>
        <row r="723">
          <cell r="A723">
            <v>40549</v>
          </cell>
          <cell r="AF723">
            <v>16.853992281704656</v>
          </cell>
          <cell r="AG723">
            <v>20.469360058004284</v>
          </cell>
          <cell r="AH723">
            <v>17.881583490985356</v>
          </cell>
          <cell r="AI723">
            <v>15.547864889645153</v>
          </cell>
          <cell r="AJ723">
            <v>20.215302092325562</v>
          </cell>
          <cell r="AU723">
            <v>10.511457664620385</v>
          </cell>
          <cell r="AV723">
            <v>14.263722316306255</v>
          </cell>
          <cell r="AW723">
            <v>12.105561258724364</v>
          </cell>
          <cell r="AX723">
            <v>10.242049449424412</v>
          </cell>
          <cell r="AY723">
            <v>13.969073068024317</v>
          </cell>
        </row>
        <row r="724">
          <cell r="A724">
            <v>40550</v>
          </cell>
          <cell r="AF724">
            <v>16.786266704132458</v>
          </cell>
          <cell r="AG724">
            <v>20.469360058004284</v>
          </cell>
          <cell r="AH724">
            <v>17.881583490985356</v>
          </cell>
          <cell r="AI724">
            <v>15.547864889645153</v>
          </cell>
          <cell r="AJ724">
            <v>20.215302092325562</v>
          </cell>
          <cell r="AU724">
            <v>10.470343439686069</v>
          </cell>
          <cell r="AV724">
            <v>14.263722316306255</v>
          </cell>
          <cell r="AW724">
            <v>12.105561258724364</v>
          </cell>
          <cell r="AX724">
            <v>10.242049449424412</v>
          </cell>
          <cell r="AY724">
            <v>13.969073068024317</v>
          </cell>
        </row>
        <row r="725">
          <cell r="A725">
            <v>40553</v>
          </cell>
          <cell r="AF725">
            <v>16.961629025894275</v>
          </cell>
          <cell r="AG725">
            <v>20.469360058004284</v>
          </cell>
          <cell r="AH725">
            <v>17.881583490985356</v>
          </cell>
          <cell r="AI725">
            <v>15.547864889645153</v>
          </cell>
          <cell r="AJ725">
            <v>20.215302092325562</v>
          </cell>
          <cell r="AU725">
            <v>10.576800795981534</v>
          </cell>
          <cell r="AV725">
            <v>14.263722316306255</v>
          </cell>
          <cell r="AW725">
            <v>12.105561258724364</v>
          </cell>
          <cell r="AX725">
            <v>10.242049449424412</v>
          </cell>
          <cell r="AY725">
            <v>13.969073068024317</v>
          </cell>
        </row>
        <row r="726">
          <cell r="A726">
            <v>40554</v>
          </cell>
          <cell r="AF726">
            <v>17.086192326935688</v>
          </cell>
          <cell r="AG726">
            <v>20.469360058004284</v>
          </cell>
          <cell r="AH726">
            <v>17.881583490985356</v>
          </cell>
          <cell r="AI726">
            <v>15.547864889645153</v>
          </cell>
          <cell r="AJ726">
            <v>20.215302092325562</v>
          </cell>
          <cell r="AU726">
            <v>10.652419546845907</v>
          </cell>
          <cell r="AV726">
            <v>14.263722316306255</v>
          </cell>
          <cell r="AW726">
            <v>12.105561258724364</v>
          </cell>
          <cell r="AX726">
            <v>10.242049449424412</v>
          </cell>
          <cell r="AY726">
            <v>13.969073068024317</v>
          </cell>
        </row>
        <row r="727">
          <cell r="A727">
            <v>40555</v>
          </cell>
          <cell r="AF727">
            <v>17.522315959533358</v>
          </cell>
          <cell r="AG727">
            <v>20.469360058004284</v>
          </cell>
          <cell r="AH727">
            <v>17.881583490985356</v>
          </cell>
          <cell r="AI727">
            <v>15.547864889645153</v>
          </cell>
          <cell r="AJ727">
            <v>20.215302092325562</v>
          </cell>
          <cell r="AU727">
            <v>10.938616298801021</v>
          </cell>
          <cell r="AV727">
            <v>14.263722316306255</v>
          </cell>
          <cell r="AW727">
            <v>12.105561258724364</v>
          </cell>
          <cell r="AX727">
            <v>10.242049449424412</v>
          </cell>
          <cell r="AY727">
            <v>13.969073068024317</v>
          </cell>
        </row>
        <row r="728">
          <cell r="A728">
            <v>40556</v>
          </cell>
          <cell r="AF728">
            <v>17.531970137685764</v>
          </cell>
          <cell r="AG728">
            <v>20.469360058004284</v>
          </cell>
          <cell r="AH728">
            <v>17.881583490985356</v>
          </cell>
          <cell r="AI728">
            <v>15.547864889645153</v>
          </cell>
          <cell r="AJ728">
            <v>20.215302092325562</v>
          </cell>
          <cell r="AU728">
            <v>10.94448882089781</v>
          </cell>
          <cell r="AV728">
            <v>14.263722316306255</v>
          </cell>
          <cell r="AW728">
            <v>12.105561258724364</v>
          </cell>
          <cell r="AX728">
            <v>10.242049449424412</v>
          </cell>
          <cell r="AY728">
            <v>13.969073068024317</v>
          </cell>
        </row>
        <row r="729">
          <cell r="A729">
            <v>40557</v>
          </cell>
          <cell r="AF729">
            <v>17.527143290096834</v>
          </cell>
          <cell r="AG729">
            <v>20.469360058004284</v>
          </cell>
          <cell r="AH729">
            <v>17.881583490985356</v>
          </cell>
          <cell r="AI729">
            <v>15.547864889645153</v>
          </cell>
          <cell r="AJ729">
            <v>20.215302092325562</v>
          </cell>
          <cell r="AU729">
            <v>10.941552706743261</v>
          </cell>
          <cell r="AV729">
            <v>14.263722316306255</v>
          </cell>
          <cell r="AW729">
            <v>12.105561258724364</v>
          </cell>
          <cell r="AX729">
            <v>10.242049449424412</v>
          </cell>
          <cell r="AY729">
            <v>13.969073068024317</v>
          </cell>
        </row>
        <row r="730">
          <cell r="A730">
            <v>40560</v>
          </cell>
          <cell r="AF730">
            <v>17.527143290096834</v>
          </cell>
          <cell r="AG730">
            <v>20.469360058004284</v>
          </cell>
          <cell r="AH730">
            <v>17.881583490985356</v>
          </cell>
          <cell r="AI730">
            <v>15.547864889645153</v>
          </cell>
          <cell r="AJ730">
            <v>20.215302092325562</v>
          </cell>
          <cell r="AU730">
            <v>10.941552706743261</v>
          </cell>
          <cell r="AV730">
            <v>14.263722316306255</v>
          </cell>
          <cell r="AW730">
            <v>12.105561258724364</v>
          </cell>
          <cell r="AX730">
            <v>10.242049449424412</v>
          </cell>
          <cell r="AY730">
            <v>13.969073068024317</v>
          </cell>
        </row>
        <row r="731">
          <cell r="A731">
            <v>40561</v>
          </cell>
          <cell r="AF731">
            <v>17.729991632467851</v>
          </cell>
          <cell r="AG731">
            <v>20.469360058004284</v>
          </cell>
          <cell r="AH731">
            <v>17.881583490985356</v>
          </cell>
          <cell r="AI731">
            <v>15.547864889645153</v>
          </cell>
          <cell r="AJ731">
            <v>20.215302092325562</v>
          </cell>
          <cell r="AU731">
            <v>11.064942948156357</v>
          </cell>
          <cell r="AV731">
            <v>14.263722316306255</v>
          </cell>
          <cell r="AW731">
            <v>12.105561258724364</v>
          </cell>
          <cell r="AX731">
            <v>10.242049449424412</v>
          </cell>
          <cell r="AY731">
            <v>13.969073068024317</v>
          </cell>
        </row>
        <row r="732">
          <cell r="A732">
            <v>40562</v>
          </cell>
          <cell r="AF732">
            <v>17.377422147523941</v>
          </cell>
          <cell r="AG732">
            <v>20.469360058004284</v>
          </cell>
          <cell r="AH732">
            <v>17.881583490985356</v>
          </cell>
          <cell r="AI732">
            <v>15.547864889645153</v>
          </cell>
          <cell r="AJ732">
            <v>20.215302092325562</v>
          </cell>
          <cell r="AU732">
            <v>10.850479111017618</v>
          </cell>
          <cell r="AV732">
            <v>14.263722316306255</v>
          </cell>
          <cell r="AW732">
            <v>12.105561258724364</v>
          </cell>
          <cell r="AX732">
            <v>10.242049449424412</v>
          </cell>
          <cell r="AY732">
            <v>13.969073068024317</v>
          </cell>
        </row>
        <row r="733">
          <cell r="A733">
            <v>40563</v>
          </cell>
          <cell r="AF733">
            <v>17.362933394189909</v>
          </cell>
          <cell r="AG733">
            <v>20.469360058004284</v>
          </cell>
          <cell r="AH733">
            <v>17.881583490985356</v>
          </cell>
          <cell r="AI733">
            <v>15.547864889645153</v>
          </cell>
          <cell r="AJ733">
            <v>20.215302092325562</v>
          </cell>
          <cell r="AU733">
            <v>10.841665774163276</v>
          </cell>
          <cell r="AV733">
            <v>14.263722316306255</v>
          </cell>
          <cell r="AW733">
            <v>12.105561258724364</v>
          </cell>
          <cell r="AX733">
            <v>10.242049449424412</v>
          </cell>
          <cell r="AY733">
            <v>13.969073068024317</v>
          </cell>
        </row>
        <row r="734">
          <cell r="A734">
            <v>40564</v>
          </cell>
          <cell r="AF734">
            <v>17.309806194391783</v>
          </cell>
          <cell r="AG734">
            <v>20.469360058004284</v>
          </cell>
          <cell r="AH734">
            <v>17.881583490985356</v>
          </cell>
          <cell r="AI734">
            <v>15.547864889645153</v>
          </cell>
          <cell r="AJ734">
            <v>20.215302092325562</v>
          </cell>
          <cell r="AU734">
            <v>10.809349128475816</v>
          </cell>
          <cell r="AV734">
            <v>14.263722316306255</v>
          </cell>
          <cell r="AW734">
            <v>12.105561258724364</v>
          </cell>
          <cell r="AX734">
            <v>10.242049449424412</v>
          </cell>
          <cell r="AY734">
            <v>13.969073068024317</v>
          </cell>
        </row>
        <row r="735">
          <cell r="A735">
            <v>40567</v>
          </cell>
          <cell r="AF735">
            <v>17.338783218085311</v>
          </cell>
          <cell r="AG735">
            <v>20.469360058004284</v>
          </cell>
          <cell r="AH735">
            <v>17.881583490985356</v>
          </cell>
          <cell r="AI735">
            <v>15.547864889645153</v>
          </cell>
          <cell r="AJ735">
            <v>20.215302092325562</v>
          </cell>
          <cell r="AU735">
            <v>10.826975508396821</v>
          </cell>
          <cell r="AV735">
            <v>14.263722316306255</v>
          </cell>
          <cell r="AW735">
            <v>12.105561258724364</v>
          </cell>
          <cell r="AX735">
            <v>10.242049449424412</v>
          </cell>
          <cell r="AY735">
            <v>13.969073068024317</v>
          </cell>
        </row>
        <row r="736">
          <cell r="A736">
            <v>40568</v>
          </cell>
          <cell r="AF736">
            <v>17.358099301982822</v>
          </cell>
          <cell r="AG736">
            <v>20.469360058004284</v>
          </cell>
          <cell r="AH736">
            <v>17.881583490985356</v>
          </cell>
          <cell r="AI736">
            <v>15.547864889645153</v>
          </cell>
          <cell r="AJ736">
            <v>20.215302092325562</v>
          </cell>
          <cell r="AU736">
            <v>10.838725253193404</v>
          </cell>
          <cell r="AV736">
            <v>14.263722316306255</v>
          </cell>
          <cell r="AW736">
            <v>12.105561258724364</v>
          </cell>
          <cell r="AX736">
            <v>10.242049449424412</v>
          </cell>
          <cell r="AY736">
            <v>13.969073068024317</v>
          </cell>
        </row>
        <row r="737">
          <cell r="A737">
            <v>40569</v>
          </cell>
          <cell r="AF737">
            <v>17.367760724753381</v>
          </cell>
          <cell r="AG737">
            <v>20.469360058004284</v>
          </cell>
          <cell r="AH737">
            <v>17.881583490985356</v>
          </cell>
          <cell r="AI737">
            <v>15.547864889645153</v>
          </cell>
          <cell r="AJ737">
            <v>20.215302092325562</v>
          </cell>
          <cell r="AU737">
            <v>10.844602182105513</v>
          </cell>
          <cell r="AV737">
            <v>14.263722316306255</v>
          </cell>
          <cell r="AW737">
            <v>12.105561258724364</v>
          </cell>
          <cell r="AX737">
            <v>10.242049449424412</v>
          </cell>
          <cell r="AY737">
            <v>13.969073068024317</v>
          </cell>
        </row>
        <row r="738">
          <cell r="A738">
            <v>40570</v>
          </cell>
          <cell r="AF738">
            <v>17.652713773590587</v>
          </cell>
          <cell r="AG738">
            <v>20.469360058004284</v>
          </cell>
          <cell r="AH738">
            <v>17.881583490985356</v>
          </cell>
          <cell r="AI738">
            <v>15.547864889645153</v>
          </cell>
          <cell r="AJ738">
            <v>20.215302092325562</v>
          </cell>
          <cell r="AU738">
            <v>11.017935742914757</v>
          </cell>
          <cell r="AV738">
            <v>14.263722316306255</v>
          </cell>
          <cell r="AW738">
            <v>12.105561258724364</v>
          </cell>
          <cell r="AX738">
            <v>10.242049449424412</v>
          </cell>
          <cell r="AY738">
            <v>13.969073068024317</v>
          </cell>
        </row>
        <row r="739">
          <cell r="A739">
            <v>40571</v>
          </cell>
          <cell r="AF739">
            <v>17.266339934389681</v>
          </cell>
          <cell r="AG739">
            <v>20.469360058004284</v>
          </cell>
          <cell r="AH739">
            <v>17.881583490985356</v>
          </cell>
          <cell r="AI739">
            <v>15.547864889645153</v>
          </cell>
          <cell r="AJ739">
            <v>20.215302092325562</v>
          </cell>
          <cell r="AU739">
            <v>10.782909117912782</v>
          </cell>
          <cell r="AV739">
            <v>14.263722316306255</v>
          </cell>
          <cell r="AW739">
            <v>12.105561258724364</v>
          </cell>
          <cell r="AX739">
            <v>10.242049449424412</v>
          </cell>
          <cell r="AY739">
            <v>13.969073068024317</v>
          </cell>
        </row>
        <row r="740">
          <cell r="A740">
            <v>40574</v>
          </cell>
          <cell r="AF740">
            <v>17.135934875714295</v>
          </cell>
          <cell r="AG740">
            <v>20.469360058004284</v>
          </cell>
          <cell r="AH740">
            <v>17.881583490985356</v>
          </cell>
          <cell r="AI740">
            <v>15.547864889645153</v>
          </cell>
          <cell r="AJ740">
            <v>20.215302092325562</v>
          </cell>
          <cell r="AU740">
            <v>10.702643002735508</v>
          </cell>
          <cell r="AV740">
            <v>14.263722316306255</v>
          </cell>
          <cell r="AW740">
            <v>12.105561258724364</v>
          </cell>
          <cell r="AX740">
            <v>10.242049449424412</v>
          </cell>
          <cell r="AY740">
            <v>13.969073068024317</v>
          </cell>
        </row>
        <row r="741">
          <cell r="A741">
            <v>40575</v>
          </cell>
          <cell r="AF741">
            <v>17.41149321808853</v>
          </cell>
          <cell r="AG741">
            <v>20.469360058004284</v>
          </cell>
          <cell r="AH741">
            <v>17.881583490985356</v>
          </cell>
          <cell r="AI741">
            <v>15.547864889645153</v>
          </cell>
          <cell r="AJ741">
            <v>20.215302092325562</v>
          </cell>
          <cell r="AU741">
            <v>10.87586050110243</v>
          </cell>
          <cell r="AV741">
            <v>14.263722316306255</v>
          </cell>
          <cell r="AW741">
            <v>12.105561258724364</v>
          </cell>
          <cell r="AX741">
            <v>10.242049449424412</v>
          </cell>
          <cell r="AY741">
            <v>13.969073068024317</v>
          </cell>
        </row>
        <row r="742">
          <cell r="A742">
            <v>40576</v>
          </cell>
          <cell r="AF742">
            <v>17.230728232634011</v>
          </cell>
          <cell r="AG742">
            <v>20.469360058004284</v>
          </cell>
          <cell r="AH742">
            <v>17.881583490985356</v>
          </cell>
          <cell r="AI742">
            <v>15.547864889645153</v>
          </cell>
          <cell r="AJ742">
            <v>20.215302092325562</v>
          </cell>
          <cell r="AU742">
            <v>10.765832088704201</v>
          </cell>
          <cell r="AV742">
            <v>14.263722316306255</v>
          </cell>
          <cell r="AW742">
            <v>12.105561258724364</v>
          </cell>
          <cell r="AX742">
            <v>10.242049449424412</v>
          </cell>
          <cell r="AY742">
            <v>13.969073068024317</v>
          </cell>
        </row>
        <row r="743">
          <cell r="A743">
            <v>40577</v>
          </cell>
          <cell r="AF743">
            <v>17.377976559602459</v>
          </cell>
          <cell r="AG743">
            <v>20.469360058004284</v>
          </cell>
          <cell r="AH743">
            <v>17.881583490985356</v>
          </cell>
          <cell r="AI743">
            <v>15.547864889645153</v>
          </cell>
          <cell r="AJ743">
            <v>20.215302092325562</v>
          </cell>
          <cell r="AU743">
            <v>10.855459510762163</v>
          </cell>
          <cell r="AV743">
            <v>14.263722316306255</v>
          </cell>
          <cell r="AW743">
            <v>12.105561258724364</v>
          </cell>
          <cell r="AX743">
            <v>10.242049449424412</v>
          </cell>
          <cell r="AY743">
            <v>13.969073068024317</v>
          </cell>
        </row>
        <row r="744">
          <cell r="A744">
            <v>40578</v>
          </cell>
          <cell r="AF744">
            <v>17.430651614372547</v>
          </cell>
          <cell r="AG744">
            <v>20.469360058004284</v>
          </cell>
          <cell r="AH744">
            <v>17.881583490985356</v>
          </cell>
          <cell r="AI744">
            <v>15.547864889645153</v>
          </cell>
          <cell r="AJ744">
            <v>20.215302092325562</v>
          </cell>
          <cell r="AU744">
            <v>10.887521874138397</v>
          </cell>
          <cell r="AV744">
            <v>14.263722316306255</v>
          </cell>
          <cell r="AW744">
            <v>12.105561258724364</v>
          </cell>
          <cell r="AX744">
            <v>10.242049449424412</v>
          </cell>
          <cell r="AY744">
            <v>13.969073068024317</v>
          </cell>
        </row>
        <row r="745">
          <cell r="A745">
            <v>40581</v>
          </cell>
          <cell r="AF745">
            <v>17.569508149570403</v>
          </cell>
          <cell r="AG745">
            <v>20.469360058004284</v>
          </cell>
          <cell r="AH745">
            <v>17.881583490985356</v>
          </cell>
          <cell r="AI745">
            <v>15.547864889645153</v>
          </cell>
          <cell r="AJ745">
            <v>20.215302092325562</v>
          </cell>
          <cell r="AU745">
            <v>10.979158063841375</v>
          </cell>
          <cell r="AV745">
            <v>14.263722316306255</v>
          </cell>
          <cell r="AW745">
            <v>12.105561258724364</v>
          </cell>
          <cell r="AX745">
            <v>10.242049449424412</v>
          </cell>
          <cell r="AY745">
            <v>13.969073068024317</v>
          </cell>
        </row>
        <row r="746">
          <cell r="A746">
            <v>40582</v>
          </cell>
          <cell r="AF746">
            <v>17.679874743550073</v>
          </cell>
          <cell r="AG746">
            <v>20.469360058004284</v>
          </cell>
          <cell r="AH746">
            <v>17.881583490985356</v>
          </cell>
          <cell r="AI746">
            <v>15.547864889645153</v>
          </cell>
          <cell r="AJ746">
            <v>20.215302092325562</v>
          </cell>
          <cell r="AU746">
            <v>11.034634212043834</v>
          </cell>
          <cell r="AV746">
            <v>14.263722316306255</v>
          </cell>
          <cell r="AW746">
            <v>12.105561258724364</v>
          </cell>
          <cell r="AX746">
            <v>10.242049449424412</v>
          </cell>
          <cell r="AY746">
            <v>13.969073068024317</v>
          </cell>
        </row>
        <row r="747">
          <cell r="A747">
            <v>40583</v>
          </cell>
          <cell r="AF747">
            <v>17.388441683866457</v>
          </cell>
          <cell r="AG747">
            <v>20.469360058004284</v>
          </cell>
          <cell r="AH747">
            <v>17.881583490985356</v>
          </cell>
          <cell r="AI747">
            <v>15.547864889645153</v>
          </cell>
          <cell r="AJ747">
            <v>20.215302092325562</v>
          </cell>
          <cell r="AU747">
            <v>10.83645031229773</v>
          </cell>
          <cell r="AV747">
            <v>14.263722316306255</v>
          </cell>
          <cell r="AW747">
            <v>12.105561258724364</v>
          </cell>
          <cell r="AX747">
            <v>10.242049449424412</v>
          </cell>
          <cell r="AY747">
            <v>13.969073068024317</v>
          </cell>
        </row>
        <row r="748">
          <cell r="A748">
            <v>40584</v>
          </cell>
          <cell r="AF748">
            <v>17.54677380047719</v>
          </cell>
          <cell r="AG748">
            <v>20.469360058004284</v>
          </cell>
          <cell r="AH748">
            <v>17.881583490985356</v>
          </cell>
          <cell r="AI748">
            <v>15.547864889645153</v>
          </cell>
          <cell r="AJ748">
            <v>20.215302092325562</v>
          </cell>
          <cell r="AU748">
            <v>10.847825464198229</v>
          </cell>
          <cell r="AV748">
            <v>14.263722316306255</v>
          </cell>
          <cell r="AW748">
            <v>12.105561258724364</v>
          </cell>
          <cell r="AX748">
            <v>10.242049449424412</v>
          </cell>
          <cell r="AY748">
            <v>13.969073068024317</v>
          </cell>
        </row>
        <row r="749">
          <cell r="A749">
            <v>40585</v>
          </cell>
          <cell r="AF749">
            <v>17.631126179081548</v>
          </cell>
          <cell r="AG749">
            <v>20.469360058004284</v>
          </cell>
          <cell r="AH749">
            <v>17.881583490985356</v>
          </cell>
          <cell r="AI749">
            <v>15.547864889645153</v>
          </cell>
          <cell r="AJ749">
            <v>20.215302092325562</v>
          </cell>
          <cell r="AU749">
            <v>10.923367450503148</v>
          </cell>
          <cell r="AV749">
            <v>14.263722316306255</v>
          </cell>
          <cell r="AW749">
            <v>12.105561258724364</v>
          </cell>
          <cell r="AX749">
            <v>10.242049449424412</v>
          </cell>
          <cell r="AY749">
            <v>13.969073068024317</v>
          </cell>
        </row>
        <row r="750">
          <cell r="A750">
            <v>40588</v>
          </cell>
          <cell r="AF750">
            <v>17.534835279911654</v>
          </cell>
          <cell r="AG750">
            <v>20.469360058004284</v>
          </cell>
          <cell r="AH750">
            <v>17.881583490985356</v>
          </cell>
          <cell r="AI750">
            <v>15.547864889645153</v>
          </cell>
          <cell r="AJ750">
            <v>20.215302092325562</v>
          </cell>
          <cell r="AU750">
            <v>10.868696363805075</v>
          </cell>
          <cell r="AV750">
            <v>14.263722316306255</v>
          </cell>
          <cell r="AW750">
            <v>12.105561258724364</v>
          </cell>
          <cell r="AX750">
            <v>10.242049449424412</v>
          </cell>
          <cell r="AY750">
            <v>13.969073068024317</v>
          </cell>
        </row>
        <row r="751">
          <cell r="A751">
            <v>40589</v>
          </cell>
          <cell r="AF751">
            <v>17.60705164880763</v>
          </cell>
          <cell r="AG751">
            <v>20.469360058004284</v>
          </cell>
          <cell r="AH751">
            <v>17.881583490985356</v>
          </cell>
          <cell r="AI751">
            <v>15.547864889645153</v>
          </cell>
          <cell r="AJ751">
            <v>20.215302092325562</v>
          </cell>
          <cell r="AU751">
            <v>10.912289006600734</v>
          </cell>
          <cell r="AV751">
            <v>14.263722316306255</v>
          </cell>
          <cell r="AW751">
            <v>12.105561258724364</v>
          </cell>
          <cell r="AX751">
            <v>10.242049449424412</v>
          </cell>
          <cell r="AY751">
            <v>13.969073068024317</v>
          </cell>
        </row>
        <row r="752">
          <cell r="A752">
            <v>40590</v>
          </cell>
          <cell r="AF752">
            <v>17.61186337721508</v>
          </cell>
          <cell r="AG752">
            <v>20.469360058004284</v>
          </cell>
          <cell r="AH752">
            <v>17.881583490985356</v>
          </cell>
          <cell r="AI752">
            <v>15.547864889645153</v>
          </cell>
          <cell r="AJ752">
            <v>20.215302092325562</v>
          </cell>
          <cell r="AU752">
            <v>10.915193555263347</v>
          </cell>
          <cell r="AV752">
            <v>14.263722316306255</v>
          </cell>
          <cell r="AW752">
            <v>12.105561258724364</v>
          </cell>
          <cell r="AX752">
            <v>10.242049449424412</v>
          </cell>
          <cell r="AY752">
            <v>13.969073068024317</v>
          </cell>
        </row>
        <row r="753">
          <cell r="A753">
            <v>40591</v>
          </cell>
          <cell r="AF753">
            <v>17.578164908664558</v>
          </cell>
          <cell r="AG753">
            <v>20.469360058004284</v>
          </cell>
          <cell r="AH753">
            <v>17.881583490985356</v>
          </cell>
          <cell r="AI753">
            <v>15.547864889645153</v>
          </cell>
          <cell r="AJ753">
            <v>20.215302092325562</v>
          </cell>
          <cell r="AU753">
            <v>10.894851833230774</v>
          </cell>
          <cell r="AV753">
            <v>14.263722316306255</v>
          </cell>
          <cell r="AW753">
            <v>12.105561258724364</v>
          </cell>
          <cell r="AX753">
            <v>10.242049449424412</v>
          </cell>
          <cell r="AY753">
            <v>13.969073068024317</v>
          </cell>
        </row>
        <row r="754">
          <cell r="A754">
            <v>40592</v>
          </cell>
          <cell r="AF754">
            <v>17.809264607349789</v>
          </cell>
          <cell r="AG754">
            <v>20.469360058004284</v>
          </cell>
          <cell r="AH754">
            <v>17.881583490985356</v>
          </cell>
          <cell r="AI754">
            <v>15.547864889645153</v>
          </cell>
          <cell r="AJ754">
            <v>20.215302092325562</v>
          </cell>
          <cell r="AU754">
            <v>11.034352707741386</v>
          </cell>
          <cell r="AV754">
            <v>14.263722316306255</v>
          </cell>
          <cell r="AW754">
            <v>12.105561258724364</v>
          </cell>
          <cell r="AX754">
            <v>10.242049449424412</v>
          </cell>
          <cell r="AY754">
            <v>13.969073068024317</v>
          </cell>
        </row>
        <row r="755">
          <cell r="A755">
            <v>40595</v>
          </cell>
          <cell r="AF755">
            <v>17.809264607349789</v>
          </cell>
          <cell r="AG755">
            <v>20.469360058004284</v>
          </cell>
          <cell r="AH755">
            <v>17.881583490985356</v>
          </cell>
          <cell r="AI755">
            <v>15.547864889645153</v>
          </cell>
          <cell r="AJ755">
            <v>20.215302092325562</v>
          </cell>
          <cell r="AU755">
            <v>11.034352707741386</v>
          </cell>
          <cell r="AV755">
            <v>14.263722316306255</v>
          </cell>
          <cell r="AW755">
            <v>12.105561258724364</v>
          </cell>
          <cell r="AX755">
            <v>10.242049449424412</v>
          </cell>
          <cell r="AY755">
            <v>13.969073068024317</v>
          </cell>
        </row>
        <row r="756">
          <cell r="A756">
            <v>40596</v>
          </cell>
          <cell r="AF756">
            <v>17.467430639423124</v>
          </cell>
          <cell r="AG756">
            <v>20.469360058004284</v>
          </cell>
          <cell r="AH756">
            <v>17.881583490985356</v>
          </cell>
          <cell r="AI756">
            <v>15.547864889645153</v>
          </cell>
          <cell r="AJ756">
            <v>20.215302092325562</v>
          </cell>
          <cell r="AU756">
            <v>10.828008269672031</v>
          </cell>
          <cell r="AV756">
            <v>14.263722316306255</v>
          </cell>
          <cell r="AW756">
            <v>12.105561258724364</v>
          </cell>
          <cell r="AX756">
            <v>10.242049449424412</v>
          </cell>
          <cell r="AY756">
            <v>13.969073068024317</v>
          </cell>
        </row>
        <row r="757">
          <cell r="A757">
            <v>40597</v>
          </cell>
          <cell r="AF757">
            <v>17.390395320193939</v>
          </cell>
          <cell r="AG757">
            <v>20.469360058004284</v>
          </cell>
          <cell r="AH757">
            <v>17.881583490985356</v>
          </cell>
          <cell r="AI757">
            <v>15.547864889645153</v>
          </cell>
          <cell r="AJ757">
            <v>20.215302092325562</v>
          </cell>
          <cell r="AU757">
            <v>10.781506718775104</v>
          </cell>
          <cell r="AV757">
            <v>14.263722316306255</v>
          </cell>
          <cell r="AW757">
            <v>12.105561258724364</v>
          </cell>
          <cell r="AX757">
            <v>10.242049449424412</v>
          </cell>
          <cell r="AY757">
            <v>13.969073068024317</v>
          </cell>
        </row>
        <row r="758">
          <cell r="A758">
            <v>40598</v>
          </cell>
          <cell r="AF758">
            <v>17.366320789920021</v>
          </cell>
          <cell r="AG758">
            <v>20.469360058004284</v>
          </cell>
          <cell r="AH758">
            <v>17.881583490985356</v>
          </cell>
          <cell r="AI758">
            <v>15.547864889645153</v>
          </cell>
          <cell r="AJ758">
            <v>20.215302092325562</v>
          </cell>
          <cell r="AU758">
            <v>10.766974384696999</v>
          </cell>
          <cell r="AV758">
            <v>14.263722316306255</v>
          </cell>
          <cell r="AW758">
            <v>12.105561258724364</v>
          </cell>
          <cell r="AX758">
            <v>10.242049449424412</v>
          </cell>
          <cell r="AY758">
            <v>13.969073068024317</v>
          </cell>
        </row>
        <row r="759">
          <cell r="A759">
            <v>40599</v>
          </cell>
          <cell r="AF759">
            <v>17.688899177905984</v>
          </cell>
          <cell r="AG759">
            <v>20.469360058004284</v>
          </cell>
          <cell r="AH759">
            <v>17.881583490985356</v>
          </cell>
          <cell r="AI759">
            <v>15.547864889645153</v>
          </cell>
          <cell r="AJ759">
            <v>20.215302092325562</v>
          </cell>
          <cell r="AU759">
            <v>10.961695396789519</v>
          </cell>
          <cell r="AV759">
            <v>14.263722316306255</v>
          </cell>
          <cell r="AW759">
            <v>12.105561258724364</v>
          </cell>
          <cell r="AX759">
            <v>10.242049449424412</v>
          </cell>
          <cell r="AY759">
            <v>13.969073068024317</v>
          </cell>
        </row>
        <row r="760">
          <cell r="A760">
            <v>40602</v>
          </cell>
          <cell r="AF760">
            <v>18.006671672537738</v>
          </cell>
          <cell r="AG760">
            <v>20.469360058004284</v>
          </cell>
          <cell r="AH760">
            <v>17.881583490985356</v>
          </cell>
          <cell r="AI760">
            <v>15.547864889645153</v>
          </cell>
          <cell r="AJ760">
            <v>20.215302092325562</v>
          </cell>
          <cell r="AU760">
            <v>11.144774284765587</v>
          </cell>
          <cell r="AV760">
            <v>14.263722316306255</v>
          </cell>
          <cell r="AW760">
            <v>12.105561258724364</v>
          </cell>
          <cell r="AX760">
            <v>10.242049449424412</v>
          </cell>
          <cell r="AY760">
            <v>13.969073068024317</v>
          </cell>
        </row>
        <row r="761">
          <cell r="A761">
            <v>40603</v>
          </cell>
          <cell r="AF761">
            <v>17.567017871671389</v>
          </cell>
          <cell r="AG761">
            <v>20.469360058004284</v>
          </cell>
          <cell r="AH761">
            <v>17.881583490985356</v>
          </cell>
          <cell r="AI761">
            <v>15.547864889645153</v>
          </cell>
          <cell r="AJ761">
            <v>20.215302092325562</v>
          </cell>
          <cell r="AU761">
            <v>10.890748732465996</v>
          </cell>
          <cell r="AV761">
            <v>14.263722316306255</v>
          </cell>
          <cell r="AW761">
            <v>12.105561258724364</v>
          </cell>
          <cell r="AX761">
            <v>10.242049449424412</v>
          </cell>
          <cell r="AY761">
            <v>13.969073068024317</v>
          </cell>
        </row>
        <row r="762">
          <cell r="A762">
            <v>40604</v>
          </cell>
          <cell r="AF762">
            <v>17.519226592339759</v>
          </cell>
          <cell r="AG762">
            <v>20.469360058004284</v>
          </cell>
          <cell r="AH762">
            <v>17.881583490985356</v>
          </cell>
          <cell r="AI762">
            <v>15.547864889645153</v>
          </cell>
          <cell r="AJ762">
            <v>20.215302092325562</v>
          </cell>
          <cell r="AU762">
            <v>10.861887484782454</v>
          </cell>
          <cell r="AV762">
            <v>14.263722316306255</v>
          </cell>
          <cell r="AW762">
            <v>12.105561258724364</v>
          </cell>
          <cell r="AX762">
            <v>10.242049449424412</v>
          </cell>
          <cell r="AY762">
            <v>13.969073068024317</v>
          </cell>
        </row>
        <row r="763">
          <cell r="A763">
            <v>40605</v>
          </cell>
          <cell r="AF763">
            <v>17.906311296105365</v>
          </cell>
          <cell r="AG763">
            <v>20.469360058004284</v>
          </cell>
          <cell r="AH763">
            <v>17.881583490985356</v>
          </cell>
          <cell r="AI763">
            <v>15.547864889645153</v>
          </cell>
          <cell r="AJ763">
            <v>20.215302092325562</v>
          </cell>
          <cell r="AU763">
            <v>11.095648699508844</v>
          </cell>
          <cell r="AV763">
            <v>14.263722316306255</v>
          </cell>
          <cell r="AW763">
            <v>12.105561258724364</v>
          </cell>
          <cell r="AX763">
            <v>10.242049449424412</v>
          </cell>
          <cell r="AY763">
            <v>13.969073068024317</v>
          </cell>
        </row>
        <row r="764">
          <cell r="A764">
            <v>40606</v>
          </cell>
          <cell r="AF764">
            <v>18.021006352274672</v>
          </cell>
          <cell r="AG764">
            <v>20.469360058004284</v>
          </cell>
          <cell r="AH764">
            <v>17.881583490985356</v>
          </cell>
          <cell r="AI764">
            <v>15.547864889645153</v>
          </cell>
          <cell r="AJ764">
            <v>20.215302092325562</v>
          </cell>
          <cell r="AU764">
            <v>11.164913269749997</v>
          </cell>
          <cell r="AV764">
            <v>14.263722316306255</v>
          </cell>
          <cell r="AW764">
            <v>12.105561258724364</v>
          </cell>
          <cell r="AX764">
            <v>10.242049449424412</v>
          </cell>
          <cell r="AY764">
            <v>13.969073068024317</v>
          </cell>
        </row>
        <row r="765">
          <cell r="A765">
            <v>40609</v>
          </cell>
          <cell r="AF765">
            <v>18.13091778840008</v>
          </cell>
          <cell r="AG765">
            <v>20.469360058004284</v>
          </cell>
          <cell r="AH765">
            <v>17.881583490985356</v>
          </cell>
          <cell r="AI765">
            <v>15.547864889645153</v>
          </cell>
          <cell r="AJ765">
            <v>20.215302092325562</v>
          </cell>
          <cell r="AU765">
            <v>11.231289002428278</v>
          </cell>
          <cell r="AV765">
            <v>14.263722316306255</v>
          </cell>
          <cell r="AW765">
            <v>12.105561258724364</v>
          </cell>
          <cell r="AX765">
            <v>10.242049449424412</v>
          </cell>
          <cell r="AY765">
            <v>13.969073068024317</v>
          </cell>
        </row>
        <row r="766">
          <cell r="A766">
            <v>40610</v>
          </cell>
          <cell r="AF766">
            <v>18.107029316996069</v>
          </cell>
          <cell r="AG766">
            <v>20.469360058004284</v>
          </cell>
          <cell r="AH766">
            <v>17.881583490985356</v>
          </cell>
          <cell r="AI766">
            <v>15.547864889645153</v>
          </cell>
          <cell r="AJ766">
            <v>20.215302092325562</v>
          </cell>
          <cell r="AU766">
            <v>11.216862707513922</v>
          </cell>
          <cell r="AV766">
            <v>14.263722316306255</v>
          </cell>
          <cell r="AW766">
            <v>12.105561258724364</v>
          </cell>
          <cell r="AX766">
            <v>10.242049449424412</v>
          </cell>
          <cell r="AY766">
            <v>13.969073068024317</v>
          </cell>
        </row>
        <row r="767">
          <cell r="A767">
            <v>40611</v>
          </cell>
          <cell r="AF767">
            <v>17.868087256861521</v>
          </cell>
          <cell r="AG767">
            <v>20.469360058004284</v>
          </cell>
          <cell r="AH767">
            <v>17.881583490985356</v>
          </cell>
          <cell r="AI767">
            <v>15.547864889645153</v>
          </cell>
          <cell r="AJ767">
            <v>20.215302092325562</v>
          </cell>
          <cell r="AU767">
            <v>11.072565126951037</v>
          </cell>
          <cell r="AV767">
            <v>14.263722316306255</v>
          </cell>
          <cell r="AW767">
            <v>12.105561258724364</v>
          </cell>
          <cell r="AX767">
            <v>10.242049449424412</v>
          </cell>
          <cell r="AY767">
            <v>13.969073068024317</v>
          </cell>
        </row>
        <row r="768">
          <cell r="A768">
            <v>40612</v>
          </cell>
          <cell r="AF768">
            <v>17.624361576683079</v>
          </cell>
          <cell r="AG768">
            <v>20.469360058004284</v>
          </cell>
          <cell r="AH768">
            <v>17.881583490985356</v>
          </cell>
          <cell r="AI768">
            <v>15.547864889645153</v>
          </cell>
          <cell r="AJ768">
            <v>20.215302092325562</v>
          </cell>
          <cell r="AU768">
            <v>10.925378708825283</v>
          </cell>
          <cell r="AV768">
            <v>14.263722316306255</v>
          </cell>
          <cell r="AW768">
            <v>12.105561258724364</v>
          </cell>
          <cell r="AX768">
            <v>10.242049449424412</v>
          </cell>
          <cell r="AY768">
            <v>13.969073068024317</v>
          </cell>
        </row>
        <row r="769">
          <cell r="A769">
            <v>40613</v>
          </cell>
          <cell r="AF769">
            <v>17.872863230759492</v>
          </cell>
          <cell r="AG769">
            <v>20.469360058004284</v>
          </cell>
          <cell r="AH769">
            <v>17.881583490985356</v>
          </cell>
          <cell r="AI769">
            <v>15.547864889645153</v>
          </cell>
          <cell r="AJ769">
            <v>20.215302092325562</v>
          </cell>
          <cell r="AU769">
            <v>11.075449346991327</v>
          </cell>
          <cell r="AV769">
            <v>14.263722316306255</v>
          </cell>
          <cell r="AW769">
            <v>12.105561258724364</v>
          </cell>
          <cell r="AX769">
            <v>10.242049449424412</v>
          </cell>
          <cell r="AY769">
            <v>13.969073068024317</v>
          </cell>
        </row>
        <row r="770">
          <cell r="A770">
            <v>40616</v>
          </cell>
          <cell r="AF770">
            <v>17.767728246416169</v>
          </cell>
          <cell r="AG770">
            <v>20.469360058004284</v>
          </cell>
          <cell r="AH770">
            <v>17.881583490985356</v>
          </cell>
          <cell r="AI770">
            <v>15.547864889645153</v>
          </cell>
          <cell r="AJ770">
            <v>20.215302092325562</v>
          </cell>
          <cell r="AU770">
            <v>11.011958122948498</v>
          </cell>
          <cell r="AV770">
            <v>14.263722316306255</v>
          </cell>
          <cell r="AW770">
            <v>12.105561258724364</v>
          </cell>
          <cell r="AX770">
            <v>10.242049449424412</v>
          </cell>
          <cell r="AY770">
            <v>13.969073068024317</v>
          </cell>
        </row>
        <row r="771">
          <cell r="A771">
            <v>40617</v>
          </cell>
          <cell r="AF771">
            <v>17.027006426346709</v>
          </cell>
          <cell r="AG771">
            <v>20.469360058004284</v>
          </cell>
          <cell r="AH771">
            <v>17.881583490985356</v>
          </cell>
          <cell r="AI771">
            <v>15.547864889645153</v>
          </cell>
          <cell r="AJ771">
            <v>20.215302092325562</v>
          </cell>
          <cell r="AU771">
            <v>10.564634757418069</v>
          </cell>
          <cell r="AV771">
            <v>14.263722316306255</v>
          </cell>
          <cell r="AW771">
            <v>12.105561258724364</v>
          </cell>
          <cell r="AX771">
            <v>10.242049449424412</v>
          </cell>
          <cell r="AY771">
            <v>13.969073068024317</v>
          </cell>
        </row>
        <row r="772">
          <cell r="A772">
            <v>40618</v>
          </cell>
          <cell r="AF772">
            <v>16.744995359920487</v>
          </cell>
          <cell r="AG772">
            <v>20.469360058004284</v>
          </cell>
          <cell r="AH772">
            <v>17.881583490985356</v>
          </cell>
          <cell r="AI772">
            <v>15.547864889645153</v>
          </cell>
          <cell r="AJ772">
            <v>20.215302092325562</v>
          </cell>
          <cell r="AU772">
            <v>10.427660504813474</v>
          </cell>
          <cell r="AV772">
            <v>14.263722316306255</v>
          </cell>
          <cell r="AW772">
            <v>12.105561258724364</v>
          </cell>
          <cell r="AX772">
            <v>10.242049449424412</v>
          </cell>
          <cell r="AY772">
            <v>13.969073068024317</v>
          </cell>
        </row>
        <row r="773">
          <cell r="A773">
            <v>40619</v>
          </cell>
          <cell r="AF773">
            <v>16.774428936976026</v>
          </cell>
          <cell r="AG773">
            <v>20.469360058004284</v>
          </cell>
          <cell r="AH773">
            <v>17.881583490985356</v>
          </cell>
          <cell r="AI773">
            <v>15.547864889645153</v>
          </cell>
          <cell r="AJ773">
            <v>20.215302092325562</v>
          </cell>
          <cell r="AU773">
            <v>10.452068449496796</v>
          </cell>
          <cell r="AV773">
            <v>14.263722316306255</v>
          </cell>
          <cell r="AW773">
            <v>12.105561258724364</v>
          </cell>
          <cell r="AX773">
            <v>10.242049449424412</v>
          </cell>
          <cell r="AY773">
            <v>13.969073068024317</v>
          </cell>
        </row>
        <row r="774">
          <cell r="A774">
            <v>40620</v>
          </cell>
          <cell r="AF774">
            <v>16.879898845229604</v>
          </cell>
          <cell r="AG774">
            <v>20.469360058004284</v>
          </cell>
          <cell r="AH774">
            <v>17.881583490985356</v>
          </cell>
          <cell r="AI774">
            <v>15.547864889645153</v>
          </cell>
          <cell r="AJ774">
            <v>20.215302092325562</v>
          </cell>
          <cell r="AU774">
            <v>10.516000899404714</v>
          </cell>
          <cell r="AV774">
            <v>14.263722316306255</v>
          </cell>
          <cell r="AW774">
            <v>12.105561258724364</v>
          </cell>
          <cell r="AX774">
            <v>10.242049449424412</v>
          </cell>
          <cell r="AY774">
            <v>13.969073068024317</v>
          </cell>
        </row>
        <row r="775">
          <cell r="A775">
            <v>40623</v>
          </cell>
          <cell r="AF775">
            <v>17.129192140130517</v>
          </cell>
          <cell r="AG775">
            <v>20.469360058004284</v>
          </cell>
          <cell r="AH775">
            <v>17.881583490985356</v>
          </cell>
          <cell r="AI775">
            <v>15.547864889645153</v>
          </cell>
          <cell r="AJ775">
            <v>20.215302092325562</v>
          </cell>
          <cell r="AU775">
            <v>10.667114438351893</v>
          </cell>
          <cell r="AV775">
            <v>14.263722316306255</v>
          </cell>
          <cell r="AW775">
            <v>12.105561258724364</v>
          </cell>
          <cell r="AX775">
            <v>10.242049449424412</v>
          </cell>
          <cell r="AY775">
            <v>13.969073068024317</v>
          </cell>
        </row>
        <row r="776">
          <cell r="A776">
            <v>40624</v>
          </cell>
          <cell r="AF776">
            <v>17.144521730966673</v>
          </cell>
          <cell r="AG776">
            <v>20.469360058004284</v>
          </cell>
          <cell r="AH776">
            <v>17.881583490985356</v>
          </cell>
          <cell r="AI776">
            <v>15.547864889645153</v>
          </cell>
          <cell r="AJ776">
            <v>20.215302092325562</v>
          </cell>
          <cell r="AU776">
            <v>10.680878918550876</v>
          </cell>
          <cell r="AV776">
            <v>14.263722316306255</v>
          </cell>
          <cell r="AW776">
            <v>12.105561258724364</v>
          </cell>
          <cell r="AX776">
            <v>10.242049449424412</v>
          </cell>
          <cell r="AY776">
            <v>13.969073068024317</v>
          </cell>
        </row>
        <row r="777">
          <cell r="A777">
            <v>40625</v>
          </cell>
          <cell r="AF777">
            <v>17.13007863325225</v>
          </cell>
          <cell r="AG777">
            <v>20.469360058004284</v>
          </cell>
          <cell r="AH777">
            <v>17.881583490985356</v>
          </cell>
          <cell r="AI777">
            <v>15.547864889645153</v>
          </cell>
          <cell r="AJ777">
            <v>20.215302092325562</v>
          </cell>
          <cell r="AU777">
            <v>10.672121306286144</v>
          </cell>
          <cell r="AV777">
            <v>14.263722316306255</v>
          </cell>
          <cell r="AW777">
            <v>12.105561258724364</v>
          </cell>
          <cell r="AX777">
            <v>10.242049449424412</v>
          </cell>
          <cell r="AY777">
            <v>13.969073068024317</v>
          </cell>
        </row>
        <row r="778">
          <cell r="A778">
            <v>40626</v>
          </cell>
          <cell r="AF778">
            <v>17.394879029006319</v>
          </cell>
          <cell r="AG778">
            <v>20.469360058004284</v>
          </cell>
          <cell r="AH778">
            <v>17.881583490985356</v>
          </cell>
          <cell r="AI778">
            <v>15.547864889645153</v>
          </cell>
          <cell r="AJ778">
            <v>20.215302092325562</v>
          </cell>
          <cell r="AU778">
            <v>10.832683758982617</v>
          </cell>
          <cell r="AV778">
            <v>14.263722316306255</v>
          </cell>
          <cell r="AW778">
            <v>12.105561258724364</v>
          </cell>
          <cell r="AX778">
            <v>10.242049449424412</v>
          </cell>
          <cell r="AY778">
            <v>13.969073068024317</v>
          </cell>
        </row>
        <row r="779">
          <cell r="A779">
            <v>40627</v>
          </cell>
          <cell r="AF779">
            <v>17.39969836992173</v>
          </cell>
          <cell r="AG779">
            <v>20.469360058004284</v>
          </cell>
          <cell r="AH779">
            <v>17.881583490985356</v>
          </cell>
          <cell r="AI779">
            <v>15.547864889645153</v>
          </cell>
          <cell r="AJ779">
            <v>20.215302092325562</v>
          </cell>
          <cell r="AU779">
            <v>10.835605979682306</v>
          </cell>
          <cell r="AV779">
            <v>14.263722316306255</v>
          </cell>
          <cell r="AW779">
            <v>12.105561258724364</v>
          </cell>
          <cell r="AX779">
            <v>10.242049449424412</v>
          </cell>
          <cell r="AY779">
            <v>13.969073068024317</v>
          </cell>
        </row>
        <row r="780">
          <cell r="A780">
            <v>40630</v>
          </cell>
          <cell r="AF780">
            <v>17.272157269868476</v>
          </cell>
          <cell r="AG780">
            <v>20.469360058004284</v>
          </cell>
          <cell r="AH780">
            <v>17.881583490985356</v>
          </cell>
          <cell r="AI780">
            <v>15.547864889645153</v>
          </cell>
          <cell r="AJ780">
            <v>20.215302092325562</v>
          </cell>
          <cell r="AU780">
            <v>10.653428636419488</v>
          </cell>
          <cell r="AV780">
            <v>14.263722316306255</v>
          </cell>
          <cell r="AW780">
            <v>12.105561258724364</v>
          </cell>
          <cell r="AX780">
            <v>10.242049449424412</v>
          </cell>
          <cell r="AY780">
            <v>13.969073068024317</v>
          </cell>
        </row>
        <row r="781">
          <cell r="A781">
            <v>40631</v>
          </cell>
          <cell r="AF781">
            <v>17.470134297458308</v>
          </cell>
          <cell r="AG781">
            <v>20.469360058004284</v>
          </cell>
          <cell r="AH781">
            <v>17.881583490985356</v>
          </cell>
          <cell r="AI781">
            <v>15.547864889645153</v>
          </cell>
          <cell r="AJ781">
            <v>20.215302092325562</v>
          </cell>
          <cell r="AU781">
            <v>10.772268677339103</v>
          </cell>
          <cell r="AV781">
            <v>14.263722316306255</v>
          </cell>
          <cell r="AW781">
            <v>12.105561258724364</v>
          </cell>
          <cell r="AX781">
            <v>10.242049449424412</v>
          </cell>
          <cell r="AY781">
            <v>13.969073068024317</v>
          </cell>
        </row>
        <row r="782">
          <cell r="A782">
            <v>40632</v>
          </cell>
          <cell r="AF782">
            <v>17.614995925807442</v>
          </cell>
          <cell r="AG782">
            <v>20.469360058004284</v>
          </cell>
          <cell r="AH782">
            <v>17.881583490985356</v>
          </cell>
          <cell r="AI782">
            <v>15.547864889645153</v>
          </cell>
          <cell r="AJ782">
            <v>20.215302092325562</v>
          </cell>
          <cell r="AU782">
            <v>10.859225038136481</v>
          </cell>
          <cell r="AV782">
            <v>14.263722316306255</v>
          </cell>
          <cell r="AW782">
            <v>12.105561258724364</v>
          </cell>
          <cell r="AX782">
            <v>10.242049449424412</v>
          </cell>
          <cell r="AY782">
            <v>13.969073068024317</v>
          </cell>
        </row>
        <row r="783">
          <cell r="A783">
            <v>40633</v>
          </cell>
          <cell r="AF783">
            <v>17.861255817041592</v>
          </cell>
          <cell r="AG783">
            <v>20.469360058004284</v>
          </cell>
          <cell r="AH783">
            <v>17.881583490985356</v>
          </cell>
          <cell r="AI783">
            <v>15.547864889645153</v>
          </cell>
          <cell r="AJ783">
            <v>20.215302092325562</v>
          </cell>
          <cell r="AU783">
            <v>11.133299769083093</v>
          </cell>
          <cell r="AV783">
            <v>14.263722316306255</v>
          </cell>
          <cell r="AW783">
            <v>12.105561258724364</v>
          </cell>
          <cell r="AX783">
            <v>10.242049449424412</v>
          </cell>
          <cell r="AY783">
            <v>13.969073068024317</v>
          </cell>
        </row>
        <row r="784">
          <cell r="A784">
            <v>40634</v>
          </cell>
          <cell r="AF784">
            <v>17.754570719112465</v>
          </cell>
          <cell r="AG784">
            <v>20.469360058004284</v>
          </cell>
          <cell r="AH784">
            <v>17.881583490985356</v>
          </cell>
          <cell r="AI784">
            <v>15.547864889645153</v>
          </cell>
          <cell r="AJ784">
            <v>20.215302092325562</v>
          </cell>
          <cell r="AU784">
            <v>11.060667834377012</v>
          </cell>
          <cell r="AV784">
            <v>14.263722316306255</v>
          </cell>
          <cell r="AW784">
            <v>12.105561258724364</v>
          </cell>
          <cell r="AX784">
            <v>10.242049449424412</v>
          </cell>
          <cell r="AY784">
            <v>13.969073068024317</v>
          </cell>
        </row>
        <row r="785">
          <cell r="A785">
            <v>40637</v>
          </cell>
          <cell r="AF785">
            <v>17.792970327446252</v>
          </cell>
          <cell r="AG785">
            <v>20.469360058004284</v>
          </cell>
          <cell r="AH785">
            <v>17.881583490985356</v>
          </cell>
          <cell r="AI785">
            <v>15.547864889645153</v>
          </cell>
          <cell r="AJ785">
            <v>20.215302092325562</v>
          </cell>
          <cell r="AU785">
            <v>11.08396950693675</v>
          </cell>
          <cell r="AV785">
            <v>14.263722316306255</v>
          </cell>
          <cell r="AW785">
            <v>12.105561258724364</v>
          </cell>
          <cell r="AX785">
            <v>10.242049449424412</v>
          </cell>
          <cell r="AY785">
            <v>13.969073068024317</v>
          </cell>
        </row>
        <row r="786">
          <cell r="A786">
            <v>40638</v>
          </cell>
          <cell r="AF786">
            <v>17.746402640371759</v>
          </cell>
          <cell r="AG786">
            <v>20.469360058004284</v>
          </cell>
          <cell r="AH786">
            <v>17.881583490985356</v>
          </cell>
          <cell r="AI786">
            <v>15.547864889645153</v>
          </cell>
          <cell r="AJ786">
            <v>20.215302092325562</v>
          </cell>
          <cell r="AU786">
            <v>11.019890926820162</v>
          </cell>
          <cell r="AV786">
            <v>14.263722316306255</v>
          </cell>
          <cell r="AW786">
            <v>12.105561258724364</v>
          </cell>
          <cell r="AX786">
            <v>10.242049449424412</v>
          </cell>
          <cell r="AY786">
            <v>13.969073068024317</v>
          </cell>
        </row>
        <row r="787">
          <cell r="A787">
            <v>40639</v>
          </cell>
          <cell r="AF787">
            <v>17.74784239069751</v>
          </cell>
          <cell r="AG787">
            <v>20.469360058004284</v>
          </cell>
          <cell r="AH787">
            <v>17.881583490985356</v>
          </cell>
          <cell r="AI787">
            <v>15.547864889645153</v>
          </cell>
          <cell r="AJ787">
            <v>20.215302092325562</v>
          </cell>
          <cell r="AU787">
            <v>11.057756654441079</v>
          </cell>
          <cell r="AV787">
            <v>14.263722316306255</v>
          </cell>
          <cell r="AW787">
            <v>12.105561258724364</v>
          </cell>
          <cell r="AX787">
            <v>10.242049449424412</v>
          </cell>
          <cell r="AY787">
            <v>13.969073068024317</v>
          </cell>
        </row>
        <row r="788">
          <cell r="A788">
            <v>40640</v>
          </cell>
          <cell r="AF788">
            <v>17.647054024222275</v>
          </cell>
          <cell r="AG788">
            <v>20.469360058004284</v>
          </cell>
          <cell r="AH788">
            <v>17.881583490985356</v>
          </cell>
          <cell r="AI788">
            <v>15.547864889645153</v>
          </cell>
          <cell r="AJ788">
            <v>20.215302092325562</v>
          </cell>
          <cell r="AU788">
            <v>10.996589545524047</v>
          </cell>
          <cell r="AV788">
            <v>14.263722316306255</v>
          </cell>
          <cell r="AW788">
            <v>12.105561258724364</v>
          </cell>
          <cell r="AX788">
            <v>10.242049449424412</v>
          </cell>
          <cell r="AY788">
            <v>13.969073068024317</v>
          </cell>
        </row>
        <row r="789">
          <cell r="A789">
            <v>40641</v>
          </cell>
          <cell r="AF789">
            <v>17.540734990147403</v>
          </cell>
          <cell r="AG789">
            <v>20.469360058004284</v>
          </cell>
          <cell r="AH789">
            <v>17.881583490985356</v>
          </cell>
          <cell r="AI789">
            <v>15.547864889645153</v>
          </cell>
          <cell r="AJ789">
            <v>20.215302092325562</v>
          </cell>
          <cell r="AU789">
            <v>10.915036021673972</v>
          </cell>
          <cell r="AV789">
            <v>14.263722316306255</v>
          </cell>
          <cell r="AW789">
            <v>12.105561258724364</v>
          </cell>
          <cell r="AX789">
            <v>10.242049449424412</v>
          </cell>
          <cell r="AY789">
            <v>13.969073068024317</v>
          </cell>
        </row>
        <row r="790">
          <cell r="A790">
            <v>40644</v>
          </cell>
          <cell r="AF790">
            <v>17.593611979043242</v>
          </cell>
          <cell r="AG790">
            <v>20.469360058004284</v>
          </cell>
          <cell r="AH790">
            <v>17.881583490985356</v>
          </cell>
          <cell r="AI790">
            <v>15.547864889645153</v>
          </cell>
          <cell r="AJ790">
            <v>20.215302092325562</v>
          </cell>
          <cell r="AU790">
            <v>10.947075020468642</v>
          </cell>
          <cell r="AV790">
            <v>14.263722316306255</v>
          </cell>
          <cell r="AW790">
            <v>12.105561258724364</v>
          </cell>
          <cell r="AX790">
            <v>10.242049449424412</v>
          </cell>
          <cell r="AY790">
            <v>13.969073068024317</v>
          </cell>
        </row>
        <row r="791">
          <cell r="A791">
            <v>40645</v>
          </cell>
          <cell r="AF791">
            <v>17.362878430997263</v>
          </cell>
          <cell r="AG791">
            <v>20.469360058004284</v>
          </cell>
          <cell r="AH791">
            <v>17.881583490985356</v>
          </cell>
          <cell r="AI791">
            <v>15.547864889645153</v>
          </cell>
          <cell r="AJ791">
            <v>20.215302092325562</v>
          </cell>
          <cell r="AU791">
            <v>10.807269936591849</v>
          </cell>
          <cell r="AV791">
            <v>14.263722316306255</v>
          </cell>
          <cell r="AW791">
            <v>12.105561258724364</v>
          </cell>
          <cell r="AX791">
            <v>10.242049449424412</v>
          </cell>
          <cell r="AY791">
            <v>13.969073068024317</v>
          </cell>
        </row>
        <row r="792">
          <cell r="A792">
            <v>40646</v>
          </cell>
          <cell r="AF792">
            <v>17.298455890138481</v>
          </cell>
          <cell r="AG792">
            <v>20.469360058004284</v>
          </cell>
          <cell r="AH792">
            <v>17.881583490985356</v>
          </cell>
          <cell r="AI792">
            <v>15.547864889645153</v>
          </cell>
          <cell r="AJ792">
            <v>20.215302092325562</v>
          </cell>
          <cell r="AU792">
            <v>10.80505279229626</v>
          </cell>
          <cell r="AV792">
            <v>14.263722316306255</v>
          </cell>
          <cell r="AW792">
            <v>12.105561258724364</v>
          </cell>
          <cell r="AX792">
            <v>10.242049449424412</v>
          </cell>
          <cell r="AY792">
            <v>13.969073068024317</v>
          </cell>
        </row>
        <row r="793">
          <cell r="A793">
            <v>40647</v>
          </cell>
          <cell r="AF793">
            <v>17.293639749402654</v>
          </cell>
          <cell r="AG793">
            <v>20.469360058004284</v>
          </cell>
          <cell r="AH793">
            <v>17.881583490985356</v>
          </cell>
          <cell r="AI793">
            <v>15.547864889645153</v>
          </cell>
          <cell r="AJ793">
            <v>20.215302092325562</v>
          </cell>
          <cell r="AU793">
            <v>10.802124717493056</v>
          </cell>
          <cell r="AV793">
            <v>14.263722316306255</v>
          </cell>
          <cell r="AW793">
            <v>12.105561258724364</v>
          </cell>
          <cell r="AX793">
            <v>10.242049449424412</v>
          </cell>
          <cell r="AY793">
            <v>13.969073068024317</v>
          </cell>
        </row>
        <row r="794">
          <cell r="A794">
            <v>40648</v>
          </cell>
          <cell r="AF794">
            <v>17.385065103792478</v>
          </cell>
          <cell r="AG794">
            <v>20.469360058004284</v>
          </cell>
          <cell r="AH794">
            <v>17.881583490985356</v>
          </cell>
          <cell r="AI794">
            <v>15.547864889645153</v>
          </cell>
          <cell r="AJ794">
            <v>20.215302092325562</v>
          </cell>
          <cell r="AU794">
            <v>10.857708698785681</v>
          </cell>
          <cell r="AV794">
            <v>14.263722316306255</v>
          </cell>
          <cell r="AW794">
            <v>12.105561258724364</v>
          </cell>
          <cell r="AX794">
            <v>10.242049449424412</v>
          </cell>
          <cell r="AY794">
            <v>13.969073068024317</v>
          </cell>
        </row>
        <row r="795">
          <cell r="A795">
            <v>40651</v>
          </cell>
          <cell r="AF795">
            <v>16.841335373542499</v>
          </cell>
          <cell r="AG795">
            <v>20.469360058004284</v>
          </cell>
          <cell r="AH795">
            <v>17.881583490985356</v>
          </cell>
          <cell r="AI795">
            <v>15.547864889645153</v>
          </cell>
          <cell r="AJ795">
            <v>20.215302092325562</v>
          </cell>
          <cell r="AU795">
            <v>10.527136688907609</v>
          </cell>
          <cell r="AV795">
            <v>14.263722316306255</v>
          </cell>
          <cell r="AW795">
            <v>12.105561258724364</v>
          </cell>
          <cell r="AX795">
            <v>10.242049449424412</v>
          </cell>
          <cell r="AY795">
            <v>13.969073068024317</v>
          </cell>
        </row>
        <row r="796">
          <cell r="A796">
            <v>40652</v>
          </cell>
          <cell r="AF796">
            <v>16.88944914398067</v>
          </cell>
          <cell r="AG796">
            <v>20.469360058004284</v>
          </cell>
          <cell r="AH796">
            <v>17.881583490985356</v>
          </cell>
          <cell r="AI796">
            <v>15.547864889645153</v>
          </cell>
          <cell r="AJ796">
            <v>20.215302092325562</v>
          </cell>
          <cell r="AU796">
            <v>10.556388475064763</v>
          </cell>
          <cell r="AV796">
            <v>14.263722316306255</v>
          </cell>
          <cell r="AW796">
            <v>12.105561258724364</v>
          </cell>
          <cell r="AX796">
            <v>10.242049449424412</v>
          </cell>
          <cell r="AY796">
            <v>13.969073068024317</v>
          </cell>
        </row>
        <row r="797">
          <cell r="A797">
            <v>40653</v>
          </cell>
          <cell r="AF797">
            <v>17.269586473041151</v>
          </cell>
          <cell r="AG797">
            <v>20.469360058004284</v>
          </cell>
          <cell r="AH797">
            <v>17.881583490985356</v>
          </cell>
          <cell r="AI797">
            <v>15.547864889645153</v>
          </cell>
          <cell r="AJ797">
            <v>20.215302092325562</v>
          </cell>
          <cell r="AU797">
            <v>10.787501018495909</v>
          </cell>
          <cell r="AV797">
            <v>14.263722316306255</v>
          </cell>
          <cell r="AW797">
            <v>12.105561258724364</v>
          </cell>
          <cell r="AX797">
            <v>10.242049449424412</v>
          </cell>
          <cell r="AY797">
            <v>13.969073068024317</v>
          </cell>
        </row>
        <row r="798">
          <cell r="A798">
            <v>40654</v>
          </cell>
          <cell r="AF798">
            <v>17.341760737555983</v>
          </cell>
          <cell r="AG798">
            <v>20.469360058004284</v>
          </cell>
          <cell r="AH798">
            <v>17.881583490985356</v>
          </cell>
          <cell r="AI798">
            <v>15.547864889645153</v>
          </cell>
          <cell r="AJ798">
            <v>20.215302092325562</v>
          </cell>
          <cell r="AU798">
            <v>10.831380891813065</v>
          </cell>
          <cell r="AV798">
            <v>14.263722316306255</v>
          </cell>
          <cell r="AW798">
            <v>12.105561258724364</v>
          </cell>
          <cell r="AX798">
            <v>10.242049449424412</v>
          </cell>
          <cell r="AY798">
            <v>13.969073068024317</v>
          </cell>
        </row>
        <row r="799">
          <cell r="A799">
            <v>40655</v>
          </cell>
          <cell r="AF799">
            <v>17.341760737555983</v>
          </cell>
          <cell r="AG799">
            <v>20.469360058004284</v>
          </cell>
          <cell r="AH799">
            <v>17.881583490985356</v>
          </cell>
          <cell r="AI799">
            <v>15.547864889645153</v>
          </cell>
          <cell r="AJ799">
            <v>20.215302092325562</v>
          </cell>
          <cell r="AU799">
            <v>10.831380891813065</v>
          </cell>
          <cell r="AV799">
            <v>14.263722316306255</v>
          </cell>
          <cell r="AW799">
            <v>12.105561258724364</v>
          </cell>
          <cell r="AX799">
            <v>10.242049449424412</v>
          </cell>
          <cell r="AY799">
            <v>13.969073068024317</v>
          </cell>
        </row>
        <row r="800">
          <cell r="A800">
            <v>40658</v>
          </cell>
          <cell r="AF800">
            <v>17.409125597869146</v>
          </cell>
          <cell r="AG800">
            <v>20.469360058004284</v>
          </cell>
          <cell r="AH800">
            <v>17.881583490985356</v>
          </cell>
          <cell r="AI800">
            <v>15.547864889645153</v>
          </cell>
          <cell r="AJ800">
            <v>20.215302092325562</v>
          </cell>
          <cell r="AU800">
            <v>10.852450109529189</v>
          </cell>
          <cell r="AV800">
            <v>14.263722316306255</v>
          </cell>
          <cell r="AW800">
            <v>12.105561258724364</v>
          </cell>
          <cell r="AX800">
            <v>10.242049449424412</v>
          </cell>
          <cell r="AY800">
            <v>13.969073068024317</v>
          </cell>
        </row>
        <row r="801">
          <cell r="A801">
            <v>40659</v>
          </cell>
          <cell r="AF801">
            <v>17.53236455764663</v>
          </cell>
          <cell r="AG801">
            <v>20.469360058004284</v>
          </cell>
          <cell r="AH801">
            <v>17.881583490985356</v>
          </cell>
          <cell r="AI801">
            <v>15.547864889645153</v>
          </cell>
          <cell r="AJ801">
            <v>20.215302092325562</v>
          </cell>
          <cell r="AU801">
            <v>10.904219478705746</v>
          </cell>
          <cell r="AV801">
            <v>14.263722316306255</v>
          </cell>
          <cell r="AW801">
            <v>12.105561258724364</v>
          </cell>
          <cell r="AX801">
            <v>10.242049449424412</v>
          </cell>
          <cell r="AY801">
            <v>13.969073068024317</v>
          </cell>
        </row>
        <row r="802">
          <cell r="A802">
            <v>40660</v>
          </cell>
          <cell r="AF802">
            <v>17.715204910397649</v>
          </cell>
          <cell r="AG802">
            <v>20.469360058004284</v>
          </cell>
          <cell r="AH802">
            <v>17.881583490985356</v>
          </cell>
          <cell r="AI802">
            <v>15.547864889645153</v>
          </cell>
          <cell r="AJ802">
            <v>20.215302092325562</v>
          </cell>
          <cell r="AU802">
            <v>10.989697409008659</v>
          </cell>
          <cell r="AV802">
            <v>14.263722316306255</v>
          </cell>
          <cell r="AW802">
            <v>12.105561258724364</v>
          </cell>
          <cell r="AX802">
            <v>10.242049449424412</v>
          </cell>
          <cell r="AY802">
            <v>13.969073068024317</v>
          </cell>
        </row>
        <row r="803">
          <cell r="A803">
            <v>40661</v>
          </cell>
          <cell r="AF803">
            <v>18.457351136358177</v>
          </cell>
          <cell r="AG803">
            <v>20.469360058004284</v>
          </cell>
          <cell r="AH803">
            <v>17.881583490985356</v>
          </cell>
          <cell r="AI803">
            <v>15.547864889645153</v>
          </cell>
          <cell r="AJ803">
            <v>20.215302092325562</v>
          </cell>
          <cell r="AU803">
            <v>11.406875502618389</v>
          </cell>
          <cell r="AV803">
            <v>14.263722316306255</v>
          </cell>
          <cell r="AW803">
            <v>12.105561258724364</v>
          </cell>
          <cell r="AX803">
            <v>10.242049449424412</v>
          </cell>
          <cell r="AY803">
            <v>13.969073068024317</v>
          </cell>
        </row>
        <row r="804">
          <cell r="A804">
            <v>40662</v>
          </cell>
          <cell r="AF804">
            <v>18.095914643159574</v>
          </cell>
          <cell r="AG804">
            <v>20.469360058004284</v>
          </cell>
          <cell r="AH804">
            <v>17.881583490985356</v>
          </cell>
          <cell r="AI804">
            <v>15.547864889645153</v>
          </cell>
          <cell r="AJ804">
            <v>20.215302092325562</v>
          </cell>
          <cell r="AU804">
            <v>11.392287907446946</v>
          </cell>
          <cell r="AV804">
            <v>14.263722316306255</v>
          </cell>
          <cell r="AW804">
            <v>12.105561258724364</v>
          </cell>
          <cell r="AX804">
            <v>10.242049449424412</v>
          </cell>
          <cell r="AY804">
            <v>13.969073068024317</v>
          </cell>
        </row>
        <row r="805">
          <cell r="A805">
            <v>40665</v>
          </cell>
          <cell r="AF805">
            <v>18.580691916185923</v>
          </cell>
          <cell r="AG805">
            <v>20.469360058004284</v>
          </cell>
          <cell r="AH805">
            <v>17.881583490985356</v>
          </cell>
          <cell r="AI805">
            <v>15.547864889645153</v>
          </cell>
          <cell r="AJ805">
            <v>20.215302092325562</v>
          </cell>
          <cell r="AU805">
            <v>11.474213113391029</v>
          </cell>
          <cell r="AV805">
            <v>14.263722316306255</v>
          </cell>
          <cell r="AW805">
            <v>12.105561258724364</v>
          </cell>
          <cell r="AX805">
            <v>10.242049449424412</v>
          </cell>
          <cell r="AY805">
            <v>13.969073068024317</v>
          </cell>
        </row>
        <row r="806">
          <cell r="A806">
            <v>40666</v>
          </cell>
          <cell r="AF806">
            <v>18.501548328933609</v>
          </cell>
          <cell r="AG806">
            <v>20.469360058004284</v>
          </cell>
          <cell r="AH806">
            <v>17.881583490985356</v>
          </cell>
          <cell r="AI806">
            <v>15.547864889645153</v>
          </cell>
          <cell r="AJ806">
            <v>20.215302092325562</v>
          </cell>
          <cell r="AU806">
            <v>11.38347241276324</v>
          </cell>
          <cell r="AV806">
            <v>14.263722316306255</v>
          </cell>
          <cell r="AW806">
            <v>12.105561258724364</v>
          </cell>
          <cell r="AX806">
            <v>10.242049449424412</v>
          </cell>
          <cell r="AY806">
            <v>13.969073068024317</v>
          </cell>
        </row>
        <row r="807">
          <cell r="A807">
            <v>40667</v>
          </cell>
          <cell r="AF807">
            <v>18.43295196750659</v>
          </cell>
          <cell r="AG807">
            <v>20.469360058004284</v>
          </cell>
          <cell r="AH807">
            <v>17.881583490985356</v>
          </cell>
          <cell r="AI807">
            <v>15.547864889645153</v>
          </cell>
          <cell r="AJ807">
            <v>20.215302092325562</v>
          </cell>
          <cell r="AU807">
            <v>11.342227733461479</v>
          </cell>
          <cell r="AV807">
            <v>14.263722316306255</v>
          </cell>
          <cell r="AW807">
            <v>12.105561258724364</v>
          </cell>
          <cell r="AX807">
            <v>10.242049449424412</v>
          </cell>
          <cell r="AY807">
            <v>13.969073068024317</v>
          </cell>
        </row>
        <row r="808">
          <cell r="A808">
            <v>40668</v>
          </cell>
          <cell r="AF808">
            <v>18.643638377000418</v>
          </cell>
          <cell r="AG808">
            <v>20.469360058004284</v>
          </cell>
          <cell r="AH808">
            <v>17.881583490985356</v>
          </cell>
          <cell r="AI808">
            <v>15.547864889645153</v>
          </cell>
          <cell r="AJ808">
            <v>20.215302092325562</v>
          </cell>
          <cell r="AU808">
            <v>11.468906367896885</v>
          </cell>
          <cell r="AV808">
            <v>14.263722316306255</v>
          </cell>
          <cell r="AW808">
            <v>12.105561258724364</v>
          </cell>
          <cell r="AX808">
            <v>10.242049449424412</v>
          </cell>
          <cell r="AY808">
            <v>13.969073068024317</v>
          </cell>
        </row>
        <row r="809">
          <cell r="A809">
            <v>40669</v>
          </cell>
          <cell r="AF809">
            <v>18.775934754596697</v>
          </cell>
          <cell r="AG809">
            <v>20.469360058004284</v>
          </cell>
          <cell r="AH809">
            <v>17.881583490985356</v>
          </cell>
          <cell r="AI809">
            <v>15.547864889645153</v>
          </cell>
          <cell r="AJ809">
            <v>20.215302092325562</v>
          </cell>
          <cell r="AU809">
            <v>11.548451719184191</v>
          </cell>
          <cell r="AV809">
            <v>14.263722316306255</v>
          </cell>
          <cell r="AW809">
            <v>12.105561258724364</v>
          </cell>
          <cell r="AX809">
            <v>10.242049449424412</v>
          </cell>
          <cell r="AY809">
            <v>13.969073068024317</v>
          </cell>
        </row>
        <row r="810">
          <cell r="A810">
            <v>40672</v>
          </cell>
          <cell r="AF810">
            <v>18.918024802663506</v>
          </cell>
          <cell r="AG810">
            <v>20.469360058004284</v>
          </cell>
          <cell r="AH810">
            <v>17.881583490985356</v>
          </cell>
          <cell r="AI810">
            <v>15.547864889645153</v>
          </cell>
          <cell r="AJ810">
            <v>20.215302092325562</v>
          </cell>
          <cell r="AU810">
            <v>11.633885674317838</v>
          </cell>
          <cell r="AV810">
            <v>14.263722316306255</v>
          </cell>
          <cell r="AW810">
            <v>12.105561258724364</v>
          </cell>
          <cell r="AX810">
            <v>10.242049449424412</v>
          </cell>
          <cell r="AY810">
            <v>13.969073068024317</v>
          </cell>
        </row>
        <row r="811">
          <cell r="A811">
            <v>40673</v>
          </cell>
          <cell r="AF811">
            <v>18.991525838965948</v>
          </cell>
          <cell r="AG811">
            <v>20.469360058004284</v>
          </cell>
          <cell r="AH811">
            <v>17.881583490985356</v>
          </cell>
          <cell r="AI811">
            <v>15.547864889645153</v>
          </cell>
          <cell r="AJ811">
            <v>20.215302092325562</v>
          </cell>
          <cell r="AU811">
            <v>11.678079369254073</v>
          </cell>
          <cell r="AV811">
            <v>14.263722316306255</v>
          </cell>
          <cell r="AW811">
            <v>12.105561258724364</v>
          </cell>
          <cell r="AX811">
            <v>10.242049449424412</v>
          </cell>
          <cell r="AY811">
            <v>13.969073068024317</v>
          </cell>
        </row>
        <row r="812">
          <cell r="A812">
            <v>40674</v>
          </cell>
          <cell r="AF812">
            <v>18.918024802663506</v>
          </cell>
          <cell r="AG812">
            <v>20.469360058004284</v>
          </cell>
          <cell r="AH812">
            <v>17.881583490985356</v>
          </cell>
          <cell r="AI812">
            <v>15.547864889645153</v>
          </cell>
          <cell r="AJ812">
            <v>20.215302092325562</v>
          </cell>
          <cell r="AU812">
            <v>11.633885674317838</v>
          </cell>
          <cell r="AV812">
            <v>14.263722316306255</v>
          </cell>
          <cell r="AW812">
            <v>12.105561258724364</v>
          </cell>
          <cell r="AX812">
            <v>10.242049449424412</v>
          </cell>
          <cell r="AY812">
            <v>13.969073068024317</v>
          </cell>
        </row>
        <row r="813">
          <cell r="A813">
            <v>40675</v>
          </cell>
          <cell r="AF813">
            <v>19.084622545827113</v>
          </cell>
          <cell r="AG813">
            <v>20.469360058004284</v>
          </cell>
          <cell r="AH813">
            <v>17.881583490985356</v>
          </cell>
          <cell r="AI813">
            <v>15.547864889645153</v>
          </cell>
          <cell r="AJ813">
            <v>20.215302092325562</v>
          </cell>
          <cell r="AU813">
            <v>11.734055280201245</v>
          </cell>
          <cell r="AV813">
            <v>14.263722316306255</v>
          </cell>
          <cell r="AW813">
            <v>12.105561258724364</v>
          </cell>
          <cell r="AX813">
            <v>10.242049449424412</v>
          </cell>
          <cell r="AY813">
            <v>13.969073068024317</v>
          </cell>
        </row>
        <row r="814">
          <cell r="A814">
            <v>40676</v>
          </cell>
          <cell r="AF814">
            <v>18.952326658208342</v>
          </cell>
          <cell r="AG814">
            <v>20.469360058004284</v>
          </cell>
          <cell r="AH814">
            <v>17.881583490985356</v>
          </cell>
          <cell r="AI814">
            <v>15.547864889645153</v>
          </cell>
          <cell r="AJ814">
            <v>20.215302092325562</v>
          </cell>
          <cell r="AU814">
            <v>11.654510223520894</v>
          </cell>
          <cell r="AV814">
            <v>14.263722316306255</v>
          </cell>
          <cell r="AW814">
            <v>12.105561258724364</v>
          </cell>
          <cell r="AX814">
            <v>10.242049449424412</v>
          </cell>
          <cell r="AY814">
            <v>13.969073068024317</v>
          </cell>
        </row>
        <row r="815">
          <cell r="A815">
            <v>40679</v>
          </cell>
          <cell r="AF815">
            <v>19.187513903113825</v>
          </cell>
          <cell r="AG815">
            <v>20.469360058004284</v>
          </cell>
          <cell r="AH815">
            <v>17.881583490985356</v>
          </cell>
          <cell r="AI815">
            <v>15.547864889645153</v>
          </cell>
          <cell r="AJ815">
            <v>20.215302092325562</v>
          </cell>
          <cell r="AU815">
            <v>11.795920384208667</v>
          </cell>
          <cell r="AV815">
            <v>14.263722316306255</v>
          </cell>
          <cell r="AW815">
            <v>12.105561258724364</v>
          </cell>
          <cell r="AX815">
            <v>10.242049449424412</v>
          </cell>
          <cell r="AY815">
            <v>13.969073068024317</v>
          </cell>
        </row>
        <row r="816">
          <cell r="A816">
            <v>40680</v>
          </cell>
          <cell r="AF816">
            <v>19.202212738437282</v>
          </cell>
          <cell r="AG816">
            <v>20.469360058004284</v>
          </cell>
          <cell r="AH816">
            <v>17.881583490985356</v>
          </cell>
          <cell r="AI816">
            <v>15.547864889645153</v>
          </cell>
          <cell r="AJ816">
            <v>20.215302092325562</v>
          </cell>
          <cell r="AU816">
            <v>11.804758298296434</v>
          </cell>
          <cell r="AV816">
            <v>14.263722316306255</v>
          </cell>
          <cell r="AW816">
            <v>12.105561258724364</v>
          </cell>
          <cell r="AX816">
            <v>10.242049449424412</v>
          </cell>
          <cell r="AY816">
            <v>13.969073068024317</v>
          </cell>
        </row>
        <row r="817">
          <cell r="A817">
            <v>40681</v>
          </cell>
          <cell r="AF817">
            <v>19.417803822806533</v>
          </cell>
          <cell r="AG817">
            <v>20.469360058004284</v>
          </cell>
          <cell r="AH817">
            <v>17.881583490985356</v>
          </cell>
          <cell r="AI817">
            <v>15.547864889645153</v>
          </cell>
          <cell r="AJ817">
            <v>20.215302092325562</v>
          </cell>
          <cell r="AU817">
            <v>11.934385948366312</v>
          </cell>
          <cell r="AV817">
            <v>14.263722316306255</v>
          </cell>
          <cell r="AW817">
            <v>12.105561258724364</v>
          </cell>
          <cell r="AX817">
            <v>10.242049449424412</v>
          </cell>
          <cell r="AY817">
            <v>13.969073068024317</v>
          </cell>
        </row>
        <row r="818">
          <cell r="A818">
            <v>40682</v>
          </cell>
          <cell r="AF818">
            <v>19.69876802844216</v>
          </cell>
          <cell r="AG818">
            <v>20.469360058004284</v>
          </cell>
          <cell r="AH818">
            <v>17.881583490985356</v>
          </cell>
          <cell r="AI818">
            <v>15.547864889645153</v>
          </cell>
          <cell r="AJ818">
            <v>20.215302092325562</v>
          </cell>
          <cell r="AU818">
            <v>12.069907210600793</v>
          </cell>
          <cell r="AV818">
            <v>14.263722316306255</v>
          </cell>
          <cell r="AW818">
            <v>12.105561258724364</v>
          </cell>
          <cell r="AX818">
            <v>10.242049449424412</v>
          </cell>
          <cell r="AY818">
            <v>13.969073068024317</v>
          </cell>
        </row>
        <row r="819">
          <cell r="A819">
            <v>40683</v>
          </cell>
          <cell r="AF819">
            <v>19.300764439030512</v>
          </cell>
          <cell r="AG819">
            <v>20.469360058004284</v>
          </cell>
          <cell r="AH819">
            <v>17.881583490985356</v>
          </cell>
          <cell r="AI819">
            <v>15.547864889645153</v>
          </cell>
          <cell r="AJ819">
            <v>20.215302092325562</v>
          </cell>
          <cell r="AU819">
            <v>11.831276165057131</v>
          </cell>
          <cell r="AV819">
            <v>14.263722316306255</v>
          </cell>
          <cell r="AW819">
            <v>12.105561258724364</v>
          </cell>
          <cell r="AX819">
            <v>10.242049449424412</v>
          </cell>
          <cell r="AY819">
            <v>13.969073068024317</v>
          </cell>
        </row>
        <row r="820">
          <cell r="A820">
            <v>40686</v>
          </cell>
          <cell r="AF820">
            <v>19.005943289264067</v>
          </cell>
          <cell r="AG820">
            <v>20.469360058004284</v>
          </cell>
          <cell r="AH820">
            <v>17.881583490985356</v>
          </cell>
          <cell r="AI820">
            <v>15.547864889645153</v>
          </cell>
          <cell r="AJ820">
            <v>20.215302092325562</v>
          </cell>
          <cell r="AU820">
            <v>11.654510223520894</v>
          </cell>
          <cell r="AV820">
            <v>14.263722316306255</v>
          </cell>
          <cell r="AW820">
            <v>12.105561258724364</v>
          </cell>
          <cell r="AX820">
            <v>10.242049449424412</v>
          </cell>
          <cell r="AY820">
            <v>13.969073068024317</v>
          </cell>
        </row>
        <row r="821">
          <cell r="A821">
            <v>40687</v>
          </cell>
          <cell r="AF821">
            <v>18.915364253429878</v>
          </cell>
          <cell r="AG821">
            <v>20.469360058004284</v>
          </cell>
          <cell r="AH821">
            <v>17.881583490985356</v>
          </cell>
          <cell r="AI821">
            <v>15.547864889645153</v>
          </cell>
          <cell r="AJ821">
            <v>20.215302092325562</v>
          </cell>
          <cell r="AU821">
            <v>11.604427630131365</v>
          </cell>
          <cell r="AV821">
            <v>14.263722316306255</v>
          </cell>
          <cell r="AW821">
            <v>12.105561258724364</v>
          </cell>
          <cell r="AX821">
            <v>10.242049449424412</v>
          </cell>
          <cell r="AY821">
            <v>13.969073068024317</v>
          </cell>
        </row>
        <row r="822">
          <cell r="A822">
            <v>40688</v>
          </cell>
          <cell r="AF822">
            <v>18.94483410987824</v>
          </cell>
          <cell r="AG822">
            <v>20.469360058004284</v>
          </cell>
          <cell r="AH822">
            <v>17.881583490985356</v>
          </cell>
          <cell r="AI822">
            <v>15.547864889645153</v>
          </cell>
          <cell r="AJ822">
            <v>20.215302092325562</v>
          </cell>
          <cell r="AU822">
            <v>11.620429528982541</v>
          </cell>
          <cell r="AV822">
            <v>14.263722316306255</v>
          </cell>
          <cell r="AW822">
            <v>12.105561258724364</v>
          </cell>
          <cell r="AX822">
            <v>10.242049449424412</v>
          </cell>
          <cell r="AY822">
            <v>13.969073068024317</v>
          </cell>
        </row>
        <row r="823">
          <cell r="A823">
            <v>40689</v>
          </cell>
          <cell r="AF823">
            <v>19.180598364452283</v>
          </cell>
          <cell r="AG823">
            <v>20.469360058004284</v>
          </cell>
          <cell r="AH823">
            <v>17.881583490985356</v>
          </cell>
          <cell r="AI823">
            <v>15.547864889645153</v>
          </cell>
          <cell r="AJ823">
            <v>20.215302092325562</v>
          </cell>
          <cell r="AU823">
            <v>11.761819027827562</v>
          </cell>
          <cell r="AV823">
            <v>14.263722316306255</v>
          </cell>
          <cell r="AW823">
            <v>12.105561258724364</v>
          </cell>
          <cell r="AX823">
            <v>10.242049449424412</v>
          </cell>
          <cell r="AY823">
            <v>13.969073068024317</v>
          </cell>
        </row>
        <row r="824">
          <cell r="A824">
            <v>40690</v>
          </cell>
          <cell r="AF824">
            <v>19.224810516834534</v>
          </cell>
          <cell r="AG824">
            <v>20.469360058004284</v>
          </cell>
          <cell r="AH824">
            <v>17.881583490985356</v>
          </cell>
          <cell r="AI824">
            <v>15.547864889645153</v>
          </cell>
          <cell r="AJ824">
            <v>20.215302092325562</v>
          </cell>
          <cell r="AU824">
            <v>11.788333369789537</v>
          </cell>
          <cell r="AV824">
            <v>14.263722316306255</v>
          </cell>
          <cell r="AW824">
            <v>12.105561258724364</v>
          </cell>
          <cell r="AX824">
            <v>10.242049449424412</v>
          </cell>
          <cell r="AY824">
            <v>13.969073068024317</v>
          </cell>
        </row>
        <row r="825">
          <cell r="A825">
            <v>40693</v>
          </cell>
          <cell r="AF825">
            <v>19.224810516834534</v>
          </cell>
          <cell r="AG825">
            <v>20.469360058004284</v>
          </cell>
          <cell r="AH825">
            <v>17.881583490985356</v>
          </cell>
          <cell r="AI825">
            <v>15.547864889645153</v>
          </cell>
          <cell r="AJ825">
            <v>20.215302092325562</v>
          </cell>
          <cell r="AU825">
            <v>11.788333369789537</v>
          </cell>
          <cell r="AV825">
            <v>14.263722316306255</v>
          </cell>
          <cell r="AW825">
            <v>12.105561258724364</v>
          </cell>
          <cell r="AX825">
            <v>10.242049449424412</v>
          </cell>
          <cell r="AY825">
            <v>13.969073068024317</v>
          </cell>
        </row>
        <row r="826">
          <cell r="A826">
            <v>40694</v>
          </cell>
          <cell r="AF826">
            <v>19.273924160891482</v>
          </cell>
          <cell r="AG826">
            <v>20.469360058004284</v>
          </cell>
          <cell r="AH826">
            <v>17.881583490985356</v>
          </cell>
          <cell r="AI826">
            <v>15.547864889645153</v>
          </cell>
          <cell r="AJ826">
            <v>20.215302092325562</v>
          </cell>
          <cell r="AU826">
            <v>11.817787171139578</v>
          </cell>
          <cell r="AV826">
            <v>14.263722316306255</v>
          </cell>
          <cell r="AW826">
            <v>12.105561258724364</v>
          </cell>
          <cell r="AX826">
            <v>10.242049449424412</v>
          </cell>
          <cell r="AY826">
            <v>13.969073068024317</v>
          </cell>
        </row>
        <row r="827">
          <cell r="A827">
            <v>40695</v>
          </cell>
          <cell r="AF827">
            <v>18.678585270611006</v>
          </cell>
          <cell r="AG827">
            <v>20.469360058004284</v>
          </cell>
          <cell r="AH827">
            <v>17.881583490985356</v>
          </cell>
          <cell r="AI827">
            <v>15.547864889645153</v>
          </cell>
          <cell r="AJ827">
            <v>20.215302092325562</v>
          </cell>
          <cell r="AU827">
            <v>11.496973947884815</v>
          </cell>
          <cell r="AV827">
            <v>14.263722316306255</v>
          </cell>
          <cell r="AW827">
            <v>12.105561258724364</v>
          </cell>
          <cell r="AX827">
            <v>10.242049449424412</v>
          </cell>
          <cell r="AY827">
            <v>13.969073068024317</v>
          </cell>
        </row>
        <row r="828">
          <cell r="A828">
            <v>40696</v>
          </cell>
          <cell r="AF828">
            <v>18.659136875019755</v>
          </cell>
          <cell r="AG828">
            <v>20.469360058004284</v>
          </cell>
          <cell r="AH828">
            <v>17.881583490985356</v>
          </cell>
          <cell r="AI828">
            <v>15.547864889645153</v>
          </cell>
          <cell r="AJ828">
            <v>20.215302092325562</v>
          </cell>
          <cell r="AU828">
            <v>11.485271119532971</v>
          </cell>
          <cell r="AV828">
            <v>14.263722316306255</v>
          </cell>
          <cell r="AW828">
            <v>12.105561258724364</v>
          </cell>
          <cell r="AX828">
            <v>10.242049449424412</v>
          </cell>
          <cell r="AY828">
            <v>13.969073068024317</v>
          </cell>
        </row>
        <row r="829">
          <cell r="A829">
            <v>40697</v>
          </cell>
          <cell r="AF829">
            <v>18.284687300163153</v>
          </cell>
          <cell r="AG829">
            <v>20.469360058004284</v>
          </cell>
          <cell r="AH829">
            <v>17.881583490985356</v>
          </cell>
          <cell r="AI829">
            <v>15.547864889645153</v>
          </cell>
          <cell r="AJ829">
            <v>20.215302092325562</v>
          </cell>
          <cell r="AU829">
            <v>11.259950779846992</v>
          </cell>
          <cell r="AV829">
            <v>14.263722316306255</v>
          </cell>
          <cell r="AW829">
            <v>12.105561258724364</v>
          </cell>
          <cell r="AX829">
            <v>10.242049449424412</v>
          </cell>
          <cell r="AY829">
            <v>13.969073068024317</v>
          </cell>
        </row>
        <row r="830">
          <cell r="A830">
            <v>40700</v>
          </cell>
          <cell r="AF830">
            <v>18.075584344219045</v>
          </cell>
          <cell r="AG830">
            <v>20.469360058004284</v>
          </cell>
          <cell r="AH830">
            <v>17.881583490985356</v>
          </cell>
          <cell r="AI830">
            <v>15.547864889645153</v>
          </cell>
          <cell r="AJ830">
            <v>20.215302092325562</v>
          </cell>
          <cell r="AU830">
            <v>11.13412569624071</v>
          </cell>
          <cell r="AV830">
            <v>14.263722316306255</v>
          </cell>
          <cell r="AW830">
            <v>12.105561258724364</v>
          </cell>
          <cell r="AX830">
            <v>10.242049449424412</v>
          </cell>
          <cell r="AY830">
            <v>13.969073068024317</v>
          </cell>
        </row>
        <row r="831">
          <cell r="A831">
            <v>40701</v>
          </cell>
          <cell r="AF831">
            <v>18.022091408869535</v>
          </cell>
          <cell r="AG831">
            <v>20.469360058004284</v>
          </cell>
          <cell r="AH831">
            <v>17.881583490985356</v>
          </cell>
          <cell r="AI831">
            <v>15.547864889645153</v>
          </cell>
          <cell r="AJ831">
            <v>20.215302092325562</v>
          </cell>
          <cell r="AU831">
            <v>11.101936992679308</v>
          </cell>
          <cell r="AV831">
            <v>14.263722316306255</v>
          </cell>
          <cell r="AW831">
            <v>12.105561258724364</v>
          </cell>
          <cell r="AX831">
            <v>10.242049449424412</v>
          </cell>
          <cell r="AY831">
            <v>13.969073068024317</v>
          </cell>
        </row>
        <row r="832">
          <cell r="A832">
            <v>40702</v>
          </cell>
          <cell r="AF832">
            <v>18.002635718853412</v>
          </cell>
          <cell r="AG832">
            <v>20.469360058004284</v>
          </cell>
          <cell r="AH832">
            <v>17.881583490985356</v>
          </cell>
          <cell r="AI832">
            <v>15.547864889645153</v>
          </cell>
          <cell r="AJ832">
            <v>20.215302092325562</v>
          </cell>
          <cell r="AU832">
            <v>11.090229774998701</v>
          </cell>
          <cell r="AV832">
            <v>14.263722316306255</v>
          </cell>
          <cell r="AW832">
            <v>12.105561258724364</v>
          </cell>
          <cell r="AX832">
            <v>10.242049449424412</v>
          </cell>
          <cell r="AY832">
            <v>13.969073068024317</v>
          </cell>
        </row>
        <row r="833">
          <cell r="A833">
            <v>40703</v>
          </cell>
          <cell r="AF833">
            <v>18.177701915759119</v>
          </cell>
          <cell r="AG833">
            <v>20.469360058004284</v>
          </cell>
          <cell r="AH833">
            <v>17.881583490985356</v>
          </cell>
          <cell r="AI833">
            <v>15.547864889645153</v>
          </cell>
          <cell r="AJ833">
            <v>20.215302092325562</v>
          </cell>
          <cell r="AU833">
            <v>11.195573665346103</v>
          </cell>
          <cell r="AV833">
            <v>14.263722316306255</v>
          </cell>
          <cell r="AW833">
            <v>12.105561258724364</v>
          </cell>
          <cell r="AX833">
            <v>10.242049449424412</v>
          </cell>
          <cell r="AY833">
            <v>13.969073068024317</v>
          </cell>
        </row>
        <row r="834">
          <cell r="A834">
            <v>40704</v>
          </cell>
          <cell r="AF834">
            <v>17.8566177399757</v>
          </cell>
          <cell r="AG834">
            <v>20.469360058004284</v>
          </cell>
          <cell r="AH834">
            <v>17.881583490985356</v>
          </cell>
          <cell r="AI834">
            <v>15.547864889645153</v>
          </cell>
          <cell r="AJ834">
            <v>20.215302092325562</v>
          </cell>
          <cell r="AU834">
            <v>11.008295930683749</v>
          </cell>
          <cell r="AV834">
            <v>14.263722316306255</v>
          </cell>
          <cell r="AW834">
            <v>12.105561258724364</v>
          </cell>
          <cell r="AX834">
            <v>10.242049449424412</v>
          </cell>
          <cell r="AY834">
            <v>13.969073068024317</v>
          </cell>
        </row>
        <row r="835">
          <cell r="A835">
            <v>40707</v>
          </cell>
          <cell r="AF835">
            <v>17.793431834750908</v>
          </cell>
          <cell r="AG835">
            <v>20.469360058004284</v>
          </cell>
          <cell r="AH835">
            <v>17.881583490985356</v>
          </cell>
          <cell r="AI835">
            <v>15.547864889645153</v>
          </cell>
          <cell r="AJ835">
            <v>20.215302092325562</v>
          </cell>
          <cell r="AU835">
            <v>10.970253618282044</v>
          </cell>
          <cell r="AV835">
            <v>14.263722316306255</v>
          </cell>
          <cell r="AW835">
            <v>12.105561258724364</v>
          </cell>
          <cell r="AX835">
            <v>10.242049449424412</v>
          </cell>
          <cell r="AY835">
            <v>13.969073068024317</v>
          </cell>
        </row>
        <row r="836">
          <cell r="A836">
            <v>40708</v>
          </cell>
          <cell r="AF836">
            <v>17.939241312272177</v>
          </cell>
          <cell r="AG836">
            <v>20.469360058004284</v>
          </cell>
          <cell r="AH836">
            <v>17.881583490985356</v>
          </cell>
          <cell r="AI836">
            <v>15.547864889645153</v>
          </cell>
          <cell r="AJ836">
            <v>20.215302092325562</v>
          </cell>
          <cell r="AU836">
            <v>11.058041071437298</v>
          </cell>
          <cell r="AV836">
            <v>14.263722316306255</v>
          </cell>
          <cell r="AW836">
            <v>12.105561258724364</v>
          </cell>
          <cell r="AX836">
            <v>10.242049449424412</v>
          </cell>
          <cell r="AY836">
            <v>13.969073068024317</v>
          </cell>
        </row>
        <row r="837">
          <cell r="A837">
            <v>40709</v>
          </cell>
          <cell r="AF837">
            <v>17.554001788943552</v>
          </cell>
          <cell r="AG837">
            <v>20.469360058004284</v>
          </cell>
          <cell r="AH837">
            <v>17.881583490985356</v>
          </cell>
          <cell r="AI837">
            <v>15.547864889645153</v>
          </cell>
          <cell r="AJ837">
            <v>20.215302092325562</v>
          </cell>
          <cell r="AU837">
            <v>10.823942659466203</v>
          </cell>
          <cell r="AV837">
            <v>14.263722316306255</v>
          </cell>
          <cell r="AW837">
            <v>12.105561258724364</v>
          </cell>
          <cell r="AX837">
            <v>10.242049449424412</v>
          </cell>
          <cell r="AY837">
            <v>13.969073068024317</v>
          </cell>
        </row>
        <row r="838">
          <cell r="A838">
            <v>40710</v>
          </cell>
          <cell r="AF838">
            <v>17.573450716549672</v>
          </cell>
          <cell r="AG838">
            <v>20.469360058004284</v>
          </cell>
          <cell r="AH838">
            <v>17.881583490985356</v>
          </cell>
          <cell r="AI838">
            <v>15.547864889645153</v>
          </cell>
          <cell r="AJ838">
            <v>20.215302092325562</v>
          </cell>
          <cell r="AU838">
            <v>10.83564987714681</v>
          </cell>
          <cell r="AV838">
            <v>14.263722316306255</v>
          </cell>
          <cell r="AW838">
            <v>12.105561258724364</v>
          </cell>
          <cell r="AX838">
            <v>10.242049449424412</v>
          </cell>
          <cell r="AY838">
            <v>13.969073068024317</v>
          </cell>
        </row>
        <row r="839">
          <cell r="A839">
            <v>40711</v>
          </cell>
          <cell r="AF839">
            <v>17.67729983949652</v>
          </cell>
          <cell r="AG839">
            <v>20.469360058004284</v>
          </cell>
          <cell r="AH839">
            <v>17.881583490985356</v>
          </cell>
          <cell r="AI839">
            <v>15.547864889645153</v>
          </cell>
          <cell r="AJ839">
            <v>20.215302092325562</v>
          </cell>
          <cell r="AU839">
            <v>10.902508769415</v>
          </cell>
          <cell r="AV839">
            <v>14.263722316306255</v>
          </cell>
          <cell r="AW839">
            <v>12.105561258724364</v>
          </cell>
          <cell r="AX839">
            <v>10.242049449424412</v>
          </cell>
          <cell r="AY839">
            <v>13.969073068024317</v>
          </cell>
        </row>
        <row r="840">
          <cell r="A840">
            <v>40714</v>
          </cell>
          <cell r="AF840">
            <v>17.789333703538627</v>
          </cell>
          <cell r="AG840">
            <v>20.469360058004284</v>
          </cell>
          <cell r="AH840">
            <v>17.881583490985356</v>
          </cell>
          <cell r="AI840">
            <v>15.547864889645153</v>
          </cell>
          <cell r="AJ840">
            <v>20.215302092325562</v>
          </cell>
          <cell r="AU840">
            <v>10.969970852315443</v>
          </cell>
          <cell r="AV840">
            <v>14.263722316306255</v>
          </cell>
          <cell r="AW840">
            <v>12.105561258724364</v>
          </cell>
          <cell r="AX840">
            <v>10.242049449424412</v>
          </cell>
          <cell r="AY840">
            <v>13.969073068024317</v>
          </cell>
        </row>
        <row r="841">
          <cell r="A841">
            <v>40715</v>
          </cell>
          <cell r="AF841">
            <v>18.320284083851497</v>
          </cell>
          <cell r="AG841">
            <v>20.469360058004284</v>
          </cell>
          <cell r="AH841">
            <v>17.881583490985356</v>
          </cell>
          <cell r="AI841">
            <v>15.547864889645153</v>
          </cell>
          <cell r="AJ841">
            <v>20.215302092325562</v>
          </cell>
          <cell r="AU841">
            <v>11.289686849607358</v>
          </cell>
          <cell r="AV841">
            <v>14.263722316306255</v>
          </cell>
          <cell r="AW841">
            <v>12.105561258724364</v>
          </cell>
          <cell r="AX841">
            <v>10.242049449424412</v>
          </cell>
          <cell r="AY841">
            <v>13.969073068024317</v>
          </cell>
        </row>
        <row r="842">
          <cell r="A842">
            <v>40716</v>
          </cell>
          <cell r="AF842">
            <v>18.624540947752124</v>
          </cell>
          <cell r="AG842">
            <v>20.469360058004284</v>
          </cell>
          <cell r="AH842">
            <v>17.881583490985356</v>
          </cell>
          <cell r="AI842">
            <v>15.547864889645153</v>
          </cell>
          <cell r="AJ842">
            <v>20.215302092325562</v>
          </cell>
          <cell r="AU842">
            <v>11.49794504146241</v>
          </cell>
          <cell r="AV842">
            <v>14.263722316306255</v>
          </cell>
          <cell r="AW842">
            <v>12.105561258724364</v>
          </cell>
          <cell r="AX842">
            <v>10.242049449424412</v>
          </cell>
          <cell r="AY842">
            <v>13.969073068024317</v>
          </cell>
        </row>
        <row r="843">
          <cell r="A843">
            <v>40717</v>
          </cell>
          <cell r="AF843">
            <v>18.409204605224712</v>
          </cell>
          <cell r="AG843">
            <v>20.469360058004284</v>
          </cell>
          <cell r="AH843">
            <v>17.881583490985356</v>
          </cell>
          <cell r="AI843">
            <v>15.547864889645153</v>
          </cell>
          <cell r="AJ843">
            <v>20.215302092325562</v>
          </cell>
          <cell r="AU843">
            <v>11.33929869709327</v>
          </cell>
          <cell r="AV843">
            <v>14.263722316306255</v>
          </cell>
          <cell r="AW843">
            <v>12.105561258724364</v>
          </cell>
          <cell r="AX843">
            <v>10.242049449424412</v>
          </cell>
          <cell r="AY843">
            <v>13.969073068024317</v>
          </cell>
        </row>
        <row r="844">
          <cell r="A844">
            <v>40718</v>
          </cell>
          <cell r="AF844">
            <v>18.209533828141744</v>
          </cell>
          <cell r="AG844">
            <v>20.469360058004284</v>
          </cell>
          <cell r="AH844">
            <v>17.881583490985356</v>
          </cell>
          <cell r="AI844">
            <v>15.547864889645153</v>
          </cell>
          <cell r="AJ844">
            <v>20.215302092325562</v>
          </cell>
          <cell r="AU844">
            <v>11.219106491572774</v>
          </cell>
          <cell r="AV844">
            <v>14.263722316306255</v>
          </cell>
          <cell r="AW844">
            <v>12.105561258724364</v>
          </cell>
          <cell r="AX844">
            <v>10.242049449424412</v>
          </cell>
          <cell r="AY844">
            <v>13.969073068024317</v>
          </cell>
        </row>
        <row r="845">
          <cell r="A845">
            <v>40721</v>
          </cell>
          <cell r="AF845">
            <v>18.121867025110554</v>
          </cell>
          <cell r="AG845">
            <v>20.469360058004284</v>
          </cell>
          <cell r="AH845">
            <v>17.881583490985356</v>
          </cell>
          <cell r="AI845">
            <v>15.547864889645153</v>
          </cell>
          <cell r="AJ845">
            <v>20.215302092325562</v>
          </cell>
          <cell r="AU845">
            <v>11.166335292095388</v>
          </cell>
          <cell r="AV845">
            <v>14.263722316306255</v>
          </cell>
          <cell r="AW845">
            <v>12.105561258724364</v>
          </cell>
          <cell r="AX845">
            <v>10.242049449424412</v>
          </cell>
          <cell r="AY845">
            <v>13.969073068024317</v>
          </cell>
        </row>
        <row r="846">
          <cell r="A846">
            <v>40722</v>
          </cell>
          <cell r="AF846">
            <v>18.24848830187209</v>
          </cell>
          <cell r="AG846">
            <v>20.469360058004284</v>
          </cell>
          <cell r="AH846">
            <v>17.881583490985356</v>
          </cell>
          <cell r="AI846">
            <v>15.547864889645153</v>
          </cell>
          <cell r="AJ846">
            <v>20.215302092325562</v>
          </cell>
          <cell r="AU846">
            <v>11.242555211415214</v>
          </cell>
          <cell r="AV846">
            <v>14.263722316306255</v>
          </cell>
          <cell r="AW846">
            <v>12.105561258724364</v>
          </cell>
          <cell r="AX846">
            <v>10.242049449424412</v>
          </cell>
          <cell r="AY846">
            <v>13.969073068024317</v>
          </cell>
        </row>
        <row r="847">
          <cell r="A847">
            <v>40723</v>
          </cell>
          <cell r="AF847">
            <v>18.277715602049366</v>
          </cell>
          <cell r="AG847">
            <v>20.469360058004284</v>
          </cell>
          <cell r="AH847">
            <v>17.881583490985356</v>
          </cell>
          <cell r="AI847">
            <v>15.547864889645153</v>
          </cell>
          <cell r="AJ847">
            <v>20.215302092325562</v>
          </cell>
          <cell r="AU847">
            <v>11.26014864056412</v>
          </cell>
          <cell r="AV847">
            <v>14.263722316306255</v>
          </cell>
          <cell r="AW847">
            <v>12.105561258724364</v>
          </cell>
          <cell r="AX847">
            <v>10.242049449424412</v>
          </cell>
          <cell r="AY847">
            <v>13.969073068024317</v>
          </cell>
        </row>
        <row r="848">
          <cell r="A848">
            <v>40724</v>
          </cell>
          <cell r="AF848">
            <v>18.545568640056107</v>
          </cell>
          <cell r="AG848">
            <v>20.469360058004284</v>
          </cell>
          <cell r="AH848">
            <v>17.881583490985356</v>
          </cell>
          <cell r="AI848">
            <v>15.547864889645153</v>
          </cell>
          <cell r="AJ848">
            <v>20.215302092325562</v>
          </cell>
          <cell r="AU848">
            <v>11.421383288236264</v>
          </cell>
          <cell r="AV848">
            <v>14.263722316306255</v>
          </cell>
          <cell r="AW848">
            <v>12.105561258724364</v>
          </cell>
          <cell r="AX848">
            <v>10.242049449424412</v>
          </cell>
          <cell r="AY848">
            <v>13.969073068024317</v>
          </cell>
        </row>
        <row r="849">
          <cell r="A849">
            <v>40725</v>
          </cell>
          <cell r="AF849">
            <v>18.571637264782698</v>
          </cell>
          <cell r="AG849">
            <v>20.469360058004284</v>
          </cell>
          <cell r="AH849">
            <v>17.881583490985356</v>
          </cell>
          <cell r="AI849">
            <v>15.547864889645153</v>
          </cell>
          <cell r="AJ849">
            <v>20.215302092325562</v>
          </cell>
          <cell r="AU849">
            <v>11.472543137674</v>
          </cell>
          <cell r="AV849">
            <v>14.263722316306255</v>
          </cell>
          <cell r="AW849">
            <v>12.105561258724364</v>
          </cell>
          <cell r="AX849">
            <v>10.242049449424412</v>
          </cell>
          <cell r="AY849">
            <v>13.969073068024317</v>
          </cell>
        </row>
        <row r="850">
          <cell r="A850">
            <v>40728</v>
          </cell>
          <cell r="AF850">
            <v>18.571637264782698</v>
          </cell>
          <cell r="AG850">
            <v>20.469360058004284</v>
          </cell>
          <cell r="AH850">
            <v>17.881583490985356</v>
          </cell>
          <cell r="AI850">
            <v>15.547864889645153</v>
          </cell>
          <cell r="AJ850">
            <v>20.215302092325562</v>
          </cell>
          <cell r="AU850">
            <v>11.472543137674</v>
          </cell>
          <cell r="AV850">
            <v>14.263722316306255</v>
          </cell>
          <cell r="AW850">
            <v>12.105561258724364</v>
          </cell>
          <cell r="AX850">
            <v>10.242049449424412</v>
          </cell>
          <cell r="AY850">
            <v>13.969073068024317</v>
          </cell>
        </row>
        <row r="851">
          <cell r="A851">
            <v>40729</v>
          </cell>
          <cell r="AF851">
            <v>18.590926316095782</v>
          </cell>
          <cell r="AG851">
            <v>20.469360058004284</v>
          </cell>
          <cell r="AH851">
            <v>17.881583490985356</v>
          </cell>
          <cell r="AI851">
            <v>15.547864889645153</v>
          </cell>
          <cell r="AJ851">
            <v>20.215302092325562</v>
          </cell>
          <cell r="AU851">
            <v>11.484192861415739</v>
          </cell>
          <cell r="AV851">
            <v>14.263722316306255</v>
          </cell>
          <cell r="AW851">
            <v>12.105561258724364</v>
          </cell>
          <cell r="AX851">
            <v>10.242049449424412</v>
          </cell>
          <cell r="AY851">
            <v>13.969073068024317</v>
          </cell>
        </row>
        <row r="852">
          <cell r="A852">
            <v>40730</v>
          </cell>
          <cell r="AF852">
            <v>18.730740599674935</v>
          </cell>
          <cell r="AG852">
            <v>20.469360058004284</v>
          </cell>
          <cell r="AH852">
            <v>17.881583490985356</v>
          </cell>
          <cell r="AI852">
            <v>15.547864889645153</v>
          </cell>
          <cell r="AJ852">
            <v>20.215302092325562</v>
          </cell>
          <cell r="AU852">
            <v>11.568634431527666</v>
          </cell>
          <cell r="AV852">
            <v>14.263722316306255</v>
          </cell>
          <cell r="AW852">
            <v>12.105561258724364</v>
          </cell>
          <cell r="AX852">
            <v>10.242049449424412</v>
          </cell>
          <cell r="AY852">
            <v>13.969073068024317</v>
          </cell>
        </row>
        <row r="853">
          <cell r="A853">
            <v>40731</v>
          </cell>
          <cell r="AF853">
            <v>18.880199891040487</v>
          </cell>
          <cell r="AG853">
            <v>20.469360058004284</v>
          </cell>
          <cell r="AH853">
            <v>17.881583490985356</v>
          </cell>
          <cell r="AI853">
            <v>15.547864889645153</v>
          </cell>
          <cell r="AJ853">
            <v>20.215302092325562</v>
          </cell>
          <cell r="AU853">
            <v>11.658901154695318</v>
          </cell>
          <cell r="AV853">
            <v>14.263722316306255</v>
          </cell>
          <cell r="AW853">
            <v>12.105561258724364</v>
          </cell>
          <cell r="AX853">
            <v>10.242049449424412</v>
          </cell>
          <cell r="AY853">
            <v>13.969073068024317</v>
          </cell>
        </row>
        <row r="854">
          <cell r="A854">
            <v>40732</v>
          </cell>
          <cell r="AF854">
            <v>18.913952355929382</v>
          </cell>
          <cell r="AG854">
            <v>20.469360058004284</v>
          </cell>
          <cell r="AH854">
            <v>17.881583490985356</v>
          </cell>
          <cell r="AI854">
            <v>15.547864889645153</v>
          </cell>
          <cell r="AJ854">
            <v>20.215302092325562</v>
          </cell>
          <cell r="AU854">
            <v>11.679286132949363</v>
          </cell>
          <cell r="AV854">
            <v>14.263722316306255</v>
          </cell>
          <cell r="AW854">
            <v>12.105561258724364</v>
          </cell>
          <cell r="AX854">
            <v>10.242049449424412</v>
          </cell>
          <cell r="AY854">
            <v>13.969073068024317</v>
          </cell>
        </row>
        <row r="855">
          <cell r="A855">
            <v>40735</v>
          </cell>
          <cell r="AF855">
            <v>18.764493546693686</v>
          </cell>
          <cell r="AG855">
            <v>20.469360058004284</v>
          </cell>
          <cell r="AH855">
            <v>17.881583490985356</v>
          </cell>
          <cell r="AI855">
            <v>15.547864889645153</v>
          </cell>
          <cell r="AJ855">
            <v>20.215302092325562</v>
          </cell>
          <cell r="AU855">
            <v>11.589019700966567</v>
          </cell>
          <cell r="AV855">
            <v>14.263722316306255</v>
          </cell>
          <cell r="AW855">
            <v>12.105561258724364</v>
          </cell>
          <cell r="AX855">
            <v>10.242049449424412</v>
          </cell>
          <cell r="AY855">
            <v>13.969073068024317</v>
          </cell>
        </row>
        <row r="856">
          <cell r="A856">
            <v>40736</v>
          </cell>
          <cell r="AF856">
            <v>18.807883305291274</v>
          </cell>
          <cell r="AG856">
            <v>20.469360058004284</v>
          </cell>
          <cell r="AH856">
            <v>17.881583490985356</v>
          </cell>
          <cell r="AI856">
            <v>15.547864889645153</v>
          </cell>
          <cell r="AJ856">
            <v>20.215302092325562</v>
          </cell>
          <cell r="AU856">
            <v>11.615225173318635</v>
          </cell>
          <cell r="AV856">
            <v>14.263722316306255</v>
          </cell>
          <cell r="AW856">
            <v>12.105561258724364</v>
          </cell>
          <cell r="AX856">
            <v>10.242049449424412</v>
          </cell>
          <cell r="AY856">
            <v>13.969073068024317</v>
          </cell>
        </row>
        <row r="857">
          <cell r="A857">
            <v>40737</v>
          </cell>
          <cell r="AF857">
            <v>18.923596881585922</v>
          </cell>
          <cell r="AG857">
            <v>20.469360058004284</v>
          </cell>
          <cell r="AH857">
            <v>17.881583490985356</v>
          </cell>
          <cell r="AI857">
            <v>15.547864889645153</v>
          </cell>
          <cell r="AJ857">
            <v>20.215302092325562</v>
          </cell>
          <cell r="AU857">
            <v>11.685110994820231</v>
          </cell>
          <cell r="AV857">
            <v>14.263722316306255</v>
          </cell>
          <cell r="AW857">
            <v>12.105561258724364</v>
          </cell>
          <cell r="AX857">
            <v>10.242049449424412</v>
          </cell>
          <cell r="AY857">
            <v>13.969073068024317</v>
          </cell>
        </row>
        <row r="858">
          <cell r="A858">
            <v>40738</v>
          </cell>
          <cell r="AF858">
            <v>18.875381003121213</v>
          </cell>
          <cell r="AG858">
            <v>20.469360058004284</v>
          </cell>
          <cell r="AH858">
            <v>17.881583490985356</v>
          </cell>
          <cell r="AI858">
            <v>15.547864889645153</v>
          </cell>
          <cell r="AJ858">
            <v>20.215302092325562</v>
          </cell>
          <cell r="AU858">
            <v>11.655990762053877</v>
          </cell>
          <cell r="AV858">
            <v>14.263722316306255</v>
          </cell>
          <cell r="AW858">
            <v>12.105561258724364</v>
          </cell>
          <cell r="AX858">
            <v>10.242049449424412</v>
          </cell>
          <cell r="AY858">
            <v>13.969073068024317</v>
          </cell>
        </row>
        <row r="859">
          <cell r="A859">
            <v>40739</v>
          </cell>
          <cell r="AF859">
            <v>18.928415769505197</v>
          </cell>
          <cell r="AG859">
            <v>20.469360058004284</v>
          </cell>
          <cell r="AH859">
            <v>17.881583490985356</v>
          </cell>
          <cell r="AI859">
            <v>15.547864889645153</v>
          </cell>
          <cell r="AJ859">
            <v>20.215302092325562</v>
          </cell>
          <cell r="AU859">
            <v>11.688021387461673</v>
          </cell>
          <cell r="AV859">
            <v>14.263722316306255</v>
          </cell>
          <cell r="AW859">
            <v>12.105561258724364</v>
          </cell>
          <cell r="AX859">
            <v>10.242049449424412</v>
          </cell>
          <cell r="AY859">
            <v>13.969073068024317</v>
          </cell>
        </row>
        <row r="860">
          <cell r="A860">
            <v>40742</v>
          </cell>
          <cell r="AF860">
            <v>18.639134962612641</v>
          </cell>
          <cell r="AG860">
            <v>20.469360058004284</v>
          </cell>
          <cell r="AH860">
            <v>17.881583490985356</v>
          </cell>
          <cell r="AI860">
            <v>15.547864889645153</v>
          </cell>
          <cell r="AJ860">
            <v>20.215302092325562</v>
          </cell>
          <cell r="AU860">
            <v>11.513308726409244</v>
          </cell>
          <cell r="AV860">
            <v>14.263722316306255</v>
          </cell>
          <cell r="AW860">
            <v>12.105561258724364</v>
          </cell>
          <cell r="AX860">
            <v>10.242049449424412</v>
          </cell>
          <cell r="AY860">
            <v>13.969073068024317</v>
          </cell>
        </row>
        <row r="861">
          <cell r="A861">
            <v>40743</v>
          </cell>
          <cell r="AF861">
            <v>19.01037688091095</v>
          </cell>
          <cell r="AG861">
            <v>20.469360058004284</v>
          </cell>
          <cell r="AH861">
            <v>17.881583490985356</v>
          </cell>
          <cell r="AI861">
            <v>15.547864889645153</v>
          </cell>
          <cell r="AJ861">
            <v>20.215302092325562</v>
          </cell>
          <cell r="AU861">
            <v>11.737522230709223</v>
          </cell>
          <cell r="AV861">
            <v>14.263722316306255</v>
          </cell>
          <cell r="AW861">
            <v>12.105561258724364</v>
          </cell>
          <cell r="AX861">
            <v>10.242049449424412</v>
          </cell>
          <cell r="AY861">
            <v>13.969073068024317</v>
          </cell>
        </row>
        <row r="862">
          <cell r="A862">
            <v>40744</v>
          </cell>
          <cell r="AF862">
            <v>18.812702193210544</v>
          </cell>
          <cell r="AG862">
            <v>20.469360058004284</v>
          </cell>
          <cell r="AH862">
            <v>17.881583490985356</v>
          </cell>
          <cell r="AI862">
            <v>15.547864889645153</v>
          </cell>
          <cell r="AJ862">
            <v>20.215302092325562</v>
          </cell>
          <cell r="AU862">
            <v>11.618135565960072</v>
          </cell>
          <cell r="AV862">
            <v>14.263722316306255</v>
          </cell>
          <cell r="AW862">
            <v>12.105561258724364</v>
          </cell>
          <cell r="AX862">
            <v>10.242049449424412</v>
          </cell>
          <cell r="AY862">
            <v>13.969073068024317</v>
          </cell>
        </row>
        <row r="863">
          <cell r="A863">
            <v>40745</v>
          </cell>
          <cell r="AF863">
            <v>19.070643113017912</v>
          </cell>
          <cell r="AG863">
            <v>20.469360058004284</v>
          </cell>
          <cell r="AH863">
            <v>17.881583490985356</v>
          </cell>
          <cell r="AI863">
            <v>15.547864889645153</v>
          </cell>
          <cell r="AJ863">
            <v>20.215302092325562</v>
          </cell>
          <cell r="AU863">
            <v>11.773920337780741</v>
          </cell>
          <cell r="AV863">
            <v>14.263722316306255</v>
          </cell>
          <cell r="AW863">
            <v>12.105561258724364</v>
          </cell>
          <cell r="AX863">
            <v>10.242049449424412</v>
          </cell>
          <cell r="AY863">
            <v>13.969073068024317</v>
          </cell>
        </row>
        <row r="864">
          <cell r="A864">
            <v>40746</v>
          </cell>
          <cell r="AF864">
            <v>19.060463311376225</v>
          </cell>
          <cell r="AG864">
            <v>20.469360058004284</v>
          </cell>
          <cell r="AH864">
            <v>17.881583490985356</v>
          </cell>
          <cell r="AI864">
            <v>15.547864889645153</v>
          </cell>
          <cell r="AJ864">
            <v>20.215302092325562</v>
          </cell>
          <cell r="AU864">
            <v>11.776809977553251</v>
          </cell>
          <cell r="AV864">
            <v>14.263722316306255</v>
          </cell>
          <cell r="AW864">
            <v>12.105561258724364</v>
          </cell>
          <cell r="AX864">
            <v>10.242049449424412</v>
          </cell>
          <cell r="AY864">
            <v>13.969073068024317</v>
          </cell>
        </row>
        <row r="865">
          <cell r="A865">
            <v>40749</v>
          </cell>
          <cell r="AF865">
            <v>19.065280971953865</v>
          </cell>
          <cell r="AG865">
            <v>20.469360058004284</v>
          </cell>
          <cell r="AH865">
            <v>17.881583490985356</v>
          </cell>
          <cell r="AI865">
            <v>15.547864889645153</v>
          </cell>
          <cell r="AJ865">
            <v>20.215302092325562</v>
          </cell>
          <cell r="AU865">
            <v>11.825152524982233</v>
          </cell>
          <cell r="AV865">
            <v>14.263722316306255</v>
          </cell>
          <cell r="AW865">
            <v>12.105561258724364</v>
          </cell>
          <cell r="AX865">
            <v>10.242049449424412</v>
          </cell>
          <cell r="AY865">
            <v>13.969073068024317</v>
          </cell>
        </row>
        <row r="866">
          <cell r="A866">
            <v>40750</v>
          </cell>
          <cell r="AF866">
            <v>18.698921843172357</v>
          </cell>
          <cell r="AG866">
            <v>20.469360058004284</v>
          </cell>
          <cell r="AH866">
            <v>17.881583490985356</v>
          </cell>
          <cell r="AI866">
            <v>15.547864889645153</v>
          </cell>
          <cell r="AJ866">
            <v>20.215302092325562</v>
          </cell>
          <cell r="AU866">
            <v>11.602844330961842</v>
          </cell>
          <cell r="AV866">
            <v>14.263722316306255</v>
          </cell>
          <cell r="AW866">
            <v>12.105561258724364</v>
          </cell>
          <cell r="AX866">
            <v>10.242049449424412</v>
          </cell>
          <cell r="AY866">
            <v>13.969073068024317</v>
          </cell>
        </row>
        <row r="867">
          <cell r="A867">
            <v>40751</v>
          </cell>
          <cell r="AF867">
            <v>18.058153730738375</v>
          </cell>
          <cell r="AG867">
            <v>20.469360058004284</v>
          </cell>
          <cell r="AH867">
            <v>17.881583490985356</v>
          </cell>
          <cell r="AI867">
            <v>15.547864889645153</v>
          </cell>
          <cell r="AJ867">
            <v>20.215302092325562</v>
          </cell>
          <cell r="AU867">
            <v>11.205026234798019</v>
          </cell>
          <cell r="AV867">
            <v>14.263722316306255</v>
          </cell>
          <cell r="AW867">
            <v>12.105561258724364</v>
          </cell>
          <cell r="AX867">
            <v>10.242049449424412</v>
          </cell>
          <cell r="AY867">
            <v>13.969073068024317</v>
          </cell>
        </row>
        <row r="868">
          <cell r="A868">
            <v>40752</v>
          </cell>
          <cell r="AF868">
            <v>18.190824979889577</v>
          </cell>
          <cell r="AG868">
            <v>20.469360058004284</v>
          </cell>
          <cell r="AH868">
            <v>17.881583490985356</v>
          </cell>
          <cell r="AI868">
            <v>15.547864889645153</v>
          </cell>
          <cell r="AJ868">
            <v>20.215302092325562</v>
          </cell>
          <cell r="AU868">
            <v>11.074882873396357</v>
          </cell>
          <cell r="AV868">
            <v>14.263722316306255</v>
          </cell>
          <cell r="AW868">
            <v>12.105561258724364</v>
          </cell>
          <cell r="AX868">
            <v>10.242049449424412</v>
          </cell>
          <cell r="AY868">
            <v>13.969073068024317</v>
          </cell>
        </row>
        <row r="869">
          <cell r="A869">
            <v>40753</v>
          </cell>
          <cell r="AF869">
            <v>18.262250544840843</v>
          </cell>
          <cell r="AG869">
            <v>20.469360058004284</v>
          </cell>
          <cell r="AH869">
            <v>17.881583490985356</v>
          </cell>
          <cell r="AI869">
            <v>15.547864889645153</v>
          </cell>
          <cell r="AJ869">
            <v>20.215302092325562</v>
          </cell>
          <cell r="AU869">
            <v>11.133314430542811</v>
          </cell>
          <cell r="AV869">
            <v>14.263722316306255</v>
          </cell>
          <cell r="AW869">
            <v>12.105561258724364</v>
          </cell>
          <cell r="AX869">
            <v>10.242049449424412</v>
          </cell>
          <cell r="AY869">
            <v>13.969073068024317</v>
          </cell>
        </row>
        <row r="870">
          <cell r="A870">
            <v>40756</v>
          </cell>
          <cell r="AF870">
            <v>17.792482856446515</v>
          </cell>
          <cell r="AG870">
            <v>20.469360058004284</v>
          </cell>
          <cell r="AH870">
            <v>17.881583490985356</v>
          </cell>
          <cell r="AI870">
            <v>15.547864889645153</v>
          </cell>
          <cell r="AJ870">
            <v>20.215302092325562</v>
          </cell>
          <cell r="AU870">
            <v>10.884092596006836</v>
          </cell>
          <cell r="AV870">
            <v>14.263722316306255</v>
          </cell>
          <cell r="AW870">
            <v>12.105561258724364</v>
          </cell>
          <cell r="AX870">
            <v>10.242049449424412</v>
          </cell>
          <cell r="AY870">
            <v>13.969073068024317</v>
          </cell>
        </row>
        <row r="871">
          <cell r="A871">
            <v>40757</v>
          </cell>
          <cell r="AF871">
            <v>17.207958013707682</v>
          </cell>
          <cell r="AG871">
            <v>20.469360058004284</v>
          </cell>
          <cell r="AH871">
            <v>17.881583490985356</v>
          </cell>
          <cell r="AI871">
            <v>15.547864889645153</v>
          </cell>
          <cell r="AJ871">
            <v>20.215302092325562</v>
          </cell>
          <cell r="AU871">
            <v>10.666097834117394</v>
          </cell>
          <cell r="AV871">
            <v>14.263722316306255</v>
          </cell>
          <cell r="AW871">
            <v>12.105561258724364</v>
          </cell>
          <cell r="AX871">
            <v>10.242049449424412</v>
          </cell>
          <cell r="AY871">
            <v>13.969073068024317</v>
          </cell>
        </row>
        <row r="872">
          <cell r="A872">
            <v>40758</v>
          </cell>
          <cell r="AF872">
            <v>17.217399266248442</v>
          </cell>
          <cell r="AG872">
            <v>20.469360058004284</v>
          </cell>
          <cell r="AH872">
            <v>17.881583490985356</v>
          </cell>
          <cell r="AI872">
            <v>15.547864889645153</v>
          </cell>
          <cell r="AJ872">
            <v>20.215302092325562</v>
          </cell>
          <cell r="AU872">
            <v>10.671924896077329</v>
          </cell>
          <cell r="AV872">
            <v>14.263722316306255</v>
          </cell>
          <cell r="AW872">
            <v>12.105561258724364</v>
          </cell>
          <cell r="AX872">
            <v>10.242049449424412</v>
          </cell>
          <cell r="AY872">
            <v>13.969073068024317</v>
          </cell>
        </row>
        <row r="873">
          <cell r="A873">
            <v>40759</v>
          </cell>
          <cell r="AF873">
            <v>16.33245882863941</v>
          </cell>
          <cell r="AG873">
            <v>20.469360058004284</v>
          </cell>
          <cell r="AH873">
            <v>17.881583490985356</v>
          </cell>
          <cell r="AI873">
            <v>15.547864889645153</v>
          </cell>
          <cell r="AJ873">
            <v>20.215302092325562</v>
          </cell>
          <cell r="AU873">
            <v>10.125747072898248</v>
          </cell>
          <cell r="AV873">
            <v>14.263722316306255</v>
          </cell>
          <cell r="AW873">
            <v>12.105561258724364</v>
          </cell>
          <cell r="AX873">
            <v>10.242049449424412</v>
          </cell>
          <cell r="AY873">
            <v>13.969073068024317</v>
          </cell>
        </row>
        <row r="874">
          <cell r="A874">
            <v>40760</v>
          </cell>
          <cell r="AF874">
            <v>16.287621374498986</v>
          </cell>
          <cell r="AG874">
            <v>20.469360058004284</v>
          </cell>
          <cell r="AH874">
            <v>17.881583490985356</v>
          </cell>
          <cell r="AI874">
            <v>15.547864889645153</v>
          </cell>
          <cell r="AJ874">
            <v>20.215302092325562</v>
          </cell>
          <cell r="AU874">
            <v>10.098073771895669</v>
          </cell>
          <cell r="AV874">
            <v>14.263722316306255</v>
          </cell>
          <cell r="AW874">
            <v>12.105561258724364</v>
          </cell>
          <cell r="AX874">
            <v>10.242049449424412</v>
          </cell>
          <cell r="AY874">
            <v>13.969073068024317</v>
          </cell>
        </row>
        <row r="875">
          <cell r="A875">
            <v>40763</v>
          </cell>
          <cell r="AF875">
            <v>15.235134101908905</v>
          </cell>
          <cell r="AG875">
            <v>20.469360058004284</v>
          </cell>
          <cell r="AH875">
            <v>17.881583490985356</v>
          </cell>
          <cell r="AI875">
            <v>15.547864889645153</v>
          </cell>
          <cell r="AJ875">
            <v>20.215302092325562</v>
          </cell>
          <cell r="AU875">
            <v>9.4484874460407031</v>
          </cell>
          <cell r="AV875">
            <v>14.263722316306255</v>
          </cell>
          <cell r="AW875">
            <v>12.105561258724364</v>
          </cell>
          <cell r="AX875">
            <v>10.242049449424412</v>
          </cell>
          <cell r="AY875">
            <v>13.969073068024317</v>
          </cell>
        </row>
        <row r="876">
          <cell r="A876">
            <v>40764</v>
          </cell>
          <cell r="AF876">
            <v>15.859479134497578</v>
          </cell>
          <cell r="AG876">
            <v>20.469360058004284</v>
          </cell>
          <cell r="AH876">
            <v>17.881583490985356</v>
          </cell>
          <cell r="AI876">
            <v>15.547864889645153</v>
          </cell>
          <cell r="AJ876">
            <v>20.215302092325562</v>
          </cell>
          <cell r="AU876">
            <v>9.8407260577823461</v>
          </cell>
          <cell r="AV876">
            <v>14.263722316306255</v>
          </cell>
          <cell r="AW876">
            <v>12.105561258724364</v>
          </cell>
          <cell r="AX876">
            <v>10.242049449424412</v>
          </cell>
          <cell r="AY876">
            <v>13.969073068024317</v>
          </cell>
        </row>
        <row r="877">
          <cell r="A877">
            <v>40765</v>
          </cell>
          <cell r="AF877">
            <v>14.994415381416985</v>
          </cell>
          <cell r="AG877">
            <v>20.469360058004284</v>
          </cell>
          <cell r="AH877">
            <v>17.881583490985356</v>
          </cell>
          <cell r="AI877">
            <v>15.547864889645153</v>
          </cell>
          <cell r="AJ877">
            <v>20.215302092325562</v>
          </cell>
          <cell r="AU877">
            <v>9.3064453327498402</v>
          </cell>
          <cell r="AV877">
            <v>14.263722316306255</v>
          </cell>
          <cell r="AW877">
            <v>12.105561258724364</v>
          </cell>
          <cell r="AX877">
            <v>10.242049449424412</v>
          </cell>
          <cell r="AY877">
            <v>13.969073068024317</v>
          </cell>
        </row>
        <row r="878">
          <cell r="A878">
            <v>40766</v>
          </cell>
          <cell r="AF878">
            <v>15.660941074885434</v>
          </cell>
          <cell r="AG878">
            <v>20.469360058004284</v>
          </cell>
          <cell r="AH878">
            <v>17.881583490985356</v>
          </cell>
          <cell r="AI878">
            <v>15.547864889645153</v>
          </cell>
          <cell r="AJ878">
            <v>20.215302092325562</v>
          </cell>
          <cell r="AU878">
            <v>9.718104969962658</v>
          </cell>
          <cell r="AV878">
            <v>14.263722316306255</v>
          </cell>
          <cell r="AW878">
            <v>12.105561258724364</v>
          </cell>
          <cell r="AX878">
            <v>10.242049449424412</v>
          </cell>
          <cell r="AY878">
            <v>13.969073068024317</v>
          </cell>
        </row>
        <row r="879">
          <cell r="A879">
            <v>40767</v>
          </cell>
          <cell r="AF879">
            <v>15.957445393844962</v>
          </cell>
          <cell r="AG879">
            <v>20.469360058004284</v>
          </cell>
          <cell r="AH879">
            <v>17.881583490985356</v>
          </cell>
          <cell r="AI879">
            <v>15.547864889645153</v>
          </cell>
          <cell r="AJ879">
            <v>20.215302092325562</v>
          </cell>
          <cell r="AU879">
            <v>9.9729243411170057</v>
          </cell>
          <cell r="AV879">
            <v>14.263722316306255</v>
          </cell>
          <cell r="AW879">
            <v>12.105561258724364</v>
          </cell>
          <cell r="AX879">
            <v>10.242049449424412</v>
          </cell>
          <cell r="AY879">
            <v>13.969073068024317</v>
          </cell>
        </row>
        <row r="880">
          <cell r="A880">
            <v>40770</v>
          </cell>
          <cell r="AF880">
            <v>16.108339463559783</v>
          </cell>
          <cell r="AG880">
            <v>20.469360058004284</v>
          </cell>
          <cell r="AH880">
            <v>17.881583490985356</v>
          </cell>
          <cell r="AI880">
            <v>15.547864889645153</v>
          </cell>
          <cell r="AJ880">
            <v>20.215302092325562</v>
          </cell>
          <cell r="AU880">
            <v>10.0667954056554</v>
          </cell>
          <cell r="AV880">
            <v>14.263722316306255</v>
          </cell>
          <cell r="AW880">
            <v>12.105561258724364</v>
          </cell>
          <cell r="AX880">
            <v>10.242049449424412</v>
          </cell>
          <cell r="AY880">
            <v>13.969073068024317</v>
          </cell>
        </row>
        <row r="881">
          <cell r="A881">
            <v>40771</v>
          </cell>
          <cell r="AF881">
            <v>15.712234514110516</v>
          </cell>
          <cell r="AG881">
            <v>20.469360058004284</v>
          </cell>
          <cell r="AH881">
            <v>17.881583490985356</v>
          </cell>
          <cell r="AI881">
            <v>15.547864889645153</v>
          </cell>
          <cell r="AJ881">
            <v>20.215302092325562</v>
          </cell>
          <cell r="AU881">
            <v>9.8203788742171376</v>
          </cell>
          <cell r="AV881">
            <v>14.263722316306255</v>
          </cell>
          <cell r="AW881">
            <v>12.105561258724364</v>
          </cell>
          <cell r="AX881">
            <v>10.242049449424412</v>
          </cell>
          <cell r="AY881">
            <v>13.969073068024317</v>
          </cell>
        </row>
        <row r="882">
          <cell r="A882">
            <v>40772</v>
          </cell>
          <cell r="AF882">
            <v>15.673239828917756</v>
          </cell>
          <cell r="AG882">
            <v>20.469360058004284</v>
          </cell>
          <cell r="AH882">
            <v>17.881583490985356</v>
          </cell>
          <cell r="AI882">
            <v>15.547864889645153</v>
          </cell>
          <cell r="AJ882">
            <v>20.215302092325562</v>
          </cell>
          <cell r="AU882">
            <v>9.7859697011823581</v>
          </cell>
          <cell r="AV882">
            <v>14.263722316306255</v>
          </cell>
          <cell r="AW882">
            <v>12.105561258724364</v>
          </cell>
          <cell r="AX882">
            <v>10.242049449424412</v>
          </cell>
          <cell r="AY882">
            <v>13.969073068024317</v>
          </cell>
        </row>
        <row r="883">
          <cell r="A883">
            <v>40773</v>
          </cell>
          <cell r="AF883">
            <v>14.996463267071508</v>
          </cell>
          <cell r="AG883">
            <v>20.469360058004284</v>
          </cell>
          <cell r="AH883">
            <v>17.881583490985356</v>
          </cell>
          <cell r="AI883">
            <v>15.547864889645153</v>
          </cell>
          <cell r="AJ883">
            <v>20.215302092325562</v>
          </cell>
          <cell r="AU883">
            <v>9.3781743524919499</v>
          </cell>
          <cell r="AV883">
            <v>14.263722316306255</v>
          </cell>
          <cell r="AW883">
            <v>12.105561258724364</v>
          </cell>
          <cell r="AX883">
            <v>10.242049449424412</v>
          </cell>
          <cell r="AY883">
            <v>13.969073068024317</v>
          </cell>
        </row>
        <row r="884">
          <cell r="A884">
            <v>40774</v>
          </cell>
          <cell r="AF884">
            <v>14.958747230299288</v>
          </cell>
          <cell r="AG884">
            <v>20.469360058004284</v>
          </cell>
          <cell r="AH884">
            <v>17.881583490985356</v>
          </cell>
          <cell r="AI884">
            <v>15.547864889645153</v>
          </cell>
          <cell r="AJ884">
            <v>20.215302092325562</v>
          </cell>
          <cell r="AU884">
            <v>9.3547035129547069</v>
          </cell>
          <cell r="AV884">
            <v>14.263722316306255</v>
          </cell>
          <cell r="AW884">
            <v>12.105561258724364</v>
          </cell>
          <cell r="AX884">
            <v>10.242049449424412</v>
          </cell>
          <cell r="AY884">
            <v>13.969073068024317</v>
          </cell>
        </row>
        <row r="885">
          <cell r="A885">
            <v>40777</v>
          </cell>
          <cell r="AF885">
            <v>14.812602655772677</v>
          </cell>
          <cell r="AG885">
            <v>20.469360058004284</v>
          </cell>
          <cell r="AH885">
            <v>17.881583490985356</v>
          </cell>
          <cell r="AI885">
            <v>15.547864889645153</v>
          </cell>
          <cell r="AJ885">
            <v>20.215302092325562</v>
          </cell>
          <cell r="AU885">
            <v>9.2637571635631044</v>
          </cell>
          <cell r="AV885">
            <v>14.263722316306255</v>
          </cell>
          <cell r="AW885">
            <v>12.105561258724364</v>
          </cell>
          <cell r="AX885">
            <v>10.242049449424412</v>
          </cell>
          <cell r="AY885">
            <v>13.969073068024317</v>
          </cell>
        </row>
        <row r="886">
          <cell r="A886">
            <v>40778</v>
          </cell>
          <cell r="AF886">
            <v>15.552757601950169</v>
          </cell>
          <cell r="AG886">
            <v>20.469360058004284</v>
          </cell>
          <cell r="AH886">
            <v>17.881583490985356</v>
          </cell>
          <cell r="AI886">
            <v>15.547864889645153</v>
          </cell>
          <cell r="AJ886">
            <v>20.215302092325562</v>
          </cell>
          <cell r="AU886">
            <v>9.7243585273634707</v>
          </cell>
          <cell r="AV886">
            <v>14.263722316306255</v>
          </cell>
          <cell r="AW886">
            <v>12.105561258724364</v>
          </cell>
          <cell r="AX886">
            <v>10.242049449424412</v>
          </cell>
          <cell r="AY886">
            <v>13.969073068024317</v>
          </cell>
        </row>
        <row r="887">
          <cell r="A887">
            <v>40779</v>
          </cell>
          <cell r="AF887">
            <v>15.873337683770906</v>
          </cell>
          <cell r="AG887">
            <v>20.469360058004284</v>
          </cell>
          <cell r="AH887">
            <v>17.881583490985356</v>
          </cell>
          <cell r="AI887">
            <v>15.547864889645153</v>
          </cell>
          <cell r="AJ887">
            <v>20.215302092325562</v>
          </cell>
          <cell r="AU887">
            <v>9.9207493302032486</v>
          </cell>
          <cell r="AV887">
            <v>14.263722316306255</v>
          </cell>
          <cell r="AW887">
            <v>12.105561258724364</v>
          </cell>
          <cell r="AX887">
            <v>10.242049449424412</v>
          </cell>
          <cell r="AY887">
            <v>13.969073068024317</v>
          </cell>
        </row>
        <row r="888">
          <cell r="A888">
            <v>40780</v>
          </cell>
          <cell r="AF888">
            <v>15.708624843919223</v>
          </cell>
          <cell r="AG888">
            <v>20.469360058004284</v>
          </cell>
          <cell r="AH888">
            <v>17.881583490985356</v>
          </cell>
          <cell r="AI888">
            <v>15.547864889645153</v>
          </cell>
          <cell r="AJ888">
            <v>20.215302092325562</v>
          </cell>
          <cell r="AU888">
            <v>9.8182791302491275</v>
          </cell>
          <cell r="AV888">
            <v>14.263722316306255</v>
          </cell>
          <cell r="AW888">
            <v>12.105561258724364</v>
          </cell>
          <cell r="AX888">
            <v>10.242049449424412</v>
          </cell>
          <cell r="AY888">
            <v>13.969073068024317</v>
          </cell>
        </row>
        <row r="889">
          <cell r="A889">
            <v>40781</v>
          </cell>
          <cell r="AF889">
            <v>16.099223823658363</v>
          </cell>
          <cell r="AG889">
            <v>20.469360058004284</v>
          </cell>
          <cell r="AH889">
            <v>17.881583490985356</v>
          </cell>
          <cell r="AI889">
            <v>15.547864889645153</v>
          </cell>
          <cell r="AJ889">
            <v>20.215302092325562</v>
          </cell>
          <cell r="AU889">
            <v>10.061276310018386</v>
          </cell>
          <cell r="AV889">
            <v>14.263722316306255</v>
          </cell>
          <cell r="AW889">
            <v>12.105561258724364</v>
          </cell>
          <cell r="AX889">
            <v>10.242049449424412</v>
          </cell>
          <cell r="AY889">
            <v>13.969073068024317</v>
          </cell>
        </row>
        <row r="890">
          <cell r="A890">
            <v>40784</v>
          </cell>
          <cell r="AF890">
            <v>16.534689455117295</v>
          </cell>
          <cell r="AG890">
            <v>20.469360058004284</v>
          </cell>
          <cell r="AH890">
            <v>17.881583490985356</v>
          </cell>
          <cell r="AI890">
            <v>15.547864889645153</v>
          </cell>
          <cell r="AJ890">
            <v>20.215302092325562</v>
          </cell>
          <cell r="AU890">
            <v>10.389471861126095</v>
          </cell>
          <cell r="AV890">
            <v>14.263722316306255</v>
          </cell>
          <cell r="AW890">
            <v>12.105561258724364</v>
          </cell>
          <cell r="AX890">
            <v>10.242049449424412</v>
          </cell>
          <cell r="AY890">
            <v>13.969073068024317</v>
          </cell>
        </row>
        <row r="891">
          <cell r="A891">
            <v>40785</v>
          </cell>
          <cell r="AF891">
            <v>16.346530772247814</v>
          </cell>
          <cell r="AG891">
            <v>20.469360058004284</v>
          </cell>
          <cell r="AH891">
            <v>17.881583490985356</v>
          </cell>
          <cell r="AI891">
            <v>15.547864889645153</v>
          </cell>
          <cell r="AJ891">
            <v>20.215302092325562</v>
          </cell>
          <cell r="AU891">
            <v>10.271766440479251</v>
          </cell>
          <cell r="AV891">
            <v>14.263722316306255</v>
          </cell>
          <cell r="AW891">
            <v>12.105561258724364</v>
          </cell>
          <cell r="AX891">
            <v>10.242049449424412</v>
          </cell>
          <cell r="AY891">
            <v>13.969073068024317</v>
          </cell>
        </row>
        <row r="892">
          <cell r="A892">
            <v>40786</v>
          </cell>
          <cell r="AF892">
            <v>16.558211054490094</v>
          </cell>
          <cell r="AG892">
            <v>20.469360058004284</v>
          </cell>
          <cell r="AH892">
            <v>17.881583490985356</v>
          </cell>
          <cell r="AI892">
            <v>15.547864889645153</v>
          </cell>
          <cell r="AJ892">
            <v>20.215302092325562</v>
          </cell>
          <cell r="AU892">
            <v>10.404186142211826</v>
          </cell>
          <cell r="AV892">
            <v>14.263722316306255</v>
          </cell>
          <cell r="AW892">
            <v>12.105561258724364</v>
          </cell>
          <cell r="AX892">
            <v>10.242049449424412</v>
          </cell>
          <cell r="AY892">
            <v>13.969073068024317</v>
          </cell>
        </row>
        <row r="893">
          <cell r="A893">
            <v>40787</v>
          </cell>
          <cell r="AF893">
            <v>16.25869890750182</v>
          </cell>
          <cell r="AG893">
            <v>20.469360058004284</v>
          </cell>
          <cell r="AH893">
            <v>17.881583490985356</v>
          </cell>
          <cell r="AI893">
            <v>15.547864889645153</v>
          </cell>
          <cell r="AJ893">
            <v>20.215302092325562</v>
          </cell>
          <cell r="AU893">
            <v>10.242430761775354</v>
          </cell>
          <cell r="AV893">
            <v>14.263722316306255</v>
          </cell>
          <cell r="AW893">
            <v>12.105561258724364</v>
          </cell>
          <cell r="AX893">
            <v>10.242049449424412</v>
          </cell>
          <cell r="AY893">
            <v>13.969073068024317</v>
          </cell>
        </row>
        <row r="894">
          <cell r="A894">
            <v>40788</v>
          </cell>
          <cell r="AF894">
            <v>15.064312044691846</v>
          </cell>
          <cell r="AG894">
            <v>20.469360058004284</v>
          </cell>
          <cell r="AH894">
            <v>17.881583490985356</v>
          </cell>
          <cell r="AI894">
            <v>15.547864889645153</v>
          </cell>
          <cell r="AJ894">
            <v>20.215302092325562</v>
          </cell>
          <cell r="AU894">
            <v>8.6477530186928835</v>
          </cell>
          <cell r="AV894">
            <v>14.263722316306255</v>
          </cell>
          <cell r="AW894">
            <v>12.105561258724364</v>
          </cell>
          <cell r="AX894">
            <v>10.242049449424412</v>
          </cell>
          <cell r="AY894">
            <v>13.969073068024317</v>
          </cell>
        </row>
        <row r="895">
          <cell r="A895">
            <v>40791</v>
          </cell>
          <cell r="AF895">
            <v>15.064312044691846</v>
          </cell>
          <cell r="AG895">
            <v>20.469360058004284</v>
          </cell>
          <cell r="AH895">
            <v>17.881583490985356</v>
          </cell>
          <cell r="AI895">
            <v>15.547864889645153</v>
          </cell>
          <cell r="AJ895">
            <v>20.215302092325562</v>
          </cell>
          <cell r="AU895">
            <v>8.6477530186928835</v>
          </cell>
          <cell r="AV895">
            <v>14.263722316306255</v>
          </cell>
          <cell r="AW895">
            <v>12.105561258724364</v>
          </cell>
          <cell r="AX895">
            <v>10.242049449424412</v>
          </cell>
          <cell r="AY895">
            <v>13.969073068024317</v>
          </cell>
        </row>
        <row r="896">
          <cell r="A896">
            <v>40792</v>
          </cell>
          <cell r="AF896">
            <v>14.789369389544779</v>
          </cell>
          <cell r="AG896">
            <v>20.469360058004284</v>
          </cell>
          <cell r="AH896">
            <v>17.881583490985356</v>
          </cell>
          <cell r="AI896">
            <v>15.547864889645153</v>
          </cell>
          <cell r="AJ896">
            <v>20.215302092325562</v>
          </cell>
          <cell r="AU896">
            <v>8.4906429043840284</v>
          </cell>
          <cell r="AV896">
            <v>14.263722316306255</v>
          </cell>
          <cell r="AW896">
            <v>12.105561258724364</v>
          </cell>
          <cell r="AX896">
            <v>10.242049449424412</v>
          </cell>
          <cell r="AY896">
            <v>13.969073068024317</v>
          </cell>
        </row>
        <row r="897">
          <cell r="A897">
            <v>40793</v>
          </cell>
          <cell r="AF897">
            <v>15.609899614088496</v>
          </cell>
          <cell r="AG897">
            <v>20.469360058004284</v>
          </cell>
          <cell r="AH897">
            <v>17.881583490985356</v>
          </cell>
          <cell r="AI897">
            <v>15.547864889645153</v>
          </cell>
          <cell r="AJ897">
            <v>20.215302092325562</v>
          </cell>
          <cell r="AU897">
            <v>8.9341024484779332</v>
          </cell>
          <cell r="AV897">
            <v>14.263722316306255</v>
          </cell>
          <cell r="AW897">
            <v>12.105561258724364</v>
          </cell>
          <cell r="AX897">
            <v>10.242049449424412</v>
          </cell>
          <cell r="AY897">
            <v>13.969073068024317</v>
          </cell>
        </row>
        <row r="898">
          <cell r="A898">
            <v>40794</v>
          </cell>
          <cell r="AF898">
            <v>15.140683142344331</v>
          </cell>
          <cell r="AG898">
            <v>20.469360058004284</v>
          </cell>
          <cell r="AH898">
            <v>17.881583490985356</v>
          </cell>
          <cell r="AI898">
            <v>15.547864889645153</v>
          </cell>
          <cell r="AJ898">
            <v>20.215302092325562</v>
          </cell>
          <cell r="AU898">
            <v>8.723775668445084</v>
          </cell>
          <cell r="AV898">
            <v>14.263722316306255</v>
          </cell>
          <cell r="AW898">
            <v>12.105561258724364</v>
          </cell>
          <cell r="AX898">
            <v>10.242049449424412</v>
          </cell>
          <cell r="AY898">
            <v>13.969073068024317</v>
          </cell>
        </row>
        <row r="899">
          <cell r="A899">
            <v>40795</v>
          </cell>
          <cell r="AF899">
            <v>14.36770627591927</v>
          </cell>
          <cell r="AG899">
            <v>20.469360058004284</v>
          </cell>
          <cell r="AH899">
            <v>17.881583490985356</v>
          </cell>
          <cell r="AI899">
            <v>15.547864889645153</v>
          </cell>
          <cell r="AJ899">
            <v>20.215302092325562</v>
          </cell>
          <cell r="AU899">
            <v>8.2701814266331848</v>
          </cell>
          <cell r="AV899">
            <v>14.263722316306255</v>
          </cell>
          <cell r="AW899">
            <v>12.105561258724364</v>
          </cell>
          <cell r="AX899">
            <v>10.242049449424412</v>
          </cell>
          <cell r="AY899">
            <v>13.969073068024317</v>
          </cell>
        </row>
        <row r="900">
          <cell r="A900">
            <v>40798</v>
          </cell>
          <cell r="AF900">
            <v>14.323468067459219</v>
          </cell>
          <cell r="AG900">
            <v>20.469360058004284</v>
          </cell>
          <cell r="AH900">
            <v>17.881583490985356</v>
          </cell>
          <cell r="AI900">
            <v>15.547864889645153</v>
          </cell>
          <cell r="AJ900">
            <v>20.215302092325562</v>
          </cell>
          <cell r="AU900">
            <v>8.2448393608236685</v>
          </cell>
          <cell r="AV900">
            <v>14.263722316306255</v>
          </cell>
          <cell r="AW900">
            <v>12.105561258724364</v>
          </cell>
          <cell r="AX900">
            <v>10.242049449424412</v>
          </cell>
          <cell r="AY900">
            <v>13.969073068024317</v>
          </cell>
        </row>
        <row r="901">
          <cell r="A901">
            <v>40799</v>
          </cell>
          <cell r="AF901">
            <v>14.712743157312691</v>
          </cell>
          <cell r="AG901">
            <v>20.469360058004284</v>
          </cell>
          <cell r="AH901">
            <v>17.881583490985356</v>
          </cell>
          <cell r="AI901">
            <v>15.547864889645153</v>
          </cell>
          <cell r="AJ901">
            <v>20.215302092325562</v>
          </cell>
          <cell r="AU901">
            <v>8.467837427166728</v>
          </cell>
          <cell r="AV901">
            <v>14.263722316306255</v>
          </cell>
          <cell r="AW901">
            <v>12.105561258724364</v>
          </cell>
          <cell r="AX901">
            <v>10.242049449424412</v>
          </cell>
          <cell r="AY901">
            <v>13.969073068024317</v>
          </cell>
        </row>
        <row r="902">
          <cell r="A902">
            <v>40800</v>
          </cell>
          <cell r="AF902">
            <v>15.031239590821121</v>
          </cell>
          <cell r="AG902">
            <v>20.469360058004284</v>
          </cell>
          <cell r="AH902">
            <v>17.881583490985356</v>
          </cell>
          <cell r="AI902">
            <v>15.547864889645153</v>
          </cell>
          <cell r="AJ902">
            <v>20.215302092325562</v>
          </cell>
          <cell r="AU902">
            <v>8.650289607285103</v>
          </cell>
          <cell r="AV902">
            <v>14.263722316306255</v>
          </cell>
          <cell r="AW902">
            <v>12.105561258724364</v>
          </cell>
          <cell r="AX902">
            <v>10.242049449424412</v>
          </cell>
          <cell r="AY902">
            <v>13.969073068024317</v>
          </cell>
        </row>
        <row r="903">
          <cell r="A903">
            <v>40801</v>
          </cell>
          <cell r="AF903">
            <v>15.224786720748886</v>
          </cell>
          <cell r="AG903">
            <v>20.469360058004284</v>
          </cell>
          <cell r="AH903">
            <v>17.881583490985356</v>
          </cell>
          <cell r="AI903">
            <v>15.547864889645153</v>
          </cell>
          <cell r="AJ903">
            <v>20.215302092325562</v>
          </cell>
          <cell r="AU903">
            <v>8.6294325065726447</v>
          </cell>
          <cell r="AV903">
            <v>14.263722316306255</v>
          </cell>
          <cell r="AW903">
            <v>12.105561258724364</v>
          </cell>
          <cell r="AX903">
            <v>10.242049449424412</v>
          </cell>
          <cell r="AY903">
            <v>13.969073068024317</v>
          </cell>
        </row>
        <row r="904">
          <cell r="A904">
            <v>40802</v>
          </cell>
          <cell r="AF904">
            <v>15.340325804261917</v>
          </cell>
          <cell r="AG904">
            <v>20.469360058004284</v>
          </cell>
          <cell r="AH904">
            <v>17.881583490985356</v>
          </cell>
          <cell r="AI904">
            <v>15.547864889645153</v>
          </cell>
          <cell r="AJ904">
            <v>20.215302092325562</v>
          </cell>
          <cell r="AU904">
            <v>8.6946230810880536</v>
          </cell>
          <cell r="AV904">
            <v>14.263722316306255</v>
          </cell>
          <cell r="AW904">
            <v>12.105561258724364</v>
          </cell>
          <cell r="AX904">
            <v>10.242049449424412</v>
          </cell>
          <cell r="AY904">
            <v>13.969073068024317</v>
          </cell>
        </row>
        <row r="905">
          <cell r="A905">
            <v>40805</v>
          </cell>
          <cell r="AF905">
            <v>14.989260657852197</v>
          </cell>
          <cell r="AG905">
            <v>20.469360058004284</v>
          </cell>
          <cell r="AH905">
            <v>17.881583490985356</v>
          </cell>
          <cell r="AI905">
            <v>15.547864889645153</v>
          </cell>
          <cell r="AJ905">
            <v>20.215302092325562</v>
          </cell>
          <cell r="AU905">
            <v>8.4965417228937596</v>
          </cell>
          <cell r="AV905">
            <v>14.263722316306255</v>
          </cell>
          <cell r="AW905">
            <v>12.105561258724364</v>
          </cell>
          <cell r="AX905">
            <v>10.242049449424412</v>
          </cell>
          <cell r="AY905">
            <v>13.969073068024317</v>
          </cell>
        </row>
        <row r="906">
          <cell r="A906">
            <v>40806</v>
          </cell>
          <cell r="AF906">
            <v>14.940377797849376</v>
          </cell>
          <cell r="AG906">
            <v>20.469360058004284</v>
          </cell>
          <cell r="AH906">
            <v>17.881583490985356</v>
          </cell>
          <cell r="AI906">
            <v>15.547864889645153</v>
          </cell>
          <cell r="AJ906">
            <v>20.215302092325562</v>
          </cell>
          <cell r="AU906">
            <v>8.4689605648072757</v>
          </cell>
          <cell r="AV906">
            <v>14.263722316306255</v>
          </cell>
          <cell r="AW906">
            <v>12.105561258724364</v>
          </cell>
          <cell r="AX906">
            <v>10.242049449424412</v>
          </cell>
          <cell r="AY906">
            <v>13.969073068024317</v>
          </cell>
        </row>
        <row r="907">
          <cell r="A907">
            <v>40807</v>
          </cell>
          <cell r="AF907">
            <v>14.331565773554594</v>
          </cell>
          <cell r="AG907">
            <v>20.469360058004284</v>
          </cell>
          <cell r="AH907">
            <v>17.881583490985356</v>
          </cell>
          <cell r="AI907">
            <v>15.547864889645153</v>
          </cell>
          <cell r="AJ907">
            <v>20.215302092325562</v>
          </cell>
          <cell r="AU907">
            <v>8.1254507806813798</v>
          </cell>
          <cell r="AV907">
            <v>14.263722316306255</v>
          </cell>
          <cell r="AW907">
            <v>12.105561258724364</v>
          </cell>
          <cell r="AX907">
            <v>10.242049449424412</v>
          </cell>
          <cell r="AY907">
            <v>13.969073068024317</v>
          </cell>
        </row>
        <row r="908">
          <cell r="A908">
            <v>40808</v>
          </cell>
          <cell r="AF908">
            <v>13.713857957518572</v>
          </cell>
          <cell r="AG908">
            <v>20.469360058004284</v>
          </cell>
          <cell r="AH908">
            <v>17.881583490985356</v>
          </cell>
          <cell r="AI908">
            <v>15.547864889645153</v>
          </cell>
          <cell r="AJ908">
            <v>20.215302092325562</v>
          </cell>
          <cell r="AU908">
            <v>7.7769217272593458</v>
          </cell>
          <cell r="AV908">
            <v>14.263722316306255</v>
          </cell>
          <cell r="AW908">
            <v>12.105561258724364</v>
          </cell>
          <cell r="AX908">
            <v>10.242049449424412</v>
          </cell>
          <cell r="AY908">
            <v>13.969073068024317</v>
          </cell>
        </row>
        <row r="909">
          <cell r="A909">
            <v>40809</v>
          </cell>
          <cell r="AF909">
            <v>13.882728241294684</v>
          </cell>
          <cell r="AG909">
            <v>20.469360058004284</v>
          </cell>
          <cell r="AH909">
            <v>17.881583490985356</v>
          </cell>
          <cell r="AI909">
            <v>15.547864889645153</v>
          </cell>
          <cell r="AJ909">
            <v>20.215302092325562</v>
          </cell>
          <cell r="AU909">
            <v>7.8722033452471072</v>
          </cell>
          <cell r="AV909">
            <v>14.263722316306255</v>
          </cell>
          <cell r="AW909">
            <v>12.105561258724364</v>
          </cell>
          <cell r="AX909">
            <v>10.242049449424412</v>
          </cell>
          <cell r="AY909">
            <v>13.969073068024317</v>
          </cell>
        </row>
        <row r="910">
          <cell r="A910">
            <v>40812</v>
          </cell>
          <cell r="AF910">
            <v>14.068905063891261</v>
          </cell>
          <cell r="AG910">
            <v>20.469360058004284</v>
          </cell>
          <cell r="AH910">
            <v>17.881583490985356</v>
          </cell>
          <cell r="AI910">
            <v>15.547864889645153</v>
          </cell>
          <cell r="AJ910">
            <v>20.215302092325562</v>
          </cell>
          <cell r="AU910">
            <v>7.944919313377512</v>
          </cell>
          <cell r="AV910">
            <v>14.263722316306255</v>
          </cell>
          <cell r="AW910">
            <v>12.105561258724364</v>
          </cell>
          <cell r="AX910">
            <v>10.242049449424412</v>
          </cell>
          <cell r="AY910">
            <v>13.969073068024317</v>
          </cell>
        </row>
        <row r="911">
          <cell r="A911">
            <v>40813</v>
          </cell>
          <cell r="AF911">
            <v>14.586192813948417</v>
          </cell>
          <cell r="AG911">
            <v>20.469360058004284</v>
          </cell>
          <cell r="AH911">
            <v>17.881583490985356</v>
          </cell>
          <cell r="AI911">
            <v>15.547864889645153</v>
          </cell>
          <cell r="AJ911">
            <v>20.215302092325562</v>
          </cell>
          <cell r="AU911">
            <v>8.1705818296582926</v>
          </cell>
          <cell r="AV911">
            <v>14.263722316306255</v>
          </cell>
          <cell r="AW911">
            <v>12.105561258724364</v>
          </cell>
          <cell r="AX911">
            <v>10.242049449424412</v>
          </cell>
          <cell r="AY911">
            <v>13.969073068024317</v>
          </cell>
        </row>
        <row r="912">
          <cell r="A912">
            <v>40814</v>
          </cell>
          <cell r="AF912">
            <v>14.118430196079313</v>
          </cell>
          <cell r="AG912">
            <v>20.469360058004284</v>
          </cell>
          <cell r="AH912">
            <v>17.881583490985356</v>
          </cell>
          <cell r="AI912">
            <v>15.547864889645153</v>
          </cell>
          <cell r="AJ912">
            <v>20.215302092325562</v>
          </cell>
          <cell r="AU912">
            <v>7.9098162720052452</v>
          </cell>
          <cell r="AV912">
            <v>14.263722316306255</v>
          </cell>
          <cell r="AW912">
            <v>12.105561258724364</v>
          </cell>
          <cell r="AX912">
            <v>10.242049449424412</v>
          </cell>
          <cell r="AY912">
            <v>13.969073068024317</v>
          </cell>
        </row>
        <row r="913">
          <cell r="A913">
            <v>40815</v>
          </cell>
          <cell r="AF913">
            <v>14.145415333271863</v>
          </cell>
          <cell r="AG913">
            <v>20.469360058004284</v>
          </cell>
          <cell r="AH913">
            <v>17.881583490985356</v>
          </cell>
          <cell r="AI913">
            <v>15.547864889645153</v>
          </cell>
          <cell r="AJ913">
            <v>20.215302092325562</v>
          </cell>
          <cell r="AU913">
            <v>7.9248597878390141</v>
          </cell>
          <cell r="AV913">
            <v>14.263722316306255</v>
          </cell>
          <cell r="AW913">
            <v>12.105561258724364</v>
          </cell>
          <cell r="AX913">
            <v>10.242049449424412</v>
          </cell>
          <cell r="AY913">
            <v>13.969073068024317</v>
          </cell>
        </row>
        <row r="914">
          <cell r="A914">
            <v>40816</v>
          </cell>
          <cell r="AF914">
            <v>13.803582456085115</v>
          </cell>
          <cell r="AG914">
            <v>20.469360058004284</v>
          </cell>
          <cell r="AH914">
            <v>17.881583490985356</v>
          </cell>
          <cell r="AI914">
            <v>15.547864889645153</v>
          </cell>
          <cell r="AJ914">
            <v>20.215302092325562</v>
          </cell>
          <cell r="AU914">
            <v>7.7342968026012935</v>
          </cell>
          <cell r="AV914">
            <v>14.263722316306255</v>
          </cell>
          <cell r="AW914">
            <v>12.105561258724364</v>
          </cell>
          <cell r="AX914">
            <v>10.242049449424412</v>
          </cell>
          <cell r="AY914">
            <v>13.969073068024317</v>
          </cell>
        </row>
        <row r="915">
          <cell r="A915">
            <v>40819</v>
          </cell>
          <cell r="AF915">
            <v>12.920369682210701</v>
          </cell>
          <cell r="AG915">
            <v>20.469360058004284</v>
          </cell>
          <cell r="AH915">
            <v>17.881583490985356</v>
          </cell>
          <cell r="AI915">
            <v>15.547864889645153</v>
          </cell>
          <cell r="AJ915">
            <v>20.215302092325562</v>
          </cell>
          <cell r="AU915">
            <v>7.2055944829656076</v>
          </cell>
          <cell r="AV915">
            <v>14.263722316306255</v>
          </cell>
          <cell r="AW915">
            <v>12.105561258724364</v>
          </cell>
          <cell r="AX915">
            <v>10.242049449424412</v>
          </cell>
          <cell r="AY915">
            <v>13.969073068024317</v>
          </cell>
        </row>
        <row r="916">
          <cell r="A916">
            <v>40820</v>
          </cell>
          <cell r="AF916">
            <v>13.355636506304489</v>
          </cell>
          <cell r="AG916">
            <v>20.469360058004284</v>
          </cell>
          <cell r="AH916">
            <v>17.881583490985356</v>
          </cell>
          <cell r="AI916">
            <v>15.547864889645153</v>
          </cell>
          <cell r="AJ916">
            <v>20.215302092325562</v>
          </cell>
          <cell r="AU916">
            <v>7.4470433795090072</v>
          </cell>
          <cell r="AV916">
            <v>14.263722316306255</v>
          </cell>
          <cell r="AW916">
            <v>12.105561258724364</v>
          </cell>
          <cell r="AX916">
            <v>10.242049449424412</v>
          </cell>
          <cell r="AY916">
            <v>13.969073068024317</v>
          </cell>
        </row>
        <row r="917">
          <cell r="A917">
            <v>40821</v>
          </cell>
          <cell r="AF917">
            <v>13.631008298234278</v>
          </cell>
          <cell r="AG917">
            <v>20.469360058004284</v>
          </cell>
          <cell r="AH917">
            <v>17.881583490985356</v>
          </cell>
          <cell r="AI917">
            <v>15.547864889645153</v>
          </cell>
          <cell r="AJ917">
            <v>20.215302092325562</v>
          </cell>
          <cell r="AU917">
            <v>7.5997961546350519</v>
          </cell>
          <cell r="AV917">
            <v>14.263722316306255</v>
          </cell>
          <cell r="AW917">
            <v>12.105561258724364</v>
          </cell>
          <cell r="AX917">
            <v>10.242049449424412</v>
          </cell>
          <cell r="AY917">
            <v>13.969073068024317</v>
          </cell>
        </row>
        <row r="918">
          <cell r="A918">
            <v>40822</v>
          </cell>
          <cell r="AF918">
            <v>14.101814359423612</v>
          </cell>
          <cell r="AG918">
            <v>20.469360058004284</v>
          </cell>
          <cell r="AH918">
            <v>17.881583490985356</v>
          </cell>
          <cell r="AI918">
            <v>15.547864889645153</v>
          </cell>
          <cell r="AJ918">
            <v>20.215302092325562</v>
          </cell>
          <cell r="AU918">
            <v>7.8609591876706544</v>
          </cell>
          <cell r="AV918">
            <v>14.263722316306255</v>
          </cell>
          <cell r="AW918">
            <v>12.105561258724364</v>
          </cell>
          <cell r="AX918">
            <v>10.242049449424412</v>
          </cell>
          <cell r="AY918">
            <v>13.969073068024317</v>
          </cell>
        </row>
        <row r="919">
          <cell r="A919">
            <v>40823</v>
          </cell>
          <cell r="AF919">
            <v>13.946358622835126</v>
          </cell>
          <cell r="AG919">
            <v>20.469360058004284</v>
          </cell>
          <cell r="AH919">
            <v>17.881583490985356</v>
          </cell>
          <cell r="AI919">
            <v>15.547864889645153</v>
          </cell>
          <cell r="AJ919">
            <v>20.215302092325562</v>
          </cell>
          <cell r="AU919">
            <v>7.7747256086728145</v>
          </cell>
          <cell r="AV919">
            <v>14.263722316306255</v>
          </cell>
          <cell r="AW919">
            <v>12.105561258724364</v>
          </cell>
          <cell r="AX919">
            <v>10.242049449424412</v>
          </cell>
          <cell r="AY919">
            <v>13.969073068024317</v>
          </cell>
        </row>
        <row r="920">
          <cell r="A920">
            <v>40826</v>
          </cell>
          <cell r="AF920">
            <v>14.426043275175479</v>
          </cell>
          <cell r="AG920">
            <v>20.469360058004284</v>
          </cell>
          <cell r="AH920">
            <v>17.881583490985356</v>
          </cell>
          <cell r="AI920">
            <v>15.547864889645153</v>
          </cell>
          <cell r="AJ920">
            <v>20.215302092325562</v>
          </cell>
          <cell r="AU920">
            <v>8.0408137265474409</v>
          </cell>
          <cell r="AV920">
            <v>14.263722316306255</v>
          </cell>
          <cell r="AW920">
            <v>12.105561258724364</v>
          </cell>
          <cell r="AX920">
            <v>10.242049449424412</v>
          </cell>
          <cell r="AY920">
            <v>13.969073068024317</v>
          </cell>
        </row>
        <row r="921">
          <cell r="A921">
            <v>40827</v>
          </cell>
          <cell r="AF921">
            <v>14.426043275175479</v>
          </cell>
          <cell r="AG921">
            <v>20.469360058004284</v>
          </cell>
          <cell r="AH921">
            <v>17.881583490985356</v>
          </cell>
          <cell r="AI921">
            <v>15.547864889645153</v>
          </cell>
          <cell r="AJ921">
            <v>20.215302092325562</v>
          </cell>
          <cell r="AU921">
            <v>8.0408137265474409</v>
          </cell>
          <cell r="AV921">
            <v>14.263722316306255</v>
          </cell>
          <cell r="AW921">
            <v>12.105561258724364</v>
          </cell>
          <cell r="AX921">
            <v>10.242049449424412</v>
          </cell>
          <cell r="AY921">
            <v>13.969073068024317</v>
          </cell>
        </row>
        <row r="922">
          <cell r="A922">
            <v>40828</v>
          </cell>
          <cell r="AF922">
            <v>14.803568166173303</v>
          </cell>
          <cell r="AG922">
            <v>20.469360058004284</v>
          </cell>
          <cell r="AH922">
            <v>17.881583490985356</v>
          </cell>
          <cell r="AI922">
            <v>15.547864889645153</v>
          </cell>
          <cell r="AJ922">
            <v>20.215302092325562</v>
          </cell>
          <cell r="AU922">
            <v>8.2502323252170466</v>
          </cell>
          <cell r="AV922">
            <v>14.263722316306255</v>
          </cell>
          <cell r="AW922">
            <v>12.105561258724364</v>
          </cell>
          <cell r="AX922">
            <v>10.242049449424412</v>
          </cell>
          <cell r="AY922">
            <v>13.969073068024317</v>
          </cell>
        </row>
        <row r="923">
          <cell r="A923">
            <v>40829</v>
          </cell>
          <cell r="AF923">
            <v>14.554844583942304</v>
          </cell>
          <cell r="AG923">
            <v>20.469360058004284</v>
          </cell>
          <cell r="AH923">
            <v>17.881583490985356</v>
          </cell>
          <cell r="AI923">
            <v>15.547864889645153</v>
          </cell>
          <cell r="AJ923">
            <v>20.215302092325562</v>
          </cell>
          <cell r="AU923">
            <v>8.1122617031761273</v>
          </cell>
          <cell r="AV923">
            <v>14.263722316306255</v>
          </cell>
          <cell r="AW923">
            <v>12.105561258724364</v>
          </cell>
          <cell r="AX923">
            <v>10.242049449424412</v>
          </cell>
          <cell r="AY923">
            <v>13.969073068024317</v>
          </cell>
        </row>
        <row r="924">
          <cell r="A924">
            <v>40830</v>
          </cell>
          <cell r="AF924">
            <v>14.722548387098135</v>
          </cell>
          <cell r="AG924">
            <v>20.469360058004284</v>
          </cell>
          <cell r="AH924">
            <v>17.881583490985356</v>
          </cell>
          <cell r="AI924">
            <v>15.547864889645153</v>
          </cell>
          <cell r="AJ924">
            <v>20.215302092325562</v>
          </cell>
          <cell r="AU924">
            <v>8.1038745477259706</v>
          </cell>
          <cell r="AV924">
            <v>14.263722316306255</v>
          </cell>
          <cell r="AW924">
            <v>12.105561258724364</v>
          </cell>
          <cell r="AX924">
            <v>10.242049449424412</v>
          </cell>
          <cell r="AY924">
            <v>13.969073068024317</v>
          </cell>
        </row>
        <row r="925">
          <cell r="A925">
            <v>40833</v>
          </cell>
          <cell r="AF925">
            <v>14.24533752589655</v>
          </cell>
          <cell r="AG925">
            <v>20.469360058004284</v>
          </cell>
          <cell r="AH925">
            <v>17.881583490985356</v>
          </cell>
          <cell r="AI925">
            <v>15.547864889645153</v>
          </cell>
          <cell r="AJ925">
            <v>20.215302092325562</v>
          </cell>
          <cell r="AU925">
            <v>7.8424298428641359</v>
          </cell>
          <cell r="AV925">
            <v>14.263722316306255</v>
          </cell>
          <cell r="AW925">
            <v>12.105561258724364</v>
          </cell>
          <cell r="AX925">
            <v>10.242049449424412</v>
          </cell>
          <cell r="AY925">
            <v>13.969073068024317</v>
          </cell>
        </row>
        <row r="926">
          <cell r="A926">
            <v>40834</v>
          </cell>
          <cell r="AF926">
            <v>14.542761911809572</v>
          </cell>
          <cell r="AG926">
            <v>20.469360058004284</v>
          </cell>
          <cell r="AH926">
            <v>17.881583490985356</v>
          </cell>
          <cell r="AI926">
            <v>15.547864889645153</v>
          </cell>
          <cell r="AJ926">
            <v>20.215302092325562</v>
          </cell>
          <cell r="AU926">
            <v>8.0053767435234118</v>
          </cell>
          <cell r="AV926">
            <v>14.263722316306255</v>
          </cell>
          <cell r="AW926">
            <v>12.105561258724364</v>
          </cell>
          <cell r="AX926">
            <v>10.242049449424412</v>
          </cell>
          <cell r="AY926">
            <v>13.969073068024317</v>
          </cell>
        </row>
        <row r="927">
          <cell r="A927">
            <v>40835</v>
          </cell>
          <cell r="AF927">
            <v>14.698682677341811</v>
          </cell>
          <cell r="AG927">
            <v>20.469360058004284</v>
          </cell>
          <cell r="AH927">
            <v>17.881583490985356</v>
          </cell>
          <cell r="AI927">
            <v>15.547864889645153</v>
          </cell>
          <cell r="AJ927">
            <v>20.215302092325562</v>
          </cell>
          <cell r="AU927">
            <v>8.0964969803617652</v>
          </cell>
          <cell r="AV927">
            <v>14.263722316306255</v>
          </cell>
          <cell r="AW927">
            <v>12.105561258724364</v>
          </cell>
          <cell r="AX927">
            <v>10.242049449424412</v>
          </cell>
          <cell r="AY927">
            <v>13.969073068024317</v>
          </cell>
        </row>
        <row r="928">
          <cell r="A928">
            <v>40836</v>
          </cell>
          <cell r="AF928">
            <v>14.903266622193955</v>
          </cell>
          <cell r="AG928">
            <v>20.469360058004284</v>
          </cell>
          <cell r="AH928">
            <v>17.881583490985356</v>
          </cell>
          <cell r="AI928">
            <v>15.547864889645153</v>
          </cell>
          <cell r="AJ928">
            <v>20.215302092325562</v>
          </cell>
          <cell r="AU928">
            <v>8.2086582771123524</v>
          </cell>
          <cell r="AV928">
            <v>14.263722316306255</v>
          </cell>
          <cell r="AW928">
            <v>12.105561258724364</v>
          </cell>
          <cell r="AX928">
            <v>10.242049449424412</v>
          </cell>
          <cell r="AY928">
            <v>13.969073068024317</v>
          </cell>
        </row>
        <row r="929">
          <cell r="A929">
            <v>40837</v>
          </cell>
          <cell r="AF929">
            <v>15.30625353376853</v>
          </cell>
          <cell r="AG929">
            <v>20.469360058004284</v>
          </cell>
          <cell r="AH929">
            <v>17.881583490985356</v>
          </cell>
          <cell r="AI929">
            <v>15.547864889645153</v>
          </cell>
          <cell r="AJ929">
            <v>20.215302092325562</v>
          </cell>
          <cell r="AU929">
            <v>8.3810764706915659</v>
          </cell>
          <cell r="AV929">
            <v>14.263722316306255</v>
          </cell>
          <cell r="AW929">
            <v>12.105561258724364</v>
          </cell>
          <cell r="AX929">
            <v>10.242049449424412</v>
          </cell>
          <cell r="AY929">
            <v>13.969073068024317</v>
          </cell>
        </row>
        <row r="930">
          <cell r="A930">
            <v>40840</v>
          </cell>
          <cell r="AF930">
            <v>15.703875366019931</v>
          </cell>
          <cell r="AG930">
            <v>20.469360058004284</v>
          </cell>
          <cell r="AH930">
            <v>17.881583490985356</v>
          </cell>
          <cell r="AI930">
            <v>15.547864889645153</v>
          </cell>
          <cell r="AJ930">
            <v>20.215302092325562</v>
          </cell>
          <cell r="AU930">
            <v>8.5645171839444938</v>
          </cell>
          <cell r="AV930">
            <v>14.263722316306255</v>
          </cell>
          <cell r="AW930">
            <v>12.105561258724364</v>
          </cell>
          <cell r="AX930">
            <v>10.242049449424412</v>
          </cell>
          <cell r="AY930">
            <v>13.969073068024317</v>
          </cell>
        </row>
        <row r="931">
          <cell r="A931">
            <v>40841</v>
          </cell>
          <cell r="AF931">
            <v>15.63180283805236</v>
          </cell>
          <cell r="AG931">
            <v>20.469360058004284</v>
          </cell>
          <cell r="AH931">
            <v>17.881583490985356</v>
          </cell>
          <cell r="AI931">
            <v>15.547864889645153</v>
          </cell>
          <cell r="AJ931">
            <v>20.215302092325562</v>
          </cell>
          <cell r="AU931">
            <v>8.6008888503003114</v>
          </cell>
          <cell r="AV931">
            <v>14.263722316306255</v>
          </cell>
          <cell r="AW931">
            <v>12.105561258724364</v>
          </cell>
          <cell r="AX931">
            <v>10.242049449424412</v>
          </cell>
          <cell r="AY931">
            <v>13.969073068024317</v>
          </cell>
        </row>
        <row r="932">
          <cell r="A932">
            <v>40842</v>
          </cell>
          <cell r="AF932">
            <v>15.807032461678659</v>
          </cell>
          <cell r="AG932">
            <v>20.469360058004284</v>
          </cell>
          <cell r="AH932">
            <v>17.881583490985356</v>
          </cell>
          <cell r="AI932">
            <v>15.547864889645153</v>
          </cell>
          <cell r="AJ932">
            <v>20.215302092325562</v>
          </cell>
          <cell r="AU932">
            <v>8.6897204463650333</v>
          </cell>
          <cell r="AV932">
            <v>14.263722316306255</v>
          </cell>
          <cell r="AW932">
            <v>12.105561258724364</v>
          </cell>
          <cell r="AX932">
            <v>10.242049449424412</v>
          </cell>
          <cell r="AY932">
            <v>13.969073068024317</v>
          </cell>
        </row>
        <row r="933">
          <cell r="A933">
            <v>40843</v>
          </cell>
          <cell r="AF933">
            <v>17.502251127143197</v>
          </cell>
          <cell r="AG933">
            <v>20.469360058004284</v>
          </cell>
          <cell r="AH933">
            <v>17.881583490985356</v>
          </cell>
          <cell r="AI933">
            <v>15.547864889645153</v>
          </cell>
          <cell r="AJ933">
            <v>20.215302092325562</v>
          </cell>
          <cell r="AU933">
            <v>12.701319932620258</v>
          </cell>
          <cell r="AV933">
            <v>14.263722316306255</v>
          </cell>
          <cell r="AW933">
            <v>12.105561258724364</v>
          </cell>
          <cell r="AX933">
            <v>10.242049449424412</v>
          </cell>
          <cell r="AY933">
            <v>13.969073068024317</v>
          </cell>
        </row>
        <row r="934">
          <cell r="A934">
            <v>40844</v>
          </cell>
          <cell r="AF934">
            <v>17.311666466977801</v>
          </cell>
          <cell r="AG934">
            <v>20.469360058004284</v>
          </cell>
          <cell r="AH934">
            <v>17.881583490985356</v>
          </cell>
          <cell r="AI934">
            <v>15.547864889645153</v>
          </cell>
          <cell r="AJ934">
            <v>20.215302092325562</v>
          </cell>
          <cell r="AU934">
            <v>12.611959370521948</v>
          </cell>
          <cell r="AV934">
            <v>14.263722316306255</v>
          </cell>
          <cell r="AW934">
            <v>12.105561258724364</v>
          </cell>
          <cell r="AX934">
            <v>10.242049449424412</v>
          </cell>
          <cell r="AY934">
            <v>13.969073068024317</v>
          </cell>
        </row>
        <row r="935">
          <cell r="A935">
            <v>40847</v>
          </cell>
          <cell r="AF935">
            <v>16.487728773235744</v>
          </cell>
          <cell r="AG935">
            <v>20.469360058004284</v>
          </cell>
          <cell r="AH935">
            <v>17.881583490985356</v>
          </cell>
          <cell r="AI935">
            <v>15.547864889645153</v>
          </cell>
          <cell r="AJ935">
            <v>20.215302092325562</v>
          </cell>
          <cell r="AU935">
            <v>12.196562118773929</v>
          </cell>
          <cell r="AV935">
            <v>14.263722316306255</v>
          </cell>
          <cell r="AW935">
            <v>12.105561258724364</v>
          </cell>
          <cell r="AX935">
            <v>10.242049449424412</v>
          </cell>
          <cell r="AY935">
            <v>13.969073068024317</v>
          </cell>
        </row>
        <row r="936">
          <cell r="A936">
            <v>40848</v>
          </cell>
          <cell r="AF936">
            <v>15.62179053757292</v>
          </cell>
          <cell r="AG936">
            <v>20.469360058004284</v>
          </cell>
          <cell r="AH936">
            <v>17.881583490985356</v>
          </cell>
          <cell r="AI936">
            <v>15.547864889645153</v>
          </cell>
          <cell r="AJ936">
            <v>20.215302092325562</v>
          </cell>
          <cell r="AU936">
            <v>11.574805250966646</v>
          </cell>
          <cell r="AV936">
            <v>14.263722316306255</v>
          </cell>
          <cell r="AW936">
            <v>12.105561258724364</v>
          </cell>
          <cell r="AX936">
            <v>10.242049449424412</v>
          </cell>
          <cell r="AY936">
            <v>13.969073068024317</v>
          </cell>
        </row>
        <row r="937">
          <cell r="A937">
            <v>40849</v>
          </cell>
          <cell r="AF937">
            <v>15.59935408919219</v>
          </cell>
          <cell r="AG937">
            <v>20.469360058004284</v>
          </cell>
          <cell r="AH937">
            <v>17.881583490985356</v>
          </cell>
          <cell r="AI937">
            <v>15.547864889645153</v>
          </cell>
          <cell r="AJ937">
            <v>20.215302092325562</v>
          </cell>
          <cell r="AU937">
            <v>11.670362091588506</v>
          </cell>
          <cell r="AV937">
            <v>14.263722316306255</v>
          </cell>
          <cell r="AW937">
            <v>12.105561258724364</v>
          </cell>
          <cell r="AX937">
            <v>10.242049449424412</v>
          </cell>
          <cell r="AY937">
            <v>13.969073068024317</v>
          </cell>
        </row>
        <row r="938">
          <cell r="A938">
            <v>40850</v>
          </cell>
          <cell r="AF938">
            <v>15.800609439680386</v>
          </cell>
          <cell r="AG938">
            <v>20.469360058004284</v>
          </cell>
          <cell r="AH938">
            <v>17.881583490985356</v>
          </cell>
          <cell r="AI938">
            <v>15.547864889645153</v>
          </cell>
          <cell r="AJ938">
            <v>20.215302092325562</v>
          </cell>
          <cell r="AU938">
            <v>11.783518388955283</v>
          </cell>
          <cell r="AV938">
            <v>14.263722316306255</v>
          </cell>
          <cell r="AW938">
            <v>12.105561258724364</v>
          </cell>
          <cell r="AX938">
            <v>10.242049449424412</v>
          </cell>
          <cell r="AY938">
            <v>13.969073068024317</v>
          </cell>
        </row>
        <row r="939">
          <cell r="A939">
            <v>40851</v>
          </cell>
          <cell r="AF939">
            <v>15.574325204934034</v>
          </cell>
          <cell r="AG939">
            <v>20.469360058004284</v>
          </cell>
          <cell r="AH939">
            <v>17.881583490985356</v>
          </cell>
          <cell r="AI939">
            <v>15.547864889645153</v>
          </cell>
          <cell r="AJ939">
            <v>20.215302092325562</v>
          </cell>
          <cell r="AU939">
            <v>11.658323490953125</v>
          </cell>
          <cell r="AV939">
            <v>14.263722316306255</v>
          </cell>
          <cell r="AW939">
            <v>12.105561258724364</v>
          </cell>
          <cell r="AX939">
            <v>10.242049449424412</v>
          </cell>
          <cell r="AY939">
            <v>13.969073068024317</v>
          </cell>
        </row>
        <row r="940">
          <cell r="A940">
            <v>40854</v>
          </cell>
          <cell r="AF940">
            <v>15.725887099259319</v>
          </cell>
          <cell r="AG940">
            <v>20.469360058004284</v>
          </cell>
          <cell r="AH940">
            <v>17.881583490985356</v>
          </cell>
          <cell r="AI940">
            <v>15.547864889645153</v>
          </cell>
          <cell r="AJ940">
            <v>20.215302092325562</v>
          </cell>
          <cell r="AU940">
            <v>11.739410124089771</v>
          </cell>
          <cell r="AV940">
            <v>14.263722316306255</v>
          </cell>
          <cell r="AW940">
            <v>12.105561258724364</v>
          </cell>
          <cell r="AX940">
            <v>10.242049449424412</v>
          </cell>
          <cell r="AY940">
            <v>13.969073068024317</v>
          </cell>
        </row>
        <row r="941">
          <cell r="A941">
            <v>40855</v>
          </cell>
          <cell r="AF941">
            <v>16.13892403538517</v>
          </cell>
          <cell r="AG941">
            <v>20.469360058004284</v>
          </cell>
          <cell r="AH941">
            <v>17.881583490985356</v>
          </cell>
          <cell r="AI941">
            <v>15.547864889645153</v>
          </cell>
          <cell r="AJ941">
            <v>20.215302092325562</v>
          </cell>
          <cell r="AU941">
            <v>11.967926599244208</v>
          </cell>
          <cell r="AV941">
            <v>14.263722316306255</v>
          </cell>
          <cell r="AW941">
            <v>12.105561258724364</v>
          </cell>
          <cell r="AX941">
            <v>10.242049449424412</v>
          </cell>
          <cell r="AY941">
            <v>13.969073068024317</v>
          </cell>
        </row>
        <row r="942">
          <cell r="A942">
            <v>40856</v>
          </cell>
          <cell r="AF942">
            <v>15.334583800569231</v>
          </cell>
          <cell r="AG942">
            <v>20.469360058004284</v>
          </cell>
          <cell r="AH942">
            <v>17.881583490985356</v>
          </cell>
          <cell r="AI942">
            <v>15.547864889645153</v>
          </cell>
          <cell r="AJ942">
            <v>20.215302092325562</v>
          </cell>
          <cell r="AU942">
            <v>11.522917983285884</v>
          </cell>
          <cell r="AV942">
            <v>14.263722316306255</v>
          </cell>
          <cell r="AW942">
            <v>12.105561258724364</v>
          </cell>
          <cell r="AX942">
            <v>10.242049449424412</v>
          </cell>
          <cell r="AY942">
            <v>13.969073068024317</v>
          </cell>
        </row>
        <row r="943">
          <cell r="A943">
            <v>40857</v>
          </cell>
          <cell r="AF943">
            <v>15.42588959922759</v>
          </cell>
          <cell r="AG943">
            <v>20.469360058004284</v>
          </cell>
          <cell r="AH943">
            <v>17.881583490985356</v>
          </cell>
          <cell r="AI943">
            <v>15.547864889645153</v>
          </cell>
          <cell r="AJ943">
            <v>20.215302092325562</v>
          </cell>
          <cell r="AU943">
            <v>11.573433754263355</v>
          </cell>
          <cell r="AV943">
            <v>14.263722316306255</v>
          </cell>
          <cell r="AW943">
            <v>12.105561258724364</v>
          </cell>
          <cell r="AX943">
            <v>10.242049449424412</v>
          </cell>
          <cell r="AY943">
            <v>13.969073068024317</v>
          </cell>
        </row>
        <row r="944">
          <cell r="A944">
            <v>40858</v>
          </cell>
          <cell r="AF944">
            <v>15.747620301917985</v>
          </cell>
          <cell r="AG944">
            <v>20.469360058004284</v>
          </cell>
          <cell r="AH944">
            <v>17.881583490985356</v>
          </cell>
          <cell r="AI944">
            <v>15.547864889645153</v>
          </cell>
          <cell r="AJ944">
            <v>20.215302092325562</v>
          </cell>
          <cell r="AU944">
            <v>11.751434217895905</v>
          </cell>
          <cell r="AV944">
            <v>14.263722316306255</v>
          </cell>
          <cell r="AW944">
            <v>12.105561258724364</v>
          </cell>
          <cell r="AX944">
            <v>10.242049449424412</v>
          </cell>
          <cell r="AY944">
            <v>13.969073068024317</v>
          </cell>
        </row>
        <row r="945">
          <cell r="A945">
            <v>40861</v>
          </cell>
          <cell r="AF945">
            <v>15.595452666362624</v>
          </cell>
          <cell r="AG945">
            <v>20.469360058004284</v>
          </cell>
          <cell r="AH945">
            <v>17.881583490985356</v>
          </cell>
          <cell r="AI945">
            <v>15.547864889645153</v>
          </cell>
          <cell r="AJ945">
            <v>20.215302092325562</v>
          </cell>
          <cell r="AU945">
            <v>11.667246077155145</v>
          </cell>
          <cell r="AV945">
            <v>14.263722316306255</v>
          </cell>
          <cell r="AW945">
            <v>12.105561258724364</v>
          </cell>
          <cell r="AX945">
            <v>10.242049449424412</v>
          </cell>
          <cell r="AY945">
            <v>13.969073068024317</v>
          </cell>
        </row>
        <row r="946">
          <cell r="A946">
            <v>40862</v>
          </cell>
          <cell r="AF946">
            <v>15.691104062087687</v>
          </cell>
          <cell r="AG946">
            <v>20.469360058004284</v>
          </cell>
          <cell r="AH946">
            <v>17.881583490985356</v>
          </cell>
          <cell r="AI946">
            <v>15.547864889645153</v>
          </cell>
          <cell r="AJ946">
            <v>20.215302092325562</v>
          </cell>
          <cell r="AU946">
            <v>11.720166089587236</v>
          </cell>
          <cell r="AV946">
            <v>14.263722316306255</v>
          </cell>
          <cell r="AW946">
            <v>12.105561258724364</v>
          </cell>
          <cell r="AX946">
            <v>10.242049449424412</v>
          </cell>
          <cell r="AY946">
            <v>13.969073068024317</v>
          </cell>
        </row>
        <row r="947">
          <cell r="A947">
            <v>40863</v>
          </cell>
          <cell r="AF947">
            <v>15.343281081581972</v>
          </cell>
          <cell r="AG947">
            <v>20.469360058004284</v>
          </cell>
          <cell r="AH947">
            <v>17.881583490985356</v>
          </cell>
          <cell r="AI947">
            <v>15.547864889645153</v>
          </cell>
          <cell r="AJ947">
            <v>20.215302092325562</v>
          </cell>
          <cell r="AU947">
            <v>11.527729833816982</v>
          </cell>
          <cell r="AV947">
            <v>14.263722316306255</v>
          </cell>
          <cell r="AW947">
            <v>12.105561258724364</v>
          </cell>
          <cell r="AX947">
            <v>10.242049449424412</v>
          </cell>
          <cell r="AY947">
            <v>13.969073068024317</v>
          </cell>
        </row>
        <row r="948">
          <cell r="A948">
            <v>40864</v>
          </cell>
          <cell r="AF948">
            <v>14.947632185825176</v>
          </cell>
          <cell r="AG948">
            <v>20.469360058004284</v>
          </cell>
          <cell r="AH948">
            <v>17.881583490985356</v>
          </cell>
          <cell r="AI948">
            <v>15.547864889645153</v>
          </cell>
          <cell r="AJ948">
            <v>20.215302092325562</v>
          </cell>
          <cell r="AU948">
            <v>11.308833451558472</v>
          </cell>
          <cell r="AV948">
            <v>14.263722316306255</v>
          </cell>
          <cell r="AW948">
            <v>12.105561258724364</v>
          </cell>
          <cell r="AX948">
            <v>10.242049449424412</v>
          </cell>
          <cell r="AY948">
            <v>13.969073068024317</v>
          </cell>
        </row>
        <row r="949">
          <cell r="A949">
            <v>40865</v>
          </cell>
          <cell r="AF949">
            <v>14.604161324042593</v>
          </cell>
          <cell r="AG949">
            <v>20.469360058004284</v>
          </cell>
          <cell r="AH949">
            <v>17.881583490985356</v>
          </cell>
          <cell r="AI949">
            <v>15.547864889645153</v>
          </cell>
          <cell r="AJ949">
            <v>20.215302092325562</v>
          </cell>
          <cell r="AU949">
            <v>11.118805045409106</v>
          </cell>
          <cell r="AV949">
            <v>14.263722316306255</v>
          </cell>
          <cell r="AW949">
            <v>12.105561258724364</v>
          </cell>
          <cell r="AX949">
            <v>10.242049449424412</v>
          </cell>
          <cell r="AY949">
            <v>13.969073068024317</v>
          </cell>
        </row>
        <row r="950">
          <cell r="A950">
            <v>40868</v>
          </cell>
          <cell r="AF950">
            <v>14.765577586027003</v>
          </cell>
          <cell r="AG950">
            <v>20.469360058004284</v>
          </cell>
          <cell r="AH950">
            <v>17.881583490985356</v>
          </cell>
          <cell r="AI950">
            <v>15.547864889645153</v>
          </cell>
          <cell r="AJ950">
            <v>20.215302092325562</v>
          </cell>
          <cell r="AU950">
            <v>11.211713920779989</v>
          </cell>
          <cell r="AV950">
            <v>14.263722316306255</v>
          </cell>
          <cell r="AW950">
            <v>12.105561258724364</v>
          </cell>
          <cell r="AX950">
            <v>10.242049449424412</v>
          </cell>
          <cell r="AY950">
            <v>13.969073068024317</v>
          </cell>
        </row>
        <row r="951">
          <cell r="A951">
            <v>40869</v>
          </cell>
          <cell r="AF951">
            <v>14.487064269225559</v>
          </cell>
          <cell r="AG951">
            <v>20.469360058004284</v>
          </cell>
          <cell r="AH951">
            <v>17.881583490985356</v>
          </cell>
          <cell r="AI951">
            <v>15.547864889645153</v>
          </cell>
          <cell r="AJ951">
            <v>20.215302092325562</v>
          </cell>
          <cell r="AU951">
            <v>11.057612828409898</v>
          </cell>
          <cell r="AV951">
            <v>14.263722316306255</v>
          </cell>
          <cell r="AW951">
            <v>12.105561258724364</v>
          </cell>
          <cell r="AX951">
            <v>10.242049449424412</v>
          </cell>
          <cell r="AY951">
            <v>13.969073068024317</v>
          </cell>
        </row>
        <row r="952">
          <cell r="A952">
            <v>40870</v>
          </cell>
          <cell r="AF952">
            <v>14.299934360692649</v>
          </cell>
          <cell r="AG952">
            <v>20.469360058004284</v>
          </cell>
          <cell r="AH952">
            <v>17.881583490985356</v>
          </cell>
          <cell r="AI952">
            <v>15.547864889645153</v>
          </cell>
          <cell r="AJ952">
            <v>20.215302092325562</v>
          </cell>
          <cell r="AU952">
            <v>10.954074068930778</v>
          </cell>
          <cell r="AV952">
            <v>14.263722316306255</v>
          </cell>
          <cell r="AW952">
            <v>12.105561258724364</v>
          </cell>
          <cell r="AX952">
            <v>10.242049449424412</v>
          </cell>
          <cell r="AY952">
            <v>13.969073068024317</v>
          </cell>
        </row>
        <row r="953">
          <cell r="A953">
            <v>40871</v>
          </cell>
          <cell r="AF953">
            <v>14.299934360692649</v>
          </cell>
          <cell r="AG953">
            <v>20.469360058004284</v>
          </cell>
          <cell r="AH953">
            <v>17.881583490985356</v>
          </cell>
          <cell r="AI953">
            <v>15.547864889645153</v>
          </cell>
          <cell r="AJ953">
            <v>20.215302092325562</v>
          </cell>
          <cell r="AU953">
            <v>10.954074068930778</v>
          </cell>
          <cell r="AV953">
            <v>14.263722316306255</v>
          </cell>
          <cell r="AW953">
            <v>12.105561258724364</v>
          </cell>
          <cell r="AX953">
            <v>10.242049449424412</v>
          </cell>
          <cell r="AY953">
            <v>13.969073068024317</v>
          </cell>
        </row>
        <row r="954">
          <cell r="A954">
            <v>40872</v>
          </cell>
          <cell r="AF954">
            <v>14.273824566800075</v>
          </cell>
          <cell r="AG954">
            <v>20.469360058004284</v>
          </cell>
          <cell r="AH954">
            <v>17.881583490985356</v>
          </cell>
          <cell r="AI954">
            <v>15.547864889645153</v>
          </cell>
          <cell r="AJ954">
            <v>20.215302092325562</v>
          </cell>
          <cell r="AU954">
            <v>10.939627550514311</v>
          </cell>
          <cell r="AV954">
            <v>14.263722316306255</v>
          </cell>
          <cell r="AW954">
            <v>12.105561258724364</v>
          </cell>
          <cell r="AX954">
            <v>10.242049449424412</v>
          </cell>
          <cell r="AY954">
            <v>13.969073068024317</v>
          </cell>
        </row>
        <row r="955">
          <cell r="A955">
            <v>40875</v>
          </cell>
          <cell r="AF955">
            <v>14.717708034905579</v>
          </cell>
          <cell r="AG955">
            <v>20.469360058004284</v>
          </cell>
          <cell r="AH955">
            <v>17.881583490985356</v>
          </cell>
          <cell r="AI955">
            <v>15.547864889645153</v>
          </cell>
          <cell r="AJ955">
            <v>20.215302092325562</v>
          </cell>
          <cell r="AU955">
            <v>11.185227754144243</v>
          </cell>
          <cell r="AV955">
            <v>14.263722316306255</v>
          </cell>
          <cell r="AW955">
            <v>12.105561258724364</v>
          </cell>
          <cell r="AX955">
            <v>10.242049449424412</v>
          </cell>
          <cell r="AY955">
            <v>13.969073068024317</v>
          </cell>
        </row>
        <row r="956">
          <cell r="A956">
            <v>40876</v>
          </cell>
          <cell r="AF956">
            <v>14.713692140214794</v>
          </cell>
          <cell r="AG956">
            <v>20.469360058004284</v>
          </cell>
          <cell r="AH956">
            <v>17.881583490985356</v>
          </cell>
          <cell r="AI956">
            <v>15.547864889645153</v>
          </cell>
          <cell r="AJ956">
            <v>20.215302092325562</v>
          </cell>
          <cell r="AU956">
            <v>11.184495036405858</v>
          </cell>
          <cell r="AV956">
            <v>14.263722316306255</v>
          </cell>
          <cell r="AW956">
            <v>12.105561258724364</v>
          </cell>
          <cell r="AX956">
            <v>10.242049449424412</v>
          </cell>
          <cell r="AY956">
            <v>13.969073068024317</v>
          </cell>
        </row>
        <row r="957">
          <cell r="A957">
            <v>40877</v>
          </cell>
          <cell r="AF957">
            <v>15.723921619857826</v>
          </cell>
          <cell r="AG957">
            <v>20.469360058004284</v>
          </cell>
          <cell r="AH957">
            <v>17.881583490985356</v>
          </cell>
          <cell r="AI957">
            <v>15.547864889645153</v>
          </cell>
          <cell r="AJ957">
            <v>20.215302092325562</v>
          </cell>
          <cell r="AU957">
            <v>11.743434804513234</v>
          </cell>
          <cell r="AV957">
            <v>14.263722316306255</v>
          </cell>
          <cell r="AW957">
            <v>12.105561258724364</v>
          </cell>
          <cell r="AX957">
            <v>10.242049449424412</v>
          </cell>
          <cell r="AY957">
            <v>13.969073068024317</v>
          </cell>
        </row>
        <row r="958">
          <cell r="A958">
            <v>40878</v>
          </cell>
          <cell r="AF958">
            <v>15.573271551724138</v>
          </cell>
          <cell r="AG958">
            <v>20.469360058004284</v>
          </cell>
          <cell r="AH958">
            <v>17.881583490985356</v>
          </cell>
          <cell r="AI958">
            <v>15.547864889645153</v>
          </cell>
          <cell r="AJ958">
            <v>20.215302092325562</v>
          </cell>
          <cell r="AU958">
            <v>11.559230752370619</v>
          </cell>
          <cell r="AV958">
            <v>14.263722316306255</v>
          </cell>
          <cell r="AW958">
            <v>12.105561258724364</v>
          </cell>
          <cell r="AX958">
            <v>10.242049449424412</v>
          </cell>
          <cell r="AY958">
            <v>13.969073068024317</v>
          </cell>
        </row>
        <row r="959">
          <cell r="A959">
            <v>40879</v>
          </cell>
          <cell r="AF959">
            <v>15.245687931034483</v>
          </cell>
          <cell r="AG959">
            <v>20.469360058004284</v>
          </cell>
          <cell r="AH959">
            <v>17.881583490985356</v>
          </cell>
          <cell r="AI959">
            <v>15.547864889645153</v>
          </cell>
          <cell r="AJ959">
            <v>20.215302092325562</v>
          </cell>
          <cell r="AU959">
            <v>11.379076596879859</v>
          </cell>
          <cell r="AV959">
            <v>14.263722316306255</v>
          </cell>
          <cell r="AW959">
            <v>12.105561258724364</v>
          </cell>
          <cell r="AX959">
            <v>10.242049449424412</v>
          </cell>
          <cell r="AY959">
            <v>13.969073068024317</v>
          </cell>
        </row>
        <row r="960">
          <cell r="A960">
            <v>40882</v>
          </cell>
          <cell r="AF960">
            <v>15.482758189655172</v>
          </cell>
          <cell r="AG960">
            <v>20.469360058004284</v>
          </cell>
          <cell r="AH960">
            <v>17.881583490985356</v>
          </cell>
          <cell r="AI960">
            <v>15.547864889645153</v>
          </cell>
          <cell r="AJ960">
            <v>20.215302092325562</v>
          </cell>
          <cell r="AU960">
            <v>11.509453055091877</v>
          </cell>
          <cell r="AV960">
            <v>14.263722316306255</v>
          </cell>
          <cell r="AW960">
            <v>12.105561258724364</v>
          </cell>
          <cell r="AX960">
            <v>10.242049449424412</v>
          </cell>
          <cell r="AY960">
            <v>13.969073068024317</v>
          </cell>
        </row>
        <row r="961">
          <cell r="A961">
            <v>40883</v>
          </cell>
          <cell r="AF961">
            <v>15.538787931034483</v>
          </cell>
          <cell r="AG961">
            <v>20.469360058004284</v>
          </cell>
          <cell r="AH961">
            <v>17.881583490985356</v>
          </cell>
          <cell r="AI961">
            <v>15.547864889645153</v>
          </cell>
          <cell r="AJ961">
            <v>20.215302092325562</v>
          </cell>
          <cell r="AU961">
            <v>11.540266533248399</v>
          </cell>
          <cell r="AV961">
            <v>14.263722316306255</v>
          </cell>
          <cell r="AW961">
            <v>12.105561258724364</v>
          </cell>
          <cell r="AX961">
            <v>10.242049449424412</v>
          </cell>
          <cell r="AY961">
            <v>13.969073068024317</v>
          </cell>
        </row>
        <row r="962">
          <cell r="A962">
            <v>40884</v>
          </cell>
          <cell r="AF962">
            <v>15.551718534482761</v>
          </cell>
          <cell r="AG962">
            <v>20.469360058004284</v>
          </cell>
          <cell r="AH962">
            <v>17.881583490985356</v>
          </cell>
          <cell r="AI962">
            <v>15.547864889645153</v>
          </cell>
          <cell r="AJ962">
            <v>20.215302092325562</v>
          </cell>
          <cell r="AU962">
            <v>11.54737770058731</v>
          </cell>
          <cell r="AV962">
            <v>14.263722316306255</v>
          </cell>
          <cell r="AW962">
            <v>12.105561258724364</v>
          </cell>
          <cell r="AX962">
            <v>10.242049449424412</v>
          </cell>
          <cell r="AY962">
            <v>13.969073068024317</v>
          </cell>
        </row>
        <row r="963">
          <cell r="A963">
            <v>40885</v>
          </cell>
          <cell r="AF963">
            <v>15.219826724137933</v>
          </cell>
          <cell r="AG963">
            <v>20.469360058004284</v>
          </cell>
          <cell r="AH963">
            <v>17.881583490985356</v>
          </cell>
          <cell r="AI963">
            <v>15.547864889645153</v>
          </cell>
          <cell r="AJ963">
            <v>20.215302092325562</v>
          </cell>
          <cell r="AU963">
            <v>11.364854262202039</v>
          </cell>
          <cell r="AV963">
            <v>14.263722316306255</v>
          </cell>
          <cell r="AW963">
            <v>12.105561258724364</v>
          </cell>
          <cell r="AX963">
            <v>10.242049449424412</v>
          </cell>
          <cell r="AY963">
            <v>13.969073068024317</v>
          </cell>
        </row>
        <row r="964">
          <cell r="A964">
            <v>40886</v>
          </cell>
          <cell r="AF964">
            <v>15.573271551724138</v>
          </cell>
          <cell r="AG964">
            <v>20.469360058004284</v>
          </cell>
          <cell r="AH964">
            <v>17.881583490985356</v>
          </cell>
          <cell r="AI964">
            <v>15.547864889645153</v>
          </cell>
          <cell r="AJ964">
            <v>20.215302092325562</v>
          </cell>
          <cell r="AU964">
            <v>11.559230752370619</v>
          </cell>
          <cell r="AV964">
            <v>14.263722316306255</v>
          </cell>
          <cell r="AW964">
            <v>12.105561258724364</v>
          </cell>
          <cell r="AX964">
            <v>10.242049449424412</v>
          </cell>
          <cell r="AY964">
            <v>13.969073068024317</v>
          </cell>
        </row>
        <row r="965">
          <cell r="A965">
            <v>40889</v>
          </cell>
          <cell r="AF965">
            <v>15.383615517241379</v>
          </cell>
          <cell r="AG965">
            <v>20.469360058004284</v>
          </cell>
          <cell r="AH965">
            <v>17.881583490985356</v>
          </cell>
          <cell r="AI965">
            <v>15.547864889645153</v>
          </cell>
          <cell r="AJ965">
            <v>20.215302092325562</v>
          </cell>
          <cell r="AU965">
            <v>11.454929680619729</v>
          </cell>
          <cell r="AV965">
            <v>14.263722316306255</v>
          </cell>
          <cell r="AW965">
            <v>12.105561258724364</v>
          </cell>
          <cell r="AX965">
            <v>10.242049449424412</v>
          </cell>
          <cell r="AY965">
            <v>13.969073068024317</v>
          </cell>
        </row>
        <row r="966">
          <cell r="A966">
            <v>40890</v>
          </cell>
          <cell r="AF966">
            <v>15.163790086206898</v>
          </cell>
          <cell r="AG966">
            <v>20.469360058004284</v>
          </cell>
          <cell r="AH966">
            <v>17.881583490985356</v>
          </cell>
          <cell r="AI966">
            <v>15.547864889645153</v>
          </cell>
          <cell r="AJ966">
            <v>20.215302092325562</v>
          </cell>
          <cell r="AU966">
            <v>11.334036991296511</v>
          </cell>
          <cell r="AV966">
            <v>14.263722316306255</v>
          </cell>
          <cell r="AW966">
            <v>12.105561258724364</v>
          </cell>
          <cell r="AX966">
            <v>10.242049449424412</v>
          </cell>
          <cell r="AY966">
            <v>13.969073068024317</v>
          </cell>
        </row>
        <row r="967">
          <cell r="A967">
            <v>40891</v>
          </cell>
          <cell r="AF967">
            <v>15.021547844827589</v>
          </cell>
          <cell r="AG967">
            <v>20.469360058004284</v>
          </cell>
          <cell r="AH967">
            <v>17.881583490985356</v>
          </cell>
          <cell r="AI967">
            <v>15.547864889645153</v>
          </cell>
          <cell r="AJ967">
            <v>20.215302092325562</v>
          </cell>
          <cell r="AU967">
            <v>11.255811068959938</v>
          </cell>
          <cell r="AV967">
            <v>14.263722316306255</v>
          </cell>
          <cell r="AW967">
            <v>12.105561258724364</v>
          </cell>
          <cell r="AX967">
            <v>10.242049449424412</v>
          </cell>
          <cell r="AY967">
            <v>13.969073068024317</v>
          </cell>
        </row>
        <row r="968">
          <cell r="A968">
            <v>40892</v>
          </cell>
          <cell r="AF968">
            <v>14.995687068965518</v>
          </cell>
          <cell r="AG968">
            <v>20.469360058004284</v>
          </cell>
          <cell r="AH968">
            <v>17.881583490985356</v>
          </cell>
          <cell r="AI968">
            <v>15.547864889645153</v>
          </cell>
          <cell r="AJ968">
            <v>20.215302092325562</v>
          </cell>
          <cell r="AU968">
            <v>11.241588971328929</v>
          </cell>
          <cell r="AV968">
            <v>14.263722316306255</v>
          </cell>
          <cell r="AW968">
            <v>12.105561258724364</v>
          </cell>
          <cell r="AX968">
            <v>10.242049449424412</v>
          </cell>
          <cell r="AY968">
            <v>13.969073068024317</v>
          </cell>
        </row>
        <row r="969">
          <cell r="A969">
            <v>40893</v>
          </cell>
          <cell r="AF969">
            <v>14.939650431034485</v>
          </cell>
          <cell r="AG969">
            <v>20.469360058004284</v>
          </cell>
          <cell r="AH969">
            <v>17.881583490985356</v>
          </cell>
          <cell r="AI969">
            <v>15.547864889645153</v>
          </cell>
          <cell r="AJ969">
            <v>20.215302092325562</v>
          </cell>
          <cell r="AU969">
            <v>11.210771700423402</v>
          </cell>
          <cell r="AV969">
            <v>14.263722316306255</v>
          </cell>
          <cell r="AW969">
            <v>12.105561258724364</v>
          </cell>
          <cell r="AX969">
            <v>10.242049449424412</v>
          </cell>
          <cell r="AY969">
            <v>13.969073068024317</v>
          </cell>
        </row>
        <row r="970">
          <cell r="A970">
            <v>40896</v>
          </cell>
          <cell r="AF970">
            <v>14.862067241379311</v>
          </cell>
          <cell r="AG970">
            <v>20.469360058004284</v>
          </cell>
          <cell r="AH970">
            <v>17.881583490985356</v>
          </cell>
          <cell r="AI970">
            <v>15.547864889645153</v>
          </cell>
          <cell r="AJ970">
            <v>20.215302092325562</v>
          </cell>
          <cell r="AU970">
            <v>11.168104933436755</v>
          </cell>
          <cell r="AV970">
            <v>14.263722316306255</v>
          </cell>
          <cell r="AW970">
            <v>12.105561258724364</v>
          </cell>
          <cell r="AX970">
            <v>10.242049449424412</v>
          </cell>
          <cell r="AY970">
            <v>13.969073068024317</v>
          </cell>
        </row>
        <row r="971">
          <cell r="A971">
            <v>40897</v>
          </cell>
          <cell r="AF971">
            <v>15.262926293103451</v>
          </cell>
          <cell r="AG971">
            <v>20.469360058004284</v>
          </cell>
          <cell r="AH971">
            <v>17.881583490985356</v>
          </cell>
          <cell r="AI971">
            <v>15.547864889645153</v>
          </cell>
          <cell r="AJ971">
            <v>20.215302092325562</v>
          </cell>
          <cell r="AU971">
            <v>11.388556810066465</v>
          </cell>
          <cell r="AV971">
            <v>14.263722316306255</v>
          </cell>
          <cell r="AW971">
            <v>12.105561258724364</v>
          </cell>
          <cell r="AX971">
            <v>10.242049449424412</v>
          </cell>
          <cell r="AY971">
            <v>13.969073068024317</v>
          </cell>
        </row>
        <row r="972">
          <cell r="A972">
            <v>40898</v>
          </cell>
          <cell r="AF972">
            <v>15.237065086206899</v>
          </cell>
          <cell r="AG972">
            <v>20.469360058004284</v>
          </cell>
          <cell r="AH972">
            <v>17.881583490985356</v>
          </cell>
          <cell r="AI972">
            <v>15.547864889645153</v>
          </cell>
          <cell r="AJ972">
            <v>20.215302092325562</v>
          </cell>
          <cell r="AU972">
            <v>11.374334475388647</v>
          </cell>
          <cell r="AV972">
            <v>14.263722316306255</v>
          </cell>
          <cell r="AW972">
            <v>12.105561258724364</v>
          </cell>
          <cell r="AX972">
            <v>10.242049449424412</v>
          </cell>
          <cell r="AY972">
            <v>13.969073068024317</v>
          </cell>
        </row>
        <row r="973">
          <cell r="A973">
            <v>40899</v>
          </cell>
          <cell r="AF973">
            <v>15.323270689655173</v>
          </cell>
          <cell r="AG973">
            <v>20.469360058004284</v>
          </cell>
          <cell r="AH973">
            <v>17.881583490985356</v>
          </cell>
          <cell r="AI973">
            <v>15.547864889645153</v>
          </cell>
          <cell r="AJ973">
            <v>20.215302092325562</v>
          </cell>
          <cell r="AU973">
            <v>11.42174312681969</v>
          </cell>
          <cell r="AV973">
            <v>14.263722316306255</v>
          </cell>
          <cell r="AW973">
            <v>12.105561258724364</v>
          </cell>
          <cell r="AX973">
            <v>10.242049449424412</v>
          </cell>
          <cell r="AY973">
            <v>13.969073068024317</v>
          </cell>
        </row>
        <row r="974">
          <cell r="A974">
            <v>40900</v>
          </cell>
          <cell r="AF974">
            <v>15.357754310344829</v>
          </cell>
          <cell r="AG974">
            <v>20.469360058004284</v>
          </cell>
          <cell r="AH974">
            <v>17.881583490985356</v>
          </cell>
          <cell r="AI974">
            <v>15.547864889645153</v>
          </cell>
          <cell r="AJ974">
            <v>20.215302092325562</v>
          </cell>
          <cell r="AU974">
            <v>11.44070734594191</v>
          </cell>
          <cell r="AV974">
            <v>14.263722316306255</v>
          </cell>
          <cell r="AW974">
            <v>12.105561258724364</v>
          </cell>
          <cell r="AX974">
            <v>10.242049449424412</v>
          </cell>
          <cell r="AY974">
            <v>13.969073068024317</v>
          </cell>
        </row>
        <row r="975">
          <cell r="A975">
            <v>40903</v>
          </cell>
          <cell r="AF975">
            <v>15.357754310344829</v>
          </cell>
          <cell r="AG975">
            <v>20.469360058004284</v>
          </cell>
          <cell r="AH975">
            <v>17.881583490985356</v>
          </cell>
          <cell r="AI975">
            <v>15.547864889645153</v>
          </cell>
          <cell r="AJ975">
            <v>20.215302092325562</v>
          </cell>
          <cell r="AU975">
            <v>11.44070734594191</v>
          </cell>
          <cell r="AV975">
            <v>14.263722316306255</v>
          </cell>
          <cell r="AW975">
            <v>12.105561258724364</v>
          </cell>
          <cell r="AX975">
            <v>10.242049449424412</v>
          </cell>
          <cell r="AY975">
            <v>13.969073068024317</v>
          </cell>
        </row>
        <row r="976">
          <cell r="A976">
            <v>40904</v>
          </cell>
          <cell r="AF976">
            <v>15.314654741379309</v>
          </cell>
          <cell r="AG976">
            <v>20.469360058004284</v>
          </cell>
          <cell r="AH976">
            <v>17.881583490985356</v>
          </cell>
          <cell r="AI976">
            <v>15.547864889645153</v>
          </cell>
          <cell r="AJ976">
            <v>20.215302092325562</v>
          </cell>
          <cell r="AU976">
            <v>11.417004798077484</v>
          </cell>
          <cell r="AV976">
            <v>14.263722316306255</v>
          </cell>
          <cell r="AW976">
            <v>12.105561258724364</v>
          </cell>
          <cell r="AX976">
            <v>10.242049449424412</v>
          </cell>
          <cell r="AY976">
            <v>13.969073068024317</v>
          </cell>
        </row>
        <row r="977">
          <cell r="A977">
            <v>40905</v>
          </cell>
          <cell r="AF977">
            <v>15.021547844827589</v>
          </cell>
          <cell r="AG977">
            <v>20.469360058004284</v>
          </cell>
          <cell r="AH977">
            <v>17.881583490985356</v>
          </cell>
          <cell r="AI977">
            <v>15.547864889645153</v>
          </cell>
          <cell r="AJ977">
            <v>20.215302092325562</v>
          </cell>
          <cell r="AU977">
            <v>11.255811068959938</v>
          </cell>
          <cell r="AV977">
            <v>14.263722316306255</v>
          </cell>
          <cell r="AW977">
            <v>12.105561258724364</v>
          </cell>
          <cell r="AX977">
            <v>10.242049449424412</v>
          </cell>
          <cell r="AY977">
            <v>13.969073068024317</v>
          </cell>
        </row>
        <row r="978">
          <cell r="A978">
            <v>40906</v>
          </cell>
          <cell r="AF978">
            <v>15.215512068965518</v>
          </cell>
          <cell r="AG978">
            <v>20.469360058004284</v>
          </cell>
          <cell r="AH978">
            <v>17.881583490985356</v>
          </cell>
          <cell r="AI978">
            <v>15.547864889645153</v>
          </cell>
          <cell r="AJ978">
            <v>20.215302092325562</v>
          </cell>
          <cell r="AU978">
            <v>11.362481423605336</v>
          </cell>
          <cell r="AV978">
            <v>14.263722316306255</v>
          </cell>
          <cell r="AW978">
            <v>12.105561258724364</v>
          </cell>
          <cell r="AX978">
            <v>10.242049449424412</v>
          </cell>
          <cell r="AY978">
            <v>13.969073068024317</v>
          </cell>
        </row>
        <row r="979">
          <cell r="A979">
            <v>40907</v>
          </cell>
          <cell r="AF979">
            <v>15.081892672413796</v>
          </cell>
          <cell r="AG979">
            <v>20.469360058004284</v>
          </cell>
          <cell r="AH979">
            <v>17.881583490985356</v>
          </cell>
          <cell r="AI979">
            <v>15.547864889645153</v>
          </cell>
          <cell r="AJ979">
            <v>20.215302092325562</v>
          </cell>
          <cell r="AU979">
            <v>11.288997622759975</v>
          </cell>
          <cell r="AV979">
            <v>14.263722316306255</v>
          </cell>
          <cell r="AW979">
            <v>12.105561258724364</v>
          </cell>
          <cell r="AX979">
            <v>10.242049449424412</v>
          </cell>
          <cell r="AY979">
            <v>13.969073068024317</v>
          </cell>
        </row>
        <row r="980">
          <cell r="A980">
            <v>40910</v>
          </cell>
          <cell r="AF980">
            <v>14.922282141663036</v>
          </cell>
          <cell r="AG980">
            <v>20.469360058004284</v>
          </cell>
          <cell r="AH980">
            <v>17.881583490985356</v>
          </cell>
          <cell r="AI980">
            <v>15.547864889645153</v>
          </cell>
          <cell r="AJ980">
            <v>20.215302092325562</v>
          </cell>
          <cell r="AU980">
            <v>11.226817549453598</v>
          </cell>
          <cell r="AV980">
            <v>14.263722316306255</v>
          </cell>
          <cell r="AW980">
            <v>12.105561258724364</v>
          </cell>
          <cell r="AX980">
            <v>10.242049449424412</v>
          </cell>
          <cell r="AY980">
            <v>13.969073068024317</v>
          </cell>
        </row>
        <row r="981">
          <cell r="A981">
            <v>40911</v>
          </cell>
          <cell r="AF981">
            <v>15.088606137372736</v>
          </cell>
          <cell r="AG981">
            <v>20.469360058004284</v>
          </cell>
          <cell r="AH981">
            <v>17.881583490985356</v>
          </cell>
          <cell r="AI981">
            <v>15.547864889645153</v>
          </cell>
          <cell r="AJ981">
            <v>20.215302092325562</v>
          </cell>
          <cell r="AU981">
            <v>11.318756363480073</v>
          </cell>
          <cell r="AV981">
            <v>14.263722316306255</v>
          </cell>
          <cell r="AW981">
            <v>12.105561258724364</v>
          </cell>
          <cell r="AX981">
            <v>10.242049449424412</v>
          </cell>
          <cell r="AY981">
            <v>13.969073068024317</v>
          </cell>
        </row>
        <row r="982">
          <cell r="A982">
            <v>40912</v>
          </cell>
          <cell r="AF982">
            <v>15.084343967436087</v>
          </cell>
          <cell r="AG982">
            <v>20.469360058004284</v>
          </cell>
          <cell r="AH982">
            <v>17.881583490985356</v>
          </cell>
          <cell r="AI982">
            <v>15.547864889645153</v>
          </cell>
          <cell r="AJ982">
            <v>20.215302092325562</v>
          </cell>
          <cell r="AU982">
            <v>11.316400366394491</v>
          </cell>
          <cell r="AV982">
            <v>14.263722316306255</v>
          </cell>
          <cell r="AW982">
            <v>12.105561258724364</v>
          </cell>
          <cell r="AX982">
            <v>10.242049449424412</v>
          </cell>
          <cell r="AY982">
            <v>13.969073068024317</v>
          </cell>
        </row>
        <row r="983">
          <cell r="A983">
            <v>40913</v>
          </cell>
          <cell r="AF983">
            <v>15.250883100957553</v>
          </cell>
          <cell r="AG983">
            <v>20.469360058004284</v>
          </cell>
          <cell r="AH983">
            <v>17.881583490985356</v>
          </cell>
          <cell r="AI983">
            <v>15.547864889645153</v>
          </cell>
          <cell r="AJ983">
            <v>20.215302092325562</v>
          </cell>
          <cell r="AU983">
            <v>11.362169299303943</v>
          </cell>
          <cell r="AV983">
            <v>14.263722316306255</v>
          </cell>
          <cell r="AW983">
            <v>12.105561258724364</v>
          </cell>
          <cell r="AX983">
            <v>10.242049449424412</v>
          </cell>
          <cell r="AY983">
            <v>13.969073068024317</v>
          </cell>
        </row>
        <row r="984">
          <cell r="A984">
            <v>40914</v>
          </cell>
          <cell r="AF984">
            <v>15.160409160298137</v>
          </cell>
          <cell r="AG984">
            <v>20.469360058004284</v>
          </cell>
          <cell r="AH984">
            <v>17.881583490985356</v>
          </cell>
          <cell r="AI984">
            <v>15.547864889645153</v>
          </cell>
          <cell r="AJ984">
            <v>20.215302092325562</v>
          </cell>
          <cell r="AU984">
            <v>11.312493055789504</v>
          </cell>
          <cell r="AV984">
            <v>14.263722316306255</v>
          </cell>
          <cell r="AW984">
            <v>12.105561258724364</v>
          </cell>
          <cell r="AX984">
            <v>10.242049449424412</v>
          </cell>
          <cell r="AY984">
            <v>13.969073068024317</v>
          </cell>
        </row>
        <row r="985">
          <cell r="A985">
            <v>40917</v>
          </cell>
          <cell r="AF985">
            <v>15.087171305359615</v>
          </cell>
          <cell r="AG985">
            <v>20.469360058004284</v>
          </cell>
          <cell r="AH985">
            <v>17.881583490985356</v>
          </cell>
          <cell r="AI985">
            <v>15.547864889645153</v>
          </cell>
          <cell r="AJ985">
            <v>20.215302092325562</v>
          </cell>
          <cell r="AU985">
            <v>11.272280575931939</v>
          </cell>
          <cell r="AV985">
            <v>14.263722316306255</v>
          </cell>
          <cell r="AW985">
            <v>12.105561258724364</v>
          </cell>
          <cell r="AX985">
            <v>10.242049449424412</v>
          </cell>
          <cell r="AY985">
            <v>13.969073068024317</v>
          </cell>
        </row>
        <row r="986">
          <cell r="A986">
            <v>40918</v>
          </cell>
          <cell r="AF986">
            <v>15.340387619861888</v>
          </cell>
          <cell r="AG986">
            <v>20.469360058004284</v>
          </cell>
          <cell r="AH986">
            <v>17.881583490985356</v>
          </cell>
          <cell r="AI986">
            <v>15.547864889645153</v>
          </cell>
          <cell r="AJ986">
            <v>20.215302092325562</v>
          </cell>
          <cell r="AU986">
            <v>11.420771316525071</v>
          </cell>
          <cell r="AV986">
            <v>14.263722316306255</v>
          </cell>
          <cell r="AW986">
            <v>12.105561258724364</v>
          </cell>
          <cell r="AX986">
            <v>10.242049449424412</v>
          </cell>
          <cell r="AY986">
            <v>13.969073068024317</v>
          </cell>
        </row>
        <row r="987">
          <cell r="A987">
            <v>40919</v>
          </cell>
          <cell r="AF987">
            <v>15.482908584956249</v>
          </cell>
          <cell r="AG987">
            <v>20.469360058004284</v>
          </cell>
          <cell r="AH987">
            <v>17.881583490985356</v>
          </cell>
          <cell r="AI987">
            <v>15.547864889645153</v>
          </cell>
          <cell r="AJ987">
            <v>20.215302092325562</v>
          </cell>
          <cell r="AU987">
            <v>11.460663658635054</v>
          </cell>
          <cell r="AV987">
            <v>14.263722316306255</v>
          </cell>
          <cell r="AW987">
            <v>12.105561258724364</v>
          </cell>
          <cell r="AX987">
            <v>10.242049449424412</v>
          </cell>
          <cell r="AY987">
            <v>13.969073068024317</v>
          </cell>
        </row>
        <row r="988">
          <cell r="A988">
            <v>40920</v>
          </cell>
          <cell r="AF988">
            <v>15.716127889866357</v>
          </cell>
          <cell r="AG988">
            <v>20.469360058004284</v>
          </cell>
          <cell r="AH988">
            <v>17.881583490985356</v>
          </cell>
          <cell r="AI988">
            <v>15.547864889645153</v>
          </cell>
          <cell r="AJ988">
            <v>20.215302092325562</v>
          </cell>
          <cell r="AU988">
            <v>11.588312491850042</v>
          </cell>
          <cell r="AV988">
            <v>14.263722316306255</v>
          </cell>
          <cell r="AW988">
            <v>12.105561258724364</v>
          </cell>
          <cell r="AX988">
            <v>10.242049449424412</v>
          </cell>
          <cell r="AY988">
            <v>13.969073068024317</v>
          </cell>
        </row>
        <row r="989">
          <cell r="A989">
            <v>40921</v>
          </cell>
          <cell r="AF989">
            <v>15.586562473121546</v>
          </cell>
          <cell r="AG989">
            <v>20.469360058004284</v>
          </cell>
          <cell r="AH989">
            <v>17.881583490985356</v>
          </cell>
          <cell r="AI989">
            <v>15.547864889645153</v>
          </cell>
          <cell r="AJ989">
            <v>20.215302092325562</v>
          </cell>
          <cell r="AU989">
            <v>11.517396946162846</v>
          </cell>
          <cell r="AV989">
            <v>14.263722316306255</v>
          </cell>
          <cell r="AW989">
            <v>12.105561258724364</v>
          </cell>
          <cell r="AX989">
            <v>10.242049449424412</v>
          </cell>
          <cell r="AY989">
            <v>13.969073068024317</v>
          </cell>
        </row>
        <row r="990">
          <cell r="A990">
            <v>40924</v>
          </cell>
          <cell r="AF990">
            <v>15.586562473121546</v>
          </cell>
          <cell r="AG990">
            <v>20.469360058004284</v>
          </cell>
          <cell r="AH990">
            <v>17.881583490985356</v>
          </cell>
          <cell r="AI990">
            <v>15.547864889645153</v>
          </cell>
          <cell r="AJ990">
            <v>20.215302092325562</v>
          </cell>
          <cell r="AU990">
            <v>11.517396946162846</v>
          </cell>
          <cell r="AV990">
            <v>14.263722316306255</v>
          </cell>
          <cell r="AW990">
            <v>12.105561258724364</v>
          </cell>
          <cell r="AX990">
            <v>10.242049449424412</v>
          </cell>
          <cell r="AY990">
            <v>13.969073068024317</v>
          </cell>
        </row>
        <row r="991">
          <cell r="A991">
            <v>40925</v>
          </cell>
          <cell r="AF991">
            <v>15.590878685875914</v>
          </cell>
          <cell r="AG991">
            <v>20.469360058004284</v>
          </cell>
          <cell r="AH991">
            <v>17.881583490985356</v>
          </cell>
          <cell r="AI991">
            <v>15.547864889645153</v>
          </cell>
          <cell r="AJ991">
            <v>20.215302092325562</v>
          </cell>
          <cell r="AU991">
            <v>11.519759355750745</v>
          </cell>
          <cell r="AV991">
            <v>14.263722316306255</v>
          </cell>
          <cell r="AW991">
            <v>12.105561258724364</v>
          </cell>
          <cell r="AX991">
            <v>10.242049449424412</v>
          </cell>
          <cell r="AY991">
            <v>13.969073068024317</v>
          </cell>
        </row>
        <row r="992">
          <cell r="A992">
            <v>40926</v>
          </cell>
          <cell r="AF992">
            <v>16.064523384538077</v>
          </cell>
          <cell r="AG992">
            <v>20.469360058004284</v>
          </cell>
          <cell r="AH992">
            <v>17.881583490985356</v>
          </cell>
          <cell r="AI992">
            <v>15.547864889645153</v>
          </cell>
          <cell r="AJ992">
            <v>20.215302092325562</v>
          </cell>
          <cell r="AU992">
            <v>11.765599583197117</v>
          </cell>
          <cell r="AV992">
            <v>14.263722316306255</v>
          </cell>
          <cell r="AW992">
            <v>12.105561258724364</v>
          </cell>
          <cell r="AX992">
            <v>10.242049449424412</v>
          </cell>
          <cell r="AY992">
            <v>13.969073068024317</v>
          </cell>
        </row>
        <row r="993">
          <cell r="A993">
            <v>40927</v>
          </cell>
          <cell r="AF993">
            <v>16.430993702678062</v>
          </cell>
          <cell r="AG993">
            <v>20.469360058004284</v>
          </cell>
          <cell r="AH993">
            <v>17.881583490985356</v>
          </cell>
          <cell r="AI993">
            <v>15.547864889645153</v>
          </cell>
          <cell r="AJ993">
            <v>20.215302092325562</v>
          </cell>
          <cell r="AU993">
            <v>11.966522825945372</v>
          </cell>
          <cell r="AV993">
            <v>14.263722316306255</v>
          </cell>
          <cell r="AW993">
            <v>12.105561258724364</v>
          </cell>
          <cell r="AX993">
            <v>10.242049449424412</v>
          </cell>
          <cell r="AY993">
            <v>13.969073068024317</v>
          </cell>
        </row>
        <row r="994">
          <cell r="A994">
            <v>40928</v>
          </cell>
          <cell r="AF994">
            <v>16.513171181095895</v>
          </cell>
          <cell r="AG994">
            <v>20.469360058004284</v>
          </cell>
          <cell r="AH994">
            <v>17.881583490985356</v>
          </cell>
          <cell r="AI994">
            <v>15.547864889645153</v>
          </cell>
          <cell r="AJ994">
            <v>20.215302092325562</v>
          </cell>
          <cell r="AU994">
            <v>12.011436028518878</v>
          </cell>
          <cell r="AV994">
            <v>14.263722316306255</v>
          </cell>
          <cell r="AW994">
            <v>12.105561258724364</v>
          </cell>
          <cell r="AX994">
            <v>10.242049449424412</v>
          </cell>
          <cell r="AY994">
            <v>13.969073068024317</v>
          </cell>
        </row>
        <row r="995">
          <cell r="A995">
            <v>40931</v>
          </cell>
          <cell r="AF995">
            <v>16.409366980573413</v>
          </cell>
          <cell r="AG995">
            <v>20.469360058004284</v>
          </cell>
          <cell r="AH995">
            <v>17.881583490985356</v>
          </cell>
          <cell r="AI995">
            <v>15.547864889645153</v>
          </cell>
          <cell r="AJ995">
            <v>20.215302092325562</v>
          </cell>
          <cell r="AU995">
            <v>11.954702977373868</v>
          </cell>
          <cell r="AV995">
            <v>14.263722316306255</v>
          </cell>
          <cell r="AW995">
            <v>12.105561258724364</v>
          </cell>
          <cell r="AX995">
            <v>10.242049449424412</v>
          </cell>
          <cell r="AY995">
            <v>13.969073068024317</v>
          </cell>
        </row>
        <row r="996">
          <cell r="A996">
            <v>40932</v>
          </cell>
          <cell r="AF996">
            <v>16.465595247021717</v>
          </cell>
          <cell r="AG996">
            <v>20.469360058004284</v>
          </cell>
          <cell r="AH996">
            <v>17.881583490985356</v>
          </cell>
          <cell r="AI996">
            <v>15.547864889645153</v>
          </cell>
          <cell r="AJ996">
            <v>20.215302092325562</v>
          </cell>
          <cell r="AU996">
            <v>11.985433921787973</v>
          </cell>
          <cell r="AV996">
            <v>14.263722316306255</v>
          </cell>
          <cell r="AW996">
            <v>12.105561258724364</v>
          </cell>
          <cell r="AX996">
            <v>10.242049449424412</v>
          </cell>
          <cell r="AY996">
            <v>13.969073068024317</v>
          </cell>
        </row>
        <row r="997">
          <cell r="A997">
            <v>40933</v>
          </cell>
          <cell r="AF997">
            <v>16.820255237679572</v>
          </cell>
          <cell r="AG997">
            <v>20.469360058004284</v>
          </cell>
          <cell r="AH997">
            <v>17.881583490985356</v>
          </cell>
          <cell r="AI997">
            <v>15.547864889645153</v>
          </cell>
          <cell r="AJ997">
            <v>20.215302092325562</v>
          </cell>
          <cell r="AU997">
            <v>12.179269463006959</v>
          </cell>
          <cell r="AV997">
            <v>14.263722316306255</v>
          </cell>
          <cell r="AW997">
            <v>12.105561258724364</v>
          </cell>
          <cell r="AX997">
            <v>10.242049449424412</v>
          </cell>
          <cell r="AY997">
            <v>13.969073068024317</v>
          </cell>
        </row>
        <row r="998">
          <cell r="A998">
            <v>40934</v>
          </cell>
          <cell r="AF998">
            <v>16.517494103469271</v>
          </cell>
          <cell r="AG998">
            <v>20.469360058004284</v>
          </cell>
          <cell r="AH998">
            <v>17.881583490985356</v>
          </cell>
          <cell r="AI998">
            <v>15.547864889645153</v>
          </cell>
          <cell r="AJ998">
            <v>20.215302092325562</v>
          </cell>
          <cell r="AU998">
            <v>12.013798674489561</v>
          </cell>
          <cell r="AV998">
            <v>14.263722316306255</v>
          </cell>
          <cell r="AW998">
            <v>12.105561258724364</v>
          </cell>
          <cell r="AX998">
            <v>10.242049449424412</v>
          </cell>
          <cell r="AY998">
            <v>13.969073068024317</v>
          </cell>
        </row>
        <row r="999">
          <cell r="A999">
            <v>40935</v>
          </cell>
          <cell r="AF999">
            <v>16.465595247021717</v>
          </cell>
          <cell r="AG999">
            <v>20.469360058004284</v>
          </cell>
          <cell r="AH999">
            <v>17.881583490985356</v>
          </cell>
          <cell r="AI999">
            <v>15.547864889645153</v>
          </cell>
          <cell r="AJ999">
            <v>20.215302092325562</v>
          </cell>
          <cell r="AU999">
            <v>11.985433921787973</v>
          </cell>
          <cell r="AV999">
            <v>14.263722316306255</v>
          </cell>
          <cell r="AW999">
            <v>12.105561258724364</v>
          </cell>
          <cell r="AX999">
            <v>10.242049449424412</v>
          </cell>
          <cell r="AY999">
            <v>13.969073068024317</v>
          </cell>
        </row>
        <row r="1000">
          <cell r="A1000">
            <v>40938</v>
          </cell>
          <cell r="AF1000">
            <v>16.394033189545443</v>
          </cell>
          <cell r="AG1000">
            <v>20.469360058004284</v>
          </cell>
          <cell r="AH1000">
            <v>17.881583490985356</v>
          </cell>
          <cell r="AI1000">
            <v>15.547864889645153</v>
          </cell>
          <cell r="AJ1000">
            <v>20.215302092325562</v>
          </cell>
          <cell r="AU1000">
            <v>11.953378015102354</v>
          </cell>
          <cell r="AV1000">
            <v>14.263722316306255</v>
          </cell>
          <cell r="AW1000">
            <v>12.105561258724364</v>
          </cell>
          <cell r="AX1000">
            <v>10.242049449424412</v>
          </cell>
          <cell r="AY1000">
            <v>13.969073068024317</v>
          </cell>
        </row>
        <row r="1001">
          <cell r="A1001">
            <v>40939</v>
          </cell>
          <cell r="AF1001">
            <v>16.350705974610577</v>
          </cell>
          <cell r="AG1001">
            <v>20.469360058004284</v>
          </cell>
          <cell r="AH1001">
            <v>17.881583490985356</v>
          </cell>
          <cell r="AI1001">
            <v>15.547864889645153</v>
          </cell>
          <cell r="AJ1001">
            <v>20.215302092325562</v>
          </cell>
          <cell r="AU1001">
            <v>11.929694111539115</v>
          </cell>
          <cell r="AV1001">
            <v>14.263722316306255</v>
          </cell>
          <cell r="AW1001">
            <v>12.105561258724364</v>
          </cell>
          <cell r="AX1001">
            <v>10.242049449424412</v>
          </cell>
          <cell r="AY1001">
            <v>13.969073068024317</v>
          </cell>
        </row>
        <row r="1002">
          <cell r="A1002">
            <v>40940</v>
          </cell>
          <cell r="AF1002">
            <v>16.359272111663671</v>
          </cell>
          <cell r="AG1002">
            <v>20.469360058004284</v>
          </cell>
          <cell r="AH1002">
            <v>17.881583490985356</v>
          </cell>
          <cell r="AI1002">
            <v>15.547864889645153</v>
          </cell>
          <cell r="AJ1002">
            <v>20.215302092325562</v>
          </cell>
          <cell r="AU1002">
            <v>11.941295424916236</v>
          </cell>
          <cell r="AV1002">
            <v>14.263722316306255</v>
          </cell>
          <cell r="AW1002">
            <v>12.105561258724364</v>
          </cell>
          <cell r="AX1002">
            <v>10.242049449424412</v>
          </cell>
          <cell r="AY1002">
            <v>13.969073068024317</v>
          </cell>
        </row>
        <row r="1003">
          <cell r="A1003">
            <v>40941</v>
          </cell>
          <cell r="AF1003">
            <v>16.264981499208844</v>
          </cell>
          <cell r="AG1003">
            <v>20.469360058004284</v>
          </cell>
          <cell r="AH1003">
            <v>17.881583490985356</v>
          </cell>
          <cell r="AI1003">
            <v>15.547864889645153</v>
          </cell>
          <cell r="AJ1003">
            <v>20.215302092325562</v>
          </cell>
          <cell r="AU1003">
            <v>11.889584248731726</v>
          </cell>
          <cell r="AV1003">
            <v>14.263722316306255</v>
          </cell>
          <cell r="AW1003">
            <v>12.105561258724364</v>
          </cell>
          <cell r="AX1003">
            <v>10.242049449424412</v>
          </cell>
          <cell r="AY1003">
            <v>13.969073068024317</v>
          </cell>
        </row>
        <row r="1004">
          <cell r="A1004">
            <v>40942</v>
          </cell>
          <cell r="AF1004">
            <v>16.389269968714693</v>
          </cell>
          <cell r="AG1004">
            <v>20.469360058004284</v>
          </cell>
          <cell r="AH1004">
            <v>17.881583490985356</v>
          </cell>
          <cell r="AI1004">
            <v>15.547864889645153</v>
          </cell>
          <cell r="AJ1004">
            <v>20.215302092325562</v>
          </cell>
          <cell r="AU1004">
            <v>11.957746951009209</v>
          </cell>
          <cell r="AV1004">
            <v>14.263722316306255</v>
          </cell>
          <cell r="AW1004">
            <v>12.105561258724364</v>
          </cell>
          <cell r="AX1004">
            <v>10.242049449424412</v>
          </cell>
          <cell r="AY1004">
            <v>13.969073068024317</v>
          </cell>
        </row>
        <row r="1005">
          <cell r="A1005">
            <v>40945</v>
          </cell>
          <cell r="AF1005">
            <v>16.359272111663671</v>
          </cell>
          <cell r="AG1005">
            <v>20.469360058004284</v>
          </cell>
          <cell r="AH1005">
            <v>17.881583490985356</v>
          </cell>
          <cell r="AI1005">
            <v>15.547864889645153</v>
          </cell>
          <cell r="AJ1005">
            <v>20.215302092325562</v>
          </cell>
          <cell r="AU1005">
            <v>11.956599161352328</v>
          </cell>
          <cell r="AV1005">
            <v>14.263722316306255</v>
          </cell>
          <cell r="AW1005">
            <v>12.105561258724364</v>
          </cell>
          <cell r="AX1005">
            <v>10.242049449424412</v>
          </cell>
          <cell r="AY1005">
            <v>13.969073068024317</v>
          </cell>
        </row>
        <row r="1006">
          <cell r="A1006">
            <v>40946</v>
          </cell>
          <cell r="AF1006">
            <v>16.166401131478786</v>
          </cell>
          <cell r="AG1006">
            <v>20.469360058004284</v>
          </cell>
          <cell r="AH1006">
            <v>17.881583490985356</v>
          </cell>
          <cell r="AI1006">
            <v>15.547864889645153</v>
          </cell>
          <cell r="AJ1006">
            <v>20.215302092325562</v>
          </cell>
          <cell r="AU1006">
            <v>11.850688647741046</v>
          </cell>
          <cell r="AV1006">
            <v>14.263722316306255</v>
          </cell>
          <cell r="AW1006">
            <v>12.105561258724364</v>
          </cell>
          <cell r="AX1006">
            <v>10.242049449424412</v>
          </cell>
          <cell r="AY1006">
            <v>13.969073068024317</v>
          </cell>
        </row>
        <row r="1007">
          <cell r="A1007">
            <v>40947</v>
          </cell>
          <cell r="AF1007">
            <v>16.222119947999502</v>
          </cell>
          <cell r="AG1007">
            <v>20.469360058004284</v>
          </cell>
          <cell r="AH1007">
            <v>17.881583490985356</v>
          </cell>
          <cell r="AI1007">
            <v>15.547864889645153</v>
          </cell>
          <cell r="AJ1007">
            <v>20.215302092325562</v>
          </cell>
          <cell r="AU1007">
            <v>11.881285311219735</v>
          </cell>
          <cell r="AV1007">
            <v>14.263722316306255</v>
          </cell>
          <cell r="AW1007">
            <v>12.105561258724364</v>
          </cell>
          <cell r="AX1007">
            <v>10.242049449424412</v>
          </cell>
          <cell r="AY1007">
            <v>13.969073068024317</v>
          </cell>
        </row>
        <row r="1008">
          <cell r="A1008">
            <v>40948</v>
          </cell>
          <cell r="AF1008">
            <v>16.143667672315484</v>
          </cell>
          <cell r="AG1008">
            <v>20.469360058004284</v>
          </cell>
          <cell r="AH1008">
            <v>17.881583490985356</v>
          </cell>
          <cell r="AI1008">
            <v>15.547864889645153</v>
          </cell>
          <cell r="AJ1008">
            <v>20.215302092325562</v>
          </cell>
          <cell r="AU1008">
            <v>11.840859601432649</v>
          </cell>
          <cell r="AV1008">
            <v>14.263722316306255</v>
          </cell>
          <cell r="AW1008">
            <v>12.105561258724364</v>
          </cell>
          <cell r="AX1008">
            <v>10.242049449424412</v>
          </cell>
          <cell r="AY1008">
            <v>13.969073068024317</v>
          </cell>
        </row>
        <row r="1009">
          <cell r="A1009">
            <v>40949</v>
          </cell>
          <cell r="AF1009">
            <v>16.143667672315484</v>
          </cell>
          <cell r="AG1009">
            <v>20.469360058004284</v>
          </cell>
          <cell r="AH1009">
            <v>17.881583490985356</v>
          </cell>
          <cell r="AI1009">
            <v>15.547864889645153</v>
          </cell>
          <cell r="AJ1009">
            <v>20.215302092325562</v>
          </cell>
          <cell r="AU1009">
            <v>11.840859601432649</v>
          </cell>
          <cell r="AV1009">
            <v>14.263722316306255</v>
          </cell>
          <cell r="AW1009">
            <v>12.105561258724364</v>
          </cell>
          <cell r="AX1009">
            <v>10.242049449424412</v>
          </cell>
          <cell r="AY1009">
            <v>13.969073068024317</v>
          </cell>
        </row>
        <row r="1010">
          <cell r="A1010">
            <v>40952</v>
          </cell>
          <cell r="AF1010">
            <v>16.400471479690236</v>
          </cell>
          <cell r="AG1010">
            <v>20.469360058004284</v>
          </cell>
          <cell r="AH1010">
            <v>17.881583490985356</v>
          </cell>
          <cell r="AI1010">
            <v>15.547864889645153</v>
          </cell>
          <cell r="AJ1010">
            <v>20.215302092325562</v>
          </cell>
          <cell r="AU1010">
            <v>11.993070570284477</v>
          </cell>
          <cell r="AV1010">
            <v>14.263722316306255</v>
          </cell>
          <cell r="AW1010">
            <v>12.105561258724364</v>
          </cell>
          <cell r="AX1010">
            <v>10.242049449424412</v>
          </cell>
          <cell r="AY1010">
            <v>13.969073068024317</v>
          </cell>
        </row>
        <row r="1011">
          <cell r="A1011">
            <v>40953</v>
          </cell>
          <cell r="AF1011">
            <v>16.598473564669632</v>
          </cell>
          <cell r="AG1011">
            <v>20.469360058004284</v>
          </cell>
          <cell r="AH1011">
            <v>17.881583490985356</v>
          </cell>
          <cell r="AI1011">
            <v>15.547864889645153</v>
          </cell>
          <cell r="AJ1011">
            <v>20.215302092325562</v>
          </cell>
          <cell r="AU1011">
            <v>12.063693459133001</v>
          </cell>
          <cell r="AV1011">
            <v>14.263722316306255</v>
          </cell>
          <cell r="AW1011">
            <v>12.105561258724364</v>
          </cell>
          <cell r="AX1011">
            <v>10.242049449424412</v>
          </cell>
          <cell r="AY1011">
            <v>13.969073068024317</v>
          </cell>
        </row>
        <row r="1012">
          <cell r="A1012">
            <v>40954</v>
          </cell>
          <cell r="AF1012">
            <v>16.645762680291522</v>
          </cell>
          <cell r="AG1012">
            <v>20.469360058004284</v>
          </cell>
          <cell r="AH1012">
            <v>17.881583490985356</v>
          </cell>
          <cell r="AI1012">
            <v>15.547864889645153</v>
          </cell>
          <cell r="AJ1012">
            <v>20.215302092325562</v>
          </cell>
          <cell r="AU1012">
            <v>12.089589554221263</v>
          </cell>
          <cell r="AV1012">
            <v>14.263722316306255</v>
          </cell>
          <cell r="AW1012">
            <v>12.105561258724364</v>
          </cell>
          <cell r="AX1012">
            <v>10.242049449424412</v>
          </cell>
          <cell r="AY1012">
            <v>13.969073068024317</v>
          </cell>
        </row>
        <row r="1013">
          <cell r="A1013">
            <v>40955</v>
          </cell>
          <cell r="AF1013">
            <v>16.828489788952091</v>
          </cell>
          <cell r="AG1013">
            <v>20.469360058004284</v>
          </cell>
          <cell r="AH1013">
            <v>17.881583490985356</v>
          </cell>
          <cell r="AI1013">
            <v>15.547864889645153</v>
          </cell>
          <cell r="AJ1013">
            <v>20.215302092325562</v>
          </cell>
          <cell r="AU1013">
            <v>12.172069902050421</v>
          </cell>
          <cell r="AV1013">
            <v>14.263722316306255</v>
          </cell>
          <cell r="AW1013">
            <v>12.105561258724364</v>
          </cell>
          <cell r="AX1013">
            <v>10.242049449424412</v>
          </cell>
          <cell r="AY1013">
            <v>13.969073068024317</v>
          </cell>
        </row>
        <row r="1014">
          <cell r="A1014">
            <v>40956</v>
          </cell>
          <cell r="AF1014">
            <v>16.811324076939272</v>
          </cell>
          <cell r="AG1014">
            <v>20.469360058004284</v>
          </cell>
          <cell r="AH1014">
            <v>17.881583490985356</v>
          </cell>
          <cell r="AI1014">
            <v>15.547864889645153</v>
          </cell>
          <cell r="AJ1014">
            <v>20.215302092325562</v>
          </cell>
          <cell r="AU1014">
            <v>12.127741397232837</v>
          </cell>
          <cell r="AV1014">
            <v>14.263722316306255</v>
          </cell>
          <cell r="AW1014">
            <v>12.105561258724364</v>
          </cell>
          <cell r="AX1014">
            <v>10.242049449424412</v>
          </cell>
          <cell r="AY1014">
            <v>13.969073068024317</v>
          </cell>
        </row>
        <row r="1015">
          <cell r="A1015">
            <v>40959</v>
          </cell>
          <cell r="AF1015">
            <v>16.811324076939272</v>
          </cell>
          <cell r="AG1015">
            <v>20.469360058004284</v>
          </cell>
          <cell r="AH1015">
            <v>17.881583490985356</v>
          </cell>
          <cell r="AI1015">
            <v>15.547864889645153</v>
          </cell>
          <cell r="AJ1015">
            <v>20.215302092325562</v>
          </cell>
          <cell r="AU1015">
            <v>12.127741397232837</v>
          </cell>
          <cell r="AV1015">
            <v>14.263722316306255</v>
          </cell>
          <cell r="AW1015">
            <v>12.105561258724364</v>
          </cell>
          <cell r="AX1015">
            <v>10.242049449424412</v>
          </cell>
          <cell r="AY1015">
            <v>13.969073068024317</v>
          </cell>
        </row>
        <row r="1016">
          <cell r="A1016">
            <v>40960</v>
          </cell>
          <cell r="AF1016">
            <v>16.807545175170816</v>
          </cell>
          <cell r="AG1016">
            <v>20.469360058004284</v>
          </cell>
          <cell r="AH1016">
            <v>17.881583490985356</v>
          </cell>
          <cell r="AI1016">
            <v>15.547864889645153</v>
          </cell>
          <cell r="AJ1016">
            <v>20.215302092325562</v>
          </cell>
          <cell r="AU1016">
            <v>12.085711895588693</v>
          </cell>
          <cell r="AV1016">
            <v>14.263722316306255</v>
          </cell>
          <cell r="AW1016">
            <v>12.105561258724364</v>
          </cell>
          <cell r="AX1016">
            <v>10.242049449424412</v>
          </cell>
          <cell r="AY1016">
            <v>13.969073068024317</v>
          </cell>
        </row>
        <row r="1017">
          <cell r="A1017">
            <v>40961</v>
          </cell>
          <cell r="AF1017">
            <v>16.597146279748817</v>
          </cell>
          <cell r="AG1017">
            <v>20.469360058004284</v>
          </cell>
          <cell r="AH1017">
            <v>17.881583490985356</v>
          </cell>
          <cell r="AI1017">
            <v>15.547864889645153</v>
          </cell>
          <cell r="AJ1017">
            <v>20.215302092325562</v>
          </cell>
          <cell r="AU1017">
            <v>11.966802492194487</v>
          </cell>
          <cell r="AV1017">
            <v>14.263722316306255</v>
          </cell>
          <cell r="AW1017">
            <v>12.105561258724364</v>
          </cell>
          <cell r="AX1017">
            <v>10.242049449424412</v>
          </cell>
          <cell r="AY1017">
            <v>13.969073068024317</v>
          </cell>
        </row>
        <row r="1018">
          <cell r="A1018">
            <v>40962</v>
          </cell>
          <cell r="AF1018">
            <v>16.55808525136786</v>
          </cell>
          <cell r="AG1018">
            <v>20.469360058004284</v>
          </cell>
          <cell r="AH1018">
            <v>17.881583490985356</v>
          </cell>
          <cell r="AI1018">
            <v>15.547864889645153</v>
          </cell>
          <cell r="AJ1018">
            <v>20.215302092325562</v>
          </cell>
          <cell r="AU1018">
            <v>11.945399513039948</v>
          </cell>
          <cell r="AV1018">
            <v>14.263722316306255</v>
          </cell>
          <cell r="AW1018">
            <v>12.105561258724364</v>
          </cell>
          <cell r="AX1018">
            <v>10.242049449424412</v>
          </cell>
          <cell r="AY1018">
            <v>13.969073068024317</v>
          </cell>
        </row>
        <row r="1019">
          <cell r="A1019">
            <v>40963</v>
          </cell>
          <cell r="AF1019">
            <v>16.66659172486408</v>
          </cell>
          <cell r="AG1019">
            <v>20.469360058004284</v>
          </cell>
          <cell r="AH1019">
            <v>17.881583490985356</v>
          </cell>
          <cell r="AI1019">
            <v>15.547864889645153</v>
          </cell>
          <cell r="AJ1019">
            <v>20.215302092325562</v>
          </cell>
          <cell r="AU1019">
            <v>12.004854214737053</v>
          </cell>
          <cell r="AV1019">
            <v>14.263722316306255</v>
          </cell>
          <cell r="AW1019">
            <v>12.105561258724364</v>
          </cell>
          <cell r="AX1019">
            <v>10.242049449424412</v>
          </cell>
          <cell r="AY1019">
            <v>13.969073068024317</v>
          </cell>
        </row>
        <row r="1020">
          <cell r="A1020">
            <v>40966</v>
          </cell>
          <cell r="AF1020">
            <v>16.887942760666899</v>
          </cell>
          <cell r="AG1020">
            <v>20.469360058004284</v>
          </cell>
          <cell r="AH1020">
            <v>17.881583490985356</v>
          </cell>
          <cell r="AI1020">
            <v>15.547864889645153</v>
          </cell>
          <cell r="AJ1020">
            <v>20.215302092325562</v>
          </cell>
          <cell r="AU1020">
            <v>12.126140617105111</v>
          </cell>
          <cell r="AV1020">
            <v>14.263722316306255</v>
          </cell>
          <cell r="AW1020">
            <v>12.105561258724364</v>
          </cell>
          <cell r="AX1020">
            <v>10.242049449424412</v>
          </cell>
          <cell r="AY1020">
            <v>13.969073068024317</v>
          </cell>
        </row>
        <row r="1021">
          <cell r="A1021">
            <v>40967</v>
          </cell>
          <cell r="AF1021">
            <v>16.900963103460551</v>
          </cell>
          <cell r="AG1021">
            <v>20.469360058004284</v>
          </cell>
          <cell r="AH1021">
            <v>17.881583490985356</v>
          </cell>
          <cell r="AI1021">
            <v>15.547864889645153</v>
          </cell>
          <cell r="AJ1021">
            <v>20.215302092325562</v>
          </cell>
          <cell r="AU1021">
            <v>12.133274943489956</v>
          </cell>
          <cell r="AV1021">
            <v>14.263722316306255</v>
          </cell>
          <cell r="AW1021">
            <v>12.105561258724364</v>
          </cell>
          <cell r="AX1021">
            <v>10.242049449424412</v>
          </cell>
          <cell r="AY1021">
            <v>13.969073068024317</v>
          </cell>
        </row>
        <row r="1022">
          <cell r="A1022">
            <v>40968</v>
          </cell>
          <cell r="AF1022">
            <v>16.801138883947605</v>
          </cell>
          <cell r="AG1022">
            <v>20.469360058004284</v>
          </cell>
          <cell r="AH1022">
            <v>17.881583490985356</v>
          </cell>
          <cell r="AI1022">
            <v>15.547864889645153</v>
          </cell>
          <cell r="AJ1022">
            <v>20.215302092325562</v>
          </cell>
          <cell r="AU1022">
            <v>12.078577569203846</v>
          </cell>
          <cell r="AV1022">
            <v>14.263722316306255</v>
          </cell>
          <cell r="AW1022">
            <v>12.105561258724364</v>
          </cell>
          <cell r="AX1022">
            <v>10.242049449424412</v>
          </cell>
          <cell r="AY1022">
            <v>13.969073068024317</v>
          </cell>
        </row>
        <row r="1023">
          <cell r="A1023">
            <v>40969</v>
          </cell>
          <cell r="AF1023">
            <v>16.739095109675869</v>
          </cell>
          <cell r="AG1023">
            <v>20.469360058004284</v>
          </cell>
          <cell r="AH1023">
            <v>17.881583490985356</v>
          </cell>
          <cell r="AI1023">
            <v>15.547864889645153</v>
          </cell>
          <cell r="AJ1023">
            <v>20.215302092325562</v>
          </cell>
          <cell r="AU1023">
            <v>12.05324931436008</v>
          </cell>
          <cell r="AV1023">
            <v>14.263722316306255</v>
          </cell>
          <cell r="AW1023">
            <v>12.105561258724364</v>
          </cell>
          <cell r="AX1023">
            <v>10.242049449424412</v>
          </cell>
          <cell r="AY1023">
            <v>13.969073068024317</v>
          </cell>
        </row>
        <row r="1024">
          <cell r="A1024">
            <v>40970</v>
          </cell>
          <cell r="AF1024">
            <v>16.836560377180252</v>
          </cell>
          <cell r="AG1024">
            <v>20.469360058004284</v>
          </cell>
          <cell r="AH1024">
            <v>17.881583490985356</v>
          </cell>
          <cell r="AI1024">
            <v>15.547864889645153</v>
          </cell>
          <cell r="AJ1024">
            <v>20.215302092325562</v>
          </cell>
          <cell r="AU1024">
            <v>12.093599676248445</v>
          </cell>
          <cell r="AV1024">
            <v>14.263722316306255</v>
          </cell>
          <cell r="AW1024">
            <v>12.105561258724364</v>
          </cell>
          <cell r="AX1024">
            <v>10.242049449424412</v>
          </cell>
          <cell r="AY1024">
            <v>13.969073068024317</v>
          </cell>
        </row>
        <row r="1025">
          <cell r="A1025">
            <v>40973</v>
          </cell>
          <cell r="AF1025">
            <v>16.690567917350123</v>
          </cell>
          <cell r="AG1025">
            <v>20.469360058004284</v>
          </cell>
          <cell r="AH1025">
            <v>17.881583490985356</v>
          </cell>
          <cell r="AI1025">
            <v>15.547864889645153</v>
          </cell>
          <cell r="AJ1025">
            <v>20.215302092325562</v>
          </cell>
          <cell r="AU1025">
            <v>12.013430904674355</v>
          </cell>
          <cell r="AV1025">
            <v>14.263722316306255</v>
          </cell>
          <cell r="AW1025">
            <v>12.105561258724364</v>
          </cell>
          <cell r="AX1025">
            <v>10.242049449424412</v>
          </cell>
          <cell r="AY1025">
            <v>13.969073068024317</v>
          </cell>
        </row>
        <row r="1026">
          <cell r="A1026">
            <v>40974</v>
          </cell>
          <cell r="AF1026">
            <v>16.361119234847855</v>
          </cell>
          <cell r="AG1026">
            <v>20.469360058004284</v>
          </cell>
          <cell r="AH1026">
            <v>17.881583490985356</v>
          </cell>
          <cell r="AI1026">
            <v>15.547864889645153</v>
          </cell>
          <cell r="AJ1026">
            <v>20.215302092325562</v>
          </cell>
          <cell r="AU1026">
            <v>11.824795574359918</v>
          </cell>
          <cell r="AV1026">
            <v>14.263722316306255</v>
          </cell>
          <cell r="AW1026">
            <v>12.105561258724364</v>
          </cell>
          <cell r="AX1026">
            <v>10.242049449424412</v>
          </cell>
          <cell r="AY1026">
            <v>13.969073068024317</v>
          </cell>
        </row>
        <row r="1027">
          <cell r="A1027">
            <v>40975</v>
          </cell>
          <cell r="AF1027">
            <v>16.391205735632717</v>
          </cell>
          <cell r="AG1027">
            <v>20.469360058004284</v>
          </cell>
          <cell r="AH1027">
            <v>17.881583490985356</v>
          </cell>
          <cell r="AI1027">
            <v>15.547864889645153</v>
          </cell>
          <cell r="AJ1027">
            <v>20.215302092325562</v>
          </cell>
          <cell r="AU1027">
            <v>11.841302754419646</v>
          </cell>
          <cell r="AV1027">
            <v>14.263722316306255</v>
          </cell>
          <cell r="AW1027">
            <v>12.105561258724364</v>
          </cell>
          <cell r="AX1027">
            <v>10.242049449424412</v>
          </cell>
          <cell r="AY1027">
            <v>13.969073068024317</v>
          </cell>
        </row>
        <row r="1028">
          <cell r="A1028">
            <v>40976</v>
          </cell>
          <cell r="AF1028">
            <v>16.511539275610989</v>
          </cell>
          <cell r="AG1028">
            <v>20.469360058004284</v>
          </cell>
          <cell r="AH1028">
            <v>17.881583490985356</v>
          </cell>
          <cell r="AI1028">
            <v>15.547864889645153</v>
          </cell>
          <cell r="AJ1028">
            <v>20.215302092325562</v>
          </cell>
          <cell r="AU1028">
            <v>11.907324636653478</v>
          </cell>
          <cell r="AV1028">
            <v>14.263722316306255</v>
          </cell>
          <cell r="AW1028">
            <v>12.105561258724364</v>
          </cell>
          <cell r="AX1028">
            <v>10.242049449424412</v>
          </cell>
          <cell r="AY1028">
            <v>13.969073068024317</v>
          </cell>
        </row>
        <row r="1029">
          <cell r="A1029">
            <v>40977</v>
          </cell>
          <cell r="AF1029">
            <v>16.593188882430489</v>
          </cell>
          <cell r="AG1029">
            <v>20.469360058004284</v>
          </cell>
          <cell r="AH1029">
            <v>17.881583490985356</v>
          </cell>
          <cell r="AI1029">
            <v>15.547864889645153</v>
          </cell>
          <cell r="AJ1029">
            <v>20.215302092325562</v>
          </cell>
          <cell r="AU1029">
            <v>11.952122294287822</v>
          </cell>
          <cell r="AV1029">
            <v>14.263722316306255</v>
          </cell>
          <cell r="AW1029">
            <v>12.105561258724364</v>
          </cell>
          <cell r="AX1029">
            <v>10.242049449424412</v>
          </cell>
          <cell r="AY1029">
            <v>13.969073068024317</v>
          </cell>
        </row>
        <row r="1030">
          <cell r="A1030">
            <v>40980</v>
          </cell>
          <cell r="AF1030">
            <v>16.507237336192699</v>
          </cell>
          <cell r="AG1030">
            <v>20.469360058004284</v>
          </cell>
          <cell r="AH1030">
            <v>17.881583490985356</v>
          </cell>
          <cell r="AI1030">
            <v>15.547864889645153</v>
          </cell>
          <cell r="AJ1030">
            <v>20.215302092325562</v>
          </cell>
          <cell r="AU1030">
            <v>11.90496434593401</v>
          </cell>
          <cell r="AV1030">
            <v>14.263722316306255</v>
          </cell>
          <cell r="AW1030">
            <v>12.105561258724364</v>
          </cell>
          <cell r="AX1030">
            <v>10.242049449424412</v>
          </cell>
          <cell r="AY1030">
            <v>13.969073068024317</v>
          </cell>
        </row>
        <row r="1031">
          <cell r="A1031">
            <v>40981</v>
          </cell>
          <cell r="AF1031">
            <v>16.894028963956753</v>
          </cell>
          <cell r="AG1031">
            <v>20.469360058004284</v>
          </cell>
          <cell r="AH1031">
            <v>17.881583490985356</v>
          </cell>
          <cell r="AI1031">
            <v>15.547864889645153</v>
          </cell>
          <cell r="AJ1031">
            <v>20.215302092325562</v>
          </cell>
          <cell r="AU1031">
            <v>12.117180418874943</v>
          </cell>
          <cell r="AV1031">
            <v>14.263722316306255</v>
          </cell>
          <cell r="AW1031">
            <v>12.105561258724364</v>
          </cell>
          <cell r="AX1031">
            <v>10.242049449424412</v>
          </cell>
          <cell r="AY1031">
            <v>13.969073068024317</v>
          </cell>
        </row>
        <row r="1032">
          <cell r="A1032">
            <v>40982</v>
          </cell>
          <cell r="AF1032">
            <v>17.057335053822591</v>
          </cell>
          <cell r="AG1032">
            <v>20.469360058004284</v>
          </cell>
          <cell r="AH1032">
            <v>17.881583490985356</v>
          </cell>
          <cell r="AI1032">
            <v>15.547864889645153</v>
          </cell>
          <cell r="AJ1032">
            <v>20.215302092325562</v>
          </cell>
          <cell r="AU1032">
            <v>12.20677950683609</v>
          </cell>
          <cell r="AV1032">
            <v>14.263722316306255</v>
          </cell>
          <cell r="AW1032">
            <v>12.105561258724364</v>
          </cell>
          <cell r="AX1032">
            <v>10.242049449424412</v>
          </cell>
          <cell r="AY1032">
            <v>13.969073068024317</v>
          </cell>
        </row>
        <row r="1033">
          <cell r="A1033">
            <v>40983</v>
          </cell>
          <cell r="AF1033">
            <v>17.083126061651821</v>
          </cell>
          <cell r="AG1033">
            <v>20.469360058004284</v>
          </cell>
          <cell r="AH1033">
            <v>17.881583490985356</v>
          </cell>
          <cell r="AI1033">
            <v>15.547864889645153</v>
          </cell>
          <cell r="AJ1033">
            <v>20.215302092325562</v>
          </cell>
          <cell r="AU1033">
            <v>12.22092993307553</v>
          </cell>
          <cell r="AV1033">
            <v>14.263722316306255</v>
          </cell>
          <cell r="AW1033">
            <v>12.105561258724364</v>
          </cell>
          <cell r="AX1033">
            <v>10.242049449424412</v>
          </cell>
          <cell r="AY1033">
            <v>13.969073068024317</v>
          </cell>
        </row>
        <row r="1034">
          <cell r="A1034">
            <v>40984</v>
          </cell>
          <cell r="AF1034">
            <v>17.074529059042078</v>
          </cell>
          <cell r="AG1034">
            <v>20.469360058004284</v>
          </cell>
          <cell r="AH1034">
            <v>17.881583490985356</v>
          </cell>
          <cell r="AI1034">
            <v>15.547864889645153</v>
          </cell>
          <cell r="AJ1034">
            <v>20.215302092325562</v>
          </cell>
          <cell r="AU1034">
            <v>12.21621312432905</v>
          </cell>
          <cell r="AV1034">
            <v>14.263722316306255</v>
          </cell>
          <cell r="AW1034">
            <v>12.105561258724364</v>
          </cell>
          <cell r="AX1034">
            <v>10.242049449424412</v>
          </cell>
          <cell r="AY1034">
            <v>13.969073068024317</v>
          </cell>
        </row>
        <row r="1035">
          <cell r="A1035">
            <v>40987</v>
          </cell>
          <cell r="AF1035">
            <v>16.96791971065587</v>
          </cell>
          <cell r="AG1035">
            <v>20.469360058004284</v>
          </cell>
          <cell r="AH1035">
            <v>17.881583490985356</v>
          </cell>
          <cell r="AI1035">
            <v>15.547864889645153</v>
          </cell>
          <cell r="AJ1035">
            <v>20.215302092325562</v>
          </cell>
          <cell r="AU1035">
            <v>12.159621558482277</v>
          </cell>
          <cell r="AV1035">
            <v>14.263722316306255</v>
          </cell>
          <cell r="AW1035">
            <v>12.105561258724364</v>
          </cell>
          <cell r="AX1035">
            <v>10.242049449424412</v>
          </cell>
          <cell r="AY1035">
            <v>13.969073068024317</v>
          </cell>
        </row>
        <row r="1036">
          <cell r="A1036">
            <v>40988</v>
          </cell>
          <cell r="AF1036">
            <v>16.821831001801421</v>
          </cell>
          <cell r="AG1036">
            <v>20.469360058004284</v>
          </cell>
          <cell r="AH1036">
            <v>17.881583490985356</v>
          </cell>
          <cell r="AI1036">
            <v>15.547864889645153</v>
          </cell>
          <cell r="AJ1036">
            <v>20.215302092325562</v>
          </cell>
          <cell r="AU1036">
            <v>12.079452551114908</v>
          </cell>
          <cell r="AV1036">
            <v>14.263722316306255</v>
          </cell>
          <cell r="AW1036">
            <v>12.105561258724364</v>
          </cell>
          <cell r="AX1036">
            <v>10.242049449424412</v>
          </cell>
          <cell r="AY1036">
            <v>13.969073068024317</v>
          </cell>
        </row>
        <row r="1037">
          <cell r="A1037">
            <v>40989</v>
          </cell>
          <cell r="AF1037">
            <v>16.873390458819273</v>
          </cell>
          <cell r="AG1037">
            <v>20.469360058004284</v>
          </cell>
          <cell r="AH1037">
            <v>17.881583490985356</v>
          </cell>
          <cell r="AI1037">
            <v>15.547864889645153</v>
          </cell>
          <cell r="AJ1037">
            <v>20.215302092325562</v>
          </cell>
          <cell r="AU1037">
            <v>12.107746801381982</v>
          </cell>
          <cell r="AV1037">
            <v>14.263722316306255</v>
          </cell>
          <cell r="AW1037">
            <v>12.105561258724364</v>
          </cell>
          <cell r="AX1037">
            <v>10.242049449424412</v>
          </cell>
          <cell r="AY1037">
            <v>13.969073068024317</v>
          </cell>
        </row>
        <row r="1038">
          <cell r="A1038">
            <v>40990</v>
          </cell>
          <cell r="AF1038">
            <v>16.800345889553817</v>
          </cell>
          <cell r="AG1038">
            <v>20.469360058004284</v>
          </cell>
          <cell r="AH1038">
            <v>17.881583490985356</v>
          </cell>
          <cell r="AI1038">
            <v>15.547864889645153</v>
          </cell>
          <cell r="AJ1038">
            <v>20.215302092325562</v>
          </cell>
          <cell r="AU1038">
            <v>12.067662179801658</v>
          </cell>
          <cell r="AV1038">
            <v>14.263722316306255</v>
          </cell>
          <cell r="AW1038">
            <v>12.105561258724364</v>
          </cell>
          <cell r="AX1038">
            <v>10.242049449424412</v>
          </cell>
          <cell r="AY1038">
            <v>13.969073068024317</v>
          </cell>
        </row>
        <row r="1039">
          <cell r="A1039">
            <v>40991</v>
          </cell>
          <cell r="AF1039">
            <v>16.851904916895201</v>
          </cell>
          <cell r="AG1039">
            <v>20.469360058004284</v>
          </cell>
          <cell r="AH1039">
            <v>17.881583490985356</v>
          </cell>
          <cell r="AI1039">
            <v>15.547864889645153</v>
          </cell>
          <cell r="AJ1039">
            <v>20.215302092325562</v>
          </cell>
          <cell r="AU1039">
            <v>12.095956194275457</v>
          </cell>
          <cell r="AV1039">
            <v>14.263722316306255</v>
          </cell>
          <cell r="AW1039">
            <v>12.105561258724364</v>
          </cell>
          <cell r="AX1039">
            <v>10.242049449424412</v>
          </cell>
          <cell r="AY1039">
            <v>13.969073068024317</v>
          </cell>
        </row>
        <row r="1040">
          <cell r="A1040">
            <v>40994</v>
          </cell>
          <cell r="AF1040">
            <v>17.230022353918063</v>
          </cell>
          <cell r="AG1040">
            <v>20.469360058004284</v>
          </cell>
          <cell r="AH1040">
            <v>17.881583490985356</v>
          </cell>
          <cell r="AI1040">
            <v>15.547864889645153</v>
          </cell>
          <cell r="AJ1040">
            <v>20.215302092325562</v>
          </cell>
          <cell r="AU1040">
            <v>12.303455458469911</v>
          </cell>
          <cell r="AV1040">
            <v>14.263722316306255</v>
          </cell>
          <cell r="AW1040">
            <v>12.105561258724364</v>
          </cell>
          <cell r="AX1040">
            <v>10.242049449424412</v>
          </cell>
          <cell r="AY1040">
            <v>13.969073068024317</v>
          </cell>
        </row>
        <row r="1041">
          <cell r="A1041">
            <v>40995</v>
          </cell>
          <cell r="AF1041">
            <v>17.225728167333202</v>
          </cell>
          <cell r="AG1041">
            <v>20.469360058004284</v>
          </cell>
          <cell r="AH1041">
            <v>17.881583490985356</v>
          </cell>
          <cell r="AI1041">
            <v>15.547864889645153</v>
          </cell>
          <cell r="AJ1041">
            <v>20.215302092325562</v>
          </cell>
          <cell r="AU1041">
            <v>12.301098940442898</v>
          </cell>
          <cell r="AV1041">
            <v>14.263722316306255</v>
          </cell>
          <cell r="AW1041">
            <v>12.105561258724364</v>
          </cell>
          <cell r="AX1041">
            <v>10.242049449424412</v>
          </cell>
          <cell r="AY1041">
            <v>13.969073068024317</v>
          </cell>
        </row>
        <row r="1042">
          <cell r="A1042">
            <v>40996</v>
          </cell>
          <cell r="AF1042">
            <v>17.191353190831137</v>
          </cell>
          <cell r="AG1042">
            <v>20.469360058004284</v>
          </cell>
          <cell r="AH1042">
            <v>17.881583490985356</v>
          </cell>
          <cell r="AI1042">
            <v>15.547864889645153</v>
          </cell>
          <cell r="AJ1042">
            <v>20.215302092325562</v>
          </cell>
          <cell r="AU1042">
            <v>12.269673341752387</v>
          </cell>
          <cell r="AV1042">
            <v>14.263722316306255</v>
          </cell>
          <cell r="AW1042">
            <v>12.105561258724364</v>
          </cell>
          <cell r="AX1042">
            <v>10.242049449424412</v>
          </cell>
          <cell r="AY1042">
            <v>13.969073068024317</v>
          </cell>
        </row>
        <row r="1043">
          <cell r="A1043">
            <v>40997</v>
          </cell>
          <cell r="AF1043">
            <v>17.191353190831137</v>
          </cell>
          <cell r="AG1043">
            <v>20.469360058004284</v>
          </cell>
          <cell r="AH1043">
            <v>17.881583490985356</v>
          </cell>
          <cell r="AI1043">
            <v>15.547864889645153</v>
          </cell>
          <cell r="AJ1043">
            <v>20.215302092325562</v>
          </cell>
          <cell r="AU1043">
            <v>12.269673341752387</v>
          </cell>
          <cell r="AV1043">
            <v>14.263722316306255</v>
          </cell>
          <cell r="AW1043">
            <v>12.105561258724364</v>
          </cell>
          <cell r="AX1043">
            <v>10.242049449424412</v>
          </cell>
          <cell r="AY1043">
            <v>13.969073068024317</v>
          </cell>
        </row>
        <row r="1044">
          <cell r="A1044">
            <v>40998</v>
          </cell>
          <cell r="AF1044">
            <v>17.242912218172524</v>
          </cell>
          <cell r="AG1044">
            <v>20.469360058004284</v>
          </cell>
          <cell r="AH1044">
            <v>17.881583490985356</v>
          </cell>
          <cell r="AI1044">
            <v>15.547864889645153</v>
          </cell>
          <cell r="AJ1044">
            <v>20.215302092325562</v>
          </cell>
          <cell r="AU1044">
            <v>12.297929682215754</v>
          </cell>
          <cell r="AV1044">
            <v>14.263722316306255</v>
          </cell>
          <cell r="AW1044">
            <v>12.105561258724364</v>
          </cell>
          <cell r="AX1044">
            <v>10.242049449424412</v>
          </cell>
          <cell r="AY1044">
            <v>13.969073068024317</v>
          </cell>
        </row>
        <row r="1045">
          <cell r="A1045">
            <v>41001</v>
          </cell>
          <cell r="AF1045">
            <v>17.190632151254388</v>
          </cell>
          <cell r="AG1045">
            <v>20.469360058004284</v>
          </cell>
          <cell r="AH1045">
            <v>17.881583490985356</v>
          </cell>
          <cell r="AI1045">
            <v>15.547864889645153</v>
          </cell>
          <cell r="AJ1045">
            <v>20.215302092325562</v>
          </cell>
          <cell r="AU1045">
            <v>12.280930170861694</v>
          </cell>
          <cell r="AV1045">
            <v>14.263722316306255</v>
          </cell>
          <cell r="AW1045">
            <v>12.105561258724364</v>
          </cell>
          <cell r="AX1045">
            <v>10.242049449424412</v>
          </cell>
          <cell r="AY1045">
            <v>13.969073068024317</v>
          </cell>
        </row>
        <row r="1046">
          <cell r="A1046">
            <v>41002</v>
          </cell>
          <cell r="AF1046">
            <v>17.10561543813483</v>
          </cell>
          <cell r="AG1046">
            <v>20.469360058004284</v>
          </cell>
          <cell r="AH1046">
            <v>17.881583490985356</v>
          </cell>
          <cell r="AI1046">
            <v>15.547864889645153</v>
          </cell>
          <cell r="AJ1046">
            <v>20.215302092325562</v>
          </cell>
          <cell r="AU1046">
            <v>12.234177628146574</v>
          </cell>
          <cell r="AV1046">
            <v>14.263722316306255</v>
          </cell>
          <cell r="AW1046">
            <v>12.105561258724364</v>
          </cell>
          <cell r="AX1046">
            <v>10.242049449424412</v>
          </cell>
          <cell r="AY1046">
            <v>13.969073068024317</v>
          </cell>
        </row>
        <row r="1047">
          <cell r="A1047">
            <v>41003</v>
          </cell>
          <cell r="AF1047">
            <v>16.82505437609009</v>
          </cell>
          <cell r="AG1047">
            <v>20.469360058004284</v>
          </cell>
          <cell r="AH1047">
            <v>17.881583490985356</v>
          </cell>
          <cell r="AI1047">
            <v>15.547864889645153</v>
          </cell>
          <cell r="AJ1047">
            <v>20.215302092325562</v>
          </cell>
          <cell r="AU1047">
            <v>12.079890987836214</v>
          </cell>
          <cell r="AV1047">
            <v>14.263722316306255</v>
          </cell>
          <cell r="AW1047">
            <v>12.105561258724364</v>
          </cell>
          <cell r="AX1047">
            <v>10.242049449424412</v>
          </cell>
          <cell r="AY1047">
            <v>13.969073068024317</v>
          </cell>
        </row>
        <row r="1048">
          <cell r="A1048">
            <v>41004</v>
          </cell>
          <cell r="AF1048">
            <v>16.884566542872719</v>
          </cell>
          <cell r="AG1048">
            <v>20.469360058004284</v>
          </cell>
          <cell r="AH1048">
            <v>17.881583490985356</v>
          </cell>
          <cell r="AI1048">
            <v>15.547864889645153</v>
          </cell>
          <cell r="AJ1048">
            <v>20.215302092325562</v>
          </cell>
          <cell r="AU1048">
            <v>12.112618024879641</v>
          </cell>
          <cell r="AV1048">
            <v>14.263722316306255</v>
          </cell>
          <cell r="AW1048">
            <v>12.105561258724364</v>
          </cell>
          <cell r="AX1048">
            <v>10.242049449424412</v>
          </cell>
          <cell r="AY1048">
            <v>13.969073068024317</v>
          </cell>
        </row>
        <row r="1049">
          <cell r="A1049">
            <v>41005</v>
          </cell>
          <cell r="AF1049">
            <v>16.884566542872719</v>
          </cell>
          <cell r="AG1049">
            <v>20.469360058004284</v>
          </cell>
          <cell r="AH1049">
            <v>17.881583490985356</v>
          </cell>
          <cell r="AI1049">
            <v>15.547864889645153</v>
          </cell>
          <cell r="AJ1049">
            <v>20.215302092325562</v>
          </cell>
          <cell r="AU1049">
            <v>12.112618024879641</v>
          </cell>
          <cell r="AV1049">
            <v>14.263722316306255</v>
          </cell>
          <cell r="AW1049">
            <v>12.105561258724364</v>
          </cell>
          <cell r="AX1049">
            <v>10.242049449424412</v>
          </cell>
          <cell r="AY1049">
            <v>13.969073068024317</v>
          </cell>
        </row>
        <row r="1050">
          <cell r="A1050">
            <v>41008</v>
          </cell>
          <cell r="AF1050">
            <v>16.663524449049678</v>
          </cell>
          <cell r="AG1050">
            <v>20.469360058004284</v>
          </cell>
          <cell r="AH1050">
            <v>17.881583490985356</v>
          </cell>
          <cell r="AI1050">
            <v>15.547864889645153</v>
          </cell>
          <cell r="AJ1050">
            <v>20.215302092325562</v>
          </cell>
          <cell r="AU1050">
            <v>11.991062161872231</v>
          </cell>
          <cell r="AV1050">
            <v>14.263722316306255</v>
          </cell>
          <cell r="AW1050">
            <v>12.105561258724364</v>
          </cell>
          <cell r="AX1050">
            <v>10.242049449424412</v>
          </cell>
          <cell r="AY1050">
            <v>13.969073068024317</v>
          </cell>
        </row>
        <row r="1051">
          <cell r="A1051">
            <v>41009</v>
          </cell>
          <cell r="AF1051">
            <v>16.365962764956656</v>
          </cell>
          <cell r="AG1051">
            <v>20.469360058004284</v>
          </cell>
          <cell r="AH1051">
            <v>17.881583490985356</v>
          </cell>
          <cell r="AI1051">
            <v>15.547864889645153</v>
          </cell>
          <cell r="AJ1051">
            <v>20.215302092325562</v>
          </cell>
          <cell r="AU1051">
            <v>11.827426509122654</v>
          </cell>
          <cell r="AV1051">
            <v>14.263722316306255</v>
          </cell>
          <cell r="AW1051">
            <v>12.105561258724364</v>
          </cell>
          <cell r="AX1051">
            <v>10.242049449424412</v>
          </cell>
          <cell r="AY1051">
            <v>13.969073068024317</v>
          </cell>
        </row>
        <row r="1052">
          <cell r="A1052">
            <v>41010</v>
          </cell>
          <cell r="AF1052">
            <v>16.527492691997068</v>
          </cell>
          <cell r="AG1052">
            <v>20.469360058004284</v>
          </cell>
          <cell r="AH1052">
            <v>17.881583490985356</v>
          </cell>
          <cell r="AI1052">
            <v>15.547864889645153</v>
          </cell>
          <cell r="AJ1052">
            <v>20.215302092325562</v>
          </cell>
          <cell r="AU1052">
            <v>11.916255335086637</v>
          </cell>
          <cell r="AV1052">
            <v>14.263722316306255</v>
          </cell>
          <cell r="AW1052">
            <v>12.105561258724364</v>
          </cell>
          <cell r="AX1052">
            <v>10.242049449424412</v>
          </cell>
          <cell r="AY1052">
            <v>13.969073068024317</v>
          </cell>
        </row>
        <row r="1053">
          <cell r="A1053">
            <v>41011</v>
          </cell>
          <cell r="AF1053">
            <v>16.893070467161369</v>
          </cell>
          <cell r="AG1053">
            <v>20.469360058004284</v>
          </cell>
          <cell r="AH1053">
            <v>17.881583490985356</v>
          </cell>
          <cell r="AI1053">
            <v>15.547864889645153</v>
          </cell>
          <cell r="AJ1053">
            <v>20.215302092325562</v>
          </cell>
          <cell r="AU1053">
            <v>12.11729451811212</v>
          </cell>
          <cell r="AV1053">
            <v>14.263722316306255</v>
          </cell>
          <cell r="AW1053">
            <v>12.105561258724364</v>
          </cell>
          <cell r="AX1053">
            <v>10.242049449424412</v>
          </cell>
          <cell r="AY1053">
            <v>13.969073068024317</v>
          </cell>
        </row>
        <row r="1054">
          <cell r="A1054">
            <v>41012</v>
          </cell>
          <cell r="AF1054">
            <v>16.765542209307462</v>
          </cell>
          <cell r="AG1054">
            <v>20.469360058004284</v>
          </cell>
          <cell r="AH1054">
            <v>17.881583490985356</v>
          </cell>
          <cell r="AI1054">
            <v>15.547864889645153</v>
          </cell>
          <cell r="AJ1054">
            <v>20.215302092325562</v>
          </cell>
          <cell r="AU1054">
            <v>12.047163950792786</v>
          </cell>
          <cell r="AV1054">
            <v>14.263722316306255</v>
          </cell>
          <cell r="AW1054">
            <v>12.105561258724364</v>
          </cell>
          <cell r="AX1054">
            <v>10.242049449424412</v>
          </cell>
          <cell r="AY1054">
            <v>13.969073068024317</v>
          </cell>
        </row>
        <row r="1055">
          <cell r="A1055">
            <v>41015</v>
          </cell>
          <cell r="AF1055">
            <v>16.837806649258557</v>
          </cell>
          <cell r="AG1055">
            <v>20.469360058004284</v>
          </cell>
          <cell r="AH1055">
            <v>17.881583490985356</v>
          </cell>
          <cell r="AI1055">
            <v>15.547864889645153</v>
          </cell>
          <cell r="AJ1055">
            <v>20.215302092325562</v>
          </cell>
          <cell r="AU1055">
            <v>12.086903740672062</v>
          </cell>
          <cell r="AV1055">
            <v>14.263722316306255</v>
          </cell>
          <cell r="AW1055">
            <v>12.105561258724364</v>
          </cell>
          <cell r="AX1055">
            <v>10.242049449424412</v>
          </cell>
          <cell r="AY1055">
            <v>13.969073068024317</v>
          </cell>
        </row>
        <row r="1056">
          <cell r="A1056">
            <v>41016</v>
          </cell>
          <cell r="AF1056">
            <v>17.177879878085925</v>
          </cell>
          <cell r="AG1056">
            <v>20.469360058004284</v>
          </cell>
          <cell r="AH1056">
            <v>17.881583490985356</v>
          </cell>
          <cell r="AI1056">
            <v>15.547864889645153</v>
          </cell>
          <cell r="AJ1056">
            <v>20.215302092325562</v>
          </cell>
          <cell r="AU1056">
            <v>12.273917418025848</v>
          </cell>
          <cell r="AV1056">
            <v>14.263722316306255</v>
          </cell>
          <cell r="AW1056">
            <v>12.105561258724364</v>
          </cell>
          <cell r="AX1056">
            <v>10.242049449424412</v>
          </cell>
          <cell r="AY1056">
            <v>13.969073068024317</v>
          </cell>
        </row>
        <row r="1057">
          <cell r="A1057">
            <v>41017</v>
          </cell>
          <cell r="AF1057">
            <v>17.135374709700706</v>
          </cell>
          <cell r="AG1057">
            <v>20.469360058004284</v>
          </cell>
          <cell r="AH1057">
            <v>17.881583490985356</v>
          </cell>
          <cell r="AI1057">
            <v>15.547864889645153</v>
          </cell>
          <cell r="AJ1057">
            <v>20.215302092325562</v>
          </cell>
          <cell r="AU1057">
            <v>12.250542899914937</v>
          </cell>
          <cell r="AV1057">
            <v>14.263722316306255</v>
          </cell>
          <cell r="AW1057">
            <v>12.105561258724364</v>
          </cell>
          <cell r="AX1057">
            <v>10.242049449424412</v>
          </cell>
          <cell r="AY1057">
            <v>13.969073068024317</v>
          </cell>
        </row>
        <row r="1058">
          <cell r="A1058">
            <v>41018</v>
          </cell>
          <cell r="AF1058">
            <v>16.888821693191606</v>
          </cell>
          <cell r="AG1058">
            <v>20.469360058004284</v>
          </cell>
          <cell r="AH1058">
            <v>17.881583490985356</v>
          </cell>
          <cell r="AI1058">
            <v>15.547864889645153</v>
          </cell>
          <cell r="AJ1058">
            <v>20.215302092325562</v>
          </cell>
          <cell r="AU1058">
            <v>12.114958024742531</v>
          </cell>
          <cell r="AV1058">
            <v>14.263722316306255</v>
          </cell>
          <cell r="AW1058">
            <v>12.105561258724364</v>
          </cell>
          <cell r="AX1058">
            <v>10.242049449424412</v>
          </cell>
          <cell r="AY1058">
            <v>13.969073068024317</v>
          </cell>
        </row>
        <row r="1059">
          <cell r="A1059">
            <v>41019</v>
          </cell>
          <cell r="AF1059">
            <v>16.888821693191606</v>
          </cell>
          <cell r="AG1059">
            <v>20.469360058004284</v>
          </cell>
          <cell r="AH1059">
            <v>17.881583490985356</v>
          </cell>
          <cell r="AI1059">
            <v>15.547864889645153</v>
          </cell>
          <cell r="AJ1059">
            <v>20.215302092325562</v>
          </cell>
          <cell r="AU1059">
            <v>12.114958024742531</v>
          </cell>
          <cell r="AV1059">
            <v>14.263722316306255</v>
          </cell>
          <cell r="AW1059">
            <v>12.105561258724364</v>
          </cell>
          <cell r="AX1059">
            <v>10.242049449424412</v>
          </cell>
          <cell r="AY1059">
            <v>13.969073068024317</v>
          </cell>
        </row>
        <row r="1060">
          <cell r="A1060">
            <v>41022</v>
          </cell>
          <cell r="AF1060">
            <v>16.571154284365605</v>
          </cell>
          <cell r="AG1060">
            <v>20.469360058004284</v>
          </cell>
          <cell r="AH1060">
            <v>17.881583490985356</v>
          </cell>
          <cell r="AI1060">
            <v>15.547864889645153</v>
          </cell>
          <cell r="AJ1060">
            <v>20.215302092325562</v>
          </cell>
          <cell r="AU1060">
            <v>12.007424160913512</v>
          </cell>
          <cell r="AV1060">
            <v>14.263722316306255</v>
          </cell>
          <cell r="AW1060">
            <v>12.105561258724364</v>
          </cell>
          <cell r="AX1060">
            <v>10.242049449424412</v>
          </cell>
          <cell r="AY1060">
            <v>13.969073068024317</v>
          </cell>
        </row>
        <row r="1061">
          <cell r="A1061">
            <v>41023</v>
          </cell>
          <cell r="AF1061">
            <v>16.870762686833373</v>
          </cell>
          <cell r="AG1061">
            <v>20.469360058004284</v>
          </cell>
          <cell r="AH1061">
            <v>17.881583490985356</v>
          </cell>
          <cell r="AI1061">
            <v>15.547864889645153</v>
          </cell>
          <cell r="AJ1061">
            <v>20.215302092325562</v>
          </cell>
          <cell r="AU1061">
            <v>12.173399579759758</v>
          </cell>
          <cell r="AV1061">
            <v>14.263722316306255</v>
          </cell>
          <cell r="AW1061">
            <v>12.105561258724364</v>
          </cell>
          <cell r="AX1061">
            <v>10.242049449424412</v>
          </cell>
          <cell r="AY1061">
            <v>13.969073068024317</v>
          </cell>
        </row>
        <row r="1062">
          <cell r="A1062">
            <v>41024</v>
          </cell>
          <cell r="AF1062">
            <v>17.216782992515792</v>
          </cell>
          <cell r="AG1062">
            <v>20.469360058004284</v>
          </cell>
          <cell r="AH1062">
            <v>17.881583490985356</v>
          </cell>
          <cell r="AI1062">
            <v>15.547864889645153</v>
          </cell>
          <cell r="AJ1062">
            <v>20.215302092325562</v>
          </cell>
          <cell r="AU1062">
            <v>12.640827039254777</v>
          </cell>
          <cell r="AV1062">
            <v>14.263722316306255</v>
          </cell>
          <cell r="AW1062">
            <v>12.105561258724364</v>
          </cell>
          <cell r="AX1062">
            <v>10.242049449424412</v>
          </cell>
          <cell r="AY1062">
            <v>13.969073068024317</v>
          </cell>
        </row>
        <row r="1063">
          <cell r="A1063">
            <v>41025</v>
          </cell>
          <cell r="AF1063">
            <v>17.254766265224657</v>
          </cell>
          <cell r="AG1063">
            <v>20.469360058004284</v>
          </cell>
          <cell r="AH1063">
            <v>17.881583490985356</v>
          </cell>
          <cell r="AI1063">
            <v>15.547864889645153</v>
          </cell>
          <cell r="AJ1063">
            <v>20.215302092325562</v>
          </cell>
          <cell r="AU1063">
            <v>12.655285984153741</v>
          </cell>
          <cell r="AV1063">
            <v>14.263722316306255</v>
          </cell>
          <cell r="AW1063">
            <v>12.105561258724364</v>
          </cell>
          <cell r="AX1063">
            <v>10.242049449424412</v>
          </cell>
          <cell r="AY1063">
            <v>13.969073068024317</v>
          </cell>
        </row>
        <row r="1064">
          <cell r="A1064">
            <v>41026</v>
          </cell>
          <cell r="AF1064">
            <v>17.440432023227526</v>
          </cell>
          <cell r="AG1064">
            <v>20.469360058004284</v>
          </cell>
          <cell r="AH1064">
            <v>17.881583490985356</v>
          </cell>
          <cell r="AI1064">
            <v>15.547864889645153</v>
          </cell>
          <cell r="AJ1064">
            <v>20.215302092325562</v>
          </cell>
          <cell r="AU1064">
            <v>12.760357843276417</v>
          </cell>
          <cell r="AV1064">
            <v>14.263722316306255</v>
          </cell>
          <cell r="AW1064">
            <v>12.105561258724364</v>
          </cell>
          <cell r="AX1064">
            <v>10.242049449424412</v>
          </cell>
          <cell r="AY1064">
            <v>13.969073068024317</v>
          </cell>
        </row>
        <row r="1065">
          <cell r="A1065">
            <v>41029</v>
          </cell>
          <cell r="AF1065">
            <v>17.326502038165611</v>
          </cell>
          <cell r="AG1065">
            <v>20.469360058004284</v>
          </cell>
          <cell r="AH1065">
            <v>17.881583490985356</v>
          </cell>
          <cell r="AI1065">
            <v>15.547864889645153</v>
          </cell>
          <cell r="AJ1065">
            <v>20.215302092325562</v>
          </cell>
          <cell r="AU1065">
            <v>12.6958826515715</v>
          </cell>
          <cell r="AV1065">
            <v>14.263722316306255</v>
          </cell>
          <cell r="AW1065">
            <v>12.105561258724364</v>
          </cell>
          <cell r="AX1065">
            <v>10.242049449424412</v>
          </cell>
          <cell r="AY1065">
            <v>13.969073068024317</v>
          </cell>
        </row>
        <row r="1066">
          <cell r="A1066">
            <v>41030</v>
          </cell>
          <cell r="AF1066">
            <v>16.934382322074615</v>
          </cell>
          <cell r="AG1066">
            <v>20.469360058004284</v>
          </cell>
          <cell r="AH1066">
            <v>17.881583490985356</v>
          </cell>
          <cell r="AI1066">
            <v>15.547864889645153</v>
          </cell>
          <cell r="AJ1066">
            <v>20.215302092325562</v>
          </cell>
          <cell r="AU1066">
            <v>12.49418736393886</v>
          </cell>
          <cell r="AV1066">
            <v>14.263722316306255</v>
          </cell>
          <cell r="AW1066">
            <v>12.105561258724364</v>
          </cell>
          <cell r="AX1066">
            <v>10.242049449424412</v>
          </cell>
          <cell r="AY1066">
            <v>13.969073068024317</v>
          </cell>
        </row>
        <row r="1067">
          <cell r="A1067">
            <v>41031</v>
          </cell>
          <cell r="AF1067">
            <v>16.822972323761526</v>
          </cell>
          <cell r="AG1067">
            <v>20.469360058004284</v>
          </cell>
          <cell r="AH1067">
            <v>17.881583490985356</v>
          </cell>
          <cell r="AI1067">
            <v>15.547864889645153</v>
          </cell>
          <cell r="AJ1067">
            <v>20.215302092325562</v>
          </cell>
          <cell r="AU1067">
            <v>12.255091392154103</v>
          </cell>
          <cell r="AV1067">
            <v>14.263722316306255</v>
          </cell>
          <cell r="AW1067">
            <v>12.105561258724364</v>
          </cell>
          <cell r="AX1067">
            <v>10.242049449424412</v>
          </cell>
          <cell r="AY1067">
            <v>13.969073068024317</v>
          </cell>
        </row>
        <row r="1068">
          <cell r="A1068">
            <v>41032</v>
          </cell>
          <cell r="AF1068">
            <v>16.751954464753684</v>
          </cell>
          <cell r="AG1068">
            <v>20.469360058004284</v>
          </cell>
          <cell r="AH1068">
            <v>17.881583490985356</v>
          </cell>
          <cell r="AI1068">
            <v>15.547864889645153</v>
          </cell>
          <cell r="AJ1068">
            <v>20.215302092325562</v>
          </cell>
          <cell r="AU1068">
            <v>12.215388842317607</v>
          </cell>
          <cell r="AV1068">
            <v>14.263722316306255</v>
          </cell>
          <cell r="AW1068">
            <v>12.105561258724364</v>
          </cell>
          <cell r="AX1068">
            <v>10.242049449424412</v>
          </cell>
          <cell r="AY1068">
            <v>13.969073068024317</v>
          </cell>
        </row>
        <row r="1069">
          <cell r="A1069">
            <v>41033</v>
          </cell>
          <cell r="AF1069">
            <v>16.358133663819295</v>
          </cell>
          <cell r="AG1069">
            <v>20.469360058004284</v>
          </cell>
          <cell r="AH1069">
            <v>17.881583490985356</v>
          </cell>
          <cell r="AI1069">
            <v>15.547864889645153</v>
          </cell>
          <cell r="AJ1069">
            <v>20.215302092325562</v>
          </cell>
          <cell r="AU1069">
            <v>11.758727907129337</v>
          </cell>
          <cell r="AV1069">
            <v>14.263722316306255</v>
          </cell>
          <cell r="AW1069">
            <v>12.105561258724364</v>
          </cell>
          <cell r="AX1069">
            <v>10.242049449424412</v>
          </cell>
          <cell r="AY1069">
            <v>13.969073068024317</v>
          </cell>
        </row>
        <row r="1070">
          <cell r="A1070">
            <v>41036</v>
          </cell>
          <cell r="AF1070">
            <v>16.385698504717134</v>
          </cell>
          <cell r="AG1070">
            <v>20.469360058004284</v>
          </cell>
          <cell r="AH1070">
            <v>17.881583490985356</v>
          </cell>
          <cell r="AI1070">
            <v>15.547864889645153</v>
          </cell>
          <cell r="AJ1070">
            <v>20.215302092325562</v>
          </cell>
          <cell r="AU1070">
            <v>11.742707501204375</v>
          </cell>
          <cell r="AV1070">
            <v>14.263722316306255</v>
          </cell>
          <cell r="AW1070">
            <v>12.105561258724364</v>
          </cell>
          <cell r="AX1070">
            <v>10.242049449424412</v>
          </cell>
          <cell r="AY1070">
            <v>13.969073068024317</v>
          </cell>
        </row>
        <row r="1071">
          <cell r="A1071">
            <v>41037</v>
          </cell>
          <cell r="AF1071">
            <v>16.553288103782023</v>
          </cell>
          <cell r="AG1071">
            <v>20.469360058004284</v>
          </cell>
          <cell r="AH1071">
            <v>17.881583490985356</v>
          </cell>
          <cell r="AI1071">
            <v>15.547864889645153</v>
          </cell>
          <cell r="AJ1071">
            <v>20.215302092325562</v>
          </cell>
          <cell r="AU1071">
            <v>11.834245583876653</v>
          </cell>
          <cell r="AV1071">
            <v>14.263722316306255</v>
          </cell>
          <cell r="AW1071">
            <v>12.105561258724364</v>
          </cell>
          <cell r="AX1071">
            <v>10.242049449424412</v>
          </cell>
          <cell r="AY1071">
            <v>13.969073068024317</v>
          </cell>
        </row>
        <row r="1072">
          <cell r="A1072">
            <v>41038</v>
          </cell>
          <cell r="AF1072">
            <v>16.297719296532232</v>
          </cell>
          <cell r="AG1072">
            <v>20.469360058004284</v>
          </cell>
          <cell r="AH1072">
            <v>17.881583490985356</v>
          </cell>
          <cell r="AI1072">
            <v>15.547864889645153</v>
          </cell>
          <cell r="AJ1072">
            <v>20.215302092325562</v>
          </cell>
          <cell r="AU1072">
            <v>11.694652919791166</v>
          </cell>
          <cell r="AV1072">
            <v>14.263722316306255</v>
          </cell>
          <cell r="AW1072">
            <v>12.105561258724364</v>
          </cell>
          <cell r="AX1072">
            <v>10.242049449424412</v>
          </cell>
          <cell r="AY1072">
            <v>13.969073068024317</v>
          </cell>
        </row>
        <row r="1073">
          <cell r="A1073">
            <v>41039</v>
          </cell>
          <cell r="AF1073">
            <v>16.473683997370596</v>
          </cell>
          <cell r="AG1073">
            <v>20.469360058004284</v>
          </cell>
          <cell r="AH1073">
            <v>17.881583490985356</v>
          </cell>
          <cell r="AI1073">
            <v>15.547864889645153</v>
          </cell>
          <cell r="AJ1073">
            <v>20.215302092325562</v>
          </cell>
          <cell r="AU1073">
            <v>11.79076551521845</v>
          </cell>
          <cell r="AV1073">
            <v>14.263722316306255</v>
          </cell>
          <cell r="AW1073">
            <v>12.105561258724364</v>
          </cell>
          <cell r="AX1073">
            <v>10.242049449424412</v>
          </cell>
          <cell r="AY1073">
            <v>13.969073068024317</v>
          </cell>
        </row>
        <row r="1074">
          <cell r="A1074">
            <v>41040</v>
          </cell>
          <cell r="AF1074">
            <v>16.44854696104218</v>
          </cell>
          <cell r="AG1074">
            <v>20.469360058004284</v>
          </cell>
          <cell r="AH1074">
            <v>17.881583490985356</v>
          </cell>
          <cell r="AI1074">
            <v>15.547864889645153</v>
          </cell>
          <cell r="AJ1074">
            <v>20.215302092325562</v>
          </cell>
          <cell r="AU1074">
            <v>11.777035569431806</v>
          </cell>
          <cell r="AV1074">
            <v>14.263722316306255</v>
          </cell>
          <cell r="AW1074">
            <v>12.105561258724364</v>
          </cell>
          <cell r="AX1074">
            <v>10.242049449424412</v>
          </cell>
          <cell r="AY1074">
            <v>13.969073068024317</v>
          </cell>
        </row>
        <row r="1075">
          <cell r="A1075">
            <v>41043</v>
          </cell>
          <cell r="AF1075">
            <v>16.373129986552925</v>
          </cell>
          <cell r="AG1075">
            <v>20.469360058004284</v>
          </cell>
          <cell r="AH1075">
            <v>17.881583490985356</v>
          </cell>
          <cell r="AI1075">
            <v>15.547864889645153</v>
          </cell>
          <cell r="AJ1075">
            <v>20.215302092325562</v>
          </cell>
          <cell r="AU1075">
            <v>11.735842528311052</v>
          </cell>
          <cell r="AV1075">
            <v>14.263722316306255</v>
          </cell>
          <cell r="AW1075">
            <v>12.105561258724364</v>
          </cell>
          <cell r="AX1075">
            <v>10.242049449424412</v>
          </cell>
          <cell r="AY1075">
            <v>13.969073068024317</v>
          </cell>
        </row>
        <row r="1076">
          <cell r="A1076">
            <v>41044</v>
          </cell>
          <cell r="AF1076">
            <v>16.331237300138124</v>
          </cell>
          <cell r="AG1076">
            <v>20.469360058004284</v>
          </cell>
          <cell r="AH1076">
            <v>17.881583490985356</v>
          </cell>
          <cell r="AI1076">
            <v>15.547864889645153</v>
          </cell>
          <cell r="AJ1076">
            <v>20.215302092325562</v>
          </cell>
          <cell r="AU1076">
            <v>11.712960582093633</v>
          </cell>
          <cell r="AV1076">
            <v>14.263722316306255</v>
          </cell>
          <cell r="AW1076">
            <v>12.105561258724364</v>
          </cell>
          <cell r="AX1076">
            <v>10.242049449424412</v>
          </cell>
          <cell r="AY1076">
            <v>13.969073068024317</v>
          </cell>
        </row>
        <row r="1077">
          <cell r="A1077">
            <v>41045</v>
          </cell>
          <cell r="AF1077">
            <v>16.201359540034431</v>
          </cell>
          <cell r="AG1077">
            <v>20.469360058004284</v>
          </cell>
          <cell r="AH1077">
            <v>17.881583490985356</v>
          </cell>
          <cell r="AI1077">
            <v>15.547864889645153</v>
          </cell>
          <cell r="AJ1077">
            <v>20.215302092325562</v>
          </cell>
          <cell r="AU1077">
            <v>11.642020850702194</v>
          </cell>
          <cell r="AV1077">
            <v>14.263722316306255</v>
          </cell>
          <cell r="AW1077">
            <v>12.105561258724364</v>
          </cell>
          <cell r="AX1077">
            <v>10.242049449424412</v>
          </cell>
          <cell r="AY1077">
            <v>13.969073068024317</v>
          </cell>
        </row>
        <row r="1078">
          <cell r="A1078">
            <v>41046</v>
          </cell>
          <cell r="AF1078">
            <v>15.87456759365069</v>
          </cell>
          <cell r="AG1078">
            <v>20.469360058004284</v>
          </cell>
          <cell r="AH1078">
            <v>17.881583490985356</v>
          </cell>
          <cell r="AI1078">
            <v>15.547864889645153</v>
          </cell>
          <cell r="AJ1078">
            <v>20.215302092325562</v>
          </cell>
          <cell r="AU1078">
            <v>11.463525834474325</v>
          </cell>
          <cell r="AV1078">
            <v>14.263722316306255</v>
          </cell>
          <cell r="AW1078">
            <v>12.105561258724364</v>
          </cell>
          <cell r="AX1078">
            <v>10.242049449424412</v>
          </cell>
          <cell r="AY1078">
            <v>13.969073068024317</v>
          </cell>
        </row>
        <row r="1079">
          <cell r="A1079">
            <v>41047</v>
          </cell>
          <cell r="AF1079">
            <v>15.62318633728764</v>
          </cell>
          <cell r="AG1079">
            <v>20.469360058004284</v>
          </cell>
          <cell r="AH1079">
            <v>17.881583490985356</v>
          </cell>
          <cell r="AI1079">
            <v>15.547864889645153</v>
          </cell>
          <cell r="AJ1079">
            <v>20.215302092325562</v>
          </cell>
          <cell r="AU1079">
            <v>11.326220426766344</v>
          </cell>
          <cell r="AV1079">
            <v>14.263722316306255</v>
          </cell>
          <cell r="AW1079">
            <v>12.105561258724364</v>
          </cell>
          <cell r="AX1079">
            <v>10.242049449424412</v>
          </cell>
          <cell r="AY1079">
            <v>13.969073068024317</v>
          </cell>
        </row>
        <row r="1080">
          <cell r="A1080">
            <v>41050</v>
          </cell>
          <cell r="AF1080">
            <v>16.017013871918593</v>
          </cell>
          <cell r="AG1080">
            <v>20.469360058004284</v>
          </cell>
          <cell r="AH1080">
            <v>17.881583490985356</v>
          </cell>
          <cell r="AI1080">
            <v>15.547864889645153</v>
          </cell>
          <cell r="AJ1080">
            <v>20.215302092325562</v>
          </cell>
          <cell r="AU1080">
            <v>11.541330538759087</v>
          </cell>
          <cell r="AV1080">
            <v>14.263722316306255</v>
          </cell>
          <cell r="AW1080">
            <v>12.105561258724364</v>
          </cell>
          <cell r="AX1080">
            <v>10.242049449424412</v>
          </cell>
          <cell r="AY1080">
            <v>13.969073068024317</v>
          </cell>
        </row>
        <row r="1081">
          <cell r="A1081">
            <v>41051</v>
          </cell>
          <cell r="AF1081">
            <v>15.924841247342961</v>
          </cell>
          <cell r="AG1081">
            <v>20.469360058004284</v>
          </cell>
          <cell r="AH1081">
            <v>17.881583490985356</v>
          </cell>
          <cell r="AI1081">
            <v>15.547864889645153</v>
          </cell>
          <cell r="AJ1081">
            <v>20.215302092325562</v>
          </cell>
          <cell r="AU1081">
            <v>11.490985497207566</v>
          </cell>
          <cell r="AV1081">
            <v>14.263722316306255</v>
          </cell>
          <cell r="AW1081">
            <v>12.105561258724364</v>
          </cell>
          <cell r="AX1081">
            <v>10.242049449424412</v>
          </cell>
          <cell r="AY1081">
            <v>13.969073068024317</v>
          </cell>
        </row>
        <row r="1082">
          <cell r="A1082">
            <v>41052</v>
          </cell>
          <cell r="AF1082">
            <v>15.9290287982297</v>
          </cell>
          <cell r="AG1082">
            <v>20.469360058004284</v>
          </cell>
          <cell r="AH1082">
            <v>17.881583490985356</v>
          </cell>
          <cell r="AI1082">
            <v>15.547864889645153</v>
          </cell>
          <cell r="AJ1082">
            <v>20.215302092325562</v>
          </cell>
          <cell r="AU1082">
            <v>11.493272753585069</v>
          </cell>
          <cell r="AV1082">
            <v>14.263722316306255</v>
          </cell>
          <cell r="AW1082">
            <v>12.105561258724364</v>
          </cell>
          <cell r="AX1082">
            <v>10.242049449424412</v>
          </cell>
          <cell r="AY1082">
            <v>13.969073068024317</v>
          </cell>
        </row>
        <row r="1083">
          <cell r="A1083">
            <v>41053</v>
          </cell>
          <cell r="AF1083">
            <v>15.966733933757759</v>
          </cell>
          <cell r="AG1083">
            <v>20.469360058004284</v>
          </cell>
          <cell r="AH1083">
            <v>17.881583490985356</v>
          </cell>
          <cell r="AI1083">
            <v>15.547864889645153</v>
          </cell>
          <cell r="AJ1083">
            <v>20.215302092325562</v>
          </cell>
          <cell r="AU1083">
            <v>11.513867443424983</v>
          </cell>
          <cell r="AV1083">
            <v>14.263722316306255</v>
          </cell>
          <cell r="AW1083">
            <v>12.105561258724364</v>
          </cell>
          <cell r="AX1083">
            <v>10.242049449424412</v>
          </cell>
          <cell r="AY1083">
            <v>13.969073068024317</v>
          </cell>
        </row>
        <row r="1084">
          <cell r="A1084">
            <v>41054</v>
          </cell>
          <cell r="AF1084">
            <v>16.151079182909026</v>
          </cell>
          <cell r="AG1084">
            <v>20.469360058004284</v>
          </cell>
          <cell r="AH1084">
            <v>17.881583490985356</v>
          </cell>
          <cell r="AI1084">
            <v>15.547864889645153</v>
          </cell>
          <cell r="AJ1084">
            <v>20.215302092325562</v>
          </cell>
          <cell r="AU1084">
            <v>11.614557526528031</v>
          </cell>
          <cell r="AV1084">
            <v>14.263722316306255</v>
          </cell>
          <cell r="AW1084">
            <v>12.105561258724364</v>
          </cell>
          <cell r="AX1084">
            <v>10.242049449424412</v>
          </cell>
          <cell r="AY1084">
            <v>13.969073068024317</v>
          </cell>
        </row>
        <row r="1085">
          <cell r="A1085">
            <v>41057</v>
          </cell>
          <cell r="AF1085">
            <v>16.151079182909026</v>
          </cell>
          <cell r="AG1085">
            <v>20.469360058004284</v>
          </cell>
          <cell r="AH1085">
            <v>17.881583490985356</v>
          </cell>
          <cell r="AI1085">
            <v>15.547864889645153</v>
          </cell>
          <cell r="AJ1085">
            <v>20.215302092325562</v>
          </cell>
          <cell r="AU1085">
            <v>11.614557526528031</v>
          </cell>
          <cell r="AV1085">
            <v>14.263722316306255</v>
          </cell>
          <cell r="AW1085">
            <v>12.105561258724364</v>
          </cell>
          <cell r="AX1085">
            <v>10.242049449424412</v>
          </cell>
          <cell r="AY1085">
            <v>13.969073068024317</v>
          </cell>
        </row>
        <row r="1086">
          <cell r="A1086">
            <v>41058</v>
          </cell>
          <cell r="AF1086">
            <v>16.125942565545177</v>
          </cell>
          <cell r="AG1086">
            <v>20.469360058004284</v>
          </cell>
          <cell r="AH1086">
            <v>17.881583490985356</v>
          </cell>
          <cell r="AI1086">
            <v>15.547864889645153</v>
          </cell>
          <cell r="AJ1086">
            <v>20.215302092325562</v>
          </cell>
          <cell r="AU1086">
            <v>11.600827809581443</v>
          </cell>
          <cell r="AV1086">
            <v>14.263722316306255</v>
          </cell>
          <cell r="AW1086">
            <v>12.105561258724364</v>
          </cell>
          <cell r="AX1086">
            <v>10.242049449424412</v>
          </cell>
          <cell r="AY1086">
            <v>13.969073068024317</v>
          </cell>
        </row>
        <row r="1087">
          <cell r="A1087">
            <v>41059</v>
          </cell>
          <cell r="AF1087">
            <v>15.656704340893532</v>
          </cell>
          <cell r="AG1087">
            <v>20.469360058004284</v>
          </cell>
          <cell r="AH1087">
            <v>17.881583490985356</v>
          </cell>
          <cell r="AI1087">
            <v>15.547864889645153</v>
          </cell>
          <cell r="AJ1087">
            <v>20.215302092325562</v>
          </cell>
          <cell r="AU1087">
            <v>11.34452808906881</v>
          </cell>
          <cell r="AV1087">
            <v>14.263722316306255</v>
          </cell>
          <cell r="AW1087">
            <v>12.105561258724364</v>
          </cell>
          <cell r="AX1087">
            <v>10.242049449424412</v>
          </cell>
          <cell r="AY1087">
            <v>13.969073068024317</v>
          </cell>
        </row>
        <row r="1088">
          <cell r="A1088">
            <v>41060</v>
          </cell>
          <cell r="AF1088">
            <v>15.501689125496847</v>
          </cell>
          <cell r="AG1088">
            <v>20.469360058004284</v>
          </cell>
          <cell r="AH1088">
            <v>17.881583490985356</v>
          </cell>
          <cell r="AI1088">
            <v>15.547864889645153</v>
          </cell>
          <cell r="AJ1088">
            <v>20.215302092325562</v>
          </cell>
          <cell r="AU1088">
            <v>11.259858183050667</v>
          </cell>
          <cell r="AV1088">
            <v>14.263722316306255</v>
          </cell>
          <cell r="AW1088">
            <v>12.105561258724364</v>
          </cell>
          <cell r="AX1088">
            <v>10.242049449424412</v>
          </cell>
          <cell r="AY1088">
            <v>13.969073068024317</v>
          </cell>
        </row>
        <row r="1089">
          <cell r="A1089">
            <v>41061</v>
          </cell>
          <cell r="AF1089">
            <v>15.045328935084335</v>
          </cell>
          <cell r="AG1089">
            <v>20.469360058004284</v>
          </cell>
          <cell r="AH1089">
            <v>17.881583490985356</v>
          </cell>
          <cell r="AI1089">
            <v>15.547864889645153</v>
          </cell>
          <cell r="AJ1089">
            <v>20.215302092325562</v>
          </cell>
          <cell r="AU1089">
            <v>11.050922628372728</v>
          </cell>
          <cell r="AV1089">
            <v>14.263722316306255</v>
          </cell>
          <cell r="AW1089">
            <v>12.105561258724364</v>
          </cell>
          <cell r="AX1089">
            <v>10.242049449424412</v>
          </cell>
          <cell r="AY1089">
            <v>13.969073068024317</v>
          </cell>
        </row>
        <row r="1090">
          <cell r="A1090">
            <v>41064</v>
          </cell>
          <cell r="AF1090">
            <v>15.051973804573807</v>
          </cell>
          <cell r="AG1090">
            <v>20.469360058004284</v>
          </cell>
          <cell r="AH1090">
            <v>17.881583490985356</v>
          </cell>
          <cell r="AI1090">
            <v>15.547864889645153</v>
          </cell>
          <cell r="AJ1090">
            <v>20.215302092325562</v>
          </cell>
          <cell r="AU1090">
            <v>11.037241698031705</v>
          </cell>
          <cell r="AV1090">
            <v>14.263722316306255</v>
          </cell>
          <cell r="AW1090">
            <v>12.105561258724364</v>
          </cell>
          <cell r="AX1090">
            <v>10.242049449424412</v>
          </cell>
          <cell r="AY1090">
            <v>13.969073068024317</v>
          </cell>
        </row>
        <row r="1091">
          <cell r="A1091">
            <v>41065</v>
          </cell>
          <cell r="AF1091">
            <v>15.193344698544699</v>
          </cell>
          <cell r="AG1091">
            <v>20.469360058004284</v>
          </cell>
          <cell r="AH1091">
            <v>17.881583490985356</v>
          </cell>
          <cell r="AI1091">
            <v>15.547864889645153</v>
          </cell>
          <cell r="AJ1091">
            <v>20.215302092325562</v>
          </cell>
          <cell r="AU1091">
            <v>11.114768870156722</v>
          </cell>
          <cell r="AV1091">
            <v>14.263722316306255</v>
          </cell>
          <cell r="AW1091">
            <v>12.105561258724364</v>
          </cell>
          <cell r="AX1091">
            <v>10.242049449424412</v>
          </cell>
          <cell r="AY1091">
            <v>13.969073068024317</v>
          </cell>
        </row>
        <row r="1092">
          <cell r="A1092">
            <v>41066</v>
          </cell>
          <cell r="AF1092">
            <v>15.426191683991686</v>
          </cell>
          <cell r="AG1092">
            <v>20.469360058004284</v>
          </cell>
          <cell r="AH1092">
            <v>17.881583490985356</v>
          </cell>
          <cell r="AI1092">
            <v>15.547864889645153</v>
          </cell>
          <cell r="AJ1092">
            <v>20.215302092325562</v>
          </cell>
          <cell r="AU1092">
            <v>11.242461125701602</v>
          </cell>
          <cell r="AV1092">
            <v>14.263722316306255</v>
          </cell>
          <cell r="AW1092">
            <v>12.105561258724364</v>
          </cell>
          <cell r="AX1092">
            <v>10.242049449424412</v>
          </cell>
          <cell r="AY1092">
            <v>13.969073068024317</v>
          </cell>
        </row>
        <row r="1093">
          <cell r="A1093">
            <v>41067</v>
          </cell>
          <cell r="AF1093">
            <v>15.318086070686071</v>
          </cell>
          <cell r="AG1093">
            <v>20.469360058004284</v>
          </cell>
          <cell r="AH1093">
            <v>17.881583490985356</v>
          </cell>
          <cell r="AI1093">
            <v>15.547864889645153</v>
          </cell>
          <cell r="AJ1093">
            <v>20.215302092325562</v>
          </cell>
          <cell r="AU1093">
            <v>11.183176486162218</v>
          </cell>
          <cell r="AV1093">
            <v>14.263722316306255</v>
          </cell>
          <cell r="AW1093">
            <v>12.105561258724364</v>
          </cell>
          <cell r="AX1093">
            <v>10.242049449424412</v>
          </cell>
          <cell r="AY1093">
            <v>13.969073068024317</v>
          </cell>
        </row>
        <row r="1094">
          <cell r="A1094">
            <v>41068</v>
          </cell>
          <cell r="AF1094">
            <v>15.471930145530147</v>
          </cell>
          <cell r="AG1094">
            <v>20.469360058004284</v>
          </cell>
          <cell r="AH1094">
            <v>17.881583490985356</v>
          </cell>
          <cell r="AI1094">
            <v>15.547864889645153</v>
          </cell>
          <cell r="AJ1094">
            <v>20.215302092325562</v>
          </cell>
          <cell r="AU1094">
            <v>11.267543895434642</v>
          </cell>
          <cell r="AV1094">
            <v>14.263722316306255</v>
          </cell>
          <cell r="AW1094">
            <v>12.105561258724364</v>
          </cell>
          <cell r="AX1094">
            <v>10.242049449424412</v>
          </cell>
          <cell r="AY1094">
            <v>13.969073068024317</v>
          </cell>
        </row>
        <row r="1095">
          <cell r="A1095">
            <v>41071</v>
          </cell>
          <cell r="AF1095">
            <v>15.329520775542624</v>
          </cell>
          <cell r="AG1095">
            <v>20.469360058004284</v>
          </cell>
          <cell r="AH1095">
            <v>17.881583490985356</v>
          </cell>
          <cell r="AI1095">
            <v>15.547864889645153</v>
          </cell>
          <cell r="AJ1095">
            <v>20.215302092325562</v>
          </cell>
          <cell r="AU1095">
            <v>11.187734440037127</v>
          </cell>
          <cell r="AV1095">
            <v>14.263722316306255</v>
          </cell>
          <cell r="AW1095">
            <v>12.105561258724364</v>
          </cell>
          <cell r="AX1095">
            <v>10.242049449424412</v>
          </cell>
          <cell r="AY1095">
            <v>13.969073068024317</v>
          </cell>
        </row>
        <row r="1096">
          <cell r="A1096">
            <v>41072</v>
          </cell>
          <cell r="AF1096">
            <v>15.520830855350983</v>
          </cell>
          <cell r="AG1096">
            <v>20.469360058004284</v>
          </cell>
          <cell r="AH1096">
            <v>17.881583490985356</v>
          </cell>
          <cell r="AI1096">
            <v>15.547864889645153</v>
          </cell>
          <cell r="AJ1096">
            <v>20.215302092325562</v>
          </cell>
          <cell r="AU1096">
            <v>11.292626665167679</v>
          </cell>
          <cell r="AV1096">
            <v>14.263722316306255</v>
          </cell>
          <cell r="AW1096">
            <v>12.105561258724364</v>
          </cell>
          <cell r="AX1096">
            <v>10.242049449424412</v>
          </cell>
          <cell r="AY1096">
            <v>13.969073068024317</v>
          </cell>
        </row>
        <row r="1097">
          <cell r="A1097">
            <v>41073</v>
          </cell>
          <cell r="AF1097">
            <v>15.441811429355669</v>
          </cell>
          <cell r="AG1097">
            <v>20.469360058004284</v>
          </cell>
          <cell r="AH1097">
            <v>17.881583490985356</v>
          </cell>
          <cell r="AI1097">
            <v>15.547864889645153</v>
          </cell>
          <cell r="AJ1097">
            <v>20.215302092325562</v>
          </cell>
          <cell r="AU1097">
            <v>11.249301590872115</v>
          </cell>
          <cell r="AV1097">
            <v>14.263722316306255</v>
          </cell>
          <cell r="AW1097">
            <v>12.105561258724364</v>
          </cell>
          <cell r="AX1097">
            <v>10.242049449424412</v>
          </cell>
          <cell r="AY1097">
            <v>13.969073068024317</v>
          </cell>
        </row>
        <row r="1098">
          <cell r="A1098">
            <v>41074</v>
          </cell>
          <cell r="AF1098">
            <v>15.583210716528521</v>
          </cell>
          <cell r="AG1098">
            <v>20.469360058004284</v>
          </cell>
          <cell r="AH1098">
            <v>17.881583490985356</v>
          </cell>
          <cell r="AI1098">
            <v>15.547864889645153</v>
          </cell>
          <cell r="AJ1098">
            <v>20.215302092325562</v>
          </cell>
          <cell r="AU1098">
            <v>11.326828534974025</v>
          </cell>
          <cell r="AV1098">
            <v>14.263722316306255</v>
          </cell>
          <cell r="AW1098">
            <v>12.105561258724364</v>
          </cell>
          <cell r="AX1098">
            <v>10.242049449424412</v>
          </cell>
          <cell r="AY1098">
            <v>13.969073068024317</v>
          </cell>
        </row>
        <row r="1099">
          <cell r="A1099">
            <v>41075</v>
          </cell>
          <cell r="AF1099">
            <v>15.726487292228775</v>
          </cell>
          <cell r="AG1099">
            <v>20.469360058004284</v>
          </cell>
          <cell r="AH1099">
            <v>17.881583490985356</v>
          </cell>
          <cell r="AI1099">
            <v>15.547864889645153</v>
          </cell>
          <cell r="AJ1099">
            <v>20.215302092325562</v>
          </cell>
          <cell r="AU1099">
            <v>11.167025729873879</v>
          </cell>
          <cell r="AV1099">
            <v>14.263722316306255</v>
          </cell>
          <cell r="AW1099">
            <v>12.105561258724364</v>
          </cell>
          <cell r="AX1099">
            <v>10.242049449424412</v>
          </cell>
          <cell r="AY1099">
            <v>13.969073068024317</v>
          </cell>
        </row>
        <row r="1100">
          <cell r="A1100">
            <v>41078</v>
          </cell>
          <cell r="AF1100">
            <v>15.8222577529063</v>
          </cell>
          <cell r="AG1100">
            <v>20.469360058004284</v>
          </cell>
          <cell r="AH1100">
            <v>17.881583490985356</v>
          </cell>
          <cell r="AI1100">
            <v>15.547864889645153</v>
          </cell>
          <cell r="AJ1100">
            <v>20.215302092325562</v>
          </cell>
          <cell r="AU1100">
            <v>11.218422964663747</v>
          </cell>
          <cell r="AV1100">
            <v>14.263722316306255</v>
          </cell>
          <cell r="AW1100">
            <v>12.105561258724364</v>
          </cell>
          <cell r="AX1100">
            <v>10.242049449424412</v>
          </cell>
          <cell r="AY1100">
            <v>13.969073068024317</v>
          </cell>
        </row>
        <row r="1101">
          <cell r="A1101">
            <v>41079</v>
          </cell>
          <cell r="AF1101">
            <v>15.97214699710203</v>
          </cell>
          <cell r="AG1101">
            <v>20.469360058004284</v>
          </cell>
          <cell r="AH1101">
            <v>17.881583490985356</v>
          </cell>
          <cell r="AI1101">
            <v>15.547864889645153</v>
          </cell>
          <cell r="AJ1101">
            <v>20.215302092325562</v>
          </cell>
          <cell r="AU1101">
            <v>11.298864184450126</v>
          </cell>
          <cell r="AV1101">
            <v>14.263722316306255</v>
          </cell>
          <cell r="AW1101">
            <v>12.105561258724364</v>
          </cell>
          <cell r="AX1101">
            <v>10.242049449424412</v>
          </cell>
          <cell r="AY1101">
            <v>13.969073068024317</v>
          </cell>
        </row>
        <row r="1102">
          <cell r="A1102">
            <v>41080</v>
          </cell>
          <cell r="AF1102">
            <v>15.97214699710203</v>
          </cell>
          <cell r="AG1102">
            <v>20.469360058004284</v>
          </cell>
          <cell r="AH1102">
            <v>17.881583490985356</v>
          </cell>
          <cell r="AI1102">
            <v>15.547864889645153</v>
          </cell>
          <cell r="AJ1102">
            <v>20.215302092325562</v>
          </cell>
          <cell r="AU1102">
            <v>11.298864184450126</v>
          </cell>
          <cell r="AV1102">
            <v>14.263722316306255</v>
          </cell>
          <cell r="AW1102">
            <v>12.105561258724364</v>
          </cell>
          <cell r="AX1102">
            <v>10.242049449424412</v>
          </cell>
          <cell r="AY1102">
            <v>13.969073068024317</v>
          </cell>
        </row>
        <row r="1103">
          <cell r="A1103">
            <v>41081</v>
          </cell>
          <cell r="AF1103">
            <v>15.526628859798143</v>
          </cell>
          <cell r="AG1103">
            <v>20.469360058004284</v>
          </cell>
          <cell r="AH1103">
            <v>17.881583490985356</v>
          </cell>
          <cell r="AI1103">
            <v>15.547864889645153</v>
          </cell>
          <cell r="AJ1103">
            <v>20.215302092325562</v>
          </cell>
          <cell r="AU1103">
            <v>11.059767492796375</v>
          </cell>
          <cell r="AV1103">
            <v>14.263722316306255</v>
          </cell>
          <cell r="AW1103">
            <v>12.105561258724364</v>
          </cell>
          <cell r="AX1103">
            <v>10.242049449424412</v>
          </cell>
          <cell r="AY1103">
            <v>13.969073068024317</v>
          </cell>
        </row>
        <row r="1104">
          <cell r="A1104">
            <v>41082</v>
          </cell>
          <cell r="AF1104">
            <v>15.605740981313081</v>
          </cell>
          <cell r="AG1104">
            <v>20.469360058004284</v>
          </cell>
          <cell r="AH1104">
            <v>17.881583490985356</v>
          </cell>
          <cell r="AI1104">
            <v>15.547864889645153</v>
          </cell>
          <cell r="AJ1104">
            <v>20.215302092325562</v>
          </cell>
          <cell r="AU1104">
            <v>11.102224679025426</v>
          </cell>
          <cell r="AV1104">
            <v>14.263722316306255</v>
          </cell>
          <cell r="AW1104">
            <v>12.105561258724364</v>
          </cell>
          <cell r="AX1104">
            <v>10.242049449424412</v>
          </cell>
          <cell r="AY1104">
            <v>13.969073068024317</v>
          </cell>
        </row>
        <row r="1105">
          <cell r="A1105">
            <v>41085</v>
          </cell>
          <cell r="AF1105">
            <v>15.274723526864529</v>
          </cell>
          <cell r="AG1105">
            <v>20.469360058004284</v>
          </cell>
          <cell r="AH1105">
            <v>17.881583490985356</v>
          </cell>
          <cell r="AI1105">
            <v>15.547864889645153</v>
          </cell>
          <cell r="AJ1105">
            <v>20.215302092325562</v>
          </cell>
          <cell r="AU1105">
            <v>10.92457719037939</v>
          </cell>
          <cell r="AV1105">
            <v>14.263722316306255</v>
          </cell>
          <cell r="AW1105">
            <v>12.105561258724364</v>
          </cell>
          <cell r="AX1105">
            <v>10.242049449424412</v>
          </cell>
          <cell r="AY1105">
            <v>13.969073068024317</v>
          </cell>
        </row>
        <row r="1106">
          <cell r="A1106">
            <v>41086</v>
          </cell>
          <cell r="AF1106">
            <v>15.253903517537726</v>
          </cell>
          <cell r="AG1106">
            <v>20.469360058004284</v>
          </cell>
          <cell r="AH1106">
            <v>17.881583490985356</v>
          </cell>
          <cell r="AI1106">
            <v>15.547864889645153</v>
          </cell>
          <cell r="AJ1106">
            <v>20.215302092325562</v>
          </cell>
          <cell r="AU1106">
            <v>10.913403693874033</v>
          </cell>
          <cell r="AV1106">
            <v>14.263722316306255</v>
          </cell>
          <cell r="AW1106">
            <v>12.105561258724364</v>
          </cell>
          <cell r="AX1106">
            <v>10.242049449424412</v>
          </cell>
          <cell r="AY1106">
            <v>13.969073068024317</v>
          </cell>
        </row>
        <row r="1107">
          <cell r="A1107">
            <v>41087</v>
          </cell>
          <cell r="AF1107">
            <v>15.41004421904667</v>
          </cell>
          <cell r="AG1107">
            <v>20.469360058004284</v>
          </cell>
          <cell r="AH1107">
            <v>17.881583490985356</v>
          </cell>
          <cell r="AI1107">
            <v>15.547864889645153</v>
          </cell>
          <cell r="AJ1107">
            <v>20.215302092325562</v>
          </cell>
          <cell r="AU1107">
            <v>10.997199889892467</v>
          </cell>
          <cell r="AV1107">
            <v>14.263722316306255</v>
          </cell>
          <cell r="AW1107">
            <v>12.105561258724364</v>
          </cell>
          <cell r="AX1107">
            <v>10.242049449424412</v>
          </cell>
          <cell r="AY1107">
            <v>13.969073068024317</v>
          </cell>
        </row>
        <row r="1108">
          <cell r="A1108">
            <v>41088</v>
          </cell>
          <cell r="AF1108">
            <v>15.297621248459414</v>
          </cell>
          <cell r="AG1108">
            <v>20.469360058004284</v>
          </cell>
          <cell r="AH1108">
            <v>17.881583490985356</v>
          </cell>
          <cell r="AI1108">
            <v>15.547864889645153</v>
          </cell>
          <cell r="AJ1108">
            <v>20.215302092325562</v>
          </cell>
          <cell r="AU1108">
            <v>10.936865734933104</v>
          </cell>
          <cell r="AV1108">
            <v>14.263722316306255</v>
          </cell>
          <cell r="AW1108">
            <v>12.105561258724364</v>
          </cell>
          <cell r="AX1108">
            <v>10.242049449424412</v>
          </cell>
          <cell r="AY1108">
            <v>13.969073068024317</v>
          </cell>
        </row>
        <row r="1109">
          <cell r="A1109">
            <v>41089</v>
          </cell>
          <cell r="AF1109">
            <v>15.743145631391361</v>
          </cell>
          <cell r="AG1109">
            <v>20.469360058004284</v>
          </cell>
          <cell r="AH1109">
            <v>17.881583490985356</v>
          </cell>
          <cell r="AI1109">
            <v>15.547864889645153</v>
          </cell>
          <cell r="AJ1109">
            <v>20.215302092325562</v>
          </cell>
          <cell r="AU1109">
            <v>11.175965778434694</v>
          </cell>
          <cell r="AV1109">
            <v>14.263722316306255</v>
          </cell>
          <cell r="AW1109">
            <v>12.105561258724364</v>
          </cell>
          <cell r="AX1109">
            <v>10.242049449424412</v>
          </cell>
          <cell r="AY1109">
            <v>13.969073068024317</v>
          </cell>
        </row>
        <row r="1110">
          <cell r="A1110">
            <v>41092</v>
          </cell>
          <cell r="AF1110">
            <v>15.633049620824698</v>
          </cell>
          <cell r="AG1110">
            <v>20.469360058004284</v>
          </cell>
          <cell r="AH1110">
            <v>17.881583490985356</v>
          </cell>
          <cell r="AI1110">
            <v>15.547864889645153</v>
          </cell>
          <cell r="AJ1110">
            <v>20.215302092325562</v>
          </cell>
          <cell r="AU1110">
            <v>11.124257133183317</v>
          </cell>
          <cell r="AV1110">
            <v>14.263722316306255</v>
          </cell>
          <cell r="AW1110">
            <v>12.105561258724364</v>
          </cell>
          <cell r="AX1110">
            <v>10.242049449424412</v>
          </cell>
          <cell r="AY1110">
            <v>13.969073068024317</v>
          </cell>
        </row>
        <row r="1111">
          <cell r="A1111">
            <v>41093</v>
          </cell>
          <cell r="AF1111">
            <v>15.55016072696767</v>
          </cell>
          <cell r="AG1111">
            <v>20.469360058004284</v>
          </cell>
          <cell r="AH1111">
            <v>17.881583490985356</v>
          </cell>
          <cell r="AI1111">
            <v>15.547864889645153</v>
          </cell>
          <cell r="AJ1111">
            <v>20.215302092325562</v>
          </cell>
          <cell r="AU1111">
            <v>11.051275356627091</v>
          </cell>
          <cell r="AV1111">
            <v>14.263722316306255</v>
          </cell>
          <cell r="AW1111">
            <v>12.105561258724364</v>
          </cell>
          <cell r="AX1111">
            <v>10.242049449424412</v>
          </cell>
          <cell r="AY1111">
            <v>13.969073068024317</v>
          </cell>
        </row>
        <row r="1112">
          <cell r="A1112">
            <v>41094</v>
          </cell>
          <cell r="AF1112">
            <v>15.55016072696767</v>
          </cell>
          <cell r="AG1112">
            <v>20.469360058004284</v>
          </cell>
          <cell r="AH1112">
            <v>17.881583490985356</v>
          </cell>
          <cell r="AI1112">
            <v>15.547864889645153</v>
          </cell>
          <cell r="AJ1112">
            <v>20.215302092325562</v>
          </cell>
          <cell r="AU1112">
            <v>11.050608081941254</v>
          </cell>
          <cell r="AV1112">
            <v>14.263722316306255</v>
          </cell>
          <cell r="AW1112">
            <v>12.105561258724364</v>
          </cell>
          <cell r="AX1112">
            <v>10.242049449424412</v>
          </cell>
          <cell r="AY1112">
            <v>13.969073068024317</v>
          </cell>
        </row>
        <row r="1113">
          <cell r="A1113">
            <v>41095</v>
          </cell>
          <cell r="AF1113">
            <v>15.484205264672799</v>
          </cell>
          <cell r="AG1113">
            <v>20.469360058004284</v>
          </cell>
          <cell r="AH1113">
            <v>17.881583490985356</v>
          </cell>
          <cell r="AI1113">
            <v>15.547864889645153</v>
          </cell>
          <cell r="AJ1113">
            <v>20.215302092325562</v>
          </cell>
          <cell r="AU1113">
            <v>11.01519498748417</v>
          </cell>
          <cell r="AV1113">
            <v>14.263722316306255</v>
          </cell>
          <cell r="AW1113">
            <v>12.105561258724364</v>
          </cell>
          <cell r="AX1113">
            <v>10.242049449424412</v>
          </cell>
          <cell r="AY1113">
            <v>13.969073068024317</v>
          </cell>
        </row>
        <row r="1114">
          <cell r="A1114">
            <v>41096</v>
          </cell>
          <cell r="AF1114">
            <v>15.2327307918665</v>
          </cell>
          <cell r="AG1114">
            <v>20.469360058004284</v>
          </cell>
          <cell r="AH1114">
            <v>17.881583490985356</v>
          </cell>
          <cell r="AI1114">
            <v>15.547864889645153</v>
          </cell>
          <cell r="AJ1114">
            <v>20.215302092325562</v>
          </cell>
          <cell r="AU1114">
            <v>10.880172216826889</v>
          </cell>
          <cell r="AV1114">
            <v>14.263722316306255</v>
          </cell>
          <cell r="AW1114">
            <v>12.105561258724364</v>
          </cell>
          <cell r="AX1114">
            <v>10.242049449424412</v>
          </cell>
          <cell r="AY1114">
            <v>13.969073068024317</v>
          </cell>
        </row>
        <row r="1115">
          <cell r="A1115">
            <v>41099</v>
          </cell>
          <cell r="AF1115">
            <v>15.129667652295295</v>
          </cell>
          <cell r="AG1115">
            <v>20.469360058004284</v>
          </cell>
          <cell r="AH1115">
            <v>17.881583490985356</v>
          </cell>
          <cell r="AI1115">
            <v>15.547864889645153</v>
          </cell>
          <cell r="AJ1115">
            <v>20.215302092325562</v>
          </cell>
          <cell r="AU1115">
            <v>10.824835106454413</v>
          </cell>
          <cell r="AV1115">
            <v>14.263722316306255</v>
          </cell>
          <cell r="AW1115">
            <v>12.105561258724364</v>
          </cell>
          <cell r="AX1115">
            <v>10.242049449424412</v>
          </cell>
          <cell r="AY1115">
            <v>13.969073068024317</v>
          </cell>
        </row>
        <row r="1116">
          <cell r="A1116">
            <v>41100</v>
          </cell>
          <cell r="AF1116">
            <v>15.031946920456539</v>
          </cell>
          <cell r="AG1116">
            <v>20.469360058004284</v>
          </cell>
          <cell r="AH1116">
            <v>17.881583490985356</v>
          </cell>
          <cell r="AI1116">
            <v>15.547864889645153</v>
          </cell>
          <cell r="AJ1116">
            <v>20.215302092325562</v>
          </cell>
          <cell r="AU1116">
            <v>10.847839282933034</v>
          </cell>
          <cell r="AV1116">
            <v>14.263722316306255</v>
          </cell>
          <cell r="AW1116">
            <v>12.105561258724364</v>
          </cell>
          <cell r="AX1116">
            <v>10.242049449424412</v>
          </cell>
          <cell r="AY1116">
            <v>13.969073068024317</v>
          </cell>
        </row>
        <row r="1117">
          <cell r="A1117">
            <v>41101</v>
          </cell>
          <cell r="AF1117">
            <v>15.118737514708284</v>
          </cell>
          <cell r="AG1117">
            <v>20.469360058004284</v>
          </cell>
          <cell r="AH1117">
            <v>17.881583490985356</v>
          </cell>
          <cell r="AI1117">
            <v>15.547864889645153</v>
          </cell>
          <cell r="AJ1117">
            <v>20.215302092325562</v>
          </cell>
          <cell r="AU1117">
            <v>10.894735695650951</v>
          </cell>
          <cell r="AV1117">
            <v>14.263722316306255</v>
          </cell>
          <cell r="AW1117">
            <v>12.105561258724364</v>
          </cell>
          <cell r="AX1117">
            <v>10.242049449424412</v>
          </cell>
          <cell r="AY1117">
            <v>13.969073068024317</v>
          </cell>
        </row>
        <row r="1118">
          <cell r="A1118">
            <v>41102</v>
          </cell>
          <cell r="AF1118">
            <v>14.922942617621276</v>
          </cell>
          <cell r="AG1118">
            <v>20.469360058004284</v>
          </cell>
          <cell r="AH1118">
            <v>17.881583490985356</v>
          </cell>
          <cell r="AI1118">
            <v>15.547864889645153</v>
          </cell>
          <cell r="AJ1118">
            <v>20.215302092325562</v>
          </cell>
          <cell r="AU1118">
            <v>10.794023719602203</v>
          </cell>
          <cell r="AV1118">
            <v>14.263722316306255</v>
          </cell>
          <cell r="AW1118">
            <v>12.105561258724364</v>
          </cell>
          <cell r="AX1118">
            <v>10.242049449424412</v>
          </cell>
          <cell r="AY1118">
            <v>13.969073068024317</v>
          </cell>
        </row>
        <row r="1119">
          <cell r="A1119">
            <v>41103</v>
          </cell>
          <cell r="AF1119">
            <v>15.056617474408004</v>
          </cell>
          <cell r="AG1119">
            <v>20.469360058004284</v>
          </cell>
          <cell r="AH1119">
            <v>17.881583490985356</v>
          </cell>
          <cell r="AI1119">
            <v>15.547864889645153</v>
          </cell>
          <cell r="AJ1119">
            <v>20.215302092325562</v>
          </cell>
          <cell r="AU1119">
            <v>10.858829143904517</v>
          </cell>
          <cell r="AV1119">
            <v>14.263722316306255</v>
          </cell>
          <cell r="AW1119">
            <v>12.105561258724364</v>
          </cell>
          <cell r="AX1119">
            <v>10.242049449424412</v>
          </cell>
          <cell r="AY1119">
            <v>13.969073068024317</v>
          </cell>
        </row>
        <row r="1120">
          <cell r="A1120">
            <v>41106</v>
          </cell>
          <cell r="AF1120">
            <v>14.862151267494312</v>
          </cell>
          <cell r="AG1120">
            <v>20.469360058004284</v>
          </cell>
          <cell r="AH1120">
            <v>17.881583490985356</v>
          </cell>
          <cell r="AI1120">
            <v>15.547864889645153</v>
          </cell>
          <cell r="AJ1120">
            <v>20.215302092325562</v>
          </cell>
          <cell r="AU1120">
            <v>10.753802699113105</v>
          </cell>
          <cell r="AV1120">
            <v>14.263722316306255</v>
          </cell>
          <cell r="AW1120">
            <v>12.105561258724364</v>
          </cell>
          <cell r="AX1120">
            <v>10.242049449424412</v>
          </cell>
          <cell r="AY1120">
            <v>13.969073068024317</v>
          </cell>
        </row>
        <row r="1121">
          <cell r="A1121">
            <v>41107</v>
          </cell>
          <cell r="AF1121">
            <v>15.096387816555159</v>
          </cell>
          <cell r="AG1121">
            <v>20.469360058004284</v>
          </cell>
          <cell r="AH1121">
            <v>17.881583490985356</v>
          </cell>
          <cell r="AI1121">
            <v>15.547864889645153</v>
          </cell>
          <cell r="AJ1121">
            <v>20.215302092325562</v>
          </cell>
          <cell r="AU1121">
            <v>10.882636201109381</v>
          </cell>
          <cell r="AV1121">
            <v>14.263722316306255</v>
          </cell>
          <cell r="AW1121">
            <v>12.105561258724364</v>
          </cell>
          <cell r="AX1121">
            <v>10.242049449424412</v>
          </cell>
          <cell r="AY1121">
            <v>13.969073068024317</v>
          </cell>
        </row>
        <row r="1122">
          <cell r="A1122">
            <v>41108</v>
          </cell>
          <cell r="AF1122">
            <v>15.19671442110481</v>
          </cell>
          <cell r="AG1122">
            <v>20.469360058004284</v>
          </cell>
          <cell r="AH1122">
            <v>17.881583490985356</v>
          </cell>
          <cell r="AI1122">
            <v>15.547864889645153</v>
          </cell>
          <cell r="AJ1122">
            <v>20.215302092325562</v>
          </cell>
          <cell r="AU1122">
            <v>10.936330077740205</v>
          </cell>
          <cell r="AV1122">
            <v>14.263722316306255</v>
          </cell>
          <cell r="AW1122">
            <v>12.105561258724364</v>
          </cell>
          <cell r="AX1122">
            <v>10.242049449424412</v>
          </cell>
          <cell r="AY1122">
            <v>13.969073068024317</v>
          </cell>
        </row>
        <row r="1123">
          <cell r="A1123">
            <v>41109</v>
          </cell>
          <cell r="AF1123">
            <v>15.453581617276651</v>
          </cell>
          <cell r="AG1123">
            <v>20.469360058004284</v>
          </cell>
          <cell r="AH1123">
            <v>17.881583490985356</v>
          </cell>
          <cell r="AI1123">
            <v>15.547864889645153</v>
          </cell>
          <cell r="AJ1123">
            <v>20.215302092325562</v>
          </cell>
          <cell r="AU1123">
            <v>11.075035250722964</v>
          </cell>
          <cell r="AV1123">
            <v>14.263722316306255</v>
          </cell>
          <cell r="AW1123">
            <v>12.105561258724364</v>
          </cell>
          <cell r="AX1123">
            <v>10.242049449424412</v>
          </cell>
          <cell r="AY1123">
            <v>13.969073068024317</v>
          </cell>
        </row>
        <row r="1124">
          <cell r="A1124">
            <v>41110</v>
          </cell>
          <cell r="AF1124">
            <v>15.242288415162983</v>
          </cell>
          <cell r="AG1124">
            <v>20.469360058004284</v>
          </cell>
          <cell r="AH1124">
            <v>17.881583490985356</v>
          </cell>
          <cell r="AI1124">
            <v>15.547864889645153</v>
          </cell>
          <cell r="AJ1124">
            <v>20.215302092325562</v>
          </cell>
          <cell r="AU1124">
            <v>10.960939482224559</v>
          </cell>
          <cell r="AV1124">
            <v>14.263722316306255</v>
          </cell>
          <cell r="AW1124">
            <v>12.105561258724364</v>
          </cell>
          <cell r="AX1124">
            <v>10.242049449424412</v>
          </cell>
          <cell r="AY1124">
            <v>13.969073068024317</v>
          </cell>
        </row>
        <row r="1125">
          <cell r="A1125">
            <v>41113</v>
          </cell>
          <cell r="AF1125">
            <v>14.960557516793765</v>
          </cell>
          <cell r="AG1125">
            <v>20.469360058004284</v>
          </cell>
          <cell r="AH1125">
            <v>17.881583490985356</v>
          </cell>
          <cell r="AI1125">
            <v>15.547864889645153</v>
          </cell>
          <cell r="AJ1125">
            <v>20.215302092325562</v>
          </cell>
          <cell r="AU1125">
            <v>10.808808211376148</v>
          </cell>
          <cell r="AV1125">
            <v>14.263722316306255</v>
          </cell>
          <cell r="AW1125">
            <v>12.105561258724364</v>
          </cell>
          <cell r="AX1125">
            <v>10.242049449424412</v>
          </cell>
          <cell r="AY1125">
            <v>13.969073068024317</v>
          </cell>
        </row>
        <row r="1126">
          <cell r="A1126">
            <v>41114</v>
          </cell>
          <cell r="AF1126">
            <v>14.732694589692482</v>
          </cell>
          <cell r="AG1126">
            <v>20.469360058004284</v>
          </cell>
          <cell r="AH1126">
            <v>17.881583490985356</v>
          </cell>
          <cell r="AI1126">
            <v>15.547864889645153</v>
          </cell>
          <cell r="AJ1126">
            <v>20.215302092325562</v>
          </cell>
          <cell r="AU1126">
            <v>10.685764992191407</v>
          </cell>
          <cell r="AV1126">
            <v>14.263722316306255</v>
          </cell>
          <cell r="AW1126">
            <v>12.105561258724364</v>
          </cell>
          <cell r="AX1126">
            <v>10.242049449424412</v>
          </cell>
          <cell r="AY1126">
            <v>13.969073068024317</v>
          </cell>
        </row>
        <row r="1127">
          <cell r="A1127">
            <v>41115</v>
          </cell>
          <cell r="AF1127">
            <v>14.844552455364369</v>
          </cell>
          <cell r="AG1127">
            <v>20.469360058004284</v>
          </cell>
          <cell r="AH1127">
            <v>17.881583490985356</v>
          </cell>
          <cell r="AI1127">
            <v>15.547864889645153</v>
          </cell>
          <cell r="AJ1127">
            <v>20.215302092325562</v>
          </cell>
          <cell r="AU1127">
            <v>10.746166884058992</v>
          </cell>
          <cell r="AV1127">
            <v>14.263722316306255</v>
          </cell>
          <cell r="AW1127">
            <v>12.105561258724364</v>
          </cell>
          <cell r="AX1127">
            <v>10.242049449424412</v>
          </cell>
          <cell r="AY1127">
            <v>13.969073068024317</v>
          </cell>
        </row>
        <row r="1128">
          <cell r="A1128">
            <v>41116</v>
          </cell>
          <cell r="AF1128">
            <v>14.918782707203073</v>
          </cell>
          <cell r="AG1128">
            <v>20.469360058004284</v>
          </cell>
          <cell r="AH1128">
            <v>17.881583490985356</v>
          </cell>
          <cell r="AI1128">
            <v>15.547864889645153</v>
          </cell>
          <cell r="AJ1128">
            <v>20.215302092325562</v>
          </cell>
          <cell r="AU1128">
            <v>10.778607153582442</v>
          </cell>
          <cell r="AV1128">
            <v>14.263722316306255</v>
          </cell>
          <cell r="AW1128">
            <v>12.105561258724364</v>
          </cell>
          <cell r="AX1128">
            <v>10.242049449424412</v>
          </cell>
          <cell r="AY1128">
            <v>13.969073068024317</v>
          </cell>
        </row>
        <row r="1129">
          <cell r="A1129">
            <v>41117</v>
          </cell>
          <cell r="AF1129">
            <v>15.418384434574307</v>
          </cell>
          <cell r="AG1129">
            <v>20.469360058004284</v>
          </cell>
          <cell r="AH1129">
            <v>17.881583490985356</v>
          </cell>
          <cell r="AI1129">
            <v>15.547864889645153</v>
          </cell>
          <cell r="AJ1129">
            <v>20.215302092325562</v>
          </cell>
          <cell r="AU1129">
            <v>11.09456626519944</v>
          </cell>
          <cell r="AV1129">
            <v>14.263722316306255</v>
          </cell>
          <cell r="AW1129">
            <v>12.105561258724364</v>
          </cell>
          <cell r="AX1129">
            <v>10.242049449424412</v>
          </cell>
          <cell r="AY1129">
            <v>13.969073068024317</v>
          </cell>
        </row>
        <row r="1130">
          <cell r="A1130">
            <v>41120</v>
          </cell>
          <cell r="AF1130">
            <v>15.488560121775542</v>
          </cell>
          <cell r="AG1130">
            <v>20.469360058004284</v>
          </cell>
          <cell r="AH1130">
            <v>17.881583490985356</v>
          </cell>
          <cell r="AI1130">
            <v>15.547864889645153</v>
          </cell>
          <cell r="AJ1130">
            <v>20.215302092325562</v>
          </cell>
          <cell r="AU1130">
            <v>11.100179993494299</v>
          </cell>
          <cell r="AV1130">
            <v>14.263722316306255</v>
          </cell>
          <cell r="AW1130">
            <v>12.105561258724364</v>
          </cell>
          <cell r="AX1130">
            <v>10.242049449424412</v>
          </cell>
          <cell r="AY1130">
            <v>13.969073068024317</v>
          </cell>
        </row>
        <row r="1131">
          <cell r="A1131">
            <v>41121</v>
          </cell>
          <cell r="AF1131">
            <v>15.134145638054227</v>
          </cell>
          <cell r="AG1131">
            <v>20.469360058004284</v>
          </cell>
          <cell r="AH1131">
            <v>17.881583490985356</v>
          </cell>
          <cell r="AI1131">
            <v>15.547864889645153</v>
          </cell>
          <cell r="AJ1131">
            <v>20.215302092325562</v>
          </cell>
          <cell r="AU1131">
            <v>10.808301783913407</v>
          </cell>
          <cell r="AV1131">
            <v>14.263722316306255</v>
          </cell>
          <cell r="AW1131">
            <v>12.105561258724364</v>
          </cell>
          <cell r="AX1131">
            <v>10.242049449424412</v>
          </cell>
          <cell r="AY1131">
            <v>13.969073068024317</v>
          </cell>
        </row>
        <row r="1132">
          <cell r="A1132">
            <v>41122</v>
          </cell>
          <cell r="AF1132">
            <v>15.009488425424166</v>
          </cell>
          <cell r="AG1132">
            <v>20.469360058004284</v>
          </cell>
          <cell r="AH1132">
            <v>17.881583490985356</v>
          </cell>
          <cell r="AI1132">
            <v>15.547864889645153</v>
          </cell>
          <cell r="AJ1132">
            <v>20.215302092325562</v>
          </cell>
          <cell r="AU1132">
            <v>10.804874038299186</v>
          </cell>
          <cell r="AV1132">
            <v>14.263722316306255</v>
          </cell>
          <cell r="AW1132">
            <v>12.105561258724364</v>
          </cell>
          <cell r="AX1132">
            <v>10.242049449424412</v>
          </cell>
          <cell r="AY1132">
            <v>13.969073068024317</v>
          </cell>
        </row>
        <row r="1133">
          <cell r="A1133">
            <v>41123</v>
          </cell>
          <cell r="AF1133">
            <v>14.784407078445593</v>
          </cell>
          <cell r="AG1133">
            <v>20.469360058004284</v>
          </cell>
          <cell r="AH1133">
            <v>17.881583490985356</v>
          </cell>
          <cell r="AI1133">
            <v>15.547864889645153</v>
          </cell>
          <cell r="AJ1133">
            <v>20.215302092325562</v>
          </cell>
          <cell r="AU1133">
            <v>10.676821883684266</v>
          </cell>
          <cell r="AV1133">
            <v>14.263722316306255</v>
          </cell>
          <cell r="AW1133">
            <v>12.105561258724364</v>
          </cell>
          <cell r="AX1133">
            <v>10.242049449424412</v>
          </cell>
          <cell r="AY1133">
            <v>13.969073068024317</v>
          </cell>
        </row>
        <row r="1134">
          <cell r="A1134">
            <v>41124</v>
          </cell>
          <cell r="AF1134">
            <v>15.362312371202707</v>
          </cell>
          <cell r="AG1134">
            <v>20.469360058004284</v>
          </cell>
          <cell r="AH1134">
            <v>17.881583490985356</v>
          </cell>
          <cell r="AI1134">
            <v>15.547864889645153</v>
          </cell>
          <cell r="AJ1134">
            <v>20.215302092325562</v>
          </cell>
          <cell r="AU1134">
            <v>10.989093576730104</v>
          </cell>
          <cell r="AV1134">
            <v>14.263722316306255</v>
          </cell>
          <cell r="AW1134">
            <v>12.105561258724364</v>
          </cell>
          <cell r="AX1134">
            <v>10.242049449424412</v>
          </cell>
          <cell r="AY1134">
            <v>13.969073068024317</v>
          </cell>
        </row>
        <row r="1135">
          <cell r="A1135">
            <v>41127</v>
          </cell>
          <cell r="AF1135">
            <v>15.739500220061233</v>
          </cell>
          <cell r="AG1135">
            <v>20.469360058004284</v>
          </cell>
          <cell r="AH1135">
            <v>17.881583490985356</v>
          </cell>
          <cell r="AI1135">
            <v>15.547864889645153</v>
          </cell>
          <cell r="AJ1135">
            <v>20.215302092325562</v>
          </cell>
          <cell r="AU1135">
            <v>11.175193952164825</v>
          </cell>
          <cell r="AV1135">
            <v>14.263722316306255</v>
          </cell>
          <cell r="AW1135">
            <v>12.105561258724364</v>
          </cell>
          <cell r="AX1135">
            <v>10.242049449424412</v>
          </cell>
          <cell r="AY1135">
            <v>13.969073068024317</v>
          </cell>
        </row>
        <row r="1136">
          <cell r="A1136">
            <v>41128</v>
          </cell>
          <cell r="AF1136">
            <v>16.006999032798578</v>
          </cell>
          <cell r="AG1136">
            <v>20.469360058004284</v>
          </cell>
          <cell r="AH1136">
            <v>17.881583490985356</v>
          </cell>
          <cell r="AI1136">
            <v>15.547864889645153</v>
          </cell>
          <cell r="AJ1136">
            <v>20.215302092325562</v>
          </cell>
          <cell r="AU1136">
            <v>11.328666507283765</v>
          </cell>
          <cell r="AV1136">
            <v>14.263722316306255</v>
          </cell>
          <cell r="AW1136">
            <v>12.105561258724364</v>
          </cell>
          <cell r="AX1136">
            <v>10.242049449424412</v>
          </cell>
          <cell r="AY1136">
            <v>13.969073068024317</v>
          </cell>
        </row>
        <row r="1137">
          <cell r="A1137">
            <v>41129</v>
          </cell>
          <cell r="AF1137">
            <v>16.136796003903925</v>
          </cell>
          <cell r="AG1137">
            <v>20.469360058004284</v>
          </cell>
          <cell r="AH1137">
            <v>17.881583490985356</v>
          </cell>
          <cell r="AI1137">
            <v>15.547864889645153</v>
          </cell>
          <cell r="AJ1137">
            <v>20.215302092325562</v>
          </cell>
          <cell r="AU1137">
            <v>11.39863066232571</v>
          </cell>
          <cell r="AV1137">
            <v>14.263722316306255</v>
          </cell>
          <cell r="AW1137">
            <v>12.105561258724364</v>
          </cell>
          <cell r="AX1137">
            <v>10.242049449424412</v>
          </cell>
          <cell r="AY1137">
            <v>13.969073068024317</v>
          </cell>
        </row>
        <row r="1138">
          <cell r="A1138">
            <v>41130</v>
          </cell>
          <cell r="AF1138">
            <v>16.149356663444273</v>
          </cell>
          <cell r="AG1138">
            <v>20.469360058004284</v>
          </cell>
          <cell r="AH1138">
            <v>17.881583490985356</v>
          </cell>
          <cell r="AI1138">
            <v>15.547864889645153</v>
          </cell>
          <cell r="AJ1138">
            <v>20.215302092325562</v>
          </cell>
          <cell r="AU1138">
            <v>11.405389101650538</v>
          </cell>
          <cell r="AV1138">
            <v>14.263722316306255</v>
          </cell>
          <cell r="AW1138">
            <v>12.105561258724364</v>
          </cell>
          <cell r="AX1138">
            <v>10.242049449424412</v>
          </cell>
          <cell r="AY1138">
            <v>13.969073068024317</v>
          </cell>
        </row>
        <row r="1139">
          <cell r="A1139">
            <v>41131</v>
          </cell>
          <cell r="AF1139">
            <v>16.174477563822364</v>
          </cell>
          <cell r="AG1139">
            <v>20.469360058004284</v>
          </cell>
          <cell r="AH1139">
            <v>17.881583490985356</v>
          </cell>
          <cell r="AI1139">
            <v>15.547864889645153</v>
          </cell>
          <cell r="AJ1139">
            <v>20.215302092325562</v>
          </cell>
          <cell r="AU1139">
            <v>11.418929946931929</v>
          </cell>
          <cell r="AV1139">
            <v>14.263722316306255</v>
          </cell>
          <cell r="AW1139">
            <v>12.105561258724364</v>
          </cell>
          <cell r="AX1139">
            <v>10.242049449424412</v>
          </cell>
          <cell r="AY1139">
            <v>13.969073068024317</v>
          </cell>
        </row>
        <row r="1140">
          <cell r="A1140">
            <v>41134</v>
          </cell>
          <cell r="AF1140">
            <v>16.124235344363576</v>
          </cell>
          <cell r="AG1140">
            <v>20.469360058004284</v>
          </cell>
          <cell r="AH1140">
            <v>17.881583490985356</v>
          </cell>
          <cell r="AI1140">
            <v>15.547864889645153</v>
          </cell>
          <cell r="AJ1140">
            <v>20.215302092325562</v>
          </cell>
          <cell r="AU1140">
            <v>11.39184803067711</v>
          </cell>
          <cell r="AV1140">
            <v>14.263722316306255</v>
          </cell>
          <cell r="AW1140">
            <v>12.105561258724364</v>
          </cell>
          <cell r="AX1140">
            <v>10.242049449424412</v>
          </cell>
          <cell r="AY1140">
            <v>13.969073068024317</v>
          </cell>
        </row>
        <row r="1141">
          <cell r="A1141">
            <v>41135</v>
          </cell>
          <cell r="AF1141">
            <v>16.107483471716158</v>
          </cell>
          <cell r="AG1141">
            <v>20.469360058004284</v>
          </cell>
          <cell r="AH1141">
            <v>17.881583490985356</v>
          </cell>
          <cell r="AI1141">
            <v>15.547864889645153</v>
          </cell>
          <cell r="AJ1141">
            <v>20.215302092325562</v>
          </cell>
          <cell r="AU1141">
            <v>11.382818317877083</v>
          </cell>
          <cell r="AV1141">
            <v>14.263722316306255</v>
          </cell>
          <cell r="AW1141">
            <v>12.105561258724364</v>
          </cell>
          <cell r="AX1141">
            <v>10.242049449424412</v>
          </cell>
          <cell r="AY1141">
            <v>13.969073068024317</v>
          </cell>
        </row>
        <row r="1142">
          <cell r="A1142">
            <v>41136</v>
          </cell>
          <cell r="AF1142">
            <v>16.350331821818553</v>
          </cell>
          <cell r="AG1142">
            <v>20.469360058004284</v>
          </cell>
          <cell r="AH1142">
            <v>17.881583490985356</v>
          </cell>
          <cell r="AI1142">
            <v>15.547864889645153</v>
          </cell>
          <cell r="AJ1142">
            <v>20.215302092325562</v>
          </cell>
          <cell r="AU1142">
            <v>11.513720152050407</v>
          </cell>
          <cell r="AV1142">
            <v>14.263722316306255</v>
          </cell>
          <cell r="AW1142">
            <v>12.105561258724364</v>
          </cell>
          <cell r="AX1142">
            <v>10.242049449424412</v>
          </cell>
          <cell r="AY1142">
            <v>13.969073068024317</v>
          </cell>
        </row>
        <row r="1143">
          <cell r="A1143">
            <v>41137</v>
          </cell>
          <cell r="AF1143">
            <v>16.358707967493565</v>
          </cell>
          <cell r="AG1143">
            <v>20.469360058004284</v>
          </cell>
          <cell r="AH1143">
            <v>17.881583490985356</v>
          </cell>
          <cell r="AI1143">
            <v>15.547864889645153</v>
          </cell>
          <cell r="AJ1143">
            <v>20.215302092325562</v>
          </cell>
          <cell r="AU1143">
            <v>11.51823512129644</v>
          </cell>
          <cell r="AV1143">
            <v>14.263722316306255</v>
          </cell>
          <cell r="AW1143">
            <v>12.105561258724364</v>
          </cell>
          <cell r="AX1143">
            <v>10.242049449424412</v>
          </cell>
          <cell r="AY1143">
            <v>13.969073068024317</v>
          </cell>
        </row>
        <row r="1144">
          <cell r="A1144">
            <v>41138</v>
          </cell>
          <cell r="AF1144">
            <v>16.27915321584701</v>
          </cell>
          <cell r="AG1144">
            <v>20.469360058004284</v>
          </cell>
          <cell r="AH1144">
            <v>17.881583490985356</v>
          </cell>
          <cell r="AI1144">
            <v>15.547864889645153</v>
          </cell>
          <cell r="AJ1144">
            <v>20.215302092325562</v>
          </cell>
          <cell r="AU1144">
            <v>11.475352956754881</v>
          </cell>
          <cell r="AV1144">
            <v>14.263722316306255</v>
          </cell>
          <cell r="AW1144">
            <v>12.105561258724364</v>
          </cell>
          <cell r="AX1144">
            <v>10.242049449424412</v>
          </cell>
          <cell r="AY1144">
            <v>13.969073068024317</v>
          </cell>
        </row>
        <row r="1145">
          <cell r="A1145">
            <v>41141</v>
          </cell>
          <cell r="AF1145">
            <v>16.187038223362716</v>
          </cell>
          <cell r="AG1145">
            <v>20.469360058004284</v>
          </cell>
          <cell r="AH1145">
            <v>17.881583490985356</v>
          </cell>
          <cell r="AI1145">
            <v>15.547864889645153</v>
          </cell>
          <cell r="AJ1145">
            <v>20.215302092325562</v>
          </cell>
          <cell r="AU1145">
            <v>11.425700482418645</v>
          </cell>
          <cell r="AV1145">
            <v>14.263722316306255</v>
          </cell>
          <cell r="AW1145">
            <v>12.105561258724364</v>
          </cell>
          <cell r="AX1145">
            <v>10.242049449424412</v>
          </cell>
          <cell r="AY1145">
            <v>13.969073068024317</v>
          </cell>
        </row>
        <row r="1146">
          <cell r="A1146">
            <v>41142</v>
          </cell>
          <cell r="AF1146">
            <v>15.852074880776019</v>
          </cell>
          <cell r="AG1146">
            <v>20.469360058004284</v>
          </cell>
          <cell r="AH1146">
            <v>17.881583490985356</v>
          </cell>
          <cell r="AI1146">
            <v>15.547864889645153</v>
          </cell>
          <cell r="AJ1146">
            <v>20.215302092325562</v>
          </cell>
          <cell r="AU1146">
            <v>11.245146173909083</v>
          </cell>
          <cell r="AV1146">
            <v>14.263722316306255</v>
          </cell>
          <cell r="AW1146">
            <v>12.105561258724364</v>
          </cell>
          <cell r="AX1146">
            <v>10.242049449424412</v>
          </cell>
          <cell r="AY1146">
            <v>13.969073068024317</v>
          </cell>
        </row>
        <row r="1147">
          <cell r="A1147">
            <v>41143</v>
          </cell>
          <cell r="AF1147">
            <v>15.676220622779828</v>
          </cell>
          <cell r="AG1147">
            <v>20.469360058004284</v>
          </cell>
          <cell r="AH1147">
            <v>17.881583490985356</v>
          </cell>
          <cell r="AI1147">
            <v>15.547864889645153</v>
          </cell>
          <cell r="AJ1147">
            <v>20.215302092325562</v>
          </cell>
          <cell r="AU1147">
            <v>11.150355968790604</v>
          </cell>
          <cell r="AV1147">
            <v>14.263722316306255</v>
          </cell>
          <cell r="AW1147">
            <v>12.105561258724364</v>
          </cell>
          <cell r="AX1147">
            <v>10.242049449424412</v>
          </cell>
          <cell r="AY1147">
            <v>13.969073068024317</v>
          </cell>
        </row>
        <row r="1148">
          <cell r="A1148">
            <v>41144</v>
          </cell>
          <cell r="AF1148">
            <v>15.429187340109488</v>
          </cell>
          <cell r="AG1148">
            <v>20.469360058004284</v>
          </cell>
          <cell r="AH1148">
            <v>17.881583490985356</v>
          </cell>
          <cell r="AI1148">
            <v>15.547864889645153</v>
          </cell>
          <cell r="AJ1148">
            <v>20.215302092325562</v>
          </cell>
          <cell r="AU1148">
            <v>11.01719834268456</v>
          </cell>
          <cell r="AV1148">
            <v>14.263722316306255</v>
          </cell>
          <cell r="AW1148">
            <v>12.105561258724364</v>
          </cell>
          <cell r="AX1148">
            <v>10.242049449424412</v>
          </cell>
          <cell r="AY1148">
            <v>13.969073068024317</v>
          </cell>
        </row>
        <row r="1149">
          <cell r="A1149">
            <v>41145</v>
          </cell>
          <cell r="AF1149">
            <v>15.366384461110348</v>
          </cell>
          <cell r="AG1149">
            <v>20.469360058004284</v>
          </cell>
          <cell r="AH1149">
            <v>17.881583490985356</v>
          </cell>
          <cell r="AI1149">
            <v>15.547864889645153</v>
          </cell>
          <cell r="AJ1149">
            <v>20.215302092325562</v>
          </cell>
          <cell r="AU1149">
            <v>10.983345890943024</v>
          </cell>
          <cell r="AV1149">
            <v>14.263722316306255</v>
          </cell>
          <cell r="AW1149">
            <v>12.105561258724364</v>
          </cell>
          <cell r="AX1149">
            <v>10.242049449424412</v>
          </cell>
          <cell r="AY1149">
            <v>13.969073068024317</v>
          </cell>
        </row>
        <row r="1150">
          <cell r="A1150">
            <v>41148</v>
          </cell>
          <cell r="AF1150">
            <v>15.3203271742195</v>
          </cell>
          <cell r="AG1150">
            <v>20.469360058004284</v>
          </cell>
          <cell r="AH1150">
            <v>17.881583490985356</v>
          </cell>
          <cell r="AI1150">
            <v>15.547864889645153</v>
          </cell>
          <cell r="AJ1150">
            <v>20.215302092325562</v>
          </cell>
          <cell r="AU1150">
            <v>10.958519766620926</v>
          </cell>
          <cell r="AV1150">
            <v>14.263722316306255</v>
          </cell>
          <cell r="AW1150">
            <v>12.105561258724364</v>
          </cell>
          <cell r="AX1150">
            <v>10.242049449424412</v>
          </cell>
          <cell r="AY1150">
            <v>13.969073068024317</v>
          </cell>
        </row>
        <row r="1151">
          <cell r="A1151">
            <v>41149</v>
          </cell>
          <cell r="AF1151">
            <v>15.228212181735204</v>
          </cell>
          <cell r="AG1151">
            <v>20.469360058004284</v>
          </cell>
          <cell r="AH1151">
            <v>17.881583490985356</v>
          </cell>
          <cell r="AI1151">
            <v>15.547864889645153</v>
          </cell>
          <cell r="AJ1151">
            <v>20.215302092325562</v>
          </cell>
          <cell r="AU1151">
            <v>10.90886729228469</v>
          </cell>
          <cell r="AV1151">
            <v>14.263722316306255</v>
          </cell>
          <cell r="AW1151">
            <v>12.105561258724364</v>
          </cell>
          <cell r="AX1151">
            <v>10.242049449424412</v>
          </cell>
          <cell r="AY1151">
            <v>13.969073068024317</v>
          </cell>
        </row>
        <row r="1152">
          <cell r="A1152">
            <v>41150</v>
          </cell>
          <cell r="AF1152">
            <v>15.270078255518982</v>
          </cell>
          <cell r="AG1152">
            <v>20.469360058004284</v>
          </cell>
          <cell r="AH1152">
            <v>17.881583490985356</v>
          </cell>
          <cell r="AI1152">
            <v>15.547864889645153</v>
          </cell>
          <cell r="AJ1152">
            <v>20.215302092325562</v>
          </cell>
          <cell r="AU1152">
            <v>10.931434239293479</v>
          </cell>
          <cell r="AV1152">
            <v>14.263722316306255</v>
          </cell>
          <cell r="AW1152">
            <v>12.105561258724364</v>
          </cell>
          <cell r="AX1152">
            <v>10.242049449424412</v>
          </cell>
          <cell r="AY1152">
            <v>13.969073068024317</v>
          </cell>
        </row>
        <row r="1153">
          <cell r="A1153">
            <v>41151</v>
          </cell>
          <cell r="AF1153">
            <v>15.140281703116246</v>
          </cell>
          <cell r="AG1153">
            <v>20.469360058004284</v>
          </cell>
          <cell r="AH1153">
            <v>17.881583490985356</v>
          </cell>
          <cell r="AI1153">
            <v>15.547864889645153</v>
          </cell>
          <cell r="AJ1153">
            <v>20.215302092325562</v>
          </cell>
          <cell r="AU1153">
            <v>10.861470384189138</v>
          </cell>
          <cell r="AV1153">
            <v>14.263722316306255</v>
          </cell>
          <cell r="AW1153">
            <v>12.105561258724364</v>
          </cell>
          <cell r="AX1153">
            <v>10.242049449424412</v>
          </cell>
          <cell r="AY1153">
            <v>13.969073068024317</v>
          </cell>
        </row>
        <row r="1154">
          <cell r="A1154">
            <v>41152</v>
          </cell>
          <cell r="AF1154">
            <v>15.186339408709697</v>
          </cell>
          <cell r="AG1154">
            <v>20.469360058004284</v>
          </cell>
          <cell r="AH1154">
            <v>17.881583490985356</v>
          </cell>
          <cell r="AI1154">
            <v>15.547864889645153</v>
          </cell>
          <cell r="AJ1154">
            <v>20.215302092325562</v>
          </cell>
          <cell r="AU1154">
            <v>10.886296734203274</v>
          </cell>
          <cell r="AV1154">
            <v>14.263722316306255</v>
          </cell>
          <cell r="AW1154">
            <v>12.105561258724364</v>
          </cell>
          <cell r="AX1154">
            <v>10.242049449424412</v>
          </cell>
          <cell r="AY1154">
            <v>13.969073068024317</v>
          </cell>
        </row>
        <row r="1155">
          <cell r="A1155">
            <v>41155</v>
          </cell>
          <cell r="AF1155">
            <v>15.048695634134452</v>
          </cell>
          <cell r="AG1155">
            <v>20.469360058004284</v>
          </cell>
          <cell r="AH1155">
            <v>17.881583490985356</v>
          </cell>
          <cell r="AI1155">
            <v>15.547864889645153</v>
          </cell>
          <cell r="AJ1155">
            <v>20.215302092325562</v>
          </cell>
          <cell r="AU1155">
            <v>10.816928530843448</v>
          </cell>
          <cell r="AV1155">
            <v>14.263722316306255</v>
          </cell>
          <cell r="AW1155">
            <v>12.105561258724364</v>
          </cell>
          <cell r="AX1155">
            <v>10.242049449424412</v>
          </cell>
          <cell r="AY1155">
            <v>13.969073068024317</v>
          </cell>
        </row>
        <row r="1156">
          <cell r="A1156">
            <v>41156</v>
          </cell>
          <cell r="AF1156">
            <v>15.077742072671072</v>
          </cell>
          <cell r="AG1156">
            <v>20.469360058004284</v>
          </cell>
          <cell r="AH1156">
            <v>17.881583490985356</v>
          </cell>
          <cell r="AI1156">
            <v>15.547864889645153</v>
          </cell>
          <cell r="AJ1156">
            <v>20.215302092325562</v>
          </cell>
          <cell r="AU1156">
            <v>10.832627874648365</v>
          </cell>
          <cell r="AV1156">
            <v>14.263722316306255</v>
          </cell>
          <cell r="AW1156">
            <v>12.105561258724364</v>
          </cell>
          <cell r="AX1156">
            <v>10.242049449424412</v>
          </cell>
          <cell r="AY1156">
            <v>13.969073068024317</v>
          </cell>
        </row>
        <row r="1157">
          <cell r="A1157">
            <v>41157</v>
          </cell>
          <cell r="AF1157">
            <v>15.026325959225522</v>
          </cell>
          <cell r="AG1157">
            <v>20.469360058004284</v>
          </cell>
          <cell r="AH1157">
            <v>17.881583490985356</v>
          </cell>
          <cell r="AI1157">
            <v>15.547864889645153</v>
          </cell>
          <cell r="AJ1157">
            <v>20.215302092325562</v>
          </cell>
          <cell r="AU1157">
            <v>10.801232326593338</v>
          </cell>
          <cell r="AV1157">
            <v>14.263722316306255</v>
          </cell>
          <cell r="AW1157">
            <v>12.105561258724364</v>
          </cell>
          <cell r="AX1157">
            <v>10.242049449424412</v>
          </cell>
          <cell r="AY1157">
            <v>13.969073068024317</v>
          </cell>
        </row>
        <row r="1158">
          <cell r="A1158">
            <v>41158</v>
          </cell>
          <cell r="AF1158">
            <v>15.298210746314501</v>
          </cell>
          <cell r="AG1158">
            <v>20.469360058004284</v>
          </cell>
          <cell r="AH1158">
            <v>17.881583490985356</v>
          </cell>
          <cell r="AI1158">
            <v>15.547864889645153</v>
          </cell>
          <cell r="AJ1158">
            <v>20.215302092325562</v>
          </cell>
          <cell r="AU1158">
            <v>10.948118416454015</v>
          </cell>
          <cell r="AV1158">
            <v>14.263722316306255</v>
          </cell>
          <cell r="AW1158">
            <v>12.105561258724364</v>
          </cell>
          <cell r="AX1158">
            <v>10.242049449424412</v>
          </cell>
          <cell r="AY1158">
            <v>13.969073068024317</v>
          </cell>
        </row>
        <row r="1159">
          <cell r="A1159">
            <v>41159</v>
          </cell>
          <cell r="AF1159">
            <v>15.499530738593791</v>
          </cell>
          <cell r="AG1159">
            <v>20.469360058004284</v>
          </cell>
          <cell r="AH1159">
            <v>17.881583490985356</v>
          </cell>
          <cell r="AI1159">
            <v>15.547864889645153</v>
          </cell>
          <cell r="AJ1159">
            <v>20.215302092325562</v>
          </cell>
          <cell r="AU1159">
            <v>11.056881789327129</v>
          </cell>
          <cell r="AV1159">
            <v>14.263722316306255</v>
          </cell>
          <cell r="AW1159">
            <v>12.105561258724364</v>
          </cell>
          <cell r="AX1159">
            <v>10.242049449424412</v>
          </cell>
          <cell r="AY1159">
            <v>13.969073068024317</v>
          </cell>
        </row>
        <row r="1160">
          <cell r="A1160">
            <v>41162</v>
          </cell>
          <cell r="AF1160">
            <v>15.437263216007603</v>
          </cell>
          <cell r="AG1160">
            <v>20.469360058004284</v>
          </cell>
          <cell r="AH1160">
            <v>17.881583490985356</v>
          </cell>
          <cell r="AI1160">
            <v>15.547864889645153</v>
          </cell>
          <cell r="AJ1160">
            <v>20.215302092325562</v>
          </cell>
          <cell r="AU1160">
            <v>11.023241683840084</v>
          </cell>
          <cell r="AV1160">
            <v>14.263722316306255</v>
          </cell>
          <cell r="AW1160">
            <v>12.105561258724364</v>
          </cell>
          <cell r="AX1160">
            <v>10.242049449424412</v>
          </cell>
          <cell r="AY1160">
            <v>13.969073068024317</v>
          </cell>
        </row>
        <row r="1161">
          <cell r="A1161">
            <v>41163</v>
          </cell>
          <cell r="AF1161">
            <v>15.59500021792325</v>
          </cell>
          <cell r="AG1161">
            <v>20.469360058004284</v>
          </cell>
          <cell r="AH1161">
            <v>17.881583490985356</v>
          </cell>
          <cell r="AI1161">
            <v>15.547864889645153</v>
          </cell>
          <cell r="AJ1161">
            <v>20.215302092325562</v>
          </cell>
          <cell r="AU1161">
            <v>11.108459292687588</v>
          </cell>
          <cell r="AV1161">
            <v>14.263722316306255</v>
          </cell>
          <cell r="AW1161">
            <v>12.105561258724364</v>
          </cell>
          <cell r="AX1161">
            <v>10.242049449424412</v>
          </cell>
          <cell r="AY1161">
            <v>13.969073068024317</v>
          </cell>
        </row>
        <row r="1162">
          <cell r="A1162">
            <v>41164</v>
          </cell>
          <cell r="AF1162">
            <v>15.54933969254142</v>
          </cell>
          <cell r="AG1162">
            <v>20.469360058004284</v>
          </cell>
          <cell r="AH1162">
            <v>17.881583490985356</v>
          </cell>
          <cell r="AI1162">
            <v>15.547864889645153</v>
          </cell>
          <cell r="AJ1162">
            <v>20.215302092325562</v>
          </cell>
          <cell r="AU1162">
            <v>11.083791137819009</v>
          </cell>
          <cell r="AV1162">
            <v>14.263722316306255</v>
          </cell>
          <cell r="AW1162">
            <v>12.105561258724364</v>
          </cell>
          <cell r="AX1162">
            <v>10.242049449424412</v>
          </cell>
          <cell r="AY1162">
            <v>13.969073068024317</v>
          </cell>
        </row>
        <row r="1163">
          <cell r="A1163">
            <v>41165</v>
          </cell>
          <cell r="AF1163">
            <v>15.599148646489049</v>
          </cell>
          <cell r="AG1163">
            <v>20.469360058004284</v>
          </cell>
          <cell r="AH1163">
            <v>17.881583490985356</v>
          </cell>
          <cell r="AI1163">
            <v>15.547864889645153</v>
          </cell>
          <cell r="AJ1163">
            <v>20.215302092325562</v>
          </cell>
          <cell r="AU1163">
            <v>11.110700486310888</v>
          </cell>
          <cell r="AV1163">
            <v>14.263722316306255</v>
          </cell>
          <cell r="AW1163">
            <v>12.105561258724364</v>
          </cell>
          <cell r="AX1163">
            <v>10.242049449424412</v>
          </cell>
          <cell r="AY1163">
            <v>13.969073068024317</v>
          </cell>
        </row>
        <row r="1164">
          <cell r="A1164">
            <v>41166</v>
          </cell>
          <cell r="AF1164">
            <v>15.632356829610996</v>
          </cell>
          <cell r="AG1164">
            <v>20.469360058004284</v>
          </cell>
          <cell r="AH1164">
            <v>17.881583490985356</v>
          </cell>
          <cell r="AI1164">
            <v>15.547864889645153</v>
          </cell>
          <cell r="AJ1164">
            <v>20.215302092325562</v>
          </cell>
          <cell r="AU1164">
            <v>11.128641247993018</v>
          </cell>
          <cell r="AV1164">
            <v>14.263722316306255</v>
          </cell>
          <cell r="AW1164">
            <v>12.105561258724364</v>
          </cell>
          <cell r="AX1164">
            <v>10.242049449424412</v>
          </cell>
          <cell r="AY1164">
            <v>13.969073068024317</v>
          </cell>
        </row>
        <row r="1165">
          <cell r="A1165">
            <v>41169</v>
          </cell>
          <cell r="AF1165">
            <v>15.511983080853676</v>
          </cell>
          <cell r="AG1165">
            <v>20.469360058004284</v>
          </cell>
          <cell r="AH1165">
            <v>17.881583490985356</v>
          </cell>
          <cell r="AI1165">
            <v>15.547864889645153</v>
          </cell>
          <cell r="AJ1165">
            <v>20.215302092325562</v>
          </cell>
          <cell r="AU1165">
            <v>11.063609182513581</v>
          </cell>
          <cell r="AV1165">
            <v>14.263722316306255</v>
          </cell>
          <cell r="AW1165">
            <v>12.105561258724364</v>
          </cell>
          <cell r="AX1165">
            <v>10.242049449424412</v>
          </cell>
          <cell r="AY1165">
            <v>13.969073068024317</v>
          </cell>
        </row>
        <row r="1166">
          <cell r="A1166">
            <v>41170</v>
          </cell>
          <cell r="AF1166">
            <v>15.485000861315717</v>
          </cell>
          <cell r="AG1166">
            <v>20.469360058004284</v>
          </cell>
          <cell r="AH1166">
            <v>17.881583490985356</v>
          </cell>
          <cell r="AI1166">
            <v>15.547864889645153</v>
          </cell>
          <cell r="AJ1166">
            <v>20.215302092325562</v>
          </cell>
          <cell r="AU1166">
            <v>11.049032005297716</v>
          </cell>
          <cell r="AV1166">
            <v>14.263722316306255</v>
          </cell>
          <cell r="AW1166">
            <v>12.105561258724364</v>
          </cell>
          <cell r="AX1166">
            <v>10.242049449424412</v>
          </cell>
          <cell r="AY1166">
            <v>13.969073068024317</v>
          </cell>
        </row>
        <row r="1167">
          <cell r="A1167">
            <v>41171</v>
          </cell>
          <cell r="AF1167">
            <v>15.383305418402268</v>
          </cell>
          <cell r="AG1167">
            <v>20.469360058004284</v>
          </cell>
          <cell r="AH1167">
            <v>17.881583490985356</v>
          </cell>
          <cell r="AI1167">
            <v>15.547864889645153</v>
          </cell>
          <cell r="AJ1167">
            <v>20.215302092325562</v>
          </cell>
          <cell r="AU1167">
            <v>10.99409091747099</v>
          </cell>
          <cell r="AV1167">
            <v>14.263722316306255</v>
          </cell>
          <cell r="AW1167">
            <v>12.105561258724364</v>
          </cell>
          <cell r="AX1167">
            <v>10.242049449424412</v>
          </cell>
          <cell r="AY1167">
            <v>13.969073068024317</v>
          </cell>
        </row>
        <row r="1168">
          <cell r="A1168">
            <v>41172</v>
          </cell>
          <cell r="AF1168">
            <v>15.25462775595086</v>
          </cell>
          <cell r="AG1168">
            <v>20.469360058004284</v>
          </cell>
          <cell r="AH1168">
            <v>17.881583490985356</v>
          </cell>
          <cell r="AI1168">
            <v>15.547864889645153</v>
          </cell>
          <cell r="AJ1168">
            <v>20.215302092325562</v>
          </cell>
          <cell r="AU1168">
            <v>10.924572652428404</v>
          </cell>
          <cell r="AV1168">
            <v>14.263722316306255</v>
          </cell>
          <cell r="AW1168">
            <v>12.105561258724364</v>
          </cell>
          <cell r="AX1168">
            <v>10.242049449424412</v>
          </cell>
          <cell r="AY1168">
            <v>13.969073068024317</v>
          </cell>
        </row>
        <row r="1169">
          <cell r="A1169">
            <v>41173</v>
          </cell>
          <cell r="AF1169">
            <v>15.437263216007603</v>
          </cell>
          <cell r="AG1169">
            <v>20.469360058004284</v>
          </cell>
          <cell r="AH1169">
            <v>17.881583490985356</v>
          </cell>
          <cell r="AI1169">
            <v>15.547864889645153</v>
          </cell>
          <cell r="AJ1169">
            <v>20.215302092325562</v>
          </cell>
          <cell r="AU1169">
            <v>11.023241683840084</v>
          </cell>
          <cell r="AV1169">
            <v>14.263722316306255</v>
          </cell>
          <cell r="AW1169">
            <v>12.105561258724364</v>
          </cell>
          <cell r="AX1169">
            <v>10.242049449424412</v>
          </cell>
          <cell r="AY1169">
            <v>13.969073068024317</v>
          </cell>
        </row>
        <row r="1170">
          <cell r="A1170">
            <v>41176</v>
          </cell>
          <cell r="AF1170">
            <v>15.582547875663368</v>
          </cell>
          <cell r="AG1170">
            <v>20.469360058004284</v>
          </cell>
          <cell r="AH1170">
            <v>17.881583490985356</v>
          </cell>
          <cell r="AI1170">
            <v>15.547864889645153</v>
          </cell>
          <cell r="AJ1170">
            <v>20.215302092325562</v>
          </cell>
          <cell r="AU1170">
            <v>11.101731899501139</v>
          </cell>
          <cell r="AV1170">
            <v>14.263722316306255</v>
          </cell>
          <cell r="AW1170">
            <v>12.105561258724364</v>
          </cell>
          <cell r="AX1170">
            <v>10.242049449424412</v>
          </cell>
          <cell r="AY1170">
            <v>13.969073068024317</v>
          </cell>
        </row>
        <row r="1171">
          <cell r="A1171">
            <v>41177</v>
          </cell>
          <cell r="AF1171">
            <v>15.678017354992827</v>
          </cell>
          <cell r="AG1171">
            <v>20.469360058004284</v>
          </cell>
          <cell r="AH1171">
            <v>17.881583490985356</v>
          </cell>
          <cell r="AI1171">
            <v>15.547864889645153</v>
          </cell>
          <cell r="AJ1171">
            <v>20.215302092325562</v>
          </cell>
          <cell r="AU1171">
            <v>11.153309402861598</v>
          </cell>
          <cell r="AV1171">
            <v>14.263722316306255</v>
          </cell>
          <cell r="AW1171">
            <v>12.105561258724364</v>
          </cell>
          <cell r="AX1171">
            <v>10.242049449424412</v>
          </cell>
          <cell r="AY1171">
            <v>13.969073068024317</v>
          </cell>
        </row>
        <row r="1172">
          <cell r="A1172">
            <v>41178</v>
          </cell>
          <cell r="AF1172">
            <v>15.611600988748931</v>
          </cell>
          <cell r="AG1172">
            <v>20.469360058004284</v>
          </cell>
          <cell r="AH1172">
            <v>17.881583490985356</v>
          </cell>
          <cell r="AI1172">
            <v>15.547864889645153</v>
          </cell>
          <cell r="AJ1172">
            <v>20.215302092325562</v>
          </cell>
          <cell r="AU1172">
            <v>11.117427879497336</v>
          </cell>
          <cell r="AV1172">
            <v>14.263722316306255</v>
          </cell>
          <cell r="AW1172">
            <v>12.105561258724364</v>
          </cell>
          <cell r="AX1172">
            <v>10.242049449424412</v>
          </cell>
          <cell r="AY1172">
            <v>13.969073068024317</v>
          </cell>
        </row>
        <row r="1173">
          <cell r="A1173">
            <v>41179</v>
          </cell>
          <cell r="AF1173">
            <v>15.839902785474273</v>
          </cell>
          <cell r="AG1173">
            <v>20.469360058004284</v>
          </cell>
          <cell r="AH1173">
            <v>17.881583490985356</v>
          </cell>
          <cell r="AI1173">
            <v>15.547864889645153</v>
          </cell>
          <cell r="AJ1173">
            <v>20.215302092325562</v>
          </cell>
          <cell r="AU1173">
            <v>11.240768205332401</v>
          </cell>
          <cell r="AV1173">
            <v>14.263722316306255</v>
          </cell>
          <cell r="AW1173">
            <v>12.105561258724364</v>
          </cell>
          <cell r="AX1173">
            <v>10.242049449424412</v>
          </cell>
          <cell r="AY1173">
            <v>13.969073068024317</v>
          </cell>
        </row>
        <row r="1174">
          <cell r="A1174">
            <v>41180</v>
          </cell>
          <cell r="AF1174">
            <v>15.83160551325077</v>
          </cell>
          <cell r="AG1174">
            <v>20.469360058004284</v>
          </cell>
          <cell r="AH1174">
            <v>17.881583490985356</v>
          </cell>
          <cell r="AI1174">
            <v>15.547864889645153</v>
          </cell>
          <cell r="AJ1174">
            <v>20.215302092325562</v>
          </cell>
          <cell r="AU1174">
            <v>11.236285593831886</v>
          </cell>
          <cell r="AV1174">
            <v>14.263722316306255</v>
          </cell>
          <cell r="AW1174">
            <v>12.105561258724364</v>
          </cell>
          <cell r="AX1174">
            <v>10.242049449424412</v>
          </cell>
          <cell r="AY1174">
            <v>13.969073068024317</v>
          </cell>
        </row>
        <row r="1175">
          <cell r="A1175">
            <v>41183</v>
          </cell>
          <cell r="AF1175">
            <v>15.667426740261121</v>
          </cell>
          <cell r="AG1175">
            <v>20.469360058004284</v>
          </cell>
          <cell r="AH1175">
            <v>17.881583490985356</v>
          </cell>
          <cell r="AI1175">
            <v>15.547864889645153</v>
          </cell>
          <cell r="AJ1175">
            <v>20.215302092325562</v>
          </cell>
          <cell r="AU1175">
            <v>11.159672288083513</v>
          </cell>
          <cell r="AV1175">
            <v>14.263722316306255</v>
          </cell>
          <cell r="AW1175">
            <v>12.105561258724364</v>
          </cell>
          <cell r="AX1175">
            <v>10.242049449424412</v>
          </cell>
          <cell r="AY1175">
            <v>13.969073068024317</v>
          </cell>
        </row>
        <row r="1176">
          <cell r="A1176">
            <v>41184</v>
          </cell>
          <cell r="AF1176">
            <v>15.661253600142503</v>
          </cell>
          <cell r="AG1176">
            <v>20.469360058004284</v>
          </cell>
          <cell r="AH1176">
            <v>17.881583490985356</v>
          </cell>
          <cell r="AI1176">
            <v>15.547864889645153</v>
          </cell>
          <cell r="AJ1176">
            <v>20.215302092325562</v>
          </cell>
          <cell r="AU1176">
            <v>11.15632674070118</v>
          </cell>
          <cell r="AV1176">
            <v>14.263722316306255</v>
          </cell>
          <cell r="AW1176">
            <v>12.105561258724364</v>
          </cell>
          <cell r="AX1176">
            <v>10.242049449424412</v>
          </cell>
          <cell r="AY1176">
            <v>13.969073068024317</v>
          </cell>
        </row>
        <row r="1177">
          <cell r="A1177">
            <v>41185</v>
          </cell>
          <cell r="AF1177">
            <v>15.733274802821102</v>
          </cell>
          <cell r="AG1177">
            <v>20.469360058004284</v>
          </cell>
          <cell r="AH1177">
            <v>17.881583490985356</v>
          </cell>
          <cell r="AI1177">
            <v>15.547864889645153</v>
          </cell>
          <cell r="AJ1177">
            <v>20.215302092325562</v>
          </cell>
          <cell r="AU1177">
            <v>11.195358795937878</v>
          </cell>
          <cell r="AV1177">
            <v>14.263722316306255</v>
          </cell>
          <cell r="AW1177">
            <v>12.105561258724364</v>
          </cell>
          <cell r="AX1177">
            <v>10.242049449424412</v>
          </cell>
          <cell r="AY1177">
            <v>13.969073068024317</v>
          </cell>
        </row>
        <row r="1178">
          <cell r="A1178">
            <v>41186</v>
          </cell>
          <cell r="AF1178">
            <v>15.766199039872429</v>
          </cell>
          <cell r="AG1178">
            <v>20.469360058004284</v>
          </cell>
          <cell r="AH1178">
            <v>17.881583490985356</v>
          </cell>
          <cell r="AI1178">
            <v>15.547864889645153</v>
          </cell>
          <cell r="AJ1178">
            <v>20.215302092325562</v>
          </cell>
          <cell r="AU1178">
            <v>11.213202161383306</v>
          </cell>
          <cell r="AV1178">
            <v>14.263722316306255</v>
          </cell>
          <cell r="AW1178">
            <v>12.105561258724364</v>
          </cell>
          <cell r="AX1178">
            <v>10.242049449424412</v>
          </cell>
          <cell r="AY1178">
            <v>13.969073068024317</v>
          </cell>
        </row>
        <row r="1179">
          <cell r="A1179">
            <v>41187</v>
          </cell>
          <cell r="AF1179">
            <v>15.67838949994105</v>
          </cell>
          <cell r="AG1179">
            <v>20.469360058004284</v>
          </cell>
          <cell r="AH1179">
            <v>17.881583490985356</v>
          </cell>
          <cell r="AI1179">
            <v>15.547864889645153</v>
          </cell>
          <cell r="AJ1179">
            <v>20.215302092325562</v>
          </cell>
          <cell r="AU1179">
            <v>11.154397452477754</v>
          </cell>
          <cell r="AV1179">
            <v>14.263722316306255</v>
          </cell>
          <cell r="AW1179">
            <v>12.105561258724364</v>
          </cell>
          <cell r="AX1179">
            <v>10.242049449424412</v>
          </cell>
          <cell r="AY1179">
            <v>13.969073068024317</v>
          </cell>
        </row>
        <row r="1180">
          <cell r="A1180">
            <v>41190</v>
          </cell>
          <cell r="AF1180">
            <v>15.690750502699021</v>
          </cell>
          <cell r="AG1180">
            <v>20.469360058004284</v>
          </cell>
          <cell r="AH1180">
            <v>17.881583490985356</v>
          </cell>
          <cell r="AI1180">
            <v>15.547864889645153</v>
          </cell>
          <cell r="AJ1180">
            <v>20.215302092325562</v>
          </cell>
          <cell r="AU1180">
            <v>11.161087836575891</v>
          </cell>
          <cell r="AV1180">
            <v>14.263722316306255</v>
          </cell>
          <cell r="AW1180">
            <v>12.105561258724364</v>
          </cell>
          <cell r="AX1180">
            <v>10.242049449424412</v>
          </cell>
          <cell r="AY1180">
            <v>13.969073068024317</v>
          </cell>
        </row>
        <row r="1181">
          <cell r="A1181">
            <v>41191</v>
          </cell>
          <cell r="AF1181">
            <v>15.175691552485258</v>
          </cell>
          <cell r="AG1181">
            <v>20.469360058004284</v>
          </cell>
          <cell r="AH1181">
            <v>17.881583490985356</v>
          </cell>
          <cell r="AI1181">
            <v>15.547864889645153</v>
          </cell>
          <cell r="AJ1181">
            <v>20.215302092325562</v>
          </cell>
          <cell r="AU1181">
            <v>10.88231253997697</v>
          </cell>
          <cell r="AV1181">
            <v>14.263722316306255</v>
          </cell>
          <cell r="AW1181">
            <v>12.105561258724364</v>
          </cell>
          <cell r="AX1181">
            <v>10.242049449424412</v>
          </cell>
          <cell r="AY1181">
            <v>13.969073068024317</v>
          </cell>
        </row>
        <row r="1182">
          <cell r="A1182">
            <v>41192</v>
          </cell>
          <cell r="AF1182">
            <v>15.101525947984596</v>
          </cell>
          <cell r="AG1182">
            <v>20.469360058004284</v>
          </cell>
          <cell r="AH1182">
            <v>17.881583490985356</v>
          </cell>
          <cell r="AI1182">
            <v>15.547864889645153</v>
          </cell>
          <cell r="AJ1182">
            <v>20.215302092325562</v>
          </cell>
          <cell r="AU1182">
            <v>10.842170458408384</v>
          </cell>
          <cell r="AV1182">
            <v>14.263722316306255</v>
          </cell>
          <cell r="AW1182">
            <v>12.105561258724364</v>
          </cell>
          <cell r="AX1182">
            <v>10.242049449424412</v>
          </cell>
          <cell r="AY1182">
            <v>13.969073068024317</v>
          </cell>
        </row>
        <row r="1183">
          <cell r="A1183">
            <v>41193</v>
          </cell>
          <cell r="AF1183">
            <v>15.336389532904791</v>
          </cell>
          <cell r="AG1183">
            <v>20.469360058004284</v>
          </cell>
          <cell r="AH1183">
            <v>17.881583490985356</v>
          </cell>
          <cell r="AI1183">
            <v>15.547864889645153</v>
          </cell>
          <cell r="AJ1183">
            <v>20.215302092325562</v>
          </cell>
          <cell r="AU1183">
            <v>10.969290209495595</v>
          </cell>
          <cell r="AV1183">
            <v>14.263722316306255</v>
          </cell>
          <cell r="AW1183">
            <v>12.105561258724364</v>
          </cell>
          <cell r="AX1183">
            <v>10.242049449424412</v>
          </cell>
          <cell r="AY1183">
            <v>13.969073068024317</v>
          </cell>
        </row>
        <row r="1184">
          <cell r="A1184">
            <v>41194</v>
          </cell>
          <cell r="AF1184">
            <v>15.249863337693322</v>
          </cell>
          <cell r="AG1184">
            <v>20.469360058004284</v>
          </cell>
          <cell r="AH1184">
            <v>17.881583490985356</v>
          </cell>
          <cell r="AI1184">
            <v>15.547864889645153</v>
          </cell>
          <cell r="AJ1184">
            <v>20.215302092325562</v>
          </cell>
          <cell r="AU1184">
            <v>10.922457966849114</v>
          </cell>
          <cell r="AV1184">
            <v>14.263722316306255</v>
          </cell>
          <cell r="AW1184">
            <v>12.105561258724364</v>
          </cell>
          <cell r="AX1184">
            <v>10.242049449424412</v>
          </cell>
          <cell r="AY1184">
            <v>13.969073068024317</v>
          </cell>
        </row>
        <row r="1185">
          <cell r="A1185">
            <v>41197</v>
          </cell>
          <cell r="AF1185">
            <v>15.435283323628795</v>
          </cell>
          <cell r="AG1185">
            <v>20.469360058004284</v>
          </cell>
          <cell r="AH1185">
            <v>17.881583490985356</v>
          </cell>
          <cell r="AI1185">
            <v>15.547864889645153</v>
          </cell>
          <cell r="AJ1185">
            <v>20.215302092325562</v>
          </cell>
          <cell r="AU1185">
            <v>11.022816404564011</v>
          </cell>
          <cell r="AV1185">
            <v>14.263722316306255</v>
          </cell>
          <cell r="AW1185">
            <v>12.105561258724364</v>
          </cell>
          <cell r="AX1185">
            <v>10.242049449424412</v>
          </cell>
          <cell r="AY1185">
            <v>13.969073068024317</v>
          </cell>
        </row>
        <row r="1186">
          <cell r="A1186">
            <v>41198</v>
          </cell>
          <cell r="AF1186">
            <v>15.492969514005576</v>
          </cell>
          <cell r="AG1186">
            <v>20.469360058004284</v>
          </cell>
          <cell r="AH1186">
            <v>17.881583490985356</v>
          </cell>
          <cell r="AI1186">
            <v>15.547864889645153</v>
          </cell>
          <cell r="AJ1186">
            <v>20.215302092325562</v>
          </cell>
          <cell r="AU1186">
            <v>11.054039014762855</v>
          </cell>
          <cell r="AV1186">
            <v>14.263722316306255</v>
          </cell>
          <cell r="AW1186">
            <v>12.105561258724364</v>
          </cell>
          <cell r="AX1186">
            <v>10.242049449424412</v>
          </cell>
          <cell r="AY1186">
            <v>13.969073068024317</v>
          </cell>
        </row>
        <row r="1187">
          <cell r="A1187">
            <v>41199</v>
          </cell>
          <cell r="AF1187">
            <v>15.706759029776917</v>
          </cell>
          <cell r="AG1187">
            <v>20.469360058004284</v>
          </cell>
          <cell r="AH1187">
            <v>17.881583490985356</v>
          </cell>
          <cell r="AI1187">
            <v>15.547864889645153</v>
          </cell>
          <cell r="AJ1187">
            <v>20.215302092325562</v>
          </cell>
          <cell r="AU1187">
            <v>11.172239517500559</v>
          </cell>
          <cell r="AV1187">
            <v>14.263722316306255</v>
          </cell>
          <cell r="AW1187">
            <v>12.105561258724364</v>
          </cell>
          <cell r="AX1187">
            <v>10.242049449424412</v>
          </cell>
          <cell r="AY1187">
            <v>13.969073068024317</v>
          </cell>
        </row>
        <row r="1188">
          <cell r="A1188">
            <v>41200</v>
          </cell>
          <cell r="AF1188">
            <v>15.550231022197451</v>
          </cell>
          <cell r="AG1188">
            <v>20.469360058004284</v>
          </cell>
          <cell r="AH1188">
            <v>17.881583490985356</v>
          </cell>
          <cell r="AI1188">
            <v>15.547864889645153</v>
          </cell>
          <cell r="AJ1188">
            <v>20.215302092325562</v>
          </cell>
          <cell r="AU1188">
            <v>11.08749405753686</v>
          </cell>
          <cell r="AV1188">
            <v>14.263722316306255</v>
          </cell>
          <cell r="AW1188">
            <v>12.105561258724364</v>
          </cell>
          <cell r="AX1188">
            <v>10.242049449424412</v>
          </cell>
          <cell r="AY1188">
            <v>13.969073068024317</v>
          </cell>
        </row>
        <row r="1189">
          <cell r="A1189">
            <v>41201</v>
          </cell>
          <cell r="AF1189">
            <v>15.207914627992499</v>
          </cell>
          <cell r="AG1189">
            <v>20.469360058004284</v>
          </cell>
          <cell r="AH1189">
            <v>17.881583490985356</v>
          </cell>
          <cell r="AI1189">
            <v>15.547864889645153</v>
          </cell>
          <cell r="AJ1189">
            <v>20.215302092325562</v>
          </cell>
          <cell r="AU1189">
            <v>10.901394927873104</v>
          </cell>
          <cell r="AV1189">
            <v>14.263722316306255</v>
          </cell>
          <cell r="AW1189">
            <v>12.105561258724364</v>
          </cell>
          <cell r="AX1189">
            <v>10.242049449424412</v>
          </cell>
          <cell r="AY1189">
            <v>13.969073068024317</v>
          </cell>
        </row>
        <row r="1190">
          <cell r="A1190">
            <v>41204</v>
          </cell>
          <cell r="AF1190">
            <v>15.071082377138515</v>
          </cell>
          <cell r="AG1190">
            <v>20.469360058004284</v>
          </cell>
          <cell r="AH1190">
            <v>17.881583490985356</v>
          </cell>
          <cell r="AI1190">
            <v>15.547864889645153</v>
          </cell>
          <cell r="AJ1190">
            <v>20.215302092325562</v>
          </cell>
          <cell r="AU1190">
            <v>10.814421352586871</v>
          </cell>
          <cell r="AV1190">
            <v>14.263722316306255</v>
          </cell>
          <cell r="AW1190">
            <v>12.105561258724364</v>
          </cell>
          <cell r="AX1190">
            <v>10.242049449424412</v>
          </cell>
          <cell r="AY1190">
            <v>13.969073068024317</v>
          </cell>
        </row>
        <row r="1191">
          <cell r="A1191">
            <v>41205</v>
          </cell>
          <cell r="AF1191">
            <v>14.967629035630058</v>
          </cell>
          <cell r="AG1191">
            <v>20.469360058004284</v>
          </cell>
          <cell r="AH1191">
            <v>17.881583490985356</v>
          </cell>
          <cell r="AI1191">
            <v>15.547864889645153</v>
          </cell>
          <cell r="AJ1191">
            <v>20.215302092325562</v>
          </cell>
          <cell r="AU1191">
            <v>10.758530643638938</v>
          </cell>
          <cell r="AV1191">
            <v>14.263722316306255</v>
          </cell>
          <cell r="AW1191">
            <v>12.105561258724364</v>
          </cell>
          <cell r="AX1191">
            <v>10.242049449424412</v>
          </cell>
          <cell r="AY1191">
            <v>13.969073068024317</v>
          </cell>
        </row>
        <row r="1192">
          <cell r="A1192">
            <v>41206</v>
          </cell>
          <cell r="AF1192">
            <v>15.191085356594762</v>
          </cell>
          <cell r="AG1192">
            <v>20.469360058004284</v>
          </cell>
          <cell r="AH1192">
            <v>17.881583490985356</v>
          </cell>
          <cell r="AI1192">
            <v>15.547864889645153</v>
          </cell>
          <cell r="AJ1192">
            <v>20.215302092325562</v>
          </cell>
          <cell r="AU1192">
            <v>10.879253010026618</v>
          </cell>
          <cell r="AV1192">
            <v>14.263722316306255</v>
          </cell>
          <cell r="AW1192">
            <v>12.105561258724364</v>
          </cell>
          <cell r="AX1192">
            <v>10.242049449424412</v>
          </cell>
          <cell r="AY1192">
            <v>13.969073068024317</v>
          </cell>
        </row>
        <row r="1193">
          <cell r="A1193">
            <v>41207</v>
          </cell>
          <cell r="AF1193">
            <v>15.459856127622976</v>
          </cell>
          <cell r="AG1193">
            <v>20.469360058004284</v>
          </cell>
          <cell r="AH1193">
            <v>17.881583490985356</v>
          </cell>
          <cell r="AI1193">
            <v>15.547864889645153</v>
          </cell>
          <cell r="AJ1193">
            <v>20.215302092325562</v>
          </cell>
          <cell r="AU1193">
            <v>10.909499947695148</v>
          </cell>
          <cell r="AV1193">
            <v>14.263722316306255</v>
          </cell>
          <cell r="AW1193">
            <v>12.105561258724364</v>
          </cell>
          <cell r="AX1193">
            <v>10.242049449424412</v>
          </cell>
          <cell r="AY1193">
            <v>13.969073068024317</v>
          </cell>
        </row>
        <row r="1194">
          <cell r="A1194">
            <v>41208</v>
          </cell>
          <cell r="AF1194">
            <v>15.355356780058772</v>
          </cell>
          <cell r="AG1194">
            <v>20.469360058004284</v>
          </cell>
          <cell r="AH1194">
            <v>17.881583490985356</v>
          </cell>
          <cell r="AI1194">
            <v>15.547864889645153</v>
          </cell>
          <cell r="AJ1194">
            <v>20.215302092325562</v>
          </cell>
          <cell r="AU1194">
            <v>10.919726653320176</v>
          </cell>
          <cell r="AV1194">
            <v>14.263722316306255</v>
          </cell>
          <cell r="AW1194">
            <v>12.105561258724364</v>
          </cell>
          <cell r="AX1194">
            <v>10.242049449424412</v>
          </cell>
          <cell r="AY1194">
            <v>13.969073068024317</v>
          </cell>
        </row>
        <row r="1195">
          <cell r="A1195">
            <v>41211</v>
          </cell>
          <cell r="AF1195">
            <v>15.372476116671253</v>
          </cell>
          <cell r="AG1195">
            <v>20.469360058004284</v>
          </cell>
          <cell r="AH1195">
            <v>17.881583490985356</v>
          </cell>
          <cell r="AI1195">
            <v>15.547864889645153</v>
          </cell>
          <cell r="AJ1195">
            <v>20.215302092325562</v>
          </cell>
          <cell r="AU1195">
            <v>10.919726653320176</v>
          </cell>
          <cell r="AV1195">
            <v>14.263722316306255</v>
          </cell>
          <cell r="AW1195">
            <v>12.105561258724364</v>
          </cell>
          <cell r="AX1195">
            <v>10.242049449424412</v>
          </cell>
          <cell r="AY1195">
            <v>13.969073068024317</v>
          </cell>
        </row>
        <row r="1196">
          <cell r="A1196">
            <v>41212</v>
          </cell>
          <cell r="AF1196">
            <v>15.372476116671253</v>
          </cell>
          <cell r="AG1196">
            <v>20.469360058004284</v>
          </cell>
          <cell r="AH1196">
            <v>17.881583490985356</v>
          </cell>
          <cell r="AI1196">
            <v>15.547864889645153</v>
          </cell>
          <cell r="AJ1196">
            <v>20.215302092325562</v>
          </cell>
          <cell r="AU1196">
            <v>10.919726653320176</v>
          </cell>
          <cell r="AV1196">
            <v>14.263722316306255</v>
          </cell>
          <cell r="AW1196">
            <v>12.105561258724364</v>
          </cell>
          <cell r="AX1196">
            <v>10.242049449424412</v>
          </cell>
          <cell r="AY1196">
            <v>13.969073068024317</v>
          </cell>
        </row>
        <row r="1197">
          <cell r="A1197">
            <v>41213</v>
          </cell>
          <cell r="AF1197">
            <v>15.240100690577183</v>
          </cell>
          <cell r="AG1197">
            <v>20.469360058004284</v>
          </cell>
          <cell r="AH1197">
            <v>17.881583490985356</v>
          </cell>
          <cell r="AI1197">
            <v>15.547864889645153</v>
          </cell>
          <cell r="AJ1197">
            <v>20.215302092325562</v>
          </cell>
          <cell r="AU1197">
            <v>10.84779809057731</v>
          </cell>
          <cell r="AV1197">
            <v>14.263722316306255</v>
          </cell>
          <cell r="AW1197">
            <v>12.105561258724364</v>
          </cell>
          <cell r="AX1197">
            <v>10.242049449424412</v>
          </cell>
          <cell r="AY1197">
            <v>13.969073068024317</v>
          </cell>
        </row>
        <row r="1198">
          <cell r="A1198">
            <v>41214</v>
          </cell>
          <cell r="AF1198">
            <v>15.728371843133374</v>
          </cell>
          <cell r="AG1198">
            <v>20.469360058004284</v>
          </cell>
          <cell r="AH1198">
            <v>17.881583490985356</v>
          </cell>
          <cell r="AI1198">
            <v>15.547864889645153</v>
          </cell>
          <cell r="AJ1198">
            <v>20.215302092325562</v>
          </cell>
          <cell r="AU1198">
            <v>11.115251508535158</v>
          </cell>
          <cell r="AV1198">
            <v>14.263722316306255</v>
          </cell>
          <cell r="AW1198">
            <v>12.105561258724364</v>
          </cell>
          <cell r="AX1198">
            <v>10.242049449424412</v>
          </cell>
          <cell r="AY1198">
            <v>13.969073068024317</v>
          </cell>
        </row>
        <row r="1199">
          <cell r="A1199">
            <v>41215</v>
          </cell>
          <cell r="AF1199">
            <v>15.628745303090145</v>
          </cell>
          <cell r="AG1199">
            <v>20.469360058004284</v>
          </cell>
          <cell r="AH1199">
            <v>17.881583490985356</v>
          </cell>
          <cell r="AI1199">
            <v>15.547864889645153</v>
          </cell>
          <cell r="AJ1199">
            <v>20.215302092325562</v>
          </cell>
          <cell r="AU1199">
            <v>11.043785657414762</v>
          </cell>
          <cell r="AV1199">
            <v>14.263722316306255</v>
          </cell>
          <cell r="AW1199">
            <v>12.105561258724364</v>
          </cell>
          <cell r="AX1199">
            <v>10.242049449424412</v>
          </cell>
          <cell r="AY1199">
            <v>13.969073068024317</v>
          </cell>
        </row>
        <row r="1200">
          <cell r="A1200">
            <v>41218</v>
          </cell>
          <cell r="AF1200">
            <v>15.920538172165951</v>
          </cell>
          <cell r="AG1200">
            <v>20.469360058004284</v>
          </cell>
          <cell r="AH1200">
            <v>17.881583490985356</v>
          </cell>
          <cell r="AI1200">
            <v>15.547864889645153</v>
          </cell>
          <cell r="AJ1200">
            <v>20.215302092325562</v>
          </cell>
          <cell r="AU1200">
            <v>11.27625351894719</v>
          </cell>
          <cell r="AV1200">
            <v>14.263722316306255</v>
          </cell>
          <cell r="AW1200">
            <v>12.105561258724364</v>
          </cell>
          <cell r="AX1200">
            <v>10.242049449424412</v>
          </cell>
          <cell r="AY1200">
            <v>13.969073068024317</v>
          </cell>
        </row>
        <row r="1201">
          <cell r="A1201">
            <v>41219</v>
          </cell>
          <cell r="AF1201">
            <v>16.256653387027342</v>
          </cell>
          <cell r="AG1201">
            <v>20.469360058004284</v>
          </cell>
          <cell r="AH1201">
            <v>17.881583490985356</v>
          </cell>
          <cell r="AI1201">
            <v>15.547864889645153</v>
          </cell>
          <cell r="AJ1201">
            <v>20.215302092325562</v>
          </cell>
          <cell r="AU1201">
            <v>11.460228865947888</v>
          </cell>
          <cell r="AV1201">
            <v>14.263722316306255</v>
          </cell>
          <cell r="AW1201">
            <v>12.105561258724364</v>
          </cell>
          <cell r="AX1201">
            <v>10.242049449424412</v>
          </cell>
          <cell r="AY1201">
            <v>13.969073068024317</v>
          </cell>
        </row>
        <row r="1202">
          <cell r="A1202">
            <v>41220</v>
          </cell>
          <cell r="AF1202">
            <v>15.834456176332584</v>
          </cell>
          <cell r="AG1202">
            <v>20.469360058004284</v>
          </cell>
          <cell r="AH1202">
            <v>17.881583490985356</v>
          </cell>
          <cell r="AI1202">
            <v>15.547864889645153</v>
          </cell>
          <cell r="AJ1202">
            <v>20.215302092325562</v>
          </cell>
          <cell r="AU1202">
            <v>11.229135851094853</v>
          </cell>
          <cell r="AV1202">
            <v>14.263722316306255</v>
          </cell>
          <cell r="AW1202">
            <v>12.105561258724364</v>
          </cell>
          <cell r="AX1202">
            <v>10.242049449424412</v>
          </cell>
          <cell r="AY1202">
            <v>13.969073068024317</v>
          </cell>
        </row>
        <row r="1203">
          <cell r="A1203">
            <v>41221</v>
          </cell>
          <cell r="AF1203">
            <v>15.568091966456373</v>
          </cell>
          <cell r="AG1203">
            <v>20.469360058004284</v>
          </cell>
          <cell r="AH1203">
            <v>17.881583490985356</v>
          </cell>
          <cell r="AI1203">
            <v>15.547864889645153</v>
          </cell>
          <cell r="AJ1203">
            <v>20.215302092325562</v>
          </cell>
          <cell r="AU1203">
            <v>11.087789802771249</v>
          </cell>
          <cell r="AV1203">
            <v>14.263722316306255</v>
          </cell>
          <cell r="AW1203">
            <v>12.105561258724364</v>
          </cell>
          <cell r="AX1203">
            <v>10.242049449424412</v>
          </cell>
          <cell r="AY1203">
            <v>13.969073068024317</v>
          </cell>
        </row>
        <row r="1204">
          <cell r="A1204">
            <v>41222</v>
          </cell>
          <cell r="AF1204">
            <v>15.84667600752339</v>
          </cell>
          <cell r="AG1204">
            <v>20.469360058004284</v>
          </cell>
          <cell r="AH1204">
            <v>17.881583490985356</v>
          </cell>
          <cell r="AI1204">
            <v>15.547864889645153</v>
          </cell>
          <cell r="AJ1204">
            <v>20.215302092325562</v>
          </cell>
          <cell r="AU1204">
            <v>11.240633028483916</v>
          </cell>
          <cell r="AV1204">
            <v>14.263722316306255</v>
          </cell>
          <cell r="AW1204">
            <v>12.105561258724364</v>
          </cell>
          <cell r="AX1204">
            <v>10.242049449424412</v>
          </cell>
          <cell r="AY1204">
            <v>13.969073068024317</v>
          </cell>
        </row>
        <row r="1205">
          <cell r="A1205">
            <v>41225</v>
          </cell>
          <cell r="AF1205">
            <v>15.75654453908359</v>
          </cell>
          <cell r="AG1205">
            <v>20.469360058004284</v>
          </cell>
          <cell r="AH1205">
            <v>17.881583490985356</v>
          </cell>
          <cell r="AI1205">
            <v>15.547864889645153</v>
          </cell>
          <cell r="AJ1205">
            <v>20.215302092325562</v>
          </cell>
          <cell r="AU1205">
            <v>11.191271860643749</v>
          </cell>
          <cell r="AV1205">
            <v>14.263722316306255</v>
          </cell>
          <cell r="AW1205">
            <v>12.105561258724364</v>
          </cell>
          <cell r="AX1205">
            <v>10.242049449424412</v>
          </cell>
          <cell r="AY1205">
            <v>13.969073068024317</v>
          </cell>
        </row>
        <row r="1206">
          <cell r="A1206">
            <v>41226</v>
          </cell>
          <cell r="AF1206">
            <v>15.625448094753844</v>
          </cell>
          <cell r="AG1206">
            <v>20.469360058004284</v>
          </cell>
          <cell r="AH1206">
            <v>17.881583490985356</v>
          </cell>
          <cell r="AI1206">
            <v>15.547864889645153</v>
          </cell>
          <cell r="AJ1206">
            <v>20.215302092325562</v>
          </cell>
          <cell r="AU1206">
            <v>11.119475919627524</v>
          </cell>
          <cell r="AV1206">
            <v>14.263722316306255</v>
          </cell>
          <cell r="AW1206">
            <v>12.105561258724364</v>
          </cell>
          <cell r="AX1206">
            <v>10.242049449424412</v>
          </cell>
          <cell r="AY1206">
            <v>13.969073068024317</v>
          </cell>
        </row>
        <row r="1207">
          <cell r="A1207">
            <v>41227</v>
          </cell>
          <cell r="AF1207">
            <v>15.555795631922656</v>
          </cell>
          <cell r="AG1207">
            <v>20.469360058004284</v>
          </cell>
          <cell r="AH1207">
            <v>17.881583490985356</v>
          </cell>
          <cell r="AI1207">
            <v>15.547864889645153</v>
          </cell>
          <cell r="AJ1207">
            <v>20.215302092325562</v>
          </cell>
          <cell r="AU1207">
            <v>11.081330231248026</v>
          </cell>
          <cell r="AV1207">
            <v>14.263722316306255</v>
          </cell>
          <cell r="AW1207">
            <v>12.105561258724364</v>
          </cell>
          <cell r="AX1207">
            <v>10.242049449424412</v>
          </cell>
          <cell r="AY1207">
            <v>13.969073068024317</v>
          </cell>
        </row>
        <row r="1208">
          <cell r="A1208">
            <v>41228</v>
          </cell>
          <cell r="AF1208">
            <v>15.699188820472749</v>
          </cell>
          <cell r="AG1208">
            <v>20.469360058004284</v>
          </cell>
          <cell r="AH1208">
            <v>17.881583490985356</v>
          </cell>
          <cell r="AI1208">
            <v>15.547864889645153</v>
          </cell>
          <cell r="AJ1208">
            <v>20.215302092325562</v>
          </cell>
          <cell r="AU1208">
            <v>11.159860575529338</v>
          </cell>
          <cell r="AV1208">
            <v>14.263722316306255</v>
          </cell>
          <cell r="AW1208">
            <v>12.105561258724364</v>
          </cell>
          <cell r="AX1208">
            <v>10.242049449424412</v>
          </cell>
          <cell r="AY1208">
            <v>13.969073068024317</v>
          </cell>
        </row>
        <row r="1209">
          <cell r="A1209">
            <v>41229</v>
          </cell>
          <cell r="AF1209">
            <v>15.752449721209782</v>
          </cell>
          <cell r="AG1209">
            <v>20.469360058004284</v>
          </cell>
          <cell r="AH1209">
            <v>17.881583490985356</v>
          </cell>
          <cell r="AI1209">
            <v>15.547864889645153</v>
          </cell>
          <cell r="AJ1209">
            <v>20.215302092325562</v>
          </cell>
          <cell r="AU1209">
            <v>11.189029303234637</v>
          </cell>
          <cell r="AV1209">
            <v>14.263722316306255</v>
          </cell>
          <cell r="AW1209">
            <v>12.105561258724364</v>
          </cell>
          <cell r="AX1209">
            <v>10.242049449424412</v>
          </cell>
          <cell r="AY1209">
            <v>13.969073068024317</v>
          </cell>
        </row>
        <row r="1210">
          <cell r="A1210">
            <v>41232</v>
          </cell>
          <cell r="AF1210">
            <v>15.949097665197446</v>
          </cell>
          <cell r="AG1210">
            <v>20.469360058004284</v>
          </cell>
          <cell r="AH1210">
            <v>17.881583490985356</v>
          </cell>
          <cell r="AI1210">
            <v>15.547864889645153</v>
          </cell>
          <cell r="AJ1210">
            <v>20.215302092325562</v>
          </cell>
          <cell r="AU1210">
            <v>11.296725009702373</v>
          </cell>
          <cell r="AV1210">
            <v>14.263722316306255</v>
          </cell>
          <cell r="AW1210">
            <v>12.105561258724364</v>
          </cell>
          <cell r="AX1210">
            <v>10.242049449424412</v>
          </cell>
          <cell r="AY1210">
            <v>13.969073068024317</v>
          </cell>
        </row>
        <row r="1211">
          <cell r="A1211">
            <v>41233</v>
          </cell>
          <cell r="AF1211">
            <v>15.867161568118092</v>
          </cell>
          <cell r="AG1211">
            <v>20.469360058004284</v>
          </cell>
          <cell r="AH1211">
            <v>17.881583490985356</v>
          </cell>
          <cell r="AI1211">
            <v>15.547864889645153</v>
          </cell>
          <cell r="AJ1211">
            <v>20.215302092325562</v>
          </cell>
          <cell r="AU1211">
            <v>11.251852097831382</v>
          </cell>
          <cell r="AV1211">
            <v>14.263722316306255</v>
          </cell>
          <cell r="AW1211">
            <v>12.105561258724364</v>
          </cell>
          <cell r="AX1211">
            <v>10.242049449424412</v>
          </cell>
          <cell r="AY1211">
            <v>13.969073068024317</v>
          </cell>
        </row>
        <row r="1212">
          <cell r="A1212">
            <v>41234</v>
          </cell>
          <cell r="AF1212">
            <v>15.895836354773781</v>
          </cell>
          <cell r="AG1212">
            <v>20.469360058004284</v>
          </cell>
          <cell r="AH1212">
            <v>17.881583490985356</v>
          </cell>
          <cell r="AI1212">
            <v>15.547864889645153</v>
          </cell>
          <cell r="AJ1212">
            <v>20.215302092325562</v>
          </cell>
          <cell r="AU1212">
            <v>11.26755605762915</v>
          </cell>
          <cell r="AV1212">
            <v>14.263722316306255</v>
          </cell>
          <cell r="AW1212">
            <v>12.105561258724364</v>
          </cell>
          <cell r="AX1212">
            <v>10.242049449424412</v>
          </cell>
          <cell r="AY1212">
            <v>13.969073068024317</v>
          </cell>
        </row>
        <row r="1213">
          <cell r="A1213">
            <v>41235</v>
          </cell>
          <cell r="AF1213">
            <v>15.895836354773781</v>
          </cell>
          <cell r="AG1213">
            <v>20.469360058004284</v>
          </cell>
          <cell r="AH1213">
            <v>17.881583490985356</v>
          </cell>
          <cell r="AI1213">
            <v>15.547864889645153</v>
          </cell>
          <cell r="AJ1213">
            <v>20.215302092325562</v>
          </cell>
          <cell r="AU1213">
            <v>11.26755605762915</v>
          </cell>
          <cell r="AV1213">
            <v>14.263722316306255</v>
          </cell>
          <cell r="AW1213">
            <v>12.105561258724364</v>
          </cell>
          <cell r="AX1213">
            <v>10.242049449424412</v>
          </cell>
          <cell r="AY1213">
            <v>13.969073068024317</v>
          </cell>
        </row>
        <row r="1214">
          <cell r="A1214">
            <v>41236</v>
          </cell>
          <cell r="AF1214">
            <v>16.100679670121892</v>
          </cell>
          <cell r="AG1214">
            <v>20.469360058004284</v>
          </cell>
          <cell r="AH1214">
            <v>17.881583490985356</v>
          </cell>
          <cell r="AI1214">
            <v>15.547864889645153</v>
          </cell>
          <cell r="AJ1214">
            <v>20.215302092325562</v>
          </cell>
          <cell r="AU1214">
            <v>11.379740020066063</v>
          </cell>
          <cell r="AV1214">
            <v>14.263722316306255</v>
          </cell>
          <cell r="AW1214">
            <v>12.105561258724364</v>
          </cell>
          <cell r="AX1214">
            <v>10.242049449424412</v>
          </cell>
          <cell r="AY1214">
            <v>13.969073068024317</v>
          </cell>
        </row>
        <row r="1215">
          <cell r="A1215">
            <v>41239</v>
          </cell>
          <cell r="AF1215">
            <v>16.067903920292931</v>
          </cell>
          <cell r="AG1215">
            <v>20.469360058004284</v>
          </cell>
          <cell r="AH1215">
            <v>17.881583490985356</v>
          </cell>
          <cell r="AI1215">
            <v>15.547864889645153</v>
          </cell>
          <cell r="AJ1215">
            <v>20.215302092325562</v>
          </cell>
          <cell r="AU1215">
            <v>11.361790137340307</v>
          </cell>
          <cell r="AV1215">
            <v>14.263722316306255</v>
          </cell>
          <cell r="AW1215">
            <v>12.105561258724364</v>
          </cell>
          <cell r="AX1215">
            <v>10.242049449424412</v>
          </cell>
          <cell r="AY1215">
            <v>13.969073068024317</v>
          </cell>
        </row>
        <row r="1216">
          <cell r="A1216">
            <v>41240</v>
          </cell>
          <cell r="AF1216">
            <v>15.924517696415563</v>
          </cell>
          <cell r="AG1216">
            <v>20.469360058004284</v>
          </cell>
          <cell r="AH1216">
            <v>17.881583490985356</v>
          </cell>
          <cell r="AI1216">
            <v>15.547864889645153</v>
          </cell>
          <cell r="AJ1216">
            <v>20.215302092325562</v>
          </cell>
          <cell r="AU1216">
            <v>11.283263607313717</v>
          </cell>
          <cell r="AV1216">
            <v>14.263722316306255</v>
          </cell>
          <cell r="AW1216">
            <v>12.105561258724364</v>
          </cell>
          <cell r="AX1216">
            <v>10.242049449424412</v>
          </cell>
          <cell r="AY1216">
            <v>13.969073068024317</v>
          </cell>
        </row>
        <row r="1217">
          <cell r="A1217">
            <v>41241</v>
          </cell>
          <cell r="AF1217">
            <v>16.153940980545556</v>
          </cell>
          <cell r="AG1217">
            <v>20.469360058004284</v>
          </cell>
          <cell r="AH1217">
            <v>17.881583490985356</v>
          </cell>
          <cell r="AI1217">
            <v>15.547864889645153</v>
          </cell>
          <cell r="AJ1217">
            <v>20.215302092325562</v>
          </cell>
          <cell r="AU1217">
            <v>11.408908972139285</v>
          </cell>
          <cell r="AV1217">
            <v>14.263722316306255</v>
          </cell>
          <cell r="AW1217">
            <v>12.105561258724364</v>
          </cell>
          <cell r="AX1217">
            <v>10.242049449424412</v>
          </cell>
          <cell r="AY1217">
            <v>13.969073068024317</v>
          </cell>
        </row>
        <row r="1218">
          <cell r="A1218">
            <v>41242</v>
          </cell>
          <cell r="AF1218">
            <v>16.254810697021501</v>
          </cell>
          <cell r="AG1218">
            <v>20.469360058004284</v>
          </cell>
          <cell r="AH1218">
            <v>17.881583490985356</v>
          </cell>
          <cell r="AI1218">
            <v>15.547864889645153</v>
          </cell>
          <cell r="AJ1218">
            <v>20.215302092325562</v>
          </cell>
          <cell r="AU1218">
            <v>11.458270139979451</v>
          </cell>
          <cell r="AV1218">
            <v>14.263722316306255</v>
          </cell>
          <cell r="AW1218">
            <v>12.105561258724364</v>
          </cell>
          <cell r="AX1218">
            <v>10.242049449424412</v>
          </cell>
          <cell r="AY1218">
            <v>13.969073068024317</v>
          </cell>
        </row>
        <row r="1219">
          <cell r="A1219">
            <v>41243</v>
          </cell>
          <cell r="AF1219">
            <v>16.275309799727122</v>
          </cell>
          <cell r="AG1219">
            <v>20.469360058004284</v>
          </cell>
          <cell r="AH1219">
            <v>17.881583490985356</v>
          </cell>
          <cell r="AI1219">
            <v>15.547864889645153</v>
          </cell>
          <cell r="AJ1219">
            <v>20.215302092325562</v>
          </cell>
          <cell r="AU1219">
            <v>11.469489209326916</v>
          </cell>
          <cell r="AV1219">
            <v>14.263722316306255</v>
          </cell>
          <cell r="AW1219">
            <v>12.105561258724364</v>
          </cell>
          <cell r="AX1219">
            <v>10.242049449424412</v>
          </cell>
          <cell r="AY1219">
            <v>13.969073068024317</v>
          </cell>
        </row>
        <row r="1220">
          <cell r="A1220">
            <v>41246</v>
          </cell>
          <cell r="AF1220">
            <v>16.069105284552844</v>
          </cell>
          <cell r="AG1220">
            <v>20.469360058004284</v>
          </cell>
          <cell r="AH1220">
            <v>17.881583490985356</v>
          </cell>
          <cell r="AI1220">
            <v>15.547864889645153</v>
          </cell>
          <cell r="AJ1220">
            <v>20.215302092325562</v>
          </cell>
          <cell r="AU1220">
            <v>11.356968086882523</v>
          </cell>
          <cell r="AV1220">
            <v>14.263722316306255</v>
          </cell>
          <cell r="AW1220">
            <v>12.105561258724364</v>
          </cell>
          <cell r="AX1220">
            <v>10.242049449424412</v>
          </cell>
          <cell r="AY1220">
            <v>13.969073068024317</v>
          </cell>
        </row>
        <row r="1221">
          <cell r="A1221">
            <v>41247</v>
          </cell>
          <cell r="AF1221">
            <v>15.914631707317072</v>
          </cell>
          <cell r="AG1221">
            <v>20.469360058004284</v>
          </cell>
          <cell r="AH1221">
            <v>17.881583490985356</v>
          </cell>
          <cell r="AI1221">
            <v>15.547864889645153</v>
          </cell>
          <cell r="AJ1221">
            <v>20.215302092325562</v>
          </cell>
          <cell r="AU1221">
            <v>11.272261911043136</v>
          </cell>
          <cell r="AV1221">
            <v>14.263722316306255</v>
          </cell>
          <cell r="AW1221">
            <v>12.105561258724364</v>
          </cell>
          <cell r="AX1221">
            <v>10.242049449424412</v>
          </cell>
          <cell r="AY1221">
            <v>13.969073068024317</v>
          </cell>
        </row>
        <row r="1222">
          <cell r="A1222">
            <v>41248</v>
          </cell>
          <cell r="AF1222">
            <v>15.967479268292681</v>
          </cell>
          <cell r="AG1222">
            <v>20.469360058004284</v>
          </cell>
          <cell r="AH1222">
            <v>17.881583490985356</v>
          </cell>
          <cell r="AI1222">
            <v>15.547864889645153</v>
          </cell>
          <cell r="AJ1222">
            <v>20.215302092325562</v>
          </cell>
          <cell r="AU1222">
            <v>11.301241072869953</v>
          </cell>
          <cell r="AV1222">
            <v>14.263722316306255</v>
          </cell>
          <cell r="AW1222">
            <v>12.105561258724364</v>
          </cell>
          <cell r="AX1222">
            <v>10.242049449424412</v>
          </cell>
          <cell r="AY1222">
            <v>13.969073068024317</v>
          </cell>
        </row>
        <row r="1223">
          <cell r="A1223">
            <v>41249</v>
          </cell>
          <cell r="AF1223">
            <v>15.926826422764229</v>
          </cell>
          <cell r="AG1223">
            <v>20.469360058004284</v>
          </cell>
          <cell r="AH1223">
            <v>17.881583490985356</v>
          </cell>
          <cell r="AI1223">
            <v>15.547864889645153</v>
          </cell>
          <cell r="AJ1223">
            <v>20.215302092325562</v>
          </cell>
          <cell r="AU1223">
            <v>11.27894892981659</v>
          </cell>
          <cell r="AV1223">
            <v>14.263722316306255</v>
          </cell>
          <cell r="AW1223">
            <v>12.105561258724364</v>
          </cell>
          <cell r="AX1223">
            <v>10.242049449424412</v>
          </cell>
          <cell r="AY1223">
            <v>13.969073068024317</v>
          </cell>
        </row>
        <row r="1224">
          <cell r="A1224">
            <v>41250</v>
          </cell>
          <cell r="AF1224">
            <v>15.965444715447154</v>
          </cell>
          <cell r="AG1224">
            <v>20.469360058004284</v>
          </cell>
          <cell r="AH1224">
            <v>17.881583490985356</v>
          </cell>
          <cell r="AI1224">
            <v>15.547864889645153</v>
          </cell>
          <cell r="AJ1224">
            <v>20.215302092325562</v>
          </cell>
          <cell r="AU1224">
            <v>11.300125418049422</v>
          </cell>
          <cell r="AV1224">
            <v>14.263722316306255</v>
          </cell>
          <cell r="AW1224">
            <v>12.105561258724364</v>
          </cell>
          <cell r="AX1224">
            <v>10.242049449424412</v>
          </cell>
          <cell r="AY1224">
            <v>13.969073068024317</v>
          </cell>
        </row>
        <row r="1225">
          <cell r="A1225">
            <v>41253</v>
          </cell>
          <cell r="AF1225">
            <v>16.097557317073171</v>
          </cell>
          <cell r="AG1225">
            <v>20.469360058004284</v>
          </cell>
          <cell r="AH1225">
            <v>17.881583490985356</v>
          </cell>
          <cell r="AI1225">
            <v>15.547864889645153</v>
          </cell>
          <cell r="AJ1225">
            <v>20.215302092325562</v>
          </cell>
          <cell r="AU1225">
            <v>11.372569867541594</v>
          </cell>
          <cell r="AV1225">
            <v>14.263722316306255</v>
          </cell>
          <cell r="AW1225">
            <v>12.105561258724364</v>
          </cell>
          <cell r="AX1225">
            <v>10.242049449424412</v>
          </cell>
          <cell r="AY1225">
            <v>13.969073068024317</v>
          </cell>
        </row>
        <row r="1226">
          <cell r="A1226">
            <v>41254</v>
          </cell>
          <cell r="AF1226">
            <v>16.325198780487806</v>
          </cell>
          <cell r="AG1226">
            <v>20.469360058004284</v>
          </cell>
          <cell r="AH1226">
            <v>17.881583490985356</v>
          </cell>
          <cell r="AI1226">
            <v>15.547864889645153</v>
          </cell>
          <cell r="AJ1226">
            <v>20.215302092325562</v>
          </cell>
          <cell r="AU1226">
            <v>11.497397933113643</v>
          </cell>
          <cell r="AV1226">
            <v>14.263722316306255</v>
          </cell>
          <cell r="AW1226">
            <v>12.105561258724364</v>
          </cell>
          <cell r="AX1226">
            <v>10.242049449424412</v>
          </cell>
          <cell r="AY1226">
            <v>13.969073068024317</v>
          </cell>
        </row>
        <row r="1227">
          <cell r="A1227">
            <v>41255</v>
          </cell>
          <cell r="AF1227">
            <v>16.268288617886178</v>
          </cell>
          <cell r="AG1227">
            <v>20.469360058004284</v>
          </cell>
          <cell r="AH1227">
            <v>17.881583490985356</v>
          </cell>
          <cell r="AI1227">
            <v>15.547864889645153</v>
          </cell>
          <cell r="AJ1227">
            <v>20.215302092325562</v>
          </cell>
          <cell r="AU1227">
            <v>11.466191028174658</v>
          </cell>
          <cell r="AV1227">
            <v>14.263722316306255</v>
          </cell>
          <cell r="AW1227">
            <v>12.105561258724364</v>
          </cell>
          <cell r="AX1227">
            <v>10.242049449424412</v>
          </cell>
          <cell r="AY1227">
            <v>13.969073068024317</v>
          </cell>
        </row>
        <row r="1228">
          <cell r="A1228">
            <v>41256</v>
          </cell>
          <cell r="AF1228">
            <v>16.105689430894309</v>
          </cell>
          <cell r="AG1228">
            <v>20.469360058004284</v>
          </cell>
          <cell r="AH1228">
            <v>17.881583490985356</v>
          </cell>
          <cell r="AI1228">
            <v>15.547864889645153</v>
          </cell>
          <cell r="AJ1228">
            <v>20.215302092325562</v>
          </cell>
          <cell r="AU1228">
            <v>11.377029143202881</v>
          </cell>
          <cell r="AV1228">
            <v>14.263722316306255</v>
          </cell>
          <cell r="AW1228">
            <v>12.105561258724364</v>
          </cell>
          <cell r="AX1228">
            <v>10.242049449424412</v>
          </cell>
          <cell r="AY1228">
            <v>13.969073068024317</v>
          </cell>
        </row>
        <row r="1229">
          <cell r="A1229">
            <v>41257</v>
          </cell>
          <cell r="AF1229">
            <v>16.142273170731709</v>
          </cell>
          <cell r="AG1229">
            <v>20.469360058004284</v>
          </cell>
          <cell r="AH1229">
            <v>17.881583490985356</v>
          </cell>
          <cell r="AI1229">
            <v>15.547864889645153</v>
          </cell>
          <cell r="AJ1229">
            <v>20.215302092325562</v>
          </cell>
          <cell r="AU1229">
            <v>11.397089976615183</v>
          </cell>
          <cell r="AV1229">
            <v>14.263722316306255</v>
          </cell>
          <cell r="AW1229">
            <v>12.105561258724364</v>
          </cell>
          <cell r="AX1229">
            <v>10.242049449424412</v>
          </cell>
          <cell r="AY1229">
            <v>13.969073068024317</v>
          </cell>
        </row>
        <row r="1230">
          <cell r="A1230">
            <v>41260</v>
          </cell>
          <cell r="AF1230">
            <v>16.406498373983741</v>
          </cell>
          <cell r="AG1230">
            <v>20.469360058004284</v>
          </cell>
          <cell r="AH1230">
            <v>17.881583490985356</v>
          </cell>
          <cell r="AI1230">
            <v>15.547864889645153</v>
          </cell>
          <cell r="AJ1230">
            <v>20.215302092325562</v>
          </cell>
          <cell r="AU1230">
            <v>11.541978875599531</v>
          </cell>
          <cell r="AV1230">
            <v>14.263722316306255</v>
          </cell>
          <cell r="AW1230">
            <v>12.105561258724364</v>
          </cell>
          <cell r="AX1230">
            <v>10.242049449424412</v>
          </cell>
          <cell r="AY1230">
            <v>13.969073068024317</v>
          </cell>
        </row>
        <row r="1231">
          <cell r="A1231">
            <v>41261</v>
          </cell>
          <cell r="AF1231">
            <v>16.463414634146343</v>
          </cell>
          <cell r="AG1231">
            <v>20.469360058004284</v>
          </cell>
          <cell r="AH1231">
            <v>17.881583490985356</v>
          </cell>
          <cell r="AI1231">
            <v>15.547864889645153</v>
          </cell>
          <cell r="AJ1231">
            <v>20.215302092325562</v>
          </cell>
          <cell r="AU1231">
            <v>11.573189124159354</v>
          </cell>
          <cell r="AV1231">
            <v>14.263722316306255</v>
          </cell>
          <cell r="AW1231">
            <v>12.105561258724364</v>
          </cell>
          <cell r="AX1231">
            <v>10.242049449424412</v>
          </cell>
          <cell r="AY1231">
            <v>13.969073068024317</v>
          </cell>
        </row>
        <row r="1232">
          <cell r="A1232">
            <v>41262</v>
          </cell>
          <cell r="AF1232">
            <v>16.414630081300814</v>
          </cell>
          <cell r="AG1232">
            <v>20.469360058004284</v>
          </cell>
          <cell r="AH1232">
            <v>17.881583490985356</v>
          </cell>
          <cell r="AI1232">
            <v>15.547864889645153</v>
          </cell>
          <cell r="AJ1232">
            <v>20.215302092325562</v>
          </cell>
          <cell r="AU1232">
            <v>11.546437928352761</v>
          </cell>
          <cell r="AV1232">
            <v>14.263722316306255</v>
          </cell>
          <cell r="AW1232">
            <v>12.105561258724364</v>
          </cell>
          <cell r="AX1232">
            <v>10.242049449424412</v>
          </cell>
          <cell r="AY1232">
            <v>13.969073068024317</v>
          </cell>
        </row>
        <row r="1233">
          <cell r="A1233">
            <v>41263</v>
          </cell>
          <cell r="AF1233">
            <v>16.422842682926831</v>
          </cell>
          <cell r="AG1233">
            <v>20.469360058004284</v>
          </cell>
          <cell r="AH1233">
            <v>17.881583490985356</v>
          </cell>
          <cell r="AI1233">
            <v>15.547864889645153</v>
          </cell>
          <cell r="AJ1233">
            <v>20.215302092325562</v>
          </cell>
          <cell r="AU1233">
            <v>11.550941339809144</v>
          </cell>
          <cell r="AV1233">
            <v>14.263722316306255</v>
          </cell>
          <cell r="AW1233">
            <v>12.105561258724364</v>
          </cell>
          <cell r="AX1233">
            <v>10.242049449424412</v>
          </cell>
          <cell r="AY1233">
            <v>13.969073068024317</v>
          </cell>
        </row>
        <row r="1234">
          <cell r="A1234">
            <v>41264</v>
          </cell>
          <cell r="AF1234">
            <v>16.402435365853659</v>
          </cell>
          <cell r="AG1234">
            <v>20.469360058004284</v>
          </cell>
          <cell r="AH1234">
            <v>17.881583490985356</v>
          </cell>
          <cell r="AI1234">
            <v>15.547864889645153</v>
          </cell>
          <cell r="AJ1234">
            <v>20.215302092325562</v>
          </cell>
          <cell r="AU1234">
            <v>11.539750909579308</v>
          </cell>
          <cell r="AV1234">
            <v>14.263722316306255</v>
          </cell>
          <cell r="AW1234">
            <v>12.105561258724364</v>
          </cell>
          <cell r="AX1234">
            <v>10.242049449424412</v>
          </cell>
          <cell r="AY1234">
            <v>13.969073068024317</v>
          </cell>
        </row>
        <row r="1235">
          <cell r="A1235">
            <v>41267</v>
          </cell>
          <cell r="AF1235">
            <v>16.296746747967479</v>
          </cell>
          <cell r="AG1235">
            <v>20.469360058004284</v>
          </cell>
          <cell r="AH1235">
            <v>17.881583490985356</v>
          </cell>
          <cell r="AI1235">
            <v>15.547864889645153</v>
          </cell>
          <cell r="AJ1235">
            <v>20.215302092325562</v>
          </cell>
          <cell r="AU1235">
            <v>11.481796152454569</v>
          </cell>
          <cell r="AV1235">
            <v>14.263722316306255</v>
          </cell>
          <cell r="AW1235">
            <v>12.105561258724364</v>
          </cell>
          <cell r="AX1235">
            <v>10.242049449424412</v>
          </cell>
          <cell r="AY1235">
            <v>13.969073068024317</v>
          </cell>
        </row>
        <row r="1236">
          <cell r="A1236">
            <v>41268</v>
          </cell>
          <cell r="AF1236">
            <v>16.296746747967479</v>
          </cell>
          <cell r="AG1236">
            <v>20.469360058004284</v>
          </cell>
          <cell r="AH1236">
            <v>17.881583490985356</v>
          </cell>
          <cell r="AI1236">
            <v>15.547864889645153</v>
          </cell>
          <cell r="AJ1236">
            <v>20.215302092325562</v>
          </cell>
          <cell r="AU1236">
            <v>11.481796152454569</v>
          </cell>
          <cell r="AV1236">
            <v>14.263722316306255</v>
          </cell>
          <cell r="AW1236">
            <v>12.105561258724364</v>
          </cell>
          <cell r="AX1236">
            <v>10.242049449424412</v>
          </cell>
          <cell r="AY1236">
            <v>13.969073068024317</v>
          </cell>
        </row>
        <row r="1237">
          <cell r="A1237">
            <v>41269</v>
          </cell>
          <cell r="AF1237">
            <v>16.077230894308943</v>
          </cell>
          <cell r="AG1237">
            <v>20.469360058004284</v>
          </cell>
          <cell r="AH1237">
            <v>17.881583490985356</v>
          </cell>
          <cell r="AI1237">
            <v>15.547864889645153</v>
          </cell>
          <cell r="AJ1237">
            <v>20.215302092325562</v>
          </cell>
          <cell r="AU1237">
            <v>11.361423796014913</v>
          </cell>
          <cell r="AV1237">
            <v>14.263722316306255</v>
          </cell>
          <cell r="AW1237">
            <v>12.105561258724364</v>
          </cell>
          <cell r="AX1237">
            <v>10.242049449424412</v>
          </cell>
          <cell r="AY1237">
            <v>13.969073068024317</v>
          </cell>
        </row>
        <row r="1238">
          <cell r="A1238">
            <v>41270</v>
          </cell>
          <cell r="AF1238">
            <v>16.008126016260164</v>
          </cell>
          <cell r="AG1238">
            <v>20.469360058004284</v>
          </cell>
          <cell r="AH1238">
            <v>17.881583490985356</v>
          </cell>
          <cell r="AI1238">
            <v>15.547864889645153</v>
          </cell>
          <cell r="AJ1238">
            <v>20.215302092325562</v>
          </cell>
          <cell r="AU1238">
            <v>11.323529872302478</v>
          </cell>
          <cell r="AV1238">
            <v>14.263722316306255</v>
          </cell>
          <cell r="AW1238">
            <v>12.105561258724364</v>
          </cell>
          <cell r="AX1238">
            <v>10.242049449424412</v>
          </cell>
          <cell r="AY1238">
            <v>13.969073068024317</v>
          </cell>
        </row>
        <row r="1239">
          <cell r="A1239">
            <v>41271</v>
          </cell>
          <cell r="AF1239">
            <v>15.857721544715449</v>
          </cell>
          <cell r="AG1239">
            <v>20.469360058004284</v>
          </cell>
          <cell r="AH1239">
            <v>17.881583490985356</v>
          </cell>
          <cell r="AI1239">
            <v>15.547864889645153</v>
          </cell>
          <cell r="AJ1239">
            <v>20.215302092325562</v>
          </cell>
          <cell r="AU1239">
            <v>11.241055006104155</v>
          </cell>
          <cell r="AV1239">
            <v>14.263722316306255</v>
          </cell>
          <cell r="AW1239">
            <v>12.105561258724364</v>
          </cell>
          <cell r="AX1239">
            <v>10.242049449424412</v>
          </cell>
          <cell r="AY1239">
            <v>13.969073068024317</v>
          </cell>
        </row>
        <row r="1240">
          <cell r="A1240">
            <v>41274</v>
          </cell>
          <cell r="AF1240">
            <v>16.101620325203253</v>
          </cell>
          <cell r="AG1240">
            <v>20.469360058004284</v>
          </cell>
          <cell r="AH1240">
            <v>17.881583490985356</v>
          </cell>
          <cell r="AI1240">
            <v>15.547864889645153</v>
          </cell>
          <cell r="AJ1240">
            <v>20.215302092325562</v>
          </cell>
          <cell r="AU1240">
            <v>11.374797833561818</v>
          </cell>
          <cell r="AV1240">
            <v>14.263722316306255</v>
          </cell>
          <cell r="AW1240">
            <v>12.105561258724364</v>
          </cell>
          <cell r="AX1240">
            <v>10.242049449424412</v>
          </cell>
          <cell r="AY1240">
            <v>13.969073068024317</v>
          </cell>
        </row>
        <row r="1241">
          <cell r="A1241">
            <v>41275</v>
          </cell>
          <cell r="AF1241">
            <v>15.958362665772999</v>
          </cell>
          <cell r="AG1241">
            <v>20.469360058004284</v>
          </cell>
          <cell r="AH1241">
            <v>17.881583490985356</v>
          </cell>
          <cell r="AI1241">
            <v>15.547864889645153</v>
          </cell>
          <cell r="AJ1241">
            <v>20.215302092325562</v>
          </cell>
          <cell r="AU1241">
            <v>11.297100555417346</v>
          </cell>
          <cell r="AV1241">
            <v>14.263722316306255</v>
          </cell>
          <cell r="AW1241">
            <v>12.105561258724364</v>
          </cell>
          <cell r="AX1241">
            <v>10.242049449424412</v>
          </cell>
          <cell r="AY1241">
            <v>13.969073068024317</v>
          </cell>
        </row>
        <row r="1242">
          <cell r="A1242">
            <v>41276</v>
          </cell>
          <cell r="AF1242">
            <v>16.32848388257116</v>
          </cell>
          <cell r="AG1242">
            <v>20.469360058004284</v>
          </cell>
          <cell r="AH1242">
            <v>17.881583490985356</v>
          </cell>
          <cell r="AI1242">
            <v>15.547864889645153</v>
          </cell>
          <cell r="AJ1242">
            <v>20.215302092325562</v>
          </cell>
          <cell r="AU1242">
            <v>11.501298070370725</v>
          </cell>
          <cell r="AV1242">
            <v>14.263722316306255</v>
          </cell>
          <cell r="AW1242">
            <v>12.105561258724364</v>
          </cell>
          <cell r="AX1242">
            <v>10.242049449424412</v>
          </cell>
          <cell r="AY1242">
            <v>13.969073068024317</v>
          </cell>
        </row>
        <row r="1243">
          <cell r="A1243">
            <v>41277</v>
          </cell>
          <cell r="AF1243">
            <v>16.330913870673818</v>
          </cell>
          <cell r="AG1243">
            <v>20.469360058004284</v>
          </cell>
          <cell r="AH1243">
            <v>17.881583490985356</v>
          </cell>
          <cell r="AI1243">
            <v>15.547864889645153</v>
          </cell>
          <cell r="AJ1243">
            <v>20.215302092325562</v>
          </cell>
          <cell r="AU1243">
            <v>11.512929126948777</v>
          </cell>
          <cell r="AV1243">
            <v>14.263722316306255</v>
          </cell>
          <cell r="AW1243">
            <v>12.105561258724364</v>
          </cell>
          <cell r="AX1243">
            <v>10.242049449424412</v>
          </cell>
          <cell r="AY1243">
            <v>13.969073068024317</v>
          </cell>
        </row>
        <row r="1244">
          <cell r="A1244">
            <v>41278</v>
          </cell>
          <cell r="AF1244">
            <v>16.472362012127629</v>
          </cell>
          <cell r="AG1244">
            <v>20.469360058004284</v>
          </cell>
          <cell r="AH1244">
            <v>17.881583490985356</v>
          </cell>
          <cell r="AI1244">
            <v>15.547864889645153</v>
          </cell>
          <cell r="AJ1244">
            <v>20.215302092325562</v>
          </cell>
          <cell r="AU1244">
            <v>11.590676838494806</v>
          </cell>
          <cell r="AV1244">
            <v>14.263722316306255</v>
          </cell>
          <cell r="AW1244">
            <v>12.105561258724364</v>
          </cell>
          <cell r="AX1244">
            <v>10.242049449424412</v>
          </cell>
          <cell r="AY1244">
            <v>13.969073068024317</v>
          </cell>
        </row>
        <row r="1245">
          <cell r="A1245">
            <v>41281</v>
          </cell>
          <cell r="AF1245">
            <v>16.528939894665051</v>
          </cell>
          <cell r="AG1245">
            <v>20.469360058004284</v>
          </cell>
          <cell r="AH1245">
            <v>17.881583490985356</v>
          </cell>
          <cell r="AI1245">
            <v>15.547864889645153</v>
          </cell>
          <cell r="AJ1245">
            <v>20.215302092325562</v>
          </cell>
          <cell r="AU1245">
            <v>11.62177516786268</v>
          </cell>
          <cell r="AV1245">
            <v>14.263722316306255</v>
          </cell>
          <cell r="AW1245">
            <v>12.105561258724364</v>
          </cell>
          <cell r="AX1245">
            <v>10.242049449424412</v>
          </cell>
          <cell r="AY1245">
            <v>13.969073068024317</v>
          </cell>
        </row>
        <row r="1246">
          <cell r="A1246">
            <v>41282</v>
          </cell>
          <cell r="AF1246">
            <v>16.338998099577442</v>
          </cell>
          <cell r="AG1246">
            <v>20.469360058004284</v>
          </cell>
          <cell r="AH1246">
            <v>17.881583490985356</v>
          </cell>
          <cell r="AI1246">
            <v>15.547864889645153</v>
          </cell>
          <cell r="AJ1246">
            <v>20.215302092325562</v>
          </cell>
          <cell r="AU1246">
            <v>11.517372665693159</v>
          </cell>
          <cell r="AV1246">
            <v>14.263722316306255</v>
          </cell>
          <cell r="AW1246">
            <v>12.105561258724364</v>
          </cell>
          <cell r="AX1246">
            <v>10.242049449424412</v>
          </cell>
          <cell r="AY1246">
            <v>13.969073068024317</v>
          </cell>
        </row>
        <row r="1247">
          <cell r="A1247">
            <v>41283</v>
          </cell>
          <cell r="AF1247">
            <v>16.330913870673818</v>
          </cell>
          <cell r="AG1247">
            <v>20.469360058004284</v>
          </cell>
          <cell r="AH1247">
            <v>17.881583490985356</v>
          </cell>
          <cell r="AI1247">
            <v>15.547864889645153</v>
          </cell>
          <cell r="AJ1247">
            <v>20.215302092325562</v>
          </cell>
          <cell r="AU1247">
            <v>11.512929126948777</v>
          </cell>
          <cell r="AV1247">
            <v>14.263722316306255</v>
          </cell>
          <cell r="AW1247">
            <v>12.105561258724364</v>
          </cell>
          <cell r="AX1247">
            <v>10.242049449424412</v>
          </cell>
          <cell r="AY1247">
            <v>13.969073068024317</v>
          </cell>
        </row>
        <row r="1248">
          <cell r="A1248">
            <v>41284</v>
          </cell>
          <cell r="AF1248">
            <v>16.298582612887984</v>
          </cell>
          <cell r="AG1248">
            <v>20.469360058004284</v>
          </cell>
          <cell r="AH1248">
            <v>17.881583490985356</v>
          </cell>
          <cell r="AI1248">
            <v>15.547864889645153</v>
          </cell>
          <cell r="AJ1248">
            <v>20.215302092325562</v>
          </cell>
          <cell r="AU1248">
            <v>11.495158081826393</v>
          </cell>
          <cell r="AV1248">
            <v>14.263722316306255</v>
          </cell>
          <cell r="AW1248">
            <v>12.105561258724364</v>
          </cell>
          <cell r="AX1248">
            <v>10.242049449424412</v>
          </cell>
          <cell r="AY1248">
            <v>13.969073068024317</v>
          </cell>
        </row>
        <row r="1249">
          <cell r="A1249">
            <v>41285</v>
          </cell>
          <cell r="AF1249">
            <v>16.136932790048728</v>
          </cell>
          <cell r="AG1249">
            <v>20.469360058004284</v>
          </cell>
          <cell r="AH1249">
            <v>17.881583490985356</v>
          </cell>
          <cell r="AI1249">
            <v>15.547864889645153</v>
          </cell>
          <cell r="AJ1249">
            <v>20.215302092325562</v>
          </cell>
          <cell r="AU1249">
            <v>11.40630641033464</v>
          </cell>
          <cell r="AV1249">
            <v>14.263722316306255</v>
          </cell>
          <cell r="AW1249">
            <v>12.105561258724364</v>
          </cell>
          <cell r="AX1249">
            <v>10.242049449424412</v>
          </cell>
          <cell r="AY1249">
            <v>13.969073068024317</v>
          </cell>
        </row>
        <row r="1250">
          <cell r="A1250">
            <v>41288</v>
          </cell>
          <cell r="AF1250">
            <v>16.08843913641493</v>
          </cell>
          <cell r="AG1250">
            <v>20.469360058004284</v>
          </cell>
          <cell r="AH1250">
            <v>17.881583490985356</v>
          </cell>
          <cell r="AI1250">
            <v>15.547864889645153</v>
          </cell>
          <cell r="AJ1250">
            <v>20.215302092325562</v>
          </cell>
          <cell r="AU1250">
            <v>11.379651619711147</v>
          </cell>
          <cell r="AV1250">
            <v>14.263722316306255</v>
          </cell>
          <cell r="AW1250">
            <v>12.105561258724364</v>
          </cell>
          <cell r="AX1250">
            <v>10.242049449424412</v>
          </cell>
          <cell r="AY1250">
            <v>13.969073068024317</v>
          </cell>
        </row>
        <row r="1251">
          <cell r="A1251">
            <v>41289</v>
          </cell>
          <cell r="AF1251">
            <v>15.999529996091676</v>
          </cell>
          <cell r="AG1251">
            <v>20.469360058004284</v>
          </cell>
          <cell r="AH1251">
            <v>17.881583490985356</v>
          </cell>
          <cell r="AI1251">
            <v>15.547864889645153</v>
          </cell>
          <cell r="AJ1251">
            <v>20.215302092325562</v>
          </cell>
          <cell r="AU1251">
            <v>11.330782245220886</v>
          </cell>
          <cell r="AV1251">
            <v>14.263722316306255</v>
          </cell>
          <cell r="AW1251">
            <v>12.105561258724364</v>
          </cell>
          <cell r="AX1251">
            <v>10.242049449424412</v>
          </cell>
          <cell r="AY1251">
            <v>13.969073068024317</v>
          </cell>
        </row>
        <row r="1252">
          <cell r="A1252">
            <v>41290</v>
          </cell>
          <cell r="AF1252">
            <v>16.092478421952407</v>
          </cell>
          <cell r="AG1252">
            <v>20.469360058004284</v>
          </cell>
          <cell r="AH1252">
            <v>17.881583490985356</v>
          </cell>
          <cell r="AI1252">
            <v>15.547864889645153</v>
          </cell>
          <cell r="AJ1252">
            <v>20.215302092325562</v>
          </cell>
          <cell r="AU1252">
            <v>11.381871834155762</v>
          </cell>
          <cell r="AV1252">
            <v>14.263722316306255</v>
          </cell>
          <cell r="AW1252">
            <v>12.105561258724364</v>
          </cell>
          <cell r="AX1252">
            <v>10.242049449424412</v>
          </cell>
          <cell r="AY1252">
            <v>13.969073068024317</v>
          </cell>
        </row>
        <row r="1253">
          <cell r="A1253">
            <v>41291</v>
          </cell>
          <cell r="AF1253">
            <v>16.440030754341798</v>
          </cell>
          <cell r="AG1253">
            <v>20.469360058004284</v>
          </cell>
          <cell r="AH1253">
            <v>17.881583490985356</v>
          </cell>
          <cell r="AI1253">
            <v>15.547864889645153</v>
          </cell>
          <cell r="AJ1253">
            <v>20.215302092325562</v>
          </cell>
          <cell r="AU1253">
            <v>11.572905793372421</v>
          </cell>
          <cell r="AV1253">
            <v>14.263722316306255</v>
          </cell>
          <cell r="AW1253">
            <v>12.105561258724364</v>
          </cell>
          <cell r="AX1253">
            <v>10.242049449424412</v>
          </cell>
          <cell r="AY1253">
            <v>13.969073068024317</v>
          </cell>
        </row>
        <row r="1254">
          <cell r="A1254">
            <v>41292</v>
          </cell>
          <cell r="AF1254">
            <v>16.508732151320324</v>
          </cell>
          <cell r="AG1254">
            <v>20.469360058004284</v>
          </cell>
          <cell r="AH1254">
            <v>17.881583490985356</v>
          </cell>
          <cell r="AI1254">
            <v>15.547864889645153</v>
          </cell>
          <cell r="AJ1254">
            <v>20.215302092325562</v>
          </cell>
          <cell r="AU1254">
            <v>11.610667875929295</v>
          </cell>
          <cell r="AV1254">
            <v>14.263722316306255</v>
          </cell>
          <cell r="AW1254">
            <v>12.105561258724364</v>
          </cell>
          <cell r="AX1254">
            <v>10.242049449424412</v>
          </cell>
          <cell r="AY1254">
            <v>13.969073068024317</v>
          </cell>
        </row>
        <row r="1255">
          <cell r="A1255">
            <v>41295</v>
          </cell>
          <cell r="AF1255">
            <v>16.529183929531115</v>
          </cell>
          <cell r="AG1255">
            <v>20.469360058004284</v>
          </cell>
          <cell r="AH1255">
            <v>17.881583490985356</v>
          </cell>
          <cell r="AI1255">
            <v>15.547864889645153</v>
          </cell>
          <cell r="AJ1255">
            <v>20.215302092325562</v>
          </cell>
          <cell r="AU1255">
            <v>11.610667875929295</v>
          </cell>
          <cell r="AV1255">
            <v>14.263722316306255</v>
          </cell>
          <cell r="AW1255">
            <v>12.105561258724364</v>
          </cell>
          <cell r="AX1255">
            <v>10.242049449424412</v>
          </cell>
          <cell r="AY1255">
            <v>13.969073068024317</v>
          </cell>
        </row>
        <row r="1256">
          <cell r="A1256">
            <v>41296</v>
          </cell>
          <cell r="AF1256">
            <v>16.54537282220031</v>
          </cell>
          <cell r="AG1256">
            <v>20.469360058004284</v>
          </cell>
          <cell r="AH1256">
            <v>17.881583490985356</v>
          </cell>
          <cell r="AI1256">
            <v>15.547864889645153</v>
          </cell>
          <cell r="AJ1256">
            <v>20.215302092325562</v>
          </cell>
          <cell r="AU1256">
            <v>11.619555175550573</v>
          </cell>
          <cell r="AV1256">
            <v>14.263722316306255</v>
          </cell>
          <cell r="AW1256">
            <v>12.105561258724364</v>
          </cell>
          <cell r="AX1256">
            <v>10.242049449424412</v>
          </cell>
          <cell r="AY1256">
            <v>13.969073068024317</v>
          </cell>
        </row>
        <row r="1257">
          <cell r="A1257">
            <v>41297</v>
          </cell>
          <cell r="AF1257">
            <v>16.541322463140631</v>
          </cell>
          <cell r="AG1257">
            <v>20.469360058004284</v>
          </cell>
          <cell r="AH1257">
            <v>17.881583490985356</v>
          </cell>
          <cell r="AI1257">
            <v>15.547864889645153</v>
          </cell>
          <cell r="AJ1257">
            <v>20.215302092325562</v>
          </cell>
          <cell r="AU1257">
            <v>11.617331629118295</v>
          </cell>
          <cell r="AV1257">
            <v>14.263722316306255</v>
          </cell>
          <cell r="AW1257">
            <v>12.105561258724364</v>
          </cell>
          <cell r="AX1257">
            <v>10.242049449424412</v>
          </cell>
          <cell r="AY1257">
            <v>13.969073068024317</v>
          </cell>
        </row>
        <row r="1258">
          <cell r="A1258">
            <v>41298</v>
          </cell>
          <cell r="AF1258">
            <v>16.808380722963168</v>
          </cell>
          <cell r="AG1258">
            <v>20.469360058004284</v>
          </cell>
          <cell r="AH1258">
            <v>17.881583490985356</v>
          </cell>
          <cell r="AI1258">
            <v>15.547864889645153</v>
          </cell>
          <cell r="AJ1258">
            <v>20.215302092325562</v>
          </cell>
          <cell r="AU1258">
            <v>11.763939974721588</v>
          </cell>
          <cell r="AV1258">
            <v>14.263722316306255</v>
          </cell>
          <cell r="AW1258">
            <v>12.105561258724364</v>
          </cell>
          <cell r="AX1258">
            <v>10.242049449424412</v>
          </cell>
          <cell r="AY1258">
            <v>13.969073068024317</v>
          </cell>
        </row>
        <row r="1259">
          <cell r="A1259">
            <v>41299</v>
          </cell>
          <cell r="AF1259">
            <v>17.128036597551784</v>
          </cell>
          <cell r="AG1259">
            <v>20.469360058004284</v>
          </cell>
          <cell r="AH1259">
            <v>17.881583490985356</v>
          </cell>
          <cell r="AI1259">
            <v>15.547864889645153</v>
          </cell>
          <cell r="AJ1259">
            <v>20.215302092325562</v>
          </cell>
          <cell r="AU1259">
            <v>11.939423103260475</v>
          </cell>
          <cell r="AV1259">
            <v>14.263722316306255</v>
          </cell>
          <cell r="AW1259">
            <v>12.105561258724364</v>
          </cell>
          <cell r="AX1259">
            <v>10.242049449424412</v>
          </cell>
          <cell r="AY1259">
            <v>13.969073068024317</v>
          </cell>
        </row>
        <row r="1260">
          <cell r="A1260">
            <v>41302</v>
          </cell>
          <cell r="AF1260">
            <v>17.075438578154429</v>
          </cell>
          <cell r="AG1260">
            <v>20.469360058004284</v>
          </cell>
          <cell r="AH1260">
            <v>17.881583490985356</v>
          </cell>
          <cell r="AI1260">
            <v>15.547864889645153</v>
          </cell>
          <cell r="AJ1260">
            <v>20.215302092325562</v>
          </cell>
          <cell r="AU1260">
            <v>11.910548098192367</v>
          </cell>
          <cell r="AV1260">
            <v>14.263722316306255</v>
          </cell>
          <cell r="AW1260">
            <v>12.105561258724364</v>
          </cell>
          <cell r="AX1260">
            <v>10.242049449424412</v>
          </cell>
          <cell r="AY1260">
            <v>13.969073068024317</v>
          </cell>
        </row>
        <row r="1261">
          <cell r="A1261">
            <v>41303</v>
          </cell>
          <cell r="AF1261">
            <v>17.047111556506991</v>
          </cell>
          <cell r="AG1261">
            <v>20.469360058004284</v>
          </cell>
          <cell r="AH1261">
            <v>17.881583490985356</v>
          </cell>
          <cell r="AI1261">
            <v>15.547864889645153</v>
          </cell>
          <cell r="AJ1261">
            <v>20.215302092325562</v>
          </cell>
          <cell r="AU1261">
            <v>11.894997267514597</v>
          </cell>
          <cell r="AV1261">
            <v>14.263722316306255</v>
          </cell>
          <cell r="AW1261">
            <v>12.105561258724364</v>
          </cell>
          <cell r="AX1261">
            <v>10.242049449424412</v>
          </cell>
          <cell r="AY1261">
            <v>13.969073068024317</v>
          </cell>
        </row>
        <row r="1262">
          <cell r="A1262">
            <v>41304</v>
          </cell>
          <cell r="AF1262">
            <v>16.978325049071714</v>
          </cell>
          <cell r="AG1262">
            <v>20.469360058004284</v>
          </cell>
          <cell r="AH1262">
            <v>17.881583490985356</v>
          </cell>
          <cell r="AI1262">
            <v>15.547864889645153</v>
          </cell>
          <cell r="AJ1262">
            <v>20.215302092325562</v>
          </cell>
          <cell r="AU1262">
            <v>11.857235184957723</v>
          </cell>
          <cell r="AV1262">
            <v>14.263722316306255</v>
          </cell>
          <cell r="AW1262">
            <v>12.105561258724364</v>
          </cell>
          <cell r="AX1262">
            <v>10.242049449424412</v>
          </cell>
          <cell r="AY1262">
            <v>13.969073068024317</v>
          </cell>
        </row>
        <row r="1263">
          <cell r="A1263">
            <v>41305</v>
          </cell>
          <cell r="AF1263">
            <v>16.897400008026924</v>
          </cell>
          <cell r="AG1263">
            <v>20.469360058004284</v>
          </cell>
          <cell r="AH1263">
            <v>17.881583490985356</v>
          </cell>
          <cell r="AI1263">
            <v>15.547864889645153</v>
          </cell>
          <cell r="AJ1263">
            <v>20.215302092325562</v>
          </cell>
          <cell r="AU1263">
            <v>11.812809349211847</v>
          </cell>
          <cell r="AV1263">
            <v>14.263722316306255</v>
          </cell>
          <cell r="AW1263">
            <v>12.105561258724364</v>
          </cell>
          <cell r="AX1263">
            <v>10.242049449424412</v>
          </cell>
          <cell r="AY1263">
            <v>13.969073068024317</v>
          </cell>
        </row>
        <row r="1264">
          <cell r="A1264">
            <v>41306</v>
          </cell>
          <cell r="AF1264">
            <v>17.032676788777682</v>
          </cell>
          <cell r="AG1264">
            <v>20.469360058004284</v>
          </cell>
          <cell r="AH1264">
            <v>17.881583490985356</v>
          </cell>
          <cell r="AI1264">
            <v>15.547864889645153</v>
          </cell>
          <cell r="AJ1264">
            <v>20.215302092325562</v>
          </cell>
          <cell r="AU1264">
            <v>11.890369832597393</v>
          </cell>
          <cell r="AV1264">
            <v>14.263722316306255</v>
          </cell>
          <cell r="AW1264">
            <v>12.105561258724364</v>
          </cell>
          <cell r="AX1264">
            <v>10.242049449424412</v>
          </cell>
          <cell r="AY1264">
            <v>13.969073068024317</v>
          </cell>
        </row>
        <row r="1265">
          <cell r="A1265">
            <v>41309</v>
          </cell>
          <cell r="AF1265">
            <v>16.864235711685424</v>
          </cell>
          <cell r="AG1265">
            <v>20.469360058004284</v>
          </cell>
          <cell r="AH1265">
            <v>17.881583490985356</v>
          </cell>
          <cell r="AI1265">
            <v>15.547864889645153</v>
          </cell>
          <cell r="AJ1265">
            <v>20.215302092325562</v>
          </cell>
          <cell r="AU1265">
            <v>11.79769930361827</v>
          </cell>
          <cell r="AV1265">
            <v>14.263722316306255</v>
          </cell>
          <cell r="AW1265">
            <v>12.105561258724364</v>
          </cell>
          <cell r="AX1265">
            <v>10.242049449424412</v>
          </cell>
          <cell r="AY1265">
            <v>13.969073068024317</v>
          </cell>
        </row>
        <row r="1266">
          <cell r="A1266">
            <v>41310</v>
          </cell>
          <cell r="AF1266">
            <v>17.000598236041</v>
          </cell>
          <cell r="AG1266">
            <v>20.469360058004284</v>
          </cell>
          <cell r="AH1266">
            <v>17.881583490985356</v>
          </cell>
          <cell r="AI1266">
            <v>15.547864889645153</v>
          </cell>
          <cell r="AJ1266">
            <v>20.215302092325562</v>
          </cell>
          <cell r="AU1266">
            <v>11.872721308245076</v>
          </cell>
          <cell r="AV1266">
            <v>14.263722316306255</v>
          </cell>
          <cell r="AW1266">
            <v>12.105561258724364</v>
          </cell>
          <cell r="AX1266">
            <v>10.242049449424412</v>
          </cell>
          <cell r="AY1266">
            <v>13.969073068024317</v>
          </cell>
        </row>
        <row r="1267">
          <cell r="A1267">
            <v>41311</v>
          </cell>
          <cell r="AF1267">
            <v>17.124923181815429</v>
          </cell>
          <cell r="AG1267">
            <v>20.469360058004284</v>
          </cell>
          <cell r="AH1267">
            <v>17.881583490985356</v>
          </cell>
          <cell r="AI1267">
            <v>15.547864889645153</v>
          </cell>
          <cell r="AJ1267">
            <v>20.215302092325562</v>
          </cell>
          <cell r="AU1267">
            <v>11.941120648175128</v>
          </cell>
          <cell r="AV1267">
            <v>14.263722316306255</v>
          </cell>
          <cell r="AW1267">
            <v>12.105561258724364</v>
          </cell>
          <cell r="AX1267">
            <v>10.242049449424412</v>
          </cell>
          <cell r="AY1267">
            <v>13.969073068024317</v>
          </cell>
        </row>
        <row r="1268">
          <cell r="A1268">
            <v>41312</v>
          </cell>
          <cell r="AF1268">
            <v>17.052730997652297</v>
          </cell>
          <cell r="AG1268">
            <v>20.469360058004284</v>
          </cell>
          <cell r="AH1268">
            <v>17.881583490985356</v>
          </cell>
          <cell r="AI1268">
            <v>15.547864889645153</v>
          </cell>
          <cell r="AJ1268">
            <v>20.215302092325562</v>
          </cell>
          <cell r="AU1268">
            <v>11.901402973543474</v>
          </cell>
          <cell r="AV1268">
            <v>14.263722316306255</v>
          </cell>
          <cell r="AW1268">
            <v>12.105561258724364</v>
          </cell>
          <cell r="AX1268">
            <v>10.242049449424412</v>
          </cell>
          <cell r="AY1268">
            <v>13.969073068024317</v>
          </cell>
        </row>
        <row r="1269">
          <cell r="A1269">
            <v>41313</v>
          </cell>
          <cell r="AF1269">
            <v>17.193101636628562</v>
          </cell>
          <cell r="AG1269">
            <v>20.469360058004284</v>
          </cell>
          <cell r="AH1269">
            <v>17.881583490985356</v>
          </cell>
          <cell r="AI1269">
            <v>15.547864889645153</v>
          </cell>
          <cell r="AJ1269">
            <v>20.215302092325562</v>
          </cell>
          <cell r="AU1269">
            <v>11.978630105972357</v>
          </cell>
          <cell r="AV1269">
            <v>14.263722316306255</v>
          </cell>
          <cell r="AW1269">
            <v>12.105561258724364</v>
          </cell>
          <cell r="AX1269">
            <v>10.242049449424412</v>
          </cell>
          <cell r="AY1269">
            <v>13.969073068024317</v>
          </cell>
        </row>
        <row r="1270">
          <cell r="A1270">
            <v>41316</v>
          </cell>
          <cell r="AF1270">
            <v>17.181070474880908</v>
          </cell>
          <cell r="AG1270">
            <v>20.469360058004284</v>
          </cell>
          <cell r="AH1270">
            <v>17.881583490985356</v>
          </cell>
          <cell r="AI1270">
            <v>15.547864889645153</v>
          </cell>
          <cell r="AJ1270">
            <v>20.215302092325562</v>
          </cell>
          <cell r="AU1270">
            <v>11.972010971598278</v>
          </cell>
          <cell r="AV1270">
            <v>14.263722316306255</v>
          </cell>
          <cell r="AW1270">
            <v>12.105561258724364</v>
          </cell>
          <cell r="AX1270">
            <v>10.242049449424412</v>
          </cell>
          <cell r="AY1270">
            <v>13.969073068024317</v>
          </cell>
        </row>
        <row r="1271">
          <cell r="A1271">
            <v>41317</v>
          </cell>
          <cell r="AF1271">
            <v>17.193101636628562</v>
          </cell>
          <cell r="AG1271">
            <v>20.469360058004284</v>
          </cell>
          <cell r="AH1271">
            <v>17.881583490985356</v>
          </cell>
          <cell r="AI1271">
            <v>15.547864889645153</v>
          </cell>
          <cell r="AJ1271">
            <v>20.215302092325562</v>
          </cell>
          <cell r="AU1271">
            <v>11.978630105972357</v>
          </cell>
          <cell r="AV1271">
            <v>14.263722316306255</v>
          </cell>
          <cell r="AW1271">
            <v>12.105561258724364</v>
          </cell>
          <cell r="AX1271">
            <v>10.242049449424412</v>
          </cell>
          <cell r="AY1271">
            <v>13.969073068024317</v>
          </cell>
        </row>
        <row r="1272">
          <cell r="A1272">
            <v>41318</v>
          </cell>
          <cell r="AF1272">
            <v>17.277318966757942</v>
          </cell>
          <cell r="AG1272">
            <v>20.469360058004284</v>
          </cell>
          <cell r="AH1272">
            <v>17.881583490985356</v>
          </cell>
          <cell r="AI1272">
            <v>15.547864889645153</v>
          </cell>
          <cell r="AJ1272">
            <v>20.215302092325562</v>
          </cell>
          <cell r="AU1272">
            <v>12.024963605300581</v>
          </cell>
          <cell r="AV1272">
            <v>14.263722316306255</v>
          </cell>
          <cell r="AW1272">
            <v>12.105561258724364</v>
          </cell>
          <cell r="AX1272">
            <v>10.242049449424412</v>
          </cell>
          <cell r="AY1272">
            <v>13.969073068024317</v>
          </cell>
        </row>
        <row r="1273">
          <cell r="A1273">
            <v>41319</v>
          </cell>
          <cell r="AF1273">
            <v>17.214088597821473</v>
          </cell>
          <cell r="AG1273">
            <v>20.469360058004284</v>
          </cell>
          <cell r="AH1273">
            <v>17.881583490985356</v>
          </cell>
          <cell r="AI1273">
            <v>15.547864889645153</v>
          </cell>
          <cell r="AJ1273">
            <v>20.215302092325562</v>
          </cell>
          <cell r="AU1273">
            <v>12.048909783770355</v>
          </cell>
          <cell r="AV1273">
            <v>14.263722316306255</v>
          </cell>
          <cell r="AW1273">
            <v>12.105561258724364</v>
          </cell>
          <cell r="AX1273">
            <v>10.242049449424412</v>
          </cell>
          <cell r="AY1273">
            <v>13.969073068024317</v>
          </cell>
        </row>
        <row r="1274">
          <cell r="A1274">
            <v>41320</v>
          </cell>
          <cell r="AF1274">
            <v>17.169959782970249</v>
          </cell>
          <cell r="AG1274">
            <v>20.469360058004284</v>
          </cell>
          <cell r="AH1274">
            <v>17.881583490985356</v>
          </cell>
          <cell r="AI1274">
            <v>15.547864889645153</v>
          </cell>
          <cell r="AJ1274">
            <v>20.215302092325562</v>
          </cell>
          <cell r="AU1274">
            <v>12.024481051982832</v>
          </cell>
          <cell r="AV1274">
            <v>14.263722316306255</v>
          </cell>
          <cell r="AW1274">
            <v>12.105561258724364</v>
          </cell>
          <cell r="AX1274">
            <v>10.242049449424412</v>
          </cell>
          <cell r="AY1274">
            <v>13.969073068024317</v>
          </cell>
        </row>
        <row r="1275">
          <cell r="A1275">
            <v>41323</v>
          </cell>
          <cell r="AF1275">
            <v>17.169959782970249</v>
          </cell>
          <cell r="AG1275">
            <v>20.469360058004284</v>
          </cell>
          <cell r="AH1275">
            <v>17.881583490985356</v>
          </cell>
          <cell r="AI1275">
            <v>15.547864889645153</v>
          </cell>
          <cell r="AJ1275">
            <v>20.215302092325562</v>
          </cell>
          <cell r="AU1275">
            <v>12.024481051982832</v>
          </cell>
          <cell r="AV1275">
            <v>14.263722316306255</v>
          </cell>
          <cell r="AW1275">
            <v>12.105561258724364</v>
          </cell>
          <cell r="AX1275">
            <v>10.242049449424412</v>
          </cell>
          <cell r="AY1275">
            <v>13.969073068024317</v>
          </cell>
        </row>
        <row r="1276">
          <cell r="A1276">
            <v>41324</v>
          </cell>
          <cell r="AF1276">
            <v>17.446766490489161</v>
          </cell>
          <cell r="AG1276">
            <v>20.469360058004284</v>
          </cell>
          <cell r="AH1276">
            <v>17.881583490985356</v>
          </cell>
          <cell r="AI1276">
            <v>15.547864889645153</v>
          </cell>
          <cell r="AJ1276">
            <v>20.215302092325562</v>
          </cell>
          <cell r="AU1276">
            <v>12.177715097305915</v>
          </cell>
          <cell r="AV1276">
            <v>14.263722316306255</v>
          </cell>
          <cell r="AW1276">
            <v>12.105561258724364</v>
          </cell>
          <cell r="AX1276">
            <v>10.242049449424412</v>
          </cell>
          <cell r="AY1276">
            <v>13.969073068024317</v>
          </cell>
        </row>
        <row r="1277">
          <cell r="A1277">
            <v>41325</v>
          </cell>
          <cell r="AF1277">
            <v>17.354618077325394</v>
          </cell>
          <cell r="AG1277">
            <v>20.469360058004284</v>
          </cell>
          <cell r="AH1277">
            <v>17.881583490985356</v>
          </cell>
          <cell r="AI1277">
            <v>15.547864889645153</v>
          </cell>
          <cell r="AJ1277">
            <v>20.215302092325562</v>
          </cell>
          <cell r="AU1277">
            <v>11.918517999745234</v>
          </cell>
          <cell r="AV1277">
            <v>14.263722316306255</v>
          </cell>
          <cell r="AW1277">
            <v>12.105561258724364</v>
          </cell>
          <cell r="AX1277">
            <v>10.242049449424412</v>
          </cell>
          <cell r="AY1277">
            <v>13.969073068024317</v>
          </cell>
        </row>
        <row r="1278">
          <cell r="A1278">
            <v>41326</v>
          </cell>
          <cell r="AF1278">
            <v>16.695787725168568</v>
          </cell>
          <cell r="AG1278">
            <v>20.469360058004284</v>
          </cell>
          <cell r="AH1278">
            <v>17.881583490985356</v>
          </cell>
          <cell r="AI1278">
            <v>15.547864889645153</v>
          </cell>
          <cell r="AJ1278">
            <v>20.215302092325562</v>
          </cell>
          <cell r="AU1278">
            <v>11.669943515304974</v>
          </cell>
          <cell r="AV1278">
            <v>14.263722316306255</v>
          </cell>
          <cell r="AW1278">
            <v>12.105561258724364</v>
          </cell>
          <cell r="AX1278">
            <v>10.242049449424412</v>
          </cell>
          <cell r="AY1278">
            <v>13.969073068024317</v>
          </cell>
        </row>
        <row r="1279">
          <cell r="A1279">
            <v>41327</v>
          </cell>
          <cell r="AF1279">
            <v>16.908521711682734</v>
          </cell>
          <cell r="AG1279">
            <v>20.469360058004284</v>
          </cell>
          <cell r="AH1279">
            <v>17.881583490985356</v>
          </cell>
          <cell r="AI1279">
            <v>15.547864889645153</v>
          </cell>
          <cell r="AJ1279">
            <v>20.215302092325562</v>
          </cell>
          <cell r="AU1279">
            <v>11.876607126620632</v>
          </cell>
          <cell r="AV1279">
            <v>14.263722316306255</v>
          </cell>
          <cell r="AW1279">
            <v>12.105561258724364</v>
          </cell>
          <cell r="AX1279">
            <v>10.242049449424412</v>
          </cell>
          <cell r="AY1279">
            <v>13.969073068024317</v>
          </cell>
        </row>
        <row r="1280">
          <cell r="A1280">
            <v>41330</v>
          </cell>
          <cell r="AF1280">
            <v>16.580678052305696</v>
          </cell>
          <cell r="AG1280">
            <v>20.469360058004284</v>
          </cell>
          <cell r="AH1280">
            <v>17.881583490985356</v>
          </cell>
          <cell r="AI1280">
            <v>15.547864889645153</v>
          </cell>
          <cell r="AJ1280">
            <v>20.215302092325562</v>
          </cell>
          <cell r="AU1280">
            <v>11.666529332545752</v>
          </cell>
          <cell r="AV1280">
            <v>14.263722316306255</v>
          </cell>
          <cell r="AW1280">
            <v>12.105561258724364</v>
          </cell>
          <cell r="AX1280">
            <v>10.242049449424412</v>
          </cell>
          <cell r="AY1280">
            <v>13.969073068024317</v>
          </cell>
        </row>
        <row r="1281">
          <cell r="A1281">
            <v>41331</v>
          </cell>
          <cell r="AF1281">
            <v>16.588795526544637</v>
          </cell>
          <cell r="AG1281">
            <v>20.469360058004284</v>
          </cell>
          <cell r="AH1281">
            <v>17.881583490985356</v>
          </cell>
          <cell r="AI1281">
            <v>15.547864889645153</v>
          </cell>
          <cell r="AJ1281">
            <v>20.215302092325562</v>
          </cell>
          <cell r="AU1281">
            <v>11.671097089949912</v>
          </cell>
          <cell r="AV1281">
            <v>14.263722316306255</v>
          </cell>
          <cell r="AW1281">
            <v>12.105561258724364</v>
          </cell>
          <cell r="AX1281">
            <v>10.242049449424412</v>
          </cell>
          <cell r="AY1281">
            <v>13.969073068024317</v>
          </cell>
        </row>
        <row r="1282">
          <cell r="A1282">
            <v>41332</v>
          </cell>
          <cell r="AF1282">
            <v>16.759227587402716</v>
          </cell>
          <cell r="AG1282">
            <v>20.469360058004284</v>
          </cell>
          <cell r="AH1282">
            <v>17.881583490985356</v>
          </cell>
          <cell r="AI1282">
            <v>15.547864889645153</v>
          </cell>
          <cell r="AJ1282">
            <v>20.215302092325562</v>
          </cell>
          <cell r="AU1282">
            <v>11.767000358007929</v>
          </cell>
          <cell r="AV1282">
            <v>14.263722316306255</v>
          </cell>
          <cell r="AW1282">
            <v>12.105561258724364</v>
          </cell>
          <cell r="AX1282">
            <v>10.242049449424412</v>
          </cell>
          <cell r="AY1282">
            <v>13.969073068024317</v>
          </cell>
        </row>
        <row r="1283">
          <cell r="A1283">
            <v>41333</v>
          </cell>
          <cell r="AF1283">
            <v>16.766243665097861</v>
          </cell>
          <cell r="AG1283">
            <v>20.469360058004284</v>
          </cell>
          <cell r="AH1283">
            <v>17.881583490985356</v>
          </cell>
          <cell r="AI1283">
            <v>15.547864889645153</v>
          </cell>
          <cell r="AJ1283">
            <v>20.215302092325562</v>
          </cell>
          <cell r="AU1283">
            <v>11.79440393398427</v>
          </cell>
          <cell r="AV1283">
            <v>14.263722316306255</v>
          </cell>
          <cell r="AW1283">
            <v>12.105561258724364</v>
          </cell>
          <cell r="AX1283">
            <v>10.242049449424412</v>
          </cell>
          <cell r="AY1283">
            <v>13.969073068024317</v>
          </cell>
        </row>
        <row r="1284">
          <cell r="A1284">
            <v>41334</v>
          </cell>
          <cell r="AF1284">
            <v>16.514695715847651</v>
          </cell>
          <cell r="AG1284">
            <v>20.469360058004284</v>
          </cell>
          <cell r="AH1284">
            <v>17.881583490985356</v>
          </cell>
          <cell r="AI1284">
            <v>15.547864889645153</v>
          </cell>
          <cell r="AJ1284">
            <v>20.215302092325562</v>
          </cell>
          <cell r="AU1284">
            <v>11.667548132374259</v>
          </cell>
          <cell r="AV1284">
            <v>14.263722316306255</v>
          </cell>
          <cell r="AW1284">
            <v>12.105561258724364</v>
          </cell>
          <cell r="AX1284">
            <v>10.242049449424412</v>
          </cell>
          <cell r="AY1284">
            <v>13.969073068024317</v>
          </cell>
        </row>
        <row r="1285">
          <cell r="A1285">
            <v>41337</v>
          </cell>
          <cell r="AF1285">
            <v>16.566857853610582</v>
          </cell>
          <cell r="AG1285">
            <v>20.469360058004284</v>
          </cell>
          <cell r="AH1285">
            <v>17.881583490985356</v>
          </cell>
          <cell r="AI1285">
            <v>15.547864889645153</v>
          </cell>
          <cell r="AJ1285">
            <v>20.215302092325562</v>
          </cell>
          <cell r="AU1285">
            <v>11.697063047444363</v>
          </cell>
          <cell r="AV1285">
            <v>14.263722316306255</v>
          </cell>
          <cell r="AW1285">
            <v>12.105561258724364</v>
          </cell>
          <cell r="AX1285">
            <v>10.242049449424412</v>
          </cell>
          <cell r="AY1285">
            <v>13.969073068024317</v>
          </cell>
        </row>
        <row r="1286">
          <cell r="A1286">
            <v>41338</v>
          </cell>
          <cell r="AF1286">
            <v>16.855745137572349</v>
          </cell>
          <cell r="AG1286">
            <v>20.469360058004284</v>
          </cell>
          <cell r="AH1286">
            <v>17.881583490985356</v>
          </cell>
          <cell r="AI1286">
            <v>15.547864889645153</v>
          </cell>
          <cell r="AJ1286">
            <v>20.215302092325562</v>
          </cell>
          <cell r="AU1286">
            <v>11.860524209441142</v>
          </cell>
          <cell r="AV1286">
            <v>14.263722316306255</v>
          </cell>
          <cell r="AW1286">
            <v>12.105561258724364</v>
          </cell>
          <cell r="AX1286">
            <v>10.242049449424412</v>
          </cell>
          <cell r="AY1286">
            <v>13.969073068024317</v>
          </cell>
        </row>
        <row r="1287">
          <cell r="A1287">
            <v>41339</v>
          </cell>
          <cell r="AF1287">
            <v>16.96808963518</v>
          </cell>
          <cell r="AG1287">
            <v>20.469360058004284</v>
          </cell>
          <cell r="AH1287">
            <v>17.881583490985356</v>
          </cell>
          <cell r="AI1287">
            <v>15.547864889645153</v>
          </cell>
          <cell r="AJ1287">
            <v>20.215302092325562</v>
          </cell>
          <cell r="AU1287">
            <v>11.924092123788391</v>
          </cell>
          <cell r="AV1287">
            <v>14.263722316306255</v>
          </cell>
          <cell r="AW1287">
            <v>12.105561258724364</v>
          </cell>
          <cell r="AX1287">
            <v>10.242049449424412</v>
          </cell>
          <cell r="AY1287">
            <v>13.969073068024317</v>
          </cell>
        </row>
        <row r="1288">
          <cell r="A1288">
            <v>41340</v>
          </cell>
          <cell r="AF1288">
            <v>17.068397580572356</v>
          </cell>
          <cell r="AG1288">
            <v>20.469360058004284</v>
          </cell>
          <cell r="AH1288">
            <v>17.881583490985356</v>
          </cell>
          <cell r="AI1288">
            <v>15.547864889645153</v>
          </cell>
          <cell r="AJ1288">
            <v>20.215302092325562</v>
          </cell>
          <cell r="AU1288">
            <v>11.980849392874399</v>
          </cell>
          <cell r="AV1288">
            <v>14.263722316306255</v>
          </cell>
          <cell r="AW1288">
            <v>12.105561258724364</v>
          </cell>
          <cell r="AX1288">
            <v>10.242049449424412</v>
          </cell>
          <cell r="AY1288">
            <v>13.969073068024317</v>
          </cell>
        </row>
        <row r="1289">
          <cell r="A1289">
            <v>41341</v>
          </cell>
          <cell r="AF1289">
            <v>17.148642733190897</v>
          </cell>
          <cell r="AG1289">
            <v>20.469360058004284</v>
          </cell>
          <cell r="AH1289">
            <v>17.881583490985356</v>
          </cell>
          <cell r="AI1289">
            <v>15.547864889645153</v>
          </cell>
          <cell r="AJ1289">
            <v>20.215302092325562</v>
          </cell>
          <cell r="AU1289">
            <v>12.026254527055976</v>
          </cell>
          <cell r="AV1289">
            <v>14.263722316306255</v>
          </cell>
          <cell r="AW1289">
            <v>12.105561258724364</v>
          </cell>
          <cell r="AX1289">
            <v>10.242049449424412</v>
          </cell>
          <cell r="AY1289">
            <v>13.969073068024317</v>
          </cell>
        </row>
        <row r="1290">
          <cell r="A1290">
            <v>41344</v>
          </cell>
          <cell r="AF1290">
            <v>17.200256438811351</v>
          </cell>
          <cell r="AG1290">
            <v>20.469360058004284</v>
          </cell>
          <cell r="AH1290">
            <v>17.881583490985356</v>
          </cell>
          <cell r="AI1290">
            <v>15.547864889645153</v>
          </cell>
          <cell r="AJ1290">
            <v>20.215302092325562</v>
          </cell>
          <cell r="AU1290">
            <v>12.053496881071876</v>
          </cell>
          <cell r="AV1290">
            <v>14.263722316306255</v>
          </cell>
          <cell r="AW1290">
            <v>12.105561258724364</v>
          </cell>
          <cell r="AX1290">
            <v>10.242049449424412</v>
          </cell>
          <cell r="AY1290">
            <v>13.969073068024317</v>
          </cell>
        </row>
        <row r="1291">
          <cell r="A1291">
            <v>41345</v>
          </cell>
          <cell r="AF1291">
            <v>17.156117660868702</v>
          </cell>
          <cell r="AG1291">
            <v>20.469360058004284</v>
          </cell>
          <cell r="AH1291">
            <v>17.881583490985356</v>
          </cell>
          <cell r="AI1291">
            <v>15.547864889645153</v>
          </cell>
          <cell r="AJ1291">
            <v>20.215302092325562</v>
          </cell>
          <cell r="AU1291">
            <v>12.028526861081103</v>
          </cell>
          <cell r="AV1291">
            <v>14.263722316306255</v>
          </cell>
          <cell r="AW1291">
            <v>12.105561258724364</v>
          </cell>
          <cell r="AX1291">
            <v>10.242049449424412</v>
          </cell>
          <cell r="AY1291">
            <v>13.969073068024317</v>
          </cell>
        </row>
        <row r="1292">
          <cell r="A1292">
            <v>41346</v>
          </cell>
          <cell r="AF1292">
            <v>17.05177274866087</v>
          </cell>
          <cell r="AG1292">
            <v>20.469360058004284</v>
          </cell>
          <cell r="AH1292">
            <v>17.881583490985356</v>
          </cell>
          <cell r="AI1292">
            <v>15.547864889645153</v>
          </cell>
          <cell r="AJ1292">
            <v>20.215302092325562</v>
          </cell>
          <cell r="AU1292">
            <v>11.969497257969969</v>
          </cell>
          <cell r="AV1292">
            <v>14.263722316306255</v>
          </cell>
          <cell r="AW1292">
            <v>12.105561258724364</v>
          </cell>
          <cell r="AX1292">
            <v>10.242049449424412</v>
          </cell>
          <cell r="AY1292">
            <v>13.969073068024317</v>
          </cell>
        </row>
        <row r="1293">
          <cell r="A1293">
            <v>41347</v>
          </cell>
          <cell r="AF1293">
            <v>17.103945405421133</v>
          </cell>
          <cell r="AG1293">
            <v>20.469360058004284</v>
          </cell>
          <cell r="AH1293">
            <v>17.881583490985356</v>
          </cell>
          <cell r="AI1293">
            <v>15.547864889645153</v>
          </cell>
          <cell r="AJ1293">
            <v>20.215302092325562</v>
          </cell>
          <cell r="AU1293">
            <v>11.999012173040073</v>
          </cell>
          <cell r="AV1293">
            <v>14.263722316306255</v>
          </cell>
          <cell r="AW1293">
            <v>12.105561258724364</v>
          </cell>
          <cell r="AX1293">
            <v>10.242049449424412</v>
          </cell>
          <cell r="AY1293">
            <v>13.969073068024317</v>
          </cell>
        </row>
        <row r="1294">
          <cell r="A1294">
            <v>41348</v>
          </cell>
          <cell r="AF1294">
            <v>16.987561112398655</v>
          </cell>
          <cell r="AG1294">
            <v>20.469360058004284</v>
          </cell>
          <cell r="AH1294">
            <v>17.881583490985356</v>
          </cell>
          <cell r="AI1294">
            <v>15.547864889645153</v>
          </cell>
          <cell r="AJ1294">
            <v>20.215302092325562</v>
          </cell>
          <cell r="AU1294">
            <v>11.933171697638619</v>
          </cell>
          <cell r="AV1294">
            <v>14.263722316306255</v>
          </cell>
          <cell r="AW1294">
            <v>12.105561258724364</v>
          </cell>
          <cell r="AX1294">
            <v>10.242049449424412</v>
          </cell>
          <cell r="AY1294">
            <v>13.969073068024317</v>
          </cell>
        </row>
        <row r="1295">
          <cell r="A1295">
            <v>41351</v>
          </cell>
          <cell r="AF1295">
            <v>16.722699550228796</v>
          </cell>
          <cell r="AG1295">
            <v>20.469360058004284</v>
          </cell>
          <cell r="AH1295">
            <v>17.881583490985356</v>
          </cell>
          <cell r="AI1295">
            <v>15.547864889645153</v>
          </cell>
          <cell r="AJ1295">
            <v>20.215302092325562</v>
          </cell>
          <cell r="AU1295">
            <v>11.783335231600475</v>
          </cell>
          <cell r="AV1295">
            <v>14.263722316306255</v>
          </cell>
          <cell r="AW1295">
            <v>12.105561258724364</v>
          </cell>
          <cell r="AX1295">
            <v>10.242049449424412</v>
          </cell>
          <cell r="AY1295">
            <v>13.969073068024317</v>
          </cell>
        </row>
        <row r="1296">
          <cell r="A1296">
            <v>41352</v>
          </cell>
          <cell r="AF1296">
            <v>16.828835841567262</v>
          </cell>
          <cell r="AG1296">
            <v>20.469360058004284</v>
          </cell>
          <cell r="AH1296">
            <v>17.881583490985356</v>
          </cell>
          <cell r="AI1296">
            <v>15.547864889645153</v>
          </cell>
          <cell r="AJ1296">
            <v>20.215302092325562</v>
          </cell>
          <cell r="AU1296">
            <v>11.846851756028228</v>
          </cell>
          <cell r="AV1296">
            <v>14.263722316306255</v>
          </cell>
          <cell r="AW1296">
            <v>12.105561258724364</v>
          </cell>
          <cell r="AX1296">
            <v>10.242049449424412</v>
          </cell>
          <cell r="AY1296">
            <v>13.969073068024317</v>
          </cell>
        </row>
        <row r="1297">
          <cell r="A1297">
            <v>41353</v>
          </cell>
          <cell r="AF1297">
            <v>17.017518328758459</v>
          </cell>
          <cell r="AG1297">
            <v>20.469360058004284</v>
          </cell>
          <cell r="AH1297">
            <v>17.881583490985356</v>
          </cell>
          <cell r="AI1297">
            <v>15.547864889645153</v>
          </cell>
          <cell r="AJ1297">
            <v>20.215302092325562</v>
          </cell>
          <cell r="AU1297">
            <v>11.953616563907195</v>
          </cell>
          <cell r="AV1297">
            <v>14.263722316306255</v>
          </cell>
          <cell r="AW1297">
            <v>12.105561258724364</v>
          </cell>
          <cell r="AX1297">
            <v>10.242049449424412</v>
          </cell>
          <cell r="AY1297">
            <v>13.969073068024317</v>
          </cell>
        </row>
        <row r="1298">
          <cell r="A1298">
            <v>41354</v>
          </cell>
          <cell r="AF1298">
            <v>16.688325496670462</v>
          </cell>
          <cell r="AG1298">
            <v>20.469360058004284</v>
          </cell>
          <cell r="AH1298">
            <v>17.881583490985356</v>
          </cell>
          <cell r="AI1298">
            <v>15.547864889645153</v>
          </cell>
          <cell r="AJ1298">
            <v>20.215302092325562</v>
          </cell>
          <cell r="AU1298">
            <v>11.76734485424188</v>
          </cell>
          <cell r="AV1298">
            <v>14.263722316306255</v>
          </cell>
          <cell r="AW1298">
            <v>12.105561258724364</v>
          </cell>
          <cell r="AX1298">
            <v>10.242049449424412</v>
          </cell>
          <cell r="AY1298">
            <v>13.969073068024317</v>
          </cell>
        </row>
        <row r="1299">
          <cell r="A1299">
            <v>41355</v>
          </cell>
          <cell r="AF1299">
            <v>16.864964847925251</v>
          </cell>
          <cell r="AG1299">
            <v>20.469360058004284</v>
          </cell>
          <cell r="AH1299">
            <v>17.881583490985356</v>
          </cell>
          <cell r="AI1299">
            <v>15.547864889645153</v>
          </cell>
          <cell r="AJ1299">
            <v>20.215302092325562</v>
          </cell>
          <cell r="AU1299">
            <v>11.867295128808022</v>
          </cell>
          <cell r="AV1299">
            <v>14.263722316306255</v>
          </cell>
          <cell r="AW1299">
            <v>12.105561258724364</v>
          </cell>
          <cell r="AX1299">
            <v>10.242049449424412</v>
          </cell>
          <cell r="AY1299">
            <v>13.969073068024317</v>
          </cell>
        </row>
        <row r="1300">
          <cell r="A1300">
            <v>41358</v>
          </cell>
          <cell r="AF1300">
            <v>16.72847303000346</v>
          </cell>
          <cell r="AG1300">
            <v>20.469360058004284</v>
          </cell>
          <cell r="AH1300">
            <v>17.881583490985356</v>
          </cell>
          <cell r="AI1300">
            <v>15.547864889645153</v>
          </cell>
          <cell r="AJ1300">
            <v>20.215302092325562</v>
          </cell>
          <cell r="AU1300">
            <v>11.806992348389507</v>
          </cell>
          <cell r="AV1300">
            <v>14.263722316306255</v>
          </cell>
          <cell r="AW1300">
            <v>12.105561258724364</v>
          </cell>
          <cell r="AX1300">
            <v>10.242049449424412</v>
          </cell>
          <cell r="AY1300">
            <v>13.969073068024317</v>
          </cell>
        </row>
        <row r="1301">
          <cell r="A1301">
            <v>41359</v>
          </cell>
          <cell r="AF1301">
            <v>16.822020389174888</v>
          </cell>
          <cell r="AG1301">
            <v>20.469360058004284</v>
          </cell>
          <cell r="AH1301">
            <v>17.881583490985356</v>
          </cell>
          <cell r="AI1301">
            <v>15.547864889645153</v>
          </cell>
          <cell r="AJ1301">
            <v>20.215302092325562</v>
          </cell>
          <cell r="AU1301">
            <v>11.859552747809941</v>
          </cell>
          <cell r="AV1301">
            <v>14.263722316306255</v>
          </cell>
          <cell r="AW1301">
            <v>12.105561258724364</v>
          </cell>
          <cell r="AX1301">
            <v>10.242049449424412</v>
          </cell>
          <cell r="AY1301">
            <v>13.969073068024317</v>
          </cell>
        </row>
        <row r="1302">
          <cell r="A1302">
            <v>41360</v>
          </cell>
          <cell r="AF1302">
            <v>16.765813554575722</v>
          </cell>
          <cell r="AG1302">
            <v>20.469360058004284</v>
          </cell>
          <cell r="AH1302">
            <v>17.881583490985356</v>
          </cell>
          <cell r="AI1302">
            <v>15.547864889645153</v>
          </cell>
          <cell r="AJ1302">
            <v>20.215302092325562</v>
          </cell>
          <cell r="AU1302">
            <v>11.827693283420835</v>
          </cell>
          <cell r="AV1302">
            <v>14.263722316306255</v>
          </cell>
          <cell r="AW1302">
            <v>12.105561258724364</v>
          </cell>
          <cell r="AX1302">
            <v>10.242049449424412</v>
          </cell>
          <cell r="AY1302">
            <v>13.969073068024317</v>
          </cell>
        </row>
        <row r="1303">
          <cell r="A1303">
            <v>41361</v>
          </cell>
          <cell r="AF1303">
            <v>17.03881731945684</v>
          </cell>
          <cell r="AG1303">
            <v>20.469360058004284</v>
          </cell>
          <cell r="AH1303">
            <v>17.881583490985356</v>
          </cell>
          <cell r="AI1303">
            <v>15.547864889645153</v>
          </cell>
          <cell r="AJ1303">
            <v>20.215302092325562</v>
          </cell>
          <cell r="AU1303">
            <v>11.982438765662428</v>
          </cell>
          <cell r="AV1303">
            <v>14.263722316306255</v>
          </cell>
          <cell r="AW1303">
            <v>12.105561258724364</v>
          </cell>
          <cell r="AX1303">
            <v>10.242049449424412</v>
          </cell>
          <cell r="AY1303">
            <v>13.969073068024317</v>
          </cell>
        </row>
        <row r="1304">
          <cell r="A1304">
            <v>41362</v>
          </cell>
          <cell r="AF1304">
            <v>17.03881731945684</v>
          </cell>
          <cell r="AG1304">
            <v>20.469360058004284</v>
          </cell>
          <cell r="AH1304">
            <v>17.881583490985356</v>
          </cell>
          <cell r="AI1304">
            <v>15.547864889645153</v>
          </cell>
          <cell r="AJ1304">
            <v>20.215302092325562</v>
          </cell>
          <cell r="AU1304">
            <v>11.982438765662428</v>
          </cell>
          <cell r="AV1304">
            <v>14.263722316306255</v>
          </cell>
          <cell r="AW1304">
            <v>12.105561258724364</v>
          </cell>
          <cell r="AX1304">
            <v>10.242049449424412</v>
          </cell>
          <cell r="AY1304">
            <v>13.969073068024317</v>
          </cell>
        </row>
        <row r="1305">
          <cell r="A1305">
            <v>41365</v>
          </cell>
          <cell r="AF1305">
            <v>16.759526387011146</v>
          </cell>
          <cell r="AG1305">
            <v>20.469360058004284</v>
          </cell>
          <cell r="AH1305">
            <v>17.881583490985356</v>
          </cell>
          <cell r="AI1305">
            <v>15.547864889645153</v>
          </cell>
          <cell r="AJ1305">
            <v>20.215302092325562</v>
          </cell>
          <cell r="AU1305">
            <v>11.839383564983848</v>
          </cell>
          <cell r="AV1305">
            <v>14.263722316306255</v>
          </cell>
          <cell r="AW1305">
            <v>12.105561258724364</v>
          </cell>
          <cell r="AX1305">
            <v>10.242049449424412</v>
          </cell>
          <cell r="AY1305">
            <v>13.969073068024317</v>
          </cell>
        </row>
        <row r="1306">
          <cell r="A1306">
            <v>41366</v>
          </cell>
          <cell r="AF1306">
            <v>16.564513253205508</v>
          </cell>
          <cell r="AG1306">
            <v>20.469360058004284</v>
          </cell>
          <cell r="AH1306">
            <v>17.881583490985356</v>
          </cell>
          <cell r="AI1306">
            <v>15.547864889645153</v>
          </cell>
          <cell r="AJ1306">
            <v>20.215302092325562</v>
          </cell>
          <cell r="AU1306">
            <v>11.728513303247865</v>
          </cell>
          <cell r="AV1306">
            <v>14.263722316306255</v>
          </cell>
          <cell r="AW1306">
            <v>12.105561258724364</v>
          </cell>
          <cell r="AX1306">
            <v>10.242049449424412</v>
          </cell>
          <cell r="AY1306">
            <v>13.969073068024317</v>
          </cell>
        </row>
        <row r="1307">
          <cell r="A1307">
            <v>41367</v>
          </cell>
          <cell r="AF1307">
            <v>16.266017670940094</v>
          </cell>
          <cell r="AG1307">
            <v>20.469360058004284</v>
          </cell>
          <cell r="AH1307">
            <v>17.881583490985356</v>
          </cell>
          <cell r="AI1307">
            <v>15.547864889645153</v>
          </cell>
          <cell r="AJ1307">
            <v>20.215302092325562</v>
          </cell>
          <cell r="AU1307">
            <v>11.558810459716391</v>
          </cell>
          <cell r="AV1307">
            <v>14.263722316306255</v>
          </cell>
          <cell r="AW1307">
            <v>12.105561258724364</v>
          </cell>
          <cell r="AX1307">
            <v>10.242049449424412</v>
          </cell>
          <cell r="AY1307">
            <v>13.969073068024317</v>
          </cell>
        </row>
        <row r="1308">
          <cell r="A1308">
            <v>41368</v>
          </cell>
          <cell r="AF1308">
            <v>16.409295550427494</v>
          </cell>
          <cell r="AG1308">
            <v>20.469360058004284</v>
          </cell>
          <cell r="AH1308">
            <v>17.881583490985356</v>
          </cell>
          <cell r="AI1308">
            <v>15.547864889645153</v>
          </cell>
          <cell r="AJ1308">
            <v>20.215302092325562</v>
          </cell>
          <cell r="AU1308">
            <v>11.640267824611499</v>
          </cell>
          <cell r="AV1308">
            <v>14.263722316306255</v>
          </cell>
          <cell r="AW1308">
            <v>12.105561258724364</v>
          </cell>
          <cell r="AX1308">
            <v>10.242049449424412</v>
          </cell>
          <cell r="AY1308">
            <v>13.969073068024317</v>
          </cell>
        </row>
        <row r="1309">
          <cell r="A1309">
            <v>41369</v>
          </cell>
          <cell r="AF1309">
            <v>16.210298495583885</v>
          </cell>
          <cell r="AG1309">
            <v>20.469360058004284</v>
          </cell>
          <cell r="AH1309">
            <v>17.881583490985356</v>
          </cell>
          <cell r="AI1309">
            <v>15.547864889645153</v>
          </cell>
          <cell r="AJ1309">
            <v>20.215302092325562</v>
          </cell>
          <cell r="AU1309">
            <v>11.527132595590517</v>
          </cell>
          <cell r="AV1309">
            <v>14.263722316306255</v>
          </cell>
          <cell r="AW1309">
            <v>12.105561258724364</v>
          </cell>
          <cell r="AX1309">
            <v>10.242049449424412</v>
          </cell>
          <cell r="AY1309">
            <v>13.969073068024317</v>
          </cell>
        </row>
        <row r="1310">
          <cell r="A1310">
            <v>41372</v>
          </cell>
          <cell r="AF1310">
            <v>16.379924332936724</v>
          </cell>
          <cell r="AG1310">
            <v>20.469360058004284</v>
          </cell>
          <cell r="AH1310">
            <v>17.881583490985356</v>
          </cell>
          <cell r="AI1310">
            <v>15.547864889645153</v>
          </cell>
          <cell r="AJ1310">
            <v>20.215302092325562</v>
          </cell>
          <cell r="AU1310">
            <v>11.617639421184554</v>
          </cell>
          <cell r="AV1310">
            <v>14.263722316306255</v>
          </cell>
          <cell r="AW1310">
            <v>12.105561258724364</v>
          </cell>
          <cell r="AX1310">
            <v>10.242049449424412</v>
          </cell>
          <cell r="AY1310">
            <v>13.969073068024317</v>
          </cell>
        </row>
        <row r="1311">
          <cell r="A1311">
            <v>41373</v>
          </cell>
          <cell r="AF1311">
            <v>16.447625647154172</v>
          </cell>
          <cell r="AG1311">
            <v>20.469360058004284</v>
          </cell>
          <cell r="AH1311">
            <v>17.881583490985356</v>
          </cell>
          <cell r="AI1311">
            <v>15.547864889645153</v>
          </cell>
          <cell r="AJ1311">
            <v>20.215302092325562</v>
          </cell>
          <cell r="AU1311">
            <v>11.656104946510771</v>
          </cell>
          <cell r="AV1311">
            <v>14.263722316306255</v>
          </cell>
          <cell r="AW1311">
            <v>12.105561258724364</v>
          </cell>
          <cell r="AX1311">
            <v>10.242049449424412</v>
          </cell>
          <cell r="AY1311">
            <v>13.969073068024317</v>
          </cell>
        </row>
        <row r="1312">
          <cell r="A1312">
            <v>41374</v>
          </cell>
          <cell r="AF1312">
            <v>16.674630027879008</v>
          </cell>
          <cell r="AG1312">
            <v>20.469360058004284</v>
          </cell>
          <cell r="AH1312">
            <v>17.881583490985356</v>
          </cell>
          <cell r="AI1312">
            <v>15.547864889645153</v>
          </cell>
          <cell r="AJ1312">
            <v>20.215302092325562</v>
          </cell>
          <cell r="AU1312">
            <v>11.785080917758355</v>
          </cell>
          <cell r="AV1312">
            <v>14.263722316306255</v>
          </cell>
          <cell r="AW1312">
            <v>12.105561258724364</v>
          </cell>
          <cell r="AX1312">
            <v>10.242049449424412</v>
          </cell>
          <cell r="AY1312">
            <v>13.969073068024317</v>
          </cell>
        </row>
        <row r="1313">
          <cell r="A1313">
            <v>41375</v>
          </cell>
          <cell r="AF1313">
            <v>16.814012743928405</v>
          </cell>
          <cell r="AG1313">
            <v>20.469360058004284</v>
          </cell>
          <cell r="AH1313">
            <v>17.881583490985356</v>
          </cell>
          <cell r="AI1313">
            <v>15.547864889645153</v>
          </cell>
          <cell r="AJ1313">
            <v>20.215302092325562</v>
          </cell>
          <cell r="AU1313">
            <v>11.864273315368461</v>
          </cell>
          <cell r="AV1313">
            <v>14.263722316306255</v>
          </cell>
          <cell r="AW1313">
            <v>12.105561258724364</v>
          </cell>
          <cell r="AX1313">
            <v>10.242049449424412</v>
          </cell>
          <cell r="AY1313">
            <v>13.969073068024317</v>
          </cell>
        </row>
        <row r="1314">
          <cell r="A1314">
            <v>41376</v>
          </cell>
          <cell r="AF1314">
            <v>16.74233134209646</v>
          </cell>
          <cell r="AG1314">
            <v>20.469360058004284</v>
          </cell>
          <cell r="AH1314">
            <v>17.881583490985356</v>
          </cell>
          <cell r="AI1314">
            <v>15.547864889645153</v>
          </cell>
          <cell r="AJ1314">
            <v>20.215302092325562</v>
          </cell>
          <cell r="AU1314">
            <v>11.823546443084574</v>
          </cell>
          <cell r="AV1314">
            <v>14.263722316306255</v>
          </cell>
          <cell r="AW1314">
            <v>12.105561258724364</v>
          </cell>
          <cell r="AX1314">
            <v>10.242049449424412</v>
          </cell>
          <cell r="AY1314">
            <v>13.969073068024317</v>
          </cell>
        </row>
        <row r="1315">
          <cell r="A1315">
            <v>41379</v>
          </cell>
          <cell r="AF1315">
            <v>16.38176727463793</v>
          </cell>
          <cell r="AG1315">
            <v>20.469360058004284</v>
          </cell>
          <cell r="AH1315">
            <v>17.881583490985356</v>
          </cell>
          <cell r="AI1315">
            <v>15.547864889645153</v>
          </cell>
          <cell r="AJ1315">
            <v>20.215302092325562</v>
          </cell>
          <cell r="AU1315">
            <v>11.631215196126156</v>
          </cell>
          <cell r="AV1315">
            <v>14.263722316306255</v>
          </cell>
          <cell r="AW1315">
            <v>12.105561258724364</v>
          </cell>
          <cell r="AX1315">
            <v>10.242049449424412</v>
          </cell>
          <cell r="AY1315">
            <v>13.969073068024317</v>
          </cell>
        </row>
        <row r="1316">
          <cell r="A1316">
            <v>41380</v>
          </cell>
          <cell r="AF1316">
            <v>16.791410208482496</v>
          </cell>
          <cell r="AG1316">
            <v>20.469360058004284</v>
          </cell>
          <cell r="AH1316">
            <v>17.881583490985356</v>
          </cell>
          <cell r="AI1316">
            <v>15.547864889645153</v>
          </cell>
          <cell r="AJ1316">
            <v>20.215302092325562</v>
          </cell>
          <cell r="AU1316">
            <v>11.864273315368461</v>
          </cell>
          <cell r="AV1316">
            <v>14.263722316306255</v>
          </cell>
          <cell r="AW1316">
            <v>12.105561258724364</v>
          </cell>
          <cell r="AX1316">
            <v>10.242049449424412</v>
          </cell>
          <cell r="AY1316">
            <v>13.969073068024317</v>
          </cell>
        </row>
        <row r="1317">
          <cell r="A1317">
            <v>41381</v>
          </cell>
          <cell r="AF1317">
            <v>16.477220229243052</v>
          </cell>
          <cell r="AG1317">
            <v>20.469360058004284</v>
          </cell>
          <cell r="AH1317">
            <v>17.881583490985356</v>
          </cell>
          <cell r="AI1317">
            <v>15.547864889645153</v>
          </cell>
          <cell r="AJ1317">
            <v>20.215302092325562</v>
          </cell>
          <cell r="AU1317">
            <v>11.685521237408517</v>
          </cell>
          <cell r="AV1317">
            <v>14.263722316306255</v>
          </cell>
          <cell r="AW1317">
            <v>12.105561258724364</v>
          </cell>
          <cell r="AX1317">
            <v>10.242049449424412</v>
          </cell>
          <cell r="AY1317">
            <v>13.969073068024317</v>
          </cell>
        </row>
        <row r="1318">
          <cell r="A1318">
            <v>41382</v>
          </cell>
          <cell r="AF1318">
            <v>16.250521400903637</v>
          </cell>
          <cell r="AG1318">
            <v>20.469360058004284</v>
          </cell>
          <cell r="AH1318">
            <v>17.881583490985356</v>
          </cell>
          <cell r="AI1318">
            <v>15.547864889645153</v>
          </cell>
          <cell r="AJ1318">
            <v>20.215302092325562</v>
          </cell>
          <cell r="AU1318">
            <v>11.556545492431392</v>
          </cell>
          <cell r="AV1318">
            <v>14.263722316306255</v>
          </cell>
          <cell r="AW1318">
            <v>12.105561258724364</v>
          </cell>
          <cell r="AX1318">
            <v>10.242049449424412</v>
          </cell>
          <cell r="AY1318">
            <v>13.969073068024317</v>
          </cell>
        </row>
        <row r="1319">
          <cell r="A1319">
            <v>41383</v>
          </cell>
          <cell r="AF1319">
            <v>16.536312646143379</v>
          </cell>
          <cell r="AG1319">
            <v>20.469360058004284</v>
          </cell>
          <cell r="AH1319">
            <v>17.881583490985356</v>
          </cell>
          <cell r="AI1319">
            <v>15.547864889645153</v>
          </cell>
          <cell r="AJ1319">
            <v>20.215302092325562</v>
          </cell>
          <cell r="AU1319">
            <v>11.72104095336284</v>
          </cell>
          <cell r="AV1319">
            <v>14.263722316306255</v>
          </cell>
          <cell r="AW1319">
            <v>12.105561258724364</v>
          </cell>
          <cell r="AX1319">
            <v>10.242049449424412</v>
          </cell>
          <cell r="AY1319">
            <v>13.969073068024317</v>
          </cell>
        </row>
        <row r="1320">
          <cell r="A1320">
            <v>41386</v>
          </cell>
          <cell r="AF1320">
            <v>16.35328040510683</v>
          </cell>
          <cell r="AG1320">
            <v>20.469360058004284</v>
          </cell>
          <cell r="AH1320">
            <v>17.881583490985356</v>
          </cell>
          <cell r="AI1320">
            <v>15.547864889645153</v>
          </cell>
          <cell r="AJ1320">
            <v>20.215302092325562</v>
          </cell>
          <cell r="AU1320">
            <v>11.616900730477104</v>
          </cell>
          <cell r="AV1320">
            <v>14.263722316306255</v>
          </cell>
          <cell r="AW1320">
            <v>12.105561258724364</v>
          </cell>
          <cell r="AX1320">
            <v>10.242049449424412</v>
          </cell>
          <cell r="AY1320">
            <v>13.969073068024317</v>
          </cell>
        </row>
        <row r="1321">
          <cell r="A1321">
            <v>41387</v>
          </cell>
          <cell r="AF1321">
            <v>16.5721211655014</v>
          </cell>
          <cell r="AG1321">
            <v>20.469360058004284</v>
          </cell>
          <cell r="AH1321">
            <v>17.881583490985356</v>
          </cell>
          <cell r="AI1321">
            <v>15.547864889645153</v>
          </cell>
          <cell r="AJ1321">
            <v>20.215302092325562</v>
          </cell>
          <cell r="AU1321">
            <v>11.741588363816296</v>
          </cell>
          <cell r="AV1321">
            <v>14.263722316306255</v>
          </cell>
          <cell r="AW1321">
            <v>12.105561258724364</v>
          </cell>
          <cell r="AX1321">
            <v>10.242049449424412</v>
          </cell>
          <cell r="AY1321">
            <v>13.969073068024317</v>
          </cell>
        </row>
        <row r="1322">
          <cell r="A1322">
            <v>41388</v>
          </cell>
          <cell r="AF1322">
            <v>16.615889476736363</v>
          </cell>
          <cell r="AG1322">
            <v>20.469360058004284</v>
          </cell>
          <cell r="AH1322">
            <v>17.881583490985356</v>
          </cell>
          <cell r="AI1322">
            <v>15.547864889645153</v>
          </cell>
          <cell r="AJ1322">
            <v>20.215302092325562</v>
          </cell>
          <cell r="AU1322">
            <v>11.766491675725742</v>
          </cell>
          <cell r="AV1322">
            <v>14.263722316306255</v>
          </cell>
          <cell r="AW1322">
            <v>12.105561258724364</v>
          </cell>
          <cell r="AX1322">
            <v>10.242049449424412</v>
          </cell>
          <cell r="AY1322">
            <v>13.969073068024317</v>
          </cell>
        </row>
        <row r="1323">
          <cell r="A1323">
            <v>41389</v>
          </cell>
          <cell r="AF1323">
            <v>16.681278699357794</v>
          </cell>
          <cell r="AG1323">
            <v>20.469360058004284</v>
          </cell>
          <cell r="AH1323">
            <v>17.881583490985356</v>
          </cell>
          <cell r="AI1323">
            <v>15.547864889645153</v>
          </cell>
          <cell r="AJ1323">
            <v>20.215302092325562</v>
          </cell>
          <cell r="AU1323">
            <v>11.810451261269003</v>
          </cell>
          <cell r="AV1323">
            <v>14.263722316306255</v>
          </cell>
          <cell r="AW1323">
            <v>12.105561258724364</v>
          </cell>
          <cell r="AX1323">
            <v>10.242049449424412</v>
          </cell>
          <cell r="AY1323">
            <v>13.969073068024317</v>
          </cell>
        </row>
        <row r="1324">
          <cell r="A1324">
            <v>41390</v>
          </cell>
          <cell r="AF1324">
            <v>16.56983172774104</v>
          </cell>
          <cell r="AG1324">
            <v>20.469360058004284</v>
          </cell>
          <cell r="AH1324">
            <v>17.881583490985356</v>
          </cell>
          <cell r="AI1324">
            <v>15.547864889645153</v>
          </cell>
          <cell r="AJ1324">
            <v>20.215302092325562</v>
          </cell>
          <cell r="AU1324">
            <v>11.747008085839525</v>
          </cell>
          <cell r="AV1324">
            <v>14.263722316306255</v>
          </cell>
          <cell r="AW1324">
            <v>12.105561258724364</v>
          </cell>
          <cell r="AX1324">
            <v>10.242049449424412</v>
          </cell>
          <cell r="AY1324">
            <v>13.969073068024317</v>
          </cell>
        </row>
        <row r="1325">
          <cell r="A1325">
            <v>41393</v>
          </cell>
          <cell r="AF1325">
            <v>16.796709516412967</v>
          </cell>
          <cell r="AG1325">
            <v>20.469360058004284</v>
          </cell>
          <cell r="AH1325">
            <v>17.881583490985356</v>
          </cell>
          <cell r="AI1325">
            <v>15.547864889645153</v>
          </cell>
          <cell r="AJ1325">
            <v>20.215302092325562</v>
          </cell>
          <cell r="AU1325">
            <v>11.876162311736868</v>
          </cell>
          <cell r="AV1325">
            <v>14.263722316306255</v>
          </cell>
          <cell r="AW1325">
            <v>12.105561258724364</v>
          </cell>
          <cell r="AX1325">
            <v>10.242049449424412</v>
          </cell>
          <cell r="AY1325">
            <v>13.969073068024317</v>
          </cell>
        </row>
        <row r="1326">
          <cell r="A1326">
            <v>41394</v>
          </cell>
          <cell r="AF1326">
            <v>16.856411076278121</v>
          </cell>
          <cell r="AG1326">
            <v>20.469360058004284</v>
          </cell>
          <cell r="AH1326">
            <v>17.881583490985356</v>
          </cell>
          <cell r="AI1326">
            <v>15.547864889645153</v>
          </cell>
          <cell r="AJ1326">
            <v>20.215302092325562</v>
          </cell>
          <cell r="AU1326">
            <v>11.910148489028106</v>
          </cell>
          <cell r="AV1326">
            <v>14.263722316306255</v>
          </cell>
          <cell r="AW1326">
            <v>12.105561258724364</v>
          </cell>
          <cell r="AX1326">
            <v>10.242049449424412</v>
          </cell>
          <cell r="AY1326">
            <v>13.969073068024317</v>
          </cell>
        </row>
        <row r="1327">
          <cell r="A1327">
            <v>41395</v>
          </cell>
          <cell r="AF1327">
            <v>16.504667048611271</v>
          </cell>
          <cell r="AG1327">
            <v>20.469360058004284</v>
          </cell>
          <cell r="AH1327">
            <v>17.881583490985356</v>
          </cell>
          <cell r="AI1327">
            <v>15.547864889645153</v>
          </cell>
          <cell r="AJ1327">
            <v>20.215302092325562</v>
          </cell>
          <cell r="AU1327">
            <v>11.729210947786932</v>
          </cell>
          <cell r="AV1327">
            <v>14.263722316306255</v>
          </cell>
          <cell r="AW1327">
            <v>12.105561258724364</v>
          </cell>
          <cell r="AX1327">
            <v>10.242049449424412</v>
          </cell>
          <cell r="AY1327">
            <v>13.969073068024317</v>
          </cell>
        </row>
        <row r="1328">
          <cell r="A1328">
            <v>41396</v>
          </cell>
          <cell r="AF1328">
            <v>16.619115607017964</v>
          </cell>
          <cell r="AG1328">
            <v>20.469360058004284</v>
          </cell>
          <cell r="AH1328">
            <v>17.881583490985356</v>
          </cell>
          <cell r="AI1328">
            <v>15.547864889645153</v>
          </cell>
          <cell r="AJ1328">
            <v>20.215302092325562</v>
          </cell>
          <cell r="AU1328">
            <v>11.794579481196493</v>
          </cell>
          <cell r="AV1328">
            <v>14.263722316306255</v>
          </cell>
          <cell r="AW1328">
            <v>12.105561258724364</v>
          </cell>
          <cell r="AX1328">
            <v>10.242049449424412</v>
          </cell>
          <cell r="AY1328">
            <v>13.969073068024317</v>
          </cell>
        </row>
        <row r="1329">
          <cell r="A1329">
            <v>41397</v>
          </cell>
          <cell r="AF1329">
            <v>16.836179641216567</v>
          </cell>
          <cell r="AG1329">
            <v>20.469360058004284</v>
          </cell>
          <cell r="AH1329">
            <v>17.881583490985356</v>
          </cell>
          <cell r="AI1329">
            <v>15.547864889645153</v>
          </cell>
          <cell r="AJ1329">
            <v>20.215302092325562</v>
          </cell>
          <cell r="AU1329">
            <v>11.918557954748819</v>
          </cell>
          <cell r="AV1329">
            <v>14.263722316306255</v>
          </cell>
          <cell r="AW1329">
            <v>12.105561258724364</v>
          </cell>
          <cell r="AX1329">
            <v>10.242049449424412</v>
          </cell>
          <cell r="AY1329">
            <v>13.969073068024317</v>
          </cell>
        </row>
        <row r="1330">
          <cell r="A1330">
            <v>41400</v>
          </cell>
          <cell r="AF1330">
            <v>16.976895300922145</v>
          </cell>
          <cell r="AG1330">
            <v>20.469360058004284</v>
          </cell>
          <cell r="AH1330">
            <v>17.881583490985356</v>
          </cell>
          <cell r="AI1330">
            <v>15.547864889645153</v>
          </cell>
          <cell r="AJ1330">
            <v>20.215302092325562</v>
          </cell>
          <cell r="AU1330">
            <v>12.007198614489083</v>
          </cell>
          <cell r="AV1330">
            <v>14.263722316306255</v>
          </cell>
          <cell r="AW1330">
            <v>12.105561258724364</v>
          </cell>
          <cell r="AX1330">
            <v>10.242049449424412</v>
          </cell>
          <cell r="AY1330">
            <v>13.969073068024317</v>
          </cell>
        </row>
        <row r="1331">
          <cell r="A1331">
            <v>41401</v>
          </cell>
          <cell r="AF1331">
            <v>17.130871793186323</v>
          </cell>
          <cell r="AG1331">
            <v>20.469360058004284</v>
          </cell>
          <cell r="AH1331">
            <v>17.881583490985356</v>
          </cell>
          <cell r="AI1331">
            <v>15.547864889645153</v>
          </cell>
          <cell r="AJ1331">
            <v>20.215302092325562</v>
          </cell>
          <cell r="AU1331">
            <v>12.095218956755954</v>
          </cell>
          <cell r="AV1331">
            <v>14.263722316306255</v>
          </cell>
          <cell r="AW1331">
            <v>12.105561258724364</v>
          </cell>
          <cell r="AX1331">
            <v>10.242049449424412</v>
          </cell>
          <cell r="AY1331">
            <v>13.969073068024317</v>
          </cell>
        </row>
        <row r="1332">
          <cell r="A1332">
            <v>41402</v>
          </cell>
          <cell r="AF1332">
            <v>17.450667938838908</v>
          </cell>
          <cell r="AG1332">
            <v>20.469360058004284</v>
          </cell>
          <cell r="AH1332">
            <v>17.881583490985356</v>
          </cell>
          <cell r="AI1332">
            <v>15.547864889645153</v>
          </cell>
          <cell r="AJ1332">
            <v>20.215302092325562</v>
          </cell>
          <cell r="AU1332">
            <v>12.277449590757881</v>
          </cell>
          <cell r="AV1332">
            <v>14.263722316306255</v>
          </cell>
          <cell r="AW1332">
            <v>12.105561258724364</v>
          </cell>
          <cell r="AX1332">
            <v>10.242049449424412</v>
          </cell>
          <cell r="AY1332">
            <v>13.969073068024317</v>
          </cell>
        </row>
        <row r="1333">
          <cell r="A1333">
            <v>41403</v>
          </cell>
          <cell r="AF1333">
            <v>16.815914709570656</v>
          </cell>
          <cell r="AG1333">
            <v>20.469360058004284</v>
          </cell>
          <cell r="AH1333">
            <v>17.881583490985356</v>
          </cell>
          <cell r="AI1333">
            <v>15.547864889645153</v>
          </cell>
          <cell r="AJ1333">
            <v>20.215302092325562</v>
          </cell>
          <cell r="AU1333">
            <v>11.906448448328808</v>
          </cell>
          <cell r="AV1333">
            <v>14.263722316306255</v>
          </cell>
          <cell r="AW1333">
            <v>12.105561258724364</v>
          </cell>
          <cell r="AX1333">
            <v>10.242049449424412</v>
          </cell>
          <cell r="AY1333">
            <v>13.969073068024317</v>
          </cell>
        </row>
        <row r="1334">
          <cell r="A1334">
            <v>41404</v>
          </cell>
          <cell r="AF1334">
            <v>17.171362940020455</v>
          </cell>
          <cell r="AG1334">
            <v>20.469360058004284</v>
          </cell>
          <cell r="AH1334">
            <v>17.881583490985356</v>
          </cell>
          <cell r="AI1334">
            <v>15.547864889645153</v>
          </cell>
          <cell r="AJ1334">
            <v>20.215302092325562</v>
          </cell>
          <cell r="AU1334">
            <v>11.999894380822862</v>
          </cell>
          <cell r="AV1334">
            <v>14.263722316306255</v>
          </cell>
          <cell r="AW1334">
            <v>12.105561258724364</v>
          </cell>
          <cell r="AX1334">
            <v>10.242049449424412</v>
          </cell>
          <cell r="AY1334">
            <v>13.969073068024317</v>
          </cell>
        </row>
        <row r="1335">
          <cell r="A1335">
            <v>41407</v>
          </cell>
          <cell r="AF1335">
            <v>16.96977201743303</v>
          </cell>
          <cell r="AG1335">
            <v>20.469360058004284</v>
          </cell>
          <cell r="AH1335">
            <v>17.881583490985356</v>
          </cell>
          <cell r="AI1335">
            <v>15.547864889645153</v>
          </cell>
          <cell r="AJ1335">
            <v>20.215302092325562</v>
          </cell>
          <cell r="AU1335">
            <v>11.863641311320116</v>
          </cell>
          <cell r="AV1335">
            <v>14.263722316306255</v>
          </cell>
          <cell r="AW1335">
            <v>12.105561258724364</v>
          </cell>
          <cell r="AX1335">
            <v>10.242049449424412</v>
          </cell>
          <cell r="AY1335">
            <v>13.969073068024317</v>
          </cell>
        </row>
        <row r="1336">
          <cell r="A1336">
            <v>41408</v>
          </cell>
          <cell r="AF1336">
            <v>17.276549533020138</v>
          </cell>
          <cell r="AG1336">
            <v>20.469360058004284</v>
          </cell>
          <cell r="AH1336">
            <v>17.881583490985356</v>
          </cell>
          <cell r="AI1336">
            <v>15.547864889645153</v>
          </cell>
          <cell r="AJ1336">
            <v>20.215302092325562</v>
          </cell>
          <cell r="AU1336">
            <v>12.036225444318237</v>
          </cell>
          <cell r="AV1336">
            <v>14.263722316306255</v>
          </cell>
          <cell r="AW1336">
            <v>12.105561258724364</v>
          </cell>
          <cell r="AX1336">
            <v>10.242049449424412</v>
          </cell>
          <cell r="AY1336">
            <v>13.969073068024317</v>
          </cell>
        </row>
        <row r="1337">
          <cell r="A1337">
            <v>41409</v>
          </cell>
          <cell r="AF1337">
            <v>17.167566363869</v>
          </cell>
          <cell r="AG1337">
            <v>20.469360058004284</v>
          </cell>
          <cell r="AH1337">
            <v>17.881583490985356</v>
          </cell>
          <cell r="AI1337">
            <v>15.547864889645153</v>
          </cell>
          <cell r="AJ1337">
            <v>20.215302092325562</v>
          </cell>
          <cell r="AU1337">
            <v>11.974914674122644</v>
          </cell>
          <cell r="AV1337">
            <v>14.263722316306255</v>
          </cell>
          <cell r="AW1337">
            <v>12.105561258724364</v>
          </cell>
          <cell r="AX1337">
            <v>10.242049449424412</v>
          </cell>
          <cell r="AY1337">
            <v>13.969073068024317</v>
          </cell>
        </row>
        <row r="1338">
          <cell r="A1338">
            <v>41410</v>
          </cell>
          <cell r="AF1338">
            <v>17.026283707531476</v>
          </cell>
          <cell r="AG1338">
            <v>20.469360058004284</v>
          </cell>
          <cell r="AH1338">
            <v>17.881583490985356</v>
          </cell>
          <cell r="AI1338">
            <v>15.547864889645153</v>
          </cell>
          <cell r="AJ1338">
            <v>20.215302092325562</v>
          </cell>
          <cell r="AU1338">
            <v>11.895433149197261</v>
          </cell>
          <cell r="AV1338">
            <v>14.263722316306255</v>
          </cell>
          <cell r="AW1338">
            <v>12.105561258724364</v>
          </cell>
          <cell r="AX1338">
            <v>10.242049449424412</v>
          </cell>
          <cell r="AY1338">
            <v>13.969073068024317</v>
          </cell>
        </row>
        <row r="1339">
          <cell r="A1339">
            <v>41411</v>
          </cell>
          <cell r="AF1339">
            <v>17.066651910732823</v>
          </cell>
          <cell r="AG1339">
            <v>20.469360058004284</v>
          </cell>
          <cell r="AH1339">
            <v>17.881583490985356</v>
          </cell>
          <cell r="AI1339">
            <v>15.547864889645153</v>
          </cell>
          <cell r="AJ1339">
            <v>20.215302092325562</v>
          </cell>
          <cell r="AU1339">
            <v>11.918143129545276</v>
          </cell>
          <cell r="AV1339">
            <v>14.263722316306255</v>
          </cell>
          <cell r="AW1339">
            <v>12.105561258724364</v>
          </cell>
          <cell r="AX1339">
            <v>10.242049449424412</v>
          </cell>
          <cell r="AY1339">
            <v>13.969073068024317</v>
          </cell>
        </row>
        <row r="1340">
          <cell r="A1340">
            <v>41414</v>
          </cell>
          <cell r="AF1340">
            <v>17.057750416116431</v>
          </cell>
          <cell r="AG1340">
            <v>20.469360058004284</v>
          </cell>
          <cell r="AH1340">
            <v>17.881583490985356</v>
          </cell>
          <cell r="AI1340">
            <v>15.547864889645153</v>
          </cell>
          <cell r="AJ1340">
            <v>20.215302092325562</v>
          </cell>
          <cell r="AU1340">
            <v>11.895433149197261</v>
          </cell>
          <cell r="AV1340">
            <v>14.263722316306255</v>
          </cell>
          <cell r="AW1340">
            <v>12.105561258724364</v>
          </cell>
          <cell r="AX1340">
            <v>10.242049449424412</v>
          </cell>
          <cell r="AY1340">
            <v>13.969073068024317</v>
          </cell>
        </row>
        <row r="1341">
          <cell r="A1341">
            <v>41415</v>
          </cell>
          <cell r="AF1341">
            <v>17.124908628025732</v>
          </cell>
          <cell r="AG1341">
            <v>20.469360058004284</v>
          </cell>
          <cell r="AH1341">
            <v>17.881583490985356</v>
          </cell>
          <cell r="AI1341">
            <v>15.547864889645153</v>
          </cell>
          <cell r="AJ1341">
            <v>20.215302092325562</v>
          </cell>
          <cell r="AU1341">
            <v>11.924955487808383</v>
          </cell>
          <cell r="AV1341">
            <v>14.263722316306255</v>
          </cell>
          <cell r="AW1341">
            <v>12.105561258724364</v>
          </cell>
          <cell r="AX1341">
            <v>10.242049449424412</v>
          </cell>
          <cell r="AY1341">
            <v>13.969073068024317</v>
          </cell>
        </row>
        <row r="1342">
          <cell r="A1342">
            <v>41416</v>
          </cell>
          <cell r="AF1342">
            <v>16.784915023052147</v>
          </cell>
          <cell r="AG1342">
            <v>20.469360058004284</v>
          </cell>
          <cell r="AH1342">
            <v>17.881583490985356</v>
          </cell>
          <cell r="AI1342">
            <v>15.547864889645153</v>
          </cell>
          <cell r="AJ1342">
            <v>20.215302092325562</v>
          </cell>
          <cell r="AU1342">
            <v>11.73433210564305</v>
          </cell>
          <cell r="AV1342">
            <v>14.263722316306255</v>
          </cell>
          <cell r="AW1342">
            <v>12.105561258724364</v>
          </cell>
          <cell r="AX1342">
            <v>10.242049449424412</v>
          </cell>
          <cell r="AY1342">
            <v>13.969073068024317</v>
          </cell>
        </row>
        <row r="1343">
          <cell r="A1343">
            <v>41417</v>
          </cell>
          <cell r="AF1343">
            <v>16.801108606169279</v>
          </cell>
          <cell r="AG1343">
            <v>20.469360058004284</v>
          </cell>
          <cell r="AH1343">
            <v>17.881583490985356</v>
          </cell>
          <cell r="AI1343">
            <v>15.547864889645153</v>
          </cell>
          <cell r="AJ1343">
            <v>20.215302092325562</v>
          </cell>
          <cell r="AU1343">
            <v>11.743417698548253</v>
          </cell>
          <cell r="AV1343">
            <v>14.263722316306255</v>
          </cell>
          <cell r="AW1343">
            <v>12.105561258724364</v>
          </cell>
          <cell r="AX1343">
            <v>10.242049449424412</v>
          </cell>
          <cell r="AY1343">
            <v>13.969073068024317</v>
          </cell>
        </row>
        <row r="1344">
          <cell r="A1344">
            <v>41418</v>
          </cell>
          <cell r="AF1344">
            <v>16.655398737995853</v>
          </cell>
          <cell r="AG1344">
            <v>20.469360058004284</v>
          </cell>
          <cell r="AH1344">
            <v>17.881583490985356</v>
          </cell>
          <cell r="AI1344">
            <v>15.547864889645153</v>
          </cell>
          <cell r="AJ1344">
            <v>20.215302092325562</v>
          </cell>
          <cell r="AU1344">
            <v>11.661665529499659</v>
          </cell>
          <cell r="AV1344">
            <v>14.263722316306255</v>
          </cell>
          <cell r="AW1344">
            <v>12.105561258724364</v>
          </cell>
          <cell r="AX1344">
            <v>10.242049449424412</v>
          </cell>
          <cell r="AY1344">
            <v>13.969073068024317</v>
          </cell>
        </row>
        <row r="1345">
          <cell r="A1345">
            <v>41421</v>
          </cell>
          <cell r="AF1345">
            <v>16.655398737995853</v>
          </cell>
          <cell r="AG1345">
            <v>20.469360058004284</v>
          </cell>
          <cell r="AH1345">
            <v>17.881583490985356</v>
          </cell>
          <cell r="AI1345">
            <v>15.547864889645153</v>
          </cell>
          <cell r="AJ1345">
            <v>20.215302092325562</v>
          </cell>
          <cell r="AU1345">
            <v>11.661665529499659</v>
          </cell>
          <cell r="AV1345">
            <v>14.263722316306255</v>
          </cell>
          <cell r="AW1345">
            <v>12.105561258724364</v>
          </cell>
          <cell r="AX1345">
            <v>10.242049449424412</v>
          </cell>
          <cell r="AY1345">
            <v>13.969073068024317</v>
          </cell>
        </row>
        <row r="1346">
          <cell r="A1346">
            <v>41422</v>
          </cell>
          <cell r="AF1346">
            <v>17.043954069140884</v>
          </cell>
          <cell r="AG1346">
            <v>20.469360058004284</v>
          </cell>
          <cell r="AH1346">
            <v>17.881583490985356</v>
          </cell>
          <cell r="AI1346">
            <v>15.547864889645153</v>
          </cell>
          <cell r="AJ1346">
            <v>20.215302092325562</v>
          </cell>
          <cell r="AU1346">
            <v>11.879668891349475</v>
          </cell>
          <cell r="AV1346">
            <v>14.263722316306255</v>
          </cell>
          <cell r="AW1346">
            <v>12.105561258724364</v>
          </cell>
          <cell r="AX1346">
            <v>10.242049449424412</v>
          </cell>
          <cell r="AY1346">
            <v>13.969073068024317</v>
          </cell>
        </row>
        <row r="1347">
          <cell r="A1347">
            <v>41423</v>
          </cell>
          <cell r="AF1347">
            <v>16.938721480409885</v>
          </cell>
          <cell r="AG1347">
            <v>20.469360058004284</v>
          </cell>
          <cell r="AH1347">
            <v>17.881583490985356</v>
          </cell>
          <cell r="AI1347">
            <v>15.547864889645153</v>
          </cell>
          <cell r="AJ1347">
            <v>20.215302092325562</v>
          </cell>
          <cell r="AU1347">
            <v>11.820626957599879</v>
          </cell>
          <cell r="AV1347">
            <v>14.263722316306255</v>
          </cell>
          <cell r="AW1347">
            <v>12.105561258724364</v>
          </cell>
          <cell r="AX1347">
            <v>10.242049449424412</v>
          </cell>
          <cell r="AY1347">
            <v>13.969073068024317</v>
          </cell>
        </row>
        <row r="1348">
          <cell r="A1348">
            <v>41424</v>
          </cell>
          <cell r="AF1348">
            <v>16.999437399573516</v>
          </cell>
          <cell r="AG1348">
            <v>20.469360058004284</v>
          </cell>
          <cell r="AH1348">
            <v>17.881583490985356</v>
          </cell>
          <cell r="AI1348">
            <v>15.547864889645153</v>
          </cell>
          <cell r="AJ1348">
            <v>20.215302092325562</v>
          </cell>
          <cell r="AU1348">
            <v>11.854692310548369</v>
          </cell>
          <cell r="AV1348">
            <v>14.263722316306255</v>
          </cell>
          <cell r="AW1348">
            <v>12.105561258724364</v>
          </cell>
          <cell r="AX1348">
            <v>10.242049449424412</v>
          </cell>
          <cell r="AY1348">
            <v>13.969073068024317</v>
          </cell>
        </row>
        <row r="1349">
          <cell r="A1349">
            <v>41425</v>
          </cell>
          <cell r="AF1349">
            <v>16.87877774353603</v>
          </cell>
          <cell r="AG1349">
            <v>20.469360058004284</v>
          </cell>
          <cell r="AH1349">
            <v>17.881583490985356</v>
          </cell>
          <cell r="AI1349">
            <v>15.547864889645153</v>
          </cell>
          <cell r="AJ1349">
            <v>20.215302092325562</v>
          </cell>
          <cell r="AU1349">
            <v>11.800189880464824</v>
          </cell>
          <cell r="AV1349">
            <v>14.263722316306255</v>
          </cell>
          <cell r="AW1349">
            <v>12.105561258724364</v>
          </cell>
          <cell r="AX1349">
            <v>10.242049449424412</v>
          </cell>
          <cell r="AY1349">
            <v>13.969073068024317</v>
          </cell>
        </row>
        <row r="1350">
          <cell r="A1350">
            <v>41428</v>
          </cell>
          <cell r="AF1350">
            <v>16.927987301001934</v>
          </cell>
          <cell r="AG1350">
            <v>20.469360058004284</v>
          </cell>
          <cell r="AH1350">
            <v>17.881583490985356</v>
          </cell>
          <cell r="AI1350">
            <v>15.547864889645153</v>
          </cell>
          <cell r="AJ1350">
            <v>20.215302092325562</v>
          </cell>
          <cell r="AU1350">
            <v>11.838672493517103</v>
          </cell>
          <cell r="AV1350">
            <v>14.263722316306255</v>
          </cell>
          <cell r="AW1350">
            <v>12.105561258724364</v>
          </cell>
          <cell r="AX1350">
            <v>10.242049449424412</v>
          </cell>
          <cell r="AY1350">
            <v>13.969073068024317</v>
          </cell>
        </row>
        <row r="1351">
          <cell r="A1351">
            <v>41429</v>
          </cell>
          <cell r="AF1351">
            <v>16.799711787259717</v>
          </cell>
          <cell r="AG1351">
            <v>20.469360058004284</v>
          </cell>
          <cell r="AH1351">
            <v>17.881583490985356</v>
          </cell>
          <cell r="AI1351">
            <v>15.547864889645153</v>
          </cell>
          <cell r="AJ1351">
            <v>20.215302092325562</v>
          </cell>
          <cell r="AU1351">
            <v>11.766419048304051</v>
          </cell>
          <cell r="AV1351">
            <v>14.263722316306255</v>
          </cell>
          <cell r="AW1351">
            <v>12.105561258724364</v>
          </cell>
          <cell r="AX1351">
            <v>10.242049449424412</v>
          </cell>
          <cell r="AY1351">
            <v>13.969073068024317</v>
          </cell>
        </row>
        <row r="1352">
          <cell r="A1352">
            <v>41430</v>
          </cell>
          <cell r="AF1352">
            <v>16.607304329003465</v>
          </cell>
          <cell r="AG1352">
            <v>20.469360058004284</v>
          </cell>
          <cell r="AH1352">
            <v>17.881583490985356</v>
          </cell>
          <cell r="AI1352">
            <v>15.547864889645153</v>
          </cell>
          <cell r="AJ1352">
            <v>20.215302092325562</v>
          </cell>
          <cell r="AU1352">
            <v>11.658042154397089</v>
          </cell>
          <cell r="AV1352">
            <v>14.263722316306255</v>
          </cell>
          <cell r="AW1352">
            <v>12.105561258724364</v>
          </cell>
          <cell r="AX1352">
            <v>10.242049449424412</v>
          </cell>
          <cell r="AY1352">
            <v>13.969073068024317</v>
          </cell>
        </row>
        <row r="1353">
          <cell r="A1353">
            <v>41431</v>
          </cell>
          <cell r="AF1353">
            <v>16.487047462906141</v>
          </cell>
          <cell r="AG1353">
            <v>20.469360058004284</v>
          </cell>
          <cell r="AH1353">
            <v>17.881583490985356</v>
          </cell>
          <cell r="AI1353">
            <v>15.547864889645153</v>
          </cell>
          <cell r="AJ1353">
            <v>20.215302092325562</v>
          </cell>
          <cell r="AU1353">
            <v>11.590305353876312</v>
          </cell>
          <cell r="AV1353">
            <v>14.263722316306255</v>
          </cell>
          <cell r="AW1353">
            <v>12.105561258724364</v>
          </cell>
          <cell r="AX1353">
            <v>10.242049449424412</v>
          </cell>
          <cell r="AY1353">
            <v>13.969073068024317</v>
          </cell>
        </row>
        <row r="1354">
          <cell r="A1354">
            <v>41432</v>
          </cell>
          <cell r="AF1354">
            <v>16.599285681358573</v>
          </cell>
          <cell r="AG1354">
            <v>20.469360058004284</v>
          </cell>
          <cell r="AH1354">
            <v>17.881583490985356</v>
          </cell>
          <cell r="AI1354">
            <v>15.547864889645153</v>
          </cell>
          <cell r="AJ1354">
            <v>20.215302092325562</v>
          </cell>
          <cell r="AU1354">
            <v>11.65352550970481</v>
          </cell>
          <cell r="AV1354">
            <v>14.263722316306255</v>
          </cell>
          <cell r="AW1354">
            <v>12.105561258724364</v>
          </cell>
          <cell r="AX1354">
            <v>10.242049449424412</v>
          </cell>
          <cell r="AY1354">
            <v>13.969073068024317</v>
          </cell>
        </row>
        <row r="1355">
          <cell r="A1355">
            <v>41435</v>
          </cell>
          <cell r="AF1355">
            <v>16.599285681358573</v>
          </cell>
          <cell r="AG1355">
            <v>20.469360058004284</v>
          </cell>
          <cell r="AH1355">
            <v>17.881583490985356</v>
          </cell>
          <cell r="AI1355">
            <v>15.547864889645153</v>
          </cell>
          <cell r="AJ1355">
            <v>20.215302092325562</v>
          </cell>
          <cell r="AU1355">
            <v>11.65352550970481</v>
          </cell>
          <cell r="AV1355">
            <v>14.263722316306255</v>
          </cell>
          <cell r="AW1355">
            <v>12.105561258724364</v>
          </cell>
          <cell r="AX1355">
            <v>10.242049449424412</v>
          </cell>
          <cell r="AY1355">
            <v>13.969073068024317</v>
          </cell>
        </row>
        <row r="1356">
          <cell r="A1356">
            <v>41436</v>
          </cell>
          <cell r="AF1356">
            <v>16.434940683893963</v>
          </cell>
          <cell r="AG1356">
            <v>20.469360058004284</v>
          </cell>
          <cell r="AH1356">
            <v>17.881583490985356</v>
          </cell>
          <cell r="AI1356">
            <v>15.547864889645153</v>
          </cell>
          <cell r="AJ1356">
            <v>20.215302092325562</v>
          </cell>
          <cell r="AU1356">
            <v>11.560955291711281</v>
          </cell>
          <cell r="AV1356">
            <v>14.263722316306255</v>
          </cell>
          <cell r="AW1356">
            <v>12.105561258724364</v>
          </cell>
          <cell r="AX1356">
            <v>10.242049449424412</v>
          </cell>
          <cell r="AY1356">
            <v>13.969073068024317</v>
          </cell>
        </row>
        <row r="1357">
          <cell r="A1357">
            <v>41437</v>
          </cell>
          <cell r="AF1357">
            <v>16.402872106097565</v>
          </cell>
          <cell r="AG1357">
            <v>20.469360058004284</v>
          </cell>
          <cell r="AH1357">
            <v>17.881583490985356</v>
          </cell>
          <cell r="AI1357">
            <v>15.547864889645153</v>
          </cell>
          <cell r="AJ1357">
            <v>20.215302092325562</v>
          </cell>
          <cell r="AU1357">
            <v>11.54290119449762</v>
          </cell>
          <cell r="AV1357">
            <v>14.263722316306255</v>
          </cell>
          <cell r="AW1357">
            <v>12.105561258724364</v>
          </cell>
          <cell r="AX1357">
            <v>10.242049449424412</v>
          </cell>
          <cell r="AY1357">
            <v>13.969073068024317</v>
          </cell>
        </row>
        <row r="1358">
          <cell r="A1358">
            <v>41438</v>
          </cell>
          <cell r="AF1358">
            <v>16.587260515856713</v>
          </cell>
          <cell r="AG1358">
            <v>20.469360058004284</v>
          </cell>
          <cell r="AH1358">
            <v>17.881583490985356</v>
          </cell>
          <cell r="AI1358">
            <v>15.547864889645153</v>
          </cell>
          <cell r="AJ1358">
            <v>20.215302092325562</v>
          </cell>
          <cell r="AU1358">
            <v>11.646761299757481</v>
          </cell>
          <cell r="AV1358">
            <v>14.263722316306255</v>
          </cell>
          <cell r="AW1358">
            <v>12.105561258724364</v>
          </cell>
          <cell r="AX1358">
            <v>10.242049449424412</v>
          </cell>
          <cell r="AY1358">
            <v>13.969073068024317</v>
          </cell>
        </row>
        <row r="1359">
          <cell r="A1359">
            <v>41439</v>
          </cell>
          <cell r="AF1359">
            <v>16.438947201750928</v>
          </cell>
          <cell r="AG1359">
            <v>20.469360058004284</v>
          </cell>
          <cell r="AH1359">
            <v>17.881583490985356</v>
          </cell>
          <cell r="AI1359">
            <v>15.547864889645153</v>
          </cell>
          <cell r="AJ1359">
            <v>20.215302092325562</v>
          </cell>
          <cell r="AU1359">
            <v>11.563212033547881</v>
          </cell>
          <cell r="AV1359">
            <v>14.263722316306255</v>
          </cell>
          <cell r="AW1359">
            <v>12.105561258724364</v>
          </cell>
          <cell r="AX1359">
            <v>10.242049449424412</v>
          </cell>
          <cell r="AY1359">
            <v>13.969073068024317</v>
          </cell>
        </row>
        <row r="1360">
          <cell r="A1360">
            <v>41442</v>
          </cell>
          <cell r="AF1360">
            <v>16.667429755660539</v>
          </cell>
          <cell r="AG1360">
            <v>20.469360058004284</v>
          </cell>
          <cell r="AH1360">
            <v>17.881583490985356</v>
          </cell>
          <cell r="AI1360">
            <v>15.547864889645153</v>
          </cell>
          <cell r="AJ1360">
            <v>20.215302092325562</v>
          </cell>
          <cell r="AU1360">
            <v>11.691908861254399</v>
          </cell>
          <cell r="AV1360">
            <v>14.263722316306255</v>
          </cell>
          <cell r="AW1360">
            <v>12.105561258724364</v>
          </cell>
          <cell r="AX1360">
            <v>10.242049449424412</v>
          </cell>
          <cell r="AY1360">
            <v>13.969073068024317</v>
          </cell>
        </row>
        <row r="1361">
          <cell r="A1361">
            <v>41443</v>
          </cell>
          <cell r="AF1361">
            <v>16.751432472039181</v>
          </cell>
          <cell r="AG1361">
            <v>20.469360058004284</v>
          </cell>
          <cell r="AH1361">
            <v>17.881583490985356</v>
          </cell>
          <cell r="AI1361">
            <v>15.547864889645153</v>
          </cell>
          <cell r="AJ1361">
            <v>20.215302092325562</v>
          </cell>
          <cell r="AU1361">
            <v>11.893441916808419</v>
          </cell>
          <cell r="AV1361">
            <v>14.263722316306255</v>
          </cell>
          <cell r="AW1361">
            <v>12.105561258724364</v>
          </cell>
          <cell r="AX1361">
            <v>10.242049449424412</v>
          </cell>
          <cell r="AY1361">
            <v>13.969073068024317</v>
          </cell>
        </row>
        <row r="1362">
          <cell r="A1362">
            <v>41444</v>
          </cell>
          <cell r="AF1362">
            <v>16.486808346848484</v>
          </cell>
          <cell r="AG1362">
            <v>20.469360058004284</v>
          </cell>
          <cell r="AH1362">
            <v>17.881583490985356</v>
          </cell>
          <cell r="AI1362">
            <v>15.547864889645153</v>
          </cell>
          <cell r="AJ1362">
            <v>20.215302092325562</v>
          </cell>
          <cell r="AU1362">
            <v>11.742436373560889</v>
          </cell>
          <cell r="AV1362">
            <v>14.263722316306255</v>
          </cell>
          <cell r="AW1362">
            <v>12.105561258724364</v>
          </cell>
          <cell r="AX1362">
            <v>10.242049449424412</v>
          </cell>
          <cell r="AY1362">
            <v>13.969073068024317</v>
          </cell>
        </row>
        <row r="1363">
          <cell r="A1363">
            <v>41445</v>
          </cell>
          <cell r="AF1363">
            <v>16.214163340503546</v>
          </cell>
          <cell r="AG1363">
            <v>20.469360058004284</v>
          </cell>
          <cell r="AH1363">
            <v>17.881583490985356</v>
          </cell>
          <cell r="AI1363">
            <v>15.547864889645153</v>
          </cell>
          <cell r="AJ1363">
            <v>20.215302092325562</v>
          </cell>
          <cell r="AU1363">
            <v>11.58685378158378</v>
          </cell>
          <cell r="AV1363">
            <v>14.263722316306255</v>
          </cell>
          <cell r="AW1363">
            <v>12.105561258724364</v>
          </cell>
          <cell r="AX1363">
            <v>10.242049449424412</v>
          </cell>
          <cell r="AY1363">
            <v>13.969073068024317</v>
          </cell>
        </row>
        <row r="1364">
          <cell r="A1364">
            <v>41446</v>
          </cell>
          <cell r="AF1364">
            <v>16.386572391409377</v>
          </cell>
          <cell r="AG1364">
            <v>20.469360058004284</v>
          </cell>
          <cell r="AH1364">
            <v>17.881583490985356</v>
          </cell>
          <cell r="AI1364">
            <v>15.547864889645153</v>
          </cell>
          <cell r="AJ1364">
            <v>20.215302092325562</v>
          </cell>
          <cell r="AU1364">
            <v>11.685237564143534</v>
          </cell>
          <cell r="AV1364">
            <v>14.263722316306255</v>
          </cell>
          <cell r="AW1364">
            <v>12.105561258724364</v>
          </cell>
          <cell r="AX1364">
            <v>10.242049449424412</v>
          </cell>
          <cell r="AY1364">
            <v>13.969073068024317</v>
          </cell>
        </row>
        <row r="1365">
          <cell r="A1365">
            <v>41449</v>
          </cell>
          <cell r="AF1365">
            <v>16.190107513085806</v>
          </cell>
          <cell r="AG1365">
            <v>20.469360058004284</v>
          </cell>
          <cell r="AH1365">
            <v>17.881583490985356</v>
          </cell>
          <cell r="AI1365">
            <v>15.547864889645153</v>
          </cell>
          <cell r="AJ1365">
            <v>20.215302092325562</v>
          </cell>
          <cell r="AU1365">
            <v>11.573126524914091</v>
          </cell>
          <cell r="AV1365">
            <v>14.263722316306255</v>
          </cell>
          <cell r="AW1365">
            <v>12.105561258724364</v>
          </cell>
          <cell r="AX1365">
            <v>10.242049449424412</v>
          </cell>
          <cell r="AY1365">
            <v>13.969073068024317</v>
          </cell>
        </row>
        <row r="1366">
          <cell r="A1366">
            <v>41450</v>
          </cell>
          <cell r="AF1366">
            <v>16.133975778983729</v>
          </cell>
          <cell r="AG1366">
            <v>20.469360058004284</v>
          </cell>
          <cell r="AH1366">
            <v>17.881583490985356</v>
          </cell>
          <cell r="AI1366">
            <v>15.547864889645153</v>
          </cell>
          <cell r="AJ1366">
            <v>20.215302092325562</v>
          </cell>
          <cell r="AU1366">
            <v>11.541095420435608</v>
          </cell>
          <cell r="AV1366">
            <v>14.263722316306255</v>
          </cell>
          <cell r="AW1366">
            <v>12.105561258724364</v>
          </cell>
          <cell r="AX1366">
            <v>10.242049449424412</v>
          </cell>
          <cell r="AY1366">
            <v>13.969073068024317</v>
          </cell>
        </row>
        <row r="1367">
          <cell r="A1367">
            <v>41451</v>
          </cell>
          <cell r="AF1367">
            <v>16.226190853268594</v>
          </cell>
          <cell r="AG1367">
            <v>20.469360058004284</v>
          </cell>
          <cell r="AH1367">
            <v>17.881583490985356</v>
          </cell>
          <cell r="AI1367">
            <v>15.547864889645153</v>
          </cell>
          <cell r="AJ1367">
            <v>20.215302092325562</v>
          </cell>
          <cell r="AU1367">
            <v>11.593717181123388</v>
          </cell>
          <cell r="AV1367">
            <v>14.263722316306255</v>
          </cell>
          <cell r="AW1367">
            <v>12.105561258724364</v>
          </cell>
          <cell r="AX1367">
            <v>10.242049449424412</v>
          </cell>
          <cell r="AY1367">
            <v>13.969073068024317</v>
          </cell>
        </row>
        <row r="1368">
          <cell r="A1368">
            <v>41452</v>
          </cell>
          <cell r="AF1368">
            <v>16.530912167241688</v>
          </cell>
          <cell r="AG1368">
            <v>20.469360058004284</v>
          </cell>
          <cell r="AH1368">
            <v>17.881583490985356</v>
          </cell>
          <cell r="AI1368">
            <v>15.547864889645153</v>
          </cell>
          <cell r="AJ1368">
            <v>20.215302092325562</v>
          </cell>
          <cell r="AU1368">
            <v>11.767603849704525</v>
          </cell>
          <cell r="AV1368">
            <v>14.263722316306255</v>
          </cell>
          <cell r="AW1368">
            <v>12.105561258724364</v>
          </cell>
          <cell r="AX1368">
            <v>10.242049449424412</v>
          </cell>
          <cell r="AY1368">
            <v>13.969073068024317</v>
          </cell>
        </row>
        <row r="1369">
          <cell r="A1369">
            <v>41453</v>
          </cell>
          <cell r="AF1369">
            <v>16.422655731592169</v>
          </cell>
          <cell r="AG1369">
            <v>20.469360058004284</v>
          </cell>
          <cell r="AH1369">
            <v>17.881583490985356</v>
          </cell>
          <cell r="AI1369">
            <v>15.547864889645153</v>
          </cell>
          <cell r="AJ1369">
            <v>20.215302092325562</v>
          </cell>
          <cell r="AU1369">
            <v>11.70582822035283</v>
          </cell>
          <cell r="AV1369">
            <v>14.263722316306255</v>
          </cell>
          <cell r="AW1369">
            <v>12.105561258724364</v>
          </cell>
          <cell r="AX1369">
            <v>10.242049449424412</v>
          </cell>
          <cell r="AY1369">
            <v>13.969073068024317</v>
          </cell>
        </row>
        <row r="1370">
          <cell r="A1370">
            <v>41456</v>
          </cell>
          <cell r="AF1370">
            <v>16.369006256694014</v>
          </cell>
          <cell r="AG1370">
            <v>20.469360058004284</v>
          </cell>
          <cell r="AH1370">
            <v>17.881583490985356</v>
          </cell>
          <cell r="AI1370">
            <v>15.547864889645153</v>
          </cell>
          <cell r="AJ1370">
            <v>20.215302092325562</v>
          </cell>
          <cell r="AU1370">
            <v>11.684180384014825</v>
          </cell>
          <cell r="AV1370">
            <v>14.263722316306255</v>
          </cell>
          <cell r="AW1370">
            <v>12.105561258724364</v>
          </cell>
          <cell r="AX1370">
            <v>10.242049449424412</v>
          </cell>
          <cell r="AY1370">
            <v>13.969073068024317</v>
          </cell>
        </row>
        <row r="1371">
          <cell r="A1371">
            <v>41457</v>
          </cell>
          <cell r="AF1371">
            <v>16.345145520545877</v>
          </cell>
          <cell r="AG1371">
            <v>20.469360058004284</v>
          </cell>
          <cell r="AH1371">
            <v>17.881583490985356</v>
          </cell>
          <cell r="AI1371">
            <v>15.547864889645153</v>
          </cell>
          <cell r="AJ1371">
            <v>20.215302092325562</v>
          </cell>
          <cell r="AU1371">
            <v>11.670531865834411</v>
          </cell>
          <cell r="AV1371">
            <v>14.263722316306255</v>
          </cell>
          <cell r="AW1371">
            <v>12.105561258724364</v>
          </cell>
          <cell r="AX1371">
            <v>10.242049449424412</v>
          </cell>
          <cell r="AY1371">
            <v>13.969073068024317</v>
          </cell>
        </row>
        <row r="1372">
          <cell r="A1372">
            <v>41458</v>
          </cell>
          <cell r="AF1372">
            <v>16.361056787463955</v>
          </cell>
          <cell r="AG1372">
            <v>20.469360058004284</v>
          </cell>
          <cell r="AH1372">
            <v>17.881583490985356</v>
          </cell>
          <cell r="AI1372">
            <v>15.547864889645153</v>
          </cell>
          <cell r="AJ1372">
            <v>20.215302092325562</v>
          </cell>
          <cell r="AU1372">
            <v>11.679633228611173</v>
          </cell>
          <cell r="AV1372">
            <v>14.263722316306255</v>
          </cell>
          <cell r="AW1372">
            <v>12.105561258724364</v>
          </cell>
          <cell r="AX1372">
            <v>10.242049449424412</v>
          </cell>
          <cell r="AY1372">
            <v>13.969073068024317</v>
          </cell>
        </row>
        <row r="1373">
          <cell r="A1373">
            <v>41459</v>
          </cell>
          <cell r="AF1373">
            <v>16.361056787463955</v>
          </cell>
          <cell r="AG1373">
            <v>20.469360058004284</v>
          </cell>
          <cell r="AH1373">
            <v>17.881583490985356</v>
          </cell>
          <cell r="AI1373">
            <v>15.547864889645153</v>
          </cell>
          <cell r="AJ1373">
            <v>20.215302092325562</v>
          </cell>
          <cell r="AU1373">
            <v>11.679633228611173</v>
          </cell>
          <cell r="AV1373">
            <v>14.263722316306255</v>
          </cell>
          <cell r="AW1373">
            <v>12.105561258724364</v>
          </cell>
          <cell r="AX1373">
            <v>10.242049449424412</v>
          </cell>
          <cell r="AY1373">
            <v>13.969073068024317</v>
          </cell>
        </row>
        <row r="1374">
          <cell r="A1374">
            <v>41460</v>
          </cell>
          <cell r="AF1374">
            <v>16.635459230089424</v>
          </cell>
          <cell r="AG1374">
            <v>20.469360058004284</v>
          </cell>
          <cell r="AH1374">
            <v>17.881583490985356</v>
          </cell>
          <cell r="AI1374">
            <v>15.547864889645153</v>
          </cell>
          <cell r="AJ1374">
            <v>20.215302092325562</v>
          </cell>
          <cell r="AU1374">
            <v>11.836593462514795</v>
          </cell>
          <cell r="AV1374">
            <v>14.263722316306255</v>
          </cell>
          <cell r="AW1374">
            <v>12.105561258724364</v>
          </cell>
          <cell r="AX1374">
            <v>10.242049449424412</v>
          </cell>
          <cell r="AY1374">
            <v>13.969073068024317</v>
          </cell>
        </row>
        <row r="1375">
          <cell r="A1375">
            <v>41463</v>
          </cell>
          <cell r="AF1375">
            <v>16.623528862015355</v>
          </cell>
          <cell r="AG1375">
            <v>20.469360058004284</v>
          </cell>
          <cell r="AH1375">
            <v>17.881583490985356</v>
          </cell>
          <cell r="AI1375">
            <v>15.547864889645153</v>
          </cell>
          <cell r="AJ1375">
            <v>20.215302092325562</v>
          </cell>
          <cell r="AU1375">
            <v>11.829769203424588</v>
          </cell>
          <cell r="AV1375">
            <v>14.263722316306255</v>
          </cell>
          <cell r="AW1375">
            <v>12.105561258724364</v>
          </cell>
          <cell r="AX1375">
            <v>10.242049449424412</v>
          </cell>
          <cell r="AY1375">
            <v>13.969073068024317</v>
          </cell>
        </row>
        <row r="1376">
          <cell r="A1376">
            <v>41464</v>
          </cell>
          <cell r="AF1376">
            <v>16.68716120353751</v>
          </cell>
          <cell r="AG1376">
            <v>20.469360058004284</v>
          </cell>
          <cell r="AH1376">
            <v>17.881583490985356</v>
          </cell>
          <cell r="AI1376">
            <v>15.547864889645153</v>
          </cell>
          <cell r="AJ1376">
            <v>20.215302092325562</v>
          </cell>
          <cell r="AU1376">
            <v>11.866167375079293</v>
          </cell>
          <cell r="AV1376">
            <v>14.263722316306255</v>
          </cell>
          <cell r="AW1376">
            <v>12.105561258724364</v>
          </cell>
          <cell r="AX1376">
            <v>10.242049449424412</v>
          </cell>
          <cell r="AY1376">
            <v>13.969073068024317</v>
          </cell>
        </row>
        <row r="1377">
          <cell r="A1377">
            <v>41465</v>
          </cell>
          <cell r="AF1377">
            <v>16.651370497007502</v>
          </cell>
          <cell r="AG1377">
            <v>20.469360058004284</v>
          </cell>
          <cell r="AH1377">
            <v>17.881583490985356</v>
          </cell>
          <cell r="AI1377">
            <v>15.547864889645153</v>
          </cell>
          <cell r="AJ1377">
            <v>20.215302092325562</v>
          </cell>
          <cell r="AU1377">
            <v>11.845694825291556</v>
          </cell>
          <cell r="AV1377">
            <v>14.263722316306255</v>
          </cell>
          <cell r="AW1377">
            <v>12.105561258724364</v>
          </cell>
          <cell r="AX1377">
            <v>10.242049449424412</v>
          </cell>
          <cell r="AY1377">
            <v>13.969073068024317</v>
          </cell>
        </row>
        <row r="1378">
          <cell r="A1378">
            <v>41466</v>
          </cell>
          <cell r="AF1378">
            <v>16.774653883515608</v>
          </cell>
          <cell r="AG1378">
            <v>20.469360058004284</v>
          </cell>
          <cell r="AH1378">
            <v>17.881583490985356</v>
          </cell>
          <cell r="AI1378">
            <v>15.547864889645153</v>
          </cell>
          <cell r="AJ1378">
            <v>20.215302092325562</v>
          </cell>
          <cell r="AU1378">
            <v>11.916213837431526</v>
          </cell>
          <cell r="AV1378">
            <v>14.263722316306255</v>
          </cell>
          <cell r="AW1378">
            <v>12.105561258724364</v>
          </cell>
          <cell r="AX1378">
            <v>10.242049449424412</v>
          </cell>
          <cell r="AY1378">
            <v>13.969073068024317</v>
          </cell>
        </row>
        <row r="1379">
          <cell r="A1379">
            <v>41467</v>
          </cell>
          <cell r="AF1379">
            <v>16.699091571611579</v>
          </cell>
          <cell r="AG1379">
            <v>20.469360058004284</v>
          </cell>
          <cell r="AH1379">
            <v>17.881583490985356</v>
          </cell>
          <cell r="AI1379">
            <v>15.547864889645153</v>
          </cell>
          <cell r="AJ1379">
            <v>20.215302092325562</v>
          </cell>
          <cell r="AU1379">
            <v>11.8729916341695</v>
          </cell>
          <cell r="AV1379">
            <v>14.263722316306255</v>
          </cell>
          <cell r="AW1379">
            <v>12.105561258724364</v>
          </cell>
          <cell r="AX1379">
            <v>10.242049449424412</v>
          </cell>
          <cell r="AY1379">
            <v>13.969073068024317</v>
          </cell>
        </row>
        <row r="1380">
          <cell r="A1380">
            <v>41470</v>
          </cell>
          <cell r="AF1380">
            <v>16.703072072763394</v>
          </cell>
          <cell r="AG1380">
            <v>20.469360058004284</v>
          </cell>
          <cell r="AH1380">
            <v>17.881583490985356</v>
          </cell>
          <cell r="AI1380">
            <v>15.547864889645153</v>
          </cell>
          <cell r="AJ1380">
            <v>20.215302092325562</v>
          </cell>
          <cell r="AU1380">
            <v>11.87526851037317</v>
          </cell>
          <cell r="AV1380">
            <v>14.263722316306255</v>
          </cell>
          <cell r="AW1380">
            <v>12.105561258724364</v>
          </cell>
          <cell r="AX1380">
            <v>10.242049449424412</v>
          </cell>
          <cell r="AY1380">
            <v>13.969073068024317</v>
          </cell>
        </row>
        <row r="1381">
          <cell r="A1381">
            <v>41471</v>
          </cell>
          <cell r="AF1381">
            <v>16.711021939685644</v>
          </cell>
          <cell r="AG1381">
            <v>20.469360058004284</v>
          </cell>
          <cell r="AH1381">
            <v>17.881583490985356</v>
          </cell>
          <cell r="AI1381">
            <v>15.547864889645153</v>
          </cell>
          <cell r="AJ1381">
            <v>20.215302092325562</v>
          </cell>
          <cell r="AU1381">
            <v>11.879815893259707</v>
          </cell>
          <cell r="AV1381">
            <v>14.263722316306255</v>
          </cell>
          <cell r="AW1381">
            <v>12.105561258724364</v>
          </cell>
          <cell r="AX1381">
            <v>10.242049449424412</v>
          </cell>
          <cell r="AY1381">
            <v>13.969073068024317</v>
          </cell>
        </row>
        <row r="1382">
          <cell r="A1382">
            <v>41472</v>
          </cell>
          <cell r="AF1382">
            <v>16.758171832998389</v>
          </cell>
          <cell r="AG1382">
            <v>20.469360058004284</v>
          </cell>
          <cell r="AH1382">
            <v>17.881583490985356</v>
          </cell>
          <cell r="AI1382">
            <v>15.547864889645153</v>
          </cell>
          <cell r="AJ1382">
            <v>20.215302092325562</v>
          </cell>
          <cell r="AU1382">
            <v>11.919417672176149</v>
          </cell>
          <cell r="AV1382">
            <v>14.263722316306255</v>
          </cell>
          <cell r="AW1382">
            <v>12.105561258724364</v>
          </cell>
          <cell r="AX1382">
            <v>10.242049449424412</v>
          </cell>
          <cell r="AY1382">
            <v>13.969073068024317</v>
          </cell>
        </row>
        <row r="1383">
          <cell r="A1383">
            <v>41473</v>
          </cell>
          <cell r="AF1383">
            <v>16.87758995411901</v>
          </cell>
          <cell r="AG1383">
            <v>20.469360058004284</v>
          </cell>
          <cell r="AH1383">
            <v>17.881583490985356</v>
          </cell>
          <cell r="AI1383">
            <v>15.547864889645153</v>
          </cell>
          <cell r="AJ1383">
            <v>20.215302092325562</v>
          </cell>
          <cell r="AU1383">
            <v>11.987785984873813</v>
          </cell>
          <cell r="AV1383">
            <v>14.263722316306255</v>
          </cell>
          <cell r="AW1383">
            <v>12.105561258724364</v>
          </cell>
          <cell r="AX1383">
            <v>10.242049449424412</v>
          </cell>
          <cell r="AY1383">
            <v>13.969073068024317</v>
          </cell>
        </row>
        <row r="1384">
          <cell r="A1384">
            <v>41474</v>
          </cell>
          <cell r="AF1384">
            <v>16.885553072864546</v>
          </cell>
          <cell r="AG1384">
            <v>20.469360058004284</v>
          </cell>
          <cell r="AH1384">
            <v>17.881583490985356</v>
          </cell>
          <cell r="AI1384">
            <v>15.547864889645153</v>
          </cell>
          <cell r="AJ1384">
            <v>20.215302092325562</v>
          </cell>
          <cell r="AU1384">
            <v>11.992344966269055</v>
          </cell>
          <cell r="AV1384">
            <v>14.263722316306255</v>
          </cell>
          <cell r="AW1384">
            <v>12.105561258724364</v>
          </cell>
          <cell r="AX1384">
            <v>10.242049449424412</v>
          </cell>
          <cell r="AY1384">
            <v>13.969073068024317</v>
          </cell>
        </row>
        <row r="1385">
          <cell r="A1385">
            <v>41477</v>
          </cell>
          <cell r="AF1385">
            <v>16.985067178657339</v>
          </cell>
          <cell r="AG1385">
            <v>20.469360058004284</v>
          </cell>
          <cell r="AH1385">
            <v>17.881583490985356</v>
          </cell>
          <cell r="AI1385">
            <v>15.547864889645153</v>
          </cell>
          <cell r="AJ1385">
            <v>20.215302092325562</v>
          </cell>
          <cell r="AU1385">
            <v>12.049317990453533</v>
          </cell>
          <cell r="AV1385">
            <v>14.263722316306255</v>
          </cell>
          <cell r="AW1385">
            <v>12.105561258724364</v>
          </cell>
          <cell r="AX1385">
            <v>10.242049449424412</v>
          </cell>
          <cell r="AY1385">
            <v>13.969073068024317</v>
          </cell>
        </row>
        <row r="1386">
          <cell r="A1386">
            <v>41478</v>
          </cell>
          <cell r="AF1386">
            <v>16.917397984774666</v>
          </cell>
          <cell r="AG1386">
            <v>20.469360058004284</v>
          </cell>
          <cell r="AH1386">
            <v>17.881583490985356</v>
          </cell>
          <cell r="AI1386">
            <v>15.547864889645153</v>
          </cell>
          <cell r="AJ1386">
            <v>20.215302092325562</v>
          </cell>
          <cell r="AU1386">
            <v>12.011388490941565</v>
          </cell>
          <cell r="AV1386">
            <v>14.263722316306255</v>
          </cell>
          <cell r="AW1386">
            <v>12.105561258724364</v>
          </cell>
          <cell r="AX1386">
            <v>10.242049449424412</v>
          </cell>
          <cell r="AY1386">
            <v>13.969073068024317</v>
          </cell>
        </row>
        <row r="1387">
          <cell r="A1387">
            <v>41479</v>
          </cell>
          <cell r="AF1387">
            <v>16.871102219616365</v>
          </cell>
          <cell r="AG1387">
            <v>20.469360058004284</v>
          </cell>
          <cell r="AH1387">
            <v>17.881583490985356</v>
          </cell>
          <cell r="AI1387">
            <v>15.547864889645153</v>
          </cell>
          <cell r="AJ1387">
            <v>20.215302092325562</v>
          </cell>
          <cell r="AU1387">
            <v>11.903435756379006</v>
          </cell>
          <cell r="AV1387">
            <v>14.263722316306255</v>
          </cell>
          <cell r="AW1387">
            <v>12.105561258724364</v>
          </cell>
          <cell r="AX1387">
            <v>10.242049449424412</v>
          </cell>
          <cell r="AY1387">
            <v>13.969073068024317</v>
          </cell>
        </row>
        <row r="1388">
          <cell r="A1388">
            <v>41480</v>
          </cell>
          <cell r="AF1388">
            <v>16.775422483579518</v>
          </cell>
          <cell r="AG1388">
            <v>20.469360058004284</v>
          </cell>
          <cell r="AH1388">
            <v>17.881583490985356</v>
          </cell>
          <cell r="AI1388">
            <v>15.547864889645153</v>
          </cell>
          <cell r="AJ1388">
            <v>20.215302092325562</v>
          </cell>
          <cell r="AU1388">
            <v>11.849116150560327</v>
          </cell>
          <cell r="AV1388">
            <v>14.263722316306255</v>
          </cell>
          <cell r="AW1388">
            <v>12.105561258724364</v>
          </cell>
          <cell r="AX1388">
            <v>10.242049449424412</v>
          </cell>
          <cell r="AY1388">
            <v>13.969073068024317</v>
          </cell>
        </row>
        <row r="1389">
          <cell r="A1389">
            <v>41481</v>
          </cell>
          <cell r="AF1389">
            <v>16.803331166198834</v>
          </cell>
          <cell r="AG1389">
            <v>20.469360058004284</v>
          </cell>
          <cell r="AH1389">
            <v>17.881583490985356</v>
          </cell>
          <cell r="AI1389">
            <v>15.547864889645153</v>
          </cell>
          <cell r="AJ1389">
            <v>20.215302092325562</v>
          </cell>
          <cell r="AU1389">
            <v>11.864960557135779</v>
          </cell>
          <cell r="AV1389">
            <v>14.263722316306255</v>
          </cell>
          <cell r="AW1389">
            <v>12.105561258724364</v>
          </cell>
          <cell r="AX1389">
            <v>10.242049449424412</v>
          </cell>
          <cell r="AY1389">
            <v>13.969073068024317</v>
          </cell>
        </row>
        <row r="1390">
          <cell r="A1390">
            <v>41484</v>
          </cell>
          <cell r="AF1390">
            <v>16.783397190210525</v>
          </cell>
          <cell r="AG1390">
            <v>20.469360058004284</v>
          </cell>
          <cell r="AH1390">
            <v>17.881583490985356</v>
          </cell>
          <cell r="AI1390">
            <v>15.547864889645153</v>
          </cell>
          <cell r="AJ1390">
            <v>20.215302092325562</v>
          </cell>
          <cell r="AU1390">
            <v>11.853643576519666</v>
          </cell>
          <cell r="AV1390">
            <v>14.263722316306255</v>
          </cell>
          <cell r="AW1390">
            <v>12.105561258724364</v>
          </cell>
          <cell r="AX1390">
            <v>10.242049449424412</v>
          </cell>
          <cell r="AY1390">
            <v>13.969073068024317</v>
          </cell>
        </row>
        <row r="1391">
          <cell r="A1391">
            <v>41485</v>
          </cell>
          <cell r="AF1391">
            <v>16.843199118175455</v>
          </cell>
          <cell r="AG1391">
            <v>20.469360058004284</v>
          </cell>
          <cell r="AH1391">
            <v>17.881583490985356</v>
          </cell>
          <cell r="AI1391">
            <v>15.547864889645153</v>
          </cell>
          <cell r="AJ1391">
            <v>20.215302092325562</v>
          </cell>
          <cell r="AU1391">
            <v>11.887594518368012</v>
          </cell>
          <cell r="AV1391">
            <v>14.263722316306255</v>
          </cell>
          <cell r="AW1391">
            <v>12.105561258724364</v>
          </cell>
          <cell r="AX1391">
            <v>10.242049449424412</v>
          </cell>
          <cell r="AY1391">
            <v>13.969073068024317</v>
          </cell>
        </row>
        <row r="1392">
          <cell r="A1392">
            <v>41486</v>
          </cell>
          <cell r="AF1392">
            <v>17.094348159890469</v>
          </cell>
          <cell r="AG1392">
            <v>20.469360058004284</v>
          </cell>
          <cell r="AH1392">
            <v>17.881583490985356</v>
          </cell>
          <cell r="AI1392">
            <v>15.547864889645153</v>
          </cell>
          <cell r="AJ1392">
            <v>20.215302092325562</v>
          </cell>
          <cell r="AU1392">
            <v>12.0301776557467</v>
          </cell>
          <cell r="AV1392">
            <v>14.263722316306255</v>
          </cell>
          <cell r="AW1392">
            <v>12.105561258724364</v>
          </cell>
          <cell r="AX1392">
            <v>10.242049449424412</v>
          </cell>
          <cell r="AY1392">
            <v>13.969073068024317</v>
          </cell>
        </row>
        <row r="1393">
          <cell r="A1393">
            <v>41487</v>
          </cell>
          <cell r="AF1393">
            <v>17.023829661152046</v>
          </cell>
          <cell r="AG1393">
            <v>20.469360058004284</v>
          </cell>
          <cell r="AH1393">
            <v>17.881583490985356</v>
          </cell>
          <cell r="AI1393">
            <v>15.547864889645153</v>
          </cell>
          <cell r="AJ1393">
            <v>20.215302092325562</v>
          </cell>
          <cell r="AU1393">
            <v>12.025699489000447</v>
          </cell>
          <cell r="AV1393">
            <v>14.263722316306255</v>
          </cell>
          <cell r="AW1393">
            <v>12.105561258724364</v>
          </cell>
          <cell r="AX1393">
            <v>10.242049449424412</v>
          </cell>
          <cell r="AY1393">
            <v>13.969073068024317</v>
          </cell>
        </row>
        <row r="1394">
          <cell r="A1394">
            <v>41488</v>
          </cell>
          <cell r="AF1394">
            <v>17.111017635332903</v>
          </cell>
          <cell r="AG1394">
            <v>20.469360058004284</v>
          </cell>
          <cell r="AH1394">
            <v>17.881583490985356</v>
          </cell>
          <cell r="AI1394">
            <v>15.547864889645153</v>
          </cell>
          <cell r="AJ1394">
            <v>20.215302092325562</v>
          </cell>
          <cell r="AU1394">
            <v>12.07866274347052</v>
          </cell>
          <cell r="AV1394">
            <v>14.263722316306255</v>
          </cell>
          <cell r="AW1394">
            <v>12.105561258724364</v>
          </cell>
          <cell r="AX1394">
            <v>10.242049449424412</v>
          </cell>
          <cell r="AY1394">
            <v>13.969073068024317</v>
          </cell>
        </row>
        <row r="1395">
          <cell r="A1395">
            <v>41491</v>
          </cell>
          <cell r="AF1395">
            <v>17.01843743897247</v>
          </cell>
          <cell r="AG1395">
            <v>20.469360058004284</v>
          </cell>
          <cell r="AH1395">
            <v>17.881583490985356</v>
          </cell>
          <cell r="AI1395">
            <v>15.547864889645153</v>
          </cell>
          <cell r="AJ1395">
            <v>20.215302092325562</v>
          </cell>
          <cell r="AU1395">
            <v>12.032659042672639</v>
          </cell>
          <cell r="AV1395">
            <v>14.263722316306255</v>
          </cell>
          <cell r="AW1395">
            <v>12.105561258724364</v>
          </cell>
          <cell r="AX1395">
            <v>10.242049449424412</v>
          </cell>
          <cell r="AY1395">
            <v>13.969073068024317</v>
          </cell>
        </row>
        <row r="1396">
          <cell r="A1396">
            <v>41492</v>
          </cell>
          <cell r="AF1396">
            <v>16.967788687607793</v>
          </cell>
          <cell r="AG1396">
            <v>20.469360058004284</v>
          </cell>
          <cell r="AH1396">
            <v>17.881583490985356</v>
          </cell>
          <cell r="AI1396">
            <v>15.547864889645153</v>
          </cell>
          <cell r="AJ1396">
            <v>20.215302092325562</v>
          </cell>
          <cell r="AU1396">
            <v>12.005532116763085</v>
          </cell>
          <cell r="AV1396">
            <v>14.263722316306255</v>
          </cell>
          <cell r="AW1396">
            <v>12.105561258724364</v>
          </cell>
          <cell r="AX1396">
            <v>10.242049449424412</v>
          </cell>
          <cell r="AY1396">
            <v>13.969073068024317</v>
          </cell>
        </row>
        <row r="1397">
          <cell r="A1397">
            <v>41493</v>
          </cell>
          <cell r="AF1397">
            <v>16.911517915311137</v>
          </cell>
          <cell r="AG1397">
            <v>20.469360058004284</v>
          </cell>
          <cell r="AH1397">
            <v>17.881583490985356</v>
          </cell>
          <cell r="AI1397">
            <v>15.547864889645153</v>
          </cell>
          <cell r="AJ1397">
            <v>20.215302092325562</v>
          </cell>
          <cell r="AU1397">
            <v>11.990790815620631</v>
          </cell>
          <cell r="AV1397">
            <v>14.263722316306255</v>
          </cell>
          <cell r="AW1397">
            <v>12.105561258724364</v>
          </cell>
          <cell r="AX1397">
            <v>10.242049449424412</v>
          </cell>
          <cell r="AY1397">
            <v>13.969073068024317</v>
          </cell>
        </row>
        <row r="1398">
          <cell r="A1398">
            <v>41494</v>
          </cell>
          <cell r="AF1398">
            <v>17.055106694145163</v>
          </cell>
          <cell r="AG1398">
            <v>20.469360058004284</v>
          </cell>
          <cell r="AH1398">
            <v>17.881583490985356</v>
          </cell>
          <cell r="AI1398">
            <v>15.547864889645153</v>
          </cell>
          <cell r="AJ1398">
            <v>20.215302092325562</v>
          </cell>
          <cell r="AU1398">
            <v>12.072341486966282</v>
          </cell>
          <cell r="AV1398">
            <v>14.263722316306255</v>
          </cell>
          <cell r="AW1398">
            <v>12.105561258724364</v>
          </cell>
          <cell r="AX1398">
            <v>10.242049449424412</v>
          </cell>
          <cell r="AY1398">
            <v>13.969073068024317</v>
          </cell>
        </row>
        <row r="1399">
          <cell r="A1399">
            <v>41495</v>
          </cell>
          <cell r="AF1399">
            <v>16.979323140332745</v>
          </cell>
          <cell r="AG1399">
            <v>20.469360058004284</v>
          </cell>
          <cell r="AH1399">
            <v>17.881583490985356</v>
          </cell>
          <cell r="AI1399">
            <v>15.547864889645153</v>
          </cell>
          <cell r="AJ1399">
            <v>20.215302092325562</v>
          </cell>
          <cell r="AU1399">
            <v>12.029300521366141</v>
          </cell>
          <cell r="AV1399">
            <v>14.263722316306255</v>
          </cell>
          <cell r="AW1399">
            <v>12.105561258724364</v>
          </cell>
          <cell r="AX1399">
            <v>10.242049449424412</v>
          </cell>
          <cell r="AY1399">
            <v>13.969073068024317</v>
          </cell>
        </row>
        <row r="1400">
          <cell r="A1400">
            <v>41498</v>
          </cell>
          <cell r="AF1400">
            <v>17.035162667022909</v>
          </cell>
          <cell r="AG1400">
            <v>20.469360058004284</v>
          </cell>
          <cell r="AH1400">
            <v>17.881583490985356</v>
          </cell>
          <cell r="AI1400">
            <v>15.547864889645153</v>
          </cell>
          <cell r="AJ1400">
            <v>20.215302092325562</v>
          </cell>
          <cell r="AU1400">
            <v>12.061014356710263</v>
          </cell>
          <cell r="AV1400">
            <v>14.263722316306255</v>
          </cell>
          <cell r="AW1400">
            <v>12.105561258724364</v>
          </cell>
          <cell r="AX1400">
            <v>10.242049449424412</v>
          </cell>
          <cell r="AY1400">
            <v>13.969073068024317</v>
          </cell>
        </row>
        <row r="1401">
          <cell r="A1401">
            <v>41499</v>
          </cell>
          <cell r="AF1401">
            <v>17.076018419083791</v>
          </cell>
          <cell r="AG1401">
            <v>20.469360058004284</v>
          </cell>
          <cell r="AH1401">
            <v>17.881583490985356</v>
          </cell>
          <cell r="AI1401">
            <v>15.547864889645153</v>
          </cell>
          <cell r="AJ1401">
            <v>20.215302092325562</v>
          </cell>
          <cell r="AU1401">
            <v>12.063278287669979</v>
          </cell>
          <cell r="AV1401">
            <v>14.263722316306255</v>
          </cell>
          <cell r="AW1401">
            <v>12.105561258724364</v>
          </cell>
          <cell r="AX1401">
            <v>10.242049449424412</v>
          </cell>
          <cell r="AY1401">
            <v>13.969073068024317</v>
          </cell>
        </row>
        <row r="1402">
          <cell r="A1402">
            <v>41500</v>
          </cell>
          <cell r="AF1402">
            <v>17.072023620769009</v>
          </cell>
          <cell r="AG1402">
            <v>20.469360058004284</v>
          </cell>
          <cell r="AH1402">
            <v>17.881583490985356</v>
          </cell>
          <cell r="AI1402">
            <v>15.547864889645153</v>
          </cell>
          <cell r="AJ1402">
            <v>20.215302092325562</v>
          </cell>
          <cell r="AU1402">
            <v>12.061014356710263</v>
          </cell>
          <cell r="AV1402">
            <v>14.263722316306255</v>
          </cell>
          <cell r="AW1402">
            <v>12.105561258724364</v>
          </cell>
          <cell r="AX1402">
            <v>10.242049449424412</v>
          </cell>
          <cell r="AY1402">
            <v>13.969073068024317</v>
          </cell>
        </row>
        <row r="1403">
          <cell r="A1403">
            <v>41501</v>
          </cell>
          <cell r="AF1403">
            <v>16.848181408773666</v>
          </cell>
          <cell r="AG1403">
            <v>20.469360058004284</v>
          </cell>
          <cell r="AH1403">
            <v>17.881583490985356</v>
          </cell>
          <cell r="AI1403">
            <v>15.547864889645153</v>
          </cell>
          <cell r="AJ1403">
            <v>20.215302092325562</v>
          </cell>
          <cell r="AU1403">
            <v>11.934158562275744</v>
          </cell>
          <cell r="AV1403">
            <v>14.263722316306255</v>
          </cell>
          <cell r="AW1403">
            <v>12.105561258724364</v>
          </cell>
          <cell r="AX1403">
            <v>10.242049449424412</v>
          </cell>
          <cell r="AY1403">
            <v>13.969073068024317</v>
          </cell>
        </row>
        <row r="1404">
          <cell r="A1404">
            <v>41502</v>
          </cell>
          <cell r="AF1404">
            <v>16.78022986545604</v>
          </cell>
          <cell r="AG1404">
            <v>20.469360058004284</v>
          </cell>
          <cell r="AH1404">
            <v>17.881583490985356</v>
          </cell>
          <cell r="AI1404">
            <v>15.547864889645153</v>
          </cell>
          <cell r="AJ1404">
            <v>20.215302092325562</v>
          </cell>
          <cell r="AU1404">
            <v>11.895649083059249</v>
          </cell>
          <cell r="AV1404">
            <v>14.263722316306255</v>
          </cell>
          <cell r="AW1404">
            <v>12.105561258724364</v>
          </cell>
          <cell r="AX1404">
            <v>10.242049449424412</v>
          </cell>
          <cell r="AY1404">
            <v>13.969073068024317</v>
          </cell>
        </row>
        <row r="1405">
          <cell r="A1405">
            <v>41505</v>
          </cell>
          <cell r="AF1405">
            <v>16.704282329994236</v>
          </cell>
          <cell r="AG1405">
            <v>20.469360058004284</v>
          </cell>
          <cell r="AH1405">
            <v>17.881583490985356</v>
          </cell>
          <cell r="AI1405">
            <v>15.547864889645153</v>
          </cell>
          <cell r="AJ1405">
            <v>20.215302092325562</v>
          </cell>
          <cell r="AU1405">
            <v>11.852608117459109</v>
          </cell>
          <cell r="AV1405">
            <v>14.263722316306255</v>
          </cell>
          <cell r="AW1405">
            <v>12.105561258724364</v>
          </cell>
          <cell r="AX1405">
            <v>10.242049449424412</v>
          </cell>
          <cell r="AY1405">
            <v>13.969073068024317</v>
          </cell>
        </row>
        <row r="1406">
          <cell r="A1406">
            <v>41506</v>
          </cell>
          <cell r="AF1406">
            <v>16.736260702495656</v>
          </cell>
          <cell r="AG1406">
            <v>20.469360058004284</v>
          </cell>
          <cell r="AH1406">
            <v>17.881583490985356</v>
          </cell>
          <cell r="AI1406">
            <v>15.547864889645153</v>
          </cell>
          <cell r="AJ1406">
            <v>20.215302092325562</v>
          </cell>
          <cell r="AU1406">
            <v>11.870730891587499</v>
          </cell>
          <cell r="AV1406">
            <v>14.263722316306255</v>
          </cell>
          <cell r="AW1406">
            <v>12.105561258724364</v>
          </cell>
          <cell r="AX1406">
            <v>10.242049449424412</v>
          </cell>
          <cell r="AY1406">
            <v>13.969073068024317</v>
          </cell>
        </row>
        <row r="1407">
          <cell r="A1407">
            <v>41507</v>
          </cell>
          <cell r="AF1407">
            <v>16.611922586865763</v>
          </cell>
          <cell r="AG1407">
            <v>20.469360058004284</v>
          </cell>
          <cell r="AH1407">
            <v>17.881583490985356</v>
          </cell>
          <cell r="AI1407">
            <v>15.547864889645153</v>
          </cell>
          <cell r="AJ1407">
            <v>20.215302092325562</v>
          </cell>
          <cell r="AU1407">
            <v>11.807302994370238</v>
          </cell>
          <cell r="AV1407">
            <v>14.263722316306255</v>
          </cell>
          <cell r="AW1407">
            <v>12.105561258724364</v>
          </cell>
          <cell r="AX1407">
            <v>10.242049449424412</v>
          </cell>
          <cell r="AY1407">
            <v>13.969073068024317</v>
          </cell>
        </row>
        <row r="1408">
          <cell r="A1408">
            <v>41508</v>
          </cell>
          <cell r="AF1408">
            <v>16.891516162576728</v>
          </cell>
          <cell r="AG1408">
            <v>20.469360058004284</v>
          </cell>
          <cell r="AH1408">
            <v>17.881583490985356</v>
          </cell>
          <cell r="AI1408">
            <v>15.547864889645153</v>
          </cell>
          <cell r="AJ1408">
            <v>20.215302092325562</v>
          </cell>
          <cell r="AU1408">
            <v>11.965872624148881</v>
          </cell>
          <cell r="AV1408">
            <v>14.263722316306255</v>
          </cell>
          <cell r="AW1408">
            <v>12.105561258724364</v>
          </cell>
          <cell r="AX1408">
            <v>10.242049449424412</v>
          </cell>
          <cell r="AY1408">
            <v>13.969073068024317</v>
          </cell>
        </row>
        <row r="1409">
          <cell r="A1409">
            <v>41509</v>
          </cell>
          <cell r="AF1409">
            <v>16.883526142778756</v>
          </cell>
          <cell r="AG1409">
            <v>20.469360058004284</v>
          </cell>
          <cell r="AH1409">
            <v>17.881583490985356</v>
          </cell>
          <cell r="AI1409">
            <v>15.547864889645153</v>
          </cell>
          <cell r="AJ1409">
            <v>20.215302092325562</v>
          </cell>
          <cell r="AU1409">
            <v>11.961341137765238</v>
          </cell>
          <cell r="AV1409">
            <v>14.263722316306255</v>
          </cell>
          <cell r="AW1409">
            <v>12.105561258724364</v>
          </cell>
          <cell r="AX1409">
            <v>10.242049449424412</v>
          </cell>
          <cell r="AY1409">
            <v>13.969073068024317</v>
          </cell>
        </row>
        <row r="1410">
          <cell r="A1410">
            <v>41512</v>
          </cell>
          <cell r="AF1410">
            <v>16.815624954234682</v>
          </cell>
          <cell r="AG1410">
            <v>20.469360058004284</v>
          </cell>
          <cell r="AH1410">
            <v>17.881583490985356</v>
          </cell>
          <cell r="AI1410">
            <v>15.547864889645153</v>
          </cell>
          <cell r="AJ1410">
            <v>20.215302092325562</v>
          </cell>
          <cell r="AU1410">
            <v>11.922831432019729</v>
          </cell>
          <cell r="AV1410">
            <v>14.263722316306255</v>
          </cell>
          <cell r="AW1410">
            <v>12.105561258724364</v>
          </cell>
          <cell r="AX1410">
            <v>10.242049449424412</v>
          </cell>
          <cell r="AY1410">
            <v>13.969073068024317</v>
          </cell>
        </row>
        <row r="1411">
          <cell r="A1411">
            <v>41513</v>
          </cell>
          <cell r="AF1411">
            <v>16.707779658017319</v>
          </cell>
          <cell r="AG1411">
            <v>20.469360058004284</v>
          </cell>
          <cell r="AH1411">
            <v>17.881583490985356</v>
          </cell>
          <cell r="AI1411">
            <v>15.547864889645153</v>
          </cell>
          <cell r="AJ1411">
            <v>20.215302092325562</v>
          </cell>
          <cell r="AU1411">
            <v>11.861667692291197</v>
          </cell>
          <cell r="AV1411">
            <v>14.263722316306255</v>
          </cell>
          <cell r="AW1411">
            <v>12.105561258724364</v>
          </cell>
          <cell r="AX1411">
            <v>10.242049449424412</v>
          </cell>
          <cell r="AY1411">
            <v>13.969073068024317</v>
          </cell>
        </row>
        <row r="1412">
          <cell r="A1412">
            <v>41514</v>
          </cell>
          <cell r="AF1412">
            <v>16.819617168185925</v>
          </cell>
          <cell r="AG1412">
            <v>20.469360058004284</v>
          </cell>
          <cell r="AH1412">
            <v>17.881583490985356</v>
          </cell>
          <cell r="AI1412">
            <v>15.547864889645153</v>
          </cell>
          <cell r="AJ1412">
            <v>20.215302092325562</v>
          </cell>
          <cell r="AU1412">
            <v>11.925095589508455</v>
          </cell>
          <cell r="AV1412">
            <v>14.263722316306255</v>
          </cell>
          <cell r="AW1412">
            <v>12.105561258724364</v>
          </cell>
          <cell r="AX1412">
            <v>10.242049449424412</v>
          </cell>
          <cell r="AY1412">
            <v>13.969073068024317</v>
          </cell>
        </row>
        <row r="1413">
          <cell r="A1413">
            <v>41515</v>
          </cell>
          <cell r="AF1413">
            <v>16.804824617501559</v>
          </cell>
          <cell r="AG1413">
            <v>20.469360058004284</v>
          </cell>
          <cell r="AH1413">
            <v>17.881583490985356</v>
          </cell>
          <cell r="AI1413">
            <v>15.547864889645153</v>
          </cell>
          <cell r="AJ1413">
            <v>20.215302092325562</v>
          </cell>
          <cell r="AU1413">
            <v>11.933590659564713</v>
          </cell>
          <cell r="AV1413">
            <v>14.263722316306255</v>
          </cell>
          <cell r="AW1413">
            <v>12.105561258724364</v>
          </cell>
          <cell r="AX1413">
            <v>10.242049449424412</v>
          </cell>
          <cell r="AY1413">
            <v>13.969073068024317</v>
          </cell>
        </row>
        <row r="1414">
          <cell r="A1414">
            <v>41516</v>
          </cell>
          <cell r="AF1414">
            <v>16.782838654496555</v>
          </cell>
          <cell r="AG1414">
            <v>20.469360058004284</v>
          </cell>
          <cell r="AH1414">
            <v>17.881583490985356</v>
          </cell>
          <cell r="AI1414">
            <v>15.547864889645153</v>
          </cell>
          <cell r="AJ1414">
            <v>20.215302092325562</v>
          </cell>
          <cell r="AU1414">
            <v>11.921105461947732</v>
          </cell>
          <cell r="AV1414">
            <v>14.263722316306255</v>
          </cell>
          <cell r="AW1414">
            <v>12.105561258724364</v>
          </cell>
          <cell r="AX1414">
            <v>10.242049449424412</v>
          </cell>
          <cell r="AY1414">
            <v>13.969073068024317</v>
          </cell>
        </row>
        <row r="1415">
          <cell r="A1415">
            <v>41519</v>
          </cell>
          <cell r="AF1415">
            <v>16.654631884563823</v>
          </cell>
          <cell r="AG1415">
            <v>20.469360058004284</v>
          </cell>
          <cell r="AH1415">
            <v>17.881583490985356</v>
          </cell>
          <cell r="AI1415">
            <v>15.547864889645153</v>
          </cell>
          <cell r="AJ1415">
            <v>20.215302092325562</v>
          </cell>
          <cell r="AU1415">
            <v>11.854872318178582</v>
          </cell>
          <cell r="AV1415">
            <v>14.263722316306255</v>
          </cell>
          <cell r="AW1415">
            <v>12.105561258724364</v>
          </cell>
          <cell r="AX1415">
            <v>10.242049449424412</v>
          </cell>
          <cell r="AY1415">
            <v>13.969073068024317</v>
          </cell>
        </row>
        <row r="1416">
          <cell r="A1416">
            <v>41520</v>
          </cell>
          <cell r="AF1416">
            <v>16.658601788023258</v>
          </cell>
          <cell r="AG1416">
            <v>20.469360058004284</v>
          </cell>
          <cell r="AH1416">
            <v>17.881583490985356</v>
          </cell>
          <cell r="AI1416">
            <v>15.547864889645153</v>
          </cell>
          <cell r="AJ1416">
            <v>20.215302092325562</v>
          </cell>
          <cell r="AU1416">
            <v>11.857131444969063</v>
          </cell>
          <cell r="AV1416">
            <v>14.263722316306255</v>
          </cell>
          <cell r="AW1416">
            <v>12.105561258724364</v>
          </cell>
          <cell r="AX1416">
            <v>10.242049449424412</v>
          </cell>
          <cell r="AY1416">
            <v>13.969073068024317</v>
          </cell>
        </row>
        <row r="1417">
          <cell r="A1417">
            <v>41521</v>
          </cell>
          <cell r="AF1417">
            <v>16.737927273304194</v>
          </cell>
          <cell r="AG1417">
            <v>20.469360058004284</v>
          </cell>
          <cell r="AH1417">
            <v>17.881583490985356</v>
          </cell>
          <cell r="AI1417">
            <v>15.547864889645153</v>
          </cell>
          <cell r="AJ1417">
            <v>20.215302092325562</v>
          </cell>
          <cell r="AU1417">
            <v>11.902272675932787</v>
          </cell>
          <cell r="AV1417">
            <v>14.263722316306255</v>
          </cell>
          <cell r="AW1417">
            <v>12.105561258724364</v>
          </cell>
          <cell r="AX1417">
            <v>10.242049449424412</v>
          </cell>
          <cell r="AY1417">
            <v>13.969073068024317</v>
          </cell>
        </row>
        <row r="1418">
          <cell r="A1418">
            <v>41522</v>
          </cell>
          <cell r="AF1418">
            <v>16.829151363228913</v>
          </cell>
          <cell r="AG1418">
            <v>20.469360058004284</v>
          </cell>
          <cell r="AH1418">
            <v>17.881583490985356</v>
          </cell>
          <cell r="AI1418">
            <v>15.547864889645153</v>
          </cell>
          <cell r="AJ1418">
            <v>20.215302092325562</v>
          </cell>
          <cell r="AU1418">
            <v>11.954184967400822</v>
          </cell>
          <cell r="AV1418">
            <v>14.263722316306255</v>
          </cell>
          <cell r="AW1418">
            <v>12.105561258724364</v>
          </cell>
          <cell r="AX1418">
            <v>10.242049449424412</v>
          </cell>
          <cell r="AY1418">
            <v>13.969073068024317</v>
          </cell>
        </row>
        <row r="1419">
          <cell r="A1419">
            <v>41523</v>
          </cell>
          <cell r="AF1419">
            <v>16.991772633883595</v>
          </cell>
          <cell r="AG1419">
            <v>20.469360058004284</v>
          </cell>
          <cell r="AH1419">
            <v>17.881583490985356</v>
          </cell>
          <cell r="AI1419">
            <v>15.547864889645153</v>
          </cell>
          <cell r="AJ1419">
            <v>20.215302092325562</v>
          </cell>
          <cell r="AU1419">
            <v>12.046726781828285</v>
          </cell>
          <cell r="AV1419">
            <v>14.263722316306255</v>
          </cell>
          <cell r="AW1419">
            <v>12.105561258724364</v>
          </cell>
          <cell r="AX1419">
            <v>10.242049449424412</v>
          </cell>
          <cell r="AY1419">
            <v>13.969073068024317</v>
          </cell>
        </row>
        <row r="1420">
          <cell r="A1420">
            <v>41526</v>
          </cell>
          <cell r="AF1420">
            <v>17.174220417099658</v>
          </cell>
          <cell r="AG1420">
            <v>20.469360058004284</v>
          </cell>
          <cell r="AH1420">
            <v>17.881583490985356</v>
          </cell>
          <cell r="AI1420">
            <v>15.547864889645153</v>
          </cell>
          <cell r="AJ1420">
            <v>20.215302092325562</v>
          </cell>
          <cell r="AU1420">
            <v>12.150551139054812</v>
          </cell>
          <cell r="AV1420">
            <v>14.263722316306255</v>
          </cell>
          <cell r="AW1420">
            <v>12.105561258724364</v>
          </cell>
          <cell r="AX1420">
            <v>10.242049449424412</v>
          </cell>
          <cell r="AY1420">
            <v>13.969073068024317</v>
          </cell>
        </row>
        <row r="1421">
          <cell r="A1421">
            <v>41527</v>
          </cell>
          <cell r="AF1421">
            <v>17.602585256344149</v>
          </cell>
          <cell r="AG1421">
            <v>20.469360058004284</v>
          </cell>
          <cell r="AH1421">
            <v>17.881583490985356</v>
          </cell>
          <cell r="AI1421">
            <v>15.547864889645153</v>
          </cell>
          <cell r="AJ1421">
            <v>20.215302092325562</v>
          </cell>
          <cell r="AU1421">
            <v>12.394317894172552</v>
          </cell>
          <cell r="AV1421">
            <v>14.263722316306255</v>
          </cell>
          <cell r="AW1421">
            <v>12.105561258724364</v>
          </cell>
          <cell r="AX1421">
            <v>10.242049449424412</v>
          </cell>
          <cell r="AY1421">
            <v>13.969073068024317</v>
          </cell>
        </row>
        <row r="1422">
          <cell r="A1422">
            <v>41528</v>
          </cell>
          <cell r="AF1422">
            <v>17.907994542324747</v>
          </cell>
          <cell r="AG1422">
            <v>20.469360058004284</v>
          </cell>
          <cell r="AH1422">
            <v>17.881583490985356</v>
          </cell>
          <cell r="AI1422">
            <v>15.547864889645153</v>
          </cell>
          <cell r="AJ1422">
            <v>20.215302092325562</v>
          </cell>
          <cell r="AU1422">
            <v>12.568115143166237</v>
          </cell>
          <cell r="AV1422">
            <v>14.263722316306255</v>
          </cell>
          <cell r="AW1422">
            <v>12.105561258724364</v>
          </cell>
          <cell r="AX1422">
            <v>10.242049449424412</v>
          </cell>
          <cell r="AY1422">
            <v>13.969073068024317</v>
          </cell>
        </row>
        <row r="1423">
          <cell r="A1423">
            <v>41529</v>
          </cell>
          <cell r="AF1423">
            <v>17.66208383243033</v>
          </cell>
          <cell r="AG1423">
            <v>20.469360058004284</v>
          </cell>
          <cell r="AH1423">
            <v>17.881583490985356</v>
          </cell>
          <cell r="AI1423">
            <v>15.547864889645153</v>
          </cell>
          <cell r="AJ1423">
            <v>20.215302092325562</v>
          </cell>
          <cell r="AU1423">
            <v>12.428176356627672</v>
          </cell>
          <cell r="AV1423">
            <v>14.263722316306255</v>
          </cell>
          <cell r="AW1423">
            <v>12.105561258724364</v>
          </cell>
          <cell r="AX1423">
            <v>10.242049449424412</v>
          </cell>
          <cell r="AY1423">
            <v>13.969073068024317</v>
          </cell>
        </row>
        <row r="1424">
          <cell r="A1424">
            <v>41530</v>
          </cell>
          <cell r="AF1424">
            <v>17.495492658316213</v>
          </cell>
          <cell r="AG1424">
            <v>20.469360058004284</v>
          </cell>
          <cell r="AH1424">
            <v>17.881583490985356</v>
          </cell>
          <cell r="AI1424">
            <v>15.547864889645153</v>
          </cell>
          <cell r="AJ1424">
            <v>20.215302092325562</v>
          </cell>
          <cell r="AU1424">
            <v>12.333375415409725</v>
          </cell>
          <cell r="AV1424">
            <v>14.263722316306255</v>
          </cell>
          <cell r="AW1424">
            <v>12.105561258724364</v>
          </cell>
          <cell r="AX1424">
            <v>10.242049449424412</v>
          </cell>
          <cell r="AY1424">
            <v>13.969073068024317</v>
          </cell>
        </row>
        <row r="1425">
          <cell r="A1425">
            <v>41533</v>
          </cell>
          <cell r="AF1425">
            <v>17.666048183022504</v>
          </cell>
          <cell r="AG1425">
            <v>20.469360058004284</v>
          </cell>
          <cell r="AH1425">
            <v>17.881583490985356</v>
          </cell>
          <cell r="AI1425">
            <v>15.547864889645153</v>
          </cell>
          <cell r="AJ1425">
            <v>20.215302092325562</v>
          </cell>
          <cell r="AU1425">
            <v>12.430432323484588</v>
          </cell>
          <cell r="AV1425">
            <v>14.263722316306255</v>
          </cell>
          <cell r="AW1425">
            <v>12.105561258724364</v>
          </cell>
          <cell r="AX1425">
            <v>10.242049449424412</v>
          </cell>
          <cell r="AY1425">
            <v>13.969073068024317</v>
          </cell>
        </row>
        <row r="1426">
          <cell r="A1426">
            <v>41534</v>
          </cell>
          <cell r="AF1426">
            <v>17.654149578378721</v>
          </cell>
          <cell r="AG1426">
            <v>20.469360058004284</v>
          </cell>
          <cell r="AH1426">
            <v>17.881583490985356</v>
          </cell>
          <cell r="AI1426">
            <v>15.547864889645153</v>
          </cell>
          <cell r="AJ1426">
            <v>20.215302092325562</v>
          </cell>
          <cell r="AU1426">
            <v>12.423661262980277</v>
          </cell>
          <cell r="AV1426">
            <v>14.263722316306255</v>
          </cell>
          <cell r="AW1426">
            <v>12.105561258724364</v>
          </cell>
          <cell r="AX1426">
            <v>10.242049449424412</v>
          </cell>
          <cell r="AY1426">
            <v>13.969073068024317</v>
          </cell>
        </row>
        <row r="1427">
          <cell r="A1427">
            <v>41535</v>
          </cell>
          <cell r="AF1427">
            <v>17.654149578378721</v>
          </cell>
          <cell r="AG1427">
            <v>20.469360058004284</v>
          </cell>
          <cell r="AH1427">
            <v>17.881583490985356</v>
          </cell>
          <cell r="AI1427">
            <v>15.547864889645153</v>
          </cell>
          <cell r="AJ1427">
            <v>20.215302092325562</v>
          </cell>
          <cell r="AU1427">
            <v>12.423661262980277</v>
          </cell>
          <cell r="AV1427">
            <v>14.263722316306255</v>
          </cell>
          <cell r="AW1427">
            <v>12.105561258724364</v>
          </cell>
          <cell r="AX1427">
            <v>10.242049449424412</v>
          </cell>
          <cell r="AY1427">
            <v>13.969073068024317</v>
          </cell>
        </row>
        <row r="1428">
          <cell r="A1428">
            <v>41536</v>
          </cell>
          <cell r="AF1428">
            <v>17.574824093097785</v>
          </cell>
          <cell r="AG1428">
            <v>20.469360058004284</v>
          </cell>
          <cell r="AH1428">
            <v>17.881583490985356</v>
          </cell>
          <cell r="AI1428">
            <v>15.547864889645153</v>
          </cell>
          <cell r="AJ1428">
            <v>20.215302092325562</v>
          </cell>
          <cell r="AU1428">
            <v>12.378520032016555</v>
          </cell>
          <cell r="AV1428">
            <v>14.263722316306255</v>
          </cell>
          <cell r="AW1428">
            <v>12.105561258724364</v>
          </cell>
          <cell r="AX1428">
            <v>10.242049449424412</v>
          </cell>
          <cell r="AY1428">
            <v>13.969073068024317</v>
          </cell>
        </row>
        <row r="1429">
          <cell r="A1429">
            <v>41537</v>
          </cell>
          <cell r="AF1429">
            <v>17.48359405367243</v>
          </cell>
          <cell r="AG1429">
            <v>20.469360058004284</v>
          </cell>
          <cell r="AH1429">
            <v>17.881583490985356</v>
          </cell>
          <cell r="AI1429">
            <v>15.547864889645153</v>
          </cell>
          <cell r="AJ1429">
            <v>20.215302092325562</v>
          </cell>
          <cell r="AU1429">
            <v>12.326604354905415</v>
          </cell>
          <cell r="AV1429">
            <v>14.263722316306255</v>
          </cell>
          <cell r="AW1429">
            <v>12.105561258724364</v>
          </cell>
          <cell r="AX1429">
            <v>10.242049449424412</v>
          </cell>
          <cell r="AY1429">
            <v>13.969073068024317</v>
          </cell>
        </row>
        <row r="1430">
          <cell r="A1430">
            <v>41540</v>
          </cell>
          <cell r="AF1430">
            <v>17.491528307724039</v>
          </cell>
          <cell r="AG1430">
            <v>20.469360058004284</v>
          </cell>
          <cell r="AH1430">
            <v>17.881583490985356</v>
          </cell>
          <cell r="AI1430">
            <v>15.547864889645153</v>
          </cell>
          <cell r="AJ1430">
            <v>20.215302092325562</v>
          </cell>
          <cell r="AU1430">
            <v>12.331119448552812</v>
          </cell>
          <cell r="AV1430">
            <v>14.263722316306255</v>
          </cell>
          <cell r="AW1430">
            <v>12.105561258724364</v>
          </cell>
          <cell r="AX1430">
            <v>10.242049449424412</v>
          </cell>
          <cell r="AY1430">
            <v>13.969073068024317</v>
          </cell>
        </row>
        <row r="1431">
          <cell r="A1431">
            <v>41541</v>
          </cell>
          <cell r="AF1431">
            <v>17.420137473128086</v>
          </cell>
          <cell r="AG1431">
            <v>20.469360058004284</v>
          </cell>
          <cell r="AH1431">
            <v>17.881583490985356</v>
          </cell>
          <cell r="AI1431">
            <v>15.547864889645153</v>
          </cell>
          <cell r="AJ1431">
            <v>20.215302092325562</v>
          </cell>
          <cell r="AU1431">
            <v>12.290493536946025</v>
          </cell>
          <cell r="AV1431">
            <v>14.263722316306255</v>
          </cell>
          <cell r="AW1431">
            <v>12.105561258724364</v>
          </cell>
          <cell r="AX1431">
            <v>10.242049449424412</v>
          </cell>
          <cell r="AY1431">
            <v>13.969073068024317</v>
          </cell>
        </row>
        <row r="1432">
          <cell r="A1432">
            <v>41542</v>
          </cell>
          <cell r="AF1432">
            <v>17.22578473913423</v>
          </cell>
          <cell r="AG1432">
            <v>20.469360058004284</v>
          </cell>
          <cell r="AH1432">
            <v>17.881583490985356</v>
          </cell>
          <cell r="AI1432">
            <v>15.547864889645153</v>
          </cell>
          <cell r="AJ1432">
            <v>20.215302092325562</v>
          </cell>
          <cell r="AU1432">
            <v>12.17989450786254</v>
          </cell>
          <cell r="AV1432">
            <v>14.263722316306255</v>
          </cell>
          <cell r="AW1432">
            <v>12.105561258724364</v>
          </cell>
          <cell r="AX1432">
            <v>10.242049449424412</v>
          </cell>
          <cell r="AY1432">
            <v>13.969073068024317</v>
          </cell>
        </row>
        <row r="1433">
          <cell r="A1433">
            <v>41543</v>
          </cell>
          <cell r="AF1433">
            <v>17.257516202473408</v>
          </cell>
          <cell r="AG1433">
            <v>20.469360058004284</v>
          </cell>
          <cell r="AH1433">
            <v>17.881583490985356</v>
          </cell>
          <cell r="AI1433">
            <v>15.547864889645153</v>
          </cell>
          <cell r="AJ1433">
            <v>20.215302092325562</v>
          </cell>
          <cell r="AU1433">
            <v>12.197951722518557</v>
          </cell>
          <cell r="AV1433">
            <v>14.263722316306255</v>
          </cell>
          <cell r="AW1433">
            <v>12.105561258724364</v>
          </cell>
          <cell r="AX1433">
            <v>10.242049449424412</v>
          </cell>
          <cell r="AY1433">
            <v>13.969073068024317</v>
          </cell>
        </row>
        <row r="1434">
          <cell r="A1434">
            <v>41544</v>
          </cell>
          <cell r="AF1434">
            <v>17.209922180531649</v>
          </cell>
          <cell r="AG1434">
            <v>20.469360058004284</v>
          </cell>
          <cell r="AH1434">
            <v>17.881583490985356</v>
          </cell>
          <cell r="AI1434">
            <v>15.547864889645153</v>
          </cell>
          <cell r="AJ1434">
            <v>20.215302092325562</v>
          </cell>
          <cell r="AU1434">
            <v>12.170867706210853</v>
          </cell>
          <cell r="AV1434">
            <v>14.263722316306255</v>
          </cell>
          <cell r="AW1434">
            <v>12.105561258724364</v>
          </cell>
          <cell r="AX1434">
            <v>10.242049449424412</v>
          </cell>
          <cell r="AY1434">
            <v>13.969073068024317</v>
          </cell>
        </row>
        <row r="1435">
          <cell r="A1435">
            <v>41547</v>
          </cell>
          <cell r="AF1435">
            <v>17.219835635129026</v>
          </cell>
          <cell r="AG1435">
            <v>20.469360058004284</v>
          </cell>
          <cell r="AH1435">
            <v>17.881583490985356</v>
          </cell>
          <cell r="AI1435">
            <v>15.547864889645153</v>
          </cell>
          <cell r="AJ1435">
            <v>20.215302092325562</v>
          </cell>
          <cell r="AU1435">
            <v>12.176509090465155</v>
          </cell>
          <cell r="AV1435">
            <v>14.263722316306255</v>
          </cell>
          <cell r="AW1435">
            <v>12.105561258724364</v>
          </cell>
          <cell r="AX1435">
            <v>10.242049449424412</v>
          </cell>
          <cell r="AY1435">
            <v>13.969073068024317</v>
          </cell>
        </row>
        <row r="1436">
          <cell r="A1436">
            <v>41548</v>
          </cell>
          <cell r="AF1436">
            <v>17.181930479220775</v>
          </cell>
          <cell r="AG1436">
            <v>20.469360058004284</v>
          </cell>
          <cell r="AH1436">
            <v>17.881583490985356</v>
          </cell>
          <cell r="AI1436">
            <v>15.547864889645153</v>
          </cell>
          <cell r="AJ1436">
            <v>20.215302092325562</v>
          </cell>
          <cell r="AU1436">
            <v>12.163064869108034</v>
          </cell>
          <cell r="AV1436">
            <v>14.263722316306255</v>
          </cell>
          <cell r="AW1436">
            <v>12.105561258724364</v>
          </cell>
          <cell r="AX1436">
            <v>10.242049449424412</v>
          </cell>
          <cell r="AY1436">
            <v>13.969073068024317</v>
          </cell>
        </row>
        <row r="1437">
          <cell r="A1437">
            <v>41549</v>
          </cell>
          <cell r="AF1437">
            <v>17.272525583827576</v>
          </cell>
          <cell r="AG1437">
            <v>20.469360058004284</v>
          </cell>
          <cell r="AH1437">
            <v>17.881583490985356</v>
          </cell>
          <cell r="AI1437">
            <v>15.547864889645153</v>
          </cell>
          <cell r="AJ1437">
            <v>20.215302092325562</v>
          </cell>
          <cell r="AU1437">
            <v>12.214723315339569</v>
          </cell>
          <cell r="AV1437">
            <v>14.263722316306255</v>
          </cell>
          <cell r="AW1437">
            <v>12.105561258724364</v>
          </cell>
          <cell r="AX1437">
            <v>10.242049449424412</v>
          </cell>
          <cell r="AY1437">
            <v>13.969073068024317</v>
          </cell>
        </row>
        <row r="1438">
          <cell r="A1438">
            <v>41550</v>
          </cell>
          <cell r="AF1438">
            <v>17.02436641133335</v>
          </cell>
          <cell r="AG1438">
            <v>20.469360058004284</v>
          </cell>
          <cell r="AH1438">
            <v>17.881583490985356</v>
          </cell>
          <cell r="AI1438">
            <v>15.547864889645153</v>
          </cell>
          <cell r="AJ1438">
            <v>20.215302092325562</v>
          </cell>
          <cell r="AU1438">
            <v>12.073219893882158</v>
          </cell>
          <cell r="AV1438">
            <v>14.263722316306255</v>
          </cell>
          <cell r="AW1438">
            <v>12.105561258724364</v>
          </cell>
          <cell r="AX1438">
            <v>10.242049449424412</v>
          </cell>
          <cell r="AY1438">
            <v>13.969073068024317</v>
          </cell>
        </row>
        <row r="1439">
          <cell r="A1439">
            <v>41551</v>
          </cell>
          <cell r="AF1439">
            <v>17.5246217900423</v>
          </cell>
          <cell r="AG1439">
            <v>20.469360058004284</v>
          </cell>
          <cell r="AH1439">
            <v>17.881583490985356</v>
          </cell>
          <cell r="AI1439">
            <v>15.547864889645153</v>
          </cell>
          <cell r="AJ1439">
            <v>20.215302092325562</v>
          </cell>
          <cell r="AU1439">
            <v>12.366354792044541</v>
          </cell>
          <cell r="AV1439">
            <v>14.263722316306255</v>
          </cell>
          <cell r="AW1439">
            <v>12.105561258724364</v>
          </cell>
          <cell r="AX1439">
            <v>10.242049449424412</v>
          </cell>
          <cell r="AY1439">
            <v>13.969073068024317</v>
          </cell>
        </row>
        <row r="1440">
          <cell r="A1440">
            <v>41554</v>
          </cell>
          <cell r="AF1440">
            <v>17.311555420436044</v>
          </cell>
          <cell r="AG1440">
            <v>20.469360058004284</v>
          </cell>
          <cell r="AH1440">
            <v>17.881583490985356</v>
          </cell>
          <cell r="AI1440">
            <v>15.547864889645153</v>
          </cell>
          <cell r="AJ1440">
            <v>20.215302092325562</v>
          </cell>
          <cell r="AU1440">
            <v>12.242741566610569</v>
          </cell>
          <cell r="AV1440">
            <v>14.263722316306255</v>
          </cell>
          <cell r="AW1440">
            <v>12.105561258724364</v>
          </cell>
          <cell r="AX1440">
            <v>10.242049449424412</v>
          </cell>
          <cell r="AY1440">
            <v>13.969073068024317</v>
          </cell>
        </row>
        <row r="1441">
          <cell r="A1441">
            <v>41555</v>
          </cell>
          <cell r="AF1441">
            <v>17.150027217577428</v>
          </cell>
          <cell r="AG1441">
            <v>20.469360058004284</v>
          </cell>
          <cell r="AH1441">
            <v>17.881583490985356</v>
          </cell>
          <cell r="AI1441">
            <v>15.547864889645153</v>
          </cell>
          <cell r="AJ1441">
            <v>20.215302092325562</v>
          </cell>
          <cell r="AU1441">
            <v>12.150596500706476</v>
          </cell>
          <cell r="AV1441">
            <v>14.263722316306255</v>
          </cell>
          <cell r="AW1441">
            <v>12.105561258724364</v>
          </cell>
          <cell r="AX1441">
            <v>10.242049449424412</v>
          </cell>
          <cell r="AY1441">
            <v>13.969073068024317</v>
          </cell>
        </row>
        <row r="1442">
          <cell r="A1442">
            <v>41556</v>
          </cell>
          <cell r="AF1442">
            <v>17.150027217577428</v>
          </cell>
          <cell r="AG1442">
            <v>20.469360058004284</v>
          </cell>
          <cell r="AH1442">
            <v>17.881583490985356</v>
          </cell>
          <cell r="AI1442">
            <v>15.547864889645153</v>
          </cell>
          <cell r="AJ1442">
            <v>20.215302092325562</v>
          </cell>
          <cell r="AU1442">
            <v>12.150596500706476</v>
          </cell>
          <cell r="AV1442">
            <v>14.263722316306255</v>
          </cell>
          <cell r="AW1442">
            <v>12.105561258724364</v>
          </cell>
          <cell r="AX1442">
            <v>10.242049449424412</v>
          </cell>
          <cell r="AY1442">
            <v>13.969073068024317</v>
          </cell>
        </row>
        <row r="1443">
          <cell r="A1443">
            <v>41557</v>
          </cell>
          <cell r="AF1443">
            <v>17.370656235781379</v>
          </cell>
          <cell r="AG1443">
            <v>20.469360058004284</v>
          </cell>
          <cell r="AH1443">
            <v>17.881583490985356</v>
          </cell>
          <cell r="AI1443">
            <v>15.547864889645153</v>
          </cell>
          <cell r="AJ1443">
            <v>20.215302092325562</v>
          </cell>
          <cell r="AU1443">
            <v>12.276456103320594</v>
          </cell>
          <cell r="AV1443">
            <v>14.263722316306255</v>
          </cell>
          <cell r="AW1443">
            <v>12.105561258724364</v>
          </cell>
          <cell r="AX1443">
            <v>10.242049449424412</v>
          </cell>
          <cell r="AY1443">
            <v>13.969073068024317</v>
          </cell>
        </row>
        <row r="1444">
          <cell r="A1444">
            <v>41558</v>
          </cell>
          <cell r="AF1444">
            <v>17.559765922283514</v>
          </cell>
          <cell r="AG1444">
            <v>20.469360058004284</v>
          </cell>
          <cell r="AH1444">
            <v>17.881583490985356</v>
          </cell>
          <cell r="AI1444">
            <v>15.547864889645153</v>
          </cell>
          <cell r="AJ1444">
            <v>20.215302092325562</v>
          </cell>
          <cell r="AU1444">
            <v>12.384335248989627</v>
          </cell>
          <cell r="AV1444">
            <v>14.263722316306255</v>
          </cell>
          <cell r="AW1444">
            <v>12.105561258724364</v>
          </cell>
          <cell r="AX1444">
            <v>10.242049449424412</v>
          </cell>
          <cell r="AY1444">
            <v>13.969073068024317</v>
          </cell>
        </row>
        <row r="1445">
          <cell r="A1445">
            <v>41561</v>
          </cell>
          <cell r="AF1445">
            <v>17.622804191705345</v>
          </cell>
          <cell r="AG1445">
            <v>20.469360058004284</v>
          </cell>
          <cell r="AH1445">
            <v>17.881583490985356</v>
          </cell>
          <cell r="AI1445">
            <v>15.547864889645153</v>
          </cell>
          <cell r="AJ1445">
            <v>20.215302092325562</v>
          </cell>
          <cell r="AU1445">
            <v>12.42029593812971</v>
          </cell>
          <cell r="AV1445">
            <v>14.263722316306255</v>
          </cell>
          <cell r="AW1445">
            <v>12.105561258724364</v>
          </cell>
          <cell r="AX1445">
            <v>10.242049449424412</v>
          </cell>
          <cell r="AY1445">
            <v>13.969073068024317</v>
          </cell>
        </row>
        <row r="1446">
          <cell r="A1446">
            <v>41562</v>
          </cell>
          <cell r="AF1446">
            <v>17.449451413181542</v>
          </cell>
          <cell r="AG1446">
            <v>20.469360058004284</v>
          </cell>
          <cell r="AH1446">
            <v>17.881583490985356</v>
          </cell>
          <cell r="AI1446">
            <v>15.547864889645153</v>
          </cell>
          <cell r="AJ1446">
            <v>20.215302092325562</v>
          </cell>
          <cell r="AU1446">
            <v>12.319005582856633</v>
          </cell>
          <cell r="AV1446">
            <v>14.263722316306255</v>
          </cell>
          <cell r="AW1446">
            <v>12.105561258724364</v>
          </cell>
          <cell r="AX1446">
            <v>10.242049449424412</v>
          </cell>
          <cell r="AY1446">
            <v>13.969073068024317</v>
          </cell>
        </row>
        <row r="1447">
          <cell r="A1447">
            <v>41563</v>
          </cell>
          <cell r="AF1447">
            <v>17.532189954385149</v>
          </cell>
          <cell r="AG1447">
            <v>20.469360058004284</v>
          </cell>
          <cell r="AH1447">
            <v>17.881583490985356</v>
          </cell>
          <cell r="AI1447">
            <v>15.547864889645153</v>
          </cell>
          <cell r="AJ1447">
            <v>20.215302092325562</v>
          </cell>
          <cell r="AU1447">
            <v>12.364838134595461</v>
          </cell>
          <cell r="AV1447">
            <v>14.263722316306255</v>
          </cell>
          <cell r="AW1447">
            <v>12.105561258724364</v>
          </cell>
          <cell r="AX1447">
            <v>10.242049449424412</v>
          </cell>
          <cell r="AY1447">
            <v>13.969073068024317</v>
          </cell>
        </row>
        <row r="1448">
          <cell r="A1448">
            <v>41564</v>
          </cell>
          <cell r="AF1448">
            <v>17.911326487682167</v>
          </cell>
          <cell r="AG1448">
            <v>20.469360058004284</v>
          </cell>
          <cell r="AH1448">
            <v>17.881583490985356</v>
          </cell>
          <cell r="AI1448">
            <v>15.547864889645153</v>
          </cell>
          <cell r="AJ1448">
            <v>20.215302092325562</v>
          </cell>
          <cell r="AU1448">
            <v>12.569295971629614</v>
          </cell>
          <cell r="AV1448">
            <v>14.263722316306255</v>
          </cell>
          <cell r="AW1448">
            <v>12.105561258724364</v>
          </cell>
          <cell r="AX1448">
            <v>10.242049449424412</v>
          </cell>
          <cell r="AY1448">
            <v>13.969073068024317</v>
          </cell>
        </row>
        <row r="1449">
          <cell r="A1449">
            <v>41565</v>
          </cell>
          <cell r="AF1449">
            <v>18.025716032503237</v>
          </cell>
          <cell r="AG1449">
            <v>20.469360058004284</v>
          </cell>
          <cell r="AH1449">
            <v>17.881583490985356</v>
          </cell>
          <cell r="AI1449">
            <v>15.547864889645153</v>
          </cell>
          <cell r="AJ1449">
            <v>20.215302092325562</v>
          </cell>
          <cell r="AU1449">
            <v>12.634455449823966</v>
          </cell>
          <cell r="AV1449">
            <v>14.263722316306255</v>
          </cell>
          <cell r="AW1449">
            <v>12.105561258724364</v>
          </cell>
          <cell r="AX1449">
            <v>10.242049449424412</v>
          </cell>
          <cell r="AY1449">
            <v>13.969073068024317</v>
          </cell>
        </row>
        <row r="1450">
          <cell r="A1450">
            <v>41568</v>
          </cell>
          <cell r="AF1450">
            <v>18.037548712826148</v>
          </cell>
          <cell r="AG1450">
            <v>20.469360058004284</v>
          </cell>
          <cell r="AH1450">
            <v>17.881583490985356</v>
          </cell>
          <cell r="AI1450">
            <v>15.547864889645153</v>
          </cell>
          <cell r="AJ1450">
            <v>20.215302092325562</v>
          </cell>
          <cell r="AU1450">
            <v>12.641195674874144</v>
          </cell>
          <cell r="AV1450">
            <v>14.263722316306255</v>
          </cell>
          <cell r="AW1450">
            <v>12.105561258724364</v>
          </cell>
          <cell r="AX1450">
            <v>10.242049449424412</v>
          </cell>
          <cell r="AY1450">
            <v>13.969073068024317</v>
          </cell>
        </row>
        <row r="1451">
          <cell r="A1451">
            <v>41569</v>
          </cell>
          <cell r="AF1451">
            <v>17.966547108787118</v>
          </cell>
          <cell r="AG1451">
            <v>20.469360058004284</v>
          </cell>
          <cell r="AH1451">
            <v>17.881583490985356</v>
          </cell>
          <cell r="AI1451">
            <v>15.547864889645153</v>
          </cell>
          <cell r="AJ1451">
            <v>20.215302092325562</v>
          </cell>
          <cell r="AU1451">
            <v>12.626922938241597</v>
          </cell>
          <cell r="AV1451">
            <v>14.263722316306255</v>
          </cell>
          <cell r="AW1451">
            <v>12.105561258724364</v>
          </cell>
          <cell r="AX1451">
            <v>10.242049449424412</v>
          </cell>
          <cell r="AY1451">
            <v>13.969073068024317</v>
          </cell>
        </row>
        <row r="1452">
          <cell r="A1452">
            <v>41570</v>
          </cell>
          <cell r="AF1452">
            <v>17.929075310948623</v>
          </cell>
          <cell r="AG1452">
            <v>20.469360058004284</v>
          </cell>
          <cell r="AH1452">
            <v>17.881583490985356</v>
          </cell>
          <cell r="AI1452">
            <v>15.547864889645153</v>
          </cell>
          <cell r="AJ1452">
            <v>20.215302092325562</v>
          </cell>
          <cell r="AU1452">
            <v>12.605523371137219</v>
          </cell>
          <cell r="AV1452">
            <v>14.263722316306255</v>
          </cell>
          <cell r="AW1452">
            <v>12.105561258724364</v>
          </cell>
          <cell r="AX1452">
            <v>10.242049449424412</v>
          </cell>
          <cell r="AY1452">
            <v>13.969073068024317</v>
          </cell>
        </row>
        <row r="1453">
          <cell r="A1453">
            <v>41571</v>
          </cell>
          <cell r="AF1453">
            <v>17.749612138106826</v>
          </cell>
          <cell r="AG1453">
            <v>20.469360058004284</v>
          </cell>
          <cell r="AH1453">
            <v>17.881583490985356</v>
          </cell>
          <cell r="AI1453">
            <v>15.547864889645153</v>
          </cell>
          <cell r="AJ1453">
            <v>20.215302092325562</v>
          </cell>
          <cell r="AU1453">
            <v>12.503034714827075</v>
          </cell>
          <cell r="AV1453">
            <v>14.263722316306255</v>
          </cell>
          <cell r="AW1453">
            <v>12.105561258724364</v>
          </cell>
          <cell r="AX1453">
            <v>10.242049449424412</v>
          </cell>
          <cell r="AY1453">
            <v>13.969073068024317</v>
          </cell>
        </row>
        <row r="1454">
          <cell r="A1454">
            <v>41572</v>
          </cell>
          <cell r="AF1454">
            <v>17.749612138106826</v>
          </cell>
          <cell r="AG1454">
            <v>20.469360058004284</v>
          </cell>
          <cell r="AH1454">
            <v>17.881583490985356</v>
          </cell>
          <cell r="AI1454">
            <v>15.547864889645153</v>
          </cell>
          <cell r="AJ1454">
            <v>20.215302092325562</v>
          </cell>
          <cell r="AU1454">
            <v>12.503034714827075</v>
          </cell>
          <cell r="AV1454">
            <v>14.263722316306255</v>
          </cell>
          <cell r="AW1454">
            <v>12.105561258724364</v>
          </cell>
          <cell r="AX1454">
            <v>10.242049449424412</v>
          </cell>
          <cell r="AY1454">
            <v>13.969073068024317</v>
          </cell>
        </row>
        <row r="1455">
          <cell r="A1455">
            <v>41575</v>
          </cell>
          <cell r="AF1455">
            <v>17.7417218438577</v>
          </cell>
          <cell r="AG1455">
            <v>20.469360058004284</v>
          </cell>
          <cell r="AH1455">
            <v>17.881583490985356</v>
          </cell>
          <cell r="AI1455">
            <v>15.547864889645153</v>
          </cell>
          <cell r="AJ1455">
            <v>20.215302092325562</v>
          </cell>
          <cell r="AU1455">
            <v>12.498528689202544</v>
          </cell>
          <cell r="AV1455">
            <v>14.263722316306255</v>
          </cell>
          <cell r="AW1455">
            <v>12.105561258724364</v>
          </cell>
          <cell r="AX1455">
            <v>10.242049449424412</v>
          </cell>
          <cell r="AY1455">
            <v>13.969073068024317</v>
          </cell>
        </row>
        <row r="1456">
          <cell r="A1456">
            <v>41576</v>
          </cell>
          <cell r="AF1456">
            <v>17.97791677428069</v>
          </cell>
          <cell r="AG1456">
            <v>20.469360058004284</v>
          </cell>
          <cell r="AH1456">
            <v>17.881583490985356</v>
          </cell>
          <cell r="AI1456">
            <v>15.547864889645153</v>
          </cell>
          <cell r="AJ1456">
            <v>20.215302092325562</v>
          </cell>
          <cell r="AU1456">
            <v>12.617318804358645</v>
          </cell>
          <cell r="AV1456">
            <v>14.263722316306255</v>
          </cell>
          <cell r="AW1456">
            <v>12.105561258724364</v>
          </cell>
          <cell r="AX1456">
            <v>10.242049449424412</v>
          </cell>
          <cell r="AY1456">
            <v>13.969073068024317</v>
          </cell>
        </row>
        <row r="1457">
          <cell r="A1457">
            <v>41577</v>
          </cell>
          <cell r="AF1457">
            <v>18.364422300592569</v>
          </cell>
          <cell r="AG1457">
            <v>20.469360058004284</v>
          </cell>
          <cell r="AH1457">
            <v>17.881583490985356</v>
          </cell>
          <cell r="AI1457">
            <v>15.547864889645153</v>
          </cell>
          <cell r="AJ1457">
            <v>20.215302092325562</v>
          </cell>
          <cell r="AU1457">
            <v>12.850447619099601</v>
          </cell>
          <cell r="AV1457">
            <v>14.263722316306255</v>
          </cell>
          <cell r="AW1457">
            <v>12.105561258724364</v>
          </cell>
          <cell r="AX1457">
            <v>10.242049449424412</v>
          </cell>
          <cell r="AY1457">
            <v>13.969073068024317</v>
          </cell>
        </row>
        <row r="1458">
          <cell r="A1458">
            <v>41578</v>
          </cell>
          <cell r="AF1458">
            <v>18.492006359635102</v>
          </cell>
          <cell r="AG1458">
            <v>20.469360058004284</v>
          </cell>
          <cell r="AH1458">
            <v>17.881583490985356</v>
          </cell>
          <cell r="AI1458">
            <v>15.547864889645153</v>
          </cell>
          <cell r="AJ1458">
            <v>20.215302092325562</v>
          </cell>
          <cell r="AU1458">
            <v>12.924081900809405</v>
          </cell>
          <cell r="AV1458">
            <v>14.263722316306255</v>
          </cell>
          <cell r="AW1458">
            <v>12.105561258724364</v>
          </cell>
          <cell r="AX1458">
            <v>10.242049449424412</v>
          </cell>
          <cell r="AY1458">
            <v>13.969073068024317</v>
          </cell>
        </row>
        <row r="1459">
          <cell r="A1459">
            <v>41579</v>
          </cell>
          <cell r="AF1459">
            <v>18.36659136731322</v>
          </cell>
          <cell r="AG1459">
            <v>20.469360058004284</v>
          </cell>
          <cell r="AH1459">
            <v>17.881583490985356</v>
          </cell>
          <cell r="AI1459">
            <v>15.547864889645153</v>
          </cell>
          <cell r="AJ1459">
            <v>20.215302092325562</v>
          </cell>
          <cell r="AU1459">
            <v>12.863483365627101</v>
          </cell>
          <cell r="AV1459">
            <v>14.263722316306255</v>
          </cell>
          <cell r="AW1459">
            <v>12.105561258724364</v>
          </cell>
          <cell r="AX1459">
            <v>10.242049449424412</v>
          </cell>
          <cell r="AY1459">
            <v>13.969073068024317</v>
          </cell>
        </row>
        <row r="1460">
          <cell r="A1460">
            <v>41582</v>
          </cell>
          <cell r="AF1460">
            <v>18.50329832524848</v>
          </cell>
          <cell r="AG1460">
            <v>20.469360058004284</v>
          </cell>
          <cell r="AH1460">
            <v>17.881583490985356</v>
          </cell>
          <cell r="AI1460">
            <v>15.547864889645153</v>
          </cell>
          <cell r="AJ1460">
            <v>20.215302092325562</v>
          </cell>
          <cell r="AU1460">
            <v>12.931082748315381</v>
          </cell>
          <cell r="AV1460">
            <v>14.263722316306255</v>
          </cell>
          <cell r="AW1460">
            <v>12.105561258724364</v>
          </cell>
          <cell r="AX1460">
            <v>10.242049449424412</v>
          </cell>
          <cell r="AY1460">
            <v>13.969073068024317</v>
          </cell>
        </row>
        <row r="1461">
          <cell r="A1461">
            <v>41583</v>
          </cell>
          <cell r="AF1461">
            <v>18.382413871432139</v>
          </cell>
          <cell r="AG1461">
            <v>20.469360058004284</v>
          </cell>
          <cell r="AH1461">
            <v>17.881583490985356</v>
          </cell>
          <cell r="AI1461">
            <v>15.547864889645153</v>
          </cell>
          <cell r="AJ1461">
            <v>20.215302092325562</v>
          </cell>
          <cell r="AU1461">
            <v>12.861231427377861</v>
          </cell>
          <cell r="AV1461">
            <v>14.263722316306255</v>
          </cell>
          <cell r="AW1461">
            <v>12.105561258724364</v>
          </cell>
          <cell r="AX1461">
            <v>10.242049449424412</v>
          </cell>
          <cell r="AY1461">
            <v>13.969073068024317</v>
          </cell>
        </row>
        <row r="1462">
          <cell r="A1462">
            <v>41584</v>
          </cell>
          <cell r="AF1462">
            <v>18.456499990740408</v>
          </cell>
          <cell r="AG1462">
            <v>20.469360058004284</v>
          </cell>
          <cell r="AH1462">
            <v>17.881583490985356</v>
          </cell>
          <cell r="AI1462">
            <v>15.547864889645153</v>
          </cell>
          <cell r="AJ1462">
            <v>20.215302092325562</v>
          </cell>
          <cell r="AU1462">
            <v>12.904041012344672</v>
          </cell>
          <cell r="AV1462">
            <v>14.263722316306255</v>
          </cell>
          <cell r="AW1462">
            <v>12.105561258724364</v>
          </cell>
          <cell r="AX1462">
            <v>10.242049449424412</v>
          </cell>
          <cell r="AY1462">
            <v>13.969073068024317</v>
          </cell>
        </row>
        <row r="1463">
          <cell r="A1463">
            <v>41585</v>
          </cell>
          <cell r="AF1463">
            <v>18.38631106795804</v>
          </cell>
          <cell r="AG1463">
            <v>20.469360058004284</v>
          </cell>
          <cell r="AH1463">
            <v>17.881583490985356</v>
          </cell>
          <cell r="AI1463">
            <v>15.547864889645153</v>
          </cell>
          <cell r="AJ1463">
            <v>20.215302092325562</v>
          </cell>
          <cell r="AU1463">
            <v>12.901048698693636</v>
          </cell>
          <cell r="AV1463">
            <v>14.263722316306255</v>
          </cell>
          <cell r="AW1463">
            <v>12.105561258724364</v>
          </cell>
          <cell r="AX1463">
            <v>10.242049449424412</v>
          </cell>
          <cell r="AY1463">
            <v>13.969073068024317</v>
          </cell>
        </row>
        <row r="1464">
          <cell r="A1464">
            <v>41586</v>
          </cell>
          <cell r="AF1464">
            <v>18.643682020117581</v>
          </cell>
          <cell r="AG1464">
            <v>20.469360058004284</v>
          </cell>
          <cell r="AH1464">
            <v>17.881583490985356</v>
          </cell>
          <cell r="AI1464">
            <v>15.547864889645153</v>
          </cell>
          <cell r="AJ1464">
            <v>20.215302092325562</v>
          </cell>
          <cell r="AU1464">
            <v>13.050201057277615</v>
          </cell>
          <cell r="AV1464">
            <v>14.263722316306255</v>
          </cell>
          <cell r="AW1464">
            <v>12.105561258724364</v>
          </cell>
          <cell r="AX1464">
            <v>10.242049449424412</v>
          </cell>
          <cell r="AY1464">
            <v>13.969073068024317</v>
          </cell>
        </row>
        <row r="1465">
          <cell r="A1465">
            <v>41589</v>
          </cell>
          <cell r="AF1465">
            <v>18.557891832715608</v>
          </cell>
          <cell r="AG1465">
            <v>20.469360058004284</v>
          </cell>
          <cell r="AH1465">
            <v>17.881583490985356</v>
          </cell>
          <cell r="AI1465">
            <v>15.547864889645153</v>
          </cell>
          <cell r="AJ1465">
            <v>20.215302092325562</v>
          </cell>
          <cell r="AU1465">
            <v>13.000483679745306</v>
          </cell>
          <cell r="AV1465">
            <v>14.263722316306255</v>
          </cell>
          <cell r="AW1465">
            <v>12.105561258724364</v>
          </cell>
          <cell r="AX1465">
            <v>10.242049449424412</v>
          </cell>
          <cell r="AY1465">
            <v>13.969073068024317</v>
          </cell>
        </row>
        <row r="1466">
          <cell r="A1466">
            <v>41590</v>
          </cell>
          <cell r="AF1466">
            <v>18.717773988730222</v>
          </cell>
          <cell r="AG1466">
            <v>20.469360058004284</v>
          </cell>
          <cell r="AH1466">
            <v>17.881583490985356</v>
          </cell>
          <cell r="AI1466">
            <v>15.547864889645153</v>
          </cell>
          <cell r="AJ1466">
            <v>20.215302092325562</v>
          </cell>
          <cell r="AU1466">
            <v>13.093139049222623</v>
          </cell>
          <cell r="AV1466">
            <v>14.263722316306255</v>
          </cell>
          <cell r="AW1466">
            <v>12.105561258724364</v>
          </cell>
          <cell r="AX1466">
            <v>10.242049449424412</v>
          </cell>
          <cell r="AY1466">
            <v>13.969073068024317</v>
          </cell>
        </row>
        <row r="1467">
          <cell r="A1467">
            <v>41591</v>
          </cell>
          <cell r="AF1467">
            <v>18.756765841624119</v>
          </cell>
          <cell r="AG1467">
            <v>20.469360058004284</v>
          </cell>
          <cell r="AH1467">
            <v>17.881583490985356</v>
          </cell>
          <cell r="AI1467">
            <v>15.547864889645153</v>
          </cell>
          <cell r="AJ1467">
            <v>20.215302092325562</v>
          </cell>
          <cell r="AU1467">
            <v>13.115735720586994</v>
          </cell>
          <cell r="AV1467">
            <v>14.263722316306255</v>
          </cell>
          <cell r="AW1467">
            <v>12.105561258724364</v>
          </cell>
          <cell r="AX1467">
            <v>10.242049449424412</v>
          </cell>
          <cell r="AY1467">
            <v>13.969073068024317</v>
          </cell>
        </row>
        <row r="1468">
          <cell r="A1468">
            <v>41592</v>
          </cell>
          <cell r="AF1468">
            <v>18.932243802907589</v>
          </cell>
          <cell r="AG1468">
            <v>20.469360058004284</v>
          </cell>
          <cell r="AH1468">
            <v>17.881583490985356</v>
          </cell>
          <cell r="AI1468">
            <v>15.547864889645153</v>
          </cell>
          <cell r="AJ1468">
            <v>20.215302092325562</v>
          </cell>
          <cell r="AU1468">
            <v>13.217429216241133</v>
          </cell>
          <cell r="AV1468">
            <v>14.263722316306255</v>
          </cell>
          <cell r="AW1468">
            <v>12.105561258724364</v>
          </cell>
          <cell r="AX1468">
            <v>10.242049449424412</v>
          </cell>
          <cell r="AY1468">
            <v>13.969073068024317</v>
          </cell>
        </row>
        <row r="1469">
          <cell r="A1469">
            <v>41593</v>
          </cell>
          <cell r="AF1469">
            <v>18.959543676270155</v>
          </cell>
          <cell r="AG1469">
            <v>20.469360058004284</v>
          </cell>
          <cell r="AH1469">
            <v>17.881583490985356</v>
          </cell>
          <cell r="AI1469">
            <v>15.547864889645153</v>
          </cell>
          <cell r="AJ1469">
            <v>20.215302092325562</v>
          </cell>
          <cell r="AU1469">
            <v>13.233250117811043</v>
          </cell>
          <cell r="AV1469">
            <v>14.263722316306255</v>
          </cell>
          <cell r="AW1469">
            <v>12.105561258724364</v>
          </cell>
          <cell r="AX1469">
            <v>10.242049449424412</v>
          </cell>
          <cell r="AY1469">
            <v>13.969073068024317</v>
          </cell>
        </row>
        <row r="1470">
          <cell r="A1470">
            <v>41596</v>
          </cell>
          <cell r="AF1470">
            <v>18.908847755282554</v>
          </cell>
          <cell r="AG1470">
            <v>20.469360058004284</v>
          </cell>
          <cell r="AH1470">
            <v>17.881583490985356</v>
          </cell>
          <cell r="AI1470">
            <v>15.547864889645153</v>
          </cell>
          <cell r="AJ1470">
            <v>20.215302092325562</v>
          </cell>
          <cell r="AU1470">
            <v>13.203870671053584</v>
          </cell>
          <cell r="AV1470">
            <v>14.263722316306255</v>
          </cell>
          <cell r="AW1470">
            <v>12.105561258724364</v>
          </cell>
          <cell r="AX1470">
            <v>10.242049449424412</v>
          </cell>
          <cell r="AY1470">
            <v>13.969073068024317</v>
          </cell>
        </row>
        <row r="1471">
          <cell r="A1471">
            <v>41597</v>
          </cell>
          <cell r="AF1471">
            <v>18.776264692723252</v>
          </cell>
          <cell r="AG1471">
            <v>20.469360058004284</v>
          </cell>
          <cell r="AH1471">
            <v>17.881583490985356</v>
          </cell>
          <cell r="AI1471">
            <v>15.547864889645153</v>
          </cell>
          <cell r="AJ1471">
            <v>20.215302092325562</v>
          </cell>
          <cell r="AU1471">
            <v>13.127035751172073</v>
          </cell>
          <cell r="AV1471">
            <v>14.263722316306255</v>
          </cell>
          <cell r="AW1471">
            <v>12.105561258724364</v>
          </cell>
          <cell r="AX1471">
            <v>10.242049449424412</v>
          </cell>
          <cell r="AY1471">
            <v>13.969073068024317</v>
          </cell>
        </row>
        <row r="1472">
          <cell r="A1472">
            <v>41598</v>
          </cell>
          <cell r="AF1472">
            <v>18.651476803123014</v>
          </cell>
          <cell r="AG1472">
            <v>20.469360058004284</v>
          </cell>
          <cell r="AH1472">
            <v>17.881583490985356</v>
          </cell>
          <cell r="AI1472">
            <v>15.547864889645153</v>
          </cell>
          <cell r="AJ1472">
            <v>20.215302092325562</v>
          </cell>
          <cell r="AU1472">
            <v>13.054718312469605</v>
          </cell>
          <cell r="AV1472">
            <v>14.263722316306255</v>
          </cell>
          <cell r="AW1472">
            <v>12.105561258724364</v>
          </cell>
          <cell r="AX1472">
            <v>10.242049449424412</v>
          </cell>
          <cell r="AY1472">
            <v>13.969073068024317</v>
          </cell>
        </row>
        <row r="1473">
          <cell r="A1473">
            <v>41599</v>
          </cell>
          <cell r="AF1473">
            <v>18.663175021912345</v>
          </cell>
          <cell r="AG1473">
            <v>20.469360058004284</v>
          </cell>
          <cell r="AH1473">
            <v>17.881583490985356</v>
          </cell>
          <cell r="AI1473">
            <v>15.547864889645153</v>
          </cell>
          <cell r="AJ1473">
            <v>20.215302092325562</v>
          </cell>
          <cell r="AU1473">
            <v>13.061497698056908</v>
          </cell>
          <cell r="AV1473">
            <v>14.263722316306255</v>
          </cell>
          <cell r="AW1473">
            <v>12.105561258724364</v>
          </cell>
          <cell r="AX1473">
            <v>10.242049449424412</v>
          </cell>
          <cell r="AY1473">
            <v>13.969073068024317</v>
          </cell>
        </row>
        <row r="1474">
          <cell r="A1474">
            <v>41600</v>
          </cell>
          <cell r="AF1474">
            <v>18.659277435432816</v>
          </cell>
          <cell r="AG1474">
            <v>20.469360058004284</v>
          </cell>
          <cell r="AH1474">
            <v>17.881583490985356</v>
          </cell>
          <cell r="AI1474">
            <v>15.547864889645153</v>
          </cell>
          <cell r="AJ1474">
            <v>20.215302092325562</v>
          </cell>
          <cell r="AU1474">
            <v>13.059238957467386</v>
          </cell>
          <cell r="AV1474">
            <v>14.263722316306255</v>
          </cell>
          <cell r="AW1474">
            <v>12.105561258724364</v>
          </cell>
          <cell r="AX1474">
            <v>10.242049449424412</v>
          </cell>
          <cell r="AY1474">
            <v>13.969073068024317</v>
          </cell>
        </row>
        <row r="1475">
          <cell r="A1475">
            <v>41603</v>
          </cell>
          <cell r="AF1475">
            <v>18.655380238906911</v>
          </cell>
          <cell r="AG1475">
            <v>20.469360058004284</v>
          </cell>
          <cell r="AH1475">
            <v>17.881583490985356</v>
          </cell>
          <cell r="AI1475">
            <v>15.547864889645153</v>
          </cell>
          <cell r="AJ1475">
            <v>20.215302092325562</v>
          </cell>
          <cell r="AU1475">
            <v>13.056980442864914</v>
          </cell>
          <cell r="AV1475">
            <v>14.263722316306255</v>
          </cell>
          <cell r="AW1475">
            <v>12.105561258724364</v>
          </cell>
          <cell r="AX1475">
            <v>10.242049449424412</v>
          </cell>
          <cell r="AY1475">
            <v>13.969073068024317</v>
          </cell>
        </row>
        <row r="1476">
          <cell r="A1476">
            <v>41604</v>
          </cell>
          <cell r="AF1476">
            <v>18.608581514445213</v>
          </cell>
          <cell r="AG1476">
            <v>20.469360058004284</v>
          </cell>
          <cell r="AH1476">
            <v>17.881583490985356</v>
          </cell>
          <cell r="AI1476">
            <v>15.547864889645153</v>
          </cell>
          <cell r="AJ1476">
            <v>20.215302092325562</v>
          </cell>
          <cell r="AU1476">
            <v>13.029859510709924</v>
          </cell>
          <cell r="AV1476">
            <v>14.263722316306255</v>
          </cell>
          <cell r="AW1476">
            <v>12.105561258724364</v>
          </cell>
          <cell r="AX1476">
            <v>10.242049449424412</v>
          </cell>
          <cell r="AY1476">
            <v>13.969073068024317</v>
          </cell>
        </row>
        <row r="1477">
          <cell r="A1477">
            <v>41605</v>
          </cell>
          <cell r="AF1477">
            <v>18.596883685609509</v>
          </cell>
          <cell r="AG1477">
            <v>20.469360058004284</v>
          </cell>
          <cell r="AH1477">
            <v>17.881583490985356</v>
          </cell>
          <cell r="AI1477">
            <v>15.547864889645153</v>
          </cell>
          <cell r="AJ1477">
            <v>20.215302092325562</v>
          </cell>
          <cell r="AU1477">
            <v>13.023080351109678</v>
          </cell>
          <cell r="AV1477">
            <v>14.263722316306255</v>
          </cell>
          <cell r="AW1477">
            <v>12.105561258724364</v>
          </cell>
          <cell r="AX1477">
            <v>10.242049449424412</v>
          </cell>
          <cell r="AY1477">
            <v>13.969073068024317</v>
          </cell>
        </row>
        <row r="1478">
          <cell r="A1478">
            <v>41606</v>
          </cell>
          <cell r="AF1478">
            <v>18.596883685609509</v>
          </cell>
          <cell r="AG1478">
            <v>20.469360058004284</v>
          </cell>
          <cell r="AH1478">
            <v>17.881583490985356</v>
          </cell>
          <cell r="AI1478">
            <v>15.547864889645153</v>
          </cell>
          <cell r="AJ1478">
            <v>20.215302092325562</v>
          </cell>
          <cell r="AU1478">
            <v>13.023080351109678</v>
          </cell>
          <cell r="AV1478">
            <v>14.263722316306255</v>
          </cell>
          <cell r="AW1478">
            <v>12.105561258724364</v>
          </cell>
          <cell r="AX1478">
            <v>10.242049449424412</v>
          </cell>
          <cell r="AY1478">
            <v>13.969073068024317</v>
          </cell>
        </row>
        <row r="1479">
          <cell r="A1479">
            <v>41607</v>
          </cell>
          <cell r="AF1479">
            <v>18.546193613926278</v>
          </cell>
          <cell r="AG1479">
            <v>20.469360058004284</v>
          </cell>
          <cell r="AH1479">
            <v>17.881583490985356</v>
          </cell>
          <cell r="AI1479">
            <v>15.547864889645153</v>
          </cell>
          <cell r="AJ1479">
            <v>20.215302092325562</v>
          </cell>
          <cell r="AU1479">
            <v>12.993704294158004</v>
          </cell>
          <cell r="AV1479">
            <v>14.263722316306255</v>
          </cell>
          <cell r="AW1479">
            <v>12.105561258724364</v>
          </cell>
          <cell r="AX1479">
            <v>10.242049449424412</v>
          </cell>
          <cell r="AY1479">
            <v>13.969073068024317</v>
          </cell>
        </row>
        <row r="1480">
          <cell r="A1480">
            <v>41610</v>
          </cell>
          <cell r="AF1480">
            <v>18.337612626559743</v>
          </cell>
          <cell r="AG1480">
            <v>20.469360058004284</v>
          </cell>
          <cell r="AH1480">
            <v>17.881583490985356</v>
          </cell>
          <cell r="AI1480">
            <v>15.547864889645153</v>
          </cell>
          <cell r="AJ1480">
            <v>20.215302092325562</v>
          </cell>
          <cell r="AU1480">
            <v>12.882159120544561</v>
          </cell>
          <cell r="AV1480">
            <v>14.263722316306255</v>
          </cell>
          <cell r="AW1480">
            <v>12.105561258724364</v>
          </cell>
          <cell r="AX1480">
            <v>10.242049449424412</v>
          </cell>
          <cell r="AY1480">
            <v>13.969073068024317</v>
          </cell>
        </row>
        <row r="1481">
          <cell r="A1481">
            <v>41611</v>
          </cell>
          <cell r="AF1481">
            <v>18.275685822212591</v>
          </cell>
          <cell r="AG1481">
            <v>20.469360058004284</v>
          </cell>
          <cell r="AH1481">
            <v>17.881583490985356</v>
          </cell>
          <cell r="AI1481">
            <v>15.547864889645153</v>
          </cell>
          <cell r="AJ1481">
            <v>20.215302092325562</v>
          </cell>
          <cell r="AU1481">
            <v>12.846198112327114</v>
          </cell>
          <cell r="AV1481">
            <v>14.263722316306255</v>
          </cell>
          <cell r="AW1481">
            <v>12.105561258724364</v>
          </cell>
          <cell r="AX1481">
            <v>10.242049449424412</v>
          </cell>
          <cell r="AY1481">
            <v>13.969073068024317</v>
          </cell>
        </row>
        <row r="1482">
          <cell r="A1482">
            <v>41612</v>
          </cell>
          <cell r="AF1482">
            <v>18.298912824720563</v>
          </cell>
          <cell r="AG1482">
            <v>20.469360058004284</v>
          </cell>
          <cell r="AH1482">
            <v>17.881583490985356</v>
          </cell>
          <cell r="AI1482">
            <v>15.547864889645153</v>
          </cell>
          <cell r="AJ1482">
            <v>20.215302092325562</v>
          </cell>
          <cell r="AU1482">
            <v>12.859686075041507</v>
          </cell>
          <cell r="AV1482">
            <v>14.263722316306255</v>
          </cell>
          <cell r="AW1482">
            <v>12.105561258724364</v>
          </cell>
          <cell r="AX1482">
            <v>10.242049449424412</v>
          </cell>
          <cell r="AY1482">
            <v>13.969073068024317</v>
          </cell>
        </row>
        <row r="1483">
          <cell r="A1483">
            <v>41613</v>
          </cell>
          <cell r="AF1483">
            <v>18.167317397900735</v>
          </cell>
          <cell r="AG1483">
            <v>20.469360058004284</v>
          </cell>
          <cell r="AH1483">
            <v>17.881583490985356</v>
          </cell>
          <cell r="AI1483">
            <v>15.547864889645153</v>
          </cell>
          <cell r="AJ1483">
            <v>20.215302092325562</v>
          </cell>
          <cell r="AU1483">
            <v>12.783268370702729</v>
          </cell>
          <cell r="AV1483">
            <v>14.263722316306255</v>
          </cell>
          <cell r="AW1483">
            <v>12.105561258724364</v>
          </cell>
          <cell r="AX1483">
            <v>10.242049449424412</v>
          </cell>
          <cell r="AY1483">
            <v>13.969073068024317</v>
          </cell>
        </row>
        <row r="1484">
          <cell r="A1484">
            <v>41614</v>
          </cell>
          <cell r="AF1484">
            <v>18.52726104591758</v>
          </cell>
          <cell r="AG1484">
            <v>20.469360058004284</v>
          </cell>
          <cell r="AH1484">
            <v>17.881583490985356</v>
          </cell>
          <cell r="AI1484">
            <v>15.547864889645153</v>
          </cell>
          <cell r="AJ1484">
            <v>20.215302092325562</v>
          </cell>
          <cell r="AU1484">
            <v>12.992288303518725</v>
          </cell>
          <cell r="AV1484">
            <v>14.263722316306255</v>
          </cell>
          <cell r="AW1484">
            <v>12.105561258724364</v>
          </cell>
          <cell r="AX1484">
            <v>10.242049449424412</v>
          </cell>
          <cell r="AY1484">
            <v>13.969073068024317</v>
          </cell>
        </row>
        <row r="1485">
          <cell r="A1485">
            <v>41617</v>
          </cell>
          <cell r="AF1485">
            <v>18.411150029414497</v>
          </cell>
          <cell r="AG1485">
            <v>20.469360058004284</v>
          </cell>
          <cell r="AH1485">
            <v>17.881583490985356</v>
          </cell>
          <cell r="AI1485">
            <v>15.547864889645153</v>
          </cell>
          <cell r="AJ1485">
            <v>20.215302092325562</v>
          </cell>
          <cell r="AU1485">
            <v>12.924862424489085</v>
          </cell>
          <cell r="AV1485">
            <v>14.263722316306255</v>
          </cell>
          <cell r="AW1485">
            <v>12.105561258724364</v>
          </cell>
          <cell r="AX1485">
            <v>10.242049449424412</v>
          </cell>
          <cell r="AY1485">
            <v>13.969073068024317</v>
          </cell>
        </row>
        <row r="1486">
          <cell r="A1486">
            <v>41618</v>
          </cell>
          <cell r="AF1486">
            <v>18.604666455088708</v>
          </cell>
          <cell r="AG1486">
            <v>20.469360058004284</v>
          </cell>
          <cell r="AH1486">
            <v>17.881583490985356</v>
          </cell>
          <cell r="AI1486">
            <v>15.547864889645153</v>
          </cell>
          <cell r="AJ1486">
            <v>20.215302092325562</v>
          </cell>
          <cell r="AU1486">
            <v>13.03723776578507</v>
          </cell>
          <cell r="AV1486">
            <v>14.263722316306255</v>
          </cell>
          <cell r="AW1486">
            <v>12.105561258724364</v>
          </cell>
          <cell r="AX1486">
            <v>10.242049449424412</v>
          </cell>
          <cell r="AY1486">
            <v>13.969073068024317</v>
          </cell>
        </row>
        <row r="1487">
          <cell r="A1487">
            <v>41619</v>
          </cell>
          <cell r="AF1487">
            <v>18.716078693232262</v>
          </cell>
          <cell r="AG1487">
            <v>20.469360058004284</v>
          </cell>
          <cell r="AH1487">
            <v>17.881583490985356</v>
          </cell>
          <cell r="AI1487">
            <v>15.547864889645153</v>
          </cell>
          <cell r="AJ1487">
            <v>20.215302092325562</v>
          </cell>
          <cell r="AU1487">
            <v>13.066660904245825</v>
          </cell>
          <cell r="AV1487">
            <v>14.263722316306255</v>
          </cell>
          <cell r="AW1487">
            <v>12.105561258724364</v>
          </cell>
          <cell r="AX1487">
            <v>10.242049449424412</v>
          </cell>
          <cell r="AY1487">
            <v>13.969073068024317</v>
          </cell>
        </row>
        <row r="1488">
          <cell r="A1488">
            <v>41620</v>
          </cell>
          <cell r="AF1488">
            <v>18.609815290604821</v>
          </cell>
          <cell r="AG1488">
            <v>20.469360058004284</v>
          </cell>
          <cell r="AH1488">
            <v>17.881583490985356</v>
          </cell>
          <cell r="AI1488">
            <v>15.547864889645153</v>
          </cell>
          <cell r="AJ1488">
            <v>20.215302092325562</v>
          </cell>
          <cell r="AU1488">
            <v>13.027457580837924</v>
          </cell>
          <cell r="AV1488">
            <v>14.263722316306255</v>
          </cell>
          <cell r="AW1488">
            <v>12.105561258724364</v>
          </cell>
          <cell r="AX1488">
            <v>10.242049449424412</v>
          </cell>
          <cell r="AY1488">
            <v>13.969073068024317</v>
          </cell>
        </row>
        <row r="1489">
          <cell r="A1489">
            <v>41621</v>
          </cell>
          <cell r="AF1489">
            <v>18.455507333595659</v>
          </cell>
          <cell r="AG1489">
            <v>20.469360058004284</v>
          </cell>
          <cell r="AH1489">
            <v>17.881583490985356</v>
          </cell>
          <cell r="AI1489">
            <v>15.547864889645153</v>
          </cell>
          <cell r="AJ1489">
            <v>20.215302092325562</v>
          </cell>
          <cell r="AU1489">
            <v>12.93788858857997</v>
          </cell>
          <cell r="AV1489">
            <v>14.263722316306255</v>
          </cell>
          <cell r="AW1489">
            <v>12.105561258724364</v>
          </cell>
          <cell r="AX1489">
            <v>10.242049449424412</v>
          </cell>
          <cell r="AY1489">
            <v>13.969073068024317</v>
          </cell>
        </row>
        <row r="1490">
          <cell r="A1490">
            <v>41624</v>
          </cell>
          <cell r="AF1490">
            <v>18.389926239690144</v>
          </cell>
          <cell r="AG1490">
            <v>20.469360058004284</v>
          </cell>
          <cell r="AH1490">
            <v>17.881583490985356</v>
          </cell>
          <cell r="AI1490">
            <v>15.547864889645153</v>
          </cell>
          <cell r="AJ1490">
            <v>20.215302092325562</v>
          </cell>
          <cell r="AU1490">
            <v>12.89982164371113</v>
          </cell>
          <cell r="AV1490">
            <v>14.263722316306255</v>
          </cell>
          <cell r="AW1490">
            <v>12.105561258724364</v>
          </cell>
          <cell r="AX1490">
            <v>10.242049449424412</v>
          </cell>
          <cell r="AY1490">
            <v>13.969073068024317</v>
          </cell>
        </row>
        <row r="1491">
          <cell r="A1491">
            <v>41625</v>
          </cell>
          <cell r="AF1491">
            <v>18.308910646637194</v>
          </cell>
          <cell r="AG1491">
            <v>20.469360058004284</v>
          </cell>
          <cell r="AH1491">
            <v>17.881583490985356</v>
          </cell>
          <cell r="AI1491">
            <v>15.547864889645153</v>
          </cell>
          <cell r="AJ1491">
            <v>20.215302092325562</v>
          </cell>
          <cell r="AU1491">
            <v>12.852795649928435</v>
          </cell>
          <cell r="AV1491">
            <v>14.263722316306255</v>
          </cell>
          <cell r="AW1491">
            <v>12.105561258724364</v>
          </cell>
          <cell r="AX1491">
            <v>10.242049449424412</v>
          </cell>
          <cell r="AY1491">
            <v>13.969073068024317</v>
          </cell>
        </row>
        <row r="1492">
          <cell r="A1492">
            <v>41626</v>
          </cell>
          <cell r="AF1492">
            <v>18.598242406005756</v>
          </cell>
          <cell r="AG1492">
            <v>20.469360058004284</v>
          </cell>
          <cell r="AH1492">
            <v>17.881583490985356</v>
          </cell>
          <cell r="AI1492">
            <v>15.547864889645153</v>
          </cell>
          <cell r="AJ1492">
            <v>20.215302092325562</v>
          </cell>
          <cell r="AU1492">
            <v>13.020740029577789</v>
          </cell>
          <cell r="AV1492">
            <v>14.263722316306255</v>
          </cell>
          <cell r="AW1492">
            <v>12.105561258724364</v>
          </cell>
          <cell r="AX1492">
            <v>10.242049449424412</v>
          </cell>
          <cell r="AY1492">
            <v>13.969073068024317</v>
          </cell>
        </row>
        <row r="1493">
          <cell r="A1493">
            <v>41627</v>
          </cell>
          <cell r="AF1493">
            <v>18.644533558626332</v>
          </cell>
          <cell r="AG1493">
            <v>20.469360058004284</v>
          </cell>
          <cell r="AH1493">
            <v>17.881583490985356</v>
          </cell>
          <cell r="AI1493">
            <v>15.547864889645153</v>
          </cell>
          <cell r="AJ1493">
            <v>20.215302092325562</v>
          </cell>
          <cell r="AU1493">
            <v>13.047610010692487</v>
          </cell>
          <cell r="AV1493">
            <v>14.263722316306255</v>
          </cell>
          <cell r="AW1493">
            <v>12.105561258724364</v>
          </cell>
          <cell r="AX1493">
            <v>10.242049449424412</v>
          </cell>
          <cell r="AY1493">
            <v>13.969073068024317</v>
          </cell>
        </row>
        <row r="1494">
          <cell r="A1494">
            <v>41628</v>
          </cell>
          <cell r="AF1494">
            <v>18.683113441196216</v>
          </cell>
          <cell r="AG1494">
            <v>20.469360058004284</v>
          </cell>
          <cell r="AH1494">
            <v>17.881583490985356</v>
          </cell>
          <cell r="AI1494">
            <v>15.547864889645153</v>
          </cell>
          <cell r="AJ1494">
            <v>20.215302092325562</v>
          </cell>
          <cell r="AU1494">
            <v>13.070003938200772</v>
          </cell>
          <cell r="AV1494">
            <v>14.263722316306255</v>
          </cell>
          <cell r="AW1494">
            <v>12.105561258724364</v>
          </cell>
          <cell r="AX1494">
            <v>10.242049449424412</v>
          </cell>
          <cell r="AY1494">
            <v>13.969073068024317</v>
          </cell>
        </row>
        <row r="1495">
          <cell r="A1495">
            <v>41631</v>
          </cell>
          <cell r="AF1495">
            <v>18.848994282804433</v>
          </cell>
          <cell r="AG1495">
            <v>20.469360058004284</v>
          </cell>
          <cell r="AH1495">
            <v>17.881583490985356</v>
          </cell>
          <cell r="AI1495">
            <v>15.547864889645153</v>
          </cell>
          <cell r="AJ1495">
            <v>20.215302092325562</v>
          </cell>
          <cell r="AU1495">
            <v>13.166290481718859</v>
          </cell>
          <cell r="AV1495">
            <v>14.263722316306255</v>
          </cell>
          <cell r="AW1495">
            <v>12.105561258724364</v>
          </cell>
          <cell r="AX1495">
            <v>10.242049449424412</v>
          </cell>
          <cell r="AY1495">
            <v>13.969073068024317</v>
          </cell>
        </row>
        <row r="1496">
          <cell r="A1496">
            <v>41632</v>
          </cell>
          <cell r="AF1496">
            <v>18.802703130183861</v>
          </cell>
          <cell r="AG1496">
            <v>20.469360058004284</v>
          </cell>
          <cell r="AH1496">
            <v>17.881583490985356</v>
          </cell>
          <cell r="AI1496">
            <v>15.547864889645153</v>
          </cell>
          <cell r="AJ1496">
            <v>20.215302092325562</v>
          </cell>
          <cell r="AU1496">
            <v>13.139420500604157</v>
          </cell>
          <cell r="AV1496">
            <v>14.263722316306255</v>
          </cell>
          <cell r="AW1496">
            <v>12.105561258724364</v>
          </cell>
          <cell r="AX1496">
            <v>10.242049449424412</v>
          </cell>
          <cell r="AY1496">
            <v>13.969073068024317</v>
          </cell>
        </row>
        <row r="1497">
          <cell r="A1497">
            <v>41633</v>
          </cell>
          <cell r="AF1497">
            <v>18.802703130183861</v>
          </cell>
          <cell r="AG1497">
            <v>20.469360058004284</v>
          </cell>
          <cell r="AH1497">
            <v>17.881583490985356</v>
          </cell>
          <cell r="AI1497">
            <v>15.547864889645153</v>
          </cell>
          <cell r="AJ1497">
            <v>20.215302092325562</v>
          </cell>
          <cell r="AU1497">
            <v>13.139420500604157</v>
          </cell>
          <cell r="AV1497">
            <v>14.263722316306255</v>
          </cell>
          <cell r="AW1497">
            <v>12.105561258724364</v>
          </cell>
          <cell r="AX1497">
            <v>10.242049449424412</v>
          </cell>
          <cell r="AY1497">
            <v>13.969073068024317</v>
          </cell>
        </row>
        <row r="1498">
          <cell r="A1498">
            <v>41634</v>
          </cell>
          <cell r="AF1498">
            <v>18.729404593816788</v>
          </cell>
          <cell r="AG1498">
            <v>20.469360058004284</v>
          </cell>
          <cell r="AH1498">
            <v>17.881583490985356</v>
          </cell>
          <cell r="AI1498">
            <v>15.547864889645153</v>
          </cell>
          <cell r="AJ1498">
            <v>20.215302092325562</v>
          </cell>
          <cell r="AU1498">
            <v>13.09687391931547</v>
          </cell>
          <cell r="AV1498">
            <v>14.263722316306255</v>
          </cell>
          <cell r="AW1498">
            <v>12.105561258724364</v>
          </cell>
          <cell r="AX1498">
            <v>10.242049449424412</v>
          </cell>
          <cell r="AY1498">
            <v>13.969073068024317</v>
          </cell>
        </row>
        <row r="1499">
          <cell r="A1499">
            <v>41635</v>
          </cell>
          <cell r="AF1499">
            <v>18.648395173174702</v>
          </cell>
          <cell r="AG1499">
            <v>20.469360058004284</v>
          </cell>
          <cell r="AH1499">
            <v>17.881583490985356</v>
          </cell>
          <cell r="AI1499">
            <v>15.547864889645153</v>
          </cell>
          <cell r="AJ1499">
            <v>20.215302092325562</v>
          </cell>
          <cell r="AU1499">
            <v>13.049851508346206</v>
          </cell>
          <cell r="AV1499">
            <v>14.263722316306255</v>
          </cell>
          <cell r="AW1499">
            <v>12.105561258724364</v>
          </cell>
          <cell r="AX1499">
            <v>10.242049449424412</v>
          </cell>
          <cell r="AY1499">
            <v>13.969073068024317</v>
          </cell>
        </row>
        <row r="1500">
          <cell r="A1500">
            <v>41638</v>
          </cell>
          <cell r="AF1500">
            <v>18.698541767932781</v>
          </cell>
          <cell r="AG1500">
            <v>20.469360058004284</v>
          </cell>
          <cell r="AH1500">
            <v>17.881583490985356</v>
          </cell>
          <cell r="AI1500">
            <v>15.547864889645153</v>
          </cell>
          <cell r="AJ1500">
            <v>20.215302092325562</v>
          </cell>
          <cell r="AU1500">
            <v>13.078959404301193</v>
          </cell>
          <cell r="AV1500">
            <v>14.263722316306255</v>
          </cell>
          <cell r="AW1500">
            <v>12.105561258724364</v>
          </cell>
          <cell r="AX1500">
            <v>10.242049449424412</v>
          </cell>
          <cell r="AY1500">
            <v>13.969073068024317</v>
          </cell>
        </row>
        <row r="1501">
          <cell r="A1501">
            <v>41639</v>
          </cell>
          <cell r="AF1501">
            <v>18.702403382481155</v>
          </cell>
          <cell r="AG1501">
            <v>20.469360058004284</v>
          </cell>
          <cell r="AH1501">
            <v>17.881583490985356</v>
          </cell>
          <cell r="AI1501">
            <v>15.547864889645153</v>
          </cell>
          <cell r="AJ1501">
            <v>20.215302092325562</v>
          </cell>
          <cell r="AU1501">
            <v>13.081200901954912</v>
          </cell>
          <cell r="AV1501">
            <v>14.263722316306255</v>
          </cell>
          <cell r="AW1501">
            <v>12.105561258724364</v>
          </cell>
          <cell r="AX1501">
            <v>10.242049449424412</v>
          </cell>
          <cell r="AY1501">
            <v>13.969073068024317</v>
          </cell>
        </row>
        <row r="1502">
          <cell r="A1502">
            <v>41640</v>
          </cell>
          <cell r="AF1502">
            <v>18.535663120924045</v>
          </cell>
          <cell r="AG1502">
            <v>20.469360058004284</v>
          </cell>
          <cell r="AH1502">
            <v>17.881583490985356</v>
          </cell>
          <cell r="AI1502">
            <v>15.547864889645153</v>
          </cell>
          <cell r="AJ1502">
            <v>20.215302092325562</v>
          </cell>
          <cell r="AU1502">
            <v>12.954073391239227</v>
          </cell>
          <cell r="AV1502">
            <v>14.263722316306255</v>
          </cell>
          <cell r="AW1502">
            <v>12.105561258724364</v>
          </cell>
          <cell r="AX1502">
            <v>10.242049449424412</v>
          </cell>
          <cell r="AY1502">
            <v>13.969073068024317</v>
          </cell>
        </row>
        <row r="1503">
          <cell r="A1503">
            <v>41641</v>
          </cell>
          <cell r="AF1503">
            <v>18.336846706716155</v>
          </cell>
          <cell r="AG1503">
            <v>20.469360058004284</v>
          </cell>
          <cell r="AH1503">
            <v>17.881583490985356</v>
          </cell>
          <cell r="AI1503">
            <v>15.547864889645153</v>
          </cell>
          <cell r="AJ1503">
            <v>20.215302092325562</v>
          </cell>
          <cell r="AU1503">
            <v>12.838762684733616</v>
          </cell>
          <cell r="AV1503">
            <v>14.263722316306255</v>
          </cell>
          <cell r="AW1503">
            <v>12.105561258724364</v>
          </cell>
          <cell r="AX1503">
            <v>10.242049449424412</v>
          </cell>
          <cell r="AY1503">
            <v>13.969073068024317</v>
          </cell>
        </row>
        <row r="1504">
          <cell r="A1504">
            <v>41642</v>
          </cell>
          <cell r="AF1504">
            <v>18.433263269831805</v>
          </cell>
          <cell r="AG1504">
            <v>20.469360058004284</v>
          </cell>
          <cell r="AH1504">
            <v>17.881583490985356</v>
          </cell>
          <cell r="AI1504">
            <v>15.547864889645153</v>
          </cell>
          <cell r="AJ1504">
            <v>20.215302092325562</v>
          </cell>
          <cell r="AU1504">
            <v>12.925379344738134</v>
          </cell>
          <cell r="AV1504">
            <v>14.263722316306255</v>
          </cell>
          <cell r="AW1504">
            <v>12.105561258724364</v>
          </cell>
          <cell r="AX1504">
            <v>10.242049449424412</v>
          </cell>
          <cell r="AY1504">
            <v>13.969073068024317</v>
          </cell>
        </row>
        <row r="1505">
          <cell r="A1505">
            <v>41645</v>
          </cell>
          <cell r="AF1505">
            <v>18.345043502463046</v>
          </cell>
          <cell r="AG1505">
            <v>20.469360058004284</v>
          </cell>
          <cell r="AH1505">
            <v>17.881583490985356</v>
          </cell>
          <cell r="AI1505">
            <v>15.547864889645153</v>
          </cell>
          <cell r="AJ1505">
            <v>20.215302092325562</v>
          </cell>
          <cell r="AU1505">
            <v>12.860895594693728</v>
          </cell>
          <cell r="AV1505">
            <v>14.263722316306255</v>
          </cell>
          <cell r="AW1505">
            <v>12.105561258724364</v>
          </cell>
          <cell r="AX1505">
            <v>10.242049449424412</v>
          </cell>
          <cell r="AY1505">
            <v>13.969073068024317</v>
          </cell>
        </row>
        <row r="1506">
          <cell r="A1506">
            <v>41646</v>
          </cell>
          <cell r="AF1506">
            <v>18.628455693748158</v>
          </cell>
          <cell r="AG1506">
            <v>20.469360058004284</v>
          </cell>
          <cell r="AH1506">
            <v>17.881583490985356</v>
          </cell>
          <cell r="AI1506">
            <v>15.547864889645153</v>
          </cell>
          <cell r="AJ1506">
            <v>20.215302092325562</v>
          </cell>
          <cell r="AU1506">
            <v>13.0254450748049</v>
          </cell>
          <cell r="AV1506">
            <v>14.263722316306255</v>
          </cell>
          <cell r="AW1506">
            <v>12.105561258724364</v>
          </cell>
          <cell r="AX1506">
            <v>10.242049449424412</v>
          </cell>
          <cell r="AY1506">
            <v>13.969073068024317</v>
          </cell>
        </row>
        <row r="1507">
          <cell r="A1507">
            <v>41647</v>
          </cell>
          <cell r="AF1507">
            <v>18.6629229326177</v>
          </cell>
          <cell r="AG1507">
            <v>20.469360058004284</v>
          </cell>
          <cell r="AH1507">
            <v>17.881583490985356</v>
          </cell>
          <cell r="AI1507">
            <v>15.547864889645153</v>
          </cell>
          <cell r="AJ1507">
            <v>20.215302092325562</v>
          </cell>
          <cell r="AU1507">
            <v>13.045456797699156</v>
          </cell>
          <cell r="AV1507">
            <v>14.263722316306255</v>
          </cell>
          <cell r="AW1507">
            <v>12.105561258724364</v>
          </cell>
          <cell r="AX1507">
            <v>10.242049449424412</v>
          </cell>
          <cell r="AY1507">
            <v>13.969073068024317</v>
          </cell>
        </row>
        <row r="1508">
          <cell r="A1508">
            <v>41648</v>
          </cell>
          <cell r="AF1508">
            <v>18.731857793343131</v>
          </cell>
          <cell r="AG1508">
            <v>20.469360058004284</v>
          </cell>
          <cell r="AH1508">
            <v>17.881583490985356</v>
          </cell>
          <cell r="AI1508">
            <v>15.547864889645153</v>
          </cell>
          <cell r="AJ1508">
            <v>20.215302092325562</v>
          </cell>
          <cell r="AU1508">
            <v>13.085480465850022</v>
          </cell>
          <cell r="AV1508">
            <v>14.263722316306255</v>
          </cell>
          <cell r="AW1508">
            <v>12.105561258724364</v>
          </cell>
          <cell r="AX1508">
            <v>10.242049449424412</v>
          </cell>
          <cell r="AY1508">
            <v>13.969073068024317</v>
          </cell>
        </row>
        <row r="1509">
          <cell r="A1509">
            <v>41649</v>
          </cell>
          <cell r="AF1509">
            <v>18.747180310929387</v>
          </cell>
          <cell r="AG1509">
            <v>20.469360058004284</v>
          </cell>
          <cell r="AH1509">
            <v>17.881583490985356</v>
          </cell>
          <cell r="AI1509">
            <v>15.547864889645153</v>
          </cell>
          <cell r="AJ1509">
            <v>20.215302092325562</v>
          </cell>
          <cell r="AU1509">
            <v>13.094376739123872</v>
          </cell>
          <cell r="AV1509">
            <v>14.263722316306255</v>
          </cell>
          <cell r="AW1509">
            <v>12.105561258724364</v>
          </cell>
          <cell r="AX1509">
            <v>10.242049449424412</v>
          </cell>
          <cell r="AY1509">
            <v>13.969073068024317</v>
          </cell>
        </row>
        <row r="1510">
          <cell r="A1510">
            <v>41652</v>
          </cell>
          <cell r="AF1510">
            <v>18.500758610281228</v>
          </cell>
          <cell r="AG1510">
            <v>20.469360058004284</v>
          </cell>
          <cell r="AH1510">
            <v>17.881583490985356</v>
          </cell>
          <cell r="AI1510">
            <v>15.547864889645153</v>
          </cell>
          <cell r="AJ1510">
            <v>20.215302092325562</v>
          </cell>
          <cell r="AU1510">
            <v>13.028167420357278</v>
          </cell>
          <cell r="AV1510">
            <v>14.263722316306255</v>
          </cell>
          <cell r="AW1510">
            <v>12.105561258724364</v>
          </cell>
          <cell r="AX1510">
            <v>10.242049449424412</v>
          </cell>
          <cell r="AY1510">
            <v>13.969073068024317</v>
          </cell>
        </row>
        <row r="1511">
          <cell r="A1511">
            <v>41653</v>
          </cell>
          <cell r="AF1511">
            <v>18.661600712050738</v>
          </cell>
          <cell r="AG1511">
            <v>20.469360058004284</v>
          </cell>
          <cell r="AH1511">
            <v>17.881583490985356</v>
          </cell>
          <cell r="AI1511">
            <v>15.547864889645153</v>
          </cell>
          <cell r="AJ1511">
            <v>20.215302092325562</v>
          </cell>
          <cell r="AU1511">
            <v>13.122107907877949</v>
          </cell>
          <cell r="AV1511">
            <v>14.263722316306255</v>
          </cell>
          <cell r="AW1511">
            <v>12.105561258724364</v>
          </cell>
          <cell r="AX1511">
            <v>10.242049449424412</v>
          </cell>
          <cell r="AY1511">
            <v>13.969073068024317</v>
          </cell>
        </row>
        <row r="1512">
          <cell r="A1512">
            <v>41654</v>
          </cell>
          <cell r="AF1512">
            <v>18.50141399931638</v>
          </cell>
          <cell r="AG1512">
            <v>20.469360058004284</v>
          </cell>
          <cell r="AH1512">
            <v>17.881583490985356</v>
          </cell>
          <cell r="AI1512">
            <v>15.547864889645153</v>
          </cell>
          <cell r="AJ1512">
            <v>20.215302092325562</v>
          </cell>
          <cell r="AU1512">
            <v>13.055190768712</v>
          </cell>
          <cell r="AV1512">
            <v>14.263722316306255</v>
          </cell>
          <cell r="AW1512">
            <v>12.105561258724364</v>
          </cell>
          <cell r="AX1512">
            <v>10.242049449424412</v>
          </cell>
          <cell r="AY1512">
            <v>13.969073068024317</v>
          </cell>
        </row>
        <row r="1513">
          <cell r="A1513">
            <v>41655</v>
          </cell>
          <cell r="AF1513">
            <v>18.482264211642867</v>
          </cell>
          <cell r="AG1513">
            <v>20.469360058004284</v>
          </cell>
          <cell r="AH1513">
            <v>17.881583490985356</v>
          </cell>
          <cell r="AI1513">
            <v>15.547864889645153</v>
          </cell>
          <cell r="AJ1513">
            <v>20.215302092325562</v>
          </cell>
          <cell r="AU1513">
            <v>13.04398345470897</v>
          </cell>
          <cell r="AV1513">
            <v>14.263722316306255</v>
          </cell>
          <cell r="AW1513">
            <v>12.105561258724364</v>
          </cell>
          <cell r="AX1513">
            <v>10.242049449424412</v>
          </cell>
          <cell r="AY1513">
            <v>13.969073068024317</v>
          </cell>
        </row>
        <row r="1514">
          <cell r="A1514">
            <v>41656</v>
          </cell>
          <cell r="AF1514">
            <v>18.344393629632741</v>
          </cell>
          <cell r="AG1514">
            <v>20.469360058004284</v>
          </cell>
          <cell r="AH1514">
            <v>17.881583490985356</v>
          </cell>
          <cell r="AI1514">
            <v>15.547864889645153</v>
          </cell>
          <cell r="AJ1514">
            <v>20.215302092325562</v>
          </cell>
          <cell r="AU1514">
            <v>12.963295411023475</v>
          </cell>
          <cell r="AV1514">
            <v>14.263722316306255</v>
          </cell>
          <cell r="AW1514">
            <v>12.105561258724364</v>
          </cell>
          <cell r="AX1514">
            <v>10.242049449424412</v>
          </cell>
          <cell r="AY1514">
            <v>13.969073068024317</v>
          </cell>
        </row>
        <row r="1515">
          <cell r="A1515">
            <v>41659</v>
          </cell>
          <cell r="AF1515">
            <v>18.344393629632741</v>
          </cell>
          <cell r="AG1515">
            <v>20.469360058004284</v>
          </cell>
          <cell r="AH1515">
            <v>17.881583490985356</v>
          </cell>
          <cell r="AI1515">
            <v>15.547864889645153</v>
          </cell>
          <cell r="AJ1515">
            <v>20.215302092325562</v>
          </cell>
          <cell r="AU1515">
            <v>12.963295411023475</v>
          </cell>
          <cell r="AV1515">
            <v>14.263722316306255</v>
          </cell>
          <cell r="AW1515">
            <v>12.105561258724364</v>
          </cell>
          <cell r="AX1515">
            <v>10.242049449424412</v>
          </cell>
          <cell r="AY1515">
            <v>13.969073068024317</v>
          </cell>
        </row>
        <row r="1516">
          <cell r="A1516">
            <v>41660</v>
          </cell>
          <cell r="AF1516">
            <v>18.390348830754093</v>
          </cell>
          <cell r="AG1516">
            <v>20.469360058004284</v>
          </cell>
          <cell r="AH1516">
            <v>17.881583490985356</v>
          </cell>
          <cell r="AI1516">
            <v>15.547864889645153</v>
          </cell>
          <cell r="AJ1516">
            <v>20.215302092325562</v>
          </cell>
          <cell r="AU1516">
            <v>12.990190454343036</v>
          </cell>
          <cell r="AV1516">
            <v>14.263722316306255</v>
          </cell>
          <cell r="AW1516">
            <v>12.105561258724364</v>
          </cell>
          <cell r="AX1516">
            <v>10.242049449424412</v>
          </cell>
          <cell r="AY1516">
            <v>13.969073068024317</v>
          </cell>
        </row>
        <row r="1517">
          <cell r="A1517">
            <v>41661</v>
          </cell>
          <cell r="AF1517">
            <v>18.298438811484168</v>
          </cell>
          <cell r="AG1517">
            <v>20.469360058004284</v>
          </cell>
          <cell r="AH1517">
            <v>17.881583490985356</v>
          </cell>
          <cell r="AI1517">
            <v>15.547864889645153</v>
          </cell>
          <cell r="AJ1517">
            <v>20.215302092325562</v>
          </cell>
          <cell r="AU1517">
            <v>12.936400591836749</v>
          </cell>
          <cell r="AV1517">
            <v>14.263722316306255</v>
          </cell>
          <cell r="AW1517">
            <v>12.105561258724364</v>
          </cell>
          <cell r="AX1517">
            <v>10.242049449424412</v>
          </cell>
          <cell r="AY1517">
            <v>13.969073068024317</v>
          </cell>
        </row>
        <row r="1518">
          <cell r="A1518">
            <v>41662</v>
          </cell>
          <cell r="AF1518">
            <v>18.011209230156357</v>
          </cell>
          <cell r="AG1518">
            <v>20.469360058004284</v>
          </cell>
          <cell r="AH1518">
            <v>17.881583490985356</v>
          </cell>
          <cell r="AI1518">
            <v>15.547864889645153</v>
          </cell>
          <cell r="AJ1518">
            <v>20.215302092325562</v>
          </cell>
          <cell r="AU1518">
            <v>12.768300967768706</v>
          </cell>
          <cell r="AV1518">
            <v>14.263722316306255</v>
          </cell>
          <cell r="AW1518">
            <v>12.105561258724364</v>
          </cell>
          <cell r="AX1518">
            <v>10.242049449424412</v>
          </cell>
          <cell r="AY1518">
            <v>13.969073068024317</v>
          </cell>
        </row>
        <row r="1519">
          <cell r="A1519">
            <v>41663</v>
          </cell>
          <cell r="AF1519">
            <v>17.555470861837353</v>
          </cell>
          <cell r="AG1519">
            <v>20.469360058004284</v>
          </cell>
          <cell r="AH1519">
            <v>17.881583490985356</v>
          </cell>
          <cell r="AI1519">
            <v>15.547864889645153</v>
          </cell>
          <cell r="AJ1519">
            <v>20.215302092325562</v>
          </cell>
          <cell r="AU1519">
            <v>12.50158244931508</v>
          </cell>
          <cell r="AV1519">
            <v>14.263722316306255</v>
          </cell>
          <cell r="AW1519">
            <v>12.105561258724364</v>
          </cell>
          <cell r="AX1519">
            <v>10.242049449424412</v>
          </cell>
          <cell r="AY1519">
            <v>13.969073068024317</v>
          </cell>
        </row>
        <row r="1520">
          <cell r="A1520">
            <v>41666</v>
          </cell>
          <cell r="AF1520">
            <v>17.563126104638901</v>
          </cell>
          <cell r="AG1520">
            <v>20.469360058004284</v>
          </cell>
          <cell r="AH1520">
            <v>17.881583490985356</v>
          </cell>
          <cell r="AI1520">
            <v>15.547864889645153</v>
          </cell>
          <cell r="AJ1520">
            <v>20.215302092325562</v>
          </cell>
          <cell r="AU1520">
            <v>12.506062640495742</v>
          </cell>
          <cell r="AV1520">
            <v>14.263722316306255</v>
          </cell>
          <cell r="AW1520">
            <v>12.105561258724364</v>
          </cell>
          <cell r="AX1520">
            <v>10.242049449424412</v>
          </cell>
          <cell r="AY1520">
            <v>13.969073068024317</v>
          </cell>
        </row>
        <row r="1521">
          <cell r="A1521">
            <v>41667</v>
          </cell>
          <cell r="AF1521">
            <v>17.689507886368688</v>
          </cell>
          <cell r="AG1521">
            <v>20.469360058004284</v>
          </cell>
          <cell r="AH1521">
            <v>17.881583490985356</v>
          </cell>
          <cell r="AI1521">
            <v>15.547864889645153</v>
          </cell>
          <cell r="AJ1521">
            <v>20.215302092325562</v>
          </cell>
          <cell r="AU1521">
            <v>12.583867551246509</v>
          </cell>
          <cell r="AV1521">
            <v>14.263722316306255</v>
          </cell>
          <cell r="AW1521">
            <v>12.105561258724364</v>
          </cell>
          <cell r="AX1521">
            <v>10.242049449424412</v>
          </cell>
          <cell r="AY1521">
            <v>13.969073068024317</v>
          </cell>
        </row>
        <row r="1522">
          <cell r="A1522">
            <v>41668</v>
          </cell>
          <cell r="AF1522">
            <v>17.635891697854163</v>
          </cell>
          <cell r="AG1522">
            <v>20.469360058004284</v>
          </cell>
          <cell r="AH1522">
            <v>17.881583490985356</v>
          </cell>
          <cell r="AI1522">
            <v>15.547864889645153</v>
          </cell>
          <cell r="AJ1522">
            <v>20.215302092325562</v>
          </cell>
          <cell r="AU1522">
            <v>12.5524793750038</v>
          </cell>
          <cell r="AV1522">
            <v>14.263722316306255</v>
          </cell>
          <cell r="AW1522">
            <v>12.105561258724364</v>
          </cell>
          <cell r="AX1522">
            <v>10.242049449424412</v>
          </cell>
          <cell r="AY1522">
            <v>13.969073068024317</v>
          </cell>
        </row>
        <row r="1523">
          <cell r="A1523">
            <v>41669</v>
          </cell>
          <cell r="AF1523">
            <v>17.846527873079548</v>
          </cell>
          <cell r="AG1523">
            <v>20.469360058004284</v>
          </cell>
          <cell r="AH1523">
            <v>17.881583490985356</v>
          </cell>
          <cell r="AI1523">
            <v>15.547864889645153</v>
          </cell>
          <cell r="AJ1523">
            <v>20.215302092325562</v>
          </cell>
          <cell r="AU1523">
            <v>12.675790739989646</v>
          </cell>
          <cell r="AV1523">
            <v>14.263722316306255</v>
          </cell>
          <cell r="AW1523">
            <v>12.105561258724364</v>
          </cell>
          <cell r="AX1523">
            <v>10.242049449424412</v>
          </cell>
          <cell r="AY1523">
            <v>13.969073068024317</v>
          </cell>
        </row>
        <row r="1524">
          <cell r="A1524">
            <v>41670</v>
          </cell>
          <cell r="AF1524">
            <v>17.6703638432868</v>
          </cell>
          <cell r="AG1524">
            <v>20.469360058004284</v>
          </cell>
          <cell r="AH1524">
            <v>17.881583490985356</v>
          </cell>
          <cell r="AI1524">
            <v>15.547864889645153</v>
          </cell>
          <cell r="AJ1524">
            <v>20.215302092325562</v>
          </cell>
          <cell r="AU1524">
            <v>12.57266017871779</v>
          </cell>
          <cell r="AV1524">
            <v>14.263722316306255</v>
          </cell>
          <cell r="AW1524">
            <v>12.105561258724364</v>
          </cell>
          <cell r="AX1524">
            <v>10.242049449424412</v>
          </cell>
          <cell r="AY1524">
            <v>13.969073068024317</v>
          </cell>
        </row>
        <row r="1525">
          <cell r="A1525">
            <v>41673</v>
          </cell>
          <cell r="AF1525">
            <v>17.067545083130934</v>
          </cell>
          <cell r="AG1525">
            <v>20.469360058004284</v>
          </cell>
          <cell r="AH1525">
            <v>17.881583490985356</v>
          </cell>
          <cell r="AI1525">
            <v>15.547864889645153</v>
          </cell>
          <cell r="AJ1525">
            <v>20.215302092325562</v>
          </cell>
          <cell r="AU1525">
            <v>12.209940786028927</v>
          </cell>
          <cell r="AV1525">
            <v>14.263722316306255</v>
          </cell>
          <cell r="AW1525">
            <v>12.105561258724364</v>
          </cell>
          <cell r="AX1525">
            <v>10.242049449424412</v>
          </cell>
          <cell r="AY1525">
            <v>13.969073068024317</v>
          </cell>
        </row>
        <row r="1526">
          <cell r="A1526">
            <v>41674</v>
          </cell>
          <cell r="AF1526">
            <v>17.062525496930764</v>
          </cell>
          <cell r="AG1526">
            <v>20.469360058004284</v>
          </cell>
          <cell r="AH1526">
            <v>17.881583490985356</v>
          </cell>
          <cell r="AI1526">
            <v>15.547864889645153</v>
          </cell>
          <cell r="AJ1526">
            <v>20.215302092325562</v>
          </cell>
          <cell r="AU1526">
            <v>12.203267619925205</v>
          </cell>
          <cell r="AV1526">
            <v>14.263722316306255</v>
          </cell>
          <cell r="AW1526">
            <v>12.105561258724364</v>
          </cell>
          <cell r="AX1526">
            <v>10.242049449424412</v>
          </cell>
          <cell r="AY1526">
            <v>13.969073068024317</v>
          </cell>
        </row>
        <row r="1527">
          <cell r="A1527">
            <v>41675</v>
          </cell>
          <cell r="AF1527">
            <v>17.085314908440758</v>
          </cell>
          <cell r="AG1527">
            <v>20.469360058004284</v>
          </cell>
          <cell r="AH1527">
            <v>17.881583490985356</v>
          </cell>
          <cell r="AI1527">
            <v>15.547864889645153</v>
          </cell>
          <cell r="AJ1527">
            <v>20.215302092325562</v>
          </cell>
          <cell r="AU1527">
            <v>12.216614174586347</v>
          </cell>
          <cell r="AV1527">
            <v>14.263722316306255</v>
          </cell>
          <cell r="AW1527">
            <v>12.105561258724364</v>
          </cell>
          <cell r="AX1527">
            <v>10.242049449424412</v>
          </cell>
          <cell r="AY1527">
            <v>13.969073068024317</v>
          </cell>
        </row>
        <row r="1528">
          <cell r="A1528">
            <v>41676</v>
          </cell>
          <cell r="AF1528">
            <v>17.195246770675531</v>
          </cell>
          <cell r="AG1528">
            <v>20.469360058004284</v>
          </cell>
          <cell r="AH1528">
            <v>17.881583490985356</v>
          </cell>
          <cell r="AI1528">
            <v>15.547864889645153</v>
          </cell>
          <cell r="AJ1528">
            <v>20.215302092325562</v>
          </cell>
          <cell r="AU1528">
            <v>12.29224776535129</v>
          </cell>
          <cell r="AV1528">
            <v>14.263722316306255</v>
          </cell>
          <cell r="AW1528">
            <v>12.105561258724364</v>
          </cell>
          <cell r="AX1528">
            <v>10.242049449424412</v>
          </cell>
          <cell r="AY1528">
            <v>13.969073068024317</v>
          </cell>
        </row>
        <row r="1529">
          <cell r="A1529">
            <v>41677</v>
          </cell>
          <cell r="AF1529">
            <v>17.30527549898466</v>
          </cell>
          <cell r="AG1529">
            <v>20.469360058004284</v>
          </cell>
          <cell r="AH1529">
            <v>17.881583490985356</v>
          </cell>
          <cell r="AI1529">
            <v>15.547864889645153</v>
          </cell>
          <cell r="AJ1529">
            <v>20.215302092325562</v>
          </cell>
          <cell r="AU1529">
            <v>12.356757781282898</v>
          </cell>
          <cell r="AV1529">
            <v>14.263722316306255</v>
          </cell>
          <cell r="AW1529">
            <v>12.105561258724364</v>
          </cell>
          <cell r="AX1529">
            <v>10.242049449424412</v>
          </cell>
          <cell r="AY1529">
            <v>13.969073068024317</v>
          </cell>
        </row>
        <row r="1530">
          <cell r="A1530">
            <v>41680</v>
          </cell>
          <cell r="AF1530">
            <v>17.388747962998398</v>
          </cell>
          <cell r="AG1530">
            <v>20.469360058004284</v>
          </cell>
          <cell r="AH1530">
            <v>17.881583490985356</v>
          </cell>
          <cell r="AI1530">
            <v>15.547864889645153</v>
          </cell>
          <cell r="AJ1530">
            <v>20.215302092325562</v>
          </cell>
          <cell r="AU1530">
            <v>12.405697817818158</v>
          </cell>
          <cell r="AV1530">
            <v>14.263722316306255</v>
          </cell>
          <cell r="AW1530">
            <v>12.105561258724364</v>
          </cell>
          <cell r="AX1530">
            <v>10.242049449424412</v>
          </cell>
          <cell r="AY1530">
            <v>13.969073068024317</v>
          </cell>
        </row>
        <row r="1531">
          <cell r="A1531">
            <v>41681</v>
          </cell>
          <cell r="AF1531">
            <v>17.559490870874953</v>
          </cell>
          <cell r="AG1531">
            <v>20.469360058004284</v>
          </cell>
          <cell r="AH1531">
            <v>17.881583490985356</v>
          </cell>
          <cell r="AI1531">
            <v>15.547864889645153</v>
          </cell>
          <cell r="AJ1531">
            <v>20.215302092325562</v>
          </cell>
          <cell r="AU1531">
            <v>12.505804652429386</v>
          </cell>
          <cell r="AV1531">
            <v>14.263722316306255</v>
          </cell>
          <cell r="AW1531">
            <v>12.105561258724364</v>
          </cell>
          <cell r="AX1531">
            <v>10.242049449424412</v>
          </cell>
          <cell r="AY1531">
            <v>13.969073068024317</v>
          </cell>
        </row>
        <row r="1532">
          <cell r="A1532">
            <v>41682</v>
          </cell>
          <cell r="AF1532">
            <v>17.441866182867667</v>
          </cell>
          <cell r="AG1532">
            <v>20.469360058004284</v>
          </cell>
          <cell r="AH1532">
            <v>17.881583490985356</v>
          </cell>
          <cell r="AI1532">
            <v>15.547864889645153</v>
          </cell>
          <cell r="AJ1532">
            <v>20.215302092325562</v>
          </cell>
          <cell r="AU1532">
            <v>12.436841113416358</v>
          </cell>
          <cell r="AV1532">
            <v>14.263722316306255</v>
          </cell>
          <cell r="AW1532">
            <v>12.105561258724364</v>
          </cell>
          <cell r="AX1532">
            <v>10.242049449424412</v>
          </cell>
          <cell r="AY1532">
            <v>13.969073068024317</v>
          </cell>
        </row>
        <row r="1533">
          <cell r="A1533">
            <v>41683</v>
          </cell>
          <cell r="AF1533">
            <v>17.449456451287336</v>
          </cell>
          <cell r="AG1533">
            <v>20.469360058004284</v>
          </cell>
          <cell r="AH1533">
            <v>17.881583490985356</v>
          </cell>
          <cell r="AI1533">
            <v>15.547864889645153</v>
          </cell>
          <cell r="AJ1533">
            <v>20.215302092325562</v>
          </cell>
          <cell r="AU1533">
            <v>12.381147652387227</v>
          </cell>
          <cell r="AV1533">
            <v>14.263722316306255</v>
          </cell>
          <cell r="AW1533">
            <v>12.105561258724364</v>
          </cell>
          <cell r="AX1533">
            <v>10.242049449424412</v>
          </cell>
          <cell r="AY1533">
            <v>13.969073068024317</v>
          </cell>
        </row>
        <row r="1534">
          <cell r="A1534">
            <v>41684</v>
          </cell>
          <cell r="AF1534">
            <v>17.544311092872757</v>
          </cell>
          <cell r="AG1534">
            <v>20.469360058004284</v>
          </cell>
          <cell r="AH1534">
            <v>17.881583490985356</v>
          </cell>
          <cell r="AI1534">
            <v>15.547864889645153</v>
          </cell>
          <cell r="AJ1534">
            <v>20.215302092325562</v>
          </cell>
          <cell r="AU1534">
            <v>12.436434138693896</v>
          </cell>
          <cell r="AV1534">
            <v>14.263722316306255</v>
          </cell>
          <cell r="AW1534">
            <v>12.105561258724364</v>
          </cell>
          <cell r="AX1534">
            <v>10.242049449424412</v>
          </cell>
          <cell r="AY1534">
            <v>13.969073068024317</v>
          </cell>
        </row>
        <row r="1535">
          <cell r="A1535">
            <v>41687</v>
          </cell>
          <cell r="AF1535">
            <v>17.561301957102486</v>
          </cell>
          <cell r="AG1535">
            <v>20.469360058004284</v>
          </cell>
          <cell r="AH1535">
            <v>17.881583490985356</v>
          </cell>
          <cell r="AI1535">
            <v>15.547864889645153</v>
          </cell>
          <cell r="AJ1535">
            <v>20.215302092325562</v>
          </cell>
          <cell r="AU1535">
            <v>12.437850028312491</v>
          </cell>
          <cell r="AV1535">
            <v>14.263722316306255</v>
          </cell>
          <cell r="AW1535">
            <v>12.105561258724364</v>
          </cell>
          <cell r="AX1535">
            <v>10.242049449424412</v>
          </cell>
          <cell r="AY1535">
            <v>13.969073068024317</v>
          </cell>
        </row>
        <row r="1536">
          <cell r="A1536">
            <v>41688</v>
          </cell>
          <cell r="AF1536">
            <v>17.706289435323825</v>
          </cell>
          <cell r="AG1536">
            <v>20.469360058004284</v>
          </cell>
          <cell r="AH1536">
            <v>17.881583490985356</v>
          </cell>
          <cell r="AI1536">
            <v>15.547864889645153</v>
          </cell>
          <cell r="AJ1536">
            <v>20.215302092325562</v>
          </cell>
          <cell r="AU1536">
            <v>12.390313077613976</v>
          </cell>
          <cell r="AV1536">
            <v>14.263722316306255</v>
          </cell>
          <cell r="AW1536">
            <v>12.105561258724364</v>
          </cell>
          <cell r="AX1536">
            <v>10.242049449424412</v>
          </cell>
          <cell r="AY1536">
            <v>13.969073068024317</v>
          </cell>
        </row>
        <row r="1537">
          <cell r="A1537">
            <v>41689</v>
          </cell>
          <cell r="AF1537">
            <v>17.539413848253815</v>
          </cell>
          <cell r="AG1537">
            <v>20.469360058004284</v>
          </cell>
          <cell r="AH1537">
            <v>17.881583490985356</v>
          </cell>
          <cell r="AI1537">
            <v>15.547864889645153</v>
          </cell>
          <cell r="AJ1537">
            <v>20.215302092325562</v>
          </cell>
          <cell r="AU1537">
            <v>12.301715779507909</v>
          </cell>
          <cell r="AV1537">
            <v>14.263722316306255</v>
          </cell>
          <cell r="AW1537">
            <v>12.105561258724364</v>
          </cell>
          <cell r="AX1537">
            <v>10.242049449424412</v>
          </cell>
          <cell r="AY1537">
            <v>13.969073068024317</v>
          </cell>
        </row>
        <row r="1538">
          <cell r="A1538">
            <v>41690</v>
          </cell>
          <cell r="AF1538">
            <v>17.871080571205791</v>
          </cell>
          <cell r="AG1538">
            <v>20.469360058004284</v>
          </cell>
          <cell r="AH1538">
            <v>17.881583490985356</v>
          </cell>
          <cell r="AI1538">
            <v>15.547864889645153</v>
          </cell>
          <cell r="AJ1538">
            <v>20.215302092325562</v>
          </cell>
          <cell r="AU1538">
            <v>12.476581652381181</v>
          </cell>
          <cell r="AV1538">
            <v>14.263722316306255</v>
          </cell>
          <cell r="AW1538">
            <v>12.105561258724364</v>
          </cell>
          <cell r="AX1538">
            <v>10.242049449424412</v>
          </cell>
          <cell r="AY1538">
            <v>13.969073068024317</v>
          </cell>
        </row>
        <row r="1539">
          <cell r="A1539">
            <v>41691</v>
          </cell>
          <cell r="AF1539">
            <v>17.666977474605513</v>
          </cell>
          <cell r="AG1539">
            <v>20.469360058004284</v>
          </cell>
          <cell r="AH1539">
            <v>17.881583490985356</v>
          </cell>
          <cell r="AI1539">
            <v>15.547864889645153</v>
          </cell>
          <cell r="AJ1539">
            <v>20.215302092325562</v>
          </cell>
          <cell r="AU1539">
            <v>12.36805894476112</v>
          </cell>
          <cell r="AV1539">
            <v>14.263722316306255</v>
          </cell>
          <cell r="AW1539">
            <v>12.105561258724364</v>
          </cell>
          <cell r="AX1539">
            <v>10.242049449424412</v>
          </cell>
          <cell r="AY1539">
            <v>13.969073068024317</v>
          </cell>
        </row>
        <row r="1540">
          <cell r="A1540">
            <v>41694</v>
          </cell>
          <cell r="AF1540">
            <v>17.713751034874974</v>
          </cell>
          <cell r="AG1540">
            <v>20.469360058004284</v>
          </cell>
          <cell r="AH1540">
            <v>17.881583490985356</v>
          </cell>
          <cell r="AI1540">
            <v>15.547864889645153</v>
          </cell>
          <cell r="AJ1540">
            <v>20.215302092325562</v>
          </cell>
          <cell r="AU1540">
            <v>12.392710147505685</v>
          </cell>
          <cell r="AV1540">
            <v>14.263722316306255</v>
          </cell>
          <cell r="AW1540">
            <v>12.105561258724364</v>
          </cell>
          <cell r="AX1540">
            <v>10.242049449424412</v>
          </cell>
          <cell r="AY1540">
            <v>13.969073068024317</v>
          </cell>
        </row>
        <row r="1541">
          <cell r="A1541">
            <v>41695</v>
          </cell>
          <cell r="AF1541">
            <v>17.78443642361098</v>
          </cell>
          <cell r="AG1541">
            <v>20.469360058004284</v>
          </cell>
          <cell r="AH1541">
            <v>17.881583490985356</v>
          </cell>
          <cell r="AI1541">
            <v>15.547864889645153</v>
          </cell>
          <cell r="AJ1541">
            <v>20.215302092325562</v>
          </cell>
          <cell r="AU1541">
            <v>12.433055406935457</v>
          </cell>
          <cell r="AV1541">
            <v>14.263722316306255</v>
          </cell>
          <cell r="AW1541">
            <v>12.105561258724364</v>
          </cell>
          <cell r="AX1541">
            <v>10.242049449424412</v>
          </cell>
          <cell r="AY1541">
            <v>13.969073068024317</v>
          </cell>
        </row>
        <row r="1542">
          <cell r="A1542">
            <v>41696</v>
          </cell>
          <cell r="AF1542">
            <v>17.733386170496541</v>
          </cell>
          <cell r="AG1542">
            <v>20.469360058004284</v>
          </cell>
          <cell r="AH1542">
            <v>17.881583490985356</v>
          </cell>
          <cell r="AI1542">
            <v>15.547864889645153</v>
          </cell>
          <cell r="AJ1542">
            <v>20.215302092325562</v>
          </cell>
          <cell r="AU1542">
            <v>12.403917338337576</v>
          </cell>
          <cell r="AV1542">
            <v>14.263722316306255</v>
          </cell>
          <cell r="AW1542">
            <v>12.105561258724364</v>
          </cell>
          <cell r="AX1542">
            <v>10.242049449424412</v>
          </cell>
          <cell r="AY1542">
            <v>13.969073068024317</v>
          </cell>
        </row>
        <row r="1543">
          <cell r="A1543">
            <v>41697</v>
          </cell>
          <cell r="AF1543">
            <v>17.751236309668833</v>
          </cell>
          <cell r="AG1543">
            <v>20.469360058004284</v>
          </cell>
          <cell r="AH1543">
            <v>17.881583490985356</v>
          </cell>
          <cell r="AI1543">
            <v>15.547864889645153</v>
          </cell>
          <cell r="AJ1543">
            <v>20.215302092325562</v>
          </cell>
          <cell r="AU1543">
            <v>12.45546978859924</v>
          </cell>
          <cell r="AV1543">
            <v>14.263722316306255</v>
          </cell>
          <cell r="AW1543">
            <v>12.105561258724364</v>
          </cell>
          <cell r="AX1543">
            <v>10.242049449424412</v>
          </cell>
          <cell r="AY1543">
            <v>13.969073068024317</v>
          </cell>
        </row>
        <row r="1544">
          <cell r="A1544">
            <v>41698</v>
          </cell>
          <cell r="AF1544">
            <v>17.76186260842864</v>
          </cell>
          <cell r="AG1544">
            <v>20.469360058004284</v>
          </cell>
          <cell r="AH1544">
            <v>17.881583490985356</v>
          </cell>
          <cell r="AI1544">
            <v>15.547864889645153</v>
          </cell>
          <cell r="AJ1544">
            <v>20.215302092325562</v>
          </cell>
          <cell r="AU1544">
            <v>12.453226243607396</v>
          </cell>
          <cell r="AV1544">
            <v>14.263722316306255</v>
          </cell>
          <cell r="AW1544">
            <v>12.105561258724364</v>
          </cell>
          <cell r="AX1544">
            <v>10.242049449424412</v>
          </cell>
          <cell r="AY1544">
            <v>13.969073068024317</v>
          </cell>
        </row>
        <row r="1545">
          <cell r="A1545">
            <v>41701</v>
          </cell>
          <cell r="AF1545">
            <v>17.452337804185415</v>
          </cell>
          <cell r="AG1545">
            <v>20.469360058004284</v>
          </cell>
          <cell r="AH1545">
            <v>17.881583490985356</v>
          </cell>
          <cell r="AI1545">
            <v>15.547864889645153</v>
          </cell>
          <cell r="AJ1545">
            <v>20.215302092325562</v>
          </cell>
          <cell r="AU1545">
            <v>12.276016881275137</v>
          </cell>
          <cell r="AV1545">
            <v>14.263722316306255</v>
          </cell>
          <cell r="AW1545">
            <v>12.105561258724364</v>
          </cell>
          <cell r="AX1545">
            <v>10.242049449424412</v>
          </cell>
          <cell r="AY1545">
            <v>13.969073068024317</v>
          </cell>
        </row>
        <row r="1546">
          <cell r="A1546">
            <v>41702</v>
          </cell>
          <cell r="AF1546">
            <v>17.930009660147277</v>
          </cell>
          <cell r="AG1546">
            <v>20.469360058004284</v>
          </cell>
          <cell r="AH1546">
            <v>17.881583490985356</v>
          </cell>
          <cell r="AI1546">
            <v>15.547864889645153</v>
          </cell>
          <cell r="AJ1546">
            <v>20.215302092325562</v>
          </cell>
          <cell r="AU1546">
            <v>12.549945995192898</v>
          </cell>
          <cell r="AV1546">
            <v>14.263722316306255</v>
          </cell>
          <cell r="AW1546">
            <v>12.105561258724364</v>
          </cell>
          <cell r="AX1546">
            <v>10.242049449424412</v>
          </cell>
          <cell r="AY1546">
            <v>13.969073068024317</v>
          </cell>
        </row>
        <row r="1547">
          <cell r="A1547">
            <v>41703</v>
          </cell>
          <cell r="AF1547">
            <v>17.914472259843397</v>
          </cell>
          <cell r="AG1547">
            <v>20.469360058004284</v>
          </cell>
          <cell r="AH1547">
            <v>17.881583490985356</v>
          </cell>
          <cell r="AI1547">
            <v>15.547864889645153</v>
          </cell>
          <cell r="AJ1547">
            <v>20.215302092325562</v>
          </cell>
          <cell r="AU1547">
            <v>12.541035806650898</v>
          </cell>
          <cell r="AV1547">
            <v>14.263722316306255</v>
          </cell>
          <cell r="AW1547">
            <v>12.105561258724364</v>
          </cell>
          <cell r="AX1547">
            <v>10.242049449424412</v>
          </cell>
          <cell r="AY1547">
            <v>13.969073068024317</v>
          </cell>
        </row>
        <row r="1548">
          <cell r="A1548">
            <v>41704</v>
          </cell>
          <cell r="AF1548">
            <v>17.838452964151081</v>
          </cell>
          <cell r="AG1548">
            <v>20.469360058004284</v>
          </cell>
          <cell r="AH1548">
            <v>17.881583490985356</v>
          </cell>
          <cell r="AI1548">
            <v>15.547864889645153</v>
          </cell>
          <cell r="AJ1548">
            <v>20.215302092325562</v>
          </cell>
          <cell r="AU1548">
            <v>12.48758892849361</v>
          </cell>
          <cell r="AV1548">
            <v>14.263722316306255</v>
          </cell>
          <cell r="AW1548">
            <v>12.105561258724364</v>
          </cell>
          <cell r="AX1548">
            <v>10.242049449424412</v>
          </cell>
          <cell r="AY1548">
            <v>13.969073068024317</v>
          </cell>
        </row>
        <row r="1549">
          <cell r="A1549">
            <v>41705</v>
          </cell>
          <cell r="AF1549">
            <v>18.215507870162959</v>
          </cell>
          <cell r="AG1549">
            <v>20.469360058004284</v>
          </cell>
          <cell r="AH1549">
            <v>17.881583490985356</v>
          </cell>
          <cell r="AI1549">
            <v>15.547864889645153</v>
          </cell>
          <cell r="AJ1549">
            <v>20.215302092325562</v>
          </cell>
          <cell r="AU1549">
            <v>12.70360927749263</v>
          </cell>
          <cell r="AV1549">
            <v>14.263722316306255</v>
          </cell>
          <cell r="AW1549">
            <v>12.105561258724364</v>
          </cell>
          <cell r="AX1549">
            <v>10.242049449424412</v>
          </cell>
          <cell r="AY1549">
            <v>13.969073068024317</v>
          </cell>
        </row>
        <row r="1550">
          <cell r="A1550">
            <v>41708</v>
          </cell>
          <cell r="AF1550">
            <v>18.052245404091103</v>
          </cell>
          <cell r="AG1550">
            <v>20.469360058004284</v>
          </cell>
          <cell r="AH1550">
            <v>17.881583490985356</v>
          </cell>
          <cell r="AI1550">
            <v>15.547864889645153</v>
          </cell>
          <cell r="AJ1550">
            <v>20.215302092325562</v>
          </cell>
          <cell r="AU1550">
            <v>12.610073788795999</v>
          </cell>
          <cell r="AV1550">
            <v>14.263722316306255</v>
          </cell>
          <cell r="AW1550">
            <v>12.105561258724364</v>
          </cell>
          <cell r="AX1550">
            <v>10.242049449424412</v>
          </cell>
          <cell r="AY1550">
            <v>13.969073068024317</v>
          </cell>
        </row>
        <row r="1551">
          <cell r="A1551">
            <v>41709</v>
          </cell>
          <cell r="AF1551">
            <v>17.95895562058011</v>
          </cell>
          <cell r="AG1551">
            <v>20.469360058004284</v>
          </cell>
          <cell r="AH1551">
            <v>17.881583490985356</v>
          </cell>
          <cell r="AI1551">
            <v>15.547864889645153</v>
          </cell>
          <cell r="AJ1551">
            <v>20.215302092325562</v>
          </cell>
          <cell r="AU1551">
            <v>12.556626687934108</v>
          </cell>
          <cell r="AV1551">
            <v>14.263722316306255</v>
          </cell>
          <cell r="AW1551">
            <v>12.105561258724364</v>
          </cell>
          <cell r="AX1551">
            <v>10.242049449424412</v>
          </cell>
          <cell r="AY1551">
            <v>13.969073068024317</v>
          </cell>
        </row>
        <row r="1552">
          <cell r="A1552">
            <v>41710</v>
          </cell>
          <cell r="AF1552">
            <v>17.799578430981921</v>
          </cell>
          <cell r="AG1552">
            <v>20.469360058004284</v>
          </cell>
          <cell r="AH1552">
            <v>17.881583490985356</v>
          </cell>
          <cell r="AI1552">
            <v>15.547864889645153</v>
          </cell>
          <cell r="AJ1552">
            <v>20.215302092325562</v>
          </cell>
          <cell r="AU1552">
            <v>12.465317131764589</v>
          </cell>
          <cell r="AV1552">
            <v>14.263722316306255</v>
          </cell>
          <cell r="AW1552">
            <v>12.105561258724364</v>
          </cell>
          <cell r="AX1552">
            <v>10.242049449424412</v>
          </cell>
          <cell r="AY1552">
            <v>13.969073068024317</v>
          </cell>
        </row>
        <row r="1553">
          <cell r="A1553">
            <v>41711</v>
          </cell>
          <cell r="AF1553">
            <v>17.605217426796354</v>
          </cell>
          <cell r="AG1553">
            <v>20.469360058004284</v>
          </cell>
          <cell r="AH1553">
            <v>17.881583490985356</v>
          </cell>
          <cell r="AI1553">
            <v>15.547864889645153</v>
          </cell>
          <cell r="AJ1553">
            <v>20.215302092325562</v>
          </cell>
          <cell r="AU1553">
            <v>12.353964829257635</v>
          </cell>
          <cell r="AV1553">
            <v>14.263722316306255</v>
          </cell>
          <cell r="AW1553">
            <v>12.105561258724364</v>
          </cell>
          <cell r="AX1553">
            <v>10.242049449424412</v>
          </cell>
          <cell r="AY1553">
            <v>13.969073068024317</v>
          </cell>
        </row>
        <row r="1554">
          <cell r="A1554">
            <v>41712</v>
          </cell>
          <cell r="AF1554">
            <v>17.438063853420701</v>
          </cell>
          <cell r="AG1554">
            <v>20.469360058004284</v>
          </cell>
          <cell r="AH1554">
            <v>17.881583490985356</v>
          </cell>
          <cell r="AI1554">
            <v>15.547864889645153</v>
          </cell>
          <cell r="AJ1554">
            <v>20.215302092325562</v>
          </cell>
          <cell r="AU1554">
            <v>12.258200067464816</v>
          </cell>
          <cell r="AV1554">
            <v>14.263722316306255</v>
          </cell>
          <cell r="AW1554">
            <v>12.105561258724364</v>
          </cell>
          <cell r="AX1554">
            <v>10.242049449424412</v>
          </cell>
          <cell r="AY1554">
            <v>13.969073068024317</v>
          </cell>
        </row>
        <row r="1555">
          <cell r="A1555">
            <v>41715</v>
          </cell>
          <cell r="AF1555">
            <v>17.710173923944595</v>
          </cell>
          <cell r="AG1555">
            <v>20.469360058004284</v>
          </cell>
          <cell r="AH1555">
            <v>17.881583490985356</v>
          </cell>
          <cell r="AI1555">
            <v>15.547864889645153</v>
          </cell>
          <cell r="AJ1555">
            <v>20.215302092325562</v>
          </cell>
          <cell r="AU1555">
            <v>12.414095963429812</v>
          </cell>
          <cell r="AV1555">
            <v>14.263722316306255</v>
          </cell>
          <cell r="AW1555">
            <v>12.105561258724364</v>
          </cell>
          <cell r="AX1555">
            <v>10.242049449424412</v>
          </cell>
          <cell r="AY1555">
            <v>13.969073068024317</v>
          </cell>
        </row>
        <row r="1556">
          <cell r="A1556">
            <v>41716</v>
          </cell>
          <cell r="AF1556">
            <v>17.834561856847287</v>
          </cell>
          <cell r="AG1556">
            <v>20.469360058004284</v>
          </cell>
          <cell r="AH1556">
            <v>17.881583490985356</v>
          </cell>
          <cell r="AI1556">
            <v>15.547864889645153</v>
          </cell>
          <cell r="AJ1556">
            <v>20.215302092325562</v>
          </cell>
          <cell r="AU1556">
            <v>12.485359655397422</v>
          </cell>
          <cell r="AV1556">
            <v>14.263722316306255</v>
          </cell>
          <cell r="AW1556">
            <v>12.105561258724364</v>
          </cell>
          <cell r="AX1556">
            <v>10.242049449424412</v>
          </cell>
          <cell r="AY1556">
            <v>13.969073068024317</v>
          </cell>
        </row>
        <row r="1557">
          <cell r="A1557">
            <v>41717</v>
          </cell>
          <cell r="AF1557">
            <v>17.79569315450825</v>
          </cell>
          <cell r="AG1557">
            <v>20.469360058004284</v>
          </cell>
          <cell r="AH1557">
            <v>17.881583490985356</v>
          </cell>
          <cell r="AI1557">
            <v>15.547864889645153</v>
          </cell>
          <cell r="AJ1557">
            <v>20.215302092325562</v>
          </cell>
          <cell r="AU1557">
            <v>12.463091199237475</v>
          </cell>
          <cell r="AV1557">
            <v>14.263722316306255</v>
          </cell>
          <cell r="AW1557">
            <v>12.105561258724364</v>
          </cell>
          <cell r="AX1557">
            <v>10.242049449424412</v>
          </cell>
          <cell r="AY1557">
            <v>13.969073068024317</v>
          </cell>
        </row>
        <row r="1558">
          <cell r="A1558">
            <v>41718</v>
          </cell>
          <cell r="AF1558">
            <v>17.799578430981921</v>
          </cell>
          <cell r="AG1558">
            <v>20.469360058004284</v>
          </cell>
          <cell r="AH1558">
            <v>17.881583490985356</v>
          </cell>
          <cell r="AI1558">
            <v>15.547864889645153</v>
          </cell>
          <cell r="AJ1558">
            <v>20.215302092325562</v>
          </cell>
          <cell r="AU1558">
            <v>12.465317131764589</v>
          </cell>
          <cell r="AV1558">
            <v>14.263722316306255</v>
          </cell>
          <cell r="AW1558">
            <v>12.105561258724364</v>
          </cell>
          <cell r="AX1558">
            <v>10.242049449424412</v>
          </cell>
          <cell r="AY1558">
            <v>13.969073068024317</v>
          </cell>
        </row>
        <row r="1559">
          <cell r="A1559">
            <v>41719</v>
          </cell>
          <cell r="AF1559">
            <v>17.776255887923668</v>
          </cell>
          <cell r="AG1559">
            <v>20.469360058004284</v>
          </cell>
          <cell r="AH1559">
            <v>17.881583490985356</v>
          </cell>
          <cell r="AI1559">
            <v>15.547864889645153</v>
          </cell>
          <cell r="AJ1559">
            <v>20.215302092325562</v>
          </cell>
          <cell r="AU1559">
            <v>12.451955300872966</v>
          </cell>
          <cell r="AV1559">
            <v>14.263722316306255</v>
          </cell>
          <cell r="AW1559">
            <v>12.105561258724364</v>
          </cell>
          <cell r="AX1559">
            <v>10.242049449424412</v>
          </cell>
          <cell r="AY1559">
            <v>13.969073068024317</v>
          </cell>
        </row>
        <row r="1560">
          <cell r="A1560">
            <v>41722</v>
          </cell>
          <cell r="AF1560">
            <v>17.543020350568941</v>
          </cell>
          <cell r="AG1560">
            <v>20.469360058004284</v>
          </cell>
          <cell r="AH1560">
            <v>17.881583490985356</v>
          </cell>
          <cell r="AI1560">
            <v>15.547864889645153</v>
          </cell>
          <cell r="AJ1560">
            <v>20.215302092325562</v>
          </cell>
          <cell r="AU1560">
            <v>12.315788302645464</v>
          </cell>
          <cell r="AV1560">
            <v>14.263722316306255</v>
          </cell>
          <cell r="AW1560">
            <v>12.105561258724364</v>
          </cell>
          <cell r="AX1560">
            <v>10.242049449424412</v>
          </cell>
          <cell r="AY1560">
            <v>13.969073068024317</v>
          </cell>
        </row>
        <row r="1561">
          <cell r="A1561">
            <v>41723</v>
          </cell>
          <cell r="AF1561">
            <v>17.706282816640798</v>
          </cell>
          <cell r="AG1561">
            <v>20.469360058004284</v>
          </cell>
          <cell r="AH1561">
            <v>17.881583490985356</v>
          </cell>
          <cell r="AI1561">
            <v>15.547864889645153</v>
          </cell>
          <cell r="AJ1561">
            <v>20.215302092325562</v>
          </cell>
          <cell r="AU1561">
            <v>12.40930012609221</v>
          </cell>
          <cell r="AV1561">
            <v>14.263722316306255</v>
          </cell>
          <cell r="AW1561">
            <v>12.105561258724364</v>
          </cell>
          <cell r="AX1561">
            <v>10.242049449424412</v>
          </cell>
          <cell r="AY1561">
            <v>13.969073068024317</v>
          </cell>
        </row>
        <row r="1562">
          <cell r="A1562">
            <v>41724</v>
          </cell>
          <cell r="AF1562">
            <v>17.675184278527091</v>
          </cell>
          <cell r="AG1562">
            <v>20.469360058004284</v>
          </cell>
          <cell r="AH1562">
            <v>17.881583490985356</v>
          </cell>
          <cell r="AI1562">
            <v>15.547864889645153</v>
          </cell>
          <cell r="AJ1562">
            <v>20.215302092325562</v>
          </cell>
          <cell r="AU1562">
            <v>12.391487820082689</v>
          </cell>
          <cell r="AV1562">
            <v>14.263722316306255</v>
          </cell>
          <cell r="AW1562">
            <v>12.105561258724364</v>
          </cell>
          <cell r="AX1562">
            <v>10.242049449424412</v>
          </cell>
          <cell r="AY1562">
            <v>13.969073068024317</v>
          </cell>
        </row>
        <row r="1563">
          <cell r="A1563">
            <v>41725</v>
          </cell>
          <cell r="AF1563">
            <v>17.574118888682648</v>
          </cell>
          <cell r="AG1563">
            <v>20.469360058004284</v>
          </cell>
          <cell r="AH1563">
            <v>17.881583490985356</v>
          </cell>
          <cell r="AI1563">
            <v>15.547864889645153</v>
          </cell>
          <cell r="AJ1563">
            <v>20.215302092325562</v>
          </cell>
          <cell r="AU1563">
            <v>12.333600608654985</v>
          </cell>
          <cell r="AV1563">
            <v>14.263722316306255</v>
          </cell>
          <cell r="AW1563">
            <v>12.105561258724364</v>
          </cell>
          <cell r="AX1563">
            <v>10.242049449424412</v>
          </cell>
          <cell r="AY1563">
            <v>13.969073068024317</v>
          </cell>
        </row>
        <row r="1564">
          <cell r="A1564">
            <v>41726</v>
          </cell>
          <cell r="AF1564">
            <v>17.682960662304556</v>
          </cell>
          <cell r="AG1564">
            <v>20.469360058004284</v>
          </cell>
          <cell r="AH1564">
            <v>17.881583490985356</v>
          </cell>
          <cell r="AI1564">
            <v>15.547864889645153</v>
          </cell>
          <cell r="AJ1564">
            <v>20.215302092325562</v>
          </cell>
          <cell r="AU1564">
            <v>12.395941898502235</v>
          </cell>
          <cell r="AV1564">
            <v>14.263722316306255</v>
          </cell>
          <cell r="AW1564">
            <v>12.105561258724364</v>
          </cell>
          <cell r="AX1564">
            <v>10.242049449424412</v>
          </cell>
          <cell r="AY1564">
            <v>13.969073068024317</v>
          </cell>
        </row>
        <row r="1565">
          <cell r="A1565">
            <v>41729</v>
          </cell>
          <cell r="AF1565">
            <v>17.8967589330747</v>
          </cell>
          <cell r="AG1565">
            <v>20.469360058004284</v>
          </cell>
          <cell r="AH1565">
            <v>17.881583490985356</v>
          </cell>
          <cell r="AI1565">
            <v>15.547864889645153</v>
          </cell>
          <cell r="AJ1565">
            <v>20.215302092325562</v>
          </cell>
          <cell r="AU1565">
            <v>12.518399108848907</v>
          </cell>
          <cell r="AV1565">
            <v>14.263722316306255</v>
          </cell>
          <cell r="AW1565">
            <v>12.105561258724364</v>
          </cell>
          <cell r="AX1565">
            <v>10.242049449424412</v>
          </cell>
          <cell r="AY1565">
            <v>13.969073068024317</v>
          </cell>
        </row>
        <row r="1566">
          <cell r="A1566">
            <v>41730</v>
          </cell>
          <cell r="AF1566">
            <v>18.13334567944284</v>
          </cell>
          <cell r="AG1566">
            <v>20.469360058004284</v>
          </cell>
          <cell r="AH1566">
            <v>17.881583490985356</v>
          </cell>
          <cell r="AI1566">
            <v>15.547864889645153</v>
          </cell>
          <cell r="AJ1566">
            <v>20.215302092325562</v>
          </cell>
          <cell r="AU1566">
            <v>12.660608017157834</v>
          </cell>
          <cell r="AV1566">
            <v>14.263722316306255</v>
          </cell>
          <cell r="AW1566">
            <v>12.105561258724364</v>
          </cell>
          <cell r="AX1566">
            <v>10.242049449424412</v>
          </cell>
          <cell r="AY1566">
            <v>13.969073068024317</v>
          </cell>
        </row>
        <row r="1567">
          <cell r="A1567">
            <v>41731</v>
          </cell>
          <cell r="AF1567">
            <v>18.384123677135687</v>
          </cell>
          <cell r="AG1567">
            <v>20.469360058004284</v>
          </cell>
          <cell r="AH1567">
            <v>17.881583490985356</v>
          </cell>
          <cell r="AI1567">
            <v>15.547864889645153</v>
          </cell>
          <cell r="AJ1567">
            <v>20.215302092325562</v>
          </cell>
          <cell r="AU1567">
            <v>12.804514949016578</v>
          </cell>
          <cell r="AV1567">
            <v>14.263722316306255</v>
          </cell>
          <cell r="AW1567">
            <v>12.105561258724364</v>
          </cell>
          <cell r="AX1567">
            <v>10.242049449424412</v>
          </cell>
          <cell r="AY1567">
            <v>13.969073068024317</v>
          </cell>
        </row>
        <row r="1568">
          <cell r="A1568">
            <v>41732</v>
          </cell>
          <cell r="AF1568">
            <v>18.310817891055144</v>
          </cell>
          <cell r="AG1568">
            <v>20.469360058004284</v>
          </cell>
          <cell r="AH1568">
            <v>17.881583490985356</v>
          </cell>
          <cell r="AI1568">
            <v>15.547864889645153</v>
          </cell>
          <cell r="AJ1568">
            <v>20.215302092325562</v>
          </cell>
          <cell r="AU1568">
            <v>12.762449014766377</v>
          </cell>
          <cell r="AV1568">
            <v>14.263722316306255</v>
          </cell>
          <cell r="AW1568">
            <v>12.105561258724364</v>
          </cell>
          <cell r="AX1568">
            <v>10.242049449424412</v>
          </cell>
          <cell r="AY1568">
            <v>13.969073068024317</v>
          </cell>
        </row>
        <row r="1569">
          <cell r="A1569">
            <v>41733</v>
          </cell>
          <cell r="AF1569">
            <v>18.075469827272045</v>
          </cell>
          <cell r="AG1569">
            <v>20.469360058004284</v>
          </cell>
          <cell r="AH1569">
            <v>17.881583490985356</v>
          </cell>
          <cell r="AI1569">
            <v>15.547864889645153</v>
          </cell>
          <cell r="AJ1569">
            <v>20.215302092325562</v>
          </cell>
          <cell r="AU1569">
            <v>12.627396426064381</v>
          </cell>
          <cell r="AV1569">
            <v>14.263722316306255</v>
          </cell>
          <cell r="AW1569">
            <v>12.105561258724364</v>
          </cell>
          <cell r="AX1569">
            <v>10.242049449424412</v>
          </cell>
          <cell r="AY1569">
            <v>13.969073068024317</v>
          </cell>
        </row>
        <row r="1570">
          <cell r="A1570">
            <v>41736</v>
          </cell>
          <cell r="AF1570">
            <v>17.766815977408399</v>
          </cell>
          <cell r="AG1570">
            <v>20.469360058004284</v>
          </cell>
          <cell r="AH1570">
            <v>17.881583490985356</v>
          </cell>
          <cell r="AI1570">
            <v>15.547864889645153</v>
          </cell>
          <cell r="AJ1570">
            <v>20.215302092325562</v>
          </cell>
          <cell r="AU1570">
            <v>12.450277903112184</v>
          </cell>
          <cell r="AV1570">
            <v>14.263722316306255</v>
          </cell>
          <cell r="AW1570">
            <v>12.105561258724364</v>
          </cell>
          <cell r="AX1570">
            <v>10.242049449424412</v>
          </cell>
          <cell r="AY1570">
            <v>13.969073068024317</v>
          </cell>
        </row>
        <row r="1571">
          <cell r="A1571">
            <v>41737</v>
          </cell>
          <cell r="AF1571">
            <v>17.789964157707871</v>
          </cell>
          <cell r="AG1571">
            <v>20.469360058004284</v>
          </cell>
          <cell r="AH1571">
            <v>17.881583490985356</v>
          </cell>
          <cell r="AI1571">
            <v>15.547864889645153</v>
          </cell>
          <cell r="AJ1571">
            <v>20.215302092325562</v>
          </cell>
          <cell r="AU1571">
            <v>12.463561299724555</v>
          </cell>
          <cell r="AV1571">
            <v>14.263722316306255</v>
          </cell>
          <cell r="AW1571">
            <v>12.105561258724364</v>
          </cell>
          <cell r="AX1571">
            <v>10.242049449424412</v>
          </cell>
          <cell r="AY1571">
            <v>13.969073068024317</v>
          </cell>
        </row>
        <row r="1572">
          <cell r="A1572">
            <v>41738</v>
          </cell>
          <cell r="AF1572">
            <v>17.863269943788413</v>
          </cell>
          <cell r="AG1572">
            <v>20.469360058004284</v>
          </cell>
          <cell r="AH1572">
            <v>17.881583490985356</v>
          </cell>
          <cell r="AI1572">
            <v>15.547864889645153</v>
          </cell>
          <cell r="AJ1572">
            <v>20.215302092325562</v>
          </cell>
          <cell r="AU1572">
            <v>12.505627233974755</v>
          </cell>
          <cell r="AV1572">
            <v>14.263722316306255</v>
          </cell>
          <cell r="AW1572">
            <v>12.105561258724364</v>
          </cell>
          <cell r="AX1572">
            <v>10.242049449424412</v>
          </cell>
          <cell r="AY1572">
            <v>13.969073068024317</v>
          </cell>
        </row>
        <row r="1573">
          <cell r="A1573">
            <v>41739</v>
          </cell>
          <cell r="AF1573">
            <v>17.384862128702192</v>
          </cell>
          <cell r="AG1573">
            <v>20.469360058004284</v>
          </cell>
          <cell r="AH1573">
            <v>17.881583490985356</v>
          </cell>
          <cell r="AI1573">
            <v>15.547864889645153</v>
          </cell>
          <cell r="AJ1573">
            <v>20.215302092325562</v>
          </cell>
          <cell r="AU1573">
            <v>12.231096766869639</v>
          </cell>
          <cell r="AV1573">
            <v>14.263722316306255</v>
          </cell>
          <cell r="AW1573">
            <v>12.105561258724364</v>
          </cell>
          <cell r="AX1573">
            <v>10.242049449424412</v>
          </cell>
          <cell r="AY1573">
            <v>13.969073068024317</v>
          </cell>
        </row>
        <row r="1574">
          <cell r="A1574">
            <v>41740</v>
          </cell>
          <cell r="AF1574">
            <v>17.168806015642691</v>
          </cell>
          <cell r="AG1574">
            <v>20.469360058004284</v>
          </cell>
          <cell r="AH1574">
            <v>17.881583490985356</v>
          </cell>
          <cell r="AI1574">
            <v>15.547864889645153</v>
          </cell>
          <cell r="AJ1574">
            <v>20.215302092325562</v>
          </cell>
          <cell r="AU1574">
            <v>12.107114708532126</v>
          </cell>
          <cell r="AV1574">
            <v>14.263722316306255</v>
          </cell>
          <cell r="AW1574">
            <v>12.105561258724364</v>
          </cell>
          <cell r="AX1574">
            <v>10.242049449424412</v>
          </cell>
          <cell r="AY1574">
            <v>13.969073068024317</v>
          </cell>
        </row>
        <row r="1575">
          <cell r="A1575">
            <v>41743</v>
          </cell>
          <cell r="AF1575">
            <v>17.172662245218564</v>
          </cell>
          <cell r="AG1575">
            <v>20.469360058004284</v>
          </cell>
          <cell r="AH1575">
            <v>17.881583490985356</v>
          </cell>
          <cell r="AI1575">
            <v>15.547864889645153</v>
          </cell>
          <cell r="AJ1575">
            <v>20.215302092325562</v>
          </cell>
          <cell r="AU1575">
            <v>12.109327574780012</v>
          </cell>
          <cell r="AV1575">
            <v>14.263722316306255</v>
          </cell>
          <cell r="AW1575">
            <v>12.105561258724364</v>
          </cell>
          <cell r="AX1575">
            <v>10.242049449424412</v>
          </cell>
          <cell r="AY1575">
            <v>13.969073068024317</v>
          </cell>
        </row>
        <row r="1576">
          <cell r="A1576">
            <v>41744</v>
          </cell>
          <cell r="AF1576">
            <v>17.226676080575505</v>
          </cell>
          <cell r="AG1576">
            <v>20.469360058004284</v>
          </cell>
          <cell r="AH1576">
            <v>17.881583490985356</v>
          </cell>
          <cell r="AI1576">
            <v>15.547864889645153</v>
          </cell>
          <cell r="AJ1576">
            <v>20.215302092325562</v>
          </cell>
          <cell r="AU1576">
            <v>12.140322978665729</v>
          </cell>
          <cell r="AV1576">
            <v>14.263722316306255</v>
          </cell>
          <cell r="AW1576">
            <v>12.105561258724364</v>
          </cell>
          <cell r="AX1576">
            <v>10.242049449424412</v>
          </cell>
          <cell r="AY1576">
            <v>13.969073068024317</v>
          </cell>
        </row>
        <row r="1577">
          <cell r="A1577">
            <v>41745</v>
          </cell>
          <cell r="AF1577">
            <v>17.245968031299107</v>
          </cell>
          <cell r="AG1577">
            <v>20.469360058004284</v>
          </cell>
          <cell r="AH1577">
            <v>17.881583490985356</v>
          </cell>
          <cell r="AI1577">
            <v>15.547864889645153</v>
          </cell>
          <cell r="AJ1577">
            <v>20.215302092325562</v>
          </cell>
          <cell r="AU1577">
            <v>12.151393509030214</v>
          </cell>
          <cell r="AV1577">
            <v>14.263722316306255</v>
          </cell>
          <cell r="AW1577">
            <v>12.105561258724364</v>
          </cell>
          <cell r="AX1577">
            <v>10.242049449424412</v>
          </cell>
          <cell r="AY1577">
            <v>13.969073068024317</v>
          </cell>
        </row>
        <row r="1578">
          <cell r="A1578">
            <v>41746</v>
          </cell>
          <cell r="AF1578">
            <v>17.435014333061147</v>
          </cell>
          <cell r="AG1578">
            <v>20.469360058004284</v>
          </cell>
          <cell r="AH1578">
            <v>17.881583490985356</v>
          </cell>
          <cell r="AI1578">
            <v>15.547864889645153</v>
          </cell>
          <cell r="AJ1578">
            <v>20.215302092325562</v>
          </cell>
          <cell r="AU1578">
            <v>12.259876204944939</v>
          </cell>
          <cell r="AV1578">
            <v>14.263722316306255</v>
          </cell>
          <cell r="AW1578">
            <v>12.105561258724364</v>
          </cell>
          <cell r="AX1578">
            <v>10.242049449424412</v>
          </cell>
          <cell r="AY1578">
            <v>13.969073068024317</v>
          </cell>
        </row>
        <row r="1579">
          <cell r="A1579">
            <v>41747</v>
          </cell>
          <cell r="AF1579">
            <v>17.435014333061147</v>
          </cell>
          <cell r="AG1579">
            <v>20.469360058004284</v>
          </cell>
          <cell r="AH1579">
            <v>17.881583490985356</v>
          </cell>
          <cell r="AI1579">
            <v>15.547864889645153</v>
          </cell>
          <cell r="AJ1579">
            <v>20.215302092325562</v>
          </cell>
          <cell r="AU1579">
            <v>12.259876204944939</v>
          </cell>
          <cell r="AV1579">
            <v>14.263722316306255</v>
          </cell>
          <cell r="AW1579">
            <v>12.105561258724364</v>
          </cell>
          <cell r="AX1579">
            <v>10.242049449424412</v>
          </cell>
          <cell r="AY1579">
            <v>13.969073068024317</v>
          </cell>
        </row>
        <row r="1580">
          <cell r="A1580">
            <v>41750</v>
          </cell>
          <cell r="AF1580">
            <v>17.473598234508344</v>
          </cell>
          <cell r="AG1580">
            <v>20.469360058004284</v>
          </cell>
          <cell r="AH1580">
            <v>17.881583490985356</v>
          </cell>
          <cell r="AI1580">
            <v>15.547864889645153</v>
          </cell>
          <cell r="AJ1580">
            <v>20.215302092325562</v>
          </cell>
          <cell r="AU1580">
            <v>12.282017265673911</v>
          </cell>
          <cell r="AV1580">
            <v>14.263722316306255</v>
          </cell>
          <cell r="AW1580">
            <v>12.105561258724364</v>
          </cell>
          <cell r="AX1580">
            <v>10.242049449424412</v>
          </cell>
          <cell r="AY1580">
            <v>13.969073068024317</v>
          </cell>
        </row>
        <row r="1581">
          <cell r="A1581">
            <v>41751</v>
          </cell>
          <cell r="AF1581">
            <v>17.387948337351137</v>
          </cell>
          <cell r="AG1581">
            <v>20.469360058004284</v>
          </cell>
          <cell r="AH1581">
            <v>17.881583490985356</v>
          </cell>
          <cell r="AI1581">
            <v>15.547864889645153</v>
          </cell>
          <cell r="AJ1581">
            <v>20.215302092325562</v>
          </cell>
          <cell r="AU1581">
            <v>12.223999265976371</v>
          </cell>
          <cell r="AV1581">
            <v>14.263722316306255</v>
          </cell>
          <cell r="AW1581">
            <v>12.105561258724364</v>
          </cell>
          <cell r="AX1581">
            <v>10.242049449424412</v>
          </cell>
          <cell r="AY1581">
            <v>13.969073068024317</v>
          </cell>
        </row>
        <row r="1582">
          <cell r="A1582">
            <v>41752</v>
          </cell>
          <cell r="AF1582">
            <v>17.364816963857159</v>
          </cell>
          <cell r="AG1582">
            <v>20.469360058004284</v>
          </cell>
          <cell r="AH1582">
            <v>17.881583490985356</v>
          </cell>
          <cell r="AI1582">
            <v>15.547864889645153</v>
          </cell>
          <cell r="AJ1582">
            <v>20.215302092325562</v>
          </cell>
          <cell r="AU1582">
            <v>12.210733402198079</v>
          </cell>
          <cell r="AV1582">
            <v>14.263722316306255</v>
          </cell>
          <cell r="AW1582">
            <v>12.105561258724364</v>
          </cell>
          <cell r="AX1582">
            <v>10.242049449424412</v>
          </cell>
          <cell r="AY1582">
            <v>13.969073068024317</v>
          </cell>
        </row>
        <row r="1583">
          <cell r="A1583">
            <v>41753</v>
          </cell>
          <cell r="AF1583">
            <v>17.241440385543893</v>
          </cell>
          <cell r="AG1583">
            <v>20.469360058004284</v>
          </cell>
          <cell r="AH1583">
            <v>17.881583490985356</v>
          </cell>
          <cell r="AI1583">
            <v>15.547864889645153</v>
          </cell>
          <cell r="AJ1583">
            <v>20.215302092325562</v>
          </cell>
          <cell r="AU1583">
            <v>12.139976822103012</v>
          </cell>
          <cell r="AV1583">
            <v>14.263722316306255</v>
          </cell>
          <cell r="AW1583">
            <v>12.105561258724364</v>
          </cell>
          <cell r="AX1583">
            <v>10.242049449424412</v>
          </cell>
          <cell r="AY1583">
            <v>13.969073068024317</v>
          </cell>
        </row>
        <row r="1584">
          <cell r="A1584">
            <v>41754</v>
          </cell>
          <cell r="AF1584">
            <v>17.094938602411347</v>
          </cell>
          <cell r="AG1584">
            <v>20.469360058004284</v>
          </cell>
          <cell r="AH1584">
            <v>17.881583490985356</v>
          </cell>
          <cell r="AI1584">
            <v>15.547864889645153</v>
          </cell>
          <cell r="AJ1584">
            <v>20.215302092325562</v>
          </cell>
          <cell r="AU1584">
            <v>12.055957915970215</v>
          </cell>
          <cell r="AV1584">
            <v>14.263722316306255</v>
          </cell>
          <cell r="AW1584">
            <v>12.105561258724364</v>
          </cell>
          <cell r="AX1584">
            <v>10.242049449424412</v>
          </cell>
          <cell r="AY1584">
            <v>13.969073068024317</v>
          </cell>
        </row>
        <row r="1585">
          <cell r="A1585">
            <v>41757</v>
          </cell>
          <cell r="AF1585">
            <v>17.187464867471601</v>
          </cell>
          <cell r="AG1585">
            <v>20.469360058004284</v>
          </cell>
          <cell r="AH1585">
            <v>17.881583490985356</v>
          </cell>
          <cell r="AI1585">
            <v>15.547864889645153</v>
          </cell>
          <cell r="AJ1585">
            <v>20.215302092325562</v>
          </cell>
          <cell r="AU1585">
            <v>12.109021813300954</v>
          </cell>
          <cell r="AV1585">
            <v>14.263722316306255</v>
          </cell>
          <cell r="AW1585">
            <v>12.105561258724364</v>
          </cell>
          <cell r="AX1585">
            <v>10.242049449424412</v>
          </cell>
          <cell r="AY1585">
            <v>13.969073068024317</v>
          </cell>
        </row>
        <row r="1586">
          <cell r="A1586">
            <v>41758</v>
          </cell>
          <cell r="AF1586">
            <v>17.168192385543882</v>
          </cell>
          <cell r="AG1586">
            <v>20.469360058004284</v>
          </cell>
          <cell r="AH1586">
            <v>17.881583490985356</v>
          </cell>
          <cell r="AI1586">
            <v>15.547864889645153</v>
          </cell>
          <cell r="AJ1586">
            <v>20.215302092325562</v>
          </cell>
          <cell r="AU1586">
            <v>12.098976002658393</v>
          </cell>
          <cell r="AV1586">
            <v>14.263722316306255</v>
          </cell>
          <cell r="AW1586">
            <v>12.105561258724364</v>
          </cell>
          <cell r="AX1586">
            <v>10.242049449424412</v>
          </cell>
          <cell r="AY1586">
            <v>13.969073068024317</v>
          </cell>
        </row>
        <row r="1587">
          <cell r="A1587">
            <v>41759</v>
          </cell>
          <cell r="AF1587">
            <v>17.206743132531841</v>
          </cell>
          <cell r="AG1587">
            <v>20.469360058004284</v>
          </cell>
          <cell r="AH1587">
            <v>17.881583490985356</v>
          </cell>
          <cell r="AI1587">
            <v>15.547864889645153</v>
          </cell>
          <cell r="AJ1587">
            <v>20.215302092325562</v>
          </cell>
          <cell r="AU1587">
            <v>12.121087152324961</v>
          </cell>
          <cell r="AV1587">
            <v>14.263722316306255</v>
          </cell>
          <cell r="AW1587">
            <v>12.105561258724364</v>
          </cell>
          <cell r="AX1587">
            <v>10.242049449424412</v>
          </cell>
          <cell r="AY1587">
            <v>13.969073068024317</v>
          </cell>
        </row>
        <row r="1588">
          <cell r="A1588">
            <v>41760</v>
          </cell>
          <cell r="AF1588">
            <v>17.209675246105942</v>
          </cell>
          <cell r="AG1588">
            <v>20.469360058004284</v>
          </cell>
          <cell r="AH1588">
            <v>17.881583490985356</v>
          </cell>
          <cell r="AI1588">
            <v>15.547864889645153</v>
          </cell>
          <cell r="AJ1588">
            <v>20.215302092325562</v>
          </cell>
          <cell r="AU1588">
            <v>12.130063423876468</v>
          </cell>
          <cell r="AV1588">
            <v>14.263722316306255</v>
          </cell>
          <cell r="AW1588">
            <v>12.105561258724364</v>
          </cell>
          <cell r="AX1588">
            <v>10.242049449424412</v>
          </cell>
          <cell r="AY1588">
            <v>13.969073068024317</v>
          </cell>
        </row>
        <row r="1589">
          <cell r="A1589">
            <v>41761</v>
          </cell>
          <cell r="AF1589">
            <v>17.297673396837286</v>
          </cell>
          <cell r="AG1589">
            <v>20.469360058004284</v>
          </cell>
          <cell r="AH1589">
            <v>17.881583490985356</v>
          </cell>
          <cell r="AI1589">
            <v>15.547864889645153</v>
          </cell>
          <cell r="AJ1589">
            <v>20.215302092325562</v>
          </cell>
          <cell r="AU1589">
            <v>12.180637492043799</v>
          </cell>
          <cell r="AV1589">
            <v>14.263722316306255</v>
          </cell>
          <cell r="AW1589">
            <v>12.105561258724364</v>
          </cell>
          <cell r="AX1589">
            <v>10.242049449424412</v>
          </cell>
          <cell r="AY1589">
            <v>13.969073068024317</v>
          </cell>
        </row>
        <row r="1590">
          <cell r="A1590">
            <v>41764</v>
          </cell>
          <cell r="AF1590">
            <v>17.397149001635832</v>
          </cell>
          <cell r="AG1590">
            <v>20.469360058004284</v>
          </cell>
          <cell r="AH1590">
            <v>17.881583490985356</v>
          </cell>
          <cell r="AI1590">
            <v>15.547864889645153</v>
          </cell>
          <cell r="AJ1590">
            <v>20.215302092325562</v>
          </cell>
          <cell r="AU1590">
            <v>12.237807852741797</v>
          </cell>
          <cell r="AV1590">
            <v>14.263722316306255</v>
          </cell>
          <cell r="AW1590">
            <v>12.105561258724364</v>
          </cell>
          <cell r="AX1590">
            <v>10.242049449424412</v>
          </cell>
          <cell r="AY1590">
            <v>13.969073068024317</v>
          </cell>
        </row>
        <row r="1591">
          <cell r="A1591">
            <v>41765</v>
          </cell>
          <cell r="AF1591">
            <v>17.367772448998284</v>
          </cell>
          <cell r="AG1591">
            <v>20.469360058004284</v>
          </cell>
          <cell r="AH1591">
            <v>17.881583490985356</v>
          </cell>
          <cell r="AI1591">
            <v>15.547864889645153</v>
          </cell>
          <cell r="AJ1591">
            <v>20.215302092325562</v>
          </cell>
          <cell r="AU1591">
            <v>12.203964495812412</v>
          </cell>
          <cell r="AV1591">
            <v>14.263722316306255</v>
          </cell>
          <cell r="AW1591">
            <v>12.105561258724364</v>
          </cell>
          <cell r="AX1591">
            <v>10.242049449424412</v>
          </cell>
          <cell r="AY1591">
            <v>13.969073068024317</v>
          </cell>
        </row>
        <row r="1592">
          <cell r="A1592">
            <v>41766</v>
          </cell>
          <cell r="AF1592">
            <v>17.474012260356076</v>
          </cell>
          <cell r="AG1592">
            <v>20.469360058004284</v>
          </cell>
          <cell r="AH1592">
            <v>17.881583490985356</v>
          </cell>
          <cell r="AI1592">
            <v>15.547864889645153</v>
          </cell>
          <cell r="AJ1592">
            <v>20.215302092325562</v>
          </cell>
          <cell r="AU1592">
            <v>12.276626171160665</v>
          </cell>
          <cell r="AV1592">
            <v>14.263722316306255</v>
          </cell>
          <cell r="AW1592">
            <v>12.105561258724364</v>
          </cell>
          <cell r="AX1592">
            <v>10.242049449424412</v>
          </cell>
          <cell r="AY1592">
            <v>13.969073068024317</v>
          </cell>
        </row>
        <row r="1593">
          <cell r="A1593">
            <v>41767</v>
          </cell>
          <cell r="AF1593">
            <v>17.458723739362057</v>
          </cell>
          <cell r="AG1593">
            <v>20.469360058004284</v>
          </cell>
          <cell r="AH1593">
            <v>17.881583490985356</v>
          </cell>
          <cell r="AI1593">
            <v>15.547864889645153</v>
          </cell>
          <cell r="AJ1593">
            <v>20.215302092325562</v>
          </cell>
          <cell r="AU1593">
            <v>12.267842053665039</v>
          </cell>
          <cell r="AV1593">
            <v>14.263722316306255</v>
          </cell>
          <cell r="AW1593">
            <v>12.105561258724364</v>
          </cell>
          <cell r="AX1593">
            <v>10.242049449424412</v>
          </cell>
          <cell r="AY1593">
            <v>13.969073068024317</v>
          </cell>
        </row>
        <row r="1594">
          <cell r="A1594">
            <v>41768</v>
          </cell>
          <cell r="AF1594">
            <v>17.642216191404263</v>
          </cell>
          <cell r="AG1594">
            <v>20.469360058004284</v>
          </cell>
          <cell r="AH1594">
            <v>17.881583490985356</v>
          </cell>
          <cell r="AI1594">
            <v>15.547864889645153</v>
          </cell>
          <cell r="AJ1594">
            <v>20.215302092325562</v>
          </cell>
          <cell r="AU1594">
            <v>12.390419558544902</v>
          </cell>
          <cell r="AV1594">
            <v>14.263722316306255</v>
          </cell>
          <cell r="AW1594">
            <v>12.105561258724364</v>
          </cell>
          <cell r="AX1594">
            <v>10.242049449424412</v>
          </cell>
          <cell r="AY1594">
            <v>13.969073068024317</v>
          </cell>
        </row>
        <row r="1595">
          <cell r="A1595">
            <v>41771</v>
          </cell>
          <cell r="AF1595">
            <v>17.75307507563749</v>
          </cell>
          <cell r="AG1595">
            <v>20.469360058004284</v>
          </cell>
          <cell r="AH1595">
            <v>17.881583490985356</v>
          </cell>
          <cell r="AI1595">
            <v>15.547864889645153</v>
          </cell>
          <cell r="AJ1595">
            <v>20.215302092325562</v>
          </cell>
          <cell r="AU1595">
            <v>12.454202527336506</v>
          </cell>
          <cell r="AV1595">
            <v>14.263722316306255</v>
          </cell>
          <cell r="AW1595">
            <v>12.105561258724364</v>
          </cell>
          <cell r="AX1595">
            <v>10.242049449424412</v>
          </cell>
          <cell r="AY1595">
            <v>13.969073068024317</v>
          </cell>
        </row>
        <row r="1596">
          <cell r="A1596">
            <v>41772</v>
          </cell>
          <cell r="AF1596">
            <v>17.806593882694767</v>
          </cell>
          <cell r="AG1596">
            <v>20.469360058004284</v>
          </cell>
          <cell r="AH1596">
            <v>17.881583490985356</v>
          </cell>
          <cell r="AI1596">
            <v>15.547864889645153</v>
          </cell>
          <cell r="AJ1596">
            <v>20.215302092325562</v>
          </cell>
          <cell r="AU1596">
            <v>12.484994722512461</v>
          </cell>
          <cell r="AV1596">
            <v>14.263722316306255</v>
          </cell>
          <cell r="AW1596">
            <v>12.105561258724364</v>
          </cell>
          <cell r="AX1596">
            <v>10.242049449424412</v>
          </cell>
          <cell r="AY1596">
            <v>13.969073068024317</v>
          </cell>
        </row>
        <row r="1597">
          <cell r="A1597">
            <v>41773</v>
          </cell>
          <cell r="AF1597">
            <v>17.646037079243019</v>
          </cell>
          <cell r="AG1597">
            <v>20.469360058004284</v>
          </cell>
          <cell r="AH1597">
            <v>17.881583490985356</v>
          </cell>
          <cell r="AI1597">
            <v>15.547864889645153</v>
          </cell>
          <cell r="AJ1597">
            <v>20.215302092325562</v>
          </cell>
          <cell r="AU1597">
            <v>12.392617917038775</v>
          </cell>
          <cell r="AV1597">
            <v>14.263722316306255</v>
          </cell>
          <cell r="AW1597">
            <v>12.105561258724364</v>
          </cell>
          <cell r="AX1597">
            <v>10.242049449424412</v>
          </cell>
          <cell r="AY1597">
            <v>13.969073068024317</v>
          </cell>
        </row>
        <row r="1598">
          <cell r="A1598">
            <v>41774</v>
          </cell>
          <cell r="AF1598">
            <v>17.569582241315359</v>
          </cell>
          <cell r="AG1598">
            <v>20.469360058004284</v>
          </cell>
          <cell r="AH1598">
            <v>17.881583490985356</v>
          </cell>
          <cell r="AI1598">
            <v>15.547864889645153</v>
          </cell>
          <cell r="AJ1598">
            <v>20.215302092325562</v>
          </cell>
          <cell r="AU1598">
            <v>12.348629412416562</v>
          </cell>
          <cell r="AV1598">
            <v>14.263722316306255</v>
          </cell>
          <cell r="AW1598">
            <v>12.105561258724364</v>
          </cell>
          <cell r="AX1598">
            <v>10.242049449424412</v>
          </cell>
          <cell r="AY1598">
            <v>13.969073068024317</v>
          </cell>
        </row>
        <row r="1599">
          <cell r="A1599">
            <v>41775</v>
          </cell>
          <cell r="AF1599">
            <v>17.756337425275472</v>
          </cell>
          <cell r="AG1599">
            <v>20.469360058004284</v>
          </cell>
          <cell r="AH1599">
            <v>17.881583490985356</v>
          </cell>
          <cell r="AI1599">
            <v>15.547864889645153</v>
          </cell>
          <cell r="AJ1599">
            <v>20.215302092325562</v>
          </cell>
          <cell r="AU1599">
            <v>12.443207875571453</v>
          </cell>
          <cell r="AV1599">
            <v>14.263722316306255</v>
          </cell>
          <cell r="AW1599">
            <v>12.105561258724364</v>
          </cell>
          <cell r="AX1599">
            <v>10.242049449424412</v>
          </cell>
          <cell r="AY1599">
            <v>13.969073068024317</v>
          </cell>
        </row>
        <row r="1600">
          <cell r="A1600">
            <v>41778</v>
          </cell>
          <cell r="AF1600">
            <v>17.863510452279993</v>
          </cell>
          <cell r="AG1600">
            <v>20.469360058004284</v>
          </cell>
          <cell r="AH1600">
            <v>17.881583490985356</v>
          </cell>
          <cell r="AI1600">
            <v>15.547864889645153</v>
          </cell>
          <cell r="AJ1600">
            <v>20.215302092325562</v>
          </cell>
          <cell r="AU1600">
            <v>12.504792485869181</v>
          </cell>
          <cell r="AV1600">
            <v>14.263722316306255</v>
          </cell>
          <cell r="AW1600">
            <v>12.105561258724364</v>
          </cell>
          <cell r="AX1600">
            <v>10.242049449424412</v>
          </cell>
          <cell r="AY1600">
            <v>13.969073068024317</v>
          </cell>
        </row>
        <row r="1601">
          <cell r="A1601">
            <v>41779</v>
          </cell>
          <cell r="AF1601">
            <v>17.744849201272835</v>
          </cell>
          <cell r="AG1601">
            <v>20.469360058004284</v>
          </cell>
          <cell r="AH1601">
            <v>17.881583490985356</v>
          </cell>
          <cell r="AI1601">
            <v>15.547864889645153</v>
          </cell>
          <cell r="AJ1601">
            <v>20.215302092325562</v>
          </cell>
          <cell r="AU1601">
            <v>12.43660642166099</v>
          </cell>
          <cell r="AV1601">
            <v>14.263722316306255</v>
          </cell>
          <cell r="AW1601">
            <v>12.105561258724364</v>
          </cell>
          <cell r="AX1601">
            <v>10.242049449424412</v>
          </cell>
          <cell r="AY1601">
            <v>13.969073068024317</v>
          </cell>
        </row>
        <row r="1602">
          <cell r="A1602">
            <v>41780</v>
          </cell>
          <cell r="AF1602">
            <v>17.901783225194212</v>
          </cell>
          <cell r="AG1602">
            <v>20.469360058004284</v>
          </cell>
          <cell r="AH1602">
            <v>17.881583490985356</v>
          </cell>
          <cell r="AI1602">
            <v>15.547864889645153</v>
          </cell>
          <cell r="AJ1602">
            <v>20.215302092325562</v>
          </cell>
          <cell r="AU1602">
            <v>12.526785088586623</v>
          </cell>
          <cell r="AV1602">
            <v>14.263722316306255</v>
          </cell>
          <cell r="AW1602">
            <v>12.105561258724364</v>
          </cell>
          <cell r="AX1602">
            <v>10.242049449424412</v>
          </cell>
          <cell r="AY1602">
            <v>13.969073068024317</v>
          </cell>
        </row>
        <row r="1603">
          <cell r="A1603">
            <v>41781</v>
          </cell>
          <cell r="AF1603">
            <v>17.947718514144576</v>
          </cell>
          <cell r="AG1603">
            <v>20.469360058004284</v>
          </cell>
          <cell r="AH1603">
            <v>17.881583490985356</v>
          </cell>
          <cell r="AI1603">
            <v>15.547864889645153</v>
          </cell>
          <cell r="AJ1603">
            <v>20.215302092325562</v>
          </cell>
          <cell r="AU1603">
            <v>12.507177309999273</v>
          </cell>
          <cell r="AV1603">
            <v>14.263722316306255</v>
          </cell>
          <cell r="AW1603">
            <v>12.105561258724364</v>
          </cell>
          <cell r="AX1603">
            <v>10.242049449424412</v>
          </cell>
          <cell r="AY1603">
            <v>13.969073068024317</v>
          </cell>
        </row>
        <row r="1604">
          <cell r="A1604">
            <v>41782</v>
          </cell>
          <cell r="AF1604">
            <v>17.95154383934889</v>
          </cell>
          <cell r="AG1604">
            <v>20.469360058004284</v>
          </cell>
          <cell r="AH1604">
            <v>17.881583490985356</v>
          </cell>
          <cell r="AI1604">
            <v>15.547864889645153</v>
          </cell>
          <cell r="AJ1604">
            <v>20.215302092325562</v>
          </cell>
          <cell r="AU1604">
            <v>12.509375448547322</v>
          </cell>
          <cell r="AV1604">
            <v>14.263722316306255</v>
          </cell>
          <cell r="AW1604">
            <v>12.105561258724364</v>
          </cell>
          <cell r="AX1604">
            <v>10.242049449424412</v>
          </cell>
          <cell r="AY1604">
            <v>13.969073068024317</v>
          </cell>
        </row>
        <row r="1605">
          <cell r="A1605">
            <v>41785</v>
          </cell>
          <cell r="AF1605">
            <v>17.947376296068523</v>
          </cell>
          <cell r="AG1605">
            <v>20.469360058004284</v>
          </cell>
          <cell r="AH1605">
            <v>17.881583490985356</v>
          </cell>
          <cell r="AI1605">
            <v>15.547864889645153</v>
          </cell>
          <cell r="AJ1605">
            <v>20.215302092325562</v>
          </cell>
          <cell r="AU1605">
            <v>12.509375448547322</v>
          </cell>
          <cell r="AV1605">
            <v>14.263722316306255</v>
          </cell>
          <cell r="AW1605">
            <v>12.105561258724364</v>
          </cell>
          <cell r="AX1605">
            <v>10.242049449424412</v>
          </cell>
          <cell r="AY1605">
            <v>13.969073068024317</v>
          </cell>
        </row>
        <row r="1606">
          <cell r="A1606">
            <v>41786</v>
          </cell>
          <cell r="AF1606">
            <v>18.022984475423517</v>
          </cell>
          <cell r="AG1606">
            <v>20.469360058004284</v>
          </cell>
          <cell r="AH1606">
            <v>17.881583490985356</v>
          </cell>
          <cell r="AI1606">
            <v>15.547864889645153</v>
          </cell>
          <cell r="AJ1606">
            <v>20.215302092325562</v>
          </cell>
          <cell r="AU1606">
            <v>12.553363953169539</v>
          </cell>
          <cell r="AV1606">
            <v>14.263722316306255</v>
          </cell>
          <cell r="AW1606">
            <v>12.105561258724364</v>
          </cell>
          <cell r="AX1606">
            <v>10.242049449424412</v>
          </cell>
          <cell r="AY1606">
            <v>13.969073068024317</v>
          </cell>
        </row>
        <row r="1607">
          <cell r="A1607">
            <v>41787</v>
          </cell>
          <cell r="AF1607">
            <v>18.076555989408718</v>
          </cell>
          <cell r="AG1607">
            <v>20.469360058004284</v>
          </cell>
          <cell r="AH1607">
            <v>17.881583490985356</v>
          </cell>
          <cell r="AI1607">
            <v>15.547864889645153</v>
          </cell>
          <cell r="AJ1607">
            <v>20.215302092325562</v>
          </cell>
          <cell r="AU1607">
            <v>12.584156368291314</v>
          </cell>
          <cell r="AV1607">
            <v>14.263722316306255</v>
          </cell>
          <cell r="AW1607">
            <v>12.105561258724364</v>
          </cell>
          <cell r="AX1607">
            <v>10.242049449424412</v>
          </cell>
          <cell r="AY1607">
            <v>13.969073068024317</v>
          </cell>
        </row>
        <row r="1608">
          <cell r="A1608">
            <v>41788</v>
          </cell>
          <cell r="AF1608">
            <v>18.103344424977013</v>
          </cell>
          <cell r="AG1608">
            <v>20.469360058004284</v>
          </cell>
          <cell r="AH1608">
            <v>17.881583490985356</v>
          </cell>
          <cell r="AI1608">
            <v>15.547864889645153</v>
          </cell>
          <cell r="AJ1608">
            <v>20.215302092325562</v>
          </cell>
          <cell r="AU1608">
            <v>12.599554115472959</v>
          </cell>
          <cell r="AV1608">
            <v>14.263722316306255</v>
          </cell>
          <cell r="AW1608">
            <v>12.105561258724364</v>
          </cell>
          <cell r="AX1608">
            <v>10.242049449424412</v>
          </cell>
          <cell r="AY1608">
            <v>13.969073068024317</v>
          </cell>
        </row>
        <row r="1609">
          <cell r="A1609">
            <v>41789</v>
          </cell>
          <cell r="AF1609">
            <v>18.095689820935871</v>
          </cell>
          <cell r="AG1609">
            <v>20.469360058004284</v>
          </cell>
          <cell r="AH1609">
            <v>17.881583490985356</v>
          </cell>
          <cell r="AI1609">
            <v>15.547864889645153</v>
          </cell>
          <cell r="AJ1609">
            <v>20.215302092325562</v>
          </cell>
          <cell r="AU1609">
            <v>12.595154319243701</v>
          </cell>
          <cell r="AV1609">
            <v>14.263722316306255</v>
          </cell>
          <cell r="AW1609">
            <v>12.105561258724364</v>
          </cell>
          <cell r="AX1609">
            <v>10.242049449424412</v>
          </cell>
          <cell r="AY1609">
            <v>13.969073068024317</v>
          </cell>
        </row>
        <row r="1610">
          <cell r="A1610">
            <v>41792</v>
          </cell>
          <cell r="AF1610">
            <v>17.994254378381047</v>
          </cell>
          <cell r="AG1610">
            <v>20.469360058004284</v>
          </cell>
          <cell r="AH1610">
            <v>17.881583490985356</v>
          </cell>
          <cell r="AI1610">
            <v>15.547864889645153</v>
          </cell>
          <cell r="AJ1610">
            <v>20.215302092325562</v>
          </cell>
          <cell r="AU1610">
            <v>12.533645715187872</v>
          </cell>
          <cell r="AV1610">
            <v>14.263722316306255</v>
          </cell>
          <cell r="AW1610">
            <v>12.105561258724364</v>
          </cell>
          <cell r="AX1610">
            <v>10.242049449424412</v>
          </cell>
          <cell r="AY1610">
            <v>13.969073068024317</v>
          </cell>
        </row>
        <row r="1611">
          <cell r="A1611">
            <v>41793</v>
          </cell>
          <cell r="AF1611">
            <v>18.12346227001267</v>
          </cell>
          <cell r="AG1611">
            <v>20.469360058004284</v>
          </cell>
          <cell r="AH1611">
            <v>17.881583490985356</v>
          </cell>
          <cell r="AI1611">
            <v>15.547864889645153</v>
          </cell>
          <cell r="AJ1611">
            <v>20.215302092325562</v>
          </cell>
          <cell r="AU1611">
            <v>12.608033580517439</v>
          </cell>
          <cell r="AV1611">
            <v>14.263722316306255</v>
          </cell>
          <cell r="AW1611">
            <v>12.105561258724364</v>
          </cell>
          <cell r="AX1611">
            <v>10.242049449424412</v>
          </cell>
          <cell r="AY1611">
            <v>13.969073068024317</v>
          </cell>
        </row>
        <row r="1612">
          <cell r="A1612">
            <v>41794</v>
          </cell>
          <cell r="AF1612">
            <v>18.146268424162848</v>
          </cell>
          <cell r="AG1612">
            <v>20.469360058004284</v>
          </cell>
          <cell r="AH1612">
            <v>17.881583490985356</v>
          </cell>
          <cell r="AI1612">
            <v>15.547864889645153</v>
          </cell>
          <cell r="AJ1612">
            <v>20.215302092325562</v>
          </cell>
          <cell r="AU1612">
            <v>12.621163592176829</v>
          </cell>
          <cell r="AV1612">
            <v>14.263722316306255</v>
          </cell>
          <cell r="AW1612">
            <v>12.105561258724364</v>
          </cell>
          <cell r="AX1612">
            <v>10.242049449424412</v>
          </cell>
          <cell r="AY1612">
            <v>13.969073068024317</v>
          </cell>
        </row>
        <row r="1613">
          <cell r="A1613">
            <v>41795</v>
          </cell>
          <cell r="AF1613">
            <v>18.203270128581984</v>
          </cell>
          <cell r="AG1613">
            <v>20.469360058004284</v>
          </cell>
          <cell r="AH1613">
            <v>17.881583490985356</v>
          </cell>
          <cell r="AI1613">
            <v>15.547864889645153</v>
          </cell>
          <cell r="AJ1613">
            <v>20.215302092325562</v>
          </cell>
          <cell r="AU1613">
            <v>12.6539807448936</v>
          </cell>
          <cell r="AV1613">
            <v>14.263722316306255</v>
          </cell>
          <cell r="AW1613">
            <v>12.105561258724364</v>
          </cell>
          <cell r="AX1613">
            <v>10.242049449424412</v>
          </cell>
          <cell r="AY1613">
            <v>13.969073068024317</v>
          </cell>
        </row>
        <row r="1614">
          <cell r="A1614">
            <v>41796</v>
          </cell>
          <cell r="AF1614">
            <v>18.340080071597004</v>
          </cell>
          <cell r="AG1614">
            <v>20.469360058004284</v>
          </cell>
          <cell r="AH1614">
            <v>17.881583490985356</v>
          </cell>
          <cell r="AI1614">
            <v>15.547864889645153</v>
          </cell>
          <cell r="AJ1614">
            <v>20.215302092325562</v>
          </cell>
          <cell r="AU1614">
            <v>12.7327452807763</v>
          </cell>
          <cell r="AV1614">
            <v>14.263722316306255</v>
          </cell>
          <cell r="AW1614">
            <v>12.105561258724364</v>
          </cell>
          <cell r="AX1614">
            <v>10.242049449424412</v>
          </cell>
          <cell r="AY1614">
            <v>13.969073068024317</v>
          </cell>
        </row>
        <row r="1615">
          <cell r="A1615">
            <v>41799</v>
          </cell>
          <cell r="AF1615">
            <v>18.321077603324468</v>
          </cell>
          <cell r="AG1615">
            <v>20.469360058004284</v>
          </cell>
          <cell r="AH1615">
            <v>17.881583490985356</v>
          </cell>
          <cell r="AI1615">
            <v>15.547864889645153</v>
          </cell>
          <cell r="AJ1615">
            <v>20.215302092325562</v>
          </cell>
          <cell r="AU1615">
            <v>12.72180513592186</v>
          </cell>
          <cell r="AV1615">
            <v>14.263722316306255</v>
          </cell>
          <cell r="AW1615">
            <v>12.105561258724364</v>
          </cell>
          <cell r="AX1615">
            <v>10.242049449424412</v>
          </cell>
          <cell r="AY1615">
            <v>13.969073068024317</v>
          </cell>
        </row>
        <row r="1616">
          <cell r="A1616">
            <v>41800</v>
          </cell>
          <cell r="AF1616">
            <v>18.273574282842368</v>
          </cell>
          <cell r="AG1616">
            <v>20.469360058004284</v>
          </cell>
          <cell r="AH1616">
            <v>17.881583490985356</v>
          </cell>
          <cell r="AI1616">
            <v>15.547864889645153</v>
          </cell>
          <cell r="AJ1616">
            <v>20.215302092325562</v>
          </cell>
          <cell r="AU1616">
            <v>12.690540034649739</v>
          </cell>
          <cell r="AV1616">
            <v>14.263722316306255</v>
          </cell>
          <cell r="AW1616">
            <v>12.105561258724364</v>
          </cell>
          <cell r="AX1616">
            <v>10.242049449424412</v>
          </cell>
          <cell r="AY1616">
            <v>13.969073068024317</v>
          </cell>
        </row>
        <row r="1617">
          <cell r="A1617">
            <v>41801</v>
          </cell>
          <cell r="AF1617">
            <v>18.245345233573872</v>
          </cell>
          <cell r="AG1617">
            <v>20.469360058004284</v>
          </cell>
          <cell r="AH1617">
            <v>17.881583490985356</v>
          </cell>
          <cell r="AI1617">
            <v>15.547864889645153</v>
          </cell>
          <cell r="AJ1617">
            <v>20.215302092325562</v>
          </cell>
          <cell r="AU1617">
            <v>12.680697969915423</v>
          </cell>
          <cell r="AV1617">
            <v>14.263722316306255</v>
          </cell>
          <cell r="AW1617">
            <v>12.105561258724364</v>
          </cell>
          <cell r="AX1617">
            <v>10.242049449424412</v>
          </cell>
          <cell r="AY1617">
            <v>13.969073068024317</v>
          </cell>
        </row>
        <row r="1618">
          <cell r="A1618">
            <v>41802</v>
          </cell>
          <cell r="AF1618">
            <v>18.173183061146982</v>
          </cell>
          <cell r="AG1618">
            <v>20.469360058004284</v>
          </cell>
          <cell r="AH1618">
            <v>17.881583490985356</v>
          </cell>
          <cell r="AI1618">
            <v>15.547864889645153</v>
          </cell>
          <cell r="AJ1618">
            <v>20.215302092325562</v>
          </cell>
          <cell r="AU1618">
            <v>12.63914008232676</v>
          </cell>
          <cell r="AV1618">
            <v>14.263722316306255</v>
          </cell>
          <cell r="AW1618">
            <v>12.105561258724364</v>
          </cell>
          <cell r="AX1618">
            <v>10.242049449424412</v>
          </cell>
          <cell r="AY1618">
            <v>13.969073068024317</v>
          </cell>
        </row>
        <row r="1619">
          <cell r="A1619">
            <v>41803</v>
          </cell>
          <cell r="AF1619">
            <v>18.154192176224839</v>
          </cell>
          <cell r="AG1619">
            <v>20.469360058004284</v>
          </cell>
          <cell r="AH1619">
            <v>17.881583490985356</v>
          </cell>
          <cell r="AI1619">
            <v>15.547864889645153</v>
          </cell>
          <cell r="AJ1619">
            <v>20.215302092325562</v>
          </cell>
          <cell r="AU1619">
            <v>12.628203312627882</v>
          </cell>
          <cell r="AV1619">
            <v>14.263722316306255</v>
          </cell>
          <cell r="AW1619">
            <v>12.105561258724364</v>
          </cell>
          <cell r="AX1619">
            <v>10.242049449424412</v>
          </cell>
          <cell r="AY1619">
            <v>13.969073068024317</v>
          </cell>
        </row>
        <row r="1620">
          <cell r="A1620">
            <v>41806</v>
          </cell>
          <cell r="AF1620">
            <v>18.180780858336497</v>
          </cell>
          <cell r="AG1620">
            <v>20.469360058004284</v>
          </cell>
          <cell r="AH1620">
            <v>17.881583490985356</v>
          </cell>
          <cell r="AI1620">
            <v>15.547864889645153</v>
          </cell>
          <cell r="AJ1620">
            <v>20.215302092325562</v>
          </cell>
          <cell r="AU1620">
            <v>12.643515621350939</v>
          </cell>
          <cell r="AV1620">
            <v>14.263722316306255</v>
          </cell>
          <cell r="AW1620">
            <v>12.105561258724364</v>
          </cell>
          <cell r="AX1620">
            <v>10.242049449424412</v>
          </cell>
          <cell r="AY1620">
            <v>13.969073068024317</v>
          </cell>
        </row>
        <row r="1621">
          <cell r="A1621">
            <v>41807</v>
          </cell>
          <cell r="AF1621">
            <v>18.112414736042538</v>
          </cell>
          <cell r="AG1621">
            <v>20.469360058004284</v>
          </cell>
          <cell r="AH1621">
            <v>17.881583490985356</v>
          </cell>
          <cell r="AI1621">
            <v>15.547864889645153</v>
          </cell>
          <cell r="AJ1621">
            <v>20.215302092325562</v>
          </cell>
          <cell r="AU1621">
            <v>12.604143862857336</v>
          </cell>
          <cell r="AV1621">
            <v>14.263722316306255</v>
          </cell>
          <cell r="AW1621">
            <v>12.105561258724364</v>
          </cell>
          <cell r="AX1621">
            <v>10.242049449424412</v>
          </cell>
          <cell r="AY1621">
            <v>13.969073068024317</v>
          </cell>
        </row>
        <row r="1622">
          <cell r="A1622">
            <v>41808</v>
          </cell>
          <cell r="AF1622">
            <v>18.157993923281428</v>
          </cell>
          <cell r="AG1622">
            <v>20.469360058004284</v>
          </cell>
          <cell r="AH1622">
            <v>17.881583490985356</v>
          </cell>
          <cell r="AI1622">
            <v>15.547864889645153</v>
          </cell>
          <cell r="AJ1622">
            <v>20.215302092325562</v>
          </cell>
          <cell r="AU1622">
            <v>12.630392722557001</v>
          </cell>
          <cell r="AV1622">
            <v>14.263722316306255</v>
          </cell>
          <cell r="AW1622">
            <v>12.105561258724364</v>
          </cell>
          <cell r="AX1622">
            <v>10.242049449424412</v>
          </cell>
          <cell r="AY1622">
            <v>13.969073068024317</v>
          </cell>
        </row>
        <row r="1623">
          <cell r="A1623">
            <v>41809</v>
          </cell>
          <cell r="AF1623">
            <v>18.142799088492215</v>
          </cell>
          <cell r="AG1623">
            <v>20.469360058004284</v>
          </cell>
          <cell r="AH1623">
            <v>17.881583490985356</v>
          </cell>
          <cell r="AI1623">
            <v>15.547864889645153</v>
          </cell>
          <cell r="AJ1623">
            <v>20.215302092325562</v>
          </cell>
          <cell r="AU1623">
            <v>12.621642081953183</v>
          </cell>
          <cell r="AV1623">
            <v>14.263722316306255</v>
          </cell>
          <cell r="AW1623">
            <v>12.105561258724364</v>
          </cell>
          <cell r="AX1623">
            <v>10.242049449424412</v>
          </cell>
          <cell r="AY1623">
            <v>13.969073068024317</v>
          </cell>
        </row>
        <row r="1624">
          <cell r="A1624">
            <v>41810</v>
          </cell>
          <cell r="AF1624">
            <v>18.123807823775159</v>
          </cell>
          <cell r="AG1624">
            <v>20.469360058004284</v>
          </cell>
          <cell r="AH1624">
            <v>17.881583490985356</v>
          </cell>
          <cell r="AI1624">
            <v>15.547864889645153</v>
          </cell>
          <cell r="AJ1624">
            <v>20.215302092325562</v>
          </cell>
          <cell r="AU1624">
            <v>12.610705093532035</v>
          </cell>
          <cell r="AV1624">
            <v>14.263722316306255</v>
          </cell>
          <cell r="AW1624">
            <v>12.105561258724364</v>
          </cell>
          <cell r="AX1624">
            <v>10.242049449424412</v>
          </cell>
          <cell r="AY1624">
            <v>13.969073068024317</v>
          </cell>
        </row>
        <row r="1625">
          <cell r="A1625">
            <v>41813</v>
          </cell>
          <cell r="AF1625">
            <v>18.059243448537789</v>
          </cell>
          <cell r="AG1625">
            <v>20.469360058004284</v>
          </cell>
          <cell r="AH1625">
            <v>17.881583490985356</v>
          </cell>
          <cell r="AI1625">
            <v>15.547864889645153</v>
          </cell>
          <cell r="AJ1625">
            <v>20.215302092325562</v>
          </cell>
          <cell r="AU1625">
            <v>12.573522744967553</v>
          </cell>
          <cell r="AV1625">
            <v>14.263722316306255</v>
          </cell>
          <cell r="AW1625">
            <v>12.105561258724364</v>
          </cell>
          <cell r="AX1625">
            <v>10.242049449424412</v>
          </cell>
          <cell r="AY1625">
            <v>13.969073068024317</v>
          </cell>
        </row>
        <row r="1626">
          <cell r="A1626">
            <v>41814</v>
          </cell>
          <cell r="AF1626">
            <v>18.06304519559438</v>
          </cell>
          <cell r="AG1626">
            <v>20.469360058004284</v>
          </cell>
          <cell r="AH1626">
            <v>17.881583490985356</v>
          </cell>
          <cell r="AI1626">
            <v>15.547864889645153</v>
          </cell>
          <cell r="AJ1626">
            <v>20.215302092325562</v>
          </cell>
          <cell r="AU1626">
            <v>12.575712154896673</v>
          </cell>
          <cell r="AV1626">
            <v>14.263722316306255</v>
          </cell>
          <cell r="AW1626">
            <v>12.105561258724364</v>
          </cell>
          <cell r="AX1626">
            <v>10.242049449424412</v>
          </cell>
          <cell r="AY1626">
            <v>13.969073068024317</v>
          </cell>
        </row>
        <row r="1627">
          <cell r="A1627">
            <v>41815</v>
          </cell>
          <cell r="AF1627">
            <v>18.237747816179262</v>
          </cell>
          <cell r="AG1627">
            <v>20.469360058004284</v>
          </cell>
          <cell r="AH1627">
            <v>17.881583490985356</v>
          </cell>
          <cell r="AI1627">
            <v>15.547864889645153</v>
          </cell>
          <cell r="AJ1627">
            <v>20.215302092325562</v>
          </cell>
          <cell r="AU1627">
            <v>12.676322649613512</v>
          </cell>
          <cell r="AV1627">
            <v>14.263722316306255</v>
          </cell>
          <cell r="AW1627">
            <v>12.105561258724364</v>
          </cell>
          <cell r="AX1627">
            <v>10.242049449424412</v>
          </cell>
          <cell r="AY1627">
            <v>13.969073068024317</v>
          </cell>
        </row>
        <row r="1628">
          <cell r="A1628">
            <v>41816</v>
          </cell>
          <cell r="AF1628">
            <v>18.211164830991265</v>
          </cell>
          <cell r="AG1628">
            <v>20.469360058004284</v>
          </cell>
          <cell r="AH1628">
            <v>17.881583490985356</v>
          </cell>
          <cell r="AI1628">
            <v>15.547864889645153</v>
          </cell>
          <cell r="AJ1628">
            <v>20.215302092325562</v>
          </cell>
          <cell r="AU1628">
            <v>12.661013621724516</v>
          </cell>
          <cell r="AV1628">
            <v>14.263722316306255</v>
          </cell>
          <cell r="AW1628">
            <v>12.105561258724364</v>
          </cell>
          <cell r="AX1628">
            <v>10.242049449424412</v>
          </cell>
          <cell r="AY1628">
            <v>13.969073068024317</v>
          </cell>
        </row>
        <row r="1629">
          <cell r="A1629">
            <v>41817</v>
          </cell>
          <cell r="AF1629">
            <v>18.028859096088112</v>
          </cell>
          <cell r="AG1629">
            <v>20.469360058004284</v>
          </cell>
          <cell r="AH1629">
            <v>17.881583490985356</v>
          </cell>
          <cell r="AI1629">
            <v>15.547864889645153</v>
          </cell>
          <cell r="AJ1629">
            <v>20.215302092325562</v>
          </cell>
          <cell r="AU1629">
            <v>12.556024525871706</v>
          </cell>
          <cell r="AV1629">
            <v>14.263722316306255</v>
          </cell>
          <cell r="AW1629">
            <v>12.105561258724364</v>
          </cell>
          <cell r="AX1629">
            <v>10.242049449424412</v>
          </cell>
          <cell r="AY1629">
            <v>13.969073068024317</v>
          </cell>
        </row>
        <row r="1630">
          <cell r="A1630">
            <v>41820</v>
          </cell>
          <cell r="AF1630">
            <v>17.983285605772885</v>
          </cell>
          <cell r="AG1630">
            <v>20.469360058004284</v>
          </cell>
          <cell r="AH1630">
            <v>17.881583490985356</v>
          </cell>
          <cell r="AI1630">
            <v>15.547864889645153</v>
          </cell>
          <cell r="AJ1630">
            <v>20.215302092325562</v>
          </cell>
          <cell r="AU1630">
            <v>12.529778947006102</v>
          </cell>
          <cell r="AV1630">
            <v>14.263722316306255</v>
          </cell>
          <cell r="AW1630">
            <v>12.105561258724364</v>
          </cell>
          <cell r="AX1630">
            <v>10.242049449424412</v>
          </cell>
          <cell r="AY1630">
            <v>13.969073068024317</v>
          </cell>
        </row>
        <row r="1631">
          <cell r="A1631">
            <v>41821</v>
          </cell>
          <cell r="AF1631">
            <v>17.919284008048024</v>
          </cell>
          <cell r="AG1631">
            <v>20.469360058004284</v>
          </cell>
          <cell r="AH1631">
            <v>17.881583490985356</v>
          </cell>
          <cell r="AI1631">
            <v>15.547864889645153</v>
          </cell>
          <cell r="AJ1631">
            <v>20.215302092325562</v>
          </cell>
          <cell r="AU1631">
            <v>12.497501290608833</v>
          </cell>
          <cell r="AV1631">
            <v>14.263722316306255</v>
          </cell>
          <cell r="AW1631">
            <v>12.105561258724364</v>
          </cell>
          <cell r="AX1631">
            <v>10.242049449424412</v>
          </cell>
          <cell r="AY1631">
            <v>13.969073068024317</v>
          </cell>
        </row>
        <row r="1632">
          <cell r="A1632">
            <v>41822</v>
          </cell>
          <cell r="AF1632">
            <v>17.941913376919032</v>
          </cell>
          <cell r="AG1632">
            <v>20.469360058004284</v>
          </cell>
          <cell r="AH1632">
            <v>17.881583490985356</v>
          </cell>
          <cell r="AI1632">
            <v>15.547864889645153</v>
          </cell>
          <cell r="AJ1632">
            <v>20.215302092325562</v>
          </cell>
          <cell r="AU1632">
            <v>12.510553927013856</v>
          </cell>
          <cell r="AV1632">
            <v>14.263722316306255</v>
          </cell>
          <cell r="AW1632">
            <v>12.105561258724364</v>
          </cell>
          <cell r="AX1632">
            <v>10.242049449424412</v>
          </cell>
          <cell r="AY1632">
            <v>13.969073068024317</v>
          </cell>
        </row>
        <row r="1633">
          <cell r="A1633">
            <v>41823</v>
          </cell>
          <cell r="AF1633">
            <v>18.039974981143335</v>
          </cell>
          <cell r="AG1633">
            <v>20.469360058004284</v>
          </cell>
          <cell r="AH1633">
            <v>17.881583490985356</v>
          </cell>
          <cell r="AI1633">
            <v>15.547864889645153</v>
          </cell>
          <cell r="AJ1633">
            <v>20.215302092325562</v>
          </cell>
          <cell r="AU1633">
            <v>12.567115931572134</v>
          </cell>
          <cell r="AV1633">
            <v>14.263722316306255</v>
          </cell>
          <cell r="AW1633">
            <v>12.105561258724364</v>
          </cell>
          <cell r="AX1633">
            <v>10.242049449424412</v>
          </cell>
          <cell r="AY1633">
            <v>13.969073068024317</v>
          </cell>
        </row>
        <row r="1634">
          <cell r="A1634">
            <v>41824</v>
          </cell>
          <cell r="AF1634">
            <v>18.039974981143335</v>
          </cell>
          <cell r="AG1634">
            <v>20.469360058004284</v>
          </cell>
          <cell r="AH1634">
            <v>17.881583490985356</v>
          </cell>
          <cell r="AI1634">
            <v>15.547864889645153</v>
          </cell>
          <cell r="AJ1634">
            <v>20.215302092325562</v>
          </cell>
          <cell r="AU1634">
            <v>12.567115931572134</v>
          </cell>
          <cell r="AV1634">
            <v>14.263722316306255</v>
          </cell>
          <cell r="AW1634">
            <v>12.105561258724364</v>
          </cell>
          <cell r="AX1634">
            <v>10.242049449424412</v>
          </cell>
          <cell r="AY1634">
            <v>13.969073068024317</v>
          </cell>
        </row>
        <row r="1635">
          <cell r="A1635">
            <v>41827</v>
          </cell>
          <cell r="AF1635">
            <v>18.032226052188111</v>
          </cell>
          <cell r="AG1635">
            <v>20.469360058004284</v>
          </cell>
          <cell r="AH1635">
            <v>17.881583490985356</v>
          </cell>
          <cell r="AI1635">
            <v>15.547864889645153</v>
          </cell>
          <cell r="AJ1635">
            <v>20.215302092325562</v>
          </cell>
          <cell r="AU1635">
            <v>12.56276730079944</v>
          </cell>
          <cell r="AV1635">
            <v>14.263722316306255</v>
          </cell>
          <cell r="AW1635">
            <v>12.105561258724364</v>
          </cell>
          <cell r="AX1635">
            <v>10.242049449424412</v>
          </cell>
          <cell r="AY1635">
            <v>13.969073068024317</v>
          </cell>
        </row>
        <row r="1636">
          <cell r="A1636">
            <v>41828</v>
          </cell>
          <cell r="AF1636">
            <v>17.911530825171315</v>
          </cell>
          <cell r="AG1636">
            <v>20.469360058004284</v>
          </cell>
          <cell r="AH1636">
            <v>17.881583490985356</v>
          </cell>
          <cell r="AI1636">
            <v>15.547864889645153</v>
          </cell>
          <cell r="AJ1636">
            <v>20.215302092325562</v>
          </cell>
          <cell r="AU1636">
            <v>12.493149396568263</v>
          </cell>
          <cell r="AV1636">
            <v>14.263722316306255</v>
          </cell>
          <cell r="AW1636">
            <v>12.105561258724364</v>
          </cell>
          <cell r="AX1636">
            <v>10.242049449424412</v>
          </cell>
          <cell r="AY1636">
            <v>13.969073068024317</v>
          </cell>
        </row>
        <row r="1637">
          <cell r="A1637">
            <v>41829</v>
          </cell>
          <cell r="AF1637">
            <v>17.94547410657017</v>
          </cell>
          <cell r="AG1637">
            <v>20.469360058004284</v>
          </cell>
          <cell r="AH1637">
            <v>17.881583490985356</v>
          </cell>
          <cell r="AI1637">
            <v>15.547864889645153</v>
          </cell>
          <cell r="AJ1637">
            <v>20.215302092325562</v>
          </cell>
          <cell r="AU1637">
            <v>12.512728133624607</v>
          </cell>
          <cell r="AV1637">
            <v>14.263722316306255</v>
          </cell>
          <cell r="AW1637">
            <v>12.105561258724364</v>
          </cell>
          <cell r="AX1637">
            <v>10.242049449424412</v>
          </cell>
          <cell r="AY1637">
            <v>13.969073068024317</v>
          </cell>
        </row>
        <row r="1638">
          <cell r="A1638">
            <v>41830</v>
          </cell>
          <cell r="AF1638">
            <v>17.915305862989896</v>
          </cell>
          <cell r="AG1638">
            <v>20.469360058004284</v>
          </cell>
          <cell r="AH1638">
            <v>17.881583490985356</v>
          </cell>
          <cell r="AI1638">
            <v>15.547864889645153</v>
          </cell>
          <cell r="AJ1638">
            <v>20.215302092325562</v>
          </cell>
          <cell r="AU1638">
            <v>12.495326866446892</v>
          </cell>
          <cell r="AV1638">
            <v>14.263722316306255</v>
          </cell>
          <cell r="AW1638">
            <v>12.105561258724364</v>
          </cell>
          <cell r="AX1638">
            <v>10.242049449424412</v>
          </cell>
          <cell r="AY1638">
            <v>13.969073068024317</v>
          </cell>
        </row>
        <row r="1639">
          <cell r="A1639">
            <v>41831</v>
          </cell>
          <cell r="AF1639">
            <v>17.900216272316918</v>
          </cell>
          <cell r="AG1639">
            <v>20.469360058004284</v>
          </cell>
          <cell r="AH1639">
            <v>17.881583490985356</v>
          </cell>
          <cell r="AI1639">
            <v>15.547864889645153</v>
          </cell>
          <cell r="AJ1639">
            <v>20.215302092325562</v>
          </cell>
          <cell r="AU1639">
            <v>12.486623078365751</v>
          </cell>
          <cell r="AV1639">
            <v>14.263722316306255</v>
          </cell>
          <cell r="AW1639">
            <v>12.105561258724364</v>
          </cell>
          <cell r="AX1639">
            <v>10.242049449424412</v>
          </cell>
          <cell r="AY1639">
            <v>13.969073068024317</v>
          </cell>
        </row>
        <row r="1640">
          <cell r="A1640">
            <v>41834</v>
          </cell>
          <cell r="AF1640">
            <v>17.881356924126031</v>
          </cell>
          <cell r="AG1640">
            <v>20.469360058004284</v>
          </cell>
          <cell r="AH1640">
            <v>17.881583490985356</v>
          </cell>
          <cell r="AI1640">
            <v>15.547864889645153</v>
          </cell>
          <cell r="AJ1640">
            <v>20.215302092325562</v>
          </cell>
          <cell r="AU1640">
            <v>12.475744866122671</v>
          </cell>
          <cell r="AV1640">
            <v>14.263722316306255</v>
          </cell>
          <cell r="AW1640">
            <v>12.105561258724364</v>
          </cell>
          <cell r="AX1640">
            <v>10.242049449424412</v>
          </cell>
          <cell r="AY1640">
            <v>13.969073068024317</v>
          </cell>
        </row>
        <row r="1641">
          <cell r="A1641">
            <v>41835</v>
          </cell>
          <cell r="AF1641">
            <v>17.73803824886545</v>
          </cell>
          <cell r="AG1641">
            <v>20.469360058004284</v>
          </cell>
          <cell r="AH1641">
            <v>17.881583490985356</v>
          </cell>
          <cell r="AI1641">
            <v>15.547864889645153</v>
          </cell>
          <cell r="AJ1641">
            <v>20.215302092325562</v>
          </cell>
          <cell r="AU1641">
            <v>12.393077588754348</v>
          </cell>
          <cell r="AV1641">
            <v>14.263722316306255</v>
          </cell>
          <cell r="AW1641">
            <v>12.105561258724364</v>
          </cell>
          <cell r="AX1641">
            <v>10.242049449424412</v>
          </cell>
          <cell r="AY1641">
            <v>13.969073068024317</v>
          </cell>
        </row>
        <row r="1642">
          <cell r="A1642">
            <v>41836</v>
          </cell>
          <cell r="AF1642">
            <v>17.847413642727176</v>
          </cell>
          <cell r="AG1642">
            <v>20.469360058004284</v>
          </cell>
          <cell r="AH1642">
            <v>17.881583490985356</v>
          </cell>
          <cell r="AI1642">
            <v>15.547864889645153</v>
          </cell>
          <cell r="AJ1642">
            <v>20.215302092325562</v>
          </cell>
          <cell r="AU1642">
            <v>12.456166129066329</v>
          </cell>
          <cell r="AV1642">
            <v>14.263722316306255</v>
          </cell>
          <cell r="AW1642">
            <v>12.105561258724364</v>
          </cell>
          <cell r="AX1642">
            <v>10.242049449424412</v>
          </cell>
          <cell r="AY1642">
            <v>13.969073068024317</v>
          </cell>
        </row>
        <row r="1643">
          <cell r="A1643">
            <v>41837</v>
          </cell>
          <cell r="AF1643">
            <v>17.455312642059578</v>
          </cell>
          <cell r="AG1643">
            <v>20.469360058004284</v>
          </cell>
          <cell r="AH1643">
            <v>17.881583490985356</v>
          </cell>
          <cell r="AI1643">
            <v>15.547864889645153</v>
          </cell>
          <cell r="AJ1643">
            <v>20.215302092325562</v>
          </cell>
          <cell r="AU1643">
            <v>12.227736725033143</v>
          </cell>
          <cell r="AV1643">
            <v>14.263722316306255</v>
          </cell>
          <cell r="AW1643">
            <v>12.105561258724364</v>
          </cell>
          <cell r="AX1643">
            <v>10.242049449424412</v>
          </cell>
          <cell r="AY1643">
            <v>13.969073068024317</v>
          </cell>
        </row>
        <row r="1644">
          <cell r="A1644">
            <v>41838</v>
          </cell>
          <cell r="AF1644">
            <v>17.587352094771727</v>
          </cell>
          <cell r="AG1644">
            <v>20.469360058004284</v>
          </cell>
          <cell r="AH1644">
            <v>17.881583490985356</v>
          </cell>
          <cell r="AI1644">
            <v>15.547864889645153</v>
          </cell>
          <cell r="AJ1644">
            <v>20.215302092325562</v>
          </cell>
          <cell r="AU1644">
            <v>12.303880947466832</v>
          </cell>
          <cell r="AV1644">
            <v>14.263722316306255</v>
          </cell>
          <cell r="AW1644">
            <v>12.105561258724364</v>
          </cell>
          <cell r="AX1644">
            <v>10.242049449424412</v>
          </cell>
          <cell r="AY1644">
            <v>13.969073068024317</v>
          </cell>
        </row>
        <row r="1645">
          <cell r="A1645">
            <v>41841</v>
          </cell>
          <cell r="AF1645">
            <v>17.519444236609843</v>
          </cell>
          <cell r="AG1645">
            <v>20.469360058004284</v>
          </cell>
          <cell r="AH1645">
            <v>17.881583490985356</v>
          </cell>
          <cell r="AI1645">
            <v>15.547864889645153</v>
          </cell>
          <cell r="AJ1645">
            <v>20.215302092325562</v>
          </cell>
          <cell r="AU1645">
            <v>12.264719992535078</v>
          </cell>
          <cell r="AV1645">
            <v>14.263722316306255</v>
          </cell>
          <cell r="AW1645">
            <v>12.105561258724364</v>
          </cell>
          <cell r="AX1645">
            <v>10.242049449424412</v>
          </cell>
          <cell r="AY1645">
            <v>13.969073068024317</v>
          </cell>
        </row>
        <row r="1646">
          <cell r="A1646">
            <v>41842</v>
          </cell>
          <cell r="AF1646">
            <v>17.709840372530799</v>
          </cell>
          <cell r="AG1646">
            <v>20.469360058004284</v>
          </cell>
          <cell r="AH1646">
            <v>17.881583490985356</v>
          </cell>
          <cell r="AI1646">
            <v>15.547864889645153</v>
          </cell>
          <cell r="AJ1646">
            <v>20.215302092325562</v>
          </cell>
          <cell r="AU1646">
            <v>12.371867145700147</v>
          </cell>
          <cell r="AV1646">
            <v>14.263722316306255</v>
          </cell>
          <cell r="AW1646">
            <v>12.105561258724364</v>
          </cell>
          <cell r="AX1646">
            <v>10.242049449424412</v>
          </cell>
          <cell r="AY1646">
            <v>13.969073068024317</v>
          </cell>
        </row>
        <row r="1647">
          <cell r="A1647">
            <v>41843</v>
          </cell>
          <cell r="AF1647">
            <v>17.65703185068331</v>
          </cell>
          <cell r="AG1647">
            <v>20.469360058004284</v>
          </cell>
          <cell r="AH1647">
            <v>17.881583490985356</v>
          </cell>
          <cell r="AI1647">
            <v>15.547864889645153</v>
          </cell>
          <cell r="AJ1647">
            <v>20.215302092325562</v>
          </cell>
          <cell r="AU1647">
            <v>12.341419562880173</v>
          </cell>
          <cell r="AV1647">
            <v>14.263722316306255</v>
          </cell>
          <cell r="AW1647">
            <v>12.105561258724364</v>
          </cell>
          <cell r="AX1647">
            <v>10.242049449424412</v>
          </cell>
          <cell r="AY1647">
            <v>13.969073068024317</v>
          </cell>
        </row>
        <row r="1648">
          <cell r="A1648">
            <v>41844</v>
          </cell>
          <cell r="AF1648">
            <v>17.691001697794604</v>
          </cell>
          <cell r="AG1648">
            <v>20.469360058004284</v>
          </cell>
          <cell r="AH1648">
            <v>17.881583490985356</v>
          </cell>
          <cell r="AI1648">
            <v>15.547864889645153</v>
          </cell>
          <cell r="AJ1648">
            <v>20.215302092325562</v>
          </cell>
          <cell r="AU1648">
            <v>12.358818740879755</v>
          </cell>
          <cell r="AV1648">
            <v>14.263722316306255</v>
          </cell>
          <cell r="AW1648">
            <v>12.105561258724364</v>
          </cell>
          <cell r="AX1648">
            <v>10.242049449424412</v>
          </cell>
          <cell r="AY1648">
            <v>13.969073068024317</v>
          </cell>
        </row>
        <row r="1649">
          <cell r="A1649">
            <v>41845</v>
          </cell>
          <cell r="AF1649">
            <v>17.668359554802713</v>
          </cell>
          <cell r="AG1649">
            <v>20.469360058004284</v>
          </cell>
          <cell r="AH1649">
            <v>17.881583490985356</v>
          </cell>
          <cell r="AI1649">
            <v>15.547864889645153</v>
          </cell>
          <cell r="AJ1649">
            <v>20.215302092325562</v>
          </cell>
          <cell r="AU1649">
            <v>12.345766856310759</v>
          </cell>
          <cell r="AV1649">
            <v>14.263722316306255</v>
          </cell>
          <cell r="AW1649">
            <v>12.105561258724364</v>
          </cell>
          <cell r="AX1649">
            <v>10.242049449424412</v>
          </cell>
          <cell r="AY1649">
            <v>13.969073068024317</v>
          </cell>
        </row>
        <row r="1650">
          <cell r="A1650">
            <v>41848</v>
          </cell>
          <cell r="AF1650">
            <v>17.805202209271087</v>
          </cell>
          <cell r="AG1650">
            <v>20.469360058004284</v>
          </cell>
          <cell r="AH1650">
            <v>17.881583490985356</v>
          </cell>
          <cell r="AI1650">
            <v>15.547864889645153</v>
          </cell>
          <cell r="AJ1650">
            <v>20.215302092325562</v>
          </cell>
          <cell r="AU1650">
            <v>12.423011890771216</v>
          </cell>
          <cell r="AV1650">
            <v>14.263722316306255</v>
          </cell>
          <cell r="AW1650">
            <v>12.105561258724364</v>
          </cell>
          <cell r="AX1650">
            <v>10.242049449424412</v>
          </cell>
          <cell r="AY1650">
            <v>13.969073068024317</v>
          </cell>
        </row>
        <row r="1651">
          <cell r="A1651">
            <v>41849</v>
          </cell>
          <cell r="AF1651">
            <v>17.812749896399009</v>
          </cell>
          <cell r="AG1651">
            <v>20.469360058004284</v>
          </cell>
          <cell r="AH1651">
            <v>17.881583490985356</v>
          </cell>
          <cell r="AI1651">
            <v>15.547864889645153</v>
          </cell>
          <cell r="AJ1651">
            <v>20.215302092325562</v>
          </cell>
          <cell r="AU1651">
            <v>12.427362001568117</v>
          </cell>
          <cell r="AV1651">
            <v>14.263722316306255</v>
          </cell>
          <cell r="AW1651">
            <v>12.105561258724364</v>
          </cell>
          <cell r="AX1651">
            <v>10.242049449424412</v>
          </cell>
          <cell r="AY1651">
            <v>13.969073068024317</v>
          </cell>
        </row>
        <row r="1652">
          <cell r="A1652">
            <v>41850</v>
          </cell>
          <cell r="AF1652">
            <v>17.899529432925348</v>
          </cell>
          <cell r="AG1652">
            <v>20.469360058004284</v>
          </cell>
          <cell r="AH1652">
            <v>17.881583490985356</v>
          </cell>
          <cell r="AI1652">
            <v>15.547864889645153</v>
          </cell>
          <cell r="AJ1652">
            <v>20.215302092325562</v>
          </cell>
          <cell r="AU1652">
            <v>12.477377402630111</v>
          </cell>
          <cell r="AV1652">
            <v>14.263722316306255</v>
          </cell>
          <cell r="AW1652">
            <v>12.105561258724364</v>
          </cell>
          <cell r="AX1652">
            <v>10.242049449424412</v>
          </cell>
          <cell r="AY1652">
            <v>13.969073068024317</v>
          </cell>
        </row>
        <row r="1653">
          <cell r="A1653">
            <v>41851</v>
          </cell>
          <cell r="AF1653">
            <v>17.533974373907498</v>
          </cell>
          <cell r="AG1653">
            <v>20.469360058004284</v>
          </cell>
          <cell r="AH1653">
            <v>17.881583490985356</v>
          </cell>
          <cell r="AI1653">
            <v>15.547864889645153</v>
          </cell>
          <cell r="AJ1653">
            <v>20.215302092325562</v>
          </cell>
          <cell r="AU1653">
            <v>12.275757746362181</v>
          </cell>
          <cell r="AV1653">
            <v>14.263722316306255</v>
          </cell>
          <cell r="AW1653">
            <v>12.105561258724364</v>
          </cell>
          <cell r="AX1653">
            <v>10.242049449424412</v>
          </cell>
          <cell r="AY1653">
            <v>13.969073068024317</v>
          </cell>
        </row>
        <row r="1654">
          <cell r="A1654">
            <v>41852</v>
          </cell>
          <cell r="AF1654">
            <v>17.452729266663901</v>
          </cell>
          <cell r="AG1654">
            <v>20.469360058004284</v>
          </cell>
          <cell r="AH1654">
            <v>17.881583490985356</v>
          </cell>
          <cell r="AI1654">
            <v>15.547864889645153</v>
          </cell>
          <cell r="AJ1654">
            <v>20.215302092325562</v>
          </cell>
          <cell r="AU1654">
            <v>12.142459262996494</v>
          </cell>
          <cell r="AV1654">
            <v>14.263722316306255</v>
          </cell>
          <cell r="AW1654">
            <v>12.105561258724364</v>
          </cell>
          <cell r="AX1654">
            <v>10.242049449424412</v>
          </cell>
          <cell r="AY1654">
            <v>13.969073068024317</v>
          </cell>
        </row>
        <row r="1655">
          <cell r="A1655">
            <v>41855</v>
          </cell>
          <cell r="AF1655">
            <v>17.584181370231079</v>
          </cell>
          <cell r="AG1655">
            <v>20.469360058004284</v>
          </cell>
          <cell r="AH1655">
            <v>17.881583490985356</v>
          </cell>
          <cell r="AI1655">
            <v>15.547864889645153</v>
          </cell>
          <cell r="AJ1655">
            <v>20.215302092325562</v>
          </cell>
          <cell r="AU1655">
            <v>12.217803209059282</v>
          </cell>
          <cell r="AV1655">
            <v>14.263722316306255</v>
          </cell>
          <cell r="AW1655">
            <v>12.105561258724364</v>
          </cell>
          <cell r="AX1655">
            <v>10.242049449424412</v>
          </cell>
          <cell r="AY1655">
            <v>13.969073068024317</v>
          </cell>
        </row>
        <row r="1656">
          <cell r="A1656">
            <v>41856</v>
          </cell>
          <cell r="AF1656">
            <v>17.430196197731799</v>
          </cell>
          <cell r="AG1656">
            <v>20.469360058004284</v>
          </cell>
          <cell r="AH1656">
            <v>17.881583490985356</v>
          </cell>
          <cell r="AI1656">
            <v>15.547864889645153</v>
          </cell>
          <cell r="AJ1656">
            <v>20.215302092325562</v>
          </cell>
          <cell r="AU1656">
            <v>12.129544062066433</v>
          </cell>
          <cell r="AV1656">
            <v>14.263722316306255</v>
          </cell>
          <cell r="AW1656">
            <v>12.105561258724364</v>
          </cell>
          <cell r="AX1656">
            <v>10.242049449424412</v>
          </cell>
          <cell r="AY1656">
            <v>13.969073068024317</v>
          </cell>
        </row>
        <row r="1657">
          <cell r="A1657">
            <v>41857</v>
          </cell>
          <cell r="AF1657">
            <v>17.602765648475099</v>
          </cell>
          <cell r="AG1657">
            <v>20.469360058004284</v>
          </cell>
          <cell r="AH1657">
            <v>17.881583490985356</v>
          </cell>
          <cell r="AI1657">
            <v>15.547864889645153</v>
          </cell>
          <cell r="AJ1657">
            <v>20.215302092325562</v>
          </cell>
          <cell r="AU1657">
            <v>12.229647335193686</v>
          </cell>
          <cell r="AV1657">
            <v>14.263722316306255</v>
          </cell>
          <cell r="AW1657">
            <v>12.105561258724364</v>
          </cell>
          <cell r="AX1657">
            <v>10.242049449424412</v>
          </cell>
          <cell r="AY1657">
            <v>13.969073068024317</v>
          </cell>
        </row>
        <row r="1658">
          <cell r="A1658">
            <v>41858</v>
          </cell>
          <cell r="AF1658">
            <v>17.241917873786516</v>
          </cell>
          <cell r="AG1658">
            <v>20.469360058004284</v>
          </cell>
          <cell r="AH1658">
            <v>17.881583490985356</v>
          </cell>
          <cell r="AI1658">
            <v>15.547864889645153</v>
          </cell>
          <cell r="AJ1658">
            <v>20.215302092325562</v>
          </cell>
          <cell r="AU1658">
            <v>11.859745653381037</v>
          </cell>
          <cell r="AV1658">
            <v>14.263722316306255</v>
          </cell>
          <cell r="AW1658">
            <v>12.105561258724364</v>
          </cell>
          <cell r="AX1658">
            <v>10.242049449424412</v>
          </cell>
          <cell r="AY1658">
            <v>13.969073068024317</v>
          </cell>
        </row>
        <row r="1659">
          <cell r="A1659">
            <v>41859</v>
          </cell>
          <cell r="AF1659">
            <v>17.380994044704682</v>
          </cell>
          <cell r="AG1659">
            <v>20.469360058004284</v>
          </cell>
          <cell r="AH1659">
            <v>17.881583490985356</v>
          </cell>
          <cell r="AI1659">
            <v>15.547864889645153</v>
          </cell>
          <cell r="AJ1659">
            <v>20.215302092325562</v>
          </cell>
          <cell r="AU1659">
            <v>11.939455473638757</v>
          </cell>
          <cell r="AV1659">
            <v>14.263722316306255</v>
          </cell>
          <cell r="AW1659">
            <v>12.105561258724364</v>
          </cell>
          <cell r="AX1659">
            <v>10.242049449424412</v>
          </cell>
          <cell r="AY1659">
            <v>13.969073068024317</v>
          </cell>
        </row>
        <row r="1660">
          <cell r="A1660">
            <v>41862</v>
          </cell>
          <cell r="AF1660">
            <v>17.474677979504527</v>
          </cell>
          <cell r="AG1660">
            <v>20.469360058004284</v>
          </cell>
          <cell r="AH1660">
            <v>17.881583490985356</v>
          </cell>
          <cell r="AI1660">
            <v>15.547864889645153</v>
          </cell>
          <cell r="AJ1660">
            <v>20.215302092325562</v>
          </cell>
          <cell r="AU1660">
            <v>12.008396136218554</v>
          </cell>
          <cell r="AV1660">
            <v>14.263722316306255</v>
          </cell>
          <cell r="AW1660">
            <v>12.105561258724364</v>
          </cell>
          <cell r="AX1660">
            <v>10.242049449424412</v>
          </cell>
          <cell r="AY1660">
            <v>13.969073068024317</v>
          </cell>
        </row>
        <row r="1661">
          <cell r="A1661">
            <v>41863</v>
          </cell>
          <cell r="AF1661">
            <v>17.497751021298253</v>
          </cell>
          <cell r="AG1661">
            <v>20.469360058004284</v>
          </cell>
          <cell r="AH1661">
            <v>17.881583490985356</v>
          </cell>
          <cell r="AI1661">
            <v>15.547864889645153</v>
          </cell>
          <cell r="AJ1661">
            <v>20.215302092325562</v>
          </cell>
          <cell r="AU1661">
            <v>12.023474852794394</v>
          </cell>
          <cell r="AV1661">
            <v>14.263722316306255</v>
          </cell>
          <cell r="AW1661">
            <v>12.105561258724364</v>
          </cell>
          <cell r="AX1661">
            <v>10.242049449424412</v>
          </cell>
          <cell r="AY1661">
            <v>13.969073068024317</v>
          </cell>
        </row>
        <row r="1662">
          <cell r="A1662">
            <v>41864</v>
          </cell>
          <cell r="AF1662">
            <v>17.707888436648865</v>
          </cell>
          <cell r="AG1662">
            <v>20.469360058004284</v>
          </cell>
          <cell r="AH1662">
            <v>17.881583490985356</v>
          </cell>
          <cell r="AI1662">
            <v>15.547864889645153</v>
          </cell>
          <cell r="AJ1662">
            <v>20.215302092325562</v>
          </cell>
          <cell r="AU1662">
            <v>12.144117942362314</v>
          </cell>
          <cell r="AV1662">
            <v>14.263722316306255</v>
          </cell>
          <cell r="AW1662">
            <v>12.105561258724364</v>
          </cell>
          <cell r="AX1662">
            <v>10.242049449424412</v>
          </cell>
          <cell r="AY1662">
            <v>13.969073068024317</v>
          </cell>
        </row>
        <row r="1663">
          <cell r="A1663">
            <v>41865</v>
          </cell>
          <cell r="AF1663">
            <v>17.880504181501124</v>
          </cell>
          <cell r="AG1663">
            <v>20.469360058004284</v>
          </cell>
          <cell r="AH1663">
            <v>17.881583490985356</v>
          </cell>
          <cell r="AI1663">
            <v>15.547864889645153</v>
          </cell>
          <cell r="AJ1663">
            <v>20.215302092325562</v>
          </cell>
          <cell r="AU1663">
            <v>12.243219269616661</v>
          </cell>
          <cell r="AV1663">
            <v>14.263722316306255</v>
          </cell>
          <cell r="AW1663">
            <v>12.105561258724364</v>
          </cell>
          <cell r="AX1663">
            <v>10.242049449424412</v>
          </cell>
          <cell r="AY1663">
            <v>13.969073068024317</v>
          </cell>
        </row>
        <row r="1664">
          <cell r="A1664">
            <v>41866</v>
          </cell>
          <cell r="AF1664">
            <v>17.76417882257762</v>
          </cell>
          <cell r="AG1664">
            <v>20.469360058004284</v>
          </cell>
          <cell r="AH1664">
            <v>17.881583490985356</v>
          </cell>
          <cell r="AI1664">
            <v>15.547864889645153</v>
          </cell>
          <cell r="AJ1664">
            <v>20.215302092325562</v>
          </cell>
          <cell r="AU1664">
            <v>12.176435109964688</v>
          </cell>
          <cell r="AV1664">
            <v>14.263722316306255</v>
          </cell>
          <cell r="AW1664">
            <v>12.105561258724364</v>
          </cell>
          <cell r="AX1664">
            <v>10.242049449424412</v>
          </cell>
          <cell r="AY1664">
            <v>13.969073068024317</v>
          </cell>
        </row>
        <row r="1665">
          <cell r="A1665">
            <v>41869</v>
          </cell>
          <cell r="AF1665">
            <v>17.854234284043546</v>
          </cell>
          <cell r="AG1665">
            <v>20.469360058004284</v>
          </cell>
          <cell r="AH1665">
            <v>17.881583490985356</v>
          </cell>
          <cell r="AI1665">
            <v>15.547864889645153</v>
          </cell>
          <cell r="AJ1665">
            <v>20.215302092325562</v>
          </cell>
          <cell r="AU1665">
            <v>12.228137321517952</v>
          </cell>
          <cell r="AV1665">
            <v>14.263722316306255</v>
          </cell>
          <cell r="AW1665">
            <v>12.105561258724364</v>
          </cell>
          <cell r="AX1665">
            <v>10.242049449424412</v>
          </cell>
          <cell r="AY1665">
            <v>13.969073068024317</v>
          </cell>
        </row>
        <row r="1666">
          <cell r="A1666">
            <v>41870</v>
          </cell>
          <cell r="AF1666">
            <v>17.880510379414787</v>
          </cell>
          <cell r="AG1666">
            <v>20.469360058004284</v>
          </cell>
          <cell r="AH1666">
            <v>17.881583490985356</v>
          </cell>
          <cell r="AI1666">
            <v>15.547864889645153</v>
          </cell>
          <cell r="AJ1666">
            <v>20.215302092325562</v>
          </cell>
          <cell r="AU1666">
            <v>12.085727786886071</v>
          </cell>
          <cell r="AV1666">
            <v>14.263722316306255</v>
          </cell>
          <cell r="AW1666">
            <v>12.105561258724364</v>
          </cell>
          <cell r="AX1666">
            <v>10.242049449424412</v>
          </cell>
          <cell r="AY1666">
            <v>13.969073068024317</v>
          </cell>
        </row>
        <row r="1667">
          <cell r="A1667">
            <v>41871</v>
          </cell>
          <cell r="AF1667">
            <v>17.813076162316221</v>
          </cell>
          <cell r="AG1667">
            <v>20.469360058004284</v>
          </cell>
          <cell r="AH1667">
            <v>17.881583490985356</v>
          </cell>
          <cell r="AI1667">
            <v>15.547864889645153</v>
          </cell>
          <cell r="AJ1667">
            <v>20.215302092325562</v>
          </cell>
          <cell r="AU1667">
            <v>12.047500452110292</v>
          </cell>
          <cell r="AV1667">
            <v>14.263722316306255</v>
          </cell>
          <cell r="AW1667">
            <v>12.105561258724364</v>
          </cell>
          <cell r="AX1667">
            <v>10.242049449424412</v>
          </cell>
          <cell r="AY1667">
            <v>13.969073068024317</v>
          </cell>
        </row>
        <row r="1668">
          <cell r="A1668">
            <v>41872</v>
          </cell>
          <cell r="AF1668">
            <v>17.910480559830766</v>
          </cell>
          <cell r="AG1668">
            <v>20.469360058004284</v>
          </cell>
          <cell r="AH1668">
            <v>17.881583490985356</v>
          </cell>
          <cell r="AI1668">
            <v>15.547864889645153</v>
          </cell>
          <cell r="AJ1668">
            <v>20.215302092325562</v>
          </cell>
          <cell r="AU1668">
            <v>12.102717383108084</v>
          </cell>
          <cell r="AV1668">
            <v>14.263722316306255</v>
          </cell>
          <cell r="AW1668">
            <v>12.105561258724364</v>
          </cell>
          <cell r="AX1668">
            <v>10.242049449424412</v>
          </cell>
          <cell r="AY1668">
            <v>13.969073068024317</v>
          </cell>
        </row>
        <row r="1669">
          <cell r="A1669">
            <v>41873</v>
          </cell>
          <cell r="AF1669">
            <v>17.977909157660989</v>
          </cell>
          <cell r="AG1669">
            <v>20.469360058004284</v>
          </cell>
          <cell r="AH1669">
            <v>17.881583490985356</v>
          </cell>
          <cell r="AI1669">
            <v>15.547864889645153</v>
          </cell>
          <cell r="AJ1669">
            <v>20.215302092325562</v>
          </cell>
          <cell r="AU1669">
            <v>12.140941532414208</v>
          </cell>
          <cell r="AV1669">
            <v>14.263722316306255</v>
          </cell>
          <cell r="AW1669">
            <v>12.105561258724364</v>
          </cell>
          <cell r="AX1669">
            <v>10.242049449424412</v>
          </cell>
          <cell r="AY1669">
            <v>13.969073068024317</v>
          </cell>
        </row>
        <row r="1670">
          <cell r="A1670">
            <v>41876</v>
          </cell>
          <cell r="AF1670">
            <v>18.083882411685742</v>
          </cell>
          <cell r="AG1670">
            <v>20.469360058004284</v>
          </cell>
          <cell r="AH1670">
            <v>17.881583490985356</v>
          </cell>
          <cell r="AI1670">
            <v>15.547864889645153</v>
          </cell>
          <cell r="AJ1670">
            <v>20.215302092325562</v>
          </cell>
          <cell r="AU1670">
            <v>12.210949565445375</v>
          </cell>
          <cell r="AV1670">
            <v>14.263722316306255</v>
          </cell>
          <cell r="AW1670">
            <v>12.105561258724364</v>
          </cell>
          <cell r="AX1670">
            <v>10.242049449424412</v>
          </cell>
          <cell r="AY1670">
            <v>13.969073068024317</v>
          </cell>
        </row>
        <row r="1671">
          <cell r="A1671">
            <v>41877</v>
          </cell>
          <cell r="AF1671">
            <v>18.123201847461555</v>
          </cell>
          <cell r="AG1671">
            <v>20.469360058004284</v>
          </cell>
          <cell r="AH1671">
            <v>17.881583490985356</v>
          </cell>
          <cell r="AI1671">
            <v>15.547864889645153</v>
          </cell>
          <cell r="AJ1671">
            <v>20.215302092325562</v>
          </cell>
          <cell r="AU1671">
            <v>12.233258509784671</v>
          </cell>
          <cell r="AV1671">
            <v>14.263722316306255</v>
          </cell>
          <cell r="AW1671">
            <v>12.105561258724364</v>
          </cell>
          <cell r="AX1671">
            <v>10.242049449424412</v>
          </cell>
          <cell r="AY1671">
            <v>13.969073068024317</v>
          </cell>
        </row>
        <row r="1672">
          <cell r="A1672">
            <v>41878</v>
          </cell>
          <cell r="AF1672">
            <v>17.99775234053357</v>
          </cell>
          <cell r="AG1672">
            <v>20.469360058004284</v>
          </cell>
          <cell r="AH1672">
            <v>17.881583490985356</v>
          </cell>
          <cell r="AI1672">
            <v>15.547864889645153</v>
          </cell>
          <cell r="AJ1672">
            <v>20.215302092325562</v>
          </cell>
          <cell r="AU1672">
            <v>12.162081342253439</v>
          </cell>
          <cell r="AV1672">
            <v>14.263722316306255</v>
          </cell>
          <cell r="AW1672">
            <v>12.105561258724364</v>
          </cell>
          <cell r="AX1672">
            <v>10.242049449424412</v>
          </cell>
          <cell r="AY1672">
            <v>13.969073068024317</v>
          </cell>
        </row>
        <row r="1673">
          <cell r="A1673">
            <v>41879</v>
          </cell>
          <cell r="AF1673">
            <v>17.844372000001783</v>
          </cell>
          <cell r="AG1673">
            <v>20.469360058004284</v>
          </cell>
          <cell r="AH1673">
            <v>17.881583490985356</v>
          </cell>
          <cell r="AI1673">
            <v>15.547864889645153</v>
          </cell>
          <cell r="AJ1673">
            <v>20.215302092325562</v>
          </cell>
          <cell r="AU1673">
            <v>12.061154807768018</v>
          </cell>
          <cell r="AV1673">
            <v>14.263722316306255</v>
          </cell>
          <cell r="AW1673">
            <v>12.105561258724364</v>
          </cell>
          <cell r="AX1673">
            <v>10.242049449424412</v>
          </cell>
          <cell r="AY1673">
            <v>13.969073068024317</v>
          </cell>
        </row>
        <row r="1674">
          <cell r="A1674">
            <v>41880</v>
          </cell>
          <cell r="AF1674">
            <v>17.88937012500179</v>
          </cell>
          <cell r="AG1674">
            <v>20.469360058004284</v>
          </cell>
          <cell r="AH1674">
            <v>17.881583490985356</v>
          </cell>
          <cell r="AI1674">
            <v>15.547864889645153</v>
          </cell>
          <cell r="AJ1674">
            <v>20.215302092325562</v>
          </cell>
          <cell r="AU1674">
            <v>12.078532500023929</v>
          </cell>
          <cell r="AV1674">
            <v>14.263722316306255</v>
          </cell>
          <cell r="AW1674">
            <v>12.105561258724364</v>
          </cell>
          <cell r="AX1674">
            <v>10.242049449424412</v>
          </cell>
          <cell r="AY1674">
            <v>13.969073068024317</v>
          </cell>
        </row>
        <row r="1675">
          <cell r="A1675">
            <v>41883</v>
          </cell>
          <cell r="AF1675">
            <v>17.767220484171322</v>
          </cell>
          <cell r="AG1675">
            <v>20.469360058004284</v>
          </cell>
          <cell r="AH1675">
            <v>17.881583490985356</v>
          </cell>
          <cell r="AI1675">
            <v>15.547864889645153</v>
          </cell>
          <cell r="AJ1675">
            <v>20.215302092325562</v>
          </cell>
          <cell r="AU1675">
            <v>12.01601866186923</v>
          </cell>
          <cell r="AV1675">
            <v>14.263722316306255</v>
          </cell>
          <cell r="AW1675">
            <v>12.105561258724364</v>
          </cell>
          <cell r="AX1675">
            <v>10.242049449424412</v>
          </cell>
          <cell r="AY1675">
            <v>13.969073068024317</v>
          </cell>
        </row>
        <row r="1676">
          <cell r="A1676">
            <v>41884</v>
          </cell>
          <cell r="AF1676">
            <v>17.795157914338919</v>
          </cell>
          <cell r="AG1676">
            <v>20.469360058004284</v>
          </cell>
          <cell r="AH1676">
            <v>17.881583490985356</v>
          </cell>
          <cell r="AI1676">
            <v>15.547864889645153</v>
          </cell>
          <cell r="AJ1676">
            <v>20.215302092325562</v>
          </cell>
          <cell r="AU1676">
            <v>12.031874289308652</v>
          </cell>
          <cell r="AV1676">
            <v>14.263722316306255</v>
          </cell>
          <cell r="AW1676">
            <v>12.105561258724364</v>
          </cell>
          <cell r="AX1676">
            <v>10.242049449424412</v>
          </cell>
          <cell r="AY1676">
            <v>13.969073068024317</v>
          </cell>
        </row>
        <row r="1677">
          <cell r="A1677">
            <v>41885</v>
          </cell>
          <cell r="AF1677">
            <v>17.791430167597763</v>
          </cell>
          <cell r="AG1677">
            <v>20.469360058004284</v>
          </cell>
          <cell r="AH1677">
            <v>17.881583490985356</v>
          </cell>
          <cell r="AI1677">
            <v>15.547864889645153</v>
          </cell>
          <cell r="AJ1677">
            <v>20.215302092325562</v>
          </cell>
          <cell r="AU1677">
            <v>12.029758641478425</v>
          </cell>
          <cell r="AV1677">
            <v>14.263722316306255</v>
          </cell>
          <cell r="AW1677">
            <v>12.105561258724364</v>
          </cell>
          <cell r="AX1677">
            <v>10.242049449424412</v>
          </cell>
          <cell r="AY1677">
            <v>13.969073068024317</v>
          </cell>
        </row>
        <row r="1678">
          <cell r="A1678">
            <v>41886</v>
          </cell>
          <cell r="AF1678">
            <v>17.735566480446927</v>
          </cell>
          <cell r="AG1678">
            <v>20.469360058004284</v>
          </cell>
          <cell r="AH1678">
            <v>17.881583490985356</v>
          </cell>
          <cell r="AI1678">
            <v>15.547864889645153</v>
          </cell>
          <cell r="AJ1678">
            <v>20.215302092325562</v>
          </cell>
          <cell r="AU1678">
            <v>11.998053727835956</v>
          </cell>
          <cell r="AV1678">
            <v>14.263722316306255</v>
          </cell>
          <cell r="AW1678">
            <v>12.105561258724364</v>
          </cell>
          <cell r="AX1678">
            <v>10.242049449424412</v>
          </cell>
          <cell r="AY1678">
            <v>13.969073068024317</v>
          </cell>
        </row>
        <row r="1679">
          <cell r="A1679">
            <v>41887</v>
          </cell>
          <cell r="AF1679">
            <v>17.709492737430168</v>
          </cell>
          <cell r="AG1679">
            <v>20.469360058004284</v>
          </cell>
          <cell r="AH1679">
            <v>17.881583490985356</v>
          </cell>
          <cell r="AI1679">
            <v>15.547864889645153</v>
          </cell>
          <cell r="AJ1679">
            <v>20.215302092325562</v>
          </cell>
          <cell r="AU1679">
            <v>11.983255818624373</v>
          </cell>
          <cell r="AV1679">
            <v>14.263722316306255</v>
          </cell>
          <cell r="AW1679">
            <v>12.105561258724364</v>
          </cell>
          <cell r="AX1679">
            <v>10.242049449424412</v>
          </cell>
          <cell r="AY1679">
            <v>13.969073068024317</v>
          </cell>
        </row>
        <row r="1680">
          <cell r="A1680">
            <v>41890</v>
          </cell>
          <cell r="AF1680">
            <v>17.739767647357329</v>
          </cell>
          <cell r="AG1680">
            <v>20.469360058004284</v>
          </cell>
          <cell r="AH1680">
            <v>17.881583490985356</v>
          </cell>
          <cell r="AI1680">
            <v>15.547864889645153</v>
          </cell>
          <cell r="AJ1680">
            <v>20.215302092325562</v>
          </cell>
          <cell r="AU1680">
            <v>12.000166205047995</v>
          </cell>
          <cell r="AV1680">
            <v>14.263722316306255</v>
          </cell>
          <cell r="AW1680">
            <v>12.105561258724364</v>
          </cell>
          <cell r="AX1680">
            <v>10.242049449424412</v>
          </cell>
          <cell r="AY1680">
            <v>13.969073068024317</v>
          </cell>
        </row>
        <row r="1681">
          <cell r="A1681">
            <v>41891</v>
          </cell>
          <cell r="AF1681">
            <v>17.572166473768846</v>
          </cell>
          <cell r="AG1681">
            <v>20.469360058004284</v>
          </cell>
          <cell r="AH1681">
            <v>17.881583490985356</v>
          </cell>
          <cell r="AI1681">
            <v>15.547864889645153</v>
          </cell>
          <cell r="AJ1681">
            <v>20.215302092325562</v>
          </cell>
          <cell r="AU1681">
            <v>11.905048293502402</v>
          </cell>
          <cell r="AV1681">
            <v>14.263722316306255</v>
          </cell>
          <cell r="AW1681">
            <v>12.105561258724364</v>
          </cell>
          <cell r="AX1681">
            <v>10.242049449424412</v>
          </cell>
          <cell r="AY1681">
            <v>13.969073068024317</v>
          </cell>
        </row>
        <row r="1682">
          <cell r="A1682">
            <v>41892</v>
          </cell>
          <cell r="AF1682">
            <v>17.616858555771056</v>
          </cell>
          <cell r="AG1682">
            <v>20.469360058004284</v>
          </cell>
          <cell r="AH1682">
            <v>17.881583490985356</v>
          </cell>
          <cell r="AI1682">
            <v>15.547864889645153</v>
          </cell>
          <cell r="AJ1682">
            <v>20.215302092325562</v>
          </cell>
          <cell r="AU1682">
            <v>11.930412182141467</v>
          </cell>
          <cell r="AV1682">
            <v>14.263722316306255</v>
          </cell>
          <cell r="AW1682">
            <v>12.105561258724364</v>
          </cell>
          <cell r="AX1682">
            <v>10.242049449424412</v>
          </cell>
          <cell r="AY1682">
            <v>13.969073068024317</v>
          </cell>
        </row>
        <row r="1683">
          <cell r="A1683">
            <v>41893</v>
          </cell>
          <cell r="AF1683">
            <v>17.553542879649449</v>
          </cell>
          <cell r="AG1683">
            <v>20.469360058004284</v>
          </cell>
          <cell r="AH1683">
            <v>17.881583490985356</v>
          </cell>
          <cell r="AI1683">
            <v>15.547864889645153</v>
          </cell>
          <cell r="AJ1683">
            <v>20.215302092325562</v>
          </cell>
          <cell r="AU1683">
            <v>11.89447893208218</v>
          </cell>
          <cell r="AV1683">
            <v>14.263722316306255</v>
          </cell>
          <cell r="AW1683">
            <v>12.105561258724364</v>
          </cell>
          <cell r="AX1683">
            <v>10.242049449424412</v>
          </cell>
          <cell r="AY1683">
            <v>13.969073068024317</v>
          </cell>
        </row>
        <row r="1684">
          <cell r="A1684">
            <v>41894</v>
          </cell>
          <cell r="AF1684">
            <v>17.412015780686815</v>
          </cell>
          <cell r="AG1684">
            <v>20.469360058004284</v>
          </cell>
          <cell r="AH1684">
            <v>17.881583490985356</v>
          </cell>
          <cell r="AI1684">
            <v>15.547864889645153</v>
          </cell>
          <cell r="AJ1684">
            <v>20.215302092325562</v>
          </cell>
          <cell r="AU1684">
            <v>11.814158718373621</v>
          </cell>
          <cell r="AV1684">
            <v>14.263722316306255</v>
          </cell>
          <cell r="AW1684">
            <v>12.105561258724364</v>
          </cell>
          <cell r="AX1684">
            <v>10.242049449424412</v>
          </cell>
          <cell r="AY1684">
            <v>13.969073068024317</v>
          </cell>
        </row>
        <row r="1685">
          <cell r="A1685">
            <v>41897</v>
          </cell>
          <cell r="AF1685">
            <v>17.367318111941568</v>
          </cell>
          <cell r="AG1685">
            <v>20.469360058004284</v>
          </cell>
          <cell r="AH1685">
            <v>17.881583490985356</v>
          </cell>
          <cell r="AI1685">
            <v>15.547864889645153</v>
          </cell>
          <cell r="AJ1685">
            <v>20.215302092325562</v>
          </cell>
          <cell r="AU1685">
            <v>11.788791659116367</v>
          </cell>
          <cell r="AV1685">
            <v>14.263722316306255</v>
          </cell>
          <cell r="AW1685">
            <v>12.105561258724364</v>
          </cell>
          <cell r="AX1685">
            <v>10.242049449424412</v>
          </cell>
          <cell r="AY1685">
            <v>13.969073068024317</v>
          </cell>
        </row>
        <row r="1686">
          <cell r="A1686">
            <v>41898</v>
          </cell>
          <cell r="AF1686">
            <v>17.344972257165228</v>
          </cell>
          <cell r="AG1686">
            <v>20.469360058004284</v>
          </cell>
          <cell r="AH1686">
            <v>17.881583490985356</v>
          </cell>
          <cell r="AI1686">
            <v>15.547864889645153</v>
          </cell>
          <cell r="AJ1686">
            <v>20.215302092325562</v>
          </cell>
          <cell r="AU1686">
            <v>11.776109820484105</v>
          </cell>
          <cell r="AV1686">
            <v>14.263722316306255</v>
          </cell>
          <cell r="AW1686">
            <v>12.105561258724364</v>
          </cell>
          <cell r="AX1686">
            <v>10.242049449424412</v>
          </cell>
          <cell r="AY1686">
            <v>13.969073068024317</v>
          </cell>
        </row>
        <row r="1687">
          <cell r="A1687">
            <v>41899</v>
          </cell>
          <cell r="AF1687">
            <v>17.344972257165228</v>
          </cell>
          <cell r="AG1687">
            <v>20.469360058004284</v>
          </cell>
          <cell r="AH1687">
            <v>17.881583490985356</v>
          </cell>
          <cell r="AI1687">
            <v>15.547864889645153</v>
          </cell>
          <cell r="AJ1687">
            <v>20.215302092325562</v>
          </cell>
          <cell r="AU1687">
            <v>11.776109820484105</v>
          </cell>
          <cell r="AV1687">
            <v>14.263722316306255</v>
          </cell>
          <cell r="AW1687">
            <v>12.105561258724364</v>
          </cell>
          <cell r="AX1687">
            <v>10.242049449424412</v>
          </cell>
          <cell r="AY1687">
            <v>13.969073068024317</v>
          </cell>
        </row>
        <row r="1688">
          <cell r="A1688">
            <v>41900</v>
          </cell>
          <cell r="AF1688">
            <v>17.393392186567421</v>
          </cell>
          <cell r="AG1688">
            <v>20.469360058004284</v>
          </cell>
          <cell r="AH1688">
            <v>17.881583490985356</v>
          </cell>
          <cell r="AI1688">
            <v>15.547864889645153</v>
          </cell>
          <cell r="AJ1688">
            <v>20.215302092325562</v>
          </cell>
          <cell r="AU1688">
            <v>11.803589356953403</v>
          </cell>
          <cell r="AV1688">
            <v>14.263722316306255</v>
          </cell>
          <cell r="AW1688">
            <v>12.105561258724364</v>
          </cell>
          <cell r="AX1688">
            <v>10.242049449424412</v>
          </cell>
          <cell r="AY1688">
            <v>13.969073068024317</v>
          </cell>
        </row>
        <row r="1689">
          <cell r="A1689">
            <v>41901</v>
          </cell>
          <cell r="AF1689">
            <v>17.353812290502791</v>
          </cell>
          <cell r="AG1689">
            <v>20.469360058004284</v>
          </cell>
          <cell r="AH1689">
            <v>17.881583490985356</v>
          </cell>
          <cell r="AI1689">
            <v>15.547864889645153</v>
          </cell>
          <cell r="AJ1689">
            <v>20.215302092325562</v>
          </cell>
          <cell r="AU1689">
            <v>11.781392704510575</v>
          </cell>
          <cell r="AV1689">
            <v>14.263722316306255</v>
          </cell>
          <cell r="AW1689">
            <v>12.105561258724364</v>
          </cell>
          <cell r="AX1689">
            <v>10.242049449424412</v>
          </cell>
          <cell r="AY1689">
            <v>13.969073068024317</v>
          </cell>
        </row>
        <row r="1690">
          <cell r="A1690">
            <v>41904</v>
          </cell>
          <cell r="AF1690">
            <v>17.147111359404096</v>
          </cell>
          <cell r="AG1690">
            <v>20.469360058004284</v>
          </cell>
          <cell r="AH1690">
            <v>17.881583490985356</v>
          </cell>
          <cell r="AI1690">
            <v>15.547864889645153</v>
          </cell>
          <cell r="AJ1690">
            <v>20.215302092325562</v>
          </cell>
          <cell r="AU1690">
            <v>11.664081522514889</v>
          </cell>
          <cell r="AV1690">
            <v>14.263722316306255</v>
          </cell>
          <cell r="AW1690">
            <v>12.105561258724364</v>
          </cell>
          <cell r="AX1690">
            <v>10.242049449424412</v>
          </cell>
          <cell r="AY1690">
            <v>13.969073068024317</v>
          </cell>
        </row>
        <row r="1691">
          <cell r="A1691">
            <v>41905</v>
          </cell>
          <cell r="AF1691">
            <v>17.048414897579143</v>
          </cell>
          <cell r="AG1691">
            <v>20.469360058004284</v>
          </cell>
          <cell r="AH1691">
            <v>17.881583490985356</v>
          </cell>
          <cell r="AI1691">
            <v>15.547864889645153</v>
          </cell>
          <cell r="AJ1691">
            <v>20.215302092325562</v>
          </cell>
          <cell r="AU1691">
            <v>11.608067267843007</v>
          </cell>
          <cell r="AV1691">
            <v>14.263722316306255</v>
          </cell>
          <cell r="AW1691">
            <v>12.105561258724364</v>
          </cell>
          <cell r="AX1691">
            <v>10.242049449424412</v>
          </cell>
          <cell r="AY1691">
            <v>13.969073068024317</v>
          </cell>
        </row>
        <row r="1692">
          <cell r="A1692">
            <v>41906</v>
          </cell>
          <cell r="AF1692">
            <v>17.214147486033518</v>
          </cell>
          <cell r="AG1692">
            <v>20.469360058004284</v>
          </cell>
          <cell r="AH1692">
            <v>17.881583490985356</v>
          </cell>
          <cell r="AI1692">
            <v>15.547864889645153</v>
          </cell>
          <cell r="AJ1692">
            <v>20.215302092325562</v>
          </cell>
          <cell r="AU1692">
            <v>11.702127249786214</v>
          </cell>
          <cell r="AV1692">
            <v>14.263722316306255</v>
          </cell>
          <cell r="AW1692">
            <v>12.105561258724364</v>
          </cell>
          <cell r="AX1692">
            <v>10.242049449424412</v>
          </cell>
          <cell r="AY1692">
            <v>13.969073068024317</v>
          </cell>
        </row>
        <row r="1693">
          <cell r="A1693">
            <v>41907</v>
          </cell>
          <cell r="AF1693">
            <v>16.901299813780259</v>
          </cell>
          <cell r="AG1693">
            <v>20.469360058004284</v>
          </cell>
          <cell r="AH1693">
            <v>17.881583490985356</v>
          </cell>
          <cell r="AI1693">
            <v>15.547864889645153</v>
          </cell>
          <cell r="AJ1693">
            <v>20.215302092325562</v>
          </cell>
          <cell r="AU1693">
            <v>11.66940114855627</v>
          </cell>
          <cell r="AV1693">
            <v>14.263722316306255</v>
          </cell>
          <cell r="AW1693">
            <v>12.105561258724364</v>
          </cell>
          <cell r="AX1693">
            <v>10.242049449424412</v>
          </cell>
          <cell r="AY1693">
            <v>13.969073068024317</v>
          </cell>
        </row>
        <row r="1694">
          <cell r="A1694">
            <v>41908</v>
          </cell>
          <cell r="AF1694">
            <v>17.022341527001863</v>
          </cell>
          <cell r="AG1694">
            <v>20.469360058004284</v>
          </cell>
          <cell r="AH1694">
            <v>17.881583490985356</v>
          </cell>
          <cell r="AI1694">
            <v>15.547864889645153</v>
          </cell>
          <cell r="AJ1694">
            <v>20.215302092325562</v>
          </cell>
          <cell r="AU1694">
            <v>11.738960535871151</v>
          </cell>
          <cell r="AV1694">
            <v>14.263722316306255</v>
          </cell>
          <cell r="AW1694">
            <v>12.105561258724364</v>
          </cell>
          <cell r="AX1694">
            <v>10.242049449424412</v>
          </cell>
          <cell r="AY1694">
            <v>13.969073068024317</v>
          </cell>
        </row>
        <row r="1695">
          <cell r="A1695">
            <v>41911</v>
          </cell>
          <cell r="AF1695">
            <v>17.093106145251397</v>
          </cell>
          <cell r="AG1695">
            <v>20.469360058004284</v>
          </cell>
          <cell r="AH1695">
            <v>17.881583490985356</v>
          </cell>
          <cell r="AI1695">
            <v>15.547864889645153</v>
          </cell>
          <cell r="AJ1695">
            <v>20.215302092325562</v>
          </cell>
          <cell r="AU1695">
            <v>11.779627041309627</v>
          </cell>
          <cell r="AV1695">
            <v>14.263722316306255</v>
          </cell>
          <cell r="AW1695">
            <v>12.105561258724364</v>
          </cell>
          <cell r="AX1695">
            <v>10.242049449424412</v>
          </cell>
          <cell r="AY1695">
            <v>13.969073068024317</v>
          </cell>
        </row>
        <row r="1696">
          <cell r="A1696">
            <v>41912</v>
          </cell>
          <cell r="AF1696">
            <v>16.983236871508382</v>
          </cell>
          <cell r="AG1696">
            <v>20.469360058004284</v>
          </cell>
          <cell r="AH1696">
            <v>17.881583490985356</v>
          </cell>
          <cell r="AI1696">
            <v>15.547864889645153</v>
          </cell>
          <cell r="AJ1696">
            <v>20.215302092325562</v>
          </cell>
          <cell r="AU1696">
            <v>11.716488151724487</v>
          </cell>
          <cell r="AV1696">
            <v>14.263722316306255</v>
          </cell>
          <cell r="AW1696">
            <v>12.105561258724364</v>
          </cell>
          <cell r="AX1696">
            <v>10.242049449424412</v>
          </cell>
          <cell r="AY1696">
            <v>13.969073068024317</v>
          </cell>
        </row>
        <row r="1697">
          <cell r="A1697">
            <v>41913</v>
          </cell>
          <cell r="AF1697">
            <v>16.760788409372754</v>
          </cell>
          <cell r="AG1697">
            <v>20.469360058004284</v>
          </cell>
          <cell r="AH1697">
            <v>17.881583490985356</v>
          </cell>
          <cell r="AI1697">
            <v>15.547864889645153</v>
          </cell>
          <cell r="AJ1697">
            <v>20.215302092325562</v>
          </cell>
          <cell r="AU1697">
            <v>11.595040818360495</v>
          </cell>
          <cell r="AV1697">
            <v>14.263722316306255</v>
          </cell>
          <cell r="AW1697">
            <v>12.105561258724364</v>
          </cell>
          <cell r="AX1697">
            <v>10.242049449424412</v>
          </cell>
          <cell r="AY1697">
            <v>13.969073068024317</v>
          </cell>
        </row>
        <row r="1698">
          <cell r="A1698">
            <v>41914</v>
          </cell>
          <cell r="AF1698">
            <v>16.812575955611969</v>
          </cell>
          <cell r="AG1698">
            <v>20.469360058004284</v>
          </cell>
          <cell r="AH1698">
            <v>17.881583490985356</v>
          </cell>
          <cell r="AI1698">
            <v>15.547864889645153</v>
          </cell>
          <cell r="AJ1698">
            <v>20.215302092325562</v>
          </cell>
          <cell r="AU1698">
            <v>11.624852256002786</v>
          </cell>
          <cell r="AV1698">
            <v>14.263722316306255</v>
          </cell>
          <cell r="AW1698">
            <v>12.105561258724364</v>
          </cell>
          <cell r="AX1698">
            <v>10.242049449424412</v>
          </cell>
          <cell r="AY1698">
            <v>13.969073068024317</v>
          </cell>
        </row>
        <row r="1699">
          <cell r="A1699">
            <v>41915</v>
          </cell>
          <cell r="AF1699">
            <v>17.082611467325929</v>
          </cell>
          <cell r="AG1699">
            <v>20.469360058004284</v>
          </cell>
          <cell r="AH1699">
            <v>17.881583490985356</v>
          </cell>
          <cell r="AI1699">
            <v>15.547864889645153</v>
          </cell>
          <cell r="AJ1699">
            <v>20.215302092325562</v>
          </cell>
          <cell r="AU1699">
            <v>11.793073863791298</v>
          </cell>
          <cell r="AV1699">
            <v>14.263722316306255</v>
          </cell>
          <cell r="AW1699">
            <v>12.105561258724364</v>
          </cell>
          <cell r="AX1699">
            <v>10.242049449424412</v>
          </cell>
          <cell r="AY1699">
            <v>13.969073068024317</v>
          </cell>
        </row>
        <row r="1700">
          <cell r="A1700">
            <v>41918</v>
          </cell>
          <cell r="AF1700">
            <v>17.019726880396206</v>
          </cell>
          <cell r="AG1700">
            <v>20.469360058004284</v>
          </cell>
          <cell r="AH1700">
            <v>17.881583490985356</v>
          </cell>
          <cell r="AI1700">
            <v>15.547864889645153</v>
          </cell>
          <cell r="AJ1700">
            <v>20.215302092325562</v>
          </cell>
          <cell r="AU1700">
            <v>11.744098432452672</v>
          </cell>
          <cell r="AV1700">
            <v>14.263722316306255</v>
          </cell>
          <cell r="AW1700">
            <v>12.105561258724364</v>
          </cell>
          <cell r="AX1700">
            <v>10.242049449424412</v>
          </cell>
          <cell r="AY1700">
            <v>13.969073068024317</v>
          </cell>
        </row>
        <row r="1701">
          <cell r="A1701">
            <v>41919</v>
          </cell>
          <cell r="AF1701">
            <v>16.749691368682246</v>
          </cell>
          <cell r="AG1701">
            <v>20.469360058004284</v>
          </cell>
          <cell r="AH1701">
            <v>17.881583490985356</v>
          </cell>
          <cell r="AI1701">
            <v>15.547864889645153</v>
          </cell>
          <cell r="AJ1701">
            <v>20.215302092325562</v>
          </cell>
          <cell r="AU1701">
            <v>11.588652820461714</v>
          </cell>
          <cell r="AV1701">
            <v>14.263722316306255</v>
          </cell>
          <cell r="AW1701">
            <v>12.105561258724364</v>
          </cell>
          <cell r="AX1701">
            <v>10.242049449424412</v>
          </cell>
          <cell r="AY1701">
            <v>13.969073068024317</v>
          </cell>
        </row>
        <row r="1702">
          <cell r="A1702">
            <v>41920</v>
          </cell>
          <cell r="AF1702">
            <v>16.923551171394962</v>
          </cell>
          <cell r="AG1702">
            <v>20.469360058004284</v>
          </cell>
          <cell r="AH1702">
            <v>17.881583490985356</v>
          </cell>
          <cell r="AI1702">
            <v>15.547864889645153</v>
          </cell>
          <cell r="AJ1702">
            <v>20.215302092325562</v>
          </cell>
          <cell r="AU1702">
            <v>11.688735003215266</v>
          </cell>
          <cell r="AV1702">
            <v>14.263722316306255</v>
          </cell>
          <cell r="AW1702">
            <v>12.105561258724364</v>
          </cell>
          <cell r="AX1702">
            <v>10.242049449424412</v>
          </cell>
          <cell r="AY1702">
            <v>13.969073068024317</v>
          </cell>
        </row>
        <row r="1703">
          <cell r="A1703">
            <v>41921</v>
          </cell>
          <cell r="AF1703">
            <v>16.660910234280266</v>
          </cell>
          <cell r="AG1703">
            <v>20.469360058004284</v>
          </cell>
          <cell r="AH1703">
            <v>17.881583490985356</v>
          </cell>
          <cell r="AI1703">
            <v>15.547864889645153</v>
          </cell>
          <cell r="AJ1703">
            <v>20.215302092325562</v>
          </cell>
          <cell r="AU1703">
            <v>11.537546069046792</v>
          </cell>
          <cell r="AV1703">
            <v>14.263722316306255</v>
          </cell>
          <cell r="AW1703">
            <v>12.105561258724364</v>
          </cell>
          <cell r="AX1703">
            <v>10.242049449424412</v>
          </cell>
          <cell r="AY1703">
            <v>13.969073068024317</v>
          </cell>
        </row>
        <row r="1704">
          <cell r="A1704">
            <v>41922</v>
          </cell>
          <cell r="AF1704">
            <v>16.62021935881787</v>
          </cell>
          <cell r="AG1704">
            <v>20.469360058004284</v>
          </cell>
          <cell r="AH1704">
            <v>17.881583490985356</v>
          </cell>
          <cell r="AI1704">
            <v>15.547864889645153</v>
          </cell>
          <cell r="AJ1704">
            <v>20.215302092325562</v>
          </cell>
          <cell r="AU1704">
            <v>11.537546069046792</v>
          </cell>
          <cell r="AV1704">
            <v>14.263722316306255</v>
          </cell>
          <cell r="AW1704">
            <v>12.105561258724364</v>
          </cell>
          <cell r="AX1704">
            <v>10.242049449424412</v>
          </cell>
          <cell r="AY1704">
            <v>13.969073068024317</v>
          </cell>
        </row>
        <row r="1705">
          <cell r="A1705">
            <v>41925</v>
          </cell>
          <cell r="AF1705">
            <v>16.468553637486167</v>
          </cell>
          <cell r="AG1705">
            <v>20.469360058004284</v>
          </cell>
          <cell r="AH1705">
            <v>17.881583490985356</v>
          </cell>
          <cell r="AI1705">
            <v>15.547864889645153</v>
          </cell>
          <cell r="AJ1705">
            <v>20.215302092325562</v>
          </cell>
          <cell r="AU1705">
            <v>11.426816229406924</v>
          </cell>
          <cell r="AV1705">
            <v>14.263722316306255</v>
          </cell>
          <cell r="AW1705">
            <v>12.105561258724364</v>
          </cell>
          <cell r="AX1705">
            <v>10.242049449424412</v>
          </cell>
          <cell r="AY1705">
            <v>13.969073068024317</v>
          </cell>
        </row>
        <row r="1706">
          <cell r="A1706">
            <v>41926</v>
          </cell>
          <cell r="AF1706">
            <v>16.605425400741421</v>
          </cell>
          <cell r="AG1706">
            <v>20.469360058004284</v>
          </cell>
          <cell r="AH1706">
            <v>17.881583490985356</v>
          </cell>
          <cell r="AI1706">
            <v>15.547864889645153</v>
          </cell>
          <cell r="AJ1706">
            <v>20.215302092325562</v>
          </cell>
          <cell r="AU1706">
            <v>11.50560629249326</v>
          </cell>
          <cell r="AV1706">
            <v>14.263722316306255</v>
          </cell>
          <cell r="AW1706">
            <v>12.105561258724364</v>
          </cell>
          <cell r="AX1706">
            <v>10.242049449424412</v>
          </cell>
          <cell r="AY1706">
            <v>13.969073068024317</v>
          </cell>
        </row>
        <row r="1707">
          <cell r="A1707">
            <v>41927</v>
          </cell>
          <cell r="AF1707">
            <v>16.912448581999154</v>
          </cell>
          <cell r="AG1707">
            <v>20.469360058004284</v>
          </cell>
          <cell r="AH1707">
            <v>17.881583490985356</v>
          </cell>
          <cell r="AI1707">
            <v>15.547864889645153</v>
          </cell>
          <cell r="AJ1707">
            <v>20.215302092325562</v>
          </cell>
          <cell r="AU1707">
            <v>11.682343811211068</v>
          </cell>
          <cell r="AV1707">
            <v>14.263722316306255</v>
          </cell>
          <cell r="AW1707">
            <v>12.105561258724364</v>
          </cell>
          <cell r="AX1707">
            <v>10.242049449424412</v>
          </cell>
          <cell r="AY1707">
            <v>13.969073068024317</v>
          </cell>
        </row>
        <row r="1708">
          <cell r="A1708">
            <v>41928</v>
          </cell>
          <cell r="AF1708">
            <v>16.568431812578652</v>
          </cell>
          <cell r="AG1708">
            <v>20.469360058004284</v>
          </cell>
          <cell r="AH1708">
            <v>17.881583490985356</v>
          </cell>
          <cell r="AI1708">
            <v>15.547864889645153</v>
          </cell>
          <cell r="AJ1708">
            <v>20.215302092325562</v>
          </cell>
          <cell r="AU1708">
            <v>11.484310978720627</v>
          </cell>
          <cell r="AV1708">
            <v>14.263722316306255</v>
          </cell>
          <cell r="AW1708">
            <v>12.105561258724364</v>
          </cell>
          <cell r="AX1708">
            <v>10.242049449424412</v>
          </cell>
          <cell r="AY1708">
            <v>13.969073068024317</v>
          </cell>
        </row>
        <row r="1709">
          <cell r="A1709">
            <v>41929</v>
          </cell>
          <cell r="AF1709">
            <v>16.757085573367821</v>
          </cell>
          <cell r="AG1709">
            <v>20.469360058004284</v>
          </cell>
          <cell r="AH1709">
            <v>17.881583490985356</v>
          </cell>
          <cell r="AI1709">
            <v>15.547864889645153</v>
          </cell>
          <cell r="AJ1709">
            <v>20.215302092325562</v>
          </cell>
          <cell r="AU1709">
            <v>11.484310978720627</v>
          </cell>
          <cell r="AV1709">
            <v>14.263722316306255</v>
          </cell>
          <cell r="AW1709">
            <v>12.105561258724364</v>
          </cell>
          <cell r="AX1709">
            <v>10.242049449424412</v>
          </cell>
          <cell r="AY1709">
            <v>13.969073068024317</v>
          </cell>
        </row>
        <row r="1710">
          <cell r="A1710">
            <v>41932</v>
          </cell>
          <cell r="AF1710">
            <v>16.6081113589591</v>
          </cell>
          <cell r="AG1710">
            <v>20.469360058004284</v>
          </cell>
          <cell r="AH1710">
            <v>17.881583490985356</v>
          </cell>
          <cell r="AI1710">
            <v>15.547864889645153</v>
          </cell>
          <cell r="AJ1710">
            <v>20.215302092325562</v>
          </cell>
          <cell r="AU1710">
            <v>11.544449728519453</v>
          </cell>
          <cell r="AV1710">
            <v>14.263722316306255</v>
          </cell>
          <cell r="AW1710">
            <v>12.105561258724364</v>
          </cell>
          <cell r="AX1710">
            <v>10.242049449424412</v>
          </cell>
          <cell r="AY1710">
            <v>13.969073068024317</v>
          </cell>
        </row>
        <row r="1711">
          <cell r="A1711">
            <v>41933</v>
          </cell>
          <cell r="AF1711">
            <v>17.055379582927323</v>
          </cell>
          <cell r="AG1711">
            <v>20.469360058004284</v>
          </cell>
          <cell r="AH1711">
            <v>17.881583490985356</v>
          </cell>
          <cell r="AI1711">
            <v>15.547864889645153</v>
          </cell>
          <cell r="AJ1711">
            <v>20.215302092325562</v>
          </cell>
          <cell r="AU1711">
            <v>11.796105498710897</v>
          </cell>
          <cell r="AV1711">
            <v>14.263722316306255</v>
          </cell>
          <cell r="AW1711">
            <v>12.105561258724364</v>
          </cell>
          <cell r="AX1711">
            <v>10.242049449424412</v>
          </cell>
          <cell r="AY1711">
            <v>13.969073068024317</v>
          </cell>
        </row>
        <row r="1712">
          <cell r="A1712">
            <v>41934</v>
          </cell>
          <cell r="AF1712">
            <v>16.937670697676047</v>
          </cell>
          <cell r="AG1712">
            <v>20.469360058004284</v>
          </cell>
          <cell r="AH1712">
            <v>17.881583490985356</v>
          </cell>
          <cell r="AI1712">
            <v>15.547864889645153</v>
          </cell>
          <cell r="AJ1712">
            <v>20.215302092325562</v>
          </cell>
          <cell r="AU1712">
            <v>11.707221335967814</v>
          </cell>
          <cell r="AV1712">
            <v>14.263722316306255</v>
          </cell>
          <cell r="AW1712">
            <v>12.105561258724364</v>
          </cell>
          <cell r="AX1712">
            <v>10.242049449424412</v>
          </cell>
          <cell r="AY1712">
            <v>13.969073068024317</v>
          </cell>
        </row>
        <row r="1713">
          <cell r="A1713">
            <v>41935</v>
          </cell>
          <cell r="AF1713">
            <v>17.093949023257458</v>
          </cell>
          <cell r="AG1713">
            <v>20.469360058004284</v>
          </cell>
          <cell r="AH1713">
            <v>17.881583490985356</v>
          </cell>
          <cell r="AI1713">
            <v>15.547864889645153</v>
          </cell>
          <cell r="AJ1713">
            <v>20.215302092325562</v>
          </cell>
          <cell r="AU1713">
            <v>11.797174229848821</v>
          </cell>
          <cell r="AV1713">
            <v>14.263722316306255</v>
          </cell>
          <cell r="AW1713">
            <v>12.105561258724364</v>
          </cell>
          <cell r="AX1713">
            <v>10.242049449424412</v>
          </cell>
          <cell r="AY1713">
            <v>13.969073068024317</v>
          </cell>
        </row>
        <row r="1714">
          <cell r="A1714">
            <v>41936</v>
          </cell>
          <cell r="AF1714">
            <v>17.168372093024907</v>
          </cell>
          <cell r="AG1714">
            <v>20.469360058004284</v>
          </cell>
          <cell r="AH1714">
            <v>17.881583490985356</v>
          </cell>
          <cell r="AI1714">
            <v>15.547864889645153</v>
          </cell>
          <cell r="AJ1714">
            <v>20.215302092325562</v>
          </cell>
          <cell r="AU1714">
            <v>11.840011715291439</v>
          </cell>
          <cell r="AV1714">
            <v>14.263722316306255</v>
          </cell>
          <cell r="AW1714">
            <v>12.105561258724364</v>
          </cell>
          <cell r="AX1714">
            <v>10.242049449424412</v>
          </cell>
          <cell r="AY1714">
            <v>13.969073068024317</v>
          </cell>
        </row>
        <row r="1715">
          <cell r="A1715">
            <v>41939</v>
          </cell>
          <cell r="AF1715">
            <v>17.387463388529468</v>
          </cell>
          <cell r="AG1715">
            <v>20.469360058004284</v>
          </cell>
          <cell r="AH1715">
            <v>17.881583490985356</v>
          </cell>
          <cell r="AI1715">
            <v>15.547864889645153</v>
          </cell>
          <cell r="AJ1715">
            <v>20.215302092325562</v>
          </cell>
          <cell r="AU1715">
            <v>11.966373858868836</v>
          </cell>
          <cell r="AV1715">
            <v>14.263722316306255</v>
          </cell>
          <cell r="AW1715">
            <v>12.105561258724364</v>
          </cell>
          <cell r="AX1715">
            <v>10.242049449424412</v>
          </cell>
          <cell r="AY1715">
            <v>13.969073068024317</v>
          </cell>
        </row>
        <row r="1716">
          <cell r="A1716">
            <v>41940</v>
          </cell>
          <cell r="AF1716">
            <v>17.703731067924938</v>
          </cell>
          <cell r="AG1716">
            <v>20.469360058004284</v>
          </cell>
          <cell r="AH1716">
            <v>17.881583490985356</v>
          </cell>
          <cell r="AI1716">
            <v>15.547864889645153</v>
          </cell>
          <cell r="AJ1716">
            <v>20.215302092325562</v>
          </cell>
          <cell r="AU1716">
            <v>12.148420321525354</v>
          </cell>
          <cell r="AV1716">
            <v>14.263722316306255</v>
          </cell>
          <cell r="AW1716">
            <v>12.105561258724364</v>
          </cell>
          <cell r="AX1716">
            <v>10.242049449424412</v>
          </cell>
          <cell r="AY1716">
            <v>13.969073068024317</v>
          </cell>
        </row>
        <row r="1717">
          <cell r="A1717">
            <v>41941</v>
          </cell>
          <cell r="AF1717">
            <v>18.434405787479061</v>
          </cell>
          <cell r="AG1717">
            <v>20.469360058004284</v>
          </cell>
          <cell r="AH1717">
            <v>17.881583490985356</v>
          </cell>
          <cell r="AI1717">
            <v>15.547864889645153</v>
          </cell>
          <cell r="AJ1717">
            <v>20.215302092325562</v>
          </cell>
          <cell r="AU1717">
            <v>12.590794097222116</v>
          </cell>
          <cell r="AV1717">
            <v>14.263722316306255</v>
          </cell>
          <cell r="AW1717">
            <v>12.105561258724364</v>
          </cell>
          <cell r="AX1717">
            <v>10.242049449424412</v>
          </cell>
          <cell r="AY1717">
            <v>13.969073068024317</v>
          </cell>
        </row>
        <row r="1718">
          <cell r="A1718">
            <v>41942</v>
          </cell>
          <cell r="AF1718">
            <v>18.672878657970106</v>
          </cell>
          <cell r="AG1718">
            <v>20.469360058004284</v>
          </cell>
          <cell r="AH1718">
            <v>17.881583490985356</v>
          </cell>
          <cell r="AI1718">
            <v>15.547864889645153</v>
          </cell>
          <cell r="AJ1718">
            <v>20.215302092325562</v>
          </cell>
          <cell r="AU1718">
            <v>12.740273325374657</v>
          </cell>
          <cell r="AV1718">
            <v>14.263722316306255</v>
          </cell>
          <cell r="AW1718">
            <v>12.105561258724364</v>
          </cell>
          <cell r="AX1718">
            <v>10.242049449424412</v>
          </cell>
          <cell r="AY1718">
            <v>13.969073068024317</v>
          </cell>
        </row>
        <row r="1719">
          <cell r="A1719">
            <v>41943</v>
          </cell>
          <cell r="AF1719">
            <v>18.926370922648605</v>
          </cell>
          <cell r="AG1719">
            <v>20.469360058004284</v>
          </cell>
          <cell r="AH1719">
            <v>17.881583490985356</v>
          </cell>
          <cell r="AI1719">
            <v>15.547864889645153</v>
          </cell>
          <cell r="AJ1719">
            <v>20.215302092325562</v>
          </cell>
          <cell r="AU1719">
            <v>12.733801732712205</v>
          </cell>
          <cell r="AV1719">
            <v>14.263722316306255</v>
          </cell>
          <cell r="AW1719">
            <v>12.105561258724364</v>
          </cell>
          <cell r="AX1719">
            <v>10.242049449424412</v>
          </cell>
          <cell r="AY1719">
            <v>13.969073068024317</v>
          </cell>
        </row>
        <row r="1720">
          <cell r="A1720">
            <v>41946</v>
          </cell>
          <cell r="AF1720">
            <v>18.786447649889482</v>
          </cell>
          <cell r="AG1720">
            <v>20.469360058004284</v>
          </cell>
          <cell r="AH1720">
            <v>17.881583490985356</v>
          </cell>
          <cell r="AI1720">
            <v>15.547864889645153</v>
          </cell>
          <cell r="AJ1720">
            <v>20.215302092325562</v>
          </cell>
          <cell r="AU1720">
            <v>12.536619355807725</v>
          </cell>
          <cell r="AV1720">
            <v>14.263722316306255</v>
          </cell>
          <cell r="AW1720">
            <v>12.105561258724364</v>
          </cell>
          <cell r="AX1720">
            <v>10.242049449424412</v>
          </cell>
          <cell r="AY1720">
            <v>13.969073068024317</v>
          </cell>
        </row>
        <row r="1721">
          <cell r="A1721">
            <v>41947</v>
          </cell>
          <cell r="AF1721">
            <v>18.808675010645093</v>
          </cell>
          <cell r="AG1721">
            <v>20.469360058004284</v>
          </cell>
          <cell r="AH1721">
            <v>17.881583490985356</v>
          </cell>
          <cell r="AI1721">
            <v>15.547864889645153</v>
          </cell>
          <cell r="AJ1721">
            <v>20.215302092325562</v>
          </cell>
          <cell r="AU1721">
            <v>12.549460202368742</v>
          </cell>
          <cell r="AV1721">
            <v>14.263722316306255</v>
          </cell>
          <cell r="AW1721">
            <v>12.105561258724364</v>
          </cell>
          <cell r="AX1721">
            <v>10.242049449424412</v>
          </cell>
          <cell r="AY1721">
            <v>13.969073068024317</v>
          </cell>
        </row>
        <row r="1722">
          <cell r="A1722">
            <v>41948</v>
          </cell>
          <cell r="AF1722">
            <v>19.123829211819974</v>
          </cell>
          <cell r="AG1722">
            <v>20.469360058004284</v>
          </cell>
          <cell r="AH1722">
            <v>17.881583490985356</v>
          </cell>
          <cell r="AI1722">
            <v>15.547864889645153</v>
          </cell>
          <cell r="AJ1722">
            <v>20.215302092325562</v>
          </cell>
          <cell r="AU1722">
            <v>12.731379543379152</v>
          </cell>
          <cell r="AV1722">
            <v>14.263722316306255</v>
          </cell>
          <cell r="AW1722">
            <v>12.105561258724364</v>
          </cell>
          <cell r="AX1722">
            <v>10.242049449424412</v>
          </cell>
          <cell r="AY1722">
            <v>13.969073068024317</v>
          </cell>
        </row>
        <row r="1723">
          <cell r="A1723">
            <v>41949</v>
          </cell>
          <cell r="AF1723">
            <v>19.312773918683011</v>
          </cell>
          <cell r="AG1723">
            <v>20.469360058004284</v>
          </cell>
          <cell r="AH1723">
            <v>17.881583490985356</v>
          </cell>
          <cell r="AI1723">
            <v>15.547864889645153</v>
          </cell>
          <cell r="AJ1723">
            <v>20.215302092325562</v>
          </cell>
          <cell r="AU1723">
            <v>12.840532303700114</v>
          </cell>
          <cell r="AV1723">
            <v>14.263722316306255</v>
          </cell>
          <cell r="AW1723">
            <v>12.105561258724364</v>
          </cell>
          <cell r="AX1723">
            <v>10.242049449424412</v>
          </cell>
          <cell r="AY1723">
            <v>13.969073068024317</v>
          </cell>
        </row>
        <row r="1724">
          <cell r="A1724">
            <v>41950</v>
          </cell>
          <cell r="AF1724">
            <v>18.98675558025564</v>
          </cell>
          <cell r="AG1724">
            <v>20.469360058004284</v>
          </cell>
          <cell r="AH1724">
            <v>17.881583490985356</v>
          </cell>
          <cell r="AI1724">
            <v>15.547864889645153</v>
          </cell>
          <cell r="AJ1724">
            <v>20.215302092325562</v>
          </cell>
          <cell r="AU1724">
            <v>12.840532303700114</v>
          </cell>
          <cell r="AV1724">
            <v>14.263722316306255</v>
          </cell>
          <cell r="AW1724">
            <v>12.105561258724364</v>
          </cell>
          <cell r="AX1724">
            <v>10.242049449424412</v>
          </cell>
          <cell r="AY1724">
            <v>13.969073068024317</v>
          </cell>
        </row>
        <row r="1725">
          <cell r="A1725">
            <v>41953</v>
          </cell>
          <cell r="AF1725">
            <v>19.005280726129495</v>
          </cell>
          <cell r="AG1725">
            <v>20.469360058004284</v>
          </cell>
          <cell r="AH1725">
            <v>17.881583490985356</v>
          </cell>
          <cell r="AI1725">
            <v>15.547864889645153</v>
          </cell>
          <cell r="AJ1725">
            <v>20.215302092325562</v>
          </cell>
          <cell r="AU1725">
            <v>12.662894457663752</v>
          </cell>
          <cell r="AV1725">
            <v>14.263722316306255</v>
          </cell>
          <cell r="AW1725">
            <v>12.105561258724364</v>
          </cell>
          <cell r="AX1725">
            <v>10.242049449424412</v>
          </cell>
          <cell r="AY1725">
            <v>13.969073068024317</v>
          </cell>
        </row>
        <row r="1726">
          <cell r="A1726">
            <v>41954</v>
          </cell>
          <cell r="AF1726">
            <v>19.138651106790803</v>
          </cell>
          <cell r="AG1726">
            <v>20.469360058004284</v>
          </cell>
          <cell r="AH1726">
            <v>17.881583490985356</v>
          </cell>
          <cell r="AI1726">
            <v>15.547864889645153</v>
          </cell>
          <cell r="AJ1726">
            <v>20.215302092325562</v>
          </cell>
          <cell r="AU1726">
            <v>12.739942105284767</v>
          </cell>
          <cell r="AV1726">
            <v>14.263722316306255</v>
          </cell>
          <cell r="AW1726">
            <v>12.105561258724364</v>
          </cell>
          <cell r="AX1726">
            <v>10.242049449424412</v>
          </cell>
          <cell r="AY1726">
            <v>13.969073068024317</v>
          </cell>
        </row>
        <row r="1727">
          <cell r="A1727">
            <v>41955</v>
          </cell>
          <cell r="AF1727">
            <v>19.246085764566121</v>
          </cell>
          <cell r="AG1727">
            <v>20.469360058004284</v>
          </cell>
          <cell r="AH1727">
            <v>17.881583490985356</v>
          </cell>
          <cell r="AI1727">
            <v>15.547864889645153</v>
          </cell>
          <cell r="AJ1727">
            <v>20.215302092325562</v>
          </cell>
          <cell r="AU1727">
            <v>12.802006767719659</v>
          </cell>
          <cell r="AV1727">
            <v>14.263722316306255</v>
          </cell>
          <cell r="AW1727">
            <v>12.105561258724364</v>
          </cell>
          <cell r="AX1727">
            <v>10.242049449424412</v>
          </cell>
          <cell r="AY1727">
            <v>13.969073068024317</v>
          </cell>
        </row>
        <row r="1728">
          <cell r="A1728">
            <v>41956</v>
          </cell>
          <cell r="AF1728">
            <v>19.21274465129391</v>
          </cell>
          <cell r="AG1728">
            <v>20.469360058004284</v>
          </cell>
          <cell r="AH1728">
            <v>17.881583490985356</v>
          </cell>
          <cell r="AI1728">
            <v>15.547864889645153</v>
          </cell>
          <cell r="AJ1728">
            <v>20.215302092325562</v>
          </cell>
          <cell r="AU1728">
            <v>12.782745711899375</v>
          </cell>
          <cell r="AV1728">
            <v>14.263722316306255</v>
          </cell>
          <cell r="AW1728">
            <v>12.105561258724364</v>
          </cell>
          <cell r="AX1728">
            <v>10.242049449424412</v>
          </cell>
          <cell r="AY1728">
            <v>13.969073068024317</v>
          </cell>
        </row>
        <row r="1729">
          <cell r="A1729">
            <v>41957</v>
          </cell>
          <cell r="AF1729">
            <v>19.327590627027924</v>
          </cell>
          <cell r="AG1729">
            <v>20.469360058004284</v>
          </cell>
          <cell r="AH1729">
            <v>17.881583490985356</v>
          </cell>
          <cell r="AI1729">
            <v>15.547864889645153</v>
          </cell>
          <cell r="AJ1729">
            <v>20.215302092325562</v>
          </cell>
          <cell r="AU1729">
            <v>12.849091869308319</v>
          </cell>
          <cell r="AV1729">
            <v>14.263722316306255</v>
          </cell>
          <cell r="AW1729">
            <v>12.105561258724364</v>
          </cell>
          <cell r="AX1729">
            <v>10.242049449424412</v>
          </cell>
          <cell r="AY1729">
            <v>13.969073068024317</v>
          </cell>
        </row>
        <row r="1730">
          <cell r="A1730">
            <v>41960</v>
          </cell>
          <cell r="AF1730">
            <v>19.490599611004967</v>
          </cell>
          <cell r="AG1730">
            <v>20.469360058004284</v>
          </cell>
          <cell r="AH1730">
            <v>17.881583490985356</v>
          </cell>
          <cell r="AI1730">
            <v>15.547864889645153</v>
          </cell>
          <cell r="AJ1730">
            <v>20.215302092325562</v>
          </cell>
          <cell r="AU1730">
            <v>12.943261644443155</v>
          </cell>
          <cell r="AV1730">
            <v>14.263722316306255</v>
          </cell>
          <cell r="AW1730">
            <v>12.105561258724364</v>
          </cell>
          <cell r="AX1730">
            <v>10.242049449424412</v>
          </cell>
          <cell r="AY1730">
            <v>13.969073068024317</v>
          </cell>
        </row>
        <row r="1731">
          <cell r="A1731">
            <v>41961</v>
          </cell>
          <cell r="AF1731">
            <v>19.675836250812342</v>
          </cell>
          <cell r="AG1731">
            <v>20.469360058004284</v>
          </cell>
          <cell r="AH1731">
            <v>17.881583490985356</v>
          </cell>
          <cell r="AI1731">
            <v>15.547864889645153</v>
          </cell>
          <cell r="AJ1731">
            <v>20.215302092325562</v>
          </cell>
          <cell r="AU1731">
            <v>13.050272266139009</v>
          </cell>
          <cell r="AV1731">
            <v>14.263722316306255</v>
          </cell>
          <cell r="AW1731">
            <v>12.105561258724364</v>
          </cell>
          <cell r="AX1731">
            <v>10.242049449424412</v>
          </cell>
          <cell r="AY1731">
            <v>13.969073068024317</v>
          </cell>
        </row>
        <row r="1732">
          <cell r="A1732">
            <v>41962</v>
          </cell>
          <cell r="AF1732">
            <v>19.727702139485125</v>
          </cell>
          <cell r="AG1732">
            <v>20.469360058004284</v>
          </cell>
          <cell r="AH1732">
            <v>17.881583490985356</v>
          </cell>
          <cell r="AI1732">
            <v>15.547864889645153</v>
          </cell>
          <cell r="AJ1732">
            <v>20.215302092325562</v>
          </cell>
          <cell r="AU1732">
            <v>13.080235026192605</v>
          </cell>
          <cell r="AV1732">
            <v>14.263722316306255</v>
          </cell>
          <cell r="AW1732">
            <v>12.105561258724364</v>
          </cell>
          <cell r="AX1732">
            <v>10.242049449424412</v>
          </cell>
          <cell r="AY1732">
            <v>13.969073068024317</v>
          </cell>
        </row>
        <row r="1733">
          <cell r="A1733">
            <v>41963</v>
          </cell>
          <cell r="AF1733">
            <v>19.824023339818563</v>
          </cell>
          <cell r="AG1733">
            <v>20.469360058004284</v>
          </cell>
          <cell r="AH1733">
            <v>17.881583490985356</v>
          </cell>
          <cell r="AI1733">
            <v>15.547864889645153</v>
          </cell>
          <cell r="AJ1733">
            <v>20.215302092325562</v>
          </cell>
          <cell r="AU1733">
            <v>13.135879479368231</v>
          </cell>
          <cell r="AV1733">
            <v>14.263722316306255</v>
          </cell>
          <cell r="AW1733">
            <v>12.105561258724364</v>
          </cell>
          <cell r="AX1733">
            <v>10.242049449424412</v>
          </cell>
          <cell r="AY1733">
            <v>13.969073068024317</v>
          </cell>
        </row>
        <row r="1734">
          <cell r="A1734">
            <v>41964</v>
          </cell>
          <cell r="AF1734">
            <v>19.968507548395031</v>
          </cell>
          <cell r="AG1734">
            <v>20.469360058004284</v>
          </cell>
          <cell r="AH1734">
            <v>17.881583490985356</v>
          </cell>
          <cell r="AI1734">
            <v>15.547864889645153</v>
          </cell>
          <cell r="AJ1734">
            <v>20.215302092325562</v>
          </cell>
          <cell r="AU1734">
            <v>13.135879479368231</v>
          </cell>
          <cell r="AV1734">
            <v>14.263722316306255</v>
          </cell>
          <cell r="AW1734">
            <v>12.105561258724364</v>
          </cell>
          <cell r="AX1734">
            <v>10.242049449424412</v>
          </cell>
          <cell r="AY1734">
            <v>13.969073068024317</v>
          </cell>
        </row>
        <row r="1735">
          <cell r="A1735">
            <v>41967</v>
          </cell>
          <cell r="AF1735">
            <v>20.183382791518142</v>
          </cell>
          <cell r="AG1735">
            <v>20.469360058004284</v>
          </cell>
          <cell r="AH1735">
            <v>17.881583490985356</v>
          </cell>
          <cell r="AI1735">
            <v>15.547864889645153</v>
          </cell>
          <cell r="AJ1735">
            <v>20.215302092325562</v>
          </cell>
          <cell r="AU1735">
            <v>13.343480299479427</v>
          </cell>
          <cell r="AV1735">
            <v>14.263722316306255</v>
          </cell>
          <cell r="AW1735">
            <v>12.105561258724364</v>
          </cell>
          <cell r="AX1735">
            <v>10.242049449424412</v>
          </cell>
          <cell r="AY1735">
            <v>13.969073068024317</v>
          </cell>
        </row>
        <row r="1736">
          <cell r="A1736">
            <v>41968</v>
          </cell>
          <cell r="AF1736">
            <v>20.164858016117567</v>
          </cell>
          <cell r="AG1736">
            <v>20.469360058004284</v>
          </cell>
          <cell r="AH1736">
            <v>17.881583490985356</v>
          </cell>
          <cell r="AI1736">
            <v>15.547864889645153</v>
          </cell>
          <cell r="AJ1736">
            <v>20.215302092325562</v>
          </cell>
          <cell r="AU1736">
            <v>13.332778595246115</v>
          </cell>
          <cell r="AV1736">
            <v>14.263722316306255</v>
          </cell>
          <cell r="AW1736">
            <v>12.105561258724364</v>
          </cell>
          <cell r="AX1736">
            <v>10.242049449424412</v>
          </cell>
          <cell r="AY1736">
            <v>13.969073068024317</v>
          </cell>
        </row>
        <row r="1737">
          <cell r="A1737">
            <v>41969</v>
          </cell>
          <cell r="AF1737">
            <v>20.198205056962248</v>
          </cell>
          <cell r="AG1737">
            <v>20.469360058004284</v>
          </cell>
          <cell r="AH1737">
            <v>17.881583490985356</v>
          </cell>
          <cell r="AI1737">
            <v>15.547864889645153</v>
          </cell>
          <cell r="AJ1737">
            <v>20.215302092325562</v>
          </cell>
          <cell r="AU1737">
            <v>13.351432326643446</v>
          </cell>
          <cell r="AV1737">
            <v>14.263722316306255</v>
          </cell>
          <cell r="AW1737">
            <v>12.105561258724364</v>
          </cell>
          <cell r="AX1737">
            <v>10.242049449424412</v>
          </cell>
          <cell r="AY1737">
            <v>13.969073068024317</v>
          </cell>
        </row>
        <row r="1738">
          <cell r="A1738">
            <v>41970</v>
          </cell>
          <cell r="AF1738">
            <v>20.198205056962248</v>
          </cell>
          <cell r="AG1738">
            <v>20.469360058004284</v>
          </cell>
          <cell r="AH1738">
            <v>17.881583490985356</v>
          </cell>
          <cell r="AI1738">
            <v>15.547864889645153</v>
          </cell>
          <cell r="AJ1738">
            <v>20.215302092325562</v>
          </cell>
          <cell r="AU1738">
            <v>13.351432326643446</v>
          </cell>
          <cell r="AV1738">
            <v>14.263722316306255</v>
          </cell>
          <cell r="AW1738">
            <v>12.105561258724364</v>
          </cell>
          <cell r="AX1738">
            <v>10.242049449424412</v>
          </cell>
          <cell r="AY1738">
            <v>13.969073068024317</v>
          </cell>
        </row>
        <row r="1739">
          <cell r="A1739">
            <v>41971</v>
          </cell>
          <cell r="AF1739">
            <v>20.368619431325516</v>
          </cell>
          <cell r="AG1739">
            <v>20.469360058004284</v>
          </cell>
          <cell r="AH1739">
            <v>17.881583490985356</v>
          </cell>
          <cell r="AI1739">
            <v>15.547864889645153</v>
          </cell>
          <cell r="AJ1739">
            <v>20.215302092325562</v>
          </cell>
          <cell r="AU1739">
            <v>13.449875669213966</v>
          </cell>
          <cell r="AV1739">
            <v>14.263722316306255</v>
          </cell>
          <cell r="AW1739">
            <v>12.105561258724364</v>
          </cell>
          <cell r="AX1739">
            <v>10.242049449424412</v>
          </cell>
          <cell r="AY1739">
            <v>13.969073068024317</v>
          </cell>
        </row>
        <row r="1740">
          <cell r="A1740">
            <v>41974</v>
          </cell>
          <cell r="AF1740">
            <v>20.154641384388807</v>
          </cell>
          <cell r="AG1740">
            <v>20.469360058004284</v>
          </cell>
          <cell r="AH1740">
            <v>17.881583490985356</v>
          </cell>
          <cell r="AI1740">
            <v>15.547864889645153</v>
          </cell>
          <cell r="AJ1740">
            <v>20.215302092325562</v>
          </cell>
          <cell r="AU1740">
            <v>13.342452280883785</v>
          </cell>
          <cell r="AV1740">
            <v>14.263722316306255</v>
          </cell>
          <cell r="AW1740">
            <v>12.105561258724364</v>
          </cell>
          <cell r="AX1740">
            <v>10.242049449424412</v>
          </cell>
          <cell r="AY1740">
            <v>13.969073068024317</v>
          </cell>
        </row>
        <row r="1741">
          <cell r="A1741">
            <v>41975</v>
          </cell>
          <cell r="AF1741">
            <v>20.353460603829159</v>
          </cell>
          <cell r="AG1741">
            <v>20.469360058004284</v>
          </cell>
          <cell r="AH1741">
            <v>17.881583490985356</v>
          </cell>
          <cell r="AI1741">
            <v>15.547864889645153</v>
          </cell>
          <cell r="AJ1741">
            <v>20.215302092325562</v>
          </cell>
          <cell r="AU1741">
            <v>13.457533415856899</v>
          </cell>
          <cell r="AV1741">
            <v>14.263722316306255</v>
          </cell>
          <cell r="AW1741">
            <v>12.105561258724364</v>
          </cell>
          <cell r="AX1741">
            <v>10.242049449424412</v>
          </cell>
          <cell r="AY1741">
            <v>13.969073068024317</v>
          </cell>
        </row>
        <row r="1742">
          <cell r="A1742">
            <v>41976</v>
          </cell>
          <cell r="AF1742">
            <v>20.489688512518409</v>
          </cell>
          <cell r="AG1742">
            <v>20.469360058004284</v>
          </cell>
          <cell r="AH1742">
            <v>17.881583490985356</v>
          </cell>
          <cell r="AI1742">
            <v>15.547864889645153</v>
          </cell>
          <cell r="AJ1742">
            <v>20.215302092325562</v>
          </cell>
          <cell r="AU1742">
            <v>13.536385261222263</v>
          </cell>
          <cell r="AV1742">
            <v>14.263722316306255</v>
          </cell>
          <cell r="AW1742">
            <v>12.105561258724364</v>
          </cell>
          <cell r="AX1742">
            <v>10.242049449424412</v>
          </cell>
          <cell r="AY1742">
            <v>13.969073068024317</v>
          </cell>
        </row>
        <row r="1743">
          <cell r="A1743">
            <v>41977</v>
          </cell>
          <cell r="AF1743">
            <v>20.474963549337257</v>
          </cell>
          <cell r="AG1743">
            <v>20.469360058004284</v>
          </cell>
          <cell r="AH1743">
            <v>17.881583490985356</v>
          </cell>
          <cell r="AI1743">
            <v>15.547864889645153</v>
          </cell>
          <cell r="AJ1743">
            <v>20.215302092325562</v>
          </cell>
          <cell r="AU1743">
            <v>13.527862114012983</v>
          </cell>
          <cell r="AV1743">
            <v>14.263722316306255</v>
          </cell>
          <cell r="AW1743">
            <v>12.105561258724364</v>
          </cell>
          <cell r="AX1743">
            <v>10.242049449424412</v>
          </cell>
          <cell r="AY1743">
            <v>13.969073068024317</v>
          </cell>
        </row>
        <row r="1744">
          <cell r="A1744">
            <v>41978</v>
          </cell>
          <cell r="AF1744">
            <v>20.62775920471281</v>
          </cell>
          <cell r="AG1744">
            <v>20.469360058004284</v>
          </cell>
          <cell r="AH1744">
            <v>17.881583490985356</v>
          </cell>
          <cell r="AI1744">
            <v>15.547864889645153</v>
          </cell>
          <cell r="AJ1744">
            <v>20.215302092325562</v>
          </cell>
          <cell r="AU1744">
            <v>13.527862114012983</v>
          </cell>
          <cell r="AV1744">
            <v>14.263722316306255</v>
          </cell>
          <cell r="AW1744">
            <v>12.105561258724364</v>
          </cell>
          <cell r="AX1744">
            <v>10.242049449424412</v>
          </cell>
          <cell r="AY1744">
            <v>13.969073068024317</v>
          </cell>
        </row>
        <row r="1745">
          <cell r="A1745">
            <v>41981</v>
          </cell>
          <cell r="AF1745">
            <v>20.487851620029453</v>
          </cell>
          <cell r="AG1745">
            <v>20.469360058004284</v>
          </cell>
          <cell r="AH1745">
            <v>17.881583490985356</v>
          </cell>
          <cell r="AI1745">
            <v>15.547864889645153</v>
          </cell>
          <cell r="AJ1745">
            <v>20.215302092325562</v>
          </cell>
          <cell r="AU1745">
            <v>13.535322025620355</v>
          </cell>
          <cell r="AV1745">
            <v>14.263722316306255</v>
          </cell>
          <cell r="AW1745">
            <v>12.105561258724364</v>
          </cell>
          <cell r="AX1745">
            <v>10.242049449424412</v>
          </cell>
          <cell r="AY1745">
            <v>13.969073068024317</v>
          </cell>
        </row>
        <row r="1746">
          <cell r="A1746">
            <v>41982</v>
          </cell>
          <cell r="AF1746">
            <v>20.36082621502209</v>
          </cell>
          <cell r="AG1746">
            <v>20.469360058004284</v>
          </cell>
          <cell r="AH1746">
            <v>17.881583490985356</v>
          </cell>
          <cell r="AI1746">
            <v>15.547864889645153</v>
          </cell>
          <cell r="AJ1746">
            <v>20.215302092325562</v>
          </cell>
          <cell r="AU1746">
            <v>13.461796800947335</v>
          </cell>
          <cell r="AV1746">
            <v>14.263722316306255</v>
          </cell>
          <cell r="AW1746">
            <v>12.105561258724364</v>
          </cell>
          <cell r="AX1746">
            <v>10.242049449424412</v>
          </cell>
          <cell r="AY1746">
            <v>13.969073068024317</v>
          </cell>
        </row>
        <row r="1747">
          <cell r="A1747">
            <v>41983</v>
          </cell>
          <cell r="AF1747">
            <v>19.919001104565535</v>
          </cell>
          <cell r="AG1747">
            <v>20.469360058004284</v>
          </cell>
          <cell r="AH1747">
            <v>17.881583490985356</v>
          </cell>
          <cell r="AI1747">
            <v>15.547864889645153</v>
          </cell>
          <cell r="AJ1747">
            <v>20.215302092325562</v>
          </cell>
          <cell r="AU1747">
            <v>13.206058269662051</v>
          </cell>
          <cell r="AV1747">
            <v>14.263722316306255</v>
          </cell>
          <cell r="AW1747">
            <v>12.105561258724364</v>
          </cell>
          <cell r="AX1747">
            <v>10.242049449424412</v>
          </cell>
          <cell r="AY1747">
            <v>13.969073068024317</v>
          </cell>
        </row>
        <row r="1748">
          <cell r="A1748">
            <v>41984</v>
          </cell>
          <cell r="AF1748">
            <v>20.047863402061857</v>
          </cell>
          <cell r="AG1748">
            <v>20.469360058004284</v>
          </cell>
          <cell r="AH1748">
            <v>17.881583490985356</v>
          </cell>
          <cell r="AI1748">
            <v>15.547864889645153</v>
          </cell>
          <cell r="AJ1748">
            <v>20.215302092325562</v>
          </cell>
          <cell r="AU1748">
            <v>13.280646729936985</v>
          </cell>
          <cell r="AV1748">
            <v>14.263722316306255</v>
          </cell>
          <cell r="AW1748">
            <v>12.105561258724364</v>
          </cell>
          <cell r="AX1748">
            <v>10.242049449424412</v>
          </cell>
          <cell r="AY1748">
            <v>13.969073068024317</v>
          </cell>
        </row>
        <row r="1749">
          <cell r="A1749">
            <v>41985</v>
          </cell>
          <cell r="AF1749">
            <v>19.959496318114873</v>
          </cell>
          <cell r="AG1749">
            <v>20.469360058004284</v>
          </cell>
          <cell r="AH1749">
            <v>17.881583490985356</v>
          </cell>
          <cell r="AI1749">
            <v>15.547864889645153</v>
          </cell>
          <cell r="AJ1749">
            <v>20.215302092325562</v>
          </cell>
          <cell r="AU1749">
            <v>13.280646729936985</v>
          </cell>
          <cell r="AV1749">
            <v>14.263722316306255</v>
          </cell>
          <cell r="AW1749">
            <v>12.105561258724364</v>
          </cell>
          <cell r="AX1749">
            <v>10.242049449424412</v>
          </cell>
          <cell r="AY1749">
            <v>13.969073068024317</v>
          </cell>
        </row>
        <row r="1750">
          <cell r="A1750">
            <v>41988</v>
          </cell>
          <cell r="AF1750">
            <v>19.661837043472499</v>
          </cell>
          <cell r="AG1750">
            <v>20.469360058004284</v>
          </cell>
          <cell r="AH1750">
            <v>17.881583490985356</v>
          </cell>
          <cell r="AI1750">
            <v>15.547864889645153</v>
          </cell>
          <cell r="AJ1750">
            <v>20.215302092325562</v>
          </cell>
          <cell r="AU1750">
            <v>13.059007607200034</v>
          </cell>
          <cell r="AV1750">
            <v>14.263722316306255</v>
          </cell>
          <cell r="AW1750">
            <v>12.105561258724364</v>
          </cell>
          <cell r="AX1750">
            <v>10.242049449424412</v>
          </cell>
          <cell r="AY1750">
            <v>13.969073068024317</v>
          </cell>
        </row>
        <row r="1751">
          <cell r="A1751">
            <v>41989</v>
          </cell>
          <cell r="AF1751">
            <v>19.55719557195572</v>
          </cell>
          <cell r="AG1751">
            <v>20.469360058004284</v>
          </cell>
          <cell r="AH1751">
            <v>17.881583490985356</v>
          </cell>
          <cell r="AI1751">
            <v>15.547864889645153</v>
          </cell>
          <cell r="AJ1751">
            <v>20.215302092325562</v>
          </cell>
          <cell r="AU1751">
            <v>13.040257280480533</v>
          </cell>
          <cell r="AV1751">
            <v>14.263722316306255</v>
          </cell>
          <cell r="AW1751">
            <v>12.105561258724364</v>
          </cell>
          <cell r="AX1751">
            <v>10.242049449424412</v>
          </cell>
          <cell r="AY1751">
            <v>13.969073068024317</v>
          </cell>
        </row>
        <row r="1752">
          <cell r="A1752">
            <v>41990</v>
          </cell>
          <cell r="AF1752">
            <v>19.627307380073798</v>
          </cell>
          <cell r="AG1752">
            <v>20.469360058004284</v>
          </cell>
          <cell r="AH1752">
            <v>17.881583490985356</v>
          </cell>
          <cell r="AI1752">
            <v>15.547864889645153</v>
          </cell>
          <cell r="AJ1752">
            <v>20.215302092325562</v>
          </cell>
          <cell r="AU1752">
            <v>13.080964186891714</v>
          </cell>
          <cell r="AV1752">
            <v>14.263722316306255</v>
          </cell>
          <cell r="AW1752">
            <v>12.105561258724364</v>
          </cell>
          <cell r="AX1752">
            <v>10.242049449424412</v>
          </cell>
          <cell r="AY1752">
            <v>13.969073068024317</v>
          </cell>
        </row>
        <row r="1753">
          <cell r="A1753">
            <v>41991</v>
          </cell>
          <cell r="AF1753">
            <v>19.96310221402214</v>
          </cell>
          <cell r="AG1753">
            <v>20.469360058004284</v>
          </cell>
          <cell r="AH1753">
            <v>17.881583490985356</v>
          </cell>
          <cell r="AI1753">
            <v>15.547864889645153</v>
          </cell>
          <cell r="AJ1753">
            <v>20.215302092325562</v>
          </cell>
          <cell r="AU1753">
            <v>13.275926622546949</v>
          </cell>
          <cell r="AV1753">
            <v>14.263722316306255</v>
          </cell>
          <cell r="AW1753">
            <v>12.105561258724364</v>
          </cell>
          <cell r="AX1753">
            <v>10.242049449424412</v>
          </cell>
          <cell r="AY1753">
            <v>13.969073068024317</v>
          </cell>
        </row>
        <row r="1754">
          <cell r="A1754">
            <v>41992</v>
          </cell>
          <cell r="AF1754">
            <v>19.815497047970482</v>
          </cell>
          <cell r="AG1754">
            <v>20.469360058004284</v>
          </cell>
          <cell r="AH1754">
            <v>17.881583490985356</v>
          </cell>
          <cell r="AI1754">
            <v>15.547864889645153</v>
          </cell>
          <cell r="AJ1754">
            <v>20.215302092325562</v>
          </cell>
          <cell r="AU1754">
            <v>13.190227082889489</v>
          </cell>
          <cell r="AV1754">
            <v>14.263722316306255</v>
          </cell>
          <cell r="AW1754">
            <v>12.105561258724364</v>
          </cell>
          <cell r="AX1754">
            <v>10.242049449424412</v>
          </cell>
          <cell r="AY1754">
            <v>13.969073068024317</v>
          </cell>
        </row>
        <row r="1755">
          <cell r="A1755">
            <v>41995</v>
          </cell>
          <cell r="AF1755">
            <v>19.959408487084868</v>
          </cell>
          <cell r="AG1755">
            <v>20.469360058004284</v>
          </cell>
          <cell r="AH1755">
            <v>17.881583490985356</v>
          </cell>
          <cell r="AI1755">
            <v>15.547864889645153</v>
          </cell>
          <cell r="AJ1755">
            <v>20.215302092325562</v>
          </cell>
          <cell r="AU1755">
            <v>13.273782045181456</v>
          </cell>
          <cell r="AV1755">
            <v>14.263722316306255</v>
          </cell>
          <cell r="AW1755">
            <v>12.105561258724364</v>
          </cell>
          <cell r="AX1755">
            <v>10.242049449424412</v>
          </cell>
          <cell r="AY1755">
            <v>13.969073068024317</v>
          </cell>
        </row>
        <row r="1756">
          <cell r="A1756">
            <v>41996</v>
          </cell>
          <cell r="AF1756">
            <v>19.926199261992622</v>
          </cell>
          <cell r="AG1756">
            <v>20.469360058004284</v>
          </cell>
          <cell r="AH1756">
            <v>17.881583490985356</v>
          </cell>
          <cell r="AI1756">
            <v>15.547864889645153</v>
          </cell>
          <cell r="AJ1756">
            <v>20.215302092325562</v>
          </cell>
          <cell r="AU1756">
            <v>13.254500773536867</v>
          </cell>
          <cell r="AV1756">
            <v>14.263722316306255</v>
          </cell>
          <cell r="AW1756">
            <v>12.105561258724364</v>
          </cell>
          <cell r="AX1756">
            <v>10.242049449424412</v>
          </cell>
          <cell r="AY1756">
            <v>13.969073068024317</v>
          </cell>
        </row>
        <row r="1757">
          <cell r="A1757">
            <v>41997</v>
          </cell>
          <cell r="AF1757">
            <v>19.837636531365316</v>
          </cell>
          <cell r="AG1757">
            <v>20.469360058004284</v>
          </cell>
          <cell r="AH1757">
            <v>17.881583490985356</v>
          </cell>
          <cell r="AI1757">
            <v>15.547864889645153</v>
          </cell>
          <cell r="AJ1757">
            <v>20.215302092325562</v>
          </cell>
          <cell r="AU1757">
            <v>13.203081263985881</v>
          </cell>
          <cell r="AV1757">
            <v>14.263722316306255</v>
          </cell>
          <cell r="AW1757">
            <v>12.105561258724364</v>
          </cell>
          <cell r="AX1757">
            <v>10.242049449424412</v>
          </cell>
          <cell r="AY1757">
            <v>13.969073068024317</v>
          </cell>
        </row>
        <row r="1758">
          <cell r="A1758">
            <v>41998</v>
          </cell>
          <cell r="AF1758">
            <v>19.837636531365316</v>
          </cell>
          <cell r="AG1758">
            <v>20.469360058004284</v>
          </cell>
          <cell r="AH1758">
            <v>17.881583490985356</v>
          </cell>
          <cell r="AI1758">
            <v>15.547864889645153</v>
          </cell>
          <cell r="AJ1758">
            <v>20.215302092325562</v>
          </cell>
          <cell r="AU1758">
            <v>13.203081263985881</v>
          </cell>
          <cell r="AV1758">
            <v>14.263722316306255</v>
          </cell>
          <cell r="AW1758">
            <v>12.105561258724364</v>
          </cell>
          <cell r="AX1758">
            <v>10.242049449424412</v>
          </cell>
          <cell r="AY1758">
            <v>13.969073068024317</v>
          </cell>
        </row>
        <row r="1759">
          <cell r="A1759">
            <v>41999</v>
          </cell>
          <cell r="AF1759">
            <v>19.867157564575646</v>
          </cell>
          <cell r="AG1759">
            <v>20.469360058004284</v>
          </cell>
          <cell r="AH1759">
            <v>17.881583490985356</v>
          </cell>
          <cell r="AI1759">
            <v>15.547864889645153</v>
          </cell>
          <cell r="AJ1759">
            <v>20.215302092325562</v>
          </cell>
          <cell r="AU1759">
            <v>13.220221171917373</v>
          </cell>
          <cell r="AV1759">
            <v>14.263722316306255</v>
          </cell>
          <cell r="AW1759">
            <v>12.105561258724364</v>
          </cell>
          <cell r="AX1759">
            <v>10.242049449424412</v>
          </cell>
          <cell r="AY1759">
            <v>13.969073068024317</v>
          </cell>
        </row>
        <row r="1760">
          <cell r="A1760">
            <v>42002</v>
          </cell>
          <cell r="AF1760">
            <v>19.826566789667897</v>
          </cell>
          <cell r="AG1760">
            <v>20.469360058004284</v>
          </cell>
          <cell r="AH1760">
            <v>17.881583490985356</v>
          </cell>
          <cell r="AI1760">
            <v>15.547864889645153</v>
          </cell>
          <cell r="AJ1760">
            <v>20.215302092325562</v>
          </cell>
          <cell r="AU1760">
            <v>13.196654173437684</v>
          </cell>
          <cell r="AV1760">
            <v>14.263722316306255</v>
          </cell>
          <cell r="AW1760">
            <v>12.105561258724364</v>
          </cell>
          <cell r="AX1760">
            <v>10.242049449424412</v>
          </cell>
          <cell r="AY1760">
            <v>13.969073068024317</v>
          </cell>
        </row>
        <row r="1761">
          <cell r="A1761">
            <v>42003</v>
          </cell>
          <cell r="AF1761">
            <v>19.682655719557193</v>
          </cell>
          <cell r="AG1761">
            <v>20.469360058004284</v>
          </cell>
          <cell r="AH1761">
            <v>17.881583490985356</v>
          </cell>
          <cell r="AI1761">
            <v>15.547864889645153</v>
          </cell>
          <cell r="AJ1761">
            <v>20.215302092325562</v>
          </cell>
          <cell r="AU1761">
            <v>13.113099425389207</v>
          </cell>
          <cell r="AV1761">
            <v>14.263722316306255</v>
          </cell>
          <cell r="AW1761">
            <v>12.105561258724364</v>
          </cell>
          <cell r="AX1761">
            <v>10.242049449424412</v>
          </cell>
          <cell r="AY1761">
            <v>13.969073068024317</v>
          </cell>
        </row>
        <row r="1762">
          <cell r="A1762">
            <v>42004</v>
          </cell>
          <cell r="AF1762">
            <v>19.656828413284131</v>
          </cell>
          <cell r="AG1762">
            <v>20.469360058004284</v>
          </cell>
          <cell r="AH1762">
            <v>17.881583490985356</v>
          </cell>
          <cell r="AI1762">
            <v>15.547864889645153</v>
          </cell>
          <cell r="AJ1762">
            <v>20.215302092325562</v>
          </cell>
          <cell r="AU1762">
            <v>13.113099425389207</v>
          </cell>
          <cell r="AV1762">
            <v>14.263722316306255</v>
          </cell>
          <cell r="AW1762">
            <v>12.105561258724364</v>
          </cell>
          <cell r="AX1762">
            <v>10.242049449424412</v>
          </cell>
          <cell r="AY1762">
            <v>13.969073068024317</v>
          </cell>
        </row>
        <row r="1763">
          <cell r="A1763">
            <v>42005</v>
          </cell>
          <cell r="AF1763">
            <v>19.500024709060458</v>
          </cell>
          <cell r="AG1763">
            <v>20.469360058004284</v>
          </cell>
          <cell r="AH1763">
            <v>17.881583490985356</v>
          </cell>
          <cell r="AI1763">
            <v>15.547864889645153</v>
          </cell>
          <cell r="AJ1763">
            <v>20.215302092325562</v>
          </cell>
          <cell r="AU1763">
            <v>13.024039867896581</v>
          </cell>
          <cell r="AV1763">
            <v>14.263722316306255</v>
          </cell>
          <cell r="AW1763">
            <v>12.105561258724364</v>
          </cell>
          <cell r="AX1763">
            <v>10.242049449424412</v>
          </cell>
          <cell r="AY1763">
            <v>13.969073068024317</v>
          </cell>
        </row>
        <row r="1764">
          <cell r="A1764">
            <v>42006</v>
          </cell>
          <cell r="AF1764">
            <v>19.041993964352752</v>
          </cell>
          <cell r="AG1764">
            <v>20.469360058004284</v>
          </cell>
          <cell r="AH1764">
            <v>17.881583490985356</v>
          </cell>
          <cell r="AI1764">
            <v>15.547864889645153</v>
          </cell>
          <cell r="AJ1764">
            <v>20.215302092325562</v>
          </cell>
          <cell r="AU1764">
            <v>12.738574382050315</v>
          </cell>
          <cell r="AV1764">
            <v>14.263722316306255</v>
          </cell>
          <cell r="AW1764">
            <v>12.105561258724364</v>
          </cell>
          <cell r="AX1764">
            <v>10.242049449424412</v>
          </cell>
          <cell r="AY1764">
            <v>13.969073068024317</v>
          </cell>
        </row>
        <row r="1765">
          <cell r="A1765">
            <v>42009</v>
          </cell>
          <cell r="AF1765">
            <v>18.915229196279043</v>
          </cell>
          <cell r="AG1765">
            <v>20.469360058004284</v>
          </cell>
          <cell r="AH1765">
            <v>17.881583490985356</v>
          </cell>
          <cell r="AI1765">
            <v>15.547864889645153</v>
          </cell>
          <cell r="AJ1765">
            <v>20.215302092325562</v>
          </cell>
          <cell r="AU1765">
            <v>12.663229832994109</v>
          </cell>
          <cell r="AV1765">
            <v>14.263722316306255</v>
          </cell>
          <cell r="AW1765">
            <v>12.105561258724364</v>
          </cell>
          <cell r="AX1765">
            <v>10.242049449424412</v>
          </cell>
          <cell r="AY1765">
            <v>13.969073068024317</v>
          </cell>
        </row>
        <row r="1766">
          <cell r="A1766">
            <v>42010</v>
          </cell>
          <cell r="AF1766">
            <v>18.680479757922228</v>
          </cell>
          <cell r="AG1766">
            <v>20.469360058004284</v>
          </cell>
          <cell r="AH1766">
            <v>17.881583490985356</v>
          </cell>
          <cell r="AI1766">
            <v>15.547864889645153</v>
          </cell>
          <cell r="AJ1766">
            <v>20.215302092325562</v>
          </cell>
          <cell r="AU1766">
            <v>12.526871663918577</v>
          </cell>
          <cell r="AV1766">
            <v>14.263722316306255</v>
          </cell>
          <cell r="AW1766">
            <v>12.105561258724364</v>
          </cell>
          <cell r="AX1766">
            <v>10.242049449424412</v>
          </cell>
          <cell r="AY1766">
            <v>13.969073068024317</v>
          </cell>
        </row>
        <row r="1767">
          <cell r="A1767">
            <v>42011</v>
          </cell>
          <cell r="AF1767">
            <v>19.164641694559752</v>
          </cell>
          <cell r="AG1767">
            <v>20.469360058004284</v>
          </cell>
          <cell r="AH1767">
            <v>17.881583490985356</v>
          </cell>
          <cell r="AI1767">
            <v>15.547864889645153</v>
          </cell>
          <cell r="AJ1767">
            <v>20.215302092325562</v>
          </cell>
          <cell r="AU1767">
            <v>12.808105287641279</v>
          </cell>
          <cell r="AV1767">
            <v>14.263722316306255</v>
          </cell>
          <cell r="AW1767">
            <v>12.105561258724364</v>
          </cell>
          <cell r="AX1767">
            <v>10.242049449424412</v>
          </cell>
          <cell r="AY1767">
            <v>13.969073068024317</v>
          </cell>
        </row>
        <row r="1768">
          <cell r="A1768">
            <v>42012</v>
          </cell>
          <cell r="AF1768">
            <v>19.637795240935482</v>
          </cell>
          <cell r="AG1768">
            <v>20.469360058004284</v>
          </cell>
          <cell r="AH1768">
            <v>17.881583490985356</v>
          </cell>
          <cell r="AI1768">
            <v>15.547864889645153</v>
          </cell>
          <cell r="AJ1768">
            <v>20.215302092325562</v>
          </cell>
          <cell r="AU1768">
            <v>13.082944502282222</v>
          </cell>
          <cell r="AV1768">
            <v>14.263722316306255</v>
          </cell>
          <cell r="AW1768">
            <v>12.105561258724364</v>
          </cell>
          <cell r="AX1768">
            <v>10.242049449424412</v>
          </cell>
          <cell r="AY1768">
            <v>13.969073068024317</v>
          </cell>
        </row>
        <row r="1769">
          <cell r="A1769">
            <v>42013</v>
          </cell>
          <cell r="AF1769">
            <v>19.395868512960753</v>
          </cell>
          <cell r="AG1769">
            <v>20.469360058004284</v>
          </cell>
          <cell r="AH1769">
            <v>17.881583490985356</v>
          </cell>
          <cell r="AI1769">
            <v>15.547864889645153</v>
          </cell>
          <cell r="AJ1769">
            <v>20.215302092325562</v>
          </cell>
          <cell r="AU1769">
            <v>12.916762091681305</v>
          </cell>
          <cell r="AV1769">
            <v>14.263722316306255</v>
          </cell>
          <cell r="AW1769">
            <v>12.105561258724364</v>
          </cell>
          <cell r="AX1769">
            <v>10.242049449424412</v>
          </cell>
          <cell r="AY1769">
            <v>13.969073068024317</v>
          </cell>
        </row>
        <row r="1770">
          <cell r="A1770">
            <v>42016</v>
          </cell>
          <cell r="AF1770">
            <v>19.212056246555488</v>
          </cell>
          <cell r="AG1770">
            <v>20.469360058004284</v>
          </cell>
          <cell r="AH1770">
            <v>17.881583490985356</v>
          </cell>
          <cell r="AI1770">
            <v>15.547864889645153</v>
          </cell>
          <cell r="AJ1770">
            <v>20.215302092325562</v>
          </cell>
          <cell r="AU1770">
            <v>12.810234768825174</v>
          </cell>
          <cell r="AV1770">
            <v>14.263722316306255</v>
          </cell>
          <cell r="AW1770">
            <v>12.105561258724364</v>
          </cell>
          <cell r="AX1770">
            <v>10.242049449424412</v>
          </cell>
          <cell r="AY1770">
            <v>13.969073068024317</v>
          </cell>
        </row>
        <row r="1771">
          <cell r="A1771">
            <v>42017</v>
          </cell>
          <cell r="AF1771">
            <v>19.153240732800196</v>
          </cell>
          <cell r="AG1771">
            <v>20.469360058004284</v>
          </cell>
          <cell r="AH1771">
            <v>17.881583490985356</v>
          </cell>
          <cell r="AI1771">
            <v>15.547864889645153</v>
          </cell>
          <cell r="AJ1771">
            <v>20.215302092325562</v>
          </cell>
          <cell r="AU1771">
            <v>12.810234768825174</v>
          </cell>
          <cell r="AV1771">
            <v>14.263722316306255</v>
          </cell>
          <cell r="AW1771">
            <v>12.105561258724364</v>
          </cell>
          <cell r="AX1771">
            <v>10.242049449424412</v>
          </cell>
          <cell r="AY1771">
            <v>13.969073068024317</v>
          </cell>
        </row>
        <row r="1772">
          <cell r="A1772">
            <v>42018</v>
          </cell>
          <cell r="AF1772">
            <v>18.873842411618867</v>
          </cell>
          <cell r="AG1772">
            <v>20.469360058004284</v>
          </cell>
          <cell r="AH1772">
            <v>17.881583490985356</v>
          </cell>
          <cell r="AI1772">
            <v>15.547864889645153</v>
          </cell>
          <cell r="AJ1772">
            <v>20.215302092325562</v>
          </cell>
          <cell r="AU1772">
            <v>12.665803605310007</v>
          </cell>
          <cell r="AV1772">
            <v>14.263722316306255</v>
          </cell>
          <cell r="AW1772">
            <v>12.105561258724364</v>
          </cell>
          <cell r="AX1772">
            <v>10.242049449424412</v>
          </cell>
          <cell r="AY1772">
            <v>13.969073068024317</v>
          </cell>
        </row>
        <row r="1773">
          <cell r="A1773">
            <v>42019</v>
          </cell>
          <cell r="AF1773">
            <v>18.59812401201097</v>
          </cell>
          <cell r="AG1773">
            <v>20.469360058004284</v>
          </cell>
          <cell r="AH1773">
            <v>17.881583490985356</v>
          </cell>
          <cell r="AI1773">
            <v>15.547864889645153</v>
          </cell>
          <cell r="AJ1773">
            <v>20.215302092325562</v>
          </cell>
          <cell r="AU1773">
            <v>12.50535924685459</v>
          </cell>
          <cell r="AV1773">
            <v>14.263722316306255</v>
          </cell>
          <cell r="AW1773">
            <v>12.105561258724364</v>
          </cell>
          <cell r="AX1773">
            <v>10.242049449424412</v>
          </cell>
          <cell r="AY1773">
            <v>13.969073068024317</v>
          </cell>
        </row>
        <row r="1774">
          <cell r="A1774">
            <v>42020</v>
          </cell>
          <cell r="AF1774">
            <v>18.660619447339698</v>
          </cell>
          <cell r="AG1774">
            <v>20.469360058004284</v>
          </cell>
          <cell r="AH1774">
            <v>17.881583490985356</v>
          </cell>
          <cell r="AI1774">
            <v>15.547864889645153</v>
          </cell>
          <cell r="AJ1774">
            <v>20.215302092325562</v>
          </cell>
          <cell r="AU1774">
            <v>12.50535924685459</v>
          </cell>
          <cell r="AV1774">
            <v>14.263722316306255</v>
          </cell>
          <cell r="AW1774">
            <v>12.105561258724364</v>
          </cell>
          <cell r="AX1774">
            <v>10.242049449424412</v>
          </cell>
          <cell r="AY1774">
            <v>13.969073068024317</v>
          </cell>
        </row>
        <row r="1775">
          <cell r="A1775">
            <v>42023</v>
          </cell>
          <cell r="AF1775">
            <v>18.660619447339698</v>
          </cell>
          <cell r="AG1775">
            <v>20.469360058004284</v>
          </cell>
          <cell r="AH1775">
            <v>17.881583490985356</v>
          </cell>
          <cell r="AI1775">
            <v>15.547864889645153</v>
          </cell>
          <cell r="AJ1775">
            <v>20.215302092325562</v>
          </cell>
          <cell r="AU1775">
            <v>12.541726206919529</v>
          </cell>
          <cell r="AV1775">
            <v>14.263722316306255</v>
          </cell>
          <cell r="AW1775">
            <v>12.105561258724364</v>
          </cell>
          <cell r="AX1775">
            <v>10.242049449424412</v>
          </cell>
          <cell r="AY1775">
            <v>13.969073068024317</v>
          </cell>
        </row>
        <row r="1776">
          <cell r="A1776">
            <v>42024</v>
          </cell>
          <cell r="AF1776">
            <v>18.49151547086765</v>
          </cell>
          <cell r="AG1776">
            <v>20.469360058004284</v>
          </cell>
          <cell r="AH1776">
            <v>17.881583490985356</v>
          </cell>
          <cell r="AI1776">
            <v>15.547864889645153</v>
          </cell>
          <cell r="AJ1776">
            <v>20.215302092325562</v>
          </cell>
          <cell r="AU1776">
            <v>12.541726206919529</v>
          </cell>
          <cell r="AV1776">
            <v>14.263722316306255</v>
          </cell>
          <cell r="AW1776">
            <v>12.105561258724364</v>
          </cell>
          <cell r="AX1776">
            <v>10.242049449424412</v>
          </cell>
          <cell r="AY1776">
            <v>13.969073068024317</v>
          </cell>
        </row>
        <row r="1777">
          <cell r="A1777">
            <v>42025</v>
          </cell>
          <cell r="AF1777">
            <v>18.431034028552713</v>
          </cell>
          <cell r="AG1777">
            <v>20.469360058004284</v>
          </cell>
          <cell r="AH1777">
            <v>17.881583490985356</v>
          </cell>
          <cell r="AI1777">
            <v>15.547864889645153</v>
          </cell>
          <cell r="AJ1777">
            <v>20.215302092325562</v>
          </cell>
          <cell r="AU1777">
            <v>12.409093273558771</v>
          </cell>
          <cell r="AV1777">
            <v>14.263722316306255</v>
          </cell>
          <cell r="AW1777">
            <v>12.105561258724364</v>
          </cell>
          <cell r="AX1777">
            <v>10.242049449424412</v>
          </cell>
          <cell r="AY1777">
            <v>13.969073068024317</v>
          </cell>
        </row>
        <row r="1778">
          <cell r="A1778">
            <v>42026</v>
          </cell>
          <cell r="AF1778">
            <v>18.7554390030541</v>
          </cell>
          <cell r="AG1778">
            <v>20.469360058004284</v>
          </cell>
          <cell r="AH1778">
            <v>17.881583490985356</v>
          </cell>
          <cell r="AI1778">
            <v>15.547864889645153</v>
          </cell>
          <cell r="AJ1778">
            <v>20.215302092325562</v>
          </cell>
          <cell r="AU1778">
            <v>12.514047236674662</v>
          </cell>
          <cell r="AV1778">
            <v>14.263722316306255</v>
          </cell>
          <cell r="AW1778">
            <v>12.105561258724364</v>
          </cell>
          <cell r="AX1778">
            <v>10.242049449424412</v>
          </cell>
          <cell r="AY1778">
            <v>13.969073068024317</v>
          </cell>
        </row>
        <row r="1779">
          <cell r="A1779">
            <v>42027</v>
          </cell>
          <cell r="AF1779">
            <v>18.759123370082669</v>
          </cell>
          <cell r="AG1779">
            <v>20.469360058004284</v>
          </cell>
          <cell r="AH1779">
            <v>17.881583490985356</v>
          </cell>
          <cell r="AI1779">
            <v>15.547864889645153</v>
          </cell>
          <cell r="AJ1779">
            <v>20.215302092325562</v>
          </cell>
          <cell r="AU1779">
            <v>12.516176347936378</v>
          </cell>
          <cell r="AV1779">
            <v>14.263722316306255</v>
          </cell>
          <cell r="AW1779">
            <v>12.105561258724364</v>
          </cell>
          <cell r="AX1779">
            <v>10.242049449424412</v>
          </cell>
          <cell r="AY1779">
            <v>13.969073068024317</v>
          </cell>
        </row>
        <row r="1780">
          <cell r="A1780">
            <v>42030</v>
          </cell>
          <cell r="AF1780">
            <v>18.788415599754988</v>
          </cell>
          <cell r="AG1780">
            <v>20.469360058004284</v>
          </cell>
          <cell r="AH1780">
            <v>17.881583490985356</v>
          </cell>
          <cell r="AI1780">
            <v>15.547864889645153</v>
          </cell>
          <cell r="AJ1780">
            <v>20.215302092325562</v>
          </cell>
          <cell r="AU1780">
            <v>12.545306810251121</v>
          </cell>
          <cell r="AV1780">
            <v>14.263722316306255</v>
          </cell>
          <cell r="AW1780">
            <v>12.105561258724364</v>
          </cell>
          <cell r="AX1780">
            <v>10.242049449424412</v>
          </cell>
          <cell r="AY1780">
            <v>13.969073068024317</v>
          </cell>
        </row>
        <row r="1781">
          <cell r="A1781">
            <v>42031</v>
          </cell>
          <cell r="AF1781">
            <v>18.692161898761043</v>
          </cell>
          <cell r="AG1781">
            <v>20.469360058004284</v>
          </cell>
          <cell r="AH1781">
            <v>17.881583490985356</v>
          </cell>
          <cell r="AI1781">
            <v>15.547864889645153</v>
          </cell>
          <cell r="AJ1781">
            <v>20.215302092325562</v>
          </cell>
          <cell r="AU1781">
            <v>12.489662017135045</v>
          </cell>
          <cell r="AV1781">
            <v>14.263722316306255</v>
          </cell>
          <cell r="AW1781">
            <v>12.105561258724364</v>
          </cell>
          <cell r="AX1781">
            <v>10.242049449424412</v>
          </cell>
          <cell r="AY1781">
            <v>13.969073068024317</v>
          </cell>
        </row>
        <row r="1782">
          <cell r="A1782">
            <v>42032</v>
          </cell>
          <cell r="AF1782">
            <v>18.515977143014251</v>
          </cell>
          <cell r="AG1782">
            <v>20.469360058004284</v>
          </cell>
          <cell r="AH1782">
            <v>17.881583490985356</v>
          </cell>
          <cell r="AI1782">
            <v>15.547864889645153</v>
          </cell>
          <cell r="AJ1782">
            <v>20.215302092325562</v>
          </cell>
          <cell r="AU1782">
            <v>12.382650330103655</v>
          </cell>
          <cell r="AV1782">
            <v>14.263722316306255</v>
          </cell>
          <cell r="AW1782">
            <v>12.105561258724364</v>
          </cell>
          <cell r="AX1782">
            <v>10.242049449424412</v>
          </cell>
          <cell r="AY1782">
            <v>13.969073068024317</v>
          </cell>
        </row>
        <row r="1783">
          <cell r="A1783">
            <v>42033</v>
          </cell>
          <cell r="AF1783">
            <v>18.790064686153553</v>
          </cell>
          <cell r="AG1783">
            <v>20.469360058004284</v>
          </cell>
          <cell r="AH1783">
            <v>17.881583490985356</v>
          </cell>
          <cell r="AI1783">
            <v>15.547864889645153</v>
          </cell>
          <cell r="AJ1783">
            <v>20.215302092325562</v>
          </cell>
          <cell r="AU1783">
            <v>12.630962901981354</v>
          </cell>
          <cell r="AV1783">
            <v>14.263722316306255</v>
          </cell>
          <cell r="AW1783">
            <v>12.105561258724364</v>
          </cell>
          <cell r="AX1783">
            <v>10.242049449424412</v>
          </cell>
          <cell r="AY1783">
            <v>13.969073068024317</v>
          </cell>
        </row>
        <row r="1784">
          <cell r="A1784">
            <v>42034</v>
          </cell>
          <cell r="AF1784">
            <v>18.52893647349082</v>
          </cell>
          <cell r="AG1784">
            <v>20.469360058004284</v>
          </cell>
          <cell r="AH1784">
            <v>17.881583490985356</v>
          </cell>
          <cell r="AI1784">
            <v>15.547864889645153</v>
          </cell>
          <cell r="AJ1784">
            <v>20.215302092325562</v>
          </cell>
          <cell r="AU1784">
            <v>12.630962901981354</v>
          </cell>
          <cell r="AV1784">
            <v>14.263722316306255</v>
          </cell>
          <cell r="AW1784">
            <v>12.105561258724364</v>
          </cell>
          <cell r="AX1784">
            <v>10.242049449424412</v>
          </cell>
          <cell r="AY1784">
            <v>13.969073068024317</v>
          </cell>
        </row>
        <row r="1785">
          <cell r="A1785">
            <v>42037</v>
          </cell>
          <cell r="AF1785">
            <v>18.604936755497459</v>
          </cell>
          <cell r="AG1785">
            <v>20.469360058004284</v>
          </cell>
          <cell r="AH1785">
            <v>17.881583490985356</v>
          </cell>
          <cell r="AI1785">
            <v>15.547864889645153</v>
          </cell>
          <cell r="AJ1785">
            <v>20.215302092325562</v>
          </cell>
          <cell r="AU1785">
            <v>12.421371326902152</v>
          </cell>
          <cell r="AV1785">
            <v>14.263722316306255</v>
          </cell>
          <cell r="AW1785">
            <v>12.105561258724364</v>
          </cell>
          <cell r="AX1785">
            <v>10.242049449424412</v>
          </cell>
          <cell r="AY1785">
            <v>13.969073068024317</v>
          </cell>
        </row>
        <row r="1786">
          <cell r="A1786">
            <v>42038</v>
          </cell>
          <cell r="AF1786">
            <v>18.678618568097249</v>
          </cell>
          <cell r="AG1786">
            <v>20.469360058004284</v>
          </cell>
          <cell r="AH1786">
            <v>17.881583490985356</v>
          </cell>
          <cell r="AI1786">
            <v>15.547864889645153</v>
          </cell>
          <cell r="AJ1786">
            <v>20.215302092325562</v>
          </cell>
          <cell r="AU1786">
            <v>12.566201913749884</v>
          </cell>
          <cell r="AV1786">
            <v>14.263722316306255</v>
          </cell>
          <cell r="AW1786">
            <v>12.105561258724364</v>
          </cell>
          <cell r="AX1786">
            <v>10.242049449424412</v>
          </cell>
          <cell r="AY1786">
            <v>13.969073068024317</v>
          </cell>
        </row>
        <row r="1787">
          <cell r="A1787">
            <v>42039</v>
          </cell>
          <cell r="AF1787">
            <v>18.667566867249892</v>
          </cell>
          <cell r="AG1787">
            <v>20.469360058004284</v>
          </cell>
          <cell r="AH1787">
            <v>17.881583490985356</v>
          </cell>
          <cell r="AI1787">
            <v>15.547864889645153</v>
          </cell>
          <cell r="AJ1787">
            <v>20.215302092325562</v>
          </cell>
          <cell r="AU1787">
            <v>12.559765456513013</v>
          </cell>
          <cell r="AV1787">
            <v>14.263722316306255</v>
          </cell>
          <cell r="AW1787">
            <v>12.105561258724364</v>
          </cell>
          <cell r="AX1787">
            <v>10.242049449424412</v>
          </cell>
          <cell r="AY1787">
            <v>13.969073068024317</v>
          </cell>
        </row>
        <row r="1788">
          <cell r="A1788">
            <v>42040</v>
          </cell>
          <cell r="AF1788">
            <v>18.711774775883079</v>
          </cell>
          <cell r="AG1788">
            <v>20.469360058004284</v>
          </cell>
          <cell r="AH1788">
            <v>17.881583490985356</v>
          </cell>
          <cell r="AI1788">
            <v>15.547864889645153</v>
          </cell>
          <cell r="AJ1788">
            <v>20.215302092325562</v>
          </cell>
          <cell r="AU1788">
            <v>12.559765456513013</v>
          </cell>
          <cell r="AV1788">
            <v>14.263722316306255</v>
          </cell>
          <cell r="AW1788">
            <v>12.105561258724364</v>
          </cell>
          <cell r="AX1788">
            <v>10.242049449424412</v>
          </cell>
          <cell r="AY1788">
            <v>13.969073068024317</v>
          </cell>
        </row>
        <row r="1789">
          <cell r="A1789">
            <v>42041</v>
          </cell>
          <cell r="AF1789">
            <v>18.667569361494472</v>
          </cell>
          <cell r="AG1789">
            <v>20.469360058004284</v>
          </cell>
          <cell r="AH1789">
            <v>17.881583490985356</v>
          </cell>
          <cell r="AI1789">
            <v>15.547864889645153</v>
          </cell>
          <cell r="AJ1789">
            <v>20.215302092325562</v>
          </cell>
          <cell r="AU1789">
            <v>12.585511929149124</v>
          </cell>
          <cell r="AV1789">
            <v>14.263722316306255</v>
          </cell>
          <cell r="AW1789">
            <v>12.105561258724364</v>
          </cell>
          <cell r="AX1789">
            <v>10.242049449424412</v>
          </cell>
          <cell r="AY1789">
            <v>13.969073068024317</v>
          </cell>
        </row>
        <row r="1790">
          <cell r="A1790">
            <v>42044</v>
          </cell>
          <cell r="AF1790">
            <v>18.477623144141695</v>
          </cell>
          <cell r="AG1790">
            <v>20.469360058004284</v>
          </cell>
          <cell r="AH1790">
            <v>17.881583490985356</v>
          </cell>
          <cell r="AI1790">
            <v>15.547864889645153</v>
          </cell>
          <cell r="AJ1790">
            <v>20.215302092325562</v>
          </cell>
          <cell r="AU1790">
            <v>12.418153098283719</v>
          </cell>
          <cell r="AV1790">
            <v>14.263722316306255</v>
          </cell>
          <cell r="AW1790">
            <v>12.105561258724364</v>
          </cell>
          <cell r="AX1790">
            <v>10.242049449424412</v>
          </cell>
          <cell r="AY1790">
            <v>13.969073068024317</v>
          </cell>
        </row>
        <row r="1791">
          <cell r="A1791">
            <v>42045</v>
          </cell>
          <cell r="AF1791">
            <v>18.843408809603488</v>
          </cell>
          <cell r="AG1791">
            <v>20.469360058004284</v>
          </cell>
          <cell r="AH1791">
            <v>17.881583490985356</v>
          </cell>
          <cell r="AI1791">
            <v>15.547864889645153</v>
          </cell>
          <cell r="AJ1791">
            <v>20.215302092325562</v>
          </cell>
          <cell r="AU1791">
            <v>12.630571421064781</v>
          </cell>
          <cell r="AV1791">
            <v>14.263722316306255</v>
          </cell>
          <cell r="AW1791">
            <v>12.105561258724364</v>
          </cell>
          <cell r="AX1791">
            <v>10.242049449424412</v>
          </cell>
          <cell r="AY1791">
            <v>13.969073068024317</v>
          </cell>
        </row>
        <row r="1792">
          <cell r="A1792">
            <v>42046</v>
          </cell>
          <cell r="AF1792">
            <v>19.05031608894781</v>
          </cell>
          <cell r="AG1792">
            <v>20.469360058004284</v>
          </cell>
          <cell r="AH1792">
            <v>17.881583490985356</v>
          </cell>
          <cell r="AI1792">
            <v>15.547864889645153</v>
          </cell>
          <cell r="AJ1792">
            <v>20.215302092325562</v>
          </cell>
          <cell r="AU1792">
            <v>12.750726204041383</v>
          </cell>
          <cell r="AV1792">
            <v>14.263722316306255</v>
          </cell>
          <cell r="AW1792">
            <v>12.105561258724364</v>
          </cell>
          <cell r="AX1792">
            <v>10.242049449424412</v>
          </cell>
          <cell r="AY1792">
            <v>13.969073068024317</v>
          </cell>
        </row>
        <row r="1793">
          <cell r="A1793">
            <v>42047</v>
          </cell>
          <cell r="AF1793">
            <v>19.407626434655867</v>
          </cell>
          <cell r="AG1793">
            <v>20.469360058004284</v>
          </cell>
          <cell r="AH1793">
            <v>17.881583490985356</v>
          </cell>
          <cell r="AI1793">
            <v>15.547864889645153</v>
          </cell>
          <cell r="AJ1793">
            <v>20.215302092325562</v>
          </cell>
          <cell r="AU1793">
            <v>12.935250494332882</v>
          </cell>
          <cell r="AV1793">
            <v>14.263722316306255</v>
          </cell>
          <cell r="AW1793">
            <v>12.105561258724364</v>
          </cell>
          <cell r="AX1793">
            <v>10.242049449424412</v>
          </cell>
          <cell r="AY1793">
            <v>13.969073068024317</v>
          </cell>
        </row>
        <row r="1794">
          <cell r="A1794">
            <v>42048</v>
          </cell>
          <cell r="AF1794">
            <v>19.526103665311194</v>
          </cell>
          <cell r="AG1794">
            <v>20.469360058004284</v>
          </cell>
          <cell r="AH1794">
            <v>17.881583490985356</v>
          </cell>
          <cell r="AI1794">
            <v>15.547864889645153</v>
          </cell>
          <cell r="AJ1794">
            <v>20.215302092325562</v>
          </cell>
          <cell r="AU1794">
            <v>12.935250494332882</v>
          </cell>
          <cell r="AV1794">
            <v>14.263722316306255</v>
          </cell>
          <cell r="AW1794">
            <v>12.105561258724364</v>
          </cell>
          <cell r="AX1794">
            <v>10.242049449424412</v>
          </cell>
          <cell r="AY1794">
            <v>13.969073068024317</v>
          </cell>
        </row>
        <row r="1795">
          <cell r="A1795">
            <v>42051</v>
          </cell>
          <cell r="AF1795">
            <v>19.523597859834922</v>
          </cell>
          <cell r="AG1795">
            <v>20.469360058004284</v>
          </cell>
          <cell r="AH1795">
            <v>17.881583490985356</v>
          </cell>
          <cell r="AI1795">
            <v>15.547864889645153</v>
          </cell>
          <cell r="AJ1795">
            <v>20.215302092325562</v>
          </cell>
          <cell r="AU1795">
            <v>13.003912117474382</v>
          </cell>
          <cell r="AV1795">
            <v>14.263722316306255</v>
          </cell>
          <cell r="AW1795">
            <v>12.105561258724364</v>
          </cell>
          <cell r="AX1795">
            <v>10.242049449424412</v>
          </cell>
          <cell r="AY1795">
            <v>13.969073068024317</v>
          </cell>
        </row>
        <row r="1796">
          <cell r="A1796">
            <v>42052</v>
          </cell>
          <cell r="AF1796">
            <v>19.490276701499074</v>
          </cell>
          <cell r="AG1796">
            <v>20.469360058004284</v>
          </cell>
          <cell r="AH1796">
            <v>17.881583490985356</v>
          </cell>
          <cell r="AI1796">
            <v>15.547864889645153</v>
          </cell>
          <cell r="AJ1796">
            <v>20.215302092325562</v>
          </cell>
          <cell r="AU1796">
            <v>12.984598883631957</v>
          </cell>
          <cell r="AV1796">
            <v>14.263722316306255</v>
          </cell>
          <cell r="AW1796">
            <v>12.105561258724364</v>
          </cell>
          <cell r="AX1796">
            <v>10.242049449424412</v>
          </cell>
          <cell r="AY1796">
            <v>13.969073068024317</v>
          </cell>
        </row>
        <row r="1797">
          <cell r="A1797">
            <v>42053</v>
          </cell>
          <cell r="AF1797">
            <v>20.041284198843375</v>
          </cell>
          <cell r="AG1797">
            <v>20.469360058004284</v>
          </cell>
          <cell r="AH1797">
            <v>17.881583490985356</v>
          </cell>
          <cell r="AI1797">
            <v>15.547864889645153</v>
          </cell>
          <cell r="AJ1797">
            <v>20.215302092325562</v>
          </cell>
          <cell r="AU1797">
            <v>13.35670449289653</v>
          </cell>
          <cell r="AV1797">
            <v>14.263722316306255</v>
          </cell>
          <cell r="AW1797">
            <v>12.105561258724364</v>
          </cell>
          <cell r="AX1797">
            <v>10.242049449424412</v>
          </cell>
          <cell r="AY1797">
            <v>13.969073068024317</v>
          </cell>
        </row>
        <row r="1798">
          <cell r="A1798">
            <v>42054</v>
          </cell>
          <cell r="AF1798">
            <v>20.152910102268095</v>
          </cell>
          <cell r="AG1798">
            <v>20.469360058004284</v>
          </cell>
          <cell r="AH1798">
            <v>17.881583490985356</v>
          </cell>
          <cell r="AI1798">
            <v>15.547864889645153</v>
          </cell>
          <cell r="AJ1798">
            <v>20.215302092325562</v>
          </cell>
          <cell r="AU1798">
            <v>13.622518399070646</v>
          </cell>
          <cell r="AV1798">
            <v>14.263722316306255</v>
          </cell>
          <cell r="AW1798">
            <v>12.105561258724364</v>
          </cell>
          <cell r="AX1798">
            <v>10.242049449424412</v>
          </cell>
          <cell r="AY1798">
            <v>13.969073068024317</v>
          </cell>
        </row>
        <row r="1799">
          <cell r="A1799">
            <v>42055</v>
          </cell>
          <cell r="AF1799">
            <v>20.199961161317233</v>
          </cell>
          <cell r="AG1799">
            <v>20.469360058004284</v>
          </cell>
          <cell r="AH1799">
            <v>17.881583490985356</v>
          </cell>
          <cell r="AI1799">
            <v>15.547864889645153</v>
          </cell>
          <cell r="AJ1799">
            <v>20.215302092325562</v>
          </cell>
          <cell r="AU1799">
            <v>13.622518399070646</v>
          </cell>
          <cell r="AV1799">
            <v>14.263722316306255</v>
          </cell>
          <cell r="AW1799">
            <v>12.105561258724364</v>
          </cell>
          <cell r="AX1799">
            <v>10.242049449424412</v>
          </cell>
          <cell r="AY1799">
            <v>13.969073068024317</v>
          </cell>
        </row>
        <row r="1800">
          <cell r="A1800">
            <v>42058</v>
          </cell>
          <cell r="AF1800">
            <v>19.993399614872814</v>
          </cell>
          <cell r="AG1800">
            <v>20.469360058004284</v>
          </cell>
          <cell r="AH1800">
            <v>17.881583490985356</v>
          </cell>
          <cell r="AI1800">
            <v>15.547864889645153</v>
          </cell>
          <cell r="AJ1800">
            <v>20.215302092325562</v>
          </cell>
          <cell r="AU1800">
            <v>13.396449672228309</v>
          </cell>
          <cell r="AV1800">
            <v>14.263722316306255</v>
          </cell>
          <cell r="AW1800">
            <v>12.105561258724364</v>
          </cell>
          <cell r="AX1800">
            <v>10.242049449424412</v>
          </cell>
          <cell r="AY1800">
            <v>13.969073068024317</v>
          </cell>
        </row>
        <row r="1801">
          <cell r="A1801">
            <v>42059</v>
          </cell>
          <cell r="AF1801">
            <v>20.212561109635782</v>
          </cell>
          <cell r="AG1801">
            <v>20.469360058004284</v>
          </cell>
          <cell r="AH1801">
            <v>17.881583490985356</v>
          </cell>
          <cell r="AI1801">
            <v>15.547864889645153</v>
          </cell>
          <cell r="AJ1801">
            <v>20.215302092325562</v>
          </cell>
          <cell r="AU1801">
            <v>13.523860913121659</v>
          </cell>
          <cell r="AV1801">
            <v>14.263722316306255</v>
          </cell>
          <cell r="AW1801">
            <v>12.105561258724364</v>
          </cell>
          <cell r="AX1801">
            <v>10.242049449424412</v>
          </cell>
          <cell r="AY1801">
            <v>13.969073068024317</v>
          </cell>
        </row>
        <row r="1802">
          <cell r="A1802">
            <v>42060</v>
          </cell>
          <cell r="AF1802">
            <v>20.466318875501564</v>
          </cell>
          <cell r="AG1802">
            <v>20.469360058004284</v>
          </cell>
          <cell r="AH1802">
            <v>17.881583490985356</v>
          </cell>
          <cell r="AI1802">
            <v>15.547864889645153</v>
          </cell>
          <cell r="AJ1802">
            <v>20.215302092325562</v>
          </cell>
          <cell r="AU1802">
            <v>13.671384965511667</v>
          </cell>
          <cell r="AV1802">
            <v>14.263722316306255</v>
          </cell>
          <cell r="AW1802">
            <v>12.105561258724364</v>
          </cell>
          <cell r="AX1802">
            <v>10.242049449424412</v>
          </cell>
          <cell r="AY1802">
            <v>13.969073068024317</v>
          </cell>
        </row>
        <row r="1803">
          <cell r="A1803">
            <v>42061</v>
          </cell>
          <cell r="AF1803">
            <v>20.640030783045823</v>
          </cell>
          <cell r="AG1803">
            <v>20.469360058004284</v>
          </cell>
          <cell r="AH1803">
            <v>17.881583490985356</v>
          </cell>
          <cell r="AI1803">
            <v>15.547864889645153</v>
          </cell>
          <cell r="AJ1803">
            <v>20.215302092325562</v>
          </cell>
          <cell r="AU1803">
            <v>13.671384965511667</v>
          </cell>
          <cell r="AV1803">
            <v>14.263722316306255</v>
          </cell>
          <cell r="AW1803">
            <v>12.105561258724364</v>
          </cell>
          <cell r="AX1803">
            <v>10.242049449424412</v>
          </cell>
          <cell r="AY1803">
            <v>13.969073068024317</v>
          </cell>
        </row>
        <row r="1804">
          <cell r="A1804">
            <v>42062</v>
          </cell>
          <cell r="AF1804">
            <v>20.463229106352262</v>
          </cell>
          <cell r="AG1804">
            <v>20.469360058004284</v>
          </cell>
          <cell r="AH1804">
            <v>17.881583490985356</v>
          </cell>
          <cell r="AI1804">
            <v>15.547864889645153</v>
          </cell>
          <cell r="AJ1804">
            <v>20.215302092325562</v>
          </cell>
          <cell r="AU1804">
            <v>13.708105209731327</v>
          </cell>
          <cell r="AV1804">
            <v>14.263722316306255</v>
          </cell>
          <cell r="AW1804">
            <v>12.105561258724364</v>
          </cell>
          <cell r="AX1804">
            <v>10.242049449424412</v>
          </cell>
          <cell r="AY1804">
            <v>13.969073068024317</v>
          </cell>
        </row>
        <row r="1805">
          <cell r="A1805">
            <v>42065</v>
          </cell>
          <cell r="AF1805">
            <v>20.473315703746287</v>
          </cell>
          <cell r="AG1805">
            <v>20.469360058004284</v>
          </cell>
          <cell r="AH1805">
            <v>17.881583490985356</v>
          </cell>
          <cell r="AI1805">
            <v>15.547864889645153</v>
          </cell>
          <cell r="AJ1805">
            <v>20.215302092325562</v>
          </cell>
          <cell r="AU1805">
            <v>13.584184523888059</v>
          </cell>
          <cell r="AV1805">
            <v>14.263722316306255</v>
          </cell>
          <cell r="AW1805">
            <v>12.105561258724364</v>
          </cell>
          <cell r="AX1805">
            <v>10.242049449424412</v>
          </cell>
          <cell r="AY1805">
            <v>13.969073068024317</v>
          </cell>
        </row>
        <row r="1806">
          <cell r="A1806">
            <v>42066</v>
          </cell>
          <cell r="AF1806">
            <v>20.343011210117851</v>
          </cell>
          <cell r="AG1806">
            <v>20.469360058004284</v>
          </cell>
          <cell r="AH1806">
            <v>17.881583490985356</v>
          </cell>
          <cell r="AI1806">
            <v>15.547864889645153</v>
          </cell>
          <cell r="AJ1806">
            <v>20.215302092325562</v>
          </cell>
          <cell r="AU1806">
            <v>13.508602452274372</v>
          </cell>
          <cell r="AV1806">
            <v>14.263722316306255</v>
          </cell>
          <cell r="AW1806">
            <v>12.105561258724364</v>
          </cell>
          <cell r="AX1806">
            <v>10.242049449424412</v>
          </cell>
          <cell r="AY1806">
            <v>13.969073068024317</v>
          </cell>
        </row>
        <row r="1807">
          <cell r="A1807">
            <v>42067</v>
          </cell>
          <cell r="AF1807">
            <v>20.044075500622785</v>
          </cell>
          <cell r="AG1807">
            <v>20.469360058004284</v>
          </cell>
          <cell r="AH1807">
            <v>17.881583490985356</v>
          </cell>
          <cell r="AI1807">
            <v>15.547864889645153</v>
          </cell>
          <cell r="AJ1807">
            <v>20.215302092325562</v>
          </cell>
          <cell r="AU1807">
            <v>13.335207202626483</v>
          </cell>
          <cell r="AV1807">
            <v>14.263722316306255</v>
          </cell>
          <cell r="AW1807">
            <v>12.105561258724364</v>
          </cell>
          <cell r="AX1807">
            <v>10.242049449424412</v>
          </cell>
          <cell r="AY1807">
            <v>13.969073068024317</v>
          </cell>
        </row>
        <row r="1808">
          <cell r="A1808">
            <v>42068</v>
          </cell>
          <cell r="AF1808">
            <v>20.174379610999331</v>
          </cell>
          <cell r="AG1808">
            <v>20.469360058004284</v>
          </cell>
          <cell r="AH1808">
            <v>17.881583490985356</v>
          </cell>
          <cell r="AI1808">
            <v>15.547864889645153</v>
          </cell>
          <cell r="AJ1808">
            <v>20.215302092325562</v>
          </cell>
          <cell r="AU1808">
            <v>13.410789051937996</v>
          </cell>
          <cell r="AV1808">
            <v>14.263722316306255</v>
          </cell>
          <cell r="AW1808">
            <v>12.105561258724364</v>
          </cell>
          <cell r="AX1808">
            <v>10.242049449424412</v>
          </cell>
          <cell r="AY1808">
            <v>13.969073068024317</v>
          </cell>
        </row>
        <row r="1809">
          <cell r="A1809">
            <v>42069</v>
          </cell>
          <cell r="AF1809">
            <v>19.773882150043118</v>
          </cell>
          <cell r="AG1809">
            <v>20.469360058004284</v>
          </cell>
          <cell r="AH1809">
            <v>17.881583490985356</v>
          </cell>
          <cell r="AI1809">
            <v>15.547864889645153</v>
          </cell>
          <cell r="AJ1809">
            <v>20.215302092325562</v>
          </cell>
          <cell r="AU1809">
            <v>13.410789051937996</v>
          </cell>
          <cell r="AV1809">
            <v>14.263722316306255</v>
          </cell>
          <cell r="AW1809">
            <v>12.105561258724364</v>
          </cell>
          <cell r="AX1809">
            <v>10.242049449424412</v>
          </cell>
          <cell r="AY1809">
            <v>13.969073068024317</v>
          </cell>
        </row>
        <row r="1810">
          <cell r="A1810">
            <v>42072</v>
          </cell>
          <cell r="AF1810">
            <v>19.87591961099001</v>
          </cell>
          <cell r="AG1810">
            <v>20.469360058004284</v>
          </cell>
          <cell r="AH1810">
            <v>17.881583490985356</v>
          </cell>
          <cell r="AI1810">
            <v>15.547864889645153</v>
          </cell>
          <cell r="AJ1810">
            <v>20.215302092325562</v>
          </cell>
          <cell r="AU1810">
            <v>13.237393579987938</v>
          </cell>
          <cell r="AV1810">
            <v>14.263722316306255</v>
          </cell>
          <cell r="AW1810">
            <v>12.105561258724364</v>
          </cell>
          <cell r="AX1810">
            <v>10.242049449424412</v>
          </cell>
          <cell r="AY1810">
            <v>13.969073068024317</v>
          </cell>
        </row>
        <row r="1811">
          <cell r="A1811">
            <v>42073</v>
          </cell>
          <cell r="AF1811">
            <v>19.59997125541955</v>
          </cell>
          <cell r="AG1811">
            <v>20.469360058004284</v>
          </cell>
          <cell r="AH1811">
            <v>17.881583490985356</v>
          </cell>
          <cell r="AI1811">
            <v>15.547864889645153</v>
          </cell>
          <cell r="AJ1811">
            <v>20.215302092325562</v>
          </cell>
          <cell r="AU1811">
            <v>13.07733579376063</v>
          </cell>
          <cell r="AV1811">
            <v>14.263722316306255</v>
          </cell>
          <cell r="AW1811">
            <v>12.105561258724364</v>
          </cell>
          <cell r="AX1811">
            <v>10.242049449424412</v>
          </cell>
          <cell r="AY1811">
            <v>13.969073068024317</v>
          </cell>
        </row>
        <row r="1812">
          <cell r="A1812">
            <v>42074</v>
          </cell>
          <cell r="AF1812">
            <v>19.580807052003735</v>
          </cell>
          <cell r="AG1812">
            <v>20.469360058004284</v>
          </cell>
          <cell r="AH1812">
            <v>17.881583490985356</v>
          </cell>
          <cell r="AI1812">
            <v>15.547864889645153</v>
          </cell>
          <cell r="AJ1812">
            <v>20.215302092325562</v>
          </cell>
          <cell r="AU1812">
            <v>13.066220018248201</v>
          </cell>
          <cell r="AV1812">
            <v>14.263722316306255</v>
          </cell>
          <cell r="AW1812">
            <v>12.105561258724364</v>
          </cell>
          <cell r="AX1812">
            <v>10.242049449424412</v>
          </cell>
          <cell r="AY1812">
            <v>13.969073068024317</v>
          </cell>
        </row>
        <row r="1813">
          <cell r="A1813">
            <v>42075</v>
          </cell>
          <cell r="AF1813">
            <v>19.677792098197159</v>
          </cell>
          <cell r="AG1813">
            <v>20.469360058004284</v>
          </cell>
          <cell r="AH1813">
            <v>17.881583490985356</v>
          </cell>
          <cell r="AI1813">
            <v>15.547864889645153</v>
          </cell>
          <cell r="AJ1813">
            <v>20.215302092325562</v>
          </cell>
          <cell r="AU1813">
            <v>13.112905030508237</v>
          </cell>
          <cell r="AV1813">
            <v>14.263722316306255</v>
          </cell>
          <cell r="AW1813">
            <v>12.105561258724364</v>
          </cell>
          <cell r="AX1813">
            <v>10.242049449424412</v>
          </cell>
          <cell r="AY1813">
            <v>13.969073068024317</v>
          </cell>
        </row>
        <row r="1814">
          <cell r="A1814">
            <v>42076</v>
          </cell>
          <cell r="AF1814">
            <v>19.386265439202148</v>
          </cell>
          <cell r="AG1814">
            <v>20.469360058004284</v>
          </cell>
          <cell r="AH1814">
            <v>17.881583490985356</v>
          </cell>
          <cell r="AI1814">
            <v>15.547864889645153</v>
          </cell>
          <cell r="AJ1814">
            <v>20.215302092325562</v>
          </cell>
          <cell r="AU1814">
            <v>13.112905030508237</v>
          </cell>
          <cell r="AV1814">
            <v>14.263722316306255</v>
          </cell>
          <cell r="AW1814">
            <v>12.105561258724364</v>
          </cell>
          <cell r="AX1814">
            <v>10.242049449424412</v>
          </cell>
          <cell r="AY1814">
            <v>13.969073068024317</v>
          </cell>
        </row>
        <row r="1815">
          <cell r="A1815">
            <v>42079</v>
          </cell>
          <cell r="AF1815">
            <v>19.542044452969524</v>
          </cell>
          <cell r="AG1815">
            <v>20.469360058004284</v>
          </cell>
          <cell r="AH1815">
            <v>17.881583490985356</v>
          </cell>
          <cell r="AI1815">
            <v>15.547864889645153</v>
          </cell>
          <cell r="AJ1815">
            <v>20.215302092325562</v>
          </cell>
          <cell r="AU1815">
            <v>13.032876026243498</v>
          </cell>
          <cell r="AV1815">
            <v>14.263722316306255</v>
          </cell>
          <cell r="AW1815">
            <v>12.105561258724364</v>
          </cell>
          <cell r="AX1815">
            <v>10.242049449424412</v>
          </cell>
          <cell r="AY1815">
            <v>13.969073068024317</v>
          </cell>
        </row>
        <row r="1816">
          <cell r="A1816">
            <v>42080</v>
          </cell>
          <cell r="AF1816">
            <v>19.615160411369729</v>
          </cell>
          <cell r="AG1816">
            <v>20.469360058004284</v>
          </cell>
          <cell r="AH1816">
            <v>17.881583490985356</v>
          </cell>
          <cell r="AI1816">
            <v>15.547864889645153</v>
          </cell>
          <cell r="AJ1816">
            <v>20.215302092325562</v>
          </cell>
          <cell r="AU1816">
            <v>13.075113883550307</v>
          </cell>
          <cell r="AV1816">
            <v>14.263722316306255</v>
          </cell>
          <cell r="AW1816">
            <v>12.105561258724364</v>
          </cell>
          <cell r="AX1816">
            <v>10.242049449424412</v>
          </cell>
          <cell r="AY1816">
            <v>13.969073068024317</v>
          </cell>
        </row>
        <row r="1817">
          <cell r="A1817">
            <v>42081</v>
          </cell>
          <cell r="AF1817">
            <v>19.977690586507816</v>
          </cell>
          <cell r="AG1817">
            <v>20.469360058004284</v>
          </cell>
          <cell r="AH1817">
            <v>17.881583490985356</v>
          </cell>
          <cell r="AI1817">
            <v>15.547864889645153</v>
          </cell>
          <cell r="AJ1817">
            <v>20.215302092325562</v>
          </cell>
          <cell r="AU1817">
            <v>13.285187657784673</v>
          </cell>
          <cell r="AV1817">
            <v>14.263722316306255</v>
          </cell>
          <cell r="AW1817">
            <v>12.105561258724364</v>
          </cell>
          <cell r="AX1817">
            <v>10.242049449424412</v>
          </cell>
          <cell r="AY1817">
            <v>13.969073068024317</v>
          </cell>
        </row>
        <row r="1818">
          <cell r="A1818">
            <v>42082</v>
          </cell>
          <cell r="AF1818">
            <v>19.932841984073683</v>
          </cell>
          <cell r="AG1818">
            <v>20.469360058004284</v>
          </cell>
          <cell r="AH1818">
            <v>17.881583490985356</v>
          </cell>
          <cell r="AI1818">
            <v>15.547864889645153</v>
          </cell>
          <cell r="AJ1818">
            <v>20.215302092325562</v>
          </cell>
          <cell r="AU1818">
            <v>13.290527824223359</v>
          </cell>
          <cell r="AV1818">
            <v>14.263722316306255</v>
          </cell>
          <cell r="AW1818">
            <v>12.105561258724364</v>
          </cell>
          <cell r="AX1818">
            <v>10.242049449424412</v>
          </cell>
          <cell r="AY1818">
            <v>13.969073068024317</v>
          </cell>
        </row>
        <row r="1819">
          <cell r="A1819">
            <v>42083</v>
          </cell>
          <cell r="AF1819">
            <v>19.879115034059293</v>
          </cell>
          <cell r="AG1819">
            <v>20.469360058004284</v>
          </cell>
          <cell r="AH1819">
            <v>17.881583490985356</v>
          </cell>
          <cell r="AI1819">
            <v>15.547864889645153</v>
          </cell>
          <cell r="AJ1819">
            <v>20.215302092325562</v>
          </cell>
          <cell r="AU1819">
            <v>13.290527824223359</v>
          </cell>
          <cell r="AV1819">
            <v>14.263722316306255</v>
          </cell>
          <cell r="AW1819">
            <v>12.105561258724364</v>
          </cell>
          <cell r="AX1819">
            <v>10.242049449424412</v>
          </cell>
          <cell r="AY1819">
            <v>13.969073068024317</v>
          </cell>
        </row>
        <row r="1820">
          <cell r="A1820">
            <v>42086</v>
          </cell>
          <cell r="AF1820">
            <v>19.925165115609708</v>
          </cell>
          <cell r="AG1820">
            <v>20.469360058004284</v>
          </cell>
          <cell r="AH1820">
            <v>17.881583490985356</v>
          </cell>
          <cell r="AI1820">
            <v>15.547864889645153</v>
          </cell>
          <cell r="AJ1820">
            <v>20.215302092325562</v>
          </cell>
          <cell r="AU1820">
            <v>13.286069032251886</v>
          </cell>
          <cell r="AV1820">
            <v>14.263722316306255</v>
          </cell>
          <cell r="AW1820">
            <v>12.105561258724364</v>
          </cell>
          <cell r="AX1820">
            <v>10.242049449424412</v>
          </cell>
          <cell r="AY1820">
            <v>13.969073068024317</v>
          </cell>
        </row>
        <row r="1821">
          <cell r="A1821">
            <v>42087</v>
          </cell>
          <cell r="AF1821">
            <v>19.871437781828647</v>
          </cell>
          <cell r="AG1821">
            <v>20.469360058004284</v>
          </cell>
          <cell r="AH1821">
            <v>17.881583490985356</v>
          </cell>
          <cell r="AI1821">
            <v>15.547864889645153</v>
          </cell>
          <cell r="AJ1821">
            <v>20.215302092325562</v>
          </cell>
          <cell r="AU1821">
            <v>13.254863729512136</v>
          </cell>
          <cell r="AV1821">
            <v>14.263722316306255</v>
          </cell>
          <cell r="AW1821">
            <v>12.105561258724364</v>
          </cell>
          <cell r="AX1821">
            <v>10.242049449424412</v>
          </cell>
          <cell r="AY1821">
            <v>13.969073068024317</v>
          </cell>
        </row>
        <row r="1822">
          <cell r="A1822">
            <v>42088</v>
          </cell>
          <cell r="AF1822">
            <v>19.453133646742778</v>
          </cell>
          <cell r="AG1822">
            <v>20.469360058004284</v>
          </cell>
          <cell r="AH1822">
            <v>17.881583490985356</v>
          </cell>
          <cell r="AI1822">
            <v>15.547864889645153</v>
          </cell>
          <cell r="AJ1822">
            <v>20.215302092325562</v>
          </cell>
          <cell r="AU1822">
            <v>13.011909049761313</v>
          </cell>
          <cell r="AV1822">
            <v>14.263722316306255</v>
          </cell>
          <cell r="AW1822">
            <v>12.105561258724364</v>
          </cell>
          <cell r="AX1822">
            <v>10.242049449424412</v>
          </cell>
          <cell r="AY1822">
            <v>13.969073068024317</v>
          </cell>
        </row>
        <row r="1823">
          <cell r="A1823">
            <v>42089</v>
          </cell>
          <cell r="AF1823">
            <v>19.387894080399118</v>
          </cell>
          <cell r="AG1823">
            <v>20.469360058004284</v>
          </cell>
          <cell r="AH1823">
            <v>17.881583490985356</v>
          </cell>
          <cell r="AI1823">
            <v>15.547864889645153</v>
          </cell>
          <cell r="AJ1823">
            <v>20.215302092325562</v>
          </cell>
          <cell r="AU1823">
            <v>12.974017342224515</v>
          </cell>
          <cell r="AV1823">
            <v>14.263722316306255</v>
          </cell>
          <cell r="AW1823">
            <v>12.105561258724364</v>
          </cell>
          <cell r="AX1823">
            <v>10.242049449424412</v>
          </cell>
          <cell r="AY1823">
            <v>13.969073068024317</v>
          </cell>
        </row>
        <row r="1824">
          <cell r="A1824">
            <v>42090</v>
          </cell>
          <cell r="AF1824">
            <v>19.491506859829222</v>
          </cell>
          <cell r="AG1824">
            <v>20.469360058004284</v>
          </cell>
          <cell r="AH1824">
            <v>17.881583490985356</v>
          </cell>
          <cell r="AI1824">
            <v>15.547864889645153</v>
          </cell>
          <cell r="AJ1824">
            <v>20.215302092325562</v>
          </cell>
          <cell r="AU1824">
            <v>12.974017342224515</v>
          </cell>
          <cell r="AV1824">
            <v>14.263722316306255</v>
          </cell>
          <cell r="AW1824">
            <v>12.105561258724364</v>
          </cell>
          <cell r="AX1824">
            <v>10.242049449424412</v>
          </cell>
          <cell r="AY1824">
            <v>13.969073068024317</v>
          </cell>
        </row>
        <row r="1825">
          <cell r="A1825">
            <v>42093</v>
          </cell>
          <cell r="AF1825">
            <v>19.679554446896287</v>
          </cell>
          <cell r="AG1825">
            <v>20.469360058004284</v>
          </cell>
          <cell r="AH1825">
            <v>17.881583490985356</v>
          </cell>
          <cell r="AI1825">
            <v>15.547864889645153</v>
          </cell>
          <cell r="AJ1825">
            <v>20.215302092325562</v>
          </cell>
          <cell r="AU1825">
            <v>13.143416219727321</v>
          </cell>
          <cell r="AV1825">
            <v>14.263722316306255</v>
          </cell>
          <cell r="AW1825">
            <v>12.105561258724364</v>
          </cell>
          <cell r="AX1825">
            <v>10.242049449424412</v>
          </cell>
          <cell r="AY1825">
            <v>13.969073068024317</v>
          </cell>
        </row>
        <row r="1826">
          <cell r="A1826">
            <v>42094</v>
          </cell>
          <cell r="AF1826">
            <v>19.529885829415715</v>
          </cell>
          <cell r="AG1826">
            <v>20.469360058004284</v>
          </cell>
          <cell r="AH1826">
            <v>17.881583490985356</v>
          </cell>
          <cell r="AI1826">
            <v>15.547864889645153</v>
          </cell>
          <cell r="AJ1826">
            <v>20.215302092325562</v>
          </cell>
          <cell r="AU1826">
            <v>13.056487384990183</v>
          </cell>
          <cell r="AV1826">
            <v>14.263722316306255</v>
          </cell>
          <cell r="AW1826">
            <v>12.105561258724364</v>
          </cell>
          <cell r="AX1826">
            <v>10.242049449424412</v>
          </cell>
          <cell r="AY1826">
            <v>13.969073068024317</v>
          </cell>
        </row>
        <row r="1827">
          <cell r="A1827">
            <v>42095</v>
          </cell>
          <cell r="AF1827">
            <v>19.151528642196759</v>
          </cell>
          <cell r="AG1827">
            <v>20.469360058004284</v>
          </cell>
          <cell r="AH1827">
            <v>17.881583490985356</v>
          </cell>
          <cell r="AI1827">
            <v>15.547864889645153</v>
          </cell>
          <cell r="AJ1827">
            <v>20.215302092325562</v>
          </cell>
          <cell r="AU1827">
            <v>12.856947728304387</v>
          </cell>
          <cell r="AV1827">
            <v>14.263722316306255</v>
          </cell>
          <cell r="AW1827">
            <v>12.105561258724364</v>
          </cell>
          <cell r="AX1827">
            <v>10.242049449424412</v>
          </cell>
          <cell r="AY1827">
            <v>13.969073068024317</v>
          </cell>
        </row>
        <row r="1828">
          <cell r="A1828">
            <v>42096</v>
          </cell>
          <cell r="AF1828">
            <v>19.140097548585683</v>
          </cell>
          <cell r="AG1828">
            <v>20.469360058004284</v>
          </cell>
          <cell r="AH1828">
            <v>17.881583490985356</v>
          </cell>
          <cell r="AI1828">
            <v>15.547864889645153</v>
          </cell>
          <cell r="AJ1828">
            <v>20.215302092325562</v>
          </cell>
          <cell r="AU1828">
            <v>12.850291704200547</v>
          </cell>
          <cell r="AV1828">
            <v>14.263722316306255</v>
          </cell>
          <cell r="AW1828">
            <v>12.105561258724364</v>
          </cell>
          <cell r="AX1828">
            <v>10.242049449424412</v>
          </cell>
          <cell r="AY1828">
            <v>13.969073068024317</v>
          </cell>
        </row>
        <row r="1829">
          <cell r="A1829">
            <v>42097</v>
          </cell>
          <cell r="AF1829">
            <v>19.140097548585683</v>
          </cell>
          <cell r="AG1829">
            <v>20.469360058004284</v>
          </cell>
          <cell r="AH1829">
            <v>17.881583490985356</v>
          </cell>
          <cell r="AI1829">
            <v>15.547864889645153</v>
          </cell>
          <cell r="AJ1829">
            <v>20.215302092325562</v>
          </cell>
          <cell r="AU1829">
            <v>12.850291704200547</v>
          </cell>
          <cell r="AV1829">
            <v>14.263722316306255</v>
          </cell>
          <cell r="AW1829">
            <v>12.105561258724364</v>
          </cell>
          <cell r="AX1829">
            <v>10.242049449424412</v>
          </cell>
          <cell r="AY1829">
            <v>13.969073068024317</v>
          </cell>
        </row>
        <row r="1830">
          <cell r="A1830">
            <v>42100</v>
          </cell>
          <cell r="AF1830">
            <v>19.342053219867299</v>
          </cell>
          <cell r="AG1830">
            <v>20.469360058004284</v>
          </cell>
          <cell r="AH1830">
            <v>17.881583490985356</v>
          </cell>
          <cell r="AI1830">
            <v>15.547864889645153</v>
          </cell>
          <cell r="AJ1830">
            <v>20.215302092325562</v>
          </cell>
          <cell r="AU1830">
            <v>12.967885161282794</v>
          </cell>
          <cell r="AV1830">
            <v>14.263722316306255</v>
          </cell>
          <cell r="AW1830">
            <v>12.105561258724364</v>
          </cell>
          <cell r="AX1830">
            <v>10.242049449424412</v>
          </cell>
          <cell r="AY1830">
            <v>13.969073068024317</v>
          </cell>
        </row>
        <row r="1831">
          <cell r="A1831">
            <v>42101</v>
          </cell>
          <cell r="AF1831">
            <v>19.292520640164508</v>
          </cell>
          <cell r="AG1831">
            <v>20.469360058004284</v>
          </cell>
          <cell r="AH1831">
            <v>17.881583490985356</v>
          </cell>
          <cell r="AI1831">
            <v>15.547864889645153</v>
          </cell>
          <cell r="AJ1831">
            <v>20.215302092325562</v>
          </cell>
          <cell r="AU1831">
            <v>12.939043647457067</v>
          </cell>
          <cell r="AV1831">
            <v>14.263722316306255</v>
          </cell>
          <cell r="AW1831">
            <v>12.105561258724364</v>
          </cell>
          <cell r="AX1831">
            <v>10.242049449424412</v>
          </cell>
          <cell r="AY1831">
            <v>13.969073068024317</v>
          </cell>
        </row>
        <row r="1832">
          <cell r="A1832">
            <v>42102</v>
          </cell>
          <cell r="AF1832">
            <v>19.342053219867299</v>
          </cell>
          <cell r="AG1832">
            <v>20.469360058004284</v>
          </cell>
          <cell r="AH1832">
            <v>17.881583490985356</v>
          </cell>
          <cell r="AI1832">
            <v>15.547864889645153</v>
          </cell>
          <cell r="AJ1832">
            <v>20.215302092325562</v>
          </cell>
          <cell r="AU1832">
            <v>12.967885161282794</v>
          </cell>
          <cell r="AV1832">
            <v>14.263722316306255</v>
          </cell>
          <cell r="AW1832">
            <v>12.105561258724364</v>
          </cell>
          <cell r="AX1832">
            <v>10.242049449424412</v>
          </cell>
          <cell r="AY1832">
            <v>13.969073068024317</v>
          </cell>
        </row>
        <row r="1833">
          <cell r="A1833">
            <v>42103</v>
          </cell>
          <cell r="AF1833">
            <v>19.57449358567451</v>
          </cell>
          <cell r="AG1833">
            <v>20.469360058004284</v>
          </cell>
          <cell r="AH1833">
            <v>17.881583490985356</v>
          </cell>
          <cell r="AI1833">
            <v>15.547864889645153</v>
          </cell>
          <cell r="AJ1833">
            <v>20.215302092325562</v>
          </cell>
          <cell r="AU1833">
            <v>13.103229051391319</v>
          </cell>
          <cell r="AV1833">
            <v>14.263722316306255</v>
          </cell>
          <cell r="AW1833">
            <v>12.105561258724364</v>
          </cell>
          <cell r="AX1833">
            <v>10.242049449424412</v>
          </cell>
          <cell r="AY1833">
            <v>13.969073068024317</v>
          </cell>
        </row>
        <row r="1834">
          <cell r="A1834">
            <v>42104</v>
          </cell>
          <cell r="AF1834">
            <v>19.712759405187533</v>
          </cell>
          <cell r="AG1834">
            <v>20.469360058004284</v>
          </cell>
          <cell r="AH1834">
            <v>17.881583490985356</v>
          </cell>
          <cell r="AI1834">
            <v>15.547864889645153</v>
          </cell>
          <cell r="AJ1834">
            <v>20.215302092325562</v>
          </cell>
          <cell r="AU1834">
            <v>13.209169701258904</v>
          </cell>
          <cell r="AV1834">
            <v>14.263722316306255</v>
          </cell>
          <cell r="AW1834">
            <v>12.105561258724364</v>
          </cell>
          <cell r="AX1834">
            <v>10.242049449424412</v>
          </cell>
          <cell r="AY1834">
            <v>13.969073068024317</v>
          </cell>
        </row>
        <row r="1835">
          <cell r="A1835">
            <v>42107</v>
          </cell>
          <cell r="AF1835">
            <v>19.575494534826561</v>
          </cell>
          <cell r="AG1835">
            <v>20.469360058004284</v>
          </cell>
          <cell r="AH1835">
            <v>17.881583490985356</v>
          </cell>
          <cell r="AI1835">
            <v>15.547864889645153</v>
          </cell>
          <cell r="AJ1835">
            <v>20.215302092325562</v>
          </cell>
          <cell r="AU1835">
            <v>13.088638855470203</v>
          </cell>
          <cell r="AV1835">
            <v>14.263722316306255</v>
          </cell>
          <cell r="AW1835">
            <v>12.105561258724364</v>
          </cell>
          <cell r="AX1835">
            <v>10.242049449424412</v>
          </cell>
          <cell r="AY1835">
            <v>13.969073068024317</v>
          </cell>
        </row>
        <row r="1836">
          <cell r="A1836">
            <v>42108</v>
          </cell>
          <cell r="AF1836">
            <v>19.55261781901568</v>
          </cell>
          <cell r="AG1836">
            <v>20.469360058004284</v>
          </cell>
          <cell r="AH1836">
            <v>17.881583490985356</v>
          </cell>
          <cell r="AI1836">
            <v>15.547864889645153</v>
          </cell>
          <cell r="AJ1836">
            <v>20.215302092325562</v>
          </cell>
          <cell r="AU1836">
            <v>13.075341029113609</v>
          </cell>
          <cell r="AV1836">
            <v>14.263722316306255</v>
          </cell>
          <cell r="AW1836">
            <v>12.105561258724364</v>
          </cell>
          <cell r="AX1836">
            <v>10.242049449424412</v>
          </cell>
          <cell r="AY1836">
            <v>13.969073068024317</v>
          </cell>
        </row>
        <row r="1837">
          <cell r="A1837">
            <v>42109</v>
          </cell>
          <cell r="AF1837">
            <v>19.470641713270883</v>
          </cell>
          <cell r="AG1837">
            <v>20.469360058004284</v>
          </cell>
          <cell r="AH1837">
            <v>17.881583490985356</v>
          </cell>
          <cell r="AI1837">
            <v>15.547864889645153</v>
          </cell>
          <cell r="AJ1837">
            <v>20.215302092325562</v>
          </cell>
          <cell r="AU1837">
            <v>13.027689782816028</v>
          </cell>
          <cell r="AV1837">
            <v>14.263722316306255</v>
          </cell>
          <cell r="AW1837">
            <v>12.105561258724364</v>
          </cell>
          <cell r="AX1837">
            <v>10.242049449424412</v>
          </cell>
          <cell r="AY1837">
            <v>13.969073068024317</v>
          </cell>
        </row>
        <row r="1838">
          <cell r="A1838">
            <v>42110</v>
          </cell>
          <cell r="AF1838">
            <v>19.400103584140219</v>
          </cell>
          <cell r="AG1838">
            <v>20.469360058004284</v>
          </cell>
          <cell r="AH1838">
            <v>17.881583490985356</v>
          </cell>
          <cell r="AI1838">
            <v>15.547864889645153</v>
          </cell>
          <cell r="AJ1838">
            <v>20.215302092325562</v>
          </cell>
          <cell r="AU1838">
            <v>12.986687228058919</v>
          </cell>
          <cell r="AV1838">
            <v>14.263722316306255</v>
          </cell>
          <cell r="AW1838">
            <v>12.105561258724364</v>
          </cell>
          <cell r="AX1838">
            <v>10.242049449424412</v>
          </cell>
          <cell r="AY1838">
            <v>13.969073068024317</v>
          </cell>
        </row>
        <row r="1839">
          <cell r="A1839">
            <v>42111</v>
          </cell>
          <cell r="AF1839">
            <v>19.201830579564703</v>
          </cell>
          <cell r="AG1839">
            <v>20.469360058004284</v>
          </cell>
          <cell r="AH1839">
            <v>17.881583490985356</v>
          </cell>
          <cell r="AI1839">
            <v>15.547864889645153</v>
          </cell>
          <cell r="AJ1839">
            <v>20.215302092325562</v>
          </cell>
          <cell r="AU1839">
            <v>12.871431346794052</v>
          </cell>
          <cell r="AV1839">
            <v>14.263722316306255</v>
          </cell>
          <cell r="AW1839">
            <v>12.105561258724364</v>
          </cell>
          <cell r="AX1839">
            <v>10.242049449424412</v>
          </cell>
          <cell r="AY1839">
            <v>13.969073068024317</v>
          </cell>
        </row>
        <row r="1840">
          <cell r="A1840">
            <v>42114</v>
          </cell>
          <cell r="AF1840">
            <v>19.664845297141785</v>
          </cell>
          <cell r="AG1840">
            <v>20.469360058004284</v>
          </cell>
          <cell r="AH1840">
            <v>17.881583490985356</v>
          </cell>
          <cell r="AI1840">
            <v>15.547864889645153</v>
          </cell>
          <cell r="AJ1840">
            <v>20.215302092325562</v>
          </cell>
          <cell r="AU1840">
            <v>13.139617993743252</v>
          </cell>
          <cell r="AV1840">
            <v>14.263722316306255</v>
          </cell>
          <cell r="AW1840">
            <v>12.105561258724364</v>
          </cell>
          <cell r="AX1840">
            <v>10.242049449424412</v>
          </cell>
          <cell r="AY1840">
            <v>13.969073068024317</v>
          </cell>
        </row>
        <row r="1841">
          <cell r="A1841">
            <v>42115</v>
          </cell>
          <cell r="AF1841">
            <v>19.801451317298657</v>
          </cell>
          <cell r="AG1841">
            <v>20.469360058004284</v>
          </cell>
          <cell r="AH1841">
            <v>17.881583490985356</v>
          </cell>
          <cell r="AI1841">
            <v>15.547864889645153</v>
          </cell>
          <cell r="AJ1841">
            <v>20.215302092325562</v>
          </cell>
          <cell r="AU1841">
            <v>13.20389141216766</v>
          </cell>
          <cell r="AV1841">
            <v>14.263722316306255</v>
          </cell>
          <cell r="AW1841">
            <v>12.105561258724364</v>
          </cell>
          <cell r="AX1841">
            <v>10.242049449424412</v>
          </cell>
          <cell r="AY1841">
            <v>13.969073068024317</v>
          </cell>
        </row>
        <row r="1842">
          <cell r="A1842">
            <v>42116</v>
          </cell>
          <cell r="AF1842">
            <v>19.980909507447588</v>
          </cell>
          <cell r="AG1842">
            <v>20.469360058004284</v>
          </cell>
          <cell r="AH1842">
            <v>17.881583490985356</v>
          </cell>
          <cell r="AI1842">
            <v>15.547864889645153</v>
          </cell>
          <cell r="AJ1842">
            <v>20.215302092325562</v>
          </cell>
          <cell r="AU1842">
            <v>13.308019232043121</v>
          </cell>
          <cell r="AV1842">
            <v>14.263722316306255</v>
          </cell>
          <cell r="AW1842">
            <v>12.105561258724364</v>
          </cell>
          <cell r="AX1842">
            <v>10.242049449424412</v>
          </cell>
          <cell r="AY1842">
            <v>13.969073068024317</v>
          </cell>
        </row>
        <row r="1843">
          <cell r="A1843">
            <v>42117</v>
          </cell>
          <cell r="AF1843">
            <v>19.90072394043727</v>
          </cell>
          <cell r="AG1843">
            <v>20.469360058004284</v>
          </cell>
          <cell r="AH1843">
            <v>17.881583490985356</v>
          </cell>
          <cell r="AI1843">
            <v>15.547864889645153</v>
          </cell>
          <cell r="AJ1843">
            <v>20.215302092325562</v>
          </cell>
          <cell r="AU1843">
            <v>13.2614741060308</v>
          </cell>
          <cell r="AV1843">
            <v>14.263722316306255</v>
          </cell>
          <cell r="AW1843">
            <v>12.105561258724364</v>
          </cell>
          <cell r="AX1843">
            <v>10.242049449424412</v>
          </cell>
          <cell r="AY1843">
            <v>13.969073068024317</v>
          </cell>
        </row>
        <row r="1844">
          <cell r="A1844">
            <v>42118</v>
          </cell>
          <cell r="AF1844">
            <v>20.015272623140604</v>
          </cell>
          <cell r="AG1844">
            <v>20.469360058004284</v>
          </cell>
          <cell r="AH1844">
            <v>17.881583490985356</v>
          </cell>
          <cell r="AI1844">
            <v>15.547864889645153</v>
          </cell>
          <cell r="AJ1844">
            <v>20.215302092325562</v>
          </cell>
          <cell r="AU1844">
            <v>13.32796590835585</v>
          </cell>
          <cell r="AV1844">
            <v>14.263722316306255</v>
          </cell>
          <cell r="AW1844">
            <v>12.105561258724364</v>
          </cell>
          <cell r="AX1844">
            <v>10.242049449424412</v>
          </cell>
          <cell r="AY1844">
            <v>13.969073068024317</v>
          </cell>
        </row>
        <row r="1845">
          <cell r="A1845">
            <v>42121</v>
          </cell>
          <cell r="AF1845">
            <v>19.511266513938565</v>
          </cell>
          <cell r="AG1845">
            <v>20.469360058004284</v>
          </cell>
          <cell r="AH1845">
            <v>17.881583490985356</v>
          </cell>
          <cell r="AI1845">
            <v>15.547864889645153</v>
          </cell>
          <cell r="AJ1845">
            <v>20.215302092325562</v>
          </cell>
          <cell r="AU1845">
            <v>13.035406676832672</v>
          </cell>
          <cell r="AV1845">
            <v>14.263722316306255</v>
          </cell>
          <cell r="AW1845">
            <v>12.105561258724364</v>
          </cell>
          <cell r="AX1845">
            <v>10.242049449424412</v>
          </cell>
          <cell r="AY1845">
            <v>13.969073068024317</v>
          </cell>
        </row>
        <row r="1846">
          <cell r="A1846">
            <v>42122</v>
          </cell>
          <cell r="AF1846">
            <v>19.656355861017619</v>
          </cell>
          <cell r="AG1846">
            <v>20.469360058004284</v>
          </cell>
          <cell r="AH1846">
            <v>17.881583490985356</v>
          </cell>
          <cell r="AI1846">
            <v>15.547864889645153</v>
          </cell>
          <cell r="AJ1846">
            <v>20.215302092325562</v>
          </cell>
          <cell r="AU1846">
            <v>13.119626346214959</v>
          </cell>
          <cell r="AV1846">
            <v>14.263722316306255</v>
          </cell>
          <cell r="AW1846">
            <v>12.105561258724364</v>
          </cell>
          <cell r="AX1846">
            <v>10.242049449424412</v>
          </cell>
          <cell r="AY1846">
            <v>13.969073068024317</v>
          </cell>
        </row>
        <row r="1847">
          <cell r="A1847">
            <v>42123</v>
          </cell>
          <cell r="AF1847">
            <v>19.469265368463191</v>
          </cell>
          <cell r="AG1847">
            <v>20.469360058004284</v>
          </cell>
          <cell r="AH1847">
            <v>17.881583490985356</v>
          </cell>
          <cell r="AI1847">
            <v>15.547864889645153</v>
          </cell>
          <cell r="AJ1847">
            <v>20.215302092325562</v>
          </cell>
          <cell r="AU1847">
            <v>13.0110263714772</v>
          </cell>
          <cell r="AV1847">
            <v>14.263722316306255</v>
          </cell>
          <cell r="AW1847">
            <v>12.105561258724364</v>
          </cell>
          <cell r="AX1847">
            <v>10.242049449424412</v>
          </cell>
          <cell r="AY1847">
            <v>13.969073068024317</v>
          </cell>
        </row>
        <row r="1848">
          <cell r="A1848">
            <v>42124</v>
          </cell>
          <cell r="AF1848">
            <v>19.473081328753377</v>
          </cell>
          <cell r="AG1848">
            <v>20.469360058004284</v>
          </cell>
          <cell r="AH1848">
            <v>17.881583490985356</v>
          </cell>
          <cell r="AI1848">
            <v>15.547864889645153</v>
          </cell>
          <cell r="AJ1848">
            <v>20.215302092325562</v>
          </cell>
          <cell r="AU1848">
            <v>13.013241412901573</v>
          </cell>
          <cell r="AV1848">
            <v>14.263722316306255</v>
          </cell>
          <cell r="AW1848">
            <v>12.105561258724364</v>
          </cell>
          <cell r="AX1848">
            <v>10.242049449424412</v>
          </cell>
          <cell r="AY1848">
            <v>13.969073068024317</v>
          </cell>
        </row>
        <row r="1849">
          <cell r="A1849">
            <v>42125</v>
          </cell>
          <cell r="AF1849">
            <v>19.501371883592853</v>
          </cell>
          <cell r="AG1849">
            <v>20.469360058004284</v>
          </cell>
          <cell r="AH1849">
            <v>17.881583490985356</v>
          </cell>
          <cell r="AI1849">
            <v>15.547864889645153</v>
          </cell>
          <cell r="AJ1849">
            <v>20.215302092325562</v>
          </cell>
          <cell r="AU1849">
            <v>13.051541140847355</v>
          </cell>
          <cell r="AV1849">
            <v>14.263722316306255</v>
          </cell>
          <cell r="AW1849">
            <v>12.105561258724364</v>
          </cell>
          <cell r="AX1849">
            <v>10.242049449424412</v>
          </cell>
          <cell r="AY1849">
            <v>13.969073068024317</v>
          </cell>
        </row>
        <row r="1850">
          <cell r="A1850">
            <v>42128</v>
          </cell>
          <cell r="AF1850">
            <v>19.933501162663035</v>
          </cell>
          <cell r="AG1850">
            <v>20.469360058004284</v>
          </cell>
          <cell r="AH1850">
            <v>17.881583490985356</v>
          </cell>
          <cell r="AI1850">
            <v>15.547864889645153</v>
          </cell>
          <cell r="AJ1850">
            <v>20.215302092325562</v>
          </cell>
          <cell r="AU1850">
            <v>13.299864785111746</v>
          </cell>
          <cell r="AV1850">
            <v>14.263722316306255</v>
          </cell>
          <cell r="AW1850">
            <v>12.105561258724364</v>
          </cell>
          <cell r="AX1850">
            <v>10.242049449424412</v>
          </cell>
          <cell r="AY1850">
            <v>13.969073068024317</v>
          </cell>
        </row>
        <row r="1851">
          <cell r="A1851">
            <v>42129</v>
          </cell>
          <cell r="AF1851">
            <v>19.766660778844276</v>
          </cell>
          <cell r="AG1851">
            <v>20.469360058004284</v>
          </cell>
          <cell r="AH1851">
            <v>17.881583490985356</v>
          </cell>
          <cell r="AI1851">
            <v>15.547864889645153</v>
          </cell>
          <cell r="AJ1851">
            <v>20.215302092325562</v>
          </cell>
          <cell r="AU1851">
            <v>13.20279502274566</v>
          </cell>
          <cell r="AV1851">
            <v>14.263722316306255</v>
          </cell>
          <cell r="AW1851">
            <v>12.105561258724364</v>
          </cell>
          <cell r="AX1851">
            <v>10.242049449424412</v>
          </cell>
          <cell r="AY1851">
            <v>13.969073068024317</v>
          </cell>
        </row>
        <row r="1852">
          <cell r="A1852">
            <v>42130</v>
          </cell>
          <cell r="AF1852">
            <v>19.260422241897707</v>
          </cell>
          <cell r="AG1852">
            <v>20.469360058004284</v>
          </cell>
          <cell r="AH1852">
            <v>17.881583490985356</v>
          </cell>
          <cell r="AI1852">
            <v>15.547864889645153</v>
          </cell>
          <cell r="AJ1852">
            <v>20.215302092325562</v>
          </cell>
          <cell r="AU1852">
            <v>12.96944950998957</v>
          </cell>
          <cell r="AV1852">
            <v>14.263722316306255</v>
          </cell>
          <cell r="AW1852">
            <v>12.105561258724364</v>
          </cell>
          <cell r="AX1852">
            <v>10.242049449424412</v>
          </cell>
          <cell r="AY1852">
            <v>13.969073068024317</v>
          </cell>
        </row>
        <row r="1853">
          <cell r="A1853">
            <v>42131</v>
          </cell>
          <cell r="AF1853">
            <v>19.172648281074871</v>
          </cell>
          <cell r="AG1853">
            <v>20.469360058004284</v>
          </cell>
          <cell r="AH1853">
            <v>17.881583490985356</v>
          </cell>
          <cell r="AI1853">
            <v>15.547864889645153</v>
          </cell>
          <cell r="AJ1853">
            <v>20.215302092325562</v>
          </cell>
          <cell r="AU1853">
            <v>13.03156945543526</v>
          </cell>
          <cell r="AV1853">
            <v>14.263722316306255</v>
          </cell>
          <cell r="AW1853">
            <v>12.105561258724364</v>
          </cell>
          <cell r="AX1853">
            <v>10.242049449424412</v>
          </cell>
          <cell r="AY1853">
            <v>13.969073068024317</v>
          </cell>
        </row>
        <row r="1854">
          <cell r="A1854">
            <v>42132</v>
          </cell>
          <cell r="AF1854">
            <v>19.30865168115044</v>
          </cell>
          <cell r="AG1854">
            <v>20.469360058004284</v>
          </cell>
          <cell r="AH1854">
            <v>17.881583490985356</v>
          </cell>
          <cell r="AI1854">
            <v>15.547864889645153</v>
          </cell>
          <cell r="AJ1854">
            <v>20.215302092325562</v>
          </cell>
          <cell r="AU1854">
            <v>13.111806792778573</v>
          </cell>
          <cell r="AV1854">
            <v>14.263722316306255</v>
          </cell>
          <cell r="AW1854">
            <v>12.105561258724364</v>
          </cell>
          <cell r="AX1854">
            <v>10.242049449424412</v>
          </cell>
          <cell r="AY1854">
            <v>13.969073068024317</v>
          </cell>
        </row>
        <row r="1855">
          <cell r="A1855">
            <v>42135</v>
          </cell>
          <cell r="AF1855">
            <v>19.100868152627562</v>
          </cell>
          <cell r="AG1855">
            <v>20.469360058004284</v>
          </cell>
          <cell r="AH1855">
            <v>17.881583490985356</v>
          </cell>
          <cell r="AI1855">
            <v>15.547864889645153</v>
          </cell>
          <cell r="AJ1855">
            <v>20.215302092325562</v>
          </cell>
          <cell r="AU1855">
            <v>13.125265476902287</v>
          </cell>
          <cell r="AV1855">
            <v>14.263722316306255</v>
          </cell>
          <cell r="AW1855">
            <v>12.105561258724364</v>
          </cell>
          <cell r="AX1855">
            <v>10.242049449424412</v>
          </cell>
          <cell r="AY1855">
            <v>13.969073068024317</v>
          </cell>
        </row>
        <row r="1856">
          <cell r="A1856">
            <v>42136</v>
          </cell>
          <cell r="AF1856">
            <v>19.07442614280512</v>
          </cell>
          <cell r="AG1856">
            <v>20.469360058004284</v>
          </cell>
          <cell r="AH1856">
            <v>17.881583490985356</v>
          </cell>
          <cell r="AI1856">
            <v>15.547864889645153</v>
          </cell>
          <cell r="AJ1856">
            <v>20.215302092325562</v>
          </cell>
          <cell r="AU1856">
            <v>13.109664948783603</v>
          </cell>
          <cell r="AV1856">
            <v>14.263722316306255</v>
          </cell>
          <cell r="AW1856">
            <v>12.105561258724364</v>
          </cell>
          <cell r="AX1856">
            <v>10.242049449424412</v>
          </cell>
          <cell r="AY1856">
            <v>13.969073068024317</v>
          </cell>
        </row>
        <row r="1857">
          <cell r="A1857">
            <v>42137</v>
          </cell>
          <cell r="AF1857">
            <v>19.202871930489305</v>
          </cell>
          <cell r="AG1857">
            <v>20.469360058004284</v>
          </cell>
          <cell r="AH1857">
            <v>17.881583490985356</v>
          </cell>
          <cell r="AI1857">
            <v>15.547864889645153</v>
          </cell>
          <cell r="AJ1857">
            <v>20.215302092325562</v>
          </cell>
          <cell r="AU1857">
            <v>13.1854467118171</v>
          </cell>
          <cell r="AV1857">
            <v>14.263722316306255</v>
          </cell>
          <cell r="AW1857">
            <v>12.105561258724364</v>
          </cell>
          <cell r="AX1857">
            <v>10.242049449424412</v>
          </cell>
          <cell r="AY1857">
            <v>13.969073068024317</v>
          </cell>
        </row>
        <row r="1858">
          <cell r="A1858">
            <v>42138</v>
          </cell>
          <cell r="AF1858">
            <v>19.501320740462891</v>
          </cell>
          <cell r="AG1858">
            <v>20.469360058004284</v>
          </cell>
          <cell r="AH1858">
            <v>17.881583490985356</v>
          </cell>
          <cell r="AI1858">
            <v>15.547864889645153</v>
          </cell>
          <cell r="AJ1858">
            <v>20.215302092325562</v>
          </cell>
          <cell r="AU1858">
            <v>13.361528601327217</v>
          </cell>
          <cell r="AV1858">
            <v>14.263722316306255</v>
          </cell>
          <cell r="AW1858">
            <v>12.105561258724364</v>
          </cell>
          <cell r="AX1858">
            <v>10.242049449424412</v>
          </cell>
          <cell r="AY1858">
            <v>13.969073068024317</v>
          </cell>
        </row>
        <row r="1859">
          <cell r="A1859">
            <v>42139</v>
          </cell>
          <cell r="AF1859">
            <v>19.64110540234428</v>
          </cell>
          <cell r="AG1859">
            <v>20.469360058004284</v>
          </cell>
          <cell r="AH1859">
            <v>17.881583490985356</v>
          </cell>
          <cell r="AI1859">
            <v>15.547864889645153</v>
          </cell>
          <cell r="AJ1859">
            <v>20.215302092325562</v>
          </cell>
          <cell r="AU1859">
            <v>13.443996846287686</v>
          </cell>
          <cell r="AV1859">
            <v>14.263722316306255</v>
          </cell>
          <cell r="AW1859">
            <v>12.105561258724364</v>
          </cell>
          <cell r="AX1859">
            <v>10.242049449424412</v>
          </cell>
          <cell r="AY1859">
            <v>13.969073068024317</v>
          </cell>
        </row>
        <row r="1860">
          <cell r="A1860">
            <v>42142</v>
          </cell>
          <cell r="AF1860">
            <v>19.852664903666554</v>
          </cell>
          <cell r="AG1860">
            <v>20.469360058004284</v>
          </cell>
          <cell r="AH1860">
            <v>17.881583490985356</v>
          </cell>
          <cell r="AI1860">
            <v>15.547864889645153</v>
          </cell>
          <cell r="AJ1860">
            <v>20.215302092325562</v>
          </cell>
          <cell r="AU1860">
            <v>13.568818233779528</v>
          </cell>
          <cell r="AV1860">
            <v>14.263722316306255</v>
          </cell>
          <cell r="AW1860">
            <v>12.105561258724364</v>
          </cell>
          <cell r="AX1860">
            <v>10.242049449424412</v>
          </cell>
          <cell r="AY1860">
            <v>13.969073068024317</v>
          </cell>
        </row>
        <row r="1861">
          <cell r="A1861">
            <v>42143</v>
          </cell>
          <cell r="AF1861">
            <v>19.886664148094209</v>
          </cell>
          <cell r="AG1861">
            <v>20.469360058004284</v>
          </cell>
          <cell r="AH1861">
            <v>17.881583490985356</v>
          </cell>
          <cell r="AI1861">
            <v>15.547864889645153</v>
          </cell>
          <cell r="AJ1861">
            <v>20.215302092325562</v>
          </cell>
          <cell r="AU1861">
            <v>13.588877456670273</v>
          </cell>
          <cell r="AV1861">
            <v>14.263722316306255</v>
          </cell>
          <cell r="AW1861">
            <v>12.105561258724364</v>
          </cell>
          <cell r="AX1861">
            <v>10.242049449424412</v>
          </cell>
          <cell r="AY1861">
            <v>13.969073068024317</v>
          </cell>
        </row>
        <row r="1862">
          <cell r="A1862">
            <v>42144</v>
          </cell>
          <cell r="AF1862">
            <v>19.875330940689597</v>
          </cell>
          <cell r="AG1862">
            <v>20.469360058004284</v>
          </cell>
          <cell r="AH1862">
            <v>17.881583490985356</v>
          </cell>
          <cell r="AI1862">
            <v>15.547864889645153</v>
          </cell>
          <cell r="AJ1862">
            <v>20.215302092325562</v>
          </cell>
          <cell r="AU1862">
            <v>13.582190974743304</v>
          </cell>
          <cell r="AV1862">
            <v>14.263722316306255</v>
          </cell>
          <cell r="AW1862">
            <v>12.105561258724364</v>
          </cell>
          <cell r="AX1862">
            <v>10.242049449424412</v>
          </cell>
          <cell r="AY1862">
            <v>13.969073068024317</v>
          </cell>
        </row>
        <row r="1863">
          <cell r="A1863">
            <v>42145</v>
          </cell>
          <cell r="AF1863">
            <v>19.784660370232469</v>
          </cell>
          <cell r="AG1863">
            <v>20.469360058004284</v>
          </cell>
          <cell r="AH1863">
            <v>17.881583490985356</v>
          </cell>
          <cell r="AI1863">
            <v>15.547864889645153</v>
          </cell>
          <cell r="AJ1863">
            <v>20.215302092325562</v>
          </cell>
          <cell r="AU1863">
            <v>13.528696221755464</v>
          </cell>
          <cell r="AV1863">
            <v>14.263722316306255</v>
          </cell>
          <cell r="AW1863">
            <v>12.105561258724364</v>
          </cell>
          <cell r="AX1863">
            <v>10.242049449424412</v>
          </cell>
          <cell r="AY1863">
            <v>13.969073068024317</v>
          </cell>
        </row>
        <row r="1864">
          <cell r="A1864">
            <v>42146</v>
          </cell>
          <cell r="AF1864">
            <v>19.591991310920019</v>
          </cell>
          <cell r="AG1864">
            <v>20.469360058004284</v>
          </cell>
          <cell r="AH1864">
            <v>17.881583490985356</v>
          </cell>
          <cell r="AI1864">
            <v>15.547864889645153</v>
          </cell>
          <cell r="AJ1864">
            <v>20.215302092325562</v>
          </cell>
          <cell r="AU1864">
            <v>13.414050585244413</v>
          </cell>
          <cell r="AV1864">
            <v>14.263722316306255</v>
          </cell>
          <cell r="AW1864">
            <v>12.105561258724364</v>
          </cell>
          <cell r="AX1864">
            <v>10.242049449424412</v>
          </cell>
          <cell r="AY1864">
            <v>13.969073068024317</v>
          </cell>
        </row>
        <row r="1865">
          <cell r="A1865">
            <v>42149</v>
          </cell>
          <cell r="AF1865">
            <v>19.592595792215715</v>
          </cell>
          <cell r="AG1865">
            <v>20.469360058004284</v>
          </cell>
          <cell r="AH1865">
            <v>17.881583490985356</v>
          </cell>
          <cell r="AI1865">
            <v>15.547864889645153</v>
          </cell>
          <cell r="AJ1865">
            <v>20.215302092325562</v>
          </cell>
          <cell r="AU1865">
            <v>13.414053928355218</v>
          </cell>
          <cell r="AV1865">
            <v>14.263722316306255</v>
          </cell>
          <cell r="AW1865">
            <v>12.105561258724364</v>
          </cell>
          <cell r="AX1865">
            <v>10.242049449424412</v>
          </cell>
          <cell r="AY1865">
            <v>13.969073068024317</v>
          </cell>
        </row>
        <row r="1866">
          <cell r="A1866">
            <v>42150</v>
          </cell>
          <cell r="AF1866">
            <v>19.331914534577088</v>
          </cell>
          <cell r="AG1866">
            <v>20.469360058004284</v>
          </cell>
          <cell r="AH1866">
            <v>17.881583490985356</v>
          </cell>
          <cell r="AI1866">
            <v>15.547864889645153</v>
          </cell>
          <cell r="AJ1866">
            <v>20.215302092325562</v>
          </cell>
          <cell r="AU1866">
            <v>13.260270385629063</v>
          </cell>
          <cell r="AV1866">
            <v>14.263722316306255</v>
          </cell>
          <cell r="AW1866">
            <v>12.105561258724364</v>
          </cell>
          <cell r="AX1866">
            <v>10.242049449424412</v>
          </cell>
          <cell r="AY1866">
            <v>13.969073068024317</v>
          </cell>
        </row>
        <row r="1867">
          <cell r="A1867">
            <v>42151</v>
          </cell>
          <cell r="AF1867">
            <v>19.591449812724296</v>
          </cell>
          <cell r="AG1867">
            <v>20.469360058004284</v>
          </cell>
          <cell r="AH1867">
            <v>17.881583490985356</v>
          </cell>
          <cell r="AI1867">
            <v>15.547864889645153</v>
          </cell>
          <cell r="AJ1867">
            <v>20.215302092325562</v>
          </cell>
          <cell r="AU1867">
            <v>13.413562468279569</v>
          </cell>
          <cell r="AV1867">
            <v>14.263722316306255</v>
          </cell>
          <cell r="AW1867">
            <v>12.105561258724364</v>
          </cell>
          <cell r="AX1867">
            <v>10.242049449424412</v>
          </cell>
          <cell r="AY1867">
            <v>13.969073068024317</v>
          </cell>
        </row>
        <row r="1868">
          <cell r="A1868">
            <v>42152</v>
          </cell>
          <cell r="AF1868">
            <v>19.697205879577727</v>
          </cell>
          <cell r="AG1868">
            <v>20.469360058004284</v>
          </cell>
          <cell r="AH1868">
            <v>17.881583490985356</v>
          </cell>
          <cell r="AI1868">
            <v>15.547864889645153</v>
          </cell>
          <cell r="AJ1868">
            <v>20.215302092325562</v>
          </cell>
          <cell r="AU1868">
            <v>13.475954110020396</v>
          </cell>
          <cell r="AV1868">
            <v>14.263722316306255</v>
          </cell>
          <cell r="AW1868">
            <v>12.105561258724364</v>
          </cell>
          <cell r="AX1868">
            <v>10.242049449424412</v>
          </cell>
          <cell r="AY1868">
            <v>13.969073068024317</v>
          </cell>
        </row>
        <row r="1869">
          <cell r="A1869">
            <v>42153</v>
          </cell>
          <cell r="AF1869">
            <v>19.653773818893448</v>
          </cell>
          <cell r="AG1869">
            <v>20.469360058004284</v>
          </cell>
          <cell r="AH1869">
            <v>17.881583490985356</v>
          </cell>
          <cell r="AI1869">
            <v>15.547864889645153</v>
          </cell>
          <cell r="AJ1869">
            <v>20.215302092325562</v>
          </cell>
          <cell r="AU1869">
            <v>13.450327674265841</v>
          </cell>
          <cell r="AV1869">
            <v>14.263722316306255</v>
          </cell>
          <cell r="AW1869">
            <v>12.105561258724364</v>
          </cell>
          <cell r="AX1869">
            <v>10.242049449424412</v>
          </cell>
          <cell r="AY1869">
            <v>13.969073068024317</v>
          </cell>
        </row>
        <row r="1870">
          <cell r="A1870">
            <v>42156</v>
          </cell>
          <cell r="AF1870">
            <v>19.624835115362973</v>
          </cell>
          <cell r="AG1870">
            <v>20.469360058004284</v>
          </cell>
          <cell r="AH1870">
            <v>17.881583490985356</v>
          </cell>
          <cell r="AI1870">
            <v>15.547864889645153</v>
          </cell>
          <cell r="AJ1870">
            <v>20.215302092325562</v>
          </cell>
          <cell r="AU1870">
            <v>13.456252514094242</v>
          </cell>
          <cell r="AV1870">
            <v>14.263722316306255</v>
          </cell>
          <cell r="AW1870">
            <v>12.105561258724364</v>
          </cell>
          <cell r="AX1870">
            <v>10.242049449424412</v>
          </cell>
          <cell r="AY1870">
            <v>13.969073068024317</v>
          </cell>
        </row>
        <row r="1871">
          <cell r="A1871">
            <v>42157</v>
          </cell>
          <cell r="AF1871">
            <v>19.632339898705684</v>
          </cell>
          <cell r="AG1871">
            <v>20.469360058004284</v>
          </cell>
          <cell r="AH1871">
            <v>17.881583490985356</v>
          </cell>
          <cell r="AI1871">
            <v>15.547864889645153</v>
          </cell>
          <cell r="AJ1871">
            <v>20.215302092325562</v>
          </cell>
          <cell r="AU1871">
            <v>13.460691721473252</v>
          </cell>
          <cell r="AV1871">
            <v>14.263722316306255</v>
          </cell>
          <cell r="AW1871">
            <v>12.105561258724364</v>
          </cell>
          <cell r="AX1871">
            <v>10.242049449424412</v>
          </cell>
          <cell r="AY1871">
            <v>13.969073068024317</v>
          </cell>
        </row>
        <row r="1872">
          <cell r="A1872">
            <v>42158</v>
          </cell>
          <cell r="AF1872">
            <v>19.782403301444383</v>
          </cell>
          <cell r="AG1872">
            <v>20.469360058004284</v>
          </cell>
          <cell r="AH1872">
            <v>17.881583490985356</v>
          </cell>
          <cell r="AI1872">
            <v>15.547864889645153</v>
          </cell>
          <cell r="AJ1872">
            <v>20.215302092325562</v>
          </cell>
          <cell r="AU1872">
            <v>13.549456784278615</v>
          </cell>
          <cell r="AV1872">
            <v>14.263722316306255</v>
          </cell>
          <cell r="AW1872">
            <v>12.105561258724364</v>
          </cell>
          <cell r="AX1872">
            <v>10.242049449424412</v>
          </cell>
          <cell r="AY1872">
            <v>13.969073068024317</v>
          </cell>
        </row>
        <row r="1873">
          <cell r="A1873">
            <v>42159</v>
          </cell>
          <cell r="AF1873">
            <v>19.482270868504973</v>
          </cell>
          <cell r="AG1873">
            <v>20.469360058004284</v>
          </cell>
          <cell r="AH1873">
            <v>17.881583490985356</v>
          </cell>
          <cell r="AI1873">
            <v>15.547864889645153</v>
          </cell>
          <cell r="AJ1873">
            <v>20.215302092325562</v>
          </cell>
          <cell r="AU1873">
            <v>13.371923329928102</v>
          </cell>
          <cell r="AV1873">
            <v>14.263722316306255</v>
          </cell>
          <cell r="AW1873">
            <v>12.105561258724364</v>
          </cell>
          <cell r="AX1873">
            <v>10.242049449424412</v>
          </cell>
          <cell r="AY1873">
            <v>13.969073068024317</v>
          </cell>
        </row>
        <row r="1874">
          <cell r="A1874">
            <v>42160</v>
          </cell>
          <cell r="AF1874">
            <v>19.609831176139561</v>
          </cell>
          <cell r="AG1874">
            <v>20.469360058004284</v>
          </cell>
          <cell r="AH1874">
            <v>17.881583490985356</v>
          </cell>
          <cell r="AI1874">
            <v>15.547864889645153</v>
          </cell>
          <cell r="AJ1874">
            <v>20.215302092325562</v>
          </cell>
          <cell r="AU1874">
            <v>13.447374099336232</v>
          </cell>
          <cell r="AV1874">
            <v>14.263722316306255</v>
          </cell>
          <cell r="AW1874">
            <v>12.105561258724364</v>
          </cell>
          <cell r="AX1874">
            <v>10.242049449424412</v>
          </cell>
          <cell r="AY1874">
            <v>13.969073068024317</v>
          </cell>
        </row>
        <row r="1875">
          <cell r="A1875">
            <v>42163</v>
          </cell>
          <cell r="AF1875">
            <v>19.519789532920655</v>
          </cell>
          <cell r="AG1875">
            <v>20.469360058004284</v>
          </cell>
          <cell r="AH1875">
            <v>17.881583490985356</v>
          </cell>
          <cell r="AI1875">
            <v>15.547864889645153</v>
          </cell>
          <cell r="AJ1875">
            <v>20.215302092325562</v>
          </cell>
          <cell r="AU1875">
            <v>13.394116259999333</v>
          </cell>
          <cell r="AV1875">
            <v>14.263722316306255</v>
          </cell>
          <cell r="AW1875">
            <v>12.105561258724364</v>
          </cell>
          <cell r="AX1875">
            <v>10.242049449424412</v>
          </cell>
          <cell r="AY1875">
            <v>13.969073068024317</v>
          </cell>
        </row>
        <row r="1876">
          <cell r="A1876">
            <v>42164</v>
          </cell>
          <cell r="AF1876">
            <v>19.463517163759146</v>
          </cell>
          <cell r="AG1876">
            <v>20.469360058004284</v>
          </cell>
          <cell r="AH1876">
            <v>17.881583490985356</v>
          </cell>
          <cell r="AI1876">
            <v>15.547864889645153</v>
          </cell>
          <cell r="AJ1876">
            <v>20.215302092325562</v>
          </cell>
          <cell r="AU1876">
            <v>13.360830193632269</v>
          </cell>
          <cell r="AV1876">
            <v>14.263722316306255</v>
          </cell>
          <cell r="AW1876">
            <v>12.105561258724364</v>
          </cell>
          <cell r="AX1876">
            <v>10.242049449424412</v>
          </cell>
          <cell r="AY1876">
            <v>13.969073068024317</v>
          </cell>
        </row>
        <row r="1877">
          <cell r="A1877">
            <v>42165</v>
          </cell>
          <cell r="AF1877">
            <v>19.71487675858188</v>
          </cell>
          <cell r="AG1877">
            <v>20.469360058004284</v>
          </cell>
          <cell r="AH1877">
            <v>17.881583490985356</v>
          </cell>
          <cell r="AI1877">
            <v>15.547864889645153</v>
          </cell>
          <cell r="AJ1877">
            <v>20.215302092325562</v>
          </cell>
          <cell r="AU1877">
            <v>13.509513682170926</v>
          </cell>
          <cell r="AV1877">
            <v>14.263722316306255</v>
          </cell>
          <cell r="AW1877">
            <v>12.105561258724364</v>
          </cell>
          <cell r="AX1877">
            <v>10.242049449424412</v>
          </cell>
          <cell r="AY1877">
            <v>13.969073068024317</v>
          </cell>
        </row>
        <row r="1878">
          <cell r="A1878">
            <v>42166</v>
          </cell>
          <cell r="AF1878">
            <v>19.789908084787097</v>
          </cell>
          <cell r="AG1878">
            <v>20.469360058004284</v>
          </cell>
          <cell r="AH1878">
            <v>17.881583490985356</v>
          </cell>
          <cell r="AI1878">
            <v>15.547864889645153</v>
          </cell>
          <cell r="AJ1878">
            <v>20.215302092325562</v>
          </cell>
          <cell r="AU1878">
            <v>13.553895991657621</v>
          </cell>
          <cell r="AV1878">
            <v>14.263722316306255</v>
          </cell>
          <cell r="AW1878">
            <v>12.105561258724364</v>
          </cell>
          <cell r="AX1878">
            <v>10.242049449424412</v>
          </cell>
          <cell r="AY1878">
            <v>13.969073068024317</v>
          </cell>
        </row>
        <row r="1879">
          <cell r="A1879">
            <v>42167</v>
          </cell>
          <cell r="AF1879">
            <v>19.549803413993622</v>
          </cell>
          <cell r="AG1879">
            <v>20.469360058004284</v>
          </cell>
          <cell r="AH1879">
            <v>17.881583490985356</v>
          </cell>
          <cell r="AI1879">
            <v>15.547864889645153</v>
          </cell>
          <cell r="AJ1879">
            <v>20.215302092325562</v>
          </cell>
          <cell r="AU1879">
            <v>13.411869982691563</v>
          </cell>
          <cell r="AV1879">
            <v>14.263722316306255</v>
          </cell>
          <cell r="AW1879">
            <v>12.105561258724364</v>
          </cell>
          <cell r="AX1879">
            <v>10.242049449424412</v>
          </cell>
          <cell r="AY1879">
            <v>13.969073068024317</v>
          </cell>
        </row>
        <row r="1880">
          <cell r="A1880">
            <v>42170</v>
          </cell>
          <cell r="AF1880">
            <v>19.403489776777342</v>
          </cell>
          <cell r="AG1880">
            <v>20.469360058004284</v>
          </cell>
          <cell r="AH1880">
            <v>17.881583490985356</v>
          </cell>
          <cell r="AI1880">
            <v>15.547864889645153</v>
          </cell>
          <cell r="AJ1880">
            <v>20.215302092325562</v>
          </cell>
          <cell r="AU1880">
            <v>13.325322970163802</v>
          </cell>
          <cell r="AV1880">
            <v>14.263722316306255</v>
          </cell>
          <cell r="AW1880">
            <v>12.105561258724364</v>
          </cell>
          <cell r="AX1880">
            <v>10.242049449424412</v>
          </cell>
          <cell r="AY1880">
            <v>13.969073068024317</v>
          </cell>
        </row>
        <row r="1881">
          <cell r="A1881">
            <v>42171</v>
          </cell>
          <cell r="AF1881">
            <v>19.489775651847687</v>
          </cell>
          <cell r="AG1881">
            <v>20.469360058004284</v>
          </cell>
          <cell r="AH1881">
            <v>17.881583490985356</v>
          </cell>
          <cell r="AI1881">
            <v>15.547864889645153</v>
          </cell>
          <cell r="AJ1881">
            <v>20.215302092325562</v>
          </cell>
          <cell r="AU1881">
            <v>13.376362537307109</v>
          </cell>
          <cell r="AV1881">
            <v>14.263722316306255</v>
          </cell>
          <cell r="AW1881">
            <v>12.105561258724364</v>
          </cell>
          <cell r="AX1881">
            <v>10.242049449424412</v>
          </cell>
          <cell r="AY1881">
            <v>13.969073068024317</v>
          </cell>
        </row>
        <row r="1882">
          <cell r="A1882">
            <v>42172</v>
          </cell>
          <cell r="AF1882">
            <v>19.744890264490714</v>
          </cell>
          <cell r="AG1882">
            <v>20.469360058004284</v>
          </cell>
          <cell r="AH1882">
            <v>17.881583490985356</v>
          </cell>
          <cell r="AI1882">
            <v>15.547864889645153</v>
          </cell>
          <cell r="AJ1882">
            <v>20.215302092325562</v>
          </cell>
          <cell r="AU1882">
            <v>13.527263854207378</v>
          </cell>
          <cell r="AV1882">
            <v>14.263722316306255</v>
          </cell>
          <cell r="AW1882">
            <v>12.105561258724364</v>
          </cell>
          <cell r="AX1882">
            <v>10.242049449424412</v>
          </cell>
          <cell r="AY1882">
            <v>13.969073068024317</v>
          </cell>
        </row>
        <row r="1883">
          <cell r="A1883">
            <v>42173</v>
          </cell>
          <cell r="AF1883">
            <v>19.949354342524856</v>
          </cell>
          <cell r="AG1883">
            <v>20.469360058004284</v>
          </cell>
          <cell r="AH1883">
            <v>17.881583490985356</v>
          </cell>
          <cell r="AI1883">
            <v>15.547864889645153</v>
          </cell>
          <cell r="AJ1883">
            <v>20.215302092325562</v>
          </cell>
          <cell r="AU1883">
            <v>13.648211173266672</v>
          </cell>
          <cell r="AV1883">
            <v>14.263722316306255</v>
          </cell>
          <cell r="AW1883">
            <v>12.105561258724364</v>
          </cell>
          <cell r="AX1883">
            <v>10.242049449424412</v>
          </cell>
          <cell r="AY1883">
            <v>13.969073068024317</v>
          </cell>
        </row>
        <row r="1884">
          <cell r="A1884">
            <v>42174</v>
          </cell>
          <cell r="AF1884">
            <v>19.902458825736261</v>
          </cell>
          <cell r="AG1884">
            <v>20.469360058004284</v>
          </cell>
          <cell r="AH1884">
            <v>17.881583490985356</v>
          </cell>
          <cell r="AI1884">
            <v>15.547864889645153</v>
          </cell>
          <cell r="AJ1884">
            <v>20.215302092325562</v>
          </cell>
          <cell r="AU1884">
            <v>13.620468124391751</v>
          </cell>
          <cell r="AV1884">
            <v>14.263722316306255</v>
          </cell>
          <cell r="AW1884">
            <v>12.105561258724364</v>
          </cell>
          <cell r="AX1884">
            <v>10.242049449424412</v>
          </cell>
          <cell r="AY1884">
            <v>13.969073068024317</v>
          </cell>
        </row>
        <row r="1885">
          <cell r="A1885">
            <v>42177</v>
          </cell>
          <cell r="AF1885">
            <v>20.037517914087417</v>
          </cell>
          <cell r="AG1885">
            <v>20.469360058004284</v>
          </cell>
          <cell r="AH1885">
            <v>17.881583490985356</v>
          </cell>
          <cell r="AI1885">
            <v>15.547864889645153</v>
          </cell>
          <cell r="AJ1885">
            <v>20.215302092325562</v>
          </cell>
          <cell r="AU1885">
            <v>13.700361429918674</v>
          </cell>
          <cell r="AV1885">
            <v>14.263722316306255</v>
          </cell>
          <cell r="AW1885">
            <v>12.105561258724364</v>
          </cell>
          <cell r="AX1885">
            <v>10.242049449424412</v>
          </cell>
          <cell r="AY1885">
            <v>13.969073068024317</v>
          </cell>
        </row>
        <row r="1886">
          <cell r="A1886">
            <v>42178</v>
          </cell>
          <cell r="AF1886">
            <v>19.9212181579441</v>
          </cell>
          <cell r="AG1886">
            <v>20.469360058004284</v>
          </cell>
          <cell r="AH1886">
            <v>17.881583490985356</v>
          </cell>
          <cell r="AI1886">
            <v>15.547864889645153</v>
          </cell>
          <cell r="AJ1886">
            <v>20.215302092325562</v>
          </cell>
          <cell r="AU1886">
            <v>13.631568140083139</v>
          </cell>
          <cell r="AV1886">
            <v>14.263722316306255</v>
          </cell>
          <cell r="AW1886">
            <v>12.105561258724364</v>
          </cell>
          <cell r="AX1886">
            <v>10.242049449424412</v>
          </cell>
          <cell r="AY1886">
            <v>13.969073068024317</v>
          </cell>
        </row>
        <row r="1887">
          <cell r="A1887">
            <v>42179</v>
          </cell>
          <cell r="AF1887">
            <v>19.587322078409304</v>
          </cell>
          <cell r="AG1887">
            <v>20.469360058004284</v>
          </cell>
          <cell r="AH1887">
            <v>17.881583490985356</v>
          </cell>
          <cell r="AI1887">
            <v>15.547864889645153</v>
          </cell>
          <cell r="AJ1887">
            <v>20.215302092325562</v>
          </cell>
          <cell r="AU1887">
            <v>13.434062912762794</v>
          </cell>
          <cell r="AV1887">
            <v>14.263722316306255</v>
          </cell>
          <cell r="AW1887">
            <v>12.105561258724364</v>
          </cell>
          <cell r="AX1887">
            <v>10.242049449424412</v>
          </cell>
          <cell r="AY1887">
            <v>13.969073068024317</v>
          </cell>
        </row>
        <row r="1888">
          <cell r="A1888">
            <v>42180</v>
          </cell>
          <cell r="AF1888">
            <v>19.632339898705684</v>
          </cell>
          <cell r="AG1888">
            <v>20.469360058004284</v>
          </cell>
          <cell r="AH1888">
            <v>17.881583490985356</v>
          </cell>
          <cell r="AI1888">
            <v>15.547864889645153</v>
          </cell>
          <cell r="AJ1888">
            <v>20.215302092325562</v>
          </cell>
          <cell r="AU1888">
            <v>13.460691721473252</v>
          </cell>
          <cell r="AV1888">
            <v>14.263722316306255</v>
          </cell>
          <cell r="AW1888">
            <v>12.105561258724364</v>
          </cell>
          <cell r="AX1888">
            <v>10.242049449424412</v>
          </cell>
          <cell r="AY1888">
            <v>13.969073068024317</v>
          </cell>
        </row>
        <row r="1889">
          <cell r="A1889">
            <v>42181</v>
          </cell>
          <cell r="AF1889">
            <v>19.632339898705684</v>
          </cell>
          <cell r="AG1889">
            <v>20.469360058004284</v>
          </cell>
          <cell r="AH1889">
            <v>17.881583490985356</v>
          </cell>
          <cell r="AI1889">
            <v>15.547864889645153</v>
          </cell>
          <cell r="AJ1889">
            <v>20.215302092325562</v>
          </cell>
          <cell r="AU1889">
            <v>13.460688392733465</v>
          </cell>
          <cell r="AV1889">
            <v>14.263722316306255</v>
          </cell>
          <cell r="AW1889">
            <v>12.105561258724364</v>
          </cell>
          <cell r="AX1889">
            <v>10.242049449424412</v>
          </cell>
          <cell r="AY1889">
            <v>13.969073068024317</v>
          </cell>
        </row>
        <row r="1890">
          <cell r="A1890">
            <v>42184</v>
          </cell>
          <cell r="AF1890">
            <v>19.257175764396926</v>
          </cell>
          <cell r="AG1890">
            <v>20.469360058004284</v>
          </cell>
          <cell r="AH1890">
            <v>17.881583490985356</v>
          </cell>
          <cell r="AI1890">
            <v>15.547864889645153</v>
          </cell>
          <cell r="AJ1890">
            <v>20.215302092325562</v>
          </cell>
          <cell r="AU1890">
            <v>13.238775735720054</v>
          </cell>
          <cell r="AV1890">
            <v>14.263722316306255</v>
          </cell>
          <cell r="AW1890">
            <v>12.105561258724364</v>
          </cell>
          <cell r="AX1890">
            <v>10.242049449424412</v>
          </cell>
          <cell r="AY1890">
            <v>13.969073068024317</v>
          </cell>
        </row>
        <row r="1891">
          <cell r="A1891">
            <v>42185</v>
          </cell>
          <cell r="AF1891">
            <v>19.339712624273123</v>
          </cell>
          <cell r="AG1891">
            <v>20.469360058004284</v>
          </cell>
          <cell r="AH1891">
            <v>17.881583490985356</v>
          </cell>
          <cell r="AI1891">
            <v>15.547864889645153</v>
          </cell>
          <cell r="AJ1891">
            <v>20.215302092325562</v>
          </cell>
          <cell r="AU1891">
            <v>13.287597696417732</v>
          </cell>
          <cell r="AV1891">
            <v>14.263722316306255</v>
          </cell>
          <cell r="AW1891">
            <v>12.105561258724364</v>
          </cell>
          <cell r="AX1891">
            <v>10.242049449424412</v>
          </cell>
          <cell r="AY1891">
            <v>13.969073068024317</v>
          </cell>
        </row>
        <row r="1892">
          <cell r="A1892">
            <v>42186</v>
          </cell>
          <cell r="AF1892">
            <v>19.281391012703359</v>
          </cell>
          <cell r="AG1892">
            <v>20.469360058004284</v>
          </cell>
          <cell r="AH1892">
            <v>17.881583490985356</v>
          </cell>
          <cell r="AI1892">
            <v>15.547864889645153</v>
          </cell>
          <cell r="AJ1892">
            <v>20.215302092325562</v>
          </cell>
          <cell r="AU1892">
            <v>13.275374880423245</v>
          </cell>
          <cell r="AV1892">
            <v>14.263722316306255</v>
          </cell>
          <cell r="AW1892">
            <v>12.105561258724364</v>
          </cell>
          <cell r="AX1892">
            <v>10.242049449424412</v>
          </cell>
          <cell r="AY1892">
            <v>13.969073068024317</v>
          </cell>
        </row>
        <row r="1893">
          <cell r="A1893">
            <v>42187</v>
          </cell>
          <cell r="AF1893">
            <v>19.150958044783096</v>
          </cell>
          <cell r="AG1893">
            <v>20.469360058004284</v>
          </cell>
          <cell r="AH1893">
            <v>17.881583490985356</v>
          </cell>
          <cell r="AI1893">
            <v>15.547864889645153</v>
          </cell>
          <cell r="AJ1893">
            <v>20.215302092325562</v>
          </cell>
          <cell r="AU1893">
            <v>13.198019866255329</v>
          </cell>
          <cell r="AV1893">
            <v>14.263722316306255</v>
          </cell>
          <cell r="AW1893">
            <v>12.105561258724364</v>
          </cell>
          <cell r="AX1893">
            <v>10.242049449424412</v>
          </cell>
          <cell r="AY1893">
            <v>13.969073068024317</v>
          </cell>
        </row>
        <row r="1894">
          <cell r="A1894">
            <v>42188</v>
          </cell>
          <cell r="AF1894">
            <v>19.150958044783096</v>
          </cell>
          <cell r="AG1894">
            <v>20.469360058004284</v>
          </cell>
          <cell r="AH1894">
            <v>17.881583490985356</v>
          </cell>
          <cell r="AI1894">
            <v>15.547864889645153</v>
          </cell>
          <cell r="AJ1894">
            <v>20.215302092325562</v>
          </cell>
          <cell r="AU1894">
            <v>13.198019866255329</v>
          </cell>
          <cell r="AV1894">
            <v>14.263722316306255</v>
          </cell>
          <cell r="AW1894">
            <v>12.105561258724364</v>
          </cell>
          <cell r="AX1894">
            <v>10.242049449424412</v>
          </cell>
          <cell r="AY1894">
            <v>13.969073068024317</v>
          </cell>
        </row>
        <row r="1895">
          <cell r="A1895">
            <v>42191</v>
          </cell>
          <cell r="AF1895">
            <v>19.314928853143101</v>
          </cell>
          <cell r="AG1895">
            <v>20.469360058004284</v>
          </cell>
          <cell r="AH1895">
            <v>17.881583490985356</v>
          </cell>
          <cell r="AI1895">
            <v>15.547864889645153</v>
          </cell>
          <cell r="AJ1895">
            <v>20.215302092325562</v>
          </cell>
          <cell r="AU1895">
            <v>13.290679721645821</v>
          </cell>
          <cell r="AV1895">
            <v>14.263722316306255</v>
          </cell>
          <cell r="AW1895">
            <v>12.105561258724364</v>
          </cell>
          <cell r="AX1895">
            <v>10.242049449424412</v>
          </cell>
          <cell r="AY1895">
            <v>13.969073068024317</v>
          </cell>
        </row>
        <row r="1896">
          <cell r="A1896">
            <v>42192</v>
          </cell>
          <cell r="AF1896">
            <v>19.445356231174852</v>
          </cell>
          <cell r="AG1896">
            <v>20.469360058004284</v>
          </cell>
          <cell r="AH1896">
            <v>17.881583490985356</v>
          </cell>
          <cell r="AI1896">
            <v>15.547864889645153</v>
          </cell>
          <cell r="AJ1896">
            <v>20.215302092325562</v>
          </cell>
          <cell r="AU1896">
            <v>13.368004743880224</v>
          </cell>
          <cell r="AV1896">
            <v>14.263722316306255</v>
          </cell>
          <cell r="AW1896">
            <v>12.105561258724364</v>
          </cell>
          <cell r="AX1896">
            <v>10.242049449424412</v>
          </cell>
          <cell r="AY1896">
            <v>13.969073068024317</v>
          </cell>
        </row>
        <row r="1897">
          <cell r="A1897">
            <v>42193</v>
          </cell>
          <cell r="AF1897">
            <v>19.095061395610703</v>
          </cell>
          <cell r="AG1897">
            <v>20.469360058004284</v>
          </cell>
          <cell r="AH1897">
            <v>17.881583490985356</v>
          </cell>
          <cell r="AI1897">
            <v>15.547864889645153</v>
          </cell>
          <cell r="AJ1897">
            <v>20.215302092325562</v>
          </cell>
          <cell r="AU1897">
            <v>13.160326044855449</v>
          </cell>
          <cell r="AV1897">
            <v>14.263722316306255</v>
          </cell>
          <cell r="AW1897">
            <v>12.105561258724364</v>
          </cell>
          <cell r="AX1897">
            <v>10.242049449424412</v>
          </cell>
          <cell r="AY1897">
            <v>13.969073068024317</v>
          </cell>
        </row>
        <row r="1898">
          <cell r="A1898">
            <v>42194</v>
          </cell>
          <cell r="AF1898">
            <v>18.949724666937666</v>
          </cell>
          <cell r="AG1898">
            <v>20.469360058004284</v>
          </cell>
          <cell r="AH1898">
            <v>17.881583490985356</v>
          </cell>
          <cell r="AI1898">
            <v>15.547864889645153</v>
          </cell>
          <cell r="AJ1898">
            <v>20.215302092325562</v>
          </cell>
          <cell r="AU1898">
            <v>13.074161661567262</v>
          </cell>
          <cell r="AV1898">
            <v>14.263722316306255</v>
          </cell>
          <cell r="AW1898">
            <v>12.105561258724364</v>
          </cell>
          <cell r="AX1898">
            <v>10.242049449424412</v>
          </cell>
          <cell r="AY1898">
            <v>13.969073068024317</v>
          </cell>
        </row>
        <row r="1899">
          <cell r="A1899">
            <v>42195</v>
          </cell>
          <cell r="AF1899">
            <v>19.169592124470061</v>
          </cell>
          <cell r="AG1899">
            <v>20.469360058004284</v>
          </cell>
          <cell r="AH1899">
            <v>17.881583490985356</v>
          </cell>
          <cell r="AI1899">
            <v>15.547864889645153</v>
          </cell>
          <cell r="AJ1899">
            <v>20.215302092325562</v>
          </cell>
          <cell r="AU1899">
            <v>13.204512245277211</v>
          </cell>
          <cell r="AV1899">
            <v>14.263722316306255</v>
          </cell>
          <cell r="AW1899">
            <v>12.105561258724364</v>
          </cell>
          <cell r="AX1899">
            <v>10.242049449424412</v>
          </cell>
          <cell r="AY1899">
            <v>13.969073068024317</v>
          </cell>
        </row>
        <row r="1900">
          <cell r="A1900">
            <v>42198</v>
          </cell>
          <cell r="AF1900">
            <v>19.456541225429689</v>
          </cell>
          <cell r="AG1900">
            <v>20.469360058004284</v>
          </cell>
          <cell r="AH1900">
            <v>17.881583490985356</v>
          </cell>
          <cell r="AI1900">
            <v>15.547864889645153</v>
          </cell>
          <cell r="AJ1900">
            <v>20.215302092325562</v>
          </cell>
          <cell r="AU1900">
            <v>13.374635866444352</v>
          </cell>
          <cell r="AV1900">
            <v>14.263722316306255</v>
          </cell>
          <cell r="AW1900">
            <v>12.105561258724364</v>
          </cell>
          <cell r="AX1900">
            <v>10.242049449424412</v>
          </cell>
          <cell r="AY1900">
            <v>13.969073068024317</v>
          </cell>
        </row>
        <row r="1901">
          <cell r="A1901">
            <v>42199</v>
          </cell>
          <cell r="AF1901">
            <v>19.553430763021698</v>
          </cell>
          <cell r="AG1901">
            <v>20.469360058004284</v>
          </cell>
          <cell r="AH1901">
            <v>17.881583490985356</v>
          </cell>
          <cell r="AI1901">
            <v>15.547864889645153</v>
          </cell>
          <cell r="AJ1901">
            <v>20.215302092325562</v>
          </cell>
          <cell r="AU1901">
            <v>13.428567594562347</v>
          </cell>
          <cell r="AV1901">
            <v>14.263722316306255</v>
          </cell>
          <cell r="AW1901">
            <v>12.105561258724364</v>
          </cell>
          <cell r="AX1901">
            <v>10.242049449424412</v>
          </cell>
          <cell r="AY1901">
            <v>13.969073068024317</v>
          </cell>
        </row>
        <row r="1902">
          <cell r="A1902">
            <v>42200</v>
          </cell>
          <cell r="AF1902">
            <v>19.504983199281437</v>
          </cell>
          <cell r="AG1902">
            <v>20.469360058004284</v>
          </cell>
          <cell r="AH1902">
            <v>17.881583490985356</v>
          </cell>
          <cell r="AI1902">
            <v>15.547864889645153</v>
          </cell>
          <cell r="AJ1902">
            <v>20.215302092325562</v>
          </cell>
          <cell r="AU1902">
            <v>13.399852534615921</v>
          </cell>
          <cell r="AV1902">
            <v>14.263722316306255</v>
          </cell>
          <cell r="AW1902">
            <v>12.105561258724364</v>
          </cell>
          <cell r="AX1902">
            <v>10.242049449424412</v>
          </cell>
          <cell r="AY1902">
            <v>13.969073068024317</v>
          </cell>
        </row>
        <row r="1903">
          <cell r="A1903">
            <v>42201</v>
          </cell>
          <cell r="AF1903">
            <v>19.560885438342343</v>
          </cell>
          <cell r="AG1903">
            <v>20.469360058004284</v>
          </cell>
          <cell r="AH1903">
            <v>17.881583490985356</v>
          </cell>
          <cell r="AI1903">
            <v>15.547864889645153</v>
          </cell>
          <cell r="AJ1903">
            <v>20.215302092325562</v>
          </cell>
          <cell r="AU1903">
            <v>13.432986009693828</v>
          </cell>
          <cell r="AV1903">
            <v>14.263722316306255</v>
          </cell>
          <cell r="AW1903">
            <v>12.105561258724364</v>
          </cell>
          <cell r="AX1903">
            <v>10.242049449424412</v>
          </cell>
          <cell r="AY1903">
            <v>13.969073068024317</v>
          </cell>
        </row>
        <row r="1904">
          <cell r="A1904">
            <v>42202</v>
          </cell>
          <cell r="AF1904">
            <v>19.590698922395635</v>
          </cell>
          <cell r="AG1904">
            <v>20.469360058004284</v>
          </cell>
          <cell r="AH1904">
            <v>17.881583490985356</v>
          </cell>
          <cell r="AI1904">
            <v>15.547864889645153</v>
          </cell>
          <cell r="AJ1904">
            <v>20.215302092325562</v>
          </cell>
          <cell r="AU1904">
            <v>13.450653264798895</v>
          </cell>
          <cell r="AV1904">
            <v>14.263722316306255</v>
          </cell>
          <cell r="AW1904">
            <v>12.105561258724364</v>
          </cell>
          <cell r="AX1904">
            <v>10.242049449424412</v>
          </cell>
          <cell r="AY1904">
            <v>13.969073068024317</v>
          </cell>
        </row>
        <row r="1905">
          <cell r="A1905">
            <v>42205</v>
          </cell>
          <cell r="AF1905">
            <v>19.560885438342343</v>
          </cell>
          <cell r="AG1905">
            <v>20.469360058004284</v>
          </cell>
          <cell r="AH1905">
            <v>17.881583490985356</v>
          </cell>
          <cell r="AI1905">
            <v>15.547864889645153</v>
          </cell>
          <cell r="AJ1905">
            <v>20.215302092325562</v>
          </cell>
          <cell r="AU1905">
            <v>13.432986009693828</v>
          </cell>
          <cell r="AV1905">
            <v>14.263722316306255</v>
          </cell>
          <cell r="AW1905">
            <v>12.105561258724364</v>
          </cell>
          <cell r="AX1905">
            <v>10.242049449424412</v>
          </cell>
          <cell r="AY1905">
            <v>13.969073068024317</v>
          </cell>
        </row>
        <row r="1906">
          <cell r="A1906">
            <v>42206</v>
          </cell>
          <cell r="AF1906">
            <v>19.426727741376393</v>
          </cell>
          <cell r="AG1906">
            <v>20.469360058004284</v>
          </cell>
          <cell r="AH1906">
            <v>17.881583490985356</v>
          </cell>
          <cell r="AI1906">
            <v>15.547864889645153</v>
          </cell>
          <cell r="AJ1906">
            <v>20.215302092325562</v>
          </cell>
          <cell r="AU1906">
            <v>13.353470219564432</v>
          </cell>
          <cell r="AV1906">
            <v>14.263722316306255</v>
          </cell>
          <cell r="AW1906">
            <v>12.105561258724364</v>
          </cell>
          <cell r="AX1906">
            <v>10.242049449424412</v>
          </cell>
          <cell r="AY1906">
            <v>13.969073068024317</v>
          </cell>
        </row>
        <row r="1907">
          <cell r="A1907">
            <v>42207</v>
          </cell>
          <cell r="AF1907">
            <v>19.590698922395635</v>
          </cell>
          <cell r="AG1907">
            <v>20.469360058004284</v>
          </cell>
          <cell r="AH1907">
            <v>17.881583490985356</v>
          </cell>
          <cell r="AI1907">
            <v>15.547864889645153</v>
          </cell>
          <cell r="AJ1907">
            <v>20.215302092325562</v>
          </cell>
          <cell r="AU1907">
            <v>13.450656577947614</v>
          </cell>
          <cell r="AV1907">
            <v>14.263722316306255</v>
          </cell>
          <cell r="AW1907">
            <v>12.105561258724364</v>
          </cell>
          <cell r="AX1907">
            <v>10.242049449424412</v>
          </cell>
          <cell r="AY1907">
            <v>13.969073068024317</v>
          </cell>
        </row>
        <row r="1908">
          <cell r="A1908">
            <v>42208</v>
          </cell>
          <cell r="AF1908">
            <v>19.646595571568028</v>
          </cell>
          <cell r="AG1908">
            <v>20.469360058004284</v>
          </cell>
          <cell r="AH1908">
            <v>17.881583490985356</v>
          </cell>
          <cell r="AI1908">
            <v>15.547864889645153</v>
          </cell>
          <cell r="AJ1908">
            <v>20.215302092325562</v>
          </cell>
          <cell r="AU1908">
            <v>13.4837867398768</v>
          </cell>
          <cell r="AV1908">
            <v>14.263722316306255</v>
          </cell>
          <cell r="AW1908">
            <v>12.105561258724364</v>
          </cell>
          <cell r="AX1908">
            <v>10.242049449424412</v>
          </cell>
          <cell r="AY1908">
            <v>13.969073068024317</v>
          </cell>
        </row>
        <row r="1909">
          <cell r="A1909">
            <v>42209</v>
          </cell>
          <cell r="AF1909">
            <v>19.367101145929045</v>
          </cell>
          <cell r="AG1909">
            <v>20.469360058004284</v>
          </cell>
          <cell r="AH1909">
            <v>17.881583490985356</v>
          </cell>
          <cell r="AI1909">
            <v>15.547864889645153</v>
          </cell>
          <cell r="AJ1909">
            <v>20.215302092325562</v>
          </cell>
          <cell r="AU1909">
            <v>13.318125769908139</v>
          </cell>
          <cell r="AV1909">
            <v>14.263722316306255</v>
          </cell>
          <cell r="AW1909">
            <v>12.105561258724364</v>
          </cell>
          <cell r="AX1909">
            <v>10.242049449424412</v>
          </cell>
          <cell r="AY1909">
            <v>13.969073068024317</v>
          </cell>
        </row>
        <row r="1910">
          <cell r="A1910">
            <v>42212</v>
          </cell>
          <cell r="AF1910">
            <v>19.229875993405589</v>
          </cell>
          <cell r="AG1910">
            <v>20.469360058004284</v>
          </cell>
          <cell r="AH1910">
            <v>17.881583490985356</v>
          </cell>
          <cell r="AI1910">
            <v>15.547864889645153</v>
          </cell>
          <cell r="AJ1910">
            <v>20.215302092325562</v>
          </cell>
          <cell r="AU1910">
            <v>13.236414785992766</v>
          </cell>
          <cell r="AV1910">
            <v>14.263722316306255</v>
          </cell>
          <cell r="AW1910">
            <v>12.105561258724364</v>
          </cell>
          <cell r="AX1910">
            <v>10.242049449424412</v>
          </cell>
          <cell r="AY1910">
            <v>13.969073068024317</v>
          </cell>
        </row>
        <row r="1911">
          <cell r="A1911">
            <v>42213</v>
          </cell>
          <cell r="AF1911">
            <v>19.595092655569175</v>
          </cell>
          <cell r="AG1911">
            <v>20.469360058004284</v>
          </cell>
          <cell r="AH1911">
            <v>17.881583490985356</v>
          </cell>
          <cell r="AI1911">
            <v>15.547864889645153</v>
          </cell>
          <cell r="AJ1911">
            <v>20.215302092325562</v>
          </cell>
          <cell r="AU1911">
            <v>13.45287287372396</v>
          </cell>
          <cell r="AV1911">
            <v>14.263722316306255</v>
          </cell>
          <cell r="AW1911">
            <v>12.105561258724364</v>
          </cell>
          <cell r="AX1911">
            <v>10.242049449424412</v>
          </cell>
          <cell r="AY1911">
            <v>13.969073068024317</v>
          </cell>
        </row>
        <row r="1912">
          <cell r="A1912">
            <v>42214</v>
          </cell>
          <cell r="AF1912">
            <v>20.027393625448006</v>
          </cell>
          <cell r="AG1912">
            <v>20.469360058004284</v>
          </cell>
          <cell r="AH1912">
            <v>17.881583490985356</v>
          </cell>
          <cell r="AI1912">
            <v>15.547864889645153</v>
          </cell>
          <cell r="AJ1912">
            <v>20.215302092325562</v>
          </cell>
          <cell r="AU1912">
            <v>13.709090760142288</v>
          </cell>
          <cell r="AV1912">
            <v>14.263722316306255</v>
          </cell>
          <cell r="AW1912">
            <v>12.105561258724364</v>
          </cell>
          <cell r="AX1912">
            <v>10.242049449424412</v>
          </cell>
          <cell r="AY1912">
            <v>13.969073068024317</v>
          </cell>
        </row>
        <row r="1913">
          <cell r="A1913">
            <v>42215</v>
          </cell>
          <cell r="AF1913">
            <v>20.858234137967397</v>
          </cell>
          <cell r="AG1913">
            <v>20.469360058004284</v>
          </cell>
          <cell r="AH1913">
            <v>17.881583490985356</v>
          </cell>
          <cell r="AI1913">
            <v>15.547864889645153</v>
          </cell>
          <cell r="AJ1913">
            <v>20.215302092325562</v>
          </cell>
          <cell r="AU1913">
            <v>14.178595258152443</v>
          </cell>
          <cell r="AV1913">
            <v>14.263722316306255</v>
          </cell>
          <cell r="AW1913">
            <v>12.105561258724364</v>
          </cell>
          <cell r="AX1913">
            <v>10.242049449424412</v>
          </cell>
          <cell r="AY1913">
            <v>13.969073068024317</v>
          </cell>
        </row>
        <row r="1914">
          <cell r="A1914">
            <v>42216</v>
          </cell>
          <cell r="AF1914">
            <v>21.141556287394963</v>
          </cell>
          <cell r="AG1914">
            <v>20.469360058004284</v>
          </cell>
          <cell r="AH1914">
            <v>17.881583490985356</v>
          </cell>
          <cell r="AI1914">
            <v>15.547864889645153</v>
          </cell>
          <cell r="AJ1914">
            <v>20.215302092325562</v>
          </cell>
          <cell r="AU1914">
            <v>14.332787010607412</v>
          </cell>
          <cell r="AV1914">
            <v>14.263722316306255</v>
          </cell>
          <cell r="AW1914">
            <v>12.105561258724364</v>
          </cell>
          <cell r="AX1914">
            <v>10.242049449424412</v>
          </cell>
          <cell r="AY1914">
            <v>13.969073068024317</v>
          </cell>
        </row>
        <row r="1915">
          <cell r="A1915">
            <v>42219</v>
          </cell>
          <cell r="AF1915">
            <v>20.568011807769253</v>
          </cell>
          <cell r="AG1915">
            <v>20.469360058004284</v>
          </cell>
          <cell r="AH1915">
            <v>17.881583490985356</v>
          </cell>
          <cell r="AI1915">
            <v>15.547864889645153</v>
          </cell>
          <cell r="AJ1915">
            <v>20.215302092325562</v>
          </cell>
          <cell r="AU1915">
            <v>14.098163147396081</v>
          </cell>
          <cell r="AV1915">
            <v>14.263722316306255</v>
          </cell>
          <cell r="AW1915">
            <v>12.105561258724364</v>
          </cell>
          <cell r="AX1915">
            <v>10.242049449424412</v>
          </cell>
          <cell r="AY1915">
            <v>13.969073068024317</v>
          </cell>
        </row>
        <row r="1916">
          <cell r="A1916">
            <v>42220</v>
          </cell>
          <cell r="AF1916">
            <v>20.542281756658625</v>
          </cell>
          <cell r="AG1916">
            <v>20.469360058004284</v>
          </cell>
          <cell r="AH1916">
            <v>17.881583490985356</v>
          </cell>
          <cell r="AI1916">
            <v>15.547864889645153</v>
          </cell>
          <cell r="AJ1916">
            <v>20.215302092325562</v>
          </cell>
          <cell r="AU1916">
            <v>13.985908524259145</v>
          </cell>
          <cell r="AV1916">
            <v>14.263722316306255</v>
          </cell>
          <cell r="AW1916">
            <v>12.105561258724364</v>
          </cell>
          <cell r="AX1916">
            <v>10.242049449424412</v>
          </cell>
          <cell r="AY1916">
            <v>13.969073068024317</v>
          </cell>
        </row>
        <row r="1917">
          <cell r="A1917">
            <v>42221</v>
          </cell>
          <cell r="AF1917">
            <v>20.748144957622284</v>
          </cell>
          <cell r="AG1917">
            <v>20.469360058004284</v>
          </cell>
          <cell r="AH1917">
            <v>17.881583490985356</v>
          </cell>
          <cell r="AI1917">
            <v>15.547864889645153</v>
          </cell>
          <cell r="AJ1917">
            <v>20.215302092325562</v>
          </cell>
          <cell r="AU1917">
            <v>14.108731907958376</v>
          </cell>
          <cell r="AV1917">
            <v>14.263722316306255</v>
          </cell>
          <cell r="AW1917">
            <v>12.105561258724364</v>
          </cell>
          <cell r="AX1917">
            <v>10.242049449424412</v>
          </cell>
          <cell r="AY1917">
            <v>13.969073068024317</v>
          </cell>
        </row>
        <row r="1918">
          <cell r="A1918">
            <v>42222</v>
          </cell>
          <cell r="AF1918">
            <v>20.458882525699551</v>
          </cell>
          <cell r="AG1918">
            <v>20.469360058004284</v>
          </cell>
          <cell r="AH1918">
            <v>17.881583490985356</v>
          </cell>
          <cell r="AI1918">
            <v>15.547864889645153</v>
          </cell>
          <cell r="AJ1918">
            <v>20.215302092325562</v>
          </cell>
          <cell r="AU1918">
            <v>13.890261400500082</v>
          </cell>
          <cell r="AV1918">
            <v>14.263722316306255</v>
          </cell>
          <cell r="AW1918">
            <v>12.105561258724364</v>
          </cell>
          <cell r="AX1918">
            <v>10.242049449424412</v>
          </cell>
          <cell r="AY1918">
            <v>13.969073068024317</v>
          </cell>
        </row>
        <row r="1919">
          <cell r="A1919">
            <v>42223</v>
          </cell>
          <cell r="AF1919">
            <v>20.477238986786187</v>
          </cell>
          <cell r="AG1919">
            <v>20.469360058004284</v>
          </cell>
          <cell r="AH1919">
            <v>17.881583490985356</v>
          </cell>
          <cell r="AI1919">
            <v>15.547864889645153</v>
          </cell>
          <cell r="AJ1919">
            <v>20.215302092325562</v>
          </cell>
          <cell r="AU1919">
            <v>13.901228764964921</v>
          </cell>
          <cell r="AV1919">
            <v>14.263722316306255</v>
          </cell>
          <cell r="AW1919">
            <v>12.105561258724364</v>
          </cell>
          <cell r="AX1919">
            <v>10.242049449424412</v>
          </cell>
          <cell r="AY1919">
            <v>13.969073068024317</v>
          </cell>
        </row>
        <row r="1920">
          <cell r="A1920">
            <v>42226</v>
          </cell>
          <cell r="AF1920">
            <v>20.631423274598248</v>
          </cell>
          <cell r="AG1920">
            <v>20.469360058004284</v>
          </cell>
          <cell r="AH1920">
            <v>17.881583490985356</v>
          </cell>
          <cell r="AI1920">
            <v>15.547864889645153</v>
          </cell>
          <cell r="AJ1920">
            <v>20.215302092325562</v>
          </cell>
          <cell r="AU1920">
            <v>13.993348660581233</v>
          </cell>
          <cell r="AV1920">
            <v>14.263722316306255</v>
          </cell>
          <cell r="AW1920">
            <v>12.105561258724364</v>
          </cell>
          <cell r="AX1920">
            <v>10.242049449424412</v>
          </cell>
          <cell r="AY1920">
            <v>13.969073068024317</v>
          </cell>
        </row>
        <row r="1921">
          <cell r="A1921">
            <v>42227</v>
          </cell>
          <cell r="AF1921">
            <v>20.546990455214978</v>
          </cell>
          <cell r="AG1921">
            <v>20.469360058004284</v>
          </cell>
          <cell r="AH1921">
            <v>17.881583490985356</v>
          </cell>
          <cell r="AI1921">
            <v>15.547864889645153</v>
          </cell>
          <cell r="AJ1921">
            <v>20.215302092325562</v>
          </cell>
          <cell r="AU1921">
            <v>13.942902907524614</v>
          </cell>
          <cell r="AV1921">
            <v>14.263722316306255</v>
          </cell>
          <cell r="AW1921">
            <v>12.105561258724364</v>
          </cell>
          <cell r="AX1921">
            <v>10.242049449424412</v>
          </cell>
          <cell r="AY1921">
            <v>13.969073068024317</v>
          </cell>
        </row>
        <row r="1922">
          <cell r="A1922">
            <v>42228</v>
          </cell>
          <cell r="AF1922">
            <v>21.031569016154819</v>
          </cell>
          <cell r="AG1922">
            <v>20.469360058004284</v>
          </cell>
          <cell r="AH1922">
            <v>17.881583490985356</v>
          </cell>
          <cell r="AI1922">
            <v>15.547864889645153</v>
          </cell>
          <cell r="AJ1922">
            <v>20.215302092325562</v>
          </cell>
          <cell r="AU1922">
            <v>14.232422203460233</v>
          </cell>
          <cell r="AV1922">
            <v>14.263722316306255</v>
          </cell>
          <cell r="AW1922">
            <v>12.105561258724364</v>
          </cell>
          <cell r="AX1922">
            <v>10.242049449424412</v>
          </cell>
          <cell r="AY1922">
            <v>13.969073068024317</v>
          </cell>
        </row>
        <row r="1923">
          <cell r="A1923">
            <v>42229</v>
          </cell>
          <cell r="AF1923">
            <v>20.932454111602681</v>
          </cell>
          <cell r="AG1923">
            <v>20.469360058004284</v>
          </cell>
          <cell r="AH1923">
            <v>17.881583490985356</v>
          </cell>
          <cell r="AI1923">
            <v>15.547864889645153</v>
          </cell>
          <cell r="AJ1923">
            <v>20.215302092325562</v>
          </cell>
          <cell r="AU1923">
            <v>14.173204401238429</v>
          </cell>
          <cell r="AV1923">
            <v>14.263722316306255</v>
          </cell>
          <cell r="AW1923">
            <v>12.105561258724364</v>
          </cell>
          <cell r="AX1923">
            <v>10.242049449424412</v>
          </cell>
          <cell r="AY1923">
            <v>13.969073068024317</v>
          </cell>
        </row>
        <row r="1924">
          <cell r="A1924">
            <v>42230</v>
          </cell>
          <cell r="AF1924">
            <v>20.848015418504289</v>
          </cell>
          <cell r="AG1924">
            <v>20.469360058004284</v>
          </cell>
          <cell r="AH1924">
            <v>17.881583490985356</v>
          </cell>
          <cell r="AI1924">
            <v>15.547864889645153</v>
          </cell>
          <cell r="AJ1924">
            <v>20.215302092325562</v>
          </cell>
          <cell r="AU1924">
            <v>14.122755138835744</v>
          </cell>
          <cell r="AV1924">
            <v>14.263722316306255</v>
          </cell>
          <cell r="AW1924">
            <v>12.105561258724364</v>
          </cell>
          <cell r="AX1924">
            <v>10.242049449424412</v>
          </cell>
          <cell r="AY1924">
            <v>13.969073068024317</v>
          </cell>
        </row>
        <row r="1925">
          <cell r="A1925">
            <v>42233</v>
          </cell>
          <cell r="AF1925">
            <v>20.830123277313625</v>
          </cell>
          <cell r="AG1925">
            <v>20.469360058004284</v>
          </cell>
          <cell r="AH1925">
            <v>17.881583490985356</v>
          </cell>
          <cell r="AI1925">
            <v>15.547864889645153</v>
          </cell>
          <cell r="AJ1925">
            <v>20.215302092325562</v>
          </cell>
          <cell r="AU1925">
            <v>14.111791064382844</v>
          </cell>
          <cell r="AV1925">
            <v>14.263722316306255</v>
          </cell>
          <cell r="AW1925">
            <v>12.105561258724364</v>
          </cell>
          <cell r="AX1925">
            <v>10.242049449424412</v>
          </cell>
          <cell r="AY1925">
            <v>13.969073068024317</v>
          </cell>
        </row>
        <row r="1926">
          <cell r="A1926">
            <v>42234</v>
          </cell>
          <cell r="AF1926">
            <v>20.995324052661115</v>
          </cell>
          <cell r="AG1926">
            <v>20.469360058004284</v>
          </cell>
          <cell r="AH1926">
            <v>17.881583490985356</v>
          </cell>
          <cell r="AI1926">
            <v>15.547864889645153</v>
          </cell>
          <cell r="AJ1926">
            <v>20.215302092325562</v>
          </cell>
          <cell r="AU1926">
            <v>14.210490764542497</v>
          </cell>
          <cell r="AV1926">
            <v>14.263722316306255</v>
          </cell>
          <cell r="AW1926">
            <v>12.105561258724364</v>
          </cell>
          <cell r="AX1926">
            <v>10.242049449424412</v>
          </cell>
          <cell r="AY1926">
            <v>13.969073068024317</v>
          </cell>
        </row>
        <row r="1927">
          <cell r="A1927">
            <v>42235</v>
          </cell>
          <cell r="AF1927">
            <v>20.833792227437343</v>
          </cell>
          <cell r="AG1927">
            <v>20.469360058004284</v>
          </cell>
          <cell r="AH1927">
            <v>17.881583490985356</v>
          </cell>
          <cell r="AI1927">
            <v>15.547864889645153</v>
          </cell>
          <cell r="AJ1927">
            <v>20.215302092325562</v>
          </cell>
          <cell r="AU1927">
            <v>14.029844944538864</v>
          </cell>
          <cell r="AV1927">
            <v>14.263722316306255</v>
          </cell>
          <cell r="AW1927">
            <v>12.105561258724364</v>
          </cell>
          <cell r="AX1927">
            <v>10.242049449424412</v>
          </cell>
          <cell r="AY1927">
            <v>13.969073068024317</v>
          </cell>
        </row>
        <row r="1928">
          <cell r="A1928">
            <v>42236</v>
          </cell>
          <cell r="AF1928">
            <v>20.371229175387693</v>
          </cell>
          <cell r="AG1928">
            <v>20.469360058004284</v>
          </cell>
          <cell r="AH1928">
            <v>17.881583490985356</v>
          </cell>
          <cell r="AI1928">
            <v>15.547864889645153</v>
          </cell>
          <cell r="AJ1928">
            <v>20.215302092325562</v>
          </cell>
          <cell r="AU1928">
            <v>13.755132729653928</v>
          </cell>
          <cell r="AV1928">
            <v>14.263722316306255</v>
          </cell>
          <cell r="AW1928">
            <v>12.105561258724364</v>
          </cell>
          <cell r="AX1928">
            <v>10.242049449424412</v>
          </cell>
          <cell r="AY1928">
            <v>13.969073068024317</v>
          </cell>
        </row>
        <row r="1929">
          <cell r="A1929">
            <v>42237</v>
          </cell>
          <cell r="AF1929">
            <v>19.697602228209607</v>
          </cell>
          <cell r="AG1929">
            <v>20.469360058004284</v>
          </cell>
          <cell r="AH1929">
            <v>17.881583490985356</v>
          </cell>
          <cell r="AI1929">
            <v>15.547864889645153</v>
          </cell>
          <cell r="AJ1929">
            <v>20.215302092325562</v>
          </cell>
          <cell r="AU1929">
            <v>13.351828665656321</v>
          </cell>
          <cell r="AV1929">
            <v>14.263722316306255</v>
          </cell>
          <cell r="AW1929">
            <v>12.105561258724364</v>
          </cell>
          <cell r="AX1929">
            <v>10.242049449424412</v>
          </cell>
          <cell r="AY1929">
            <v>13.969073068024317</v>
          </cell>
        </row>
        <row r="1930">
          <cell r="A1930">
            <v>42240</v>
          </cell>
          <cell r="AF1930">
            <v>18.933644955927459</v>
          </cell>
          <cell r="AG1930">
            <v>20.469360058004284</v>
          </cell>
          <cell r="AH1930">
            <v>17.881583490985356</v>
          </cell>
          <cell r="AI1930">
            <v>15.547864889645153</v>
          </cell>
          <cell r="AJ1930">
            <v>20.215302092325562</v>
          </cell>
          <cell r="AU1930">
            <v>12.898279830894159</v>
          </cell>
          <cell r="AV1930">
            <v>14.263722316306255</v>
          </cell>
          <cell r="AW1930">
            <v>12.105561258724364</v>
          </cell>
          <cell r="AX1930">
            <v>10.242049449424412</v>
          </cell>
          <cell r="AY1930">
            <v>13.969073068024317</v>
          </cell>
        </row>
        <row r="1931">
          <cell r="A1931">
            <v>42241</v>
          </cell>
          <cell r="AF1931">
            <v>18.753672135163484</v>
          </cell>
          <cell r="AG1931">
            <v>20.469360058004284</v>
          </cell>
          <cell r="AH1931">
            <v>17.881583490985356</v>
          </cell>
          <cell r="AI1931">
            <v>15.547864889645153</v>
          </cell>
          <cell r="AJ1931">
            <v>20.215302092325562</v>
          </cell>
          <cell r="AU1931">
            <v>12.791427489633437</v>
          </cell>
          <cell r="AV1931">
            <v>14.263722316306255</v>
          </cell>
          <cell r="AW1931">
            <v>12.105561258724364</v>
          </cell>
          <cell r="AX1931">
            <v>10.242049449424412</v>
          </cell>
          <cell r="AY1931">
            <v>13.969073068024317</v>
          </cell>
        </row>
        <row r="1932">
          <cell r="A1932">
            <v>42242</v>
          </cell>
          <cell r="AF1932">
            <v>19.34713155316215</v>
          </cell>
          <cell r="AG1932">
            <v>20.469360058004284</v>
          </cell>
          <cell r="AH1932">
            <v>17.881583490985356</v>
          </cell>
          <cell r="AI1932">
            <v>15.547864889645153</v>
          </cell>
          <cell r="AJ1932">
            <v>20.215302092325562</v>
          </cell>
          <cell r="AU1932">
            <v>13.138147315911446</v>
          </cell>
          <cell r="AV1932">
            <v>14.263722316306255</v>
          </cell>
          <cell r="AW1932">
            <v>12.105561258724364</v>
          </cell>
          <cell r="AX1932">
            <v>10.242049449424412</v>
          </cell>
          <cell r="AY1932">
            <v>13.969073068024317</v>
          </cell>
        </row>
        <row r="1933">
          <cell r="A1933">
            <v>42243</v>
          </cell>
          <cell r="AF1933">
            <v>19.571286746694756</v>
          </cell>
          <cell r="AG1933">
            <v>20.469360058004284</v>
          </cell>
          <cell r="AH1933">
            <v>17.881583490985356</v>
          </cell>
          <cell r="AI1933">
            <v>15.547864889645153</v>
          </cell>
          <cell r="AJ1933">
            <v>20.215302092325562</v>
          </cell>
          <cell r="AU1933">
            <v>13.271166166744667</v>
          </cell>
          <cell r="AV1933">
            <v>14.263722316306255</v>
          </cell>
          <cell r="AW1933">
            <v>12.105561258724364</v>
          </cell>
          <cell r="AX1933">
            <v>10.242049449424412</v>
          </cell>
          <cell r="AY1933">
            <v>13.969073068024317</v>
          </cell>
        </row>
        <row r="1934">
          <cell r="A1934">
            <v>42244</v>
          </cell>
          <cell r="AF1934">
            <v>19.571286746694756</v>
          </cell>
          <cell r="AG1934">
            <v>20.469360058004284</v>
          </cell>
          <cell r="AH1934">
            <v>17.881583490985356</v>
          </cell>
          <cell r="AI1934">
            <v>15.547864889645153</v>
          </cell>
          <cell r="AJ1934">
            <v>20.215302092325562</v>
          </cell>
          <cell r="AU1934">
            <v>13.271166166744667</v>
          </cell>
          <cell r="AV1934">
            <v>14.263722316306255</v>
          </cell>
          <cell r="AW1934">
            <v>12.105561258724364</v>
          </cell>
          <cell r="AX1934">
            <v>10.242049449424412</v>
          </cell>
          <cell r="AY1934">
            <v>13.969073068024317</v>
          </cell>
        </row>
        <row r="1935">
          <cell r="A1935">
            <v>42247</v>
          </cell>
          <cell r="AF1935">
            <v>19.258943165117067</v>
          </cell>
          <cell r="AG1935">
            <v>20.469360058004284</v>
          </cell>
          <cell r="AH1935">
            <v>17.881583490985356</v>
          </cell>
          <cell r="AI1935">
            <v>15.547864889645153</v>
          </cell>
          <cell r="AJ1935">
            <v>20.215302092325562</v>
          </cell>
          <cell r="AU1935">
            <v>13.085814296766456</v>
          </cell>
          <cell r="AV1935">
            <v>14.263722316306255</v>
          </cell>
          <cell r="AW1935">
            <v>12.105561258724364</v>
          </cell>
          <cell r="AX1935">
            <v>10.242049449424412</v>
          </cell>
          <cell r="AY1935">
            <v>13.969073068024317</v>
          </cell>
        </row>
        <row r="1936">
          <cell r="A1936">
            <v>42248</v>
          </cell>
          <cell r="AF1936">
            <v>18.535162009132417</v>
          </cell>
          <cell r="AG1936">
            <v>20.469360058004284</v>
          </cell>
          <cell r="AH1936">
            <v>17.881583490985356</v>
          </cell>
          <cell r="AI1936">
            <v>15.547864889645153</v>
          </cell>
          <cell r="AJ1936">
            <v>20.215302092325562</v>
          </cell>
          <cell r="AU1936">
            <v>12.667992633467868</v>
          </cell>
          <cell r="AV1936">
            <v>14.263722316306255</v>
          </cell>
          <cell r="AW1936">
            <v>12.105561258724364</v>
          </cell>
          <cell r="AX1936">
            <v>10.242049449424412</v>
          </cell>
          <cell r="AY1936">
            <v>13.969073068024317</v>
          </cell>
        </row>
        <row r="1937">
          <cell r="A1937">
            <v>42249</v>
          </cell>
          <cell r="AF1937">
            <v>18.904109589041095</v>
          </cell>
          <cell r="AG1937">
            <v>20.469360058004284</v>
          </cell>
          <cell r="AH1937">
            <v>17.881583490985356</v>
          </cell>
          <cell r="AI1937">
            <v>15.547864889645153</v>
          </cell>
          <cell r="AJ1937">
            <v>20.215302092325562</v>
          </cell>
          <cell r="AU1937">
            <v>12.887306369289488</v>
          </cell>
          <cell r="AV1937">
            <v>14.263722316306255</v>
          </cell>
          <cell r="AW1937">
            <v>12.105561258724364</v>
          </cell>
          <cell r="AX1937">
            <v>10.242049449424412</v>
          </cell>
          <cell r="AY1937">
            <v>13.969073068024317</v>
          </cell>
        </row>
        <row r="1938">
          <cell r="A1938">
            <v>42250</v>
          </cell>
          <cell r="AF1938">
            <v>18.87488547945205</v>
          </cell>
          <cell r="AG1938">
            <v>20.469360058004284</v>
          </cell>
          <cell r="AH1938">
            <v>17.881583490985356</v>
          </cell>
          <cell r="AI1938">
            <v>15.547864889645153</v>
          </cell>
          <cell r="AJ1938">
            <v>20.215302092325562</v>
          </cell>
          <cell r="AU1938">
            <v>12.869934663933352</v>
          </cell>
          <cell r="AV1938">
            <v>14.263722316306255</v>
          </cell>
          <cell r="AW1938">
            <v>12.105561258724364</v>
          </cell>
          <cell r="AX1938">
            <v>10.242049449424412</v>
          </cell>
          <cell r="AY1938">
            <v>13.969073068024317</v>
          </cell>
        </row>
        <row r="1939">
          <cell r="A1939">
            <v>42251</v>
          </cell>
          <cell r="AF1939">
            <v>18.703195251141551</v>
          </cell>
          <cell r="AG1939">
            <v>20.469360058004284</v>
          </cell>
          <cell r="AH1939">
            <v>17.881583490985356</v>
          </cell>
          <cell r="AI1939">
            <v>15.547864889645153</v>
          </cell>
          <cell r="AJ1939">
            <v>20.215302092325562</v>
          </cell>
          <cell r="AU1939">
            <v>12.767876736397513</v>
          </cell>
          <cell r="AV1939">
            <v>14.263722316306255</v>
          </cell>
          <cell r="AW1939">
            <v>12.105561258724364</v>
          </cell>
          <cell r="AX1939">
            <v>10.242049449424412</v>
          </cell>
          <cell r="AY1939">
            <v>13.969073068024317</v>
          </cell>
        </row>
        <row r="1940">
          <cell r="A1940">
            <v>42254</v>
          </cell>
          <cell r="AF1940">
            <v>18.703195251141551</v>
          </cell>
          <cell r="AG1940">
            <v>20.469360058004284</v>
          </cell>
          <cell r="AH1940">
            <v>17.881583490985356</v>
          </cell>
          <cell r="AI1940">
            <v>15.547864889645153</v>
          </cell>
          <cell r="AJ1940">
            <v>20.215302092325562</v>
          </cell>
          <cell r="AU1940">
            <v>12.767876736397513</v>
          </cell>
          <cell r="AV1940">
            <v>14.263722316306255</v>
          </cell>
          <cell r="AW1940">
            <v>12.105561258724364</v>
          </cell>
          <cell r="AX1940">
            <v>10.242049449424412</v>
          </cell>
          <cell r="AY1940">
            <v>13.969073068024317</v>
          </cell>
        </row>
        <row r="1941">
          <cell r="A1941">
            <v>42255</v>
          </cell>
          <cell r="AF1941">
            <v>19.14520694063927</v>
          </cell>
          <cell r="AG1941">
            <v>20.469360058004284</v>
          </cell>
          <cell r="AH1941">
            <v>17.881583490985356</v>
          </cell>
          <cell r="AI1941">
            <v>15.547864889645153</v>
          </cell>
          <cell r="AJ1941">
            <v>20.215302092325562</v>
          </cell>
          <cell r="AU1941">
            <v>13.030622015617302</v>
          </cell>
          <cell r="AV1941">
            <v>14.263722316306255</v>
          </cell>
          <cell r="AW1941">
            <v>12.105561258724364</v>
          </cell>
          <cell r="AX1941">
            <v>10.242049449424412</v>
          </cell>
          <cell r="AY1941">
            <v>13.969073068024317</v>
          </cell>
        </row>
        <row r="1942">
          <cell r="A1942">
            <v>42256</v>
          </cell>
          <cell r="AF1942">
            <v>18.885843652968035</v>
          </cell>
          <cell r="AG1942">
            <v>20.469360058004284</v>
          </cell>
          <cell r="AH1942">
            <v>17.881583490985356</v>
          </cell>
          <cell r="AI1942">
            <v>15.547864889645153</v>
          </cell>
          <cell r="AJ1942">
            <v>20.215302092325562</v>
          </cell>
          <cell r="AU1942">
            <v>12.876448537725848</v>
          </cell>
          <cell r="AV1942">
            <v>14.263722316306255</v>
          </cell>
          <cell r="AW1942">
            <v>12.105561258724364</v>
          </cell>
          <cell r="AX1942">
            <v>10.242049449424412</v>
          </cell>
          <cell r="AY1942">
            <v>13.969073068024317</v>
          </cell>
        </row>
        <row r="1943">
          <cell r="A1943">
            <v>42257</v>
          </cell>
          <cell r="AF1943">
            <v>19.101367671232875</v>
          </cell>
          <cell r="AG1943">
            <v>20.469360058004284</v>
          </cell>
          <cell r="AH1943">
            <v>17.881583490985356</v>
          </cell>
          <cell r="AI1943">
            <v>15.547864889645153</v>
          </cell>
          <cell r="AJ1943">
            <v>20.215302092325562</v>
          </cell>
          <cell r="AU1943">
            <v>13.004562611862475</v>
          </cell>
          <cell r="AV1943">
            <v>14.263722316306255</v>
          </cell>
          <cell r="AW1943">
            <v>12.105561258724364</v>
          </cell>
          <cell r="AX1943">
            <v>10.242049449424412</v>
          </cell>
          <cell r="AY1943">
            <v>13.969073068024317</v>
          </cell>
        </row>
        <row r="1944">
          <cell r="A1944">
            <v>42258</v>
          </cell>
          <cell r="AF1944">
            <v>19.210957808219174</v>
          </cell>
          <cell r="AG1944">
            <v>20.469360058004284</v>
          </cell>
          <cell r="AH1944">
            <v>17.881583490985356</v>
          </cell>
          <cell r="AI1944">
            <v>15.547864889645153</v>
          </cell>
          <cell r="AJ1944">
            <v>20.215302092325562</v>
          </cell>
          <cell r="AU1944">
            <v>13.069706344090283</v>
          </cell>
          <cell r="AV1944">
            <v>14.263722316306255</v>
          </cell>
          <cell r="AW1944">
            <v>12.105561258724364</v>
          </cell>
          <cell r="AX1944">
            <v>10.242049449424412</v>
          </cell>
          <cell r="AY1944">
            <v>13.969073068024317</v>
          </cell>
        </row>
        <row r="1945">
          <cell r="A1945">
            <v>42261</v>
          </cell>
          <cell r="AF1945">
            <v>19.596411831672583</v>
          </cell>
          <cell r="AG1945">
            <v>20.469360058004284</v>
          </cell>
          <cell r="AH1945">
            <v>17.881583490985356</v>
          </cell>
          <cell r="AI1945">
            <v>15.547864889645153</v>
          </cell>
          <cell r="AJ1945">
            <v>20.215302092325562</v>
          </cell>
          <cell r="AU1945">
            <v>13.306953079639346</v>
          </cell>
          <cell r="AV1945">
            <v>14.263722316306255</v>
          </cell>
          <cell r="AW1945">
            <v>12.105561258724364</v>
          </cell>
          <cell r="AX1945">
            <v>10.242049449424412</v>
          </cell>
          <cell r="AY1945">
            <v>13.969073068024317</v>
          </cell>
        </row>
        <row r="1946">
          <cell r="A1946">
            <v>42262</v>
          </cell>
          <cell r="AF1946">
            <v>19.863207752314786</v>
          </cell>
          <cell r="AG1946">
            <v>20.469360058004284</v>
          </cell>
          <cell r="AH1946">
            <v>17.881583490985356</v>
          </cell>
          <cell r="AI1946">
            <v>15.547864889645153</v>
          </cell>
          <cell r="AJ1946">
            <v>20.215302092325562</v>
          </cell>
          <cell r="AU1946">
            <v>13.465632341199305</v>
          </cell>
          <cell r="AV1946">
            <v>14.263722316306255</v>
          </cell>
          <cell r="AW1946">
            <v>12.105561258724364</v>
          </cell>
          <cell r="AX1946">
            <v>10.242049449424412</v>
          </cell>
          <cell r="AY1946">
            <v>13.969073068024317</v>
          </cell>
        </row>
        <row r="1947">
          <cell r="A1947">
            <v>42263</v>
          </cell>
          <cell r="AF1947">
            <v>19.384020695278817</v>
          </cell>
          <cell r="AG1947">
            <v>20.469360058004284</v>
          </cell>
          <cell r="AH1947">
            <v>17.881583490985356</v>
          </cell>
          <cell r="AI1947">
            <v>15.547864889645153</v>
          </cell>
          <cell r="AJ1947">
            <v>20.215302092325562</v>
          </cell>
          <cell r="AU1947">
            <v>11.902055281418443</v>
          </cell>
          <cell r="AV1947">
            <v>14.263722316306255</v>
          </cell>
          <cell r="AW1947">
            <v>12.105561258724364</v>
          </cell>
          <cell r="AX1947">
            <v>10.242049449424412</v>
          </cell>
          <cell r="AY1947">
            <v>13.969073068024317</v>
          </cell>
        </row>
        <row r="1948">
          <cell r="A1948">
            <v>42264</v>
          </cell>
          <cell r="AF1948">
            <v>19.554752023487612</v>
          </cell>
          <cell r="AG1948">
            <v>20.469360058004284</v>
          </cell>
          <cell r="AH1948">
            <v>17.881583490985356</v>
          </cell>
          <cell r="AI1948">
            <v>15.547864889645153</v>
          </cell>
          <cell r="AJ1948">
            <v>20.215302092325562</v>
          </cell>
          <cell r="AU1948">
            <v>12.064976038070798</v>
          </cell>
          <cell r="AV1948">
            <v>14.263722316306255</v>
          </cell>
          <cell r="AW1948">
            <v>12.105561258724364</v>
          </cell>
          <cell r="AX1948">
            <v>10.242049449424412</v>
          </cell>
          <cell r="AY1948">
            <v>13.969073068024317</v>
          </cell>
        </row>
        <row r="1949">
          <cell r="A1949">
            <v>42265</v>
          </cell>
          <cell r="AF1949">
            <v>19.274385050136736</v>
          </cell>
          <cell r="AG1949">
            <v>20.469360058004284</v>
          </cell>
          <cell r="AH1949">
            <v>17.881583490985356</v>
          </cell>
          <cell r="AI1949">
            <v>15.547864889645153</v>
          </cell>
          <cell r="AJ1949">
            <v>20.215302092325562</v>
          </cell>
          <cell r="AU1949">
            <v>11.928832874540172</v>
          </cell>
          <cell r="AV1949">
            <v>14.263722316306255</v>
          </cell>
          <cell r="AW1949">
            <v>12.105561258724364</v>
          </cell>
          <cell r="AX1949">
            <v>10.242049449424412</v>
          </cell>
          <cell r="AY1949">
            <v>13.969073068024317</v>
          </cell>
        </row>
        <row r="1950">
          <cell r="A1950">
            <v>42268</v>
          </cell>
          <cell r="AF1950">
            <v>19.349667911467346</v>
          </cell>
          <cell r="AG1950">
            <v>20.469360058004284</v>
          </cell>
          <cell r="AH1950">
            <v>17.881583490985356</v>
          </cell>
          <cell r="AI1950">
            <v>15.547864889645153</v>
          </cell>
          <cell r="AJ1950">
            <v>20.215302092325562</v>
          </cell>
          <cell r="AU1950">
            <v>13.255627030401795</v>
          </cell>
          <cell r="AV1950">
            <v>14.263722316306255</v>
          </cell>
          <cell r="AW1950">
            <v>12.105561258724364</v>
          </cell>
          <cell r="AX1950">
            <v>10.242049449424412</v>
          </cell>
          <cell r="AY1950">
            <v>13.969073068024317</v>
          </cell>
        </row>
        <row r="1951">
          <cell r="A1951">
            <v>42269</v>
          </cell>
          <cell r="AF1951">
            <v>19.13106658165589</v>
          </cell>
          <cell r="AG1951">
            <v>20.469360058004284</v>
          </cell>
          <cell r="AH1951">
            <v>17.881583490985356</v>
          </cell>
          <cell r="AI1951">
            <v>15.547864889645153</v>
          </cell>
          <cell r="AJ1951">
            <v>20.215302092325562</v>
          </cell>
          <cell r="AU1951">
            <v>13.124618036099346</v>
          </cell>
          <cell r="AV1951">
            <v>14.263722316306255</v>
          </cell>
          <cell r="AW1951">
            <v>12.105561258724364</v>
          </cell>
          <cell r="AX1951">
            <v>10.242049449424412</v>
          </cell>
          <cell r="AY1951">
            <v>13.969073068024317</v>
          </cell>
        </row>
        <row r="1952">
          <cell r="A1952">
            <v>42270</v>
          </cell>
          <cell r="AF1952">
            <v>19.298661808907916</v>
          </cell>
          <cell r="AG1952">
            <v>20.469360058004284</v>
          </cell>
          <cell r="AH1952">
            <v>17.881583490985356</v>
          </cell>
          <cell r="AI1952">
            <v>15.547864889645153</v>
          </cell>
          <cell r="AJ1952">
            <v>20.215302092325562</v>
          </cell>
          <cell r="AU1952">
            <v>13.225058789095295</v>
          </cell>
          <cell r="AV1952">
            <v>14.263722316306255</v>
          </cell>
          <cell r="AW1952">
            <v>12.105561258724364</v>
          </cell>
          <cell r="AX1952">
            <v>10.242049449424412</v>
          </cell>
          <cell r="AY1952">
            <v>13.969073068024317</v>
          </cell>
        </row>
        <row r="1953">
          <cell r="A1953">
            <v>42271</v>
          </cell>
          <cell r="AF1953">
            <v>19.163860825211767</v>
          </cell>
          <cell r="AG1953">
            <v>20.469360058004284</v>
          </cell>
          <cell r="AH1953">
            <v>17.881583490985356</v>
          </cell>
          <cell r="AI1953">
            <v>15.547864889645153</v>
          </cell>
          <cell r="AJ1953">
            <v>20.215302092325562</v>
          </cell>
          <cell r="AU1953">
            <v>13.14427180888687</v>
          </cell>
          <cell r="AV1953">
            <v>14.263722316306255</v>
          </cell>
          <cell r="AW1953">
            <v>12.105561258724364</v>
          </cell>
          <cell r="AX1953">
            <v>10.242049449424412</v>
          </cell>
          <cell r="AY1953">
            <v>13.969073068024317</v>
          </cell>
        </row>
        <row r="1954">
          <cell r="A1954">
            <v>42272</v>
          </cell>
          <cell r="AF1954">
            <v>18.916112214227162</v>
          </cell>
          <cell r="AG1954">
            <v>20.469360058004284</v>
          </cell>
          <cell r="AH1954">
            <v>17.881583490985356</v>
          </cell>
          <cell r="AI1954">
            <v>15.547864889645153</v>
          </cell>
          <cell r="AJ1954">
            <v>20.215302092325562</v>
          </cell>
          <cell r="AU1954">
            <v>12.995794686662055</v>
          </cell>
          <cell r="AV1954">
            <v>14.263722316306255</v>
          </cell>
          <cell r="AW1954">
            <v>12.105561258724364</v>
          </cell>
          <cell r="AX1954">
            <v>10.242049449424412</v>
          </cell>
          <cell r="AY1954">
            <v>13.969073068024317</v>
          </cell>
        </row>
        <row r="1955">
          <cell r="A1955">
            <v>42275</v>
          </cell>
          <cell r="AF1955">
            <v>18.384190545587032</v>
          </cell>
          <cell r="AG1955">
            <v>20.469360058004284</v>
          </cell>
          <cell r="AH1955">
            <v>17.881583490985356</v>
          </cell>
          <cell r="AI1955">
            <v>15.547864889645153</v>
          </cell>
          <cell r="AJ1955">
            <v>20.215302092325562</v>
          </cell>
          <cell r="AU1955">
            <v>12.677011068482194</v>
          </cell>
          <cell r="AV1955">
            <v>14.263722316306255</v>
          </cell>
          <cell r="AW1955">
            <v>12.105561258724364</v>
          </cell>
          <cell r="AX1955">
            <v>10.242049449424412</v>
          </cell>
          <cell r="AY1955">
            <v>13.969073068024317</v>
          </cell>
        </row>
        <row r="1956">
          <cell r="A1956">
            <v>42276</v>
          </cell>
          <cell r="AF1956">
            <v>18.40604973130522</v>
          </cell>
          <cell r="AG1956">
            <v>20.469360058004284</v>
          </cell>
          <cell r="AH1956">
            <v>17.881583490985356</v>
          </cell>
          <cell r="AI1956">
            <v>15.547864889645153</v>
          </cell>
          <cell r="AJ1956">
            <v>20.215302092325562</v>
          </cell>
          <cell r="AU1956">
            <v>12.690111400212476</v>
          </cell>
          <cell r="AV1956">
            <v>14.263722316306255</v>
          </cell>
          <cell r="AW1956">
            <v>12.105561258724364</v>
          </cell>
          <cell r="AX1956">
            <v>10.242049449424412</v>
          </cell>
          <cell r="AY1956">
            <v>13.969073068024317</v>
          </cell>
        </row>
        <row r="1957">
          <cell r="A1957">
            <v>42277</v>
          </cell>
          <cell r="AF1957">
            <v>18.424267419619277</v>
          </cell>
          <cell r="AG1957">
            <v>20.469360058004284</v>
          </cell>
          <cell r="AH1957">
            <v>17.881583490985356</v>
          </cell>
          <cell r="AI1957">
            <v>15.547864889645153</v>
          </cell>
          <cell r="AJ1957">
            <v>20.215302092325562</v>
          </cell>
          <cell r="AU1957">
            <v>12.701026087077592</v>
          </cell>
          <cell r="AV1957">
            <v>14.263722316306255</v>
          </cell>
          <cell r="AW1957">
            <v>12.105561258724364</v>
          </cell>
          <cell r="AX1957">
            <v>10.242049449424412</v>
          </cell>
          <cell r="AY1957">
            <v>13.969073068024317</v>
          </cell>
        </row>
        <row r="1958">
          <cell r="A1958">
            <v>42278</v>
          </cell>
          <cell r="AF1958">
            <v>18.232847003441915</v>
          </cell>
          <cell r="AG1958">
            <v>20.469360058004284</v>
          </cell>
          <cell r="AH1958">
            <v>17.881583490985356</v>
          </cell>
          <cell r="AI1958">
            <v>15.547864889645153</v>
          </cell>
          <cell r="AJ1958">
            <v>20.215302092325562</v>
          </cell>
          <cell r="AU1958">
            <v>12.609918157267289</v>
          </cell>
          <cell r="AV1958">
            <v>14.263722316306255</v>
          </cell>
          <cell r="AW1958">
            <v>12.105561258724364</v>
          </cell>
          <cell r="AX1958">
            <v>10.242049449424412</v>
          </cell>
          <cell r="AY1958">
            <v>13.969073068024317</v>
          </cell>
        </row>
        <row r="1959">
          <cell r="A1959">
            <v>42279</v>
          </cell>
          <cell r="AF1959">
            <v>18.457360854609782</v>
          </cell>
          <cell r="AG1959">
            <v>20.469360058004284</v>
          </cell>
          <cell r="AH1959">
            <v>17.881583490985356</v>
          </cell>
          <cell r="AI1959">
            <v>15.547864889645153</v>
          </cell>
          <cell r="AJ1959">
            <v>20.215302092325562</v>
          </cell>
          <cell r="AU1959">
            <v>12.744827336173232</v>
          </cell>
          <cell r="AV1959">
            <v>14.263722316306255</v>
          </cell>
          <cell r="AW1959">
            <v>12.105561258724364</v>
          </cell>
          <cell r="AX1959">
            <v>10.242049449424412</v>
          </cell>
          <cell r="AY1959">
            <v>13.969073068024317</v>
          </cell>
        </row>
        <row r="1960">
          <cell r="A1960">
            <v>42282</v>
          </cell>
          <cell r="AF1960">
            <v>18.946227774761923</v>
          </cell>
          <cell r="AG1960">
            <v>20.469360058004284</v>
          </cell>
          <cell r="AH1960">
            <v>17.881583490985356</v>
          </cell>
          <cell r="AI1960">
            <v>15.547864889645153</v>
          </cell>
          <cell r="AJ1960">
            <v>20.215302092325562</v>
          </cell>
          <cell r="AU1960">
            <v>13.038595930794928</v>
          </cell>
          <cell r="AV1960">
            <v>14.263722316306255</v>
          </cell>
          <cell r="AW1960">
            <v>12.105561258724364</v>
          </cell>
          <cell r="AX1960">
            <v>10.242049449424412</v>
          </cell>
          <cell r="AY1960">
            <v>13.969073068024317</v>
          </cell>
        </row>
        <row r="1961">
          <cell r="A1961">
            <v>42283</v>
          </cell>
          <cell r="AF1961">
            <v>19.083830164767367</v>
          </cell>
          <cell r="AG1961">
            <v>20.469360058004284</v>
          </cell>
          <cell r="AH1961">
            <v>17.881583490985356</v>
          </cell>
          <cell r="AI1961">
            <v>15.547864889645153</v>
          </cell>
          <cell r="AJ1961">
            <v>20.215302092325562</v>
          </cell>
          <cell r="AU1961">
            <v>13.121282608865139</v>
          </cell>
          <cell r="AV1961">
            <v>14.263722316306255</v>
          </cell>
          <cell r="AW1961">
            <v>12.105561258724364</v>
          </cell>
          <cell r="AX1961">
            <v>10.242049449424412</v>
          </cell>
          <cell r="AY1961">
            <v>13.969073068024317</v>
          </cell>
        </row>
        <row r="1962">
          <cell r="A1962">
            <v>42284</v>
          </cell>
          <cell r="AF1962">
            <v>19.728407025169382</v>
          </cell>
          <cell r="AG1962">
            <v>20.469360058004284</v>
          </cell>
          <cell r="AH1962">
            <v>17.881583490985356</v>
          </cell>
          <cell r="AI1962">
            <v>15.547864889645153</v>
          </cell>
          <cell r="AJ1962">
            <v>20.215302092325562</v>
          </cell>
          <cell r="AU1962">
            <v>13.508615411336521</v>
          </cell>
          <cell r="AV1962">
            <v>14.263722316306255</v>
          </cell>
          <cell r="AW1962">
            <v>12.105561258724364</v>
          </cell>
          <cell r="AX1962">
            <v>10.242049449424412</v>
          </cell>
          <cell r="AY1962">
            <v>13.969073068024317</v>
          </cell>
        </row>
        <row r="1963">
          <cell r="A1963">
            <v>42285</v>
          </cell>
          <cell r="AF1963">
            <v>19.971028064459649</v>
          </cell>
          <cell r="AG1963">
            <v>20.469360058004284</v>
          </cell>
          <cell r="AH1963">
            <v>17.881583490985356</v>
          </cell>
          <cell r="AI1963">
            <v>15.547864889645153</v>
          </cell>
          <cell r="AJ1963">
            <v>20.215302092325562</v>
          </cell>
          <cell r="AU1963">
            <v>13.654408865709373</v>
          </cell>
          <cell r="AV1963">
            <v>14.263722316306255</v>
          </cell>
          <cell r="AW1963">
            <v>12.105561258724364</v>
          </cell>
          <cell r="AX1963">
            <v>10.242049449424412</v>
          </cell>
          <cell r="AY1963">
            <v>13.969073068024317</v>
          </cell>
        </row>
        <row r="1964">
          <cell r="A1964">
            <v>42286</v>
          </cell>
          <cell r="AF1964">
            <v>20.46351439435287</v>
          </cell>
          <cell r="AG1964">
            <v>20.469360058004284</v>
          </cell>
          <cell r="AH1964">
            <v>17.881583490985356</v>
          </cell>
          <cell r="AI1964">
            <v>15.547864889645153</v>
          </cell>
          <cell r="AJ1964">
            <v>20.215302092325562</v>
          </cell>
          <cell r="AU1964">
            <v>13.950348918874509</v>
          </cell>
          <cell r="AV1964">
            <v>14.263722316306255</v>
          </cell>
          <cell r="AW1964">
            <v>12.105561258724364</v>
          </cell>
          <cell r="AX1964">
            <v>10.242049449424412</v>
          </cell>
          <cell r="AY1964">
            <v>13.969073068024317</v>
          </cell>
        </row>
        <row r="1965">
          <cell r="A1965">
            <v>42289</v>
          </cell>
          <cell r="AF1965">
            <v>20.514211117148456</v>
          </cell>
          <cell r="AG1965">
            <v>20.469360058004284</v>
          </cell>
          <cell r="AH1965">
            <v>17.881583490985356</v>
          </cell>
          <cell r="AI1965">
            <v>15.547864889645153</v>
          </cell>
          <cell r="AJ1965">
            <v>20.215302092325562</v>
          </cell>
          <cell r="AU1965">
            <v>13.980813096108982</v>
          </cell>
          <cell r="AV1965">
            <v>14.263722316306255</v>
          </cell>
          <cell r="AW1965">
            <v>12.105561258724364</v>
          </cell>
          <cell r="AX1965">
            <v>10.242049449424412</v>
          </cell>
          <cell r="AY1965">
            <v>13.969073068024317</v>
          </cell>
        </row>
        <row r="1966">
          <cell r="A1966">
            <v>42290</v>
          </cell>
          <cell r="AF1966">
            <v>20.521455368461147</v>
          </cell>
          <cell r="AG1966">
            <v>20.469360058004284</v>
          </cell>
          <cell r="AH1966">
            <v>17.881583490985356</v>
          </cell>
          <cell r="AI1966">
            <v>15.547864889645153</v>
          </cell>
          <cell r="AJ1966">
            <v>20.215302092325562</v>
          </cell>
          <cell r="AU1966">
            <v>13.985166240528411</v>
          </cell>
          <cell r="AV1966">
            <v>14.263722316306255</v>
          </cell>
          <cell r="AW1966">
            <v>12.105561258724364</v>
          </cell>
          <cell r="AX1966">
            <v>10.242049449424412</v>
          </cell>
          <cell r="AY1966">
            <v>13.969073068024317</v>
          </cell>
        </row>
        <row r="1967">
          <cell r="A1967">
            <v>42291</v>
          </cell>
          <cell r="AF1967">
            <v>20.289697265980589</v>
          </cell>
          <cell r="AG1967">
            <v>20.469360058004284</v>
          </cell>
          <cell r="AH1967">
            <v>17.881583490985356</v>
          </cell>
          <cell r="AI1967">
            <v>15.547864889645153</v>
          </cell>
          <cell r="AJ1967">
            <v>20.215302092325562</v>
          </cell>
          <cell r="AU1967">
            <v>13.845900435557912</v>
          </cell>
          <cell r="AV1967">
            <v>14.263722316306255</v>
          </cell>
          <cell r="AW1967">
            <v>12.105561258724364</v>
          </cell>
          <cell r="AX1967">
            <v>10.242049449424412</v>
          </cell>
          <cell r="AY1967">
            <v>13.969073068024317</v>
          </cell>
        </row>
        <row r="1968">
          <cell r="A1968">
            <v>42292</v>
          </cell>
          <cell r="AF1968">
            <v>20.188303458267381</v>
          </cell>
          <cell r="AG1968">
            <v>20.469360058004284</v>
          </cell>
          <cell r="AH1968">
            <v>17.881583490985356</v>
          </cell>
          <cell r="AI1968">
            <v>15.547864889645153</v>
          </cell>
          <cell r="AJ1968">
            <v>20.215302092325562</v>
          </cell>
          <cell r="AU1968">
            <v>13.784971863486136</v>
          </cell>
          <cell r="AV1968">
            <v>14.263722316306255</v>
          </cell>
          <cell r="AW1968">
            <v>12.105561258724364</v>
          </cell>
          <cell r="AX1968">
            <v>10.242049449424412</v>
          </cell>
          <cell r="AY1968">
            <v>13.969073068024317</v>
          </cell>
        </row>
        <row r="1969">
          <cell r="A1969">
            <v>42293</v>
          </cell>
          <cell r="AF1969">
            <v>20.517835958720067</v>
          </cell>
          <cell r="AG1969">
            <v>20.469360058004284</v>
          </cell>
          <cell r="AH1969">
            <v>17.881583490985356</v>
          </cell>
          <cell r="AI1969">
            <v>15.547864889645153</v>
          </cell>
          <cell r="AJ1969">
            <v>20.215302092325562</v>
          </cell>
          <cell r="AU1969">
            <v>13.982988036297545</v>
          </cell>
          <cell r="AV1969">
            <v>14.263722316306255</v>
          </cell>
          <cell r="AW1969">
            <v>12.105561258724364</v>
          </cell>
          <cell r="AX1969">
            <v>10.242049449424412</v>
          </cell>
          <cell r="AY1969">
            <v>13.969073068024317</v>
          </cell>
        </row>
        <row r="1970">
          <cell r="A1970">
            <v>42296</v>
          </cell>
          <cell r="AF1970">
            <v>20.596240500753474</v>
          </cell>
          <cell r="AG1970">
            <v>20.469360058004284</v>
          </cell>
          <cell r="AH1970">
            <v>17.881583490985356</v>
          </cell>
          <cell r="AI1970">
            <v>15.547864889645153</v>
          </cell>
          <cell r="AJ1970">
            <v>20.215302092325562</v>
          </cell>
          <cell r="AU1970">
            <v>14.028686151773231</v>
          </cell>
          <cell r="AV1970">
            <v>14.263722316306255</v>
          </cell>
          <cell r="AW1970">
            <v>12.105561258724364</v>
          </cell>
          <cell r="AX1970">
            <v>10.242049449424412</v>
          </cell>
          <cell r="AY1970">
            <v>13.969073068024317</v>
          </cell>
        </row>
        <row r="1971">
          <cell r="A1971">
            <v>42297</v>
          </cell>
          <cell r="AF1971">
            <v>20.628839205415126</v>
          </cell>
          <cell r="AG1971">
            <v>20.469360058004284</v>
          </cell>
          <cell r="AH1971">
            <v>17.881583490985356</v>
          </cell>
          <cell r="AI1971">
            <v>15.547864889645153</v>
          </cell>
          <cell r="AJ1971">
            <v>20.215302092325562</v>
          </cell>
          <cell r="AU1971">
            <v>14.048272799228231</v>
          </cell>
          <cell r="AV1971">
            <v>14.263722316306255</v>
          </cell>
          <cell r="AW1971">
            <v>12.105561258724364</v>
          </cell>
          <cell r="AX1971">
            <v>10.242049449424412</v>
          </cell>
          <cell r="AY1971">
            <v>13.969073068024317</v>
          </cell>
        </row>
        <row r="1972">
          <cell r="A1972">
            <v>42298</v>
          </cell>
          <cell r="AF1972">
            <v>20.912547528519127</v>
          </cell>
          <cell r="AG1972">
            <v>20.469360058004284</v>
          </cell>
          <cell r="AH1972">
            <v>17.881583490985356</v>
          </cell>
          <cell r="AI1972">
            <v>15.547864889645153</v>
          </cell>
          <cell r="AJ1972">
            <v>20.215302092325562</v>
          </cell>
          <cell r="AU1972">
            <v>14.217680621492244</v>
          </cell>
          <cell r="AV1972">
            <v>14.263722316306255</v>
          </cell>
          <cell r="AW1972">
            <v>12.105561258724364</v>
          </cell>
          <cell r="AX1972">
            <v>10.242049449424412</v>
          </cell>
          <cell r="AY1972">
            <v>13.969073068024317</v>
          </cell>
        </row>
        <row r="1973">
          <cell r="A1973">
            <v>42299</v>
          </cell>
          <cell r="AF1973">
            <v>21.234836139781152</v>
          </cell>
          <cell r="AG1973">
            <v>20.469360058004284</v>
          </cell>
          <cell r="AH1973">
            <v>17.881583490985356</v>
          </cell>
          <cell r="AI1973">
            <v>15.547864889645153</v>
          </cell>
          <cell r="AJ1973">
            <v>20.215302092325562</v>
          </cell>
          <cell r="AU1973">
            <v>14.411313126150382</v>
          </cell>
          <cell r="AV1973">
            <v>14.263722316306255</v>
          </cell>
          <cell r="AW1973">
            <v>12.105561258724364</v>
          </cell>
          <cell r="AX1973">
            <v>10.242049449424412</v>
          </cell>
          <cell r="AY1973">
            <v>13.969073068024317</v>
          </cell>
        </row>
        <row r="1974">
          <cell r="A1974">
            <v>42300</v>
          </cell>
          <cell r="AF1974">
            <v>21.278288973386083</v>
          </cell>
          <cell r="AG1974">
            <v>20.469360058004284</v>
          </cell>
          <cell r="AH1974">
            <v>17.881583490985356</v>
          </cell>
          <cell r="AI1974">
            <v>15.547864889645153</v>
          </cell>
          <cell r="AJ1974">
            <v>20.215302092325562</v>
          </cell>
          <cell r="AU1974">
            <v>14.437419791764379</v>
          </cell>
          <cell r="AV1974">
            <v>14.263722316306255</v>
          </cell>
          <cell r="AW1974">
            <v>12.105561258724364</v>
          </cell>
          <cell r="AX1974">
            <v>10.242049449424412</v>
          </cell>
          <cell r="AY1974">
            <v>13.969073068024317</v>
          </cell>
        </row>
        <row r="1975">
          <cell r="A1975">
            <v>42303</v>
          </cell>
          <cell r="AF1975">
            <v>21.294121395688553</v>
          </cell>
          <cell r="AG1975">
            <v>20.469360058004284</v>
          </cell>
          <cell r="AH1975">
            <v>17.881583490985356</v>
          </cell>
          <cell r="AI1975">
            <v>15.547864889645153</v>
          </cell>
          <cell r="AJ1975">
            <v>20.215302092325562</v>
          </cell>
          <cell r="AU1975">
            <v>14.448298675056982</v>
          </cell>
          <cell r="AV1975">
            <v>14.263722316306255</v>
          </cell>
          <cell r="AW1975">
            <v>12.105561258724364</v>
          </cell>
          <cell r="AX1975">
            <v>10.242049449424412</v>
          </cell>
          <cell r="AY1975">
            <v>13.969073068024317</v>
          </cell>
        </row>
        <row r="1976">
          <cell r="A1976">
            <v>42304</v>
          </cell>
          <cell r="AF1976">
            <v>21.369546464579621</v>
          </cell>
          <cell r="AG1976">
            <v>20.469360058004284</v>
          </cell>
          <cell r="AH1976">
            <v>17.881583490985356</v>
          </cell>
          <cell r="AI1976">
            <v>15.547864889645153</v>
          </cell>
          <cell r="AJ1976">
            <v>20.215302092325562</v>
          </cell>
          <cell r="AU1976">
            <v>14.489636386461541</v>
          </cell>
          <cell r="AV1976">
            <v>14.263722316306255</v>
          </cell>
          <cell r="AW1976">
            <v>12.105561258724364</v>
          </cell>
          <cell r="AX1976">
            <v>10.242049449424412</v>
          </cell>
          <cell r="AY1976">
            <v>13.969073068024317</v>
          </cell>
        </row>
        <row r="1977">
          <cell r="A1977">
            <v>42305</v>
          </cell>
          <cell r="AF1977">
            <v>21.482319162407954</v>
          </cell>
          <cell r="AG1977">
            <v>20.469360058004284</v>
          </cell>
          <cell r="AH1977">
            <v>17.881583490985356</v>
          </cell>
          <cell r="AI1977">
            <v>15.547864889645153</v>
          </cell>
          <cell r="AJ1977">
            <v>20.215302092325562</v>
          </cell>
          <cell r="AU1977">
            <v>14.547829041467349</v>
          </cell>
          <cell r="AV1977">
            <v>14.263722316306255</v>
          </cell>
          <cell r="AW1977">
            <v>12.105561258724364</v>
          </cell>
          <cell r="AX1977">
            <v>10.242049449424412</v>
          </cell>
          <cell r="AY1977">
            <v>13.969073068024317</v>
          </cell>
        </row>
        <row r="1978">
          <cell r="A1978">
            <v>42306</v>
          </cell>
          <cell r="AF1978">
            <v>21.890795891939593</v>
          </cell>
          <cell r="AG1978">
            <v>20.469360058004284</v>
          </cell>
          <cell r="AH1978">
            <v>17.881583490985356</v>
          </cell>
          <cell r="AI1978">
            <v>15.547864889645153</v>
          </cell>
          <cell r="AJ1978">
            <v>20.215302092325562</v>
          </cell>
          <cell r="AU1978">
            <v>13.816594178076587</v>
          </cell>
          <cell r="AV1978">
            <v>14.263722316306255</v>
          </cell>
          <cell r="AW1978">
            <v>12.105561258724364</v>
          </cell>
          <cell r="AX1978">
            <v>10.242049449424412</v>
          </cell>
          <cell r="AY1978">
            <v>13.969073068024317</v>
          </cell>
        </row>
        <row r="1979">
          <cell r="A1979">
            <v>42307</v>
          </cell>
          <cell r="AF1979">
            <v>21.990229497021609</v>
          </cell>
          <cell r="AG1979">
            <v>20.469360058004284</v>
          </cell>
          <cell r="AH1979">
            <v>17.881583490985356</v>
          </cell>
          <cell r="AI1979">
            <v>15.547864889645153</v>
          </cell>
          <cell r="AJ1979">
            <v>20.215302092325562</v>
          </cell>
          <cell r="AU1979">
            <v>14.80513032263365</v>
          </cell>
          <cell r="AV1979">
            <v>14.263722316306255</v>
          </cell>
          <cell r="AW1979">
            <v>12.105561258724364</v>
          </cell>
          <cell r="AX1979">
            <v>10.242049449424412</v>
          </cell>
          <cell r="AY1979">
            <v>13.969073068024317</v>
          </cell>
        </row>
        <row r="1980">
          <cell r="A1980">
            <v>42310</v>
          </cell>
          <cell r="AF1980">
            <v>22.350620566768882</v>
          </cell>
          <cell r="AG1980">
            <v>20.469360058004284</v>
          </cell>
          <cell r="AH1980">
            <v>17.881583490985356</v>
          </cell>
          <cell r="AI1980">
            <v>15.547864889645153</v>
          </cell>
          <cell r="AJ1980">
            <v>20.215302092325562</v>
          </cell>
          <cell r="AU1980">
            <v>14.866607824078583</v>
          </cell>
          <cell r="AV1980">
            <v>14.263722316306255</v>
          </cell>
          <cell r="AW1980">
            <v>12.105561258724364</v>
          </cell>
          <cell r="AX1980">
            <v>10.242049449424412</v>
          </cell>
          <cell r="AY1980">
            <v>13.969073068024317</v>
          </cell>
        </row>
        <row r="1981">
          <cell r="A1981">
            <v>42311</v>
          </cell>
          <cell r="AF1981">
            <v>22.260988622421944</v>
          </cell>
          <cell r="AG1981">
            <v>20.469360058004284</v>
          </cell>
          <cell r="AH1981">
            <v>17.881583490985356</v>
          </cell>
          <cell r="AI1981">
            <v>15.547864889645153</v>
          </cell>
          <cell r="AJ1981">
            <v>20.215302092325562</v>
          </cell>
          <cell r="AU1981">
            <v>14.807898674034561</v>
          </cell>
          <cell r="AV1981">
            <v>14.263722316306255</v>
          </cell>
          <cell r="AW1981">
            <v>12.105561258724364</v>
          </cell>
          <cell r="AX1981">
            <v>10.242049449424412</v>
          </cell>
          <cell r="AY1981">
            <v>13.969073068024317</v>
          </cell>
        </row>
        <row r="1982">
          <cell r="A1982">
            <v>42312</v>
          </cell>
          <cell r="AF1982">
            <v>22.236295384617566</v>
          </cell>
          <cell r="AG1982">
            <v>20.469360058004284</v>
          </cell>
          <cell r="AH1982">
            <v>17.881583490985356</v>
          </cell>
          <cell r="AI1982">
            <v>15.547864889645153</v>
          </cell>
          <cell r="AJ1982">
            <v>20.215302092325562</v>
          </cell>
          <cell r="AU1982">
            <v>14.792851856211685</v>
          </cell>
          <cell r="AV1982">
            <v>14.263722316306255</v>
          </cell>
          <cell r="AW1982">
            <v>12.105561258724364</v>
          </cell>
          <cell r="AX1982">
            <v>10.242049449424412</v>
          </cell>
          <cell r="AY1982">
            <v>13.969073068024317</v>
          </cell>
        </row>
        <row r="1983">
          <cell r="A1983">
            <v>42313</v>
          </cell>
          <cell r="AF1983">
            <v>22.064228469008889</v>
          </cell>
          <cell r="AG1983">
            <v>20.469360058004284</v>
          </cell>
          <cell r="AH1983">
            <v>17.881583490985356</v>
          </cell>
          <cell r="AI1983">
            <v>15.547864889645153</v>
          </cell>
          <cell r="AJ1983">
            <v>20.215302092325562</v>
          </cell>
          <cell r="AU1983">
            <v>14.689030658996854</v>
          </cell>
          <cell r="AV1983">
            <v>14.263722316306255</v>
          </cell>
          <cell r="AW1983">
            <v>12.105561258724364</v>
          </cell>
          <cell r="AX1983">
            <v>10.242049449424412</v>
          </cell>
          <cell r="AY1983">
            <v>13.969073068024317</v>
          </cell>
        </row>
        <row r="1984">
          <cell r="A1984">
            <v>42314</v>
          </cell>
          <cell r="AF1984">
            <v>22.100072531742274</v>
          </cell>
          <cell r="AG1984">
            <v>20.469360058004284</v>
          </cell>
          <cell r="AH1984">
            <v>17.881583490985356</v>
          </cell>
          <cell r="AI1984">
            <v>15.547864889645153</v>
          </cell>
          <cell r="AJ1984">
            <v>20.215302092325562</v>
          </cell>
          <cell r="AU1984">
            <v>14.689030658996854</v>
          </cell>
          <cell r="AV1984">
            <v>14.263722316306255</v>
          </cell>
          <cell r="AW1984">
            <v>12.105561258724364</v>
          </cell>
          <cell r="AX1984">
            <v>10.242049449424412</v>
          </cell>
          <cell r="AY1984">
            <v>13.969073068024317</v>
          </cell>
        </row>
        <row r="1985">
          <cell r="A1985">
            <v>42317</v>
          </cell>
          <cell r="AF1985">
            <v>21.687360364553395</v>
          </cell>
          <cell r="AG1985">
            <v>20.469360058004284</v>
          </cell>
          <cell r="AH1985">
            <v>17.881583490985356</v>
          </cell>
          <cell r="AI1985">
            <v>15.547864889645153</v>
          </cell>
          <cell r="AJ1985">
            <v>20.215302092325562</v>
          </cell>
          <cell r="AU1985">
            <v>14.459872475183458</v>
          </cell>
          <cell r="AV1985">
            <v>14.263722316306255</v>
          </cell>
          <cell r="AW1985">
            <v>12.105561258724364</v>
          </cell>
          <cell r="AX1985">
            <v>10.242049449424412</v>
          </cell>
          <cell r="AY1985">
            <v>13.969073068024317</v>
          </cell>
        </row>
        <row r="1986">
          <cell r="A1986">
            <v>42318</v>
          </cell>
          <cell r="AF1986">
            <v>22.010033405847786</v>
          </cell>
          <cell r="AG1986">
            <v>20.469360058004284</v>
          </cell>
          <cell r="AH1986">
            <v>17.881583490985356</v>
          </cell>
          <cell r="AI1986">
            <v>15.547864889645153</v>
          </cell>
          <cell r="AJ1986">
            <v>20.215302092325562</v>
          </cell>
          <cell r="AU1986">
            <v>14.654539505997462</v>
          </cell>
          <cell r="AV1986">
            <v>14.263722316306255</v>
          </cell>
          <cell r="AW1986">
            <v>12.105561258724364</v>
          </cell>
          <cell r="AX1986">
            <v>10.242049449424412</v>
          </cell>
          <cell r="AY1986">
            <v>13.969073068024317</v>
          </cell>
        </row>
        <row r="1987">
          <cell r="A1987">
            <v>42319</v>
          </cell>
          <cell r="AF1987">
            <v>21.776992362459602</v>
          </cell>
          <cell r="AG1987">
            <v>20.469360058004284</v>
          </cell>
          <cell r="AH1987">
            <v>17.881583490985356</v>
          </cell>
          <cell r="AI1987">
            <v>15.547864889645153</v>
          </cell>
          <cell r="AJ1987">
            <v>20.215302092325562</v>
          </cell>
          <cell r="AU1987">
            <v>14.513947010906474</v>
          </cell>
          <cell r="AV1987">
            <v>14.263722316306255</v>
          </cell>
          <cell r="AW1987">
            <v>12.105561258724364</v>
          </cell>
          <cell r="AX1987">
            <v>10.242049449424412</v>
          </cell>
          <cell r="AY1987">
            <v>13.969073068024317</v>
          </cell>
        </row>
        <row r="1988">
          <cell r="A1988">
            <v>42320</v>
          </cell>
          <cell r="AF1988">
            <v>21.386192549252648</v>
          </cell>
          <cell r="AG1988">
            <v>20.469360058004284</v>
          </cell>
          <cell r="AH1988">
            <v>17.881583490985356</v>
          </cell>
          <cell r="AI1988">
            <v>15.547864889645153</v>
          </cell>
          <cell r="AJ1988">
            <v>20.215302092325562</v>
          </cell>
          <cell r="AU1988">
            <v>14.278179439576409</v>
          </cell>
          <cell r="AV1988">
            <v>14.263722316306255</v>
          </cell>
          <cell r="AW1988">
            <v>12.105561258724364</v>
          </cell>
          <cell r="AX1988">
            <v>10.242049449424412</v>
          </cell>
          <cell r="AY1988">
            <v>13.969073068024317</v>
          </cell>
        </row>
        <row r="1989">
          <cell r="A1989">
            <v>42321</v>
          </cell>
          <cell r="AF1989">
            <v>21.285805428653681</v>
          </cell>
          <cell r="AG1989">
            <v>20.469360058004284</v>
          </cell>
          <cell r="AH1989">
            <v>17.881583490985356</v>
          </cell>
          <cell r="AI1989">
            <v>15.547864889645153</v>
          </cell>
          <cell r="AJ1989">
            <v>20.215302092325562</v>
          </cell>
          <cell r="AU1989">
            <v>14.283138495012077</v>
          </cell>
          <cell r="AV1989">
            <v>14.263722316306255</v>
          </cell>
          <cell r="AW1989">
            <v>12.105561258724364</v>
          </cell>
          <cell r="AX1989">
            <v>10.242049449424412</v>
          </cell>
          <cell r="AY1989">
            <v>13.969073068024317</v>
          </cell>
        </row>
        <row r="1990">
          <cell r="A1990">
            <v>42324</v>
          </cell>
          <cell r="AF1990">
            <v>21.526513756536843</v>
          </cell>
          <cell r="AG1990">
            <v>20.469360058004284</v>
          </cell>
          <cell r="AH1990">
            <v>17.881583490985356</v>
          </cell>
          <cell r="AI1990">
            <v>15.547864889645153</v>
          </cell>
          <cell r="AJ1990">
            <v>20.215302092325562</v>
          </cell>
          <cell r="AU1990">
            <v>14.369689965516391</v>
          </cell>
          <cell r="AV1990">
            <v>14.263722316306255</v>
          </cell>
          <cell r="AW1990">
            <v>12.105561258724364</v>
          </cell>
          <cell r="AX1990">
            <v>10.242049449424412</v>
          </cell>
          <cell r="AY1990">
            <v>13.969073068024317</v>
          </cell>
        </row>
        <row r="1991">
          <cell r="A1991">
            <v>42325</v>
          </cell>
          <cell r="AF1991">
            <v>21.644811351757166</v>
          </cell>
          <cell r="AG1991">
            <v>20.469360058004284</v>
          </cell>
          <cell r="AH1991">
            <v>17.881583490985356</v>
          </cell>
          <cell r="AI1991">
            <v>15.547864889645153</v>
          </cell>
          <cell r="AJ1991">
            <v>20.215302092325562</v>
          </cell>
          <cell r="AU1991">
            <v>14.441093359976268</v>
          </cell>
          <cell r="AV1991">
            <v>14.263722316306255</v>
          </cell>
          <cell r="AW1991">
            <v>12.105561258724364</v>
          </cell>
          <cell r="AX1991">
            <v>10.242049449424412</v>
          </cell>
          <cell r="AY1991">
            <v>13.969073068024317</v>
          </cell>
        </row>
        <row r="1992">
          <cell r="A1992">
            <v>42326</v>
          </cell>
          <cell r="AF1992">
            <v>21.813296011951358</v>
          </cell>
          <cell r="AG1992">
            <v>20.469360058004284</v>
          </cell>
          <cell r="AH1992">
            <v>17.881583490985356</v>
          </cell>
          <cell r="AI1992">
            <v>15.547864889645153</v>
          </cell>
          <cell r="AJ1992">
            <v>20.215302092325562</v>
          </cell>
          <cell r="AU1992">
            <v>14.542789228179487</v>
          </cell>
          <cell r="AV1992">
            <v>14.263722316306255</v>
          </cell>
          <cell r="AW1992">
            <v>12.105561258724364</v>
          </cell>
          <cell r="AX1992">
            <v>10.242049449424412</v>
          </cell>
          <cell r="AY1992">
            <v>13.969073068024317</v>
          </cell>
        </row>
        <row r="1993">
          <cell r="A1993">
            <v>42327</v>
          </cell>
          <cell r="AF1993">
            <v>21.899326781182136</v>
          </cell>
          <cell r="AG1993">
            <v>20.469360058004284</v>
          </cell>
          <cell r="AH1993">
            <v>17.881583490985356</v>
          </cell>
          <cell r="AI1993">
            <v>15.547864889645153</v>
          </cell>
          <cell r="AJ1993">
            <v>20.215302092325562</v>
          </cell>
          <cell r="AU1993">
            <v>14.594716648509806</v>
          </cell>
          <cell r="AV1993">
            <v>14.263722316306255</v>
          </cell>
          <cell r="AW1993">
            <v>12.105561258724364</v>
          </cell>
          <cell r="AX1993">
            <v>10.242049449424412</v>
          </cell>
          <cell r="AY1993">
            <v>13.969073068024317</v>
          </cell>
        </row>
        <row r="1994">
          <cell r="A1994">
            <v>42328</v>
          </cell>
          <cell r="AF1994">
            <v>21.960267064976019</v>
          </cell>
          <cell r="AG1994">
            <v>20.469360058004284</v>
          </cell>
          <cell r="AH1994">
            <v>17.881583490985356</v>
          </cell>
          <cell r="AI1994">
            <v>15.547864889645153</v>
          </cell>
          <cell r="AJ1994">
            <v>20.215302092325562</v>
          </cell>
          <cell r="AU1994">
            <v>14.594716648509806</v>
          </cell>
          <cell r="AV1994">
            <v>14.263722316306255</v>
          </cell>
          <cell r="AW1994">
            <v>12.105561258724364</v>
          </cell>
          <cell r="AX1994">
            <v>10.242049449424412</v>
          </cell>
          <cell r="AY1994">
            <v>13.969073068024317</v>
          </cell>
        </row>
        <row r="1995">
          <cell r="A1995">
            <v>42331</v>
          </cell>
          <cell r="AF1995">
            <v>22.121585780435332</v>
          </cell>
          <cell r="AG1995">
            <v>20.469360058004284</v>
          </cell>
          <cell r="AH1995">
            <v>17.881583490985356</v>
          </cell>
          <cell r="AI1995">
            <v>15.547864889645153</v>
          </cell>
          <cell r="AJ1995">
            <v>20.215302092325562</v>
          </cell>
          <cell r="AU1995">
            <v>14.728870237738528</v>
          </cell>
          <cell r="AV1995">
            <v>14.263722316306255</v>
          </cell>
          <cell r="AW1995">
            <v>12.105561258724364</v>
          </cell>
          <cell r="AX1995">
            <v>10.242049449424412</v>
          </cell>
          <cell r="AY1995">
            <v>13.969073068024317</v>
          </cell>
        </row>
        <row r="1996">
          <cell r="A1996">
            <v>42332</v>
          </cell>
          <cell r="AF1996">
            <v>21.910080716955104</v>
          </cell>
          <cell r="AG1996">
            <v>20.469360058004284</v>
          </cell>
          <cell r="AH1996">
            <v>17.881583490985356</v>
          </cell>
          <cell r="AI1996">
            <v>15.547864889645153</v>
          </cell>
          <cell r="AJ1996">
            <v>20.215302092325562</v>
          </cell>
          <cell r="AU1996">
            <v>14.601207630144412</v>
          </cell>
          <cell r="AV1996">
            <v>14.263722316306255</v>
          </cell>
          <cell r="AW1996">
            <v>12.105561258724364</v>
          </cell>
          <cell r="AX1996">
            <v>10.242049449424412</v>
          </cell>
          <cell r="AY1996">
            <v>13.969073068024317</v>
          </cell>
        </row>
        <row r="1997">
          <cell r="A1997">
            <v>42333</v>
          </cell>
          <cell r="AF1997">
            <v>21.849140074684748</v>
          </cell>
          <cell r="AG1997">
            <v>20.469360058004284</v>
          </cell>
          <cell r="AH1997">
            <v>17.881583490985356</v>
          </cell>
          <cell r="AI1997">
            <v>15.547864889645153</v>
          </cell>
          <cell r="AJ1997">
            <v>20.215302092325562</v>
          </cell>
          <cell r="AU1997">
            <v>14.564424391139729</v>
          </cell>
          <cell r="AV1997">
            <v>14.263722316306255</v>
          </cell>
          <cell r="AW1997">
            <v>12.105561258724364</v>
          </cell>
          <cell r="AX1997">
            <v>10.242049449424412</v>
          </cell>
          <cell r="AY1997">
            <v>13.969073068024317</v>
          </cell>
        </row>
        <row r="1998">
          <cell r="A1998">
            <v>42334</v>
          </cell>
          <cell r="AF1998">
            <v>21.849140074684748</v>
          </cell>
          <cell r="AG1998">
            <v>20.469360058004284</v>
          </cell>
          <cell r="AH1998">
            <v>17.881583490985356</v>
          </cell>
          <cell r="AI1998">
            <v>15.547864889645153</v>
          </cell>
          <cell r="AJ1998">
            <v>20.215302092325562</v>
          </cell>
          <cell r="AU1998">
            <v>14.564424391139729</v>
          </cell>
          <cell r="AV1998">
            <v>14.263722316306255</v>
          </cell>
          <cell r="AW1998">
            <v>12.105561258724364</v>
          </cell>
          <cell r="AX1998">
            <v>10.242049449424412</v>
          </cell>
          <cell r="AY1998">
            <v>13.969073068024317</v>
          </cell>
        </row>
        <row r="1999">
          <cell r="A1999">
            <v>42335</v>
          </cell>
          <cell r="AF1999">
            <v>21.906497744587661</v>
          </cell>
          <cell r="AG1999">
            <v>20.469360058004284</v>
          </cell>
          <cell r="AH1999">
            <v>17.881583490985356</v>
          </cell>
          <cell r="AI1999">
            <v>15.547864889645153</v>
          </cell>
          <cell r="AJ1999">
            <v>20.215302092325562</v>
          </cell>
          <cell r="AU1999">
            <v>14.564424391139729</v>
          </cell>
          <cell r="AV1999">
            <v>14.263722316306255</v>
          </cell>
          <cell r="AW1999">
            <v>12.105561258724364</v>
          </cell>
          <cell r="AX1999">
            <v>10.242049449424412</v>
          </cell>
          <cell r="AY1999">
            <v>13.969073068024317</v>
          </cell>
        </row>
        <row r="2000">
          <cell r="A2000">
            <v>42338</v>
          </cell>
          <cell r="AF2000">
            <v>21.748296410451914</v>
          </cell>
          <cell r="AG2000">
            <v>20.469360058004284</v>
          </cell>
          <cell r="AH2000">
            <v>17.881583490985356</v>
          </cell>
          <cell r="AI2000">
            <v>15.547864889645153</v>
          </cell>
          <cell r="AJ2000">
            <v>20.215302092325562</v>
          </cell>
          <cell r="AU2000">
            <v>14.501677658343155</v>
          </cell>
          <cell r="AV2000">
            <v>14.263722316306255</v>
          </cell>
          <cell r="AW2000">
            <v>12.105561258724364</v>
          </cell>
          <cell r="AX2000">
            <v>10.242049449424412</v>
          </cell>
          <cell r="AY2000">
            <v>13.969073068024317</v>
          </cell>
        </row>
        <row r="2001">
          <cell r="A2001">
            <v>42339</v>
          </cell>
          <cell r="AF2001">
            <v>22.096315973386012</v>
          </cell>
          <cell r="AG2001">
            <v>20.469360058004284</v>
          </cell>
          <cell r="AH2001">
            <v>17.881583490985356</v>
          </cell>
          <cell r="AI2001">
            <v>15.547864889645153</v>
          </cell>
          <cell r="AJ2001">
            <v>20.215302092325562</v>
          </cell>
          <cell r="AU2001">
            <v>14.745680001939212</v>
          </cell>
          <cell r="AV2001">
            <v>14.263722316306255</v>
          </cell>
          <cell r="AW2001">
            <v>12.105561258724364</v>
          </cell>
          <cell r="AX2001">
            <v>10.242049449424412</v>
          </cell>
          <cell r="AY2001">
            <v>13.969073068024317</v>
          </cell>
        </row>
        <row r="2002">
          <cell r="A2002">
            <v>42340</v>
          </cell>
          <cell r="AF2002">
            <v>22.263901745027706</v>
          </cell>
          <cell r="AG2002">
            <v>20.469360058004284</v>
          </cell>
          <cell r="AH2002">
            <v>17.881583490985356</v>
          </cell>
          <cell r="AI2002">
            <v>15.547864889645153</v>
          </cell>
          <cell r="AJ2002">
            <v>20.215302092325562</v>
          </cell>
          <cell r="AU2002">
            <v>14.847104333301241</v>
          </cell>
          <cell r="AV2002">
            <v>14.263722316306255</v>
          </cell>
          <cell r="AW2002">
            <v>12.105561258724364</v>
          </cell>
          <cell r="AX2002">
            <v>10.242049449424412</v>
          </cell>
          <cell r="AY2002">
            <v>13.969073068024317</v>
          </cell>
        </row>
        <row r="2003">
          <cell r="A2003">
            <v>42341</v>
          </cell>
          <cell r="AF2003">
            <v>22.324517033096338</v>
          </cell>
          <cell r="AG2003">
            <v>20.469360058004284</v>
          </cell>
          <cell r="AH2003">
            <v>17.881583490985356</v>
          </cell>
          <cell r="AI2003">
            <v>15.547864889645153</v>
          </cell>
          <cell r="AJ2003">
            <v>20.215302092325562</v>
          </cell>
          <cell r="AU2003">
            <v>14.883789220105484</v>
          </cell>
          <cell r="AV2003">
            <v>14.263722316306255</v>
          </cell>
          <cell r="AW2003">
            <v>12.105561258724364</v>
          </cell>
          <cell r="AX2003">
            <v>10.242049449424412</v>
          </cell>
          <cell r="AY2003">
            <v>13.969073068024317</v>
          </cell>
        </row>
        <row r="2004">
          <cell r="A2004">
            <v>42342</v>
          </cell>
          <cell r="AF2004">
            <v>22.464388176638177</v>
          </cell>
          <cell r="AG2004">
            <v>20.469360058004284</v>
          </cell>
          <cell r="AH2004">
            <v>17.881583490985356</v>
          </cell>
          <cell r="AI2004">
            <v>15.547864889645153</v>
          </cell>
          <cell r="AJ2004">
            <v>20.215302092325562</v>
          </cell>
          <cell r="AU2004">
            <v>14.883789220105484</v>
          </cell>
          <cell r="AV2004">
            <v>14.263722316306255</v>
          </cell>
          <cell r="AW2004">
            <v>12.105561258724364</v>
          </cell>
          <cell r="AX2004">
            <v>10.242049449424412</v>
          </cell>
          <cell r="AY2004">
            <v>13.969073068024317</v>
          </cell>
        </row>
        <row r="2005">
          <cell r="A2005">
            <v>42345</v>
          </cell>
          <cell r="AF2005">
            <v>22.421654914529913</v>
          </cell>
          <cell r="AG2005">
            <v>20.469360058004284</v>
          </cell>
          <cell r="AH2005">
            <v>17.881583490985356</v>
          </cell>
          <cell r="AI2005">
            <v>15.547864889645153</v>
          </cell>
          <cell r="AJ2005">
            <v>20.215302092325562</v>
          </cell>
          <cell r="AU2005">
            <v>14.959319111579541</v>
          </cell>
          <cell r="AV2005">
            <v>14.263722316306255</v>
          </cell>
          <cell r="AW2005">
            <v>12.105561258724364</v>
          </cell>
          <cell r="AX2005">
            <v>10.242049449424412</v>
          </cell>
          <cell r="AY2005">
            <v>13.969073068024317</v>
          </cell>
        </row>
        <row r="2006">
          <cell r="A2006">
            <v>42346</v>
          </cell>
          <cell r="AF2006">
            <v>22.150996082621084</v>
          </cell>
          <cell r="AG2006">
            <v>20.469360058004284</v>
          </cell>
          <cell r="AH2006">
            <v>17.881583490985356</v>
          </cell>
          <cell r="AI2006">
            <v>15.547864889645153</v>
          </cell>
          <cell r="AJ2006">
            <v>20.215302092325562</v>
          </cell>
          <cell r="AU2006">
            <v>14.817129503812037</v>
          </cell>
          <cell r="AV2006">
            <v>14.263722316306255</v>
          </cell>
          <cell r="AW2006">
            <v>12.105561258724364</v>
          </cell>
          <cell r="AX2006">
            <v>10.242049449424412</v>
          </cell>
          <cell r="AY2006">
            <v>13.969073068024317</v>
          </cell>
        </row>
        <row r="2007">
          <cell r="A2007">
            <v>42347</v>
          </cell>
          <cell r="AF2007">
            <v>21.684472934472936</v>
          </cell>
          <cell r="AG2007">
            <v>20.469360058004284</v>
          </cell>
          <cell r="AH2007">
            <v>17.881583490985356</v>
          </cell>
          <cell r="AI2007">
            <v>15.547864889645153</v>
          </cell>
          <cell r="AJ2007">
            <v>20.215302092325562</v>
          </cell>
          <cell r="AU2007">
            <v>14.817129503812037</v>
          </cell>
          <cell r="AV2007">
            <v>14.263722316306255</v>
          </cell>
          <cell r="AW2007">
            <v>12.105561258724364</v>
          </cell>
          <cell r="AX2007">
            <v>10.242049449424412</v>
          </cell>
          <cell r="AY2007">
            <v>13.969073068024317</v>
          </cell>
        </row>
        <row r="2008">
          <cell r="A2008">
            <v>42348</v>
          </cell>
          <cell r="AF2008">
            <v>21.677349002849006</v>
          </cell>
          <cell r="AG2008">
            <v>20.469360058004284</v>
          </cell>
          <cell r="AH2008">
            <v>17.881583490985356</v>
          </cell>
          <cell r="AI2008">
            <v>15.547864889645153</v>
          </cell>
          <cell r="AJ2008">
            <v>20.215302092325562</v>
          </cell>
          <cell r="AU2008">
            <v>14.817129503812037</v>
          </cell>
          <cell r="AV2008">
            <v>14.263722316306255</v>
          </cell>
          <cell r="AW2008">
            <v>12.105561258724364</v>
          </cell>
          <cell r="AX2008">
            <v>10.242049449424412</v>
          </cell>
          <cell r="AY2008">
            <v>13.969073068024317</v>
          </cell>
        </row>
        <row r="2009">
          <cell r="A2009">
            <v>42349</v>
          </cell>
          <cell r="AF2009">
            <v>21.292732905982906</v>
          </cell>
          <cell r="AG2009">
            <v>20.469360058004284</v>
          </cell>
          <cell r="AH2009">
            <v>17.881583490985356</v>
          </cell>
          <cell r="AI2009">
            <v>15.547864889645153</v>
          </cell>
          <cell r="AJ2009">
            <v>20.215302092325562</v>
          </cell>
          <cell r="AU2009">
            <v>14.296215177515652</v>
          </cell>
          <cell r="AV2009">
            <v>14.263722316306255</v>
          </cell>
          <cell r="AW2009">
            <v>12.105561258724364</v>
          </cell>
          <cell r="AX2009">
            <v>10.242049449424412</v>
          </cell>
          <cell r="AY2009">
            <v>13.969073068024317</v>
          </cell>
        </row>
        <row r="2010">
          <cell r="A2010">
            <v>42352</v>
          </cell>
          <cell r="AF2010">
            <v>21.253558760683763</v>
          </cell>
          <cell r="AG2010">
            <v>20.469360058004284</v>
          </cell>
          <cell r="AH2010">
            <v>17.881583490985356</v>
          </cell>
          <cell r="AI2010">
            <v>15.547864889645153</v>
          </cell>
          <cell r="AJ2010">
            <v>20.215302092325562</v>
          </cell>
          <cell r="AU2010">
            <v>14.272438818396212</v>
          </cell>
          <cell r="AV2010">
            <v>14.263722316306255</v>
          </cell>
          <cell r="AW2010">
            <v>12.105561258724364</v>
          </cell>
          <cell r="AX2010">
            <v>10.242049449424412</v>
          </cell>
          <cell r="AY2010">
            <v>13.969073068024317</v>
          </cell>
        </row>
        <row r="2011">
          <cell r="A2011">
            <v>42353</v>
          </cell>
          <cell r="AF2011">
            <v>21.346154914529915</v>
          </cell>
          <cell r="AG2011">
            <v>20.469360058004284</v>
          </cell>
          <cell r="AH2011">
            <v>17.881583490985356</v>
          </cell>
          <cell r="AI2011">
            <v>15.547864889645153</v>
          </cell>
          <cell r="AJ2011">
            <v>20.215302092325562</v>
          </cell>
          <cell r="AU2011">
            <v>14.328639135981012</v>
          </cell>
          <cell r="AV2011">
            <v>14.263722316306255</v>
          </cell>
          <cell r="AW2011">
            <v>12.105561258724364</v>
          </cell>
          <cell r="AX2011">
            <v>10.242049449424412</v>
          </cell>
          <cell r="AY2011">
            <v>13.969073068024317</v>
          </cell>
        </row>
        <row r="2012">
          <cell r="A2012">
            <v>42354</v>
          </cell>
          <cell r="AF2012">
            <v>21.527776709401714</v>
          </cell>
          <cell r="AG2012">
            <v>20.469360058004284</v>
          </cell>
          <cell r="AH2012">
            <v>17.881583490985356</v>
          </cell>
          <cell r="AI2012">
            <v>15.547864889645153</v>
          </cell>
          <cell r="AJ2012">
            <v>20.215302092325562</v>
          </cell>
          <cell r="AU2012">
            <v>14.438872683792033</v>
          </cell>
          <cell r="AV2012">
            <v>14.263722316306255</v>
          </cell>
          <cell r="AW2012">
            <v>12.105561258724364</v>
          </cell>
          <cell r="AX2012">
            <v>10.242049449424412</v>
          </cell>
          <cell r="AY2012">
            <v>13.969073068024317</v>
          </cell>
        </row>
        <row r="2013">
          <cell r="A2013">
            <v>42355</v>
          </cell>
          <cell r="AF2013">
            <v>21.460112179487183</v>
          </cell>
          <cell r="AG2013">
            <v>20.469360058004284</v>
          </cell>
          <cell r="AH2013">
            <v>17.881583490985356</v>
          </cell>
          <cell r="AI2013">
            <v>15.547864889645153</v>
          </cell>
          <cell r="AJ2013">
            <v>20.215302092325562</v>
          </cell>
          <cell r="AU2013">
            <v>14.397804368182065</v>
          </cell>
          <cell r="AV2013">
            <v>14.263722316306255</v>
          </cell>
          <cell r="AW2013">
            <v>12.105561258724364</v>
          </cell>
          <cell r="AX2013">
            <v>10.242049449424412</v>
          </cell>
          <cell r="AY2013">
            <v>13.969073068024317</v>
          </cell>
        </row>
        <row r="2014">
          <cell r="A2014">
            <v>42356</v>
          </cell>
          <cell r="AF2014">
            <v>21.235756766381765</v>
          </cell>
          <cell r="AG2014">
            <v>20.469360058004284</v>
          </cell>
          <cell r="AH2014">
            <v>17.881583490985356</v>
          </cell>
          <cell r="AI2014">
            <v>15.547864889645153</v>
          </cell>
          <cell r="AJ2014">
            <v>20.215302092325562</v>
          </cell>
          <cell r="AU2014">
            <v>14.261634074442403</v>
          </cell>
          <cell r="AV2014">
            <v>14.263722316306255</v>
          </cell>
          <cell r="AW2014">
            <v>12.105561258724364</v>
          </cell>
          <cell r="AX2014">
            <v>10.242049449424412</v>
          </cell>
          <cell r="AY2014">
            <v>13.969073068024317</v>
          </cell>
        </row>
        <row r="2015">
          <cell r="A2015">
            <v>42359</v>
          </cell>
          <cell r="AF2015">
            <v>21.385329059829061</v>
          </cell>
          <cell r="AG2015">
            <v>20.469360058004284</v>
          </cell>
          <cell r="AH2015">
            <v>17.881583490985356</v>
          </cell>
          <cell r="AI2015">
            <v>15.547864889645153</v>
          </cell>
          <cell r="AJ2015">
            <v>20.215302092325562</v>
          </cell>
          <cell r="AU2015">
            <v>14.352415495100454</v>
          </cell>
          <cell r="AV2015">
            <v>14.263722316306255</v>
          </cell>
          <cell r="AW2015">
            <v>12.105561258724364</v>
          </cell>
          <cell r="AX2015">
            <v>10.242049449424412</v>
          </cell>
          <cell r="AY2015">
            <v>13.969073068024317</v>
          </cell>
        </row>
        <row r="2016">
          <cell r="A2016">
            <v>42360</v>
          </cell>
          <cell r="AF2016">
            <v>21.574074786324786</v>
          </cell>
          <cell r="AG2016">
            <v>20.469360058004284</v>
          </cell>
          <cell r="AH2016">
            <v>17.881583490985356</v>
          </cell>
          <cell r="AI2016">
            <v>15.547864889645153</v>
          </cell>
          <cell r="AJ2016">
            <v>20.215302092325562</v>
          </cell>
          <cell r="AU2016">
            <v>14.466972842584431</v>
          </cell>
          <cell r="AV2016">
            <v>14.263722316306255</v>
          </cell>
          <cell r="AW2016">
            <v>12.105561258724364</v>
          </cell>
          <cell r="AX2016">
            <v>10.242049449424412</v>
          </cell>
          <cell r="AY2016">
            <v>13.969073068024317</v>
          </cell>
        </row>
        <row r="2017">
          <cell r="A2017">
            <v>42361</v>
          </cell>
          <cell r="AF2017">
            <v>21.737889601139603</v>
          </cell>
          <cell r="AG2017">
            <v>20.469360058004284</v>
          </cell>
          <cell r="AH2017">
            <v>17.881583490985356</v>
          </cell>
          <cell r="AI2017">
            <v>15.547864889645153</v>
          </cell>
          <cell r="AJ2017">
            <v>20.215302092325562</v>
          </cell>
          <cell r="AU2017">
            <v>14.566398620387082</v>
          </cell>
          <cell r="AV2017">
            <v>14.263722316306255</v>
          </cell>
          <cell r="AW2017">
            <v>12.105561258724364</v>
          </cell>
          <cell r="AX2017">
            <v>10.242049449424412</v>
          </cell>
          <cell r="AY2017">
            <v>13.969073068024317</v>
          </cell>
        </row>
        <row r="2018">
          <cell r="A2018">
            <v>42362</v>
          </cell>
          <cell r="AF2018">
            <v>21.691596866096869</v>
          </cell>
          <cell r="AG2018">
            <v>20.469360058004284</v>
          </cell>
          <cell r="AH2018">
            <v>17.881583490985356</v>
          </cell>
          <cell r="AI2018">
            <v>15.547864889645153</v>
          </cell>
          <cell r="AJ2018">
            <v>20.215302092325562</v>
          </cell>
          <cell r="AU2018">
            <v>14.538301703795995</v>
          </cell>
          <cell r="AV2018">
            <v>14.263722316306255</v>
          </cell>
          <cell r="AW2018">
            <v>12.105561258724364</v>
          </cell>
          <cell r="AX2018">
            <v>10.242049449424412</v>
          </cell>
          <cell r="AY2018">
            <v>13.969073068024317</v>
          </cell>
        </row>
        <row r="2019">
          <cell r="A2019">
            <v>42363</v>
          </cell>
          <cell r="AF2019">
            <v>21.691596866096869</v>
          </cell>
          <cell r="AG2019">
            <v>20.469360058004284</v>
          </cell>
          <cell r="AH2019">
            <v>17.881583490985356</v>
          </cell>
          <cell r="AI2019">
            <v>15.547864889645153</v>
          </cell>
          <cell r="AJ2019">
            <v>20.215302092325562</v>
          </cell>
          <cell r="AU2019">
            <v>14.538301703795995</v>
          </cell>
          <cell r="AV2019">
            <v>14.263722316306255</v>
          </cell>
          <cell r="AW2019">
            <v>12.105561258724364</v>
          </cell>
          <cell r="AX2019">
            <v>10.242049449424412</v>
          </cell>
          <cell r="AY2019">
            <v>13.969073068024317</v>
          </cell>
        </row>
        <row r="2020">
          <cell r="A2020">
            <v>42366</v>
          </cell>
          <cell r="AF2020">
            <v>21.798435541310543</v>
          </cell>
          <cell r="AG2020">
            <v>20.469360058004284</v>
          </cell>
          <cell r="AH2020">
            <v>17.881583490985356</v>
          </cell>
          <cell r="AI2020">
            <v>15.547864889645153</v>
          </cell>
          <cell r="AJ2020">
            <v>20.215302092325562</v>
          </cell>
          <cell r="AU2020">
            <v>14.603146378525404</v>
          </cell>
          <cell r="AV2020">
            <v>14.263722316306255</v>
          </cell>
          <cell r="AW2020">
            <v>12.105561258724364</v>
          </cell>
          <cell r="AX2020">
            <v>10.242049449424412</v>
          </cell>
          <cell r="AY2020">
            <v>13.969073068024317</v>
          </cell>
        </row>
        <row r="2021">
          <cell r="A2021">
            <v>42367</v>
          </cell>
          <cell r="AF2021">
            <v>22.047722222222223</v>
          </cell>
          <cell r="AG2021">
            <v>20.469360058004284</v>
          </cell>
          <cell r="AH2021">
            <v>17.881583490985356</v>
          </cell>
          <cell r="AI2021">
            <v>15.547864889645153</v>
          </cell>
          <cell r="AJ2021">
            <v>20.215302092325562</v>
          </cell>
          <cell r="AU2021">
            <v>14.754448458093146</v>
          </cell>
          <cell r="AV2021">
            <v>14.263722316306255</v>
          </cell>
          <cell r="AW2021">
            <v>12.105561258724364</v>
          </cell>
          <cell r="AX2021">
            <v>10.242049449424412</v>
          </cell>
          <cell r="AY2021">
            <v>13.969073068024317</v>
          </cell>
        </row>
        <row r="2022">
          <cell r="A2022">
            <v>42368</v>
          </cell>
          <cell r="AF2022">
            <v>21.869659544159546</v>
          </cell>
          <cell r="AG2022">
            <v>20.469360058004284</v>
          </cell>
          <cell r="AH2022">
            <v>17.881583490985356</v>
          </cell>
          <cell r="AI2022">
            <v>15.547864889645153</v>
          </cell>
          <cell r="AJ2022">
            <v>20.215302092325562</v>
          </cell>
          <cell r="AU2022">
            <v>14.646375080944573</v>
          </cell>
          <cell r="AV2022">
            <v>14.263722316306255</v>
          </cell>
          <cell r="AW2022">
            <v>12.105561258724364</v>
          </cell>
          <cell r="AX2022">
            <v>10.242049449424412</v>
          </cell>
          <cell r="AY2022">
            <v>13.969073068024317</v>
          </cell>
        </row>
        <row r="2023">
          <cell r="A2023">
            <v>42369</v>
          </cell>
          <cell r="AF2023">
            <v>21.670230413105415</v>
          </cell>
          <cell r="AG2023">
            <v>20.469360058004284</v>
          </cell>
          <cell r="AH2023">
            <v>17.881583490985356</v>
          </cell>
          <cell r="AI2023">
            <v>15.547864889645153</v>
          </cell>
          <cell r="AJ2023">
            <v>20.215302092325562</v>
          </cell>
          <cell r="AU2023">
            <v>14.525333546978429</v>
          </cell>
          <cell r="AV2023">
            <v>14.263722316306255</v>
          </cell>
          <cell r="AW2023">
            <v>12.105561258724364</v>
          </cell>
          <cell r="AX2023">
            <v>10.242049449424412</v>
          </cell>
          <cell r="AY2023">
            <v>13.969073068024317</v>
          </cell>
        </row>
        <row r="2024">
          <cell r="A2024">
            <v>42370</v>
          </cell>
          <cell r="AF2024">
            <v>21.483531030637856</v>
          </cell>
          <cell r="AG2024">
            <v>20.469360058004284</v>
          </cell>
          <cell r="AH2024">
            <v>17.881583490985356</v>
          </cell>
          <cell r="AI2024">
            <v>15.547864889645153</v>
          </cell>
          <cell r="AJ2024">
            <v>20.215302092325562</v>
          </cell>
          <cell r="AU2024">
            <v>14.44032201457266</v>
          </cell>
          <cell r="AV2024">
            <v>14.263722316306255</v>
          </cell>
          <cell r="AW2024">
            <v>12.105561258724364</v>
          </cell>
          <cell r="AX2024">
            <v>10.242049449424412</v>
          </cell>
          <cell r="AY2024">
            <v>13.969073068024317</v>
          </cell>
        </row>
        <row r="2025">
          <cell r="A2025">
            <v>42373</v>
          </cell>
          <cell r="AF2025">
            <v>20.778389792491822</v>
          </cell>
          <cell r="AG2025">
            <v>20.469360058004284</v>
          </cell>
          <cell r="AH2025">
            <v>17.881583490985356</v>
          </cell>
          <cell r="AI2025">
            <v>15.547864889645153</v>
          </cell>
          <cell r="AJ2025">
            <v>20.215302092325562</v>
          </cell>
          <cell r="AU2025">
            <v>14.012706091754083</v>
          </cell>
          <cell r="AV2025">
            <v>14.263722316306255</v>
          </cell>
          <cell r="AW2025">
            <v>12.105561258724364</v>
          </cell>
          <cell r="AX2025">
            <v>10.242049449424412</v>
          </cell>
          <cell r="AY2025">
            <v>13.969073068024317</v>
          </cell>
        </row>
        <row r="2026">
          <cell r="A2026">
            <v>42374</v>
          </cell>
          <cell r="AF2026">
            <v>21.145590883621033</v>
          </cell>
          <cell r="AG2026">
            <v>20.469360058004284</v>
          </cell>
          <cell r="AH2026">
            <v>17.881583490985356</v>
          </cell>
          <cell r="AI2026">
            <v>15.547864889645153</v>
          </cell>
          <cell r="AJ2026">
            <v>20.215302092325562</v>
          </cell>
          <cell r="AU2026">
            <v>14.37987674555616</v>
          </cell>
          <cell r="AV2026">
            <v>14.263722316306255</v>
          </cell>
          <cell r="AW2026">
            <v>12.105561258724364</v>
          </cell>
          <cell r="AX2026">
            <v>10.242049449424412</v>
          </cell>
          <cell r="AY2026">
            <v>13.969073068024317</v>
          </cell>
        </row>
        <row r="2027">
          <cell r="A2027">
            <v>42375</v>
          </cell>
          <cell r="AF2027">
            <v>20.898579927621526</v>
          </cell>
          <cell r="AG2027">
            <v>20.469360058004284</v>
          </cell>
          <cell r="AH2027">
            <v>17.881583490985356</v>
          </cell>
          <cell r="AI2027">
            <v>15.547864889645153</v>
          </cell>
          <cell r="AJ2027">
            <v>20.215302092325562</v>
          </cell>
          <cell r="AU2027">
            <v>14.191498702990316</v>
          </cell>
          <cell r="AV2027">
            <v>14.263722316306255</v>
          </cell>
          <cell r="AW2027">
            <v>12.105561258724364</v>
          </cell>
          <cell r="AX2027">
            <v>10.242049449424412</v>
          </cell>
          <cell r="AY2027">
            <v>13.969073068024317</v>
          </cell>
        </row>
        <row r="2028">
          <cell r="A2028">
            <v>42376</v>
          </cell>
          <cell r="AF2028">
            <v>20.714978903700594</v>
          </cell>
          <cell r="AG2028">
            <v>20.469360058004284</v>
          </cell>
          <cell r="AH2028">
            <v>17.881583490985356</v>
          </cell>
          <cell r="AI2028">
            <v>15.547864889645153</v>
          </cell>
          <cell r="AJ2028">
            <v>20.215302092325562</v>
          </cell>
          <cell r="AU2028">
            <v>14.077178411734947</v>
          </cell>
          <cell r="AV2028">
            <v>14.263722316306255</v>
          </cell>
          <cell r="AW2028">
            <v>12.105561258724364</v>
          </cell>
          <cell r="AX2028">
            <v>10.242049449424412</v>
          </cell>
          <cell r="AY2028">
            <v>13.969073068024317</v>
          </cell>
        </row>
        <row r="2029">
          <cell r="A2029">
            <v>42377</v>
          </cell>
          <cell r="AF2029">
            <v>20.121813399242949</v>
          </cell>
          <cell r="AG2029">
            <v>20.469360058004284</v>
          </cell>
          <cell r="AH2029">
            <v>17.881583490985356</v>
          </cell>
          <cell r="AI2029">
            <v>15.547864889645153</v>
          </cell>
          <cell r="AJ2029">
            <v>20.215302092325562</v>
          </cell>
          <cell r="AU2029">
            <v>14.077178411734947</v>
          </cell>
          <cell r="AV2029">
            <v>14.263722316306255</v>
          </cell>
          <cell r="AW2029">
            <v>12.105561258724364</v>
          </cell>
          <cell r="AX2029">
            <v>10.242049449424412</v>
          </cell>
          <cell r="AY2029">
            <v>13.969073068024317</v>
          </cell>
        </row>
        <row r="2030">
          <cell r="A2030">
            <v>42380</v>
          </cell>
          <cell r="AF2030">
            <v>19.729898490601368</v>
          </cell>
          <cell r="AG2030">
            <v>20.469360058004284</v>
          </cell>
          <cell r="AH2030">
            <v>17.881583490985356</v>
          </cell>
          <cell r="AI2030">
            <v>15.547864889645153</v>
          </cell>
          <cell r="AJ2030">
            <v>20.215302092325562</v>
          </cell>
          <cell r="AU2030">
            <v>13.473141362053079</v>
          </cell>
          <cell r="AV2030">
            <v>14.263722316306255</v>
          </cell>
          <cell r="AW2030">
            <v>12.105561258724364</v>
          </cell>
          <cell r="AX2030">
            <v>10.242049449424412</v>
          </cell>
          <cell r="AY2030">
            <v>13.969073068024317</v>
          </cell>
        </row>
        <row r="2031">
          <cell r="A2031">
            <v>42381</v>
          </cell>
          <cell r="AF2031">
            <v>19.945275311150425</v>
          </cell>
          <cell r="AG2031">
            <v>20.469360058004284</v>
          </cell>
          <cell r="AH2031">
            <v>17.881583490985356</v>
          </cell>
          <cell r="AI2031">
            <v>15.547864889645153</v>
          </cell>
          <cell r="AJ2031">
            <v>20.215302092325562</v>
          </cell>
          <cell r="AU2031">
            <v>13.605207310704939</v>
          </cell>
          <cell r="AV2031">
            <v>14.263722316306255</v>
          </cell>
          <cell r="AW2031">
            <v>12.105561258724364</v>
          </cell>
          <cell r="AX2031">
            <v>10.242049449424412</v>
          </cell>
          <cell r="AY2031">
            <v>13.969073068024317</v>
          </cell>
        </row>
        <row r="2032">
          <cell r="A2032">
            <v>42382</v>
          </cell>
          <cell r="AF2032">
            <v>19.602791067174749</v>
          </cell>
          <cell r="AG2032">
            <v>20.469360058004284</v>
          </cell>
          <cell r="AH2032">
            <v>17.881583490985356</v>
          </cell>
          <cell r="AI2032">
            <v>15.547864889645153</v>
          </cell>
          <cell r="AJ2032">
            <v>20.215302092325562</v>
          </cell>
          <cell r="AU2032">
            <v>13.395200929964171</v>
          </cell>
          <cell r="AV2032">
            <v>14.263722316306255</v>
          </cell>
          <cell r="AW2032">
            <v>12.105561258724364</v>
          </cell>
          <cell r="AX2032">
            <v>10.242049449424412</v>
          </cell>
          <cell r="AY2032">
            <v>13.969073068024317</v>
          </cell>
        </row>
        <row r="2033">
          <cell r="A2033">
            <v>42383</v>
          </cell>
          <cell r="AF2033">
            <v>19.934683378941049</v>
          </cell>
          <cell r="AG2033">
            <v>20.469360058004284</v>
          </cell>
          <cell r="AH2033">
            <v>17.881583490985356</v>
          </cell>
          <cell r="AI2033">
            <v>15.547864889645153</v>
          </cell>
          <cell r="AJ2033">
            <v>20.215302092325562</v>
          </cell>
          <cell r="AU2033">
            <v>13.395200929964171</v>
          </cell>
          <cell r="AV2033">
            <v>14.263722316306255</v>
          </cell>
          <cell r="AW2033">
            <v>12.105561258724364</v>
          </cell>
          <cell r="AX2033">
            <v>10.242049449424412</v>
          </cell>
          <cell r="AY2033">
            <v>13.969073068024317</v>
          </cell>
        </row>
        <row r="2034">
          <cell r="A2034">
            <v>42384</v>
          </cell>
          <cell r="AF2034">
            <v>19.945275311150425</v>
          </cell>
          <cell r="AG2034">
            <v>20.469360058004284</v>
          </cell>
          <cell r="AH2034">
            <v>17.881583490985356</v>
          </cell>
          <cell r="AI2034">
            <v>15.547864889645153</v>
          </cell>
          <cell r="AJ2034">
            <v>20.215302092325562</v>
          </cell>
          <cell r="AU2034">
            <v>13.598712491198729</v>
          </cell>
          <cell r="AV2034">
            <v>14.263722316306255</v>
          </cell>
          <cell r="AW2034">
            <v>12.105561258724364</v>
          </cell>
          <cell r="AX2034">
            <v>10.242049449424412</v>
          </cell>
          <cell r="AY2034">
            <v>13.969073068024317</v>
          </cell>
        </row>
        <row r="2035">
          <cell r="A2035">
            <v>42387</v>
          </cell>
          <cell r="AF2035">
            <v>19.945275311150425</v>
          </cell>
          <cell r="AG2035">
            <v>20.469360058004284</v>
          </cell>
          <cell r="AH2035">
            <v>17.881583490985356</v>
          </cell>
          <cell r="AI2035">
            <v>15.547864889645153</v>
          </cell>
          <cell r="AJ2035">
            <v>20.215302092325562</v>
          </cell>
          <cell r="AU2035">
            <v>13.605207310704939</v>
          </cell>
          <cell r="AV2035">
            <v>14.263722316306255</v>
          </cell>
          <cell r="AW2035">
            <v>12.105561258724364</v>
          </cell>
          <cell r="AX2035">
            <v>10.242049449424412</v>
          </cell>
          <cell r="AY2035">
            <v>13.969073068024317</v>
          </cell>
        </row>
        <row r="2036">
          <cell r="A2036">
            <v>42388</v>
          </cell>
          <cell r="AF2036">
            <v>19.899373642865488</v>
          </cell>
          <cell r="AG2036">
            <v>20.469360058004284</v>
          </cell>
          <cell r="AH2036">
            <v>17.881583490985356</v>
          </cell>
          <cell r="AI2036">
            <v>15.547864889645153</v>
          </cell>
          <cell r="AJ2036">
            <v>20.215302092325562</v>
          </cell>
          <cell r="AU2036">
            <v>13.577061072166829</v>
          </cell>
          <cell r="AV2036">
            <v>14.263722316306255</v>
          </cell>
          <cell r="AW2036">
            <v>12.105561258724364</v>
          </cell>
          <cell r="AX2036">
            <v>10.242049449424412</v>
          </cell>
          <cell r="AY2036">
            <v>13.969073068024317</v>
          </cell>
        </row>
        <row r="2037">
          <cell r="A2037">
            <v>42389</v>
          </cell>
          <cell r="AF2037">
            <v>19.984114043606954</v>
          </cell>
          <cell r="AG2037">
            <v>20.469360058004284</v>
          </cell>
          <cell r="AH2037">
            <v>17.881583490985356</v>
          </cell>
          <cell r="AI2037">
            <v>15.547864889645153</v>
          </cell>
          <cell r="AJ2037">
            <v>20.215302092325562</v>
          </cell>
          <cell r="AU2037">
            <v>13.629022659233305</v>
          </cell>
          <cell r="AV2037">
            <v>14.263722316306255</v>
          </cell>
          <cell r="AW2037">
            <v>12.105561258724364</v>
          </cell>
          <cell r="AX2037">
            <v>10.242049449424412</v>
          </cell>
          <cell r="AY2037">
            <v>13.969073068024317</v>
          </cell>
        </row>
        <row r="2038">
          <cell r="A2038">
            <v>42390</v>
          </cell>
          <cell r="AF2038">
            <v>19.895844999560694</v>
          </cell>
          <cell r="AG2038">
            <v>20.469360058004284</v>
          </cell>
          <cell r="AH2038">
            <v>17.881583490985356</v>
          </cell>
          <cell r="AI2038">
            <v>15.547864889645153</v>
          </cell>
          <cell r="AJ2038">
            <v>20.215302092325562</v>
          </cell>
          <cell r="AU2038">
            <v>13.57489735917156</v>
          </cell>
          <cell r="AV2038">
            <v>14.263722316306255</v>
          </cell>
          <cell r="AW2038">
            <v>12.105561258724364</v>
          </cell>
          <cell r="AX2038">
            <v>10.242049449424412</v>
          </cell>
          <cell r="AY2038">
            <v>13.969073068024317</v>
          </cell>
        </row>
        <row r="2039">
          <cell r="A2039">
            <v>42391</v>
          </cell>
          <cell r="AF2039">
            <v>20.31133390224732</v>
          </cell>
          <cell r="AG2039">
            <v>20.469360058004284</v>
          </cell>
          <cell r="AH2039">
            <v>17.881583490985356</v>
          </cell>
          <cell r="AI2039">
            <v>15.547864889645153</v>
          </cell>
          <cell r="AJ2039">
            <v>20.215302092325562</v>
          </cell>
          <cell r="AU2039">
            <v>13.589031342861668</v>
          </cell>
          <cell r="AV2039">
            <v>14.263722316306255</v>
          </cell>
          <cell r="AW2039">
            <v>12.105561258724364</v>
          </cell>
          <cell r="AX2039">
            <v>10.242049449424412</v>
          </cell>
          <cell r="AY2039">
            <v>13.969073068024317</v>
          </cell>
        </row>
        <row r="2040">
          <cell r="A2040">
            <v>42394</v>
          </cell>
          <cell r="AF2040">
            <v>20.279549068654052</v>
          </cell>
          <cell r="AG2040">
            <v>20.469360058004284</v>
          </cell>
          <cell r="AH2040">
            <v>17.881583490985356</v>
          </cell>
          <cell r="AI2040">
            <v>15.547864889645153</v>
          </cell>
          <cell r="AJ2040">
            <v>20.215302092325562</v>
          </cell>
          <cell r="AU2040">
            <v>13.823093056254161</v>
          </cell>
          <cell r="AV2040">
            <v>14.263722316306255</v>
          </cell>
          <cell r="AW2040">
            <v>12.105561258724364</v>
          </cell>
          <cell r="AX2040">
            <v>10.242049449424412</v>
          </cell>
          <cell r="AY2040">
            <v>13.969073068024317</v>
          </cell>
        </row>
        <row r="2041">
          <cell r="A2041">
            <v>42395</v>
          </cell>
          <cell r="AF2041">
            <v>20.911632992969217</v>
          </cell>
          <cell r="AG2041">
            <v>20.469360058004284</v>
          </cell>
          <cell r="AH2041">
            <v>17.881583490985356</v>
          </cell>
          <cell r="AI2041">
            <v>15.547864889645153</v>
          </cell>
          <cell r="AJ2041">
            <v>20.215302092325562</v>
          </cell>
          <cell r="AU2041">
            <v>14.211035653221133</v>
          </cell>
          <cell r="AV2041">
            <v>14.263722316306255</v>
          </cell>
          <cell r="AW2041">
            <v>12.105561258724364</v>
          </cell>
          <cell r="AX2041">
            <v>10.242049449424412</v>
          </cell>
          <cell r="AY2041">
            <v>13.969073068024317</v>
          </cell>
        </row>
        <row r="2042">
          <cell r="A2042">
            <v>42396</v>
          </cell>
          <cell r="AF2042">
            <v>20.770388017540309</v>
          </cell>
          <cell r="AG2042">
            <v>20.469360058004284</v>
          </cell>
          <cell r="AH2042">
            <v>17.881583490985356</v>
          </cell>
          <cell r="AI2042">
            <v>15.547864889645153</v>
          </cell>
          <cell r="AJ2042">
            <v>20.215302092325562</v>
          </cell>
          <cell r="AU2042">
            <v>14.077831521548188</v>
          </cell>
          <cell r="AV2042">
            <v>14.263722316306255</v>
          </cell>
          <cell r="AW2042">
            <v>12.105561258724364</v>
          </cell>
          <cell r="AX2042">
            <v>10.242049449424412</v>
          </cell>
          <cell r="AY2042">
            <v>13.969073068024317</v>
          </cell>
        </row>
        <row r="2043">
          <cell r="A2043">
            <v>42397</v>
          </cell>
          <cell r="AF2043">
            <v>20.526735720803678</v>
          </cell>
          <cell r="AG2043">
            <v>20.469360058004284</v>
          </cell>
          <cell r="AH2043">
            <v>17.881583490985356</v>
          </cell>
          <cell r="AI2043">
            <v>15.547864889645153</v>
          </cell>
          <cell r="AJ2043">
            <v>20.215302092325562</v>
          </cell>
          <cell r="AU2043">
            <v>13.928778741606155</v>
          </cell>
          <cell r="AV2043">
            <v>14.263722316306255</v>
          </cell>
          <cell r="AW2043">
            <v>12.105561258724364</v>
          </cell>
          <cell r="AX2043">
            <v>10.242049449424412</v>
          </cell>
          <cell r="AY2043">
            <v>13.969073068024317</v>
          </cell>
        </row>
        <row r="2044">
          <cell r="A2044">
            <v>42398</v>
          </cell>
          <cell r="AF2044">
            <v>20.76150185087468</v>
          </cell>
          <cell r="AG2044">
            <v>20.469360058004284</v>
          </cell>
          <cell r="AH2044">
            <v>17.881583490985356</v>
          </cell>
          <cell r="AI2044">
            <v>15.547864889645153</v>
          </cell>
          <cell r="AJ2044">
            <v>20.215302092325562</v>
          </cell>
          <cell r="AU2044">
            <v>14.092950695502639</v>
          </cell>
          <cell r="AV2044">
            <v>14.263722316306255</v>
          </cell>
          <cell r="AW2044">
            <v>12.105561258724364</v>
          </cell>
          <cell r="AX2044">
            <v>10.242049449424412</v>
          </cell>
          <cell r="AY2044">
            <v>13.969073068024317</v>
          </cell>
        </row>
        <row r="2045">
          <cell r="A2045">
            <v>42401</v>
          </cell>
          <cell r="AF2045">
            <v>20.991712067701609</v>
          </cell>
          <cell r="AG2045">
            <v>20.469360058004284</v>
          </cell>
          <cell r="AH2045">
            <v>17.881583490985356</v>
          </cell>
          <cell r="AI2045">
            <v>15.547864889645153</v>
          </cell>
          <cell r="AJ2045">
            <v>20.215302092325562</v>
          </cell>
          <cell r="AU2045">
            <v>14.25477903808931</v>
          </cell>
          <cell r="AV2045">
            <v>14.263722316306255</v>
          </cell>
          <cell r="AW2045">
            <v>12.105561258724364</v>
          </cell>
          <cell r="AX2045">
            <v>10.242049449424412</v>
          </cell>
          <cell r="AY2045">
            <v>13.969073068024317</v>
          </cell>
        </row>
        <row r="2046">
          <cell r="A2046">
            <v>42402</v>
          </cell>
          <cell r="AF2046">
            <v>20.729446795120545</v>
          </cell>
          <cell r="AG2046">
            <v>20.469360058004284</v>
          </cell>
          <cell r="AH2046">
            <v>17.881583490985356</v>
          </cell>
          <cell r="AI2046">
            <v>15.547864889645153</v>
          </cell>
          <cell r="AJ2046">
            <v>20.215302092325562</v>
          </cell>
          <cell r="AU2046">
            <v>14.093723250978776</v>
          </cell>
          <cell r="AV2046">
            <v>14.263722316306255</v>
          </cell>
          <cell r="AW2046">
            <v>12.105561258724364</v>
          </cell>
          <cell r="AX2046">
            <v>10.242049449424412</v>
          </cell>
          <cell r="AY2046">
            <v>13.969073068024317</v>
          </cell>
        </row>
        <row r="2047">
          <cell r="A2047">
            <v>42403</v>
          </cell>
          <cell r="AF2047">
            <v>20.614049375810815</v>
          </cell>
          <cell r="AG2047">
            <v>20.469360058004284</v>
          </cell>
          <cell r="AH2047">
            <v>17.881583490985356</v>
          </cell>
          <cell r="AI2047">
            <v>15.547864889645153</v>
          </cell>
          <cell r="AJ2047">
            <v>20.215302092325562</v>
          </cell>
          <cell r="AU2047">
            <v>14.022858275168044</v>
          </cell>
          <cell r="AV2047">
            <v>14.263722316306255</v>
          </cell>
          <cell r="AW2047">
            <v>12.105561258724364</v>
          </cell>
          <cell r="AX2047">
            <v>10.242049449424412</v>
          </cell>
          <cell r="AY2047">
            <v>13.969073068024317</v>
          </cell>
        </row>
        <row r="2048">
          <cell r="A2048">
            <v>42404</v>
          </cell>
          <cell r="AF2048">
            <v>20.741261538463714</v>
          </cell>
          <cell r="AG2048">
            <v>20.469360058004284</v>
          </cell>
          <cell r="AH2048">
            <v>17.881583490985356</v>
          </cell>
          <cell r="AI2048">
            <v>15.547864889645153</v>
          </cell>
          <cell r="AJ2048">
            <v>20.215302092325562</v>
          </cell>
          <cell r="AU2048">
            <v>14.102314825627451</v>
          </cell>
          <cell r="AV2048">
            <v>14.263722316306255</v>
          </cell>
          <cell r="AW2048">
            <v>12.105561258724364</v>
          </cell>
          <cell r="AX2048">
            <v>10.242049449424412</v>
          </cell>
          <cell r="AY2048">
            <v>13.969073068024317</v>
          </cell>
        </row>
        <row r="2049">
          <cell r="A2049">
            <v>42405</v>
          </cell>
          <cell r="AF2049">
            <v>20.639106420201593</v>
          </cell>
          <cell r="AG2049">
            <v>20.469360058004284</v>
          </cell>
          <cell r="AH2049">
            <v>17.881583490985356</v>
          </cell>
          <cell r="AI2049">
            <v>15.547864889645153</v>
          </cell>
          <cell r="AJ2049">
            <v>20.215302092325562</v>
          </cell>
          <cell r="AU2049">
            <v>14.094819095725347</v>
          </cell>
          <cell r="AV2049">
            <v>14.263722316306255</v>
          </cell>
          <cell r="AW2049">
            <v>12.105561258724364</v>
          </cell>
          <cell r="AX2049">
            <v>10.242049449424412</v>
          </cell>
          <cell r="AY2049">
            <v>13.969073068024317</v>
          </cell>
        </row>
        <row r="2050">
          <cell r="A2050">
            <v>42408</v>
          </cell>
          <cell r="AF2050">
            <v>20.014730072310563</v>
          </cell>
          <cell r="AG2050">
            <v>20.469360058004284</v>
          </cell>
          <cell r="AH2050">
            <v>17.881583490985356</v>
          </cell>
          <cell r="AI2050">
            <v>15.547864889645153</v>
          </cell>
          <cell r="AJ2050">
            <v>20.215302092325562</v>
          </cell>
          <cell r="AU2050">
            <v>13.708697845276792</v>
          </cell>
          <cell r="AV2050">
            <v>14.263722316306255</v>
          </cell>
          <cell r="AW2050">
            <v>12.105561258724364</v>
          </cell>
          <cell r="AX2050">
            <v>10.242049449424412</v>
          </cell>
          <cell r="AY2050">
            <v>13.969073068024317</v>
          </cell>
        </row>
        <row r="2051">
          <cell r="A2051">
            <v>42409</v>
          </cell>
          <cell r="AF2051">
            <v>19.941252565264282</v>
          </cell>
          <cell r="AG2051">
            <v>20.469360058004284</v>
          </cell>
          <cell r="AH2051">
            <v>17.881583490985356</v>
          </cell>
          <cell r="AI2051">
            <v>15.547864889645153</v>
          </cell>
          <cell r="AJ2051">
            <v>20.215302092325562</v>
          </cell>
          <cell r="AU2051">
            <v>13.663400493719775</v>
          </cell>
          <cell r="AV2051">
            <v>14.263722316306255</v>
          </cell>
          <cell r="AW2051">
            <v>12.105561258724364</v>
          </cell>
          <cell r="AX2051">
            <v>10.242049449424412</v>
          </cell>
          <cell r="AY2051">
            <v>13.969073068024317</v>
          </cell>
        </row>
        <row r="2052">
          <cell r="A2052">
            <v>42410</v>
          </cell>
          <cell r="AF2052">
            <v>20.200180902379564</v>
          </cell>
          <cell r="AG2052">
            <v>20.469360058004284</v>
          </cell>
          <cell r="AH2052">
            <v>17.881583490985356</v>
          </cell>
          <cell r="AI2052">
            <v>15.547864889645153</v>
          </cell>
          <cell r="AJ2052">
            <v>20.215302092325562</v>
          </cell>
          <cell r="AU2052">
            <v>13.823024416548247</v>
          </cell>
          <cell r="AV2052">
            <v>14.263722316306255</v>
          </cell>
          <cell r="AW2052">
            <v>12.105561258724364</v>
          </cell>
          <cell r="AX2052">
            <v>10.242049449424412</v>
          </cell>
          <cell r="AY2052">
            <v>13.969073068024317</v>
          </cell>
        </row>
        <row r="2053">
          <cell r="A2053">
            <v>42411</v>
          </cell>
          <cell r="AF2053">
            <v>19.773292930638082</v>
          </cell>
          <cell r="AG2053">
            <v>20.469360058004284</v>
          </cell>
          <cell r="AH2053">
            <v>17.881583490985356</v>
          </cell>
          <cell r="AI2053">
            <v>15.547864889645153</v>
          </cell>
          <cell r="AJ2053">
            <v>20.215302092325562</v>
          </cell>
          <cell r="AU2053">
            <v>13.823609999421102</v>
          </cell>
          <cell r="AV2053">
            <v>14.263722316306255</v>
          </cell>
          <cell r="AW2053">
            <v>12.105561258724364</v>
          </cell>
          <cell r="AX2053">
            <v>10.242049449424412</v>
          </cell>
          <cell r="AY2053">
            <v>13.969073068024317</v>
          </cell>
        </row>
        <row r="2054">
          <cell r="A2054">
            <v>42412</v>
          </cell>
          <cell r="AF2054">
            <v>19.150457242133015</v>
          </cell>
          <cell r="AG2054">
            <v>20.469360058004284</v>
          </cell>
          <cell r="AH2054">
            <v>17.881583490985356</v>
          </cell>
          <cell r="AI2054">
            <v>15.547864889645153</v>
          </cell>
          <cell r="AJ2054">
            <v>20.215302092325562</v>
          </cell>
          <cell r="AU2054">
            <v>13.165954034825571</v>
          </cell>
          <cell r="AV2054">
            <v>14.263722316306255</v>
          </cell>
          <cell r="AW2054">
            <v>12.105561258724364</v>
          </cell>
          <cell r="AX2054">
            <v>10.242049449424412</v>
          </cell>
          <cell r="AY2054">
            <v>13.969073068024317</v>
          </cell>
        </row>
        <row r="2055">
          <cell r="A2055">
            <v>42415</v>
          </cell>
          <cell r="AF2055">
            <v>19.22252755358134</v>
          </cell>
          <cell r="AG2055">
            <v>20.469360058004284</v>
          </cell>
          <cell r="AH2055">
            <v>17.881583490985356</v>
          </cell>
          <cell r="AI2055">
            <v>15.547864889645153</v>
          </cell>
          <cell r="AJ2055">
            <v>20.215302092325562</v>
          </cell>
          <cell r="AU2055">
            <v>13.167880339128567</v>
          </cell>
          <cell r="AV2055">
            <v>14.263722316306255</v>
          </cell>
          <cell r="AW2055">
            <v>12.105561258724364</v>
          </cell>
          <cell r="AX2055">
            <v>10.242049449424412</v>
          </cell>
          <cell r="AY2055">
            <v>13.969073068024317</v>
          </cell>
        </row>
        <row r="2056">
          <cell r="A2056">
            <v>42416</v>
          </cell>
          <cell r="AF2056">
            <v>19.669478699933013</v>
          </cell>
          <cell r="AG2056">
            <v>20.469360058004284</v>
          </cell>
          <cell r="AH2056">
            <v>17.881583490985356</v>
          </cell>
          <cell r="AI2056">
            <v>15.547864889645153</v>
          </cell>
          <cell r="AJ2056">
            <v>20.215302092325562</v>
          </cell>
          <cell r="AU2056">
            <v>13.394506693254918</v>
          </cell>
          <cell r="AV2056">
            <v>14.263722316306255</v>
          </cell>
          <cell r="AW2056">
            <v>12.105561258724364</v>
          </cell>
          <cell r="AX2056">
            <v>10.242049449424412</v>
          </cell>
          <cell r="AY2056">
            <v>13.969073068024317</v>
          </cell>
        </row>
        <row r="2057">
          <cell r="A2057">
            <v>42417</v>
          </cell>
          <cell r="AF2057">
            <v>19.791280297396327</v>
          </cell>
          <cell r="AG2057">
            <v>20.469360058004284</v>
          </cell>
          <cell r="AH2057">
            <v>17.881583490985356</v>
          </cell>
          <cell r="AI2057">
            <v>15.547864889645153</v>
          </cell>
          <cell r="AJ2057">
            <v>20.215302092325562</v>
          </cell>
          <cell r="AU2057">
            <v>13.440091668549641</v>
          </cell>
          <cell r="AV2057">
            <v>14.263722316306255</v>
          </cell>
          <cell r="AW2057">
            <v>12.105561258724364</v>
          </cell>
          <cell r="AX2057">
            <v>10.242049449424412</v>
          </cell>
          <cell r="AY2057">
            <v>13.969073068024317</v>
          </cell>
        </row>
        <row r="2058">
          <cell r="A2058">
            <v>42418</v>
          </cell>
          <cell r="AF2058">
            <v>19.681546133929768</v>
          </cell>
          <cell r="AG2058">
            <v>20.469360058004284</v>
          </cell>
          <cell r="AH2058">
            <v>17.881583490985356</v>
          </cell>
          <cell r="AI2058">
            <v>15.547864889645153</v>
          </cell>
          <cell r="AJ2058">
            <v>20.215302092325562</v>
          </cell>
          <cell r="AU2058">
            <v>13.372802456349866</v>
          </cell>
          <cell r="AV2058">
            <v>14.263722316306255</v>
          </cell>
          <cell r="AW2058">
            <v>12.105561258724364</v>
          </cell>
          <cell r="AX2058">
            <v>10.242049449424412</v>
          </cell>
          <cell r="AY2058">
            <v>13.969073068024317</v>
          </cell>
        </row>
        <row r="2059">
          <cell r="A2059">
            <v>42419</v>
          </cell>
          <cell r="AF2059">
            <v>20.01196244695015</v>
          </cell>
          <cell r="AG2059">
            <v>20.469360058004284</v>
          </cell>
          <cell r="AH2059">
            <v>17.881583490985356</v>
          </cell>
          <cell r="AI2059">
            <v>15.547864889645153</v>
          </cell>
          <cell r="AJ2059">
            <v>20.215302092325562</v>
          </cell>
          <cell r="AU2059">
            <v>13.423473450492001</v>
          </cell>
          <cell r="AV2059">
            <v>14.263722316306255</v>
          </cell>
          <cell r="AW2059">
            <v>12.105561258724364</v>
          </cell>
          <cell r="AX2059">
            <v>10.242049449424412</v>
          </cell>
          <cell r="AY2059">
            <v>13.969073068024317</v>
          </cell>
        </row>
        <row r="2060">
          <cell r="A2060">
            <v>42422</v>
          </cell>
          <cell r="AF2060">
            <v>20.117465729715839</v>
          </cell>
          <cell r="AG2060">
            <v>20.469360058004284</v>
          </cell>
          <cell r="AH2060">
            <v>17.881583490985356</v>
          </cell>
          <cell r="AI2060">
            <v>15.547864889645153</v>
          </cell>
          <cell r="AJ2060">
            <v>20.215302092325562</v>
          </cell>
          <cell r="AU2060">
            <v>13.486993893875574</v>
          </cell>
          <cell r="AV2060">
            <v>14.263722316306255</v>
          </cell>
          <cell r="AW2060">
            <v>12.105561258724364</v>
          </cell>
          <cell r="AX2060">
            <v>10.242049449424412</v>
          </cell>
          <cell r="AY2060">
            <v>13.969073068024317</v>
          </cell>
        </row>
        <row r="2061">
          <cell r="A2061">
            <v>42423</v>
          </cell>
          <cell r="AF2061">
            <v>20.106814409351905</v>
          </cell>
          <cell r="AG2061">
            <v>20.469360058004284</v>
          </cell>
          <cell r="AH2061">
            <v>17.881583490985356</v>
          </cell>
          <cell r="AI2061">
            <v>15.547864889645153</v>
          </cell>
          <cell r="AJ2061">
            <v>20.215302092325562</v>
          </cell>
          <cell r="AU2061">
            <v>13.480537668026422</v>
          </cell>
          <cell r="AV2061">
            <v>14.263722316306255</v>
          </cell>
          <cell r="AW2061">
            <v>12.105561258724364</v>
          </cell>
          <cell r="AX2061">
            <v>10.242049449424412</v>
          </cell>
          <cell r="AY2061">
            <v>13.969073068024317</v>
          </cell>
        </row>
        <row r="2062">
          <cell r="A2062">
            <v>42424</v>
          </cell>
          <cell r="AF2062">
            <v>20.550634218509433</v>
          </cell>
          <cell r="AG2062">
            <v>20.469360058004284</v>
          </cell>
          <cell r="AH2062">
            <v>17.881583490985356</v>
          </cell>
          <cell r="AI2062">
            <v>15.547864889645153</v>
          </cell>
          <cell r="AJ2062">
            <v>20.215302092325562</v>
          </cell>
          <cell r="AU2062">
            <v>13.749556045686964</v>
          </cell>
          <cell r="AV2062">
            <v>14.263722316306255</v>
          </cell>
          <cell r="AW2062">
            <v>12.105561258724364</v>
          </cell>
          <cell r="AX2062">
            <v>10.242049449424412</v>
          </cell>
          <cell r="AY2062">
            <v>13.969073068024317</v>
          </cell>
        </row>
        <row r="2063">
          <cell r="A2063">
            <v>42425</v>
          </cell>
          <cell r="AF2063">
            <v>21.489793528416794</v>
          </cell>
          <cell r="AG2063">
            <v>20.469360058004284</v>
          </cell>
          <cell r="AH2063">
            <v>17.881583490985356</v>
          </cell>
          <cell r="AI2063">
            <v>15.547864889645153</v>
          </cell>
          <cell r="AJ2063">
            <v>20.215302092325562</v>
          </cell>
          <cell r="AU2063">
            <v>13.189136783021297</v>
          </cell>
          <cell r="AV2063">
            <v>14.263722316306255</v>
          </cell>
          <cell r="AW2063">
            <v>12.105561258724364</v>
          </cell>
          <cell r="AX2063">
            <v>10.242049449424412</v>
          </cell>
          <cell r="AY2063">
            <v>13.969073068024317</v>
          </cell>
        </row>
        <row r="2064">
          <cell r="A2064">
            <v>42426</v>
          </cell>
          <cell r="AF2064">
            <v>21.465025075553225</v>
          </cell>
          <cell r="AG2064">
            <v>20.469360058004284</v>
          </cell>
          <cell r="AH2064">
            <v>17.881583490985356</v>
          </cell>
          <cell r="AI2064">
            <v>15.547864889645153</v>
          </cell>
          <cell r="AJ2064">
            <v>20.215302092325562</v>
          </cell>
          <cell r="AU2064">
            <v>13.189136783021297</v>
          </cell>
          <cell r="AV2064">
            <v>14.263722316306255</v>
          </cell>
          <cell r="AW2064">
            <v>12.105561258724364</v>
          </cell>
          <cell r="AX2064">
            <v>10.242049449424412</v>
          </cell>
          <cell r="AY2064">
            <v>13.969073068024317</v>
          </cell>
        </row>
        <row r="2065">
          <cell r="A2065">
            <v>42429</v>
          </cell>
          <cell r="AF2065">
            <v>21.553306478132527</v>
          </cell>
          <cell r="AG2065">
            <v>20.469360058004284</v>
          </cell>
          <cell r="AH2065">
            <v>17.881583490985356</v>
          </cell>
          <cell r="AI2065">
            <v>15.547864889645153</v>
          </cell>
          <cell r="AJ2065">
            <v>20.215302092325562</v>
          </cell>
          <cell r="AU2065">
            <v>13.232608341236016</v>
          </cell>
          <cell r="AV2065">
            <v>14.263722316306255</v>
          </cell>
          <cell r="AW2065">
            <v>12.105561258724364</v>
          </cell>
          <cell r="AX2065">
            <v>10.242049449424412</v>
          </cell>
          <cell r="AY2065">
            <v>13.969073068024317</v>
          </cell>
        </row>
        <row r="2066">
          <cell r="A2066">
            <v>42430</v>
          </cell>
          <cell r="AF2066">
            <v>21.173009752619471</v>
          </cell>
          <cell r="AG2066">
            <v>20.469360058004284</v>
          </cell>
          <cell r="AH2066">
            <v>17.881583490985356</v>
          </cell>
          <cell r="AI2066">
            <v>15.547864889645153</v>
          </cell>
          <cell r="AJ2066">
            <v>20.215302092325562</v>
          </cell>
          <cell r="AU2066">
            <v>12.676979973106356</v>
          </cell>
          <cell r="AV2066">
            <v>14.263722316306255</v>
          </cell>
          <cell r="AW2066">
            <v>12.105561258724364</v>
          </cell>
          <cell r="AX2066">
            <v>10.242049449424412</v>
          </cell>
          <cell r="AY2066">
            <v>13.969073068024317</v>
          </cell>
        </row>
        <row r="2067">
          <cell r="A2067">
            <v>42431</v>
          </cell>
          <cell r="AF2067">
            <v>21.046337604947638</v>
          </cell>
          <cell r="AG2067">
            <v>20.469360058004284</v>
          </cell>
          <cell r="AH2067">
            <v>17.881583490985356</v>
          </cell>
          <cell r="AI2067">
            <v>15.547864889645153</v>
          </cell>
          <cell r="AJ2067">
            <v>20.215302092325562</v>
          </cell>
          <cell r="AU2067">
            <v>18.575111592408543</v>
          </cell>
          <cell r="AV2067">
            <v>14.263722316306255</v>
          </cell>
          <cell r="AW2067">
            <v>12.105561258724364</v>
          </cell>
          <cell r="AX2067">
            <v>10.242049449424412</v>
          </cell>
          <cell r="AY2067">
            <v>13.969073068024317</v>
          </cell>
        </row>
        <row r="2068">
          <cell r="A2068">
            <v>42432</v>
          </cell>
          <cell r="AF2068">
            <v>21.07055822036844</v>
          </cell>
          <cell r="AG2068">
            <v>20.469360058004284</v>
          </cell>
          <cell r="AH2068">
            <v>17.881583490985356</v>
          </cell>
          <cell r="AI2068">
            <v>15.547864889645153</v>
          </cell>
          <cell r="AJ2068">
            <v>20.215302092325562</v>
          </cell>
          <cell r="AU2068">
            <v>17.804556375283756</v>
          </cell>
          <cell r="AV2068">
            <v>14.263722316306255</v>
          </cell>
          <cell r="AW2068">
            <v>12.105561258724364</v>
          </cell>
          <cell r="AX2068">
            <v>10.242049449424412</v>
          </cell>
          <cell r="AY2068">
            <v>13.969073068024317</v>
          </cell>
        </row>
        <row r="2069">
          <cell r="A2069">
            <v>42433</v>
          </cell>
          <cell r="AF2069">
            <v>20.910672228015297</v>
          </cell>
          <cell r="AG2069">
            <v>20.469360058004284</v>
          </cell>
          <cell r="AH2069">
            <v>17.881583490985356</v>
          </cell>
          <cell r="AI2069">
            <v>15.547864889645153</v>
          </cell>
          <cell r="AJ2069">
            <v>20.215302092325562</v>
          </cell>
          <cell r="AU2069">
            <v>17.804556375283756</v>
          </cell>
          <cell r="AV2069">
            <v>14.263722316306255</v>
          </cell>
          <cell r="AW2069">
            <v>12.105561258724364</v>
          </cell>
          <cell r="AX2069">
            <v>10.242049449424412</v>
          </cell>
          <cell r="AY2069">
            <v>13.969073068024317</v>
          </cell>
        </row>
        <row r="2070">
          <cell r="A2070">
            <v>42436</v>
          </cell>
          <cell r="AF2070">
            <v>21.202107350440425</v>
          </cell>
          <cell r="AG2070">
            <v>20.469360058004284</v>
          </cell>
          <cell r="AH2070">
            <v>17.881583490985356</v>
          </cell>
          <cell r="AI2070">
            <v>15.547864889645153</v>
          </cell>
          <cell r="AJ2070">
            <v>20.215302092325562</v>
          </cell>
          <cell r="AU2070">
            <v>16.942981207867483</v>
          </cell>
          <cell r="AV2070">
            <v>14.263722316306255</v>
          </cell>
          <cell r="AW2070">
            <v>12.105561258724364</v>
          </cell>
          <cell r="AX2070">
            <v>10.242049449424412</v>
          </cell>
          <cell r="AY2070">
            <v>13.969073068024317</v>
          </cell>
        </row>
        <row r="2071">
          <cell r="A2071">
            <v>42437</v>
          </cell>
          <cell r="AF2071">
            <v>21.282243611305912</v>
          </cell>
          <cell r="AG2071">
            <v>20.469360058004284</v>
          </cell>
          <cell r="AH2071">
            <v>17.881583490985356</v>
          </cell>
          <cell r="AI2071">
            <v>15.547864889645153</v>
          </cell>
          <cell r="AJ2071">
            <v>20.215302092325562</v>
          </cell>
          <cell r="AU2071">
            <v>15.716465667966323</v>
          </cell>
          <cell r="AV2071">
            <v>14.263722316306255</v>
          </cell>
          <cell r="AW2071">
            <v>12.105561258724364</v>
          </cell>
          <cell r="AX2071">
            <v>10.242049449424412</v>
          </cell>
          <cell r="AY2071">
            <v>13.969073068024317</v>
          </cell>
        </row>
        <row r="2072">
          <cell r="A2072">
            <v>42438</v>
          </cell>
          <cell r="AF2072">
            <v>21.48205827929096</v>
          </cell>
          <cell r="AG2072">
            <v>20.469360058004284</v>
          </cell>
          <cell r="AH2072">
            <v>17.881583490985356</v>
          </cell>
          <cell r="AI2072">
            <v>15.547864889645153</v>
          </cell>
          <cell r="AJ2072">
            <v>20.215302092325562</v>
          </cell>
          <cell r="AU2072">
            <v>16.224562602453059</v>
          </cell>
          <cell r="AV2072">
            <v>14.263722316306255</v>
          </cell>
          <cell r="AW2072">
            <v>12.105561258724364</v>
          </cell>
          <cell r="AX2072">
            <v>10.242049449424412</v>
          </cell>
          <cell r="AY2072">
            <v>13.969073068024317</v>
          </cell>
        </row>
        <row r="2073">
          <cell r="A2073">
            <v>42439</v>
          </cell>
          <cell r="AF2073">
            <v>21.596196454820575</v>
          </cell>
          <cell r="AG2073">
            <v>20.469360058004284</v>
          </cell>
          <cell r="AH2073">
            <v>17.881583490985356</v>
          </cell>
          <cell r="AI2073">
            <v>15.547864889645153</v>
          </cell>
          <cell r="AJ2073">
            <v>20.215302092325562</v>
          </cell>
          <cell r="AU2073">
            <v>16.224562602453059</v>
          </cell>
          <cell r="AV2073">
            <v>14.263722316306255</v>
          </cell>
          <cell r="AW2073">
            <v>12.105561258724364</v>
          </cell>
          <cell r="AX2073">
            <v>10.242049449424412</v>
          </cell>
          <cell r="AY2073">
            <v>13.969073068024317</v>
          </cell>
        </row>
        <row r="2074">
          <cell r="A2074">
            <v>42440</v>
          </cell>
          <cell r="AF2074">
            <v>21.985977317981124</v>
          </cell>
          <cell r="AG2074">
            <v>20.469360058004284</v>
          </cell>
          <cell r="AH2074">
            <v>17.881583490985356</v>
          </cell>
          <cell r="AI2074">
            <v>15.547864889645153</v>
          </cell>
          <cell r="AJ2074">
            <v>20.215302092325562</v>
          </cell>
          <cell r="AU2074">
            <v>16.310766724522459</v>
          </cell>
          <cell r="AV2074">
            <v>14.263722316306255</v>
          </cell>
          <cell r="AW2074">
            <v>12.105561258724364</v>
          </cell>
          <cell r="AX2074">
            <v>10.242049449424412</v>
          </cell>
          <cell r="AY2074">
            <v>13.969073068024317</v>
          </cell>
        </row>
        <row r="2075">
          <cell r="A2075">
            <v>42443</v>
          </cell>
          <cell r="AF2075">
            <v>21.440019271926179</v>
          </cell>
          <cell r="AG2075">
            <v>20.469360058004284</v>
          </cell>
          <cell r="AH2075">
            <v>17.881583490985356</v>
          </cell>
          <cell r="AI2075">
            <v>15.547864889645153</v>
          </cell>
          <cell r="AJ2075">
            <v>20.215302092325562</v>
          </cell>
          <cell r="AU2075">
            <v>16.016311701600959</v>
          </cell>
          <cell r="AV2075">
            <v>14.263722316306255</v>
          </cell>
          <cell r="AW2075">
            <v>12.105561258724364</v>
          </cell>
          <cell r="AX2075">
            <v>10.242049449424412</v>
          </cell>
          <cell r="AY2075">
            <v>13.969073068024317</v>
          </cell>
        </row>
        <row r="2076">
          <cell r="A2076">
            <v>42444</v>
          </cell>
          <cell r="AF2076">
            <v>21.261959940927355</v>
          </cell>
          <cell r="AG2076">
            <v>20.469360058004284</v>
          </cell>
          <cell r="AH2076">
            <v>17.881583490985356</v>
          </cell>
          <cell r="AI2076">
            <v>15.547864889645153</v>
          </cell>
          <cell r="AJ2076">
            <v>20.215302092325562</v>
          </cell>
          <cell r="AU2076">
            <v>15.88329625462373</v>
          </cell>
          <cell r="AV2076">
            <v>14.263722316306255</v>
          </cell>
          <cell r="AW2076">
            <v>12.105561258724364</v>
          </cell>
          <cell r="AX2076">
            <v>10.242049449424412</v>
          </cell>
          <cell r="AY2076">
            <v>13.969073068024317</v>
          </cell>
        </row>
        <row r="2077">
          <cell r="A2077">
            <v>42445</v>
          </cell>
          <cell r="AF2077">
            <v>21.492064171122991</v>
          </cell>
          <cell r="AG2077">
            <v>20.469360058004284</v>
          </cell>
          <cell r="AH2077">
            <v>17.881583490985356</v>
          </cell>
          <cell r="AI2077">
            <v>15.547864889645153</v>
          </cell>
          <cell r="AJ2077">
            <v>20.215302092325562</v>
          </cell>
          <cell r="AU2077">
            <v>16.615050867121163</v>
          </cell>
          <cell r="AV2077">
            <v>14.263722316306255</v>
          </cell>
          <cell r="AW2077">
            <v>12.105561258724364</v>
          </cell>
          <cell r="AX2077">
            <v>10.242049449424412</v>
          </cell>
          <cell r="AY2077">
            <v>13.969073068024317</v>
          </cell>
        </row>
        <row r="2078">
          <cell r="A2078">
            <v>42446</v>
          </cell>
          <cell r="AF2078">
            <v>21.327257999474003</v>
          </cell>
          <cell r="AG2078">
            <v>20.469360058004284</v>
          </cell>
          <cell r="AH2078">
            <v>17.881583490985356</v>
          </cell>
          <cell r="AI2078">
            <v>15.547864889645153</v>
          </cell>
          <cell r="AJ2078">
            <v>20.215302092325562</v>
          </cell>
          <cell r="AU2078">
            <v>16.494496117801742</v>
          </cell>
          <cell r="AV2078">
            <v>14.263722316306255</v>
          </cell>
          <cell r="AW2078">
            <v>12.105561258724364</v>
          </cell>
          <cell r="AX2078">
            <v>10.242049449424412</v>
          </cell>
          <cell r="AY2078">
            <v>13.969073068024317</v>
          </cell>
        </row>
        <row r="2079">
          <cell r="A2079">
            <v>42447</v>
          </cell>
          <cell r="AF2079">
            <v>21.292189708073987</v>
          </cell>
          <cell r="AG2079">
            <v>20.469360058004284</v>
          </cell>
          <cell r="AH2079">
            <v>17.881583490985356</v>
          </cell>
          <cell r="AI2079">
            <v>15.547864889645153</v>
          </cell>
          <cell r="AJ2079">
            <v>20.215302092325562</v>
          </cell>
          <cell r="AU2079">
            <v>16.468842930245373</v>
          </cell>
          <cell r="AV2079">
            <v>14.263722316306255</v>
          </cell>
          <cell r="AW2079">
            <v>12.105561258724364</v>
          </cell>
          <cell r="AX2079">
            <v>10.242049449424412</v>
          </cell>
          <cell r="AY2079">
            <v>13.969073068024317</v>
          </cell>
        </row>
        <row r="2080">
          <cell r="A2080">
            <v>42450</v>
          </cell>
          <cell r="AF2080">
            <v>21.042073626215622</v>
          </cell>
          <cell r="AG2080">
            <v>20.469360058004284</v>
          </cell>
          <cell r="AH2080">
            <v>17.881583490985356</v>
          </cell>
          <cell r="AI2080">
            <v>15.547864889645153</v>
          </cell>
          <cell r="AJ2080">
            <v>20.215302092325562</v>
          </cell>
          <cell r="AU2080">
            <v>16.28414622889246</v>
          </cell>
          <cell r="AV2080">
            <v>14.263722316306255</v>
          </cell>
          <cell r="AW2080">
            <v>12.105561258724364</v>
          </cell>
          <cell r="AX2080">
            <v>10.242049449424412</v>
          </cell>
          <cell r="AY2080">
            <v>13.969073068024317</v>
          </cell>
        </row>
        <row r="2081">
          <cell r="A2081">
            <v>42451</v>
          </cell>
          <cell r="AF2081">
            <v>21.3612131456848</v>
          </cell>
          <cell r="AG2081">
            <v>20.469360058004284</v>
          </cell>
          <cell r="AH2081">
            <v>17.881583490985356</v>
          </cell>
          <cell r="AI2081">
            <v>15.547864889645153</v>
          </cell>
          <cell r="AJ2081">
            <v>20.215302092325562</v>
          </cell>
          <cell r="AU2081">
            <v>16.517577194002897</v>
          </cell>
          <cell r="AV2081">
            <v>14.263722316306255</v>
          </cell>
          <cell r="AW2081">
            <v>12.105561258724364</v>
          </cell>
          <cell r="AX2081">
            <v>10.242049449424412</v>
          </cell>
          <cell r="AY2081">
            <v>13.969073068024317</v>
          </cell>
        </row>
        <row r="2082">
          <cell r="A2082">
            <v>42452</v>
          </cell>
          <cell r="AF2082">
            <v>21.234960703927506</v>
          </cell>
          <cell r="AG2082">
            <v>20.469360058004284</v>
          </cell>
          <cell r="AH2082">
            <v>17.881583490985356</v>
          </cell>
          <cell r="AI2082">
            <v>15.547864889645153</v>
          </cell>
          <cell r="AJ2082">
            <v>20.215302092325562</v>
          </cell>
          <cell r="AU2082">
            <v>16.425231284051119</v>
          </cell>
          <cell r="AV2082">
            <v>14.263722316306255</v>
          </cell>
          <cell r="AW2082">
            <v>12.105561258724364</v>
          </cell>
          <cell r="AX2082">
            <v>10.242049449424412</v>
          </cell>
          <cell r="AY2082">
            <v>13.969073068024317</v>
          </cell>
        </row>
        <row r="2083">
          <cell r="A2083">
            <v>42453</v>
          </cell>
          <cell r="AF2083">
            <v>20.9966529318542</v>
          </cell>
          <cell r="AG2083">
            <v>20.469360058004284</v>
          </cell>
          <cell r="AH2083">
            <v>17.881583490985356</v>
          </cell>
          <cell r="AI2083">
            <v>15.547864889645153</v>
          </cell>
          <cell r="AJ2083">
            <v>20.215302092325562</v>
          </cell>
          <cell r="AU2083">
            <v>16.400101981031277</v>
          </cell>
          <cell r="AV2083">
            <v>14.263722316306255</v>
          </cell>
          <cell r="AW2083">
            <v>12.105561258724364</v>
          </cell>
          <cell r="AX2083">
            <v>10.242049449424412</v>
          </cell>
          <cell r="AY2083">
            <v>13.969073068024317</v>
          </cell>
        </row>
        <row r="2084">
          <cell r="A2084">
            <v>42454</v>
          </cell>
          <cell r="AF2084">
            <v>20.9966529318542</v>
          </cell>
          <cell r="AG2084">
            <v>20.469360058004284</v>
          </cell>
          <cell r="AH2084">
            <v>17.881583490985356</v>
          </cell>
          <cell r="AI2084">
            <v>15.547864889645153</v>
          </cell>
          <cell r="AJ2084">
            <v>20.215302092325562</v>
          </cell>
          <cell r="AU2084">
            <v>16.400101981031277</v>
          </cell>
          <cell r="AV2084">
            <v>14.263722316306255</v>
          </cell>
          <cell r="AW2084">
            <v>12.105561258724364</v>
          </cell>
          <cell r="AX2084">
            <v>10.242049449424412</v>
          </cell>
          <cell r="AY2084">
            <v>13.969073068024317</v>
          </cell>
        </row>
        <row r="2085">
          <cell r="A2085">
            <v>42457</v>
          </cell>
          <cell r="AF2085">
            <v>21.261706834609956</v>
          </cell>
          <cell r="AG2085">
            <v>20.469360058004284</v>
          </cell>
          <cell r="AH2085">
            <v>17.881583490985356</v>
          </cell>
          <cell r="AI2085">
            <v>15.547864889645153</v>
          </cell>
          <cell r="AJ2085">
            <v>20.215302092325562</v>
          </cell>
          <cell r="AU2085">
            <v>16.597618465789981</v>
          </cell>
          <cell r="AV2085">
            <v>14.263722316306255</v>
          </cell>
          <cell r="AW2085">
            <v>12.105561258724364</v>
          </cell>
          <cell r="AX2085">
            <v>10.242049449424412</v>
          </cell>
          <cell r="AY2085">
            <v>13.969073068024317</v>
          </cell>
        </row>
        <row r="2086">
          <cell r="A2086">
            <v>42458</v>
          </cell>
          <cell r="AF2086">
            <v>21.825114200674509</v>
          </cell>
          <cell r="AG2086">
            <v>20.469360058004284</v>
          </cell>
          <cell r="AH2086">
            <v>17.881583490985356</v>
          </cell>
          <cell r="AI2086">
            <v>15.547864889645153</v>
          </cell>
          <cell r="AJ2086">
            <v>20.215302092325562</v>
          </cell>
          <cell r="AU2086">
            <v>17.013453938812688</v>
          </cell>
          <cell r="AV2086">
            <v>14.263722316306255</v>
          </cell>
          <cell r="AW2086">
            <v>12.105561258724364</v>
          </cell>
          <cell r="AX2086">
            <v>10.242049449424412</v>
          </cell>
          <cell r="AY2086">
            <v>13.969073068024317</v>
          </cell>
        </row>
        <row r="2087">
          <cell r="A2087">
            <v>42459</v>
          </cell>
          <cell r="AF2087">
            <v>21.845765930671551</v>
          </cell>
          <cell r="AG2087">
            <v>20.469360058004284</v>
          </cell>
          <cell r="AH2087">
            <v>17.881583490985356</v>
          </cell>
          <cell r="AI2087">
            <v>15.547864889645153</v>
          </cell>
          <cell r="AJ2087">
            <v>20.215302092325562</v>
          </cell>
          <cell r="AU2087">
            <v>16.888509995522679</v>
          </cell>
          <cell r="AV2087">
            <v>14.263722316306255</v>
          </cell>
          <cell r="AW2087">
            <v>12.105561258724364</v>
          </cell>
          <cell r="AX2087">
            <v>10.242049449424412</v>
          </cell>
          <cell r="AY2087">
            <v>13.969073068024317</v>
          </cell>
        </row>
        <row r="2088">
          <cell r="A2088">
            <v>42460</v>
          </cell>
          <cell r="AF2088">
            <v>21.673347200804617</v>
          </cell>
          <cell r="AG2088">
            <v>20.469360058004284</v>
          </cell>
          <cell r="AH2088">
            <v>17.881583490985356</v>
          </cell>
          <cell r="AI2088">
            <v>15.547864889645153</v>
          </cell>
          <cell r="AJ2088">
            <v>20.215302092325562</v>
          </cell>
          <cell r="AU2088">
            <v>15.583473291517063</v>
          </cell>
          <cell r="AV2088">
            <v>14.263722316306255</v>
          </cell>
          <cell r="AW2088">
            <v>12.105561258724364</v>
          </cell>
          <cell r="AX2088">
            <v>10.242049449424412</v>
          </cell>
          <cell r="AY2088">
            <v>13.969073068024317</v>
          </cell>
        </row>
        <row r="2089">
          <cell r="A2089">
            <v>42461</v>
          </cell>
          <cell r="AF2089">
            <v>21.467475619692593</v>
          </cell>
          <cell r="AG2089">
            <v>20.469360058004284</v>
          </cell>
          <cell r="AH2089">
            <v>17.881583490985356</v>
          </cell>
          <cell r="AI2089">
            <v>15.547864889645153</v>
          </cell>
          <cell r="AJ2089">
            <v>20.215302092325562</v>
          </cell>
          <cell r="AU2089">
            <v>15.429724422172129</v>
          </cell>
          <cell r="AV2089">
            <v>14.263722316306255</v>
          </cell>
          <cell r="AW2089">
            <v>12.105561258724364</v>
          </cell>
          <cell r="AX2089">
            <v>10.242049449424412</v>
          </cell>
          <cell r="AY2089">
            <v>13.969073068024317</v>
          </cell>
        </row>
        <row r="2090">
          <cell r="A2090">
            <v>42464</v>
          </cell>
          <cell r="AF2090">
            <v>21.436050506228142</v>
          </cell>
          <cell r="AG2090">
            <v>20.469360058004284</v>
          </cell>
          <cell r="AH2090">
            <v>17.881583490985356</v>
          </cell>
          <cell r="AI2090">
            <v>15.547864889645153</v>
          </cell>
          <cell r="AJ2090">
            <v>20.215302092325562</v>
          </cell>
          <cell r="AU2090">
            <v>15.40834809641828</v>
          </cell>
          <cell r="AV2090">
            <v>14.263722316306255</v>
          </cell>
          <cell r="AW2090">
            <v>12.105561258724364</v>
          </cell>
          <cell r="AX2090">
            <v>10.242049449424412</v>
          </cell>
          <cell r="AY2090">
            <v>13.969073068024317</v>
          </cell>
        </row>
        <row r="2091">
          <cell r="A2091">
            <v>42465</v>
          </cell>
          <cell r="AF2091">
            <v>21.181193645993041</v>
          </cell>
          <cell r="AG2091">
            <v>20.469360058004284</v>
          </cell>
          <cell r="AH2091">
            <v>17.881583490985356</v>
          </cell>
          <cell r="AI2091">
            <v>15.547864889645153</v>
          </cell>
          <cell r="AJ2091">
            <v>20.215302092325562</v>
          </cell>
          <cell r="AU2091">
            <v>15.234986645515296</v>
          </cell>
          <cell r="AV2091">
            <v>14.263722316306255</v>
          </cell>
          <cell r="AW2091">
            <v>12.105561258724364</v>
          </cell>
          <cell r="AX2091">
            <v>10.242049449424412</v>
          </cell>
          <cell r="AY2091">
            <v>13.969073068024317</v>
          </cell>
        </row>
        <row r="2092">
          <cell r="A2092">
            <v>42466</v>
          </cell>
          <cell r="AF2092">
            <v>21.299893517981882</v>
          </cell>
          <cell r="AG2092">
            <v>20.469360058004284</v>
          </cell>
          <cell r="AH2092">
            <v>17.881583490985356</v>
          </cell>
          <cell r="AI2092">
            <v>15.547864889645153</v>
          </cell>
          <cell r="AJ2092">
            <v>20.215302092325562</v>
          </cell>
          <cell r="AU2092">
            <v>15.315729938087454</v>
          </cell>
          <cell r="AV2092">
            <v>14.263722316306255</v>
          </cell>
          <cell r="AW2092">
            <v>12.105561258724364</v>
          </cell>
          <cell r="AX2092">
            <v>10.242049449424412</v>
          </cell>
          <cell r="AY2092">
            <v>13.969073068024317</v>
          </cell>
        </row>
        <row r="2093">
          <cell r="A2093">
            <v>42467</v>
          </cell>
          <cell r="AF2093">
            <v>21.017105900153389</v>
          </cell>
          <cell r="AG2093">
            <v>20.469360058004284</v>
          </cell>
          <cell r="AH2093">
            <v>17.881583490985356</v>
          </cell>
          <cell r="AI2093">
            <v>15.547864889645153</v>
          </cell>
          <cell r="AJ2093">
            <v>20.215302092325562</v>
          </cell>
          <cell r="AU2093">
            <v>15.123369129440112</v>
          </cell>
          <cell r="AV2093">
            <v>14.263722316306255</v>
          </cell>
          <cell r="AW2093">
            <v>12.105561258724364</v>
          </cell>
          <cell r="AX2093">
            <v>10.242049449424412</v>
          </cell>
          <cell r="AY2093">
            <v>13.969073068024317</v>
          </cell>
        </row>
        <row r="2094">
          <cell r="A2094">
            <v>42468</v>
          </cell>
          <cell r="AF2094">
            <v>20.849529384384724</v>
          </cell>
          <cell r="AG2094">
            <v>20.469360058004284</v>
          </cell>
          <cell r="AH2094">
            <v>17.881583490985356</v>
          </cell>
          <cell r="AI2094">
            <v>15.547864889645153</v>
          </cell>
          <cell r="AJ2094">
            <v>20.215302092325562</v>
          </cell>
          <cell r="AU2094">
            <v>15.009378445084497</v>
          </cell>
          <cell r="AV2094">
            <v>14.263722316306255</v>
          </cell>
          <cell r="AW2094">
            <v>12.105561258724364</v>
          </cell>
          <cell r="AX2094">
            <v>10.242049449424412</v>
          </cell>
          <cell r="AY2094">
            <v>13.969073068024317</v>
          </cell>
        </row>
        <row r="2095">
          <cell r="A2095">
            <v>42471</v>
          </cell>
          <cell r="AF2095">
            <v>20.784816022358854</v>
          </cell>
          <cell r="AG2095">
            <v>20.469360058004284</v>
          </cell>
          <cell r="AH2095">
            <v>17.881583490985356</v>
          </cell>
          <cell r="AI2095">
            <v>15.547864889645153</v>
          </cell>
          <cell r="AJ2095">
            <v>20.215302092325562</v>
          </cell>
          <cell r="AU2095">
            <v>15.075033071955902</v>
          </cell>
          <cell r="AV2095">
            <v>14.263722316306255</v>
          </cell>
          <cell r="AW2095">
            <v>12.105561258724364</v>
          </cell>
          <cell r="AX2095">
            <v>10.242049449424412</v>
          </cell>
          <cell r="AY2095">
            <v>13.969073068024317</v>
          </cell>
        </row>
        <row r="2096">
          <cell r="A2096">
            <v>42472</v>
          </cell>
          <cell r="AF2096">
            <v>20.840801218362181</v>
          </cell>
          <cell r="AG2096">
            <v>20.469360058004284</v>
          </cell>
          <cell r="AH2096">
            <v>17.881583490985356</v>
          </cell>
          <cell r="AI2096">
            <v>15.547864889645153</v>
          </cell>
          <cell r="AJ2096">
            <v>20.215302092325562</v>
          </cell>
          <cell r="AU2096">
            <v>15.125299308952023</v>
          </cell>
          <cell r="AV2096">
            <v>14.263722316306255</v>
          </cell>
          <cell r="AW2096">
            <v>12.105561258724364</v>
          </cell>
          <cell r="AX2096">
            <v>10.242049449424412</v>
          </cell>
          <cell r="AY2096">
            <v>13.969073068024317</v>
          </cell>
        </row>
        <row r="2097">
          <cell r="A2097">
            <v>42473</v>
          </cell>
          <cell r="AF2097">
            <v>20.872213199058301</v>
          </cell>
          <cell r="AG2097">
            <v>20.469360058004284</v>
          </cell>
          <cell r="AH2097">
            <v>17.881583490985356</v>
          </cell>
          <cell r="AI2097">
            <v>15.547864889645153</v>
          </cell>
          <cell r="AJ2097">
            <v>20.215302092325562</v>
          </cell>
          <cell r="AU2097">
            <v>15.146840545820032</v>
          </cell>
          <cell r="AV2097">
            <v>14.263722316306255</v>
          </cell>
          <cell r="AW2097">
            <v>12.105561258724364</v>
          </cell>
          <cell r="AX2097">
            <v>10.242049449424412</v>
          </cell>
          <cell r="AY2097">
            <v>13.969073068024317</v>
          </cell>
        </row>
        <row r="2098">
          <cell r="A2098">
            <v>42474</v>
          </cell>
          <cell r="AF2098">
            <v>20.952489191593639</v>
          </cell>
          <cell r="AG2098">
            <v>20.469360058004284</v>
          </cell>
          <cell r="AH2098">
            <v>17.881583490985356</v>
          </cell>
          <cell r="AI2098">
            <v>15.547864889645153</v>
          </cell>
          <cell r="AJ2098">
            <v>20.215302092325562</v>
          </cell>
          <cell r="AU2098">
            <v>15.201891011651757</v>
          </cell>
          <cell r="AV2098">
            <v>14.263722316306255</v>
          </cell>
          <cell r="AW2098">
            <v>12.105561258724364</v>
          </cell>
          <cell r="AX2098">
            <v>10.242049449424412</v>
          </cell>
          <cell r="AY2098">
            <v>13.969073068024317</v>
          </cell>
        </row>
        <row r="2099">
          <cell r="A2099">
            <v>42475</v>
          </cell>
          <cell r="AF2099">
            <v>20.973820942410473</v>
          </cell>
          <cell r="AG2099">
            <v>20.469360058004284</v>
          </cell>
          <cell r="AH2099">
            <v>17.881583490985356</v>
          </cell>
          <cell r="AI2099">
            <v>15.547864889645153</v>
          </cell>
          <cell r="AJ2099">
            <v>20.215302092325562</v>
          </cell>
          <cell r="AU2099">
            <v>14.833025711969027</v>
          </cell>
          <cell r="AV2099">
            <v>14.263722316306255</v>
          </cell>
          <cell r="AW2099">
            <v>12.105561258724364</v>
          </cell>
          <cell r="AX2099">
            <v>10.242049449424412</v>
          </cell>
          <cell r="AY2099">
            <v>13.969073068024317</v>
          </cell>
        </row>
        <row r="2100">
          <cell r="A2100">
            <v>42478</v>
          </cell>
          <cell r="AF2100">
            <v>21.249837403389485</v>
          </cell>
          <cell r="AG2100">
            <v>20.469360058004284</v>
          </cell>
          <cell r="AH2100">
            <v>17.881583490985356</v>
          </cell>
          <cell r="AI2100">
            <v>15.547864889645153</v>
          </cell>
          <cell r="AJ2100">
            <v>20.215302092325562</v>
          </cell>
          <cell r="AU2100">
            <v>15.017079815583717</v>
          </cell>
          <cell r="AV2100">
            <v>14.263722316306255</v>
          </cell>
          <cell r="AW2100">
            <v>12.105561258724364</v>
          </cell>
          <cell r="AX2100">
            <v>10.242049449424412</v>
          </cell>
          <cell r="AY2100">
            <v>13.969073068024317</v>
          </cell>
        </row>
        <row r="2101">
          <cell r="A2101">
            <v>42479</v>
          </cell>
          <cell r="AF2101">
            <v>21.30219200013244</v>
          </cell>
          <cell r="AG2101">
            <v>20.469360058004284</v>
          </cell>
          <cell r="AH2101">
            <v>17.881583490985356</v>
          </cell>
          <cell r="AI2101">
            <v>15.547864889645153</v>
          </cell>
          <cell r="AJ2101">
            <v>20.215302092325562</v>
          </cell>
          <cell r="AU2101">
            <v>15.052025045527692</v>
          </cell>
          <cell r="AV2101">
            <v>14.263722316306255</v>
          </cell>
          <cell r="AW2101">
            <v>12.105561258724364</v>
          </cell>
          <cell r="AX2101">
            <v>10.242049449424412</v>
          </cell>
          <cell r="AY2101">
            <v>13.969073068024317</v>
          </cell>
        </row>
        <row r="2102">
          <cell r="A2102">
            <v>42480</v>
          </cell>
          <cell r="AF2102">
            <v>21.385964800017032</v>
          </cell>
          <cell r="AG2102">
            <v>20.469360058004284</v>
          </cell>
          <cell r="AH2102">
            <v>17.881583490985356</v>
          </cell>
          <cell r="AI2102">
            <v>15.547864889645153</v>
          </cell>
          <cell r="AJ2102">
            <v>20.215302092325562</v>
          </cell>
          <cell r="AU2102">
            <v>15.107941047887349</v>
          </cell>
          <cell r="AV2102">
            <v>14.263722316306255</v>
          </cell>
          <cell r="AW2102">
            <v>12.105561258724364</v>
          </cell>
          <cell r="AX2102">
            <v>10.242049449424412</v>
          </cell>
          <cell r="AY2102">
            <v>13.969073068024317</v>
          </cell>
        </row>
        <row r="2103">
          <cell r="A2103">
            <v>42481</v>
          </cell>
          <cell r="AF2103">
            <v>21.131158397608132</v>
          </cell>
          <cell r="AG2103">
            <v>20.469360058004284</v>
          </cell>
          <cell r="AH2103">
            <v>17.881583490985356</v>
          </cell>
          <cell r="AI2103">
            <v>15.547864889645153</v>
          </cell>
          <cell r="AJ2103">
            <v>20.215302092325562</v>
          </cell>
          <cell r="AU2103">
            <v>14.937864896463738</v>
          </cell>
          <cell r="AV2103">
            <v>14.263722316306255</v>
          </cell>
          <cell r="AW2103">
            <v>12.105561258724364</v>
          </cell>
          <cell r="AX2103">
            <v>10.242049449424412</v>
          </cell>
          <cell r="AY2103">
            <v>13.969073068024317</v>
          </cell>
        </row>
        <row r="2104">
          <cell r="A2104">
            <v>42482</v>
          </cell>
          <cell r="AF2104">
            <v>21.193989219177698</v>
          </cell>
          <cell r="AG2104">
            <v>20.469360058004284</v>
          </cell>
          <cell r="AH2104">
            <v>17.881583490985356</v>
          </cell>
          <cell r="AI2104">
            <v>15.547864889645153</v>
          </cell>
          <cell r="AJ2104">
            <v>20.215302092325562</v>
          </cell>
          <cell r="AU2104">
            <v>14.979802713654797</v>
          </cell>
          <cell r="AV2104">
            <v>14.263722316306255</v>
          </cell>
          <cell r="AW2104">
            <v>12.105561258724364</v>
          </cell>
          <cell r="AX2104">
            <v>10.242049449424412</v>
          </cell>
          <cell r="AY2104">
            <v>13.969073068024317</v>
          </cell>
        </row>
        <row r="2105">
          <cell r="A2105">
            <v>42485</v>
          </cell>
          <cell r="AF2105">
            <v>21.316078971695799</v>
          </cell>
          <cell r="AG2105">
            <v>20.469360058004284</v>
          </cell>
          <cell r="AH2105">
            <v>17.881583490985356</v>
          </cell>
          <cell r="AI2105">
            <v>15.547864889645153</v>
          </cell>
          <cell r="AJ2105">
            <v>20.215302092325562</v>
          </cell>
          <cell r="AU2105">
            <v>15.070648792585475</v>
          </cell>
          <cell r="AV2105">
            <v>14.263722316306255</v>
          </cell>
          <cell r="AW2105">
            <v>12.105561258724364</v>
          </cell>
          <cell r="AX2105">
            <v>10.242049449424412</v>
          </cell>
          <cell r="AY2105">
            <v>13.969073068024317</v>
          </cell>
        </row>
        <row r="2106">
          <cell r="A2106">
            <v>42486</v>
          </cell>
          <cell r="AF2106">
            <v>21.131207422783213</v>
          </cell>
          <cell r="AG2106">
            <v>20.469360058004284</v>
          </cell>
          <cell r="AH2106">
            <v>17.881583490985356</v>
          </cell>
          <cell r="AI2106">
            <v>15.547864889645153</v>
          </cell>
          <cell r="AJ2106">
            <v>20.215302092325562</v>
          </cell>
          <cell r="AU2106">
            <v>14.947171062884207</v>
          </cell>
          <cell r="AV2106">
            <v>14.263722316306255</v>
          </cell>
          <cell r="AW2106">
            <v>12.105561258724364</v>
          </cell>
          <cell r="AX2106">
            <v>10.242049449424412</v>
          </cell>
          <cell r="AY2106">
            <v>13.969073068024317</v>
          </cell>
        </row>
        <row r="2107">
          <cell r="A2107">
            <v>42487</v>
          </cell>
          <cell r="AF2107">
            <v>21.259154865715413</v>
          </cell>
          <cell r="AG2107">
            <v>20.469360058004284</v>
          </cell>
          <cell r="AH2107">
            <v>17.881583490985356</v>
          </cell>
          <cell r="AI2107">
            <v>15.547864889645153</v>
          </cell>
          <cell r="AJ2107">
            <v>20.215302092325562</v>
          </cell>
          <cell r="AU2107">
            <v>15.031094667782186</v>
          </cell>
          <cell r="AV2107">
            <v>14.263722316306255</v>
          </cell>
          <cell r="AW2107">
            <v>12.105561258724364</v>
          </cell>
          <cell r="AX2107">
            <v>10.242049449424412</v>
          </cell>
          <cell r="AY2107">
            <v>13.969073068024317</v>
          </cell>
        </row>
        <row r="2108">
          <cell r="A2108">
            <v>42488</v>
          </cell>
          <cell r="AF2108">
            <v>21.042902685736319</v>
          </cell>
          <cell r="AG2108">
            <v>20.469360058004284</v>
          </cell>
          <cell r="AH2108">
            <v>17.881583490985356</v>
          </cell>
          <cell r="AI2108">
            <v>15.547864889645153</v>
          </cell>
          <cell r="AJ2108">
            <v>20.215302092325562</v>
          </cell>
          <cell r="AU2108">
            <v>14.886671790439481</v>
          </cell>
          <cell r="AV2108">
            <v>14.263722316306255</v>
          </cell>
          <cell r="AW2108">
            <v>12.105561258724364</v>
          </cell>
          <cell r="AX2108">
            <v>10.242049449424412</v>
          </cell>
          <cell r="AY2108">
            <v>13.969073068024317</v>
          </cell>
        </row>
        <row r="2109">
          <cell r="A2109">
            <v>42489</v>
          </cell>
          <cell r="AF2109">
            <v>20.788282874086484</v>
          </cell>
          <cell r="AG2109">
            <v>20.469360058004284</v>
          </cell>
          <cell r="AH2109">
            <v>17.881583490985356</v>
          </cell>
          <cell r="AI2109">
            <v>15.547864889645153</v>
          </cell>
          <cell r="AJ2109">
            <v>20.215302092325562</v>
          </cell>
          <cell r="AU2109">
            <v>14.716625292732587</v>
          </cell>
          <cell r="AV2109">
            <v>14.263722316306255</v>
          </cell>
          <cell r="AW2109">
            <v>12.105561258724364</v>
          </cell>
          <cell r="AX2109">
            <v>10.242049449424412</v>
          </cell>
          <cell r="AY2109">
            <v>13.969073068024317</v>
          </cell>
        </row>
        <row r="2110">
          <cell r="A2110">
            <v>42492</v>
          </cell>
          <cell r="AF2110">
            <v>20.800667462637183</v>
          </cell>
          <cell r="AG2110">
            <v>20.469360058004284</v>
          </cell>
          <cell r="AH2110">
            <v>17.881583490985356</v>
          </cell>
          <cell r="AI2110">
            <v>15.547864889645153</v>
          </cell>
          <cell r="AJ2110">
            <v>20.215302092325562</v>
          </cell>
          <cell r="AU2110">
            <v>14.692045678542396</v>
          </cell>
          <cell r="AV2110">
            <v>14.263722316306255</v>
          </cell>
          <cell r="AW2110">
            <v>12.105561258724364</v>
          </cell>
          <cell r="AX2110">
            <v>10.242049449424412</v>
          </cell>
          <cell r="AY2110">
            <v>13.969073068024317</v>
          </cell>
        </row>
        <row r="2111">
          <cell r="A2111">
            <v>42493</v>
          </cell>
          <cell r="AF2111">
            <v>20.704001150799783</v>
          </cell>
          <cell r="AG2111">
            <v>20.469360058004284</v>
          </cell>
          <cell r="AH2111">
            <v>17.881583490985356</v>
          </cell>
          <cell r="AI2111">
            <v>15.547864889645153</v>
          </cell>
          <cell r="AJ2111">
            <v>20.215302092325562</v>
          </cell>
          <cell r="AU2111">
            <v>14.627594419991587</v>
          </cell>
          <cell r="AV2111">
            <v>14.263722316306255</v>
          </cell>
          <cell r="AW2111">
            <v>12.105561258724364</v>
          </cell>
          <cell r="AX2111">
            <v>10.242049449424412</v>
          </cell>
          <cell r="AY2111">
            <v>13.969073068024317</v>
          </cell>
        </row>
        <row r="2112">
          <cell r="A2112">
            <v>42494</v>
          </cell>
          <cell r="AF2112">
            <v>20.66947514996545</v>
          </cell>
          <cell r="AG2112">
            <v>20.469360058004284</v>
          </cell>
          <cell r="AH2112">
            <v>17.881583490985356</v>
          </cell>
          <cell r="AI2112">
            <v>15.547864889645153</v>
          </cell>
          <cell r="AJ2112">
            <v>20.215302092325562</v>
          </cell>
          <cell r="AU2112">
            <v>14.604574567840386</v>
          </cell>
          <cell r="AV2112">
            <v>14.263722316306255</v>
          </cell>
          <cell r="AW2112">
            <v>12.105561258724364</v>
          </cell>
          <cell r="AX2112">
            <v>10.242049449424412</v>
          </cell>
          <cell r="AY2112">
            <v>13.969073068024317</v>
          </cell>
        </row>
        <row r="2113">
          <cell r="A2113">
            <v>42495</v>
          </cell>
          <cell r="AF2113">
            <v>20.929621085321752</v>
          </cell>
          <cell r="AG2113">
            <v>20.469360058004284</v>
          </cell>
          <cell r="AH2113">
            <v>17.881583490985356</v>
          </cell>
          <cell r="AI2113">
            <v>15.547864889645153</v>
          </cell>
          <cell r="AJ2113">
            <v>20.215302092325562</v>
          </cell>
          <cell r="AU2113">
            <v>14.747291390153713</v>
          </cell>
          <cell r="AV2113">
            <v>14.263722316306255</v>
          </cell>
          <cell r="AW2113">
            <v>12.105561258724364</v>
          </cell>
          <cell r="AX2113">
            <v>10.242049449424412</v>
          </cell>
          <cell r="AY2113">
            <v>13.969073068024317</v>
          </cell>
        </row>
        <row r="2114">
          <cell r="A2114">
            <v>42496</v>
          </cell>
          <cell r="AF2114">
            <v>21.365580655069174</v>
          </cell>
          <cell r="AG2114">
            <v>20.469360058004284</v>
          </cell>
          <cell r="AH2114">
            <v>17.881583490985356</v>
          </cell>
          <cell r="AI2114">
            <v>15.547864889645153</v>
          </cell>
          <cell r="AJ2114">
            <v>20.215302092325562</v>
          </cell>
          <cell r="AU2114">
            <v>15.037322744186485</v>
          </cell>
          <cell r="AV2114">
            <v>14.263722316306255</v>
          </cell>
          <cell r="AW2114">
            <v>12.105561258724364</v>
          </cell>
          <cell r="AX2114">
            <v>10.242049449424412</v>
          </cell>
          <cell r="AY2114">
            <v>13.969073068024317</v>
          </cell>
        </row>
        <row r="2115">
          <cell r="A2115">
            <v>42499</v>
          </cell>
          <cell r="AF2115">
            <v>20.934682895389862</v>
          </cell>
          <cell r="AG2115">
            <v>20.469360058004284</v>
          </cell>
          <cell r="AH2115">
            <v>17.881583490985356</v>
          </cell>
          <cell r="AI2115">
            <v>15.547864889645153</v>
          </cell>
          <cell r="AJ2115">
            <v>20.215302092325562</v>
          </cell>
          <cell r="AU2115">
            <v>14.594234526366524</v>
          </cell>
          <cell r="AV2115">
            <v>14.263722316306255</v>
          </cell>
          <cell r="AW2115">
            <v>12.105561258724364</v>
          </cell>
          <cell r="AX2115">
            <v>10.242049449424412</v>
          </cell>
          <cell r="AY2115">
            <v>13.969073068024317</v>
          </cell>
        </row>
        <row r="2116">
          <cell r="A2116">
            <v>42500</v>
          </cell>
          <cell r="AF2116">
            <v>21.214276620479328</v>
          </cell>
          <cell r="AG2116">
            <v>20.469360058004284</v>
          </cell>
          <cell r="AH2116">
            <v>17.881583490985356</v>
          </cell>
          <cell r="AI2116">
            <v>15.547864889645153</v>
          </cell>
          <cell r="AJ2116">
            <v>20.215302092325562</v>
          </cell>
          <cell r="AU2116">
            <v>14.776112589524242</v>
          </cell>
          <cell r="AV2116">
            <v>14.263722316306255</v>
          </cell>
          <cell r="AW2116">
            <v>12.105561258724364</v>
          </cell>
          <cell r="AX2116">
            <v>10.242049449424412</v>
          </cell>
          <cell r="AY2116">
            <v>13.969073068024317</v>
          </cell>
        </row>
        <row r="2117">
          <cell r="A2117">
            <v>42501</v>
          </cell>
          <cell r="AF2117">
            <v>21.408013243355153</v>
          </cell>
          <cell r="AG2117">
            <v>20.469360058004284</v>
          </cell>
          <cell r="AH2117">
            <v>17.881583490985356</v>
          </cell>
          <cell r="AI2117">
            <v>15.547864889645153</v>
          </cell>
          <cell r="AJ2117">
            <v>20.215302092325562</v>
          </cell>
          <cell r="AU2117">
            <v>14.920143642959454</v>
          </cell>
          <cell r="AV2117">
            <v>14.263722316306255</v>
          </cell>
          <cell r="AW2117">
            <v>12.105561258724364</v>
          </cell>
          <cell r="AX2117">
            <v>10.242049449424412</v>
          </cell>
          <cell r="AY2117">
            <v>13.969073068024317</v>
          </cell>
        </row>
        <row r="2118">
          <cell r="A2118">
            <v>42502</v>
          </cell>
          <cell r="AF2118">
            <v>21.396182503580476</v>
          </cell>
          <cell r="AG2118">
            <v>20.469360058004284</v>
          </cell>
          <cell r="AH2118">
            <v>17.881583490985356</v>
          </cell>
          <cell r="AI2118">
            <v>15.547864889645153</v>
          </cell>
          <cell r="AJ2118">
            <v>20.215302092325562</v>
          </cell>
          <cell r="AU2118">
            <v>14.889864372064224</v>
          </cell>
          <cell r="AV2118">
            <v>14.263722316306255</v>
          </cell>
          <cell r="AW2118">
            <v>12.105561258724364</v>
          </cell>
          <cell r="AX2118">
            <v>10.242049449424412</v>
          </cell>
          <cell r="AY2118">
            <v>13.969073068024317</v>
          </cell>
        </row>
        <row r="2119">
          <cell r="A2119">
            <v>42503</v>
          </cell>
          <cell r="AF2119">
            <v>21.124256627236438</v>
          </cell>
          <cell r="AG2119">
            <v>20.469360058004284</v>
          </cell>
          <cell r="AH2119">
            <v>17.881583490985356</v>
          </cell>
          <cell r="AI2119">
            <v>15.547864889645153</v>
          </cell>
          <cell r="AJ2119">
            <v>20.215302092325562</v>
          </cell>
          <cell r="AU2119">
            <v>14.545621072006941</v>
          </cell>
          <cell r="AV2119">
            <v>14.263722316306255</v>
          </cell>
          <cell r="AW2119">
            <v>12.105561258724364</v>
          </cell>
          <cell r="AX2119">
            <v>10.242049449424412</v>
          </cell>
          <cell r="AY2119">
            <v>13.969073068024317</v>
          </cell>
        </row>
        <row r="2120">
          <cell r="A2120">
            <v>42506</v>
          </cell>
          <cell r="AF2120">
            <v>21.506136036859022</v>
          </cell>
          <cell r="AG2120">
            <v>20.469360058004284</v>
          </cell>
          <cell r="AH2120">
            <v>17.881583490985356</v>
          </cell>
          <cell r="AI2120">
            <v>15.547864889645153</v>
          </cell>
          <cell r="AJ2120">
            <v>20.215302092325562</v>
          </cell>
          <cell r="AU2120">
            <v>14.79266240379487</v>
          </cell>
          <cell r="AV2120">
            <v>14.263722316306255</v>
          </cell>
          <cell r="AW2120">
            <v>12.105561258724364</v>
          </cell>
          <cell r="AX2120">
            <v>10.242049449424412</v>
          </cell>
          <cell r="AY2120">
            <v>13.969073068024317</v>
          </cell>
        </row>
        <row r="2121">
          <cell r="A2121">
            <v>42507</v>
          </cell>
          <cell r="AF2121">
            <v>20.967274297386862</v>
          </cell>
          <cell r="AG2121">
            <v>20.469360058004284</v>
          </cell>
          <cell r="AH2121">
            <v>17.881583490985356</v>
          </cell>
          <cell r="AI2121">
            <v>15.547864889645153</v>
          </cell>
          <cell r="AJ2121">
            <v>20.215302092325562</v>
          </cell>
          <cell r="AU2121">
            <v>14.442310461363974</v>
          </cell>
          <cell r="AV2121">
            <v>14.263722316306255</v>
          </cell>
          <cell r="AW2121">
            <v>12.105561258724364</v>
          </cell>
          <cell r="AX2121">
            <v>10.242049449424412</v>
          </cell>
          <cell r="AY2121">
            <v>13.969073068024317</v>
          </cell>
        </row>
        <row r="2122">
          <cell r="A2122">
            <v>42508</v>
          </cell>
          <cell r="AF2122">
            <v>21.095085211941775</v>
          </cell>
          <cell r="AG2122">
            <v>20.469360058004284</v>
          </cell>
          <cell r="AH2122">
            <v>17.881583490985356</v>
          </cell>
          <cell r="AI2122">
            <v>15.547864889645153</v>
          </cell>
          <cell r="AJ2122">
            <v>20.215302092325562</v>
          </cell>
          <cell r="AU2122">
            <v>14.525409332369449</v>
          </cell>
          <cell r="AV2122">
            <v>14.263722316306255</v>
          </cell>
          <cell r="AW2122">
            <v>12.105561258724364</v>
          </cell>
          <cell r="AX2122">
            <v>10.242049449424412</v>
          </cell>
          <cell r="AY2122">
            <v>13.969073068024317</v>
          </cell>
        </row>
        <row r="2123">
          <cell r="A2123">
            <v>42509</v>
          </cell>
          <cell r="AF2123">
            <v>20.832559035231139</v>
          </cell>
          <cell r="AG2123">
            <v>20.469360058004284</v>
          </cell>
          <cell r="AH2123">
            <v>17.881583490985356</v>
          </cell>
          <cell r="AI2123">
            <v>15.547864889645153</v>
          </cell>
          <cell r="AJ2123">
            <v>20.215302092325562</v>
          </cell>
          <cell r="AU2123">
            <v>14.354722588048682</v>
          </cell>
          <cell r="AV2123">
            <v>14.263722316306255</v>
          </cell>
          <cell r="AW2123">
            <v>12.105561258724364</v>
          </cell>
          <cell r="AX2123">
            <v>10.242049449424412</v>
          </cell>
          <cell r="AY2123">
            <v>13.969073068024317</v>
          </cell>
        </row>
        <row r="2124">
          <cell r="A2124">
            <v>42510</v>
          </cell>
          <cell r="AF2124">
            <v>21.059422040536486</v>
          </cell>
          <cell r="AG2124">
            <v>20.469360058004284</v>
          </cell>
          <cell r="AH2124">
            <v>17.881583490985356</v>
          </cell>
          <cell r="AI2124">
            <v>15.547864889645153</v>
          </cell>
          <cell r="AJ2124">
            <v>20.215302092325562</v>
          </cell>
          <cell r="AU2124">
            <v>14.500704772479407</v>
          </cell>
          <cell r="AV2124">
            <v>14.263722316306255</v>
          </cell>
          <cell r="AW2124">
            <v>12.105561258724364</v>
          </cell>
          <cell r="AX2124">
            <v>10.242049449424412</v>
          </cell>
          <cell r="AY2124">
            <v>13.969073068024317</v>
          </cell>
        </row>
        <row r="2125">
          <cell r="A2125">
            <v>42513</v>
          </cell>
          <cell r="AF2125">
            <v>20.84614090830814</v>
          </cell>
          <cell r="AG2125">
            <v>20.469360058004284</v>
          </cell>
          <cell r="AH2125">
            <v>17.881583490985356</v>
          </cell>
          <cell r="AI2125">
            <v>15.547864889645153</v>
          </cell>
          <cell r="AJ2125">
            <v>20.215302092325562</v>
          </cell>
          <cell r="AU2125">
            <v>14.414757232014349</v>
          </cell>
          <cell r="AV2125">
            <v>14.263722316306255</v>
          </cell>
          <cell r="AW2125">
            <v>12.105561258724364</v>
          </cell>
          <cell r="AX2125">
            <v>10.242049449424412</v>
          </cell>
          <cell r="AY2125">
            <v>13.969073068024317</v>
          </cell>
        </row>
        <row r="2126">
          <cell r="A2126">
            <v>42514</v>
          </cell>
          <cell r="AF2126">
            <v>21.319287169748353</v>
          </cell>
          <cell r="AG2126">
            <v>20.469360058004284</v>
          </cell>
          <cell r="AH2126">
            <v>17.881583490985356</v>
          </cell>
          <cell r="AI2126">
            <v>15.547864889645153</v>
          </cell>
          <cell r="AJ2126">
            <v>20.215302092325562</v>
          </cell>
          <cell r="AU2126">
            <v>14.723482642329421</v>
          </cell>
          <cell r="AV2126">
            <v>14.263722316306255</v>
          </cell>
          <cell r="AW2126">
            <v>12.105561258724364</v>
          </cell>
          <cell r="AX2126">
            <v>10.242049449424412</v>
          </cell>
          <cell r="AY2126">
            <v>13.969073068024317</v>
          </cell>
        </row>
        <row r="2127">
          <cell r="A2127">
            <v>42515</v>
          </cell>
          <cell r="AF2127">
            <v>21.333104817822953</v>
          </cell>
          <cell r="AG2127">
            <v>20.469360058004284</v>
          </cell>
          <cell r="AH2127">
            <v>17.881583490985356</v>
          </cell>
          <cell r="AI2127">
            <v>15.547864889645153</v>
          </cell>
          <cell r="AJ2127">
            <v>20.215302092325562</v>
          </cell>
          <cell r="AU2127">
            <v>14.732498583950592</v>
          </cell>
          <cell r="AV2127">
            <v>14.263722316306255</v>
          </cell>
          <cell r="AW2127">
            <v>12.105561258724364</v>
          </cell>
          <cell r="AX2127">
            <v>10.242049449424412</v>
          </cell>
          <cell r="AY2127">
            <v>13.969073068024317</v>
          </cell>
        </row>
        <row r="2128">
          <cell r="A2128">
            <v>42516</v>
          </cell>
          <cell r="AF2128">
            <v>21.315835606978538</v>
          </cell>
          <cell r="AG2128">
            <v>20.469360058004284</v>
          </cell>
          <cell r="AH2128">
            <v>17.881583490985356</v>
          </cell>
          <cell r="AI2128">
            <v>15.547864889645153</v>
          </cell>
          <cell r="AJ2128">
            <v>20.215302092325562</v>
          </cell>
          <cell r="AU2128">
            <v>14.721230516043784</v>
          </cell>
          <cell r="AV2128">
            <v>14.263722316306255</v>
          </cell>
          <cell r="AW2128">
            <v>12.105561258724364</v>
          </cell>
          <cell r="AX2128">
            <v>10.242049449424412</v>
          </cell>
          <cell r="AY2128">
            <v>13.969073068024317</v>
          </cell>
        </row>
        <row r="2129">
          <cell r="A2129">
            <v>42517</v>
          </cell>
          <cell r="AF2129">
            <v>21.574858228287493</v>
          </cell>
          <cell r="AG2129">
            <v>20.469360058004284</v>
          </cell>
          <cell r="AH2129">
            <v>17.881583490985356</v>
          </cell>
          <cell r="AI2129">
            <v>15.547864889645153</v>
          </cell>
          <cell r="AJ2129">
            <v>20.215302092325562</v>
          </cell>
          <cell r="AU2129">
            <v>14.890241393993195</v>
          </cell>
          <cell r="AV2129">
            <v>14.263722316306255</v>
          </cell>
          <cell r="AW2129">
            <v>12.105561258724364</v>
          </cell>
          <cell r="AX2129">
            <v>10.242049449424412</v>
          </cell>
          <cell r="AY2129">
            <v>13.969073068024317</v>
          </cell>
        </row>
        <row r="2130">
          <cell r="A2130">
            <v>42520</v>
          </cell>
          <cell r="AF2130">
            <v>21.574858228287493</v>
          </cell>
          <cell r="AG2130">
            <v>20.469360058004284</v>
          </cell>
          <cell r="AH2130">
            <v>17.881583490985356</v>
          </cell>
          <cell r="AI2130">
            <v>15.547864889645153</v>
          </cell>
          <cell r="AJ2130">
            <v>20.215302092325562</v>
          </cell>
          <cell r="AU2130">
            <v>14.890241393993195</v>
          </cell>
          <cell r="AV2130">
            <v>14.263722316306255</v>
          </cell>
          <cell r="AW2130">
            <v>12.105561258724364</v>
          </cell>
          <cell r="AX2130">
            <v>10.242049449424412</v>
          </cell>
          <cell r="AY2130">
            <v>13.969073068024317</v>
          </cell>
        </row>
        <row r="2131">
          <cell r="A2131">
            <v>42521</v>
          </cell>
          <cell r="AF2131">
            <v>21.467796235540114</v>
          </cell>
          <cell r="AG2131">
            <v>20.469360058004284</v>
          </cell>
          <cell r="AH2131">
            <v>17.881583490985356</v>
          </cell>
          <cell r="AI2131">
            <v>15.547864889645153</v>
          </cell>
          <cell r="AJ2131">
            <v>20.215302092325562</v>
          </cell>
          <cell r="AU2131">
            <v>14.820384015136447</v>
          </cell>
          <cell r="AV2131">
            <v>14.263722316306255</v>
          </cell>
          <cell r="AW2131">
            <v>12.105561258724364</v>
          </cell>
          <cell r="AX2131">
            <v>10.242049449424412</v>
          </cell>
          <cell r="AY2131">
            <v>13.969073068024317</v>
          </cell>
        </row>
        <row r="2132">
          <cell r="A2132">
            <v>42522</v>
          </cell>
          <cell r="AF2132">
            <v>21.367987688098491</v>
          </cell>
          <cell r="AG2132">
            <v>20.469360058004284</v>
          </cell>
          <cell r="AH2132">
            <v>17.881583490985356</v>
          </cell>
          <cell r="AI2132">
            <v>15.547864889645153</v>
          </cell>
          <cell r="AJ2132">
            <v>20.215302092325562</v>
          </cell>
          <cell r="AU2132">
            <v>14.724746573733608</v>
          </cell>
          <cell r="AV2132">
            <v>14.263722316306255</v>
          </cell>
          <cell r="AW2132">
            <v>12.105561258724364</v>
          </cell>
          <cell r="AX2132">
            <v>10.242049449424412</v>
          </cell>
          <cell r="AY2132">
            <v>13.969073068024317</v>
          </cell>
        </row>
        <row r="2133">
          <cell r="A2133">
            <v>42523</v>
          </cell>
          <cell r="AF2133">
            <v>21.545827633378931</v>
          </cell>
          <cell r="AG2133">
            <v>20.469360058004284</v>
          </cell>
          <cell r="AH2133">
            <v>17.881583490985356</v>
          </cell>
          <cell r="AI2133">
            <v>15.547864889645153</v>
          </cell>
          <cell r="AJ2133">
            <v>20.215302092325562</v>
          </cell>
          <cell r="AU2133">
            <v>14.840608431497234</v>
          </cell>
          <cell r="AV2133">
            <v>14.263722316306255</v>
          </cell>
          <cell r="AW2133">
            <v>12.105561258724364</v>
          </cell>
          <cell r="AX2133">
            <v>10.242049449424412</v>
          </cell>
          <cell r="AY2133">
            <v>13.969073068024317</v>
          </cell>
        </row>
        <row r="2134">
          <cell r="A2134">
            <v>42524</v>
          </cell>
          <cell r="AF2134">
            <v>21.426126538987685</v>
          </cell>
          <cell r="AG2134">
            <v>20.469360058004284</v>
          </cell>
          <cell r="AH2134">
            <v>17.881583490985356</v>
          </cell>
          <cell r="AI2134">
            <v>15.547864889645153</v>
          </cell>
          <cell r="AJ2134">
            <v>20.215302092325562</v>
          </cell>
          <cell r="AU2134">
            <v>14.762623751786277</v>
          </cell>
          <cell r="AV2134">
            <v>14.263722316306255</v>
          </cell>
          <cell r="AW2134">
            <v>12.105561258724364</v>
          </cell>
          <cell r="AX2134">
            <v>10.242049449424412</v>
          </cell>
          <cell r="AY2134">
            <v>13.969073068024317</v>
          </cell>
        </row>
        <row r="2135">
          <cell r="A2135">
            <v>42527</v>
          </cell>
          <cell r="AF2135">
            <v>21.46032831737346</v>
          </cell>
          <cell r="AG2135">
            <v>20.469360058004284</v>
          </cell>
          <cell r="AH2135">
            <v>17.881583490985356</v>
          </cell>
          <cell r="AI2135">
            <v>15.547864889645153</v>
          </cell>
          <cell r="AJ2135">
            <v>20.215302092325562</v>
          </cell>
          <cell r="AU2135">
            <v>14.784906043744627</v>
          </cell>
          <cell r="AV2135">
            <v>14.263722316306255</v>
          </cell>
          <cell r="AW2135">
            <v>12.105561258724364</v>
          </cell>
          <cell r="AX2135">
            <v>10.242049449424412</v>
          </cell>
          <cell r="AY2135">
            <v>13.969073068024317</v>
          </cell>
        </row>
        <row r="2136">
          <cell r="A2136">
            <v>42528</v>
          </cell>
          <cell r="AF2136">
            <v>21.47400615595075</v>
          </cell>
          <cell r="AG2136">
            <v>20.469360058004284</v>
          </cell>
          <cell r="AH2136">
            <v>17.881583490985356</v>
          </cell>
          <cell r="AI2136">
            <v>15.547864889645153</v>
          </cell>
          <cell r="AJ2136">
            <v>20.215302092325562</v>
          </cell>
          <cell r="AU2136">
            <v>14.793817088927739</v>
          </cell>
          <cell r="AV2136">
            <v>14.263722316306255</v>
          </cell>
          <cell r="AW2136">
            <v>12.105561258724364</v>
          </cell>
          <cell r="AX2136">
            <v>10.242049449424412</v>
          </cell>
          <cell r="AY2136">
            <v>13.969073068024317</v>
          </cell>
        </row>
        <row r="2137">
          <cell r="A2137">
            <v>42529</v>
          </cell>
          <cell r="AF2137">
            <v>22.004102941176466</v>
          </cell>
          <cell r="AG2137">
            <v>20.469360058004284</v>
          </cell>
          <cell r="AH2137">
            <v>17.881583490985356</v>
          </cell>
          <cell r="AI2137">
            <v>15.547864889645153</v>
          </cell>
          <cell r="AJ2137">
            <v>20.215302092325562</v>
          </cell>
          <cell r="AU2137">
            <v>15.139172561422557</v>
          </cell>
          <cell r="AV2137">
            <v>14.263722316306255</v>
          </cell>
          <cell r="AW2137">
            <v>12.105561258724364</v>
          </cell>
          <cell r="AX2137">
            <v>10.242049449424412</v>
          </cell>
          <cell r="AY2137">
            <v>13.969073068024317</v>
          </cell>
        </row>
        <row r="2138">
          <cell r="A2138">
            <v>42530</v>
          </cell>
          <cell r="AF2138">
            <v>22.034881326949382</v>
          </cell>
          <cell r="AG2138">
            <v>20.469360058004284</v>
          </cell>
          <cell r="AH2138">
            <v>17.881583490985356</v>
          </cell>
          <cell r="AI2138">
            <v>15.547864889645153</v>
          </cell>
          <cell r="AJ2138">
            <v>20.215302092325562</v>
          </cell>
          <cell r="AU2138">
            <v>15.159224529775292</v>
          </cell>
          <cell r="AV2138">
            <v>14.263722316306255</v>
          </cell>
          <cell r="AW2138">
            <v>12.105561258724364</v>
          </cell>
          <cell r="AX2138">
            <v>10.242049449424412</v>
          </cell>
          <cell r="AY2138">
            <v>13.969073068024317</v>
          </cell>
        </row>
        <row r="2139">
          <cell r="A2139">
            <v>42531</v>
          </cell>
          <cell r="AF2139">
            <v>21.754446306429546</v>
          </cell>
          <cell r="AG2139">
            <v>20.469360058004284</v>
          </cell>
          <cell r="AH2139">
            <v>17.881583490985356</v>
          </cell>
          <cell r="AI2139">
            <v>15.547864889645153</v>
          </cell>
          <cell r="AJ2139">
            <v>20.215302092325562</v>
          </cell>
          <cell r="AU2139">
            <v>14.976522480423148</v>
          </cell>
          <cell r="AV2139">
            <v>14.263722316306255</v>
          </cell>
          <cell r="AW2139">
            <v>12.105561258724364</v>
          </cell>
          <cell r="AX2139">
            <v>10.242049449424412</v>
          </cell>
          <cell r="AY2139">
            <v>13.969073068024317</v>
          </cell>
        </row>
        <row r="2140">
          <cell r="A2140">
            <v>42534</v>
          </cell>
          <cell r="AF2140">
            <v>22.156425124080094</v>
          </cell>
          <cell r="AG2140">
            <v>20.469360058004284</v>
          </cell>
          <cell r="AH2140">
            <v>17.881583490985356</v>
          </cell>
          <cell r="AI2140">
            <v>15.547864889645153</v>
          </cell>
          <cell r="AJ2140">
            <v>20.215302092325562</v>
          </cell>
          <cell r="AU2140">
            <v>15.232356555032142</v>
          </cell>
          <cell r="AV2140">
            <v>14.263722316306255</v>
          </cell>
          <cell r="AW2140">
            <v>12.105561258724364</v>
          </cell>
          <cell r="AX2140">
            <v>10.242049449424412</v>
          </cell>
          <cell r="AY2140">
            <v>13.969073068024317</v>
          </cell>
        </row>
        <row r="2141">
          <cell r="A2141">
            <v>42535</v>
          </cell>
          <cell r="AF2141">
            <v>22.002395687147015</v>
          </cell>
          <cell r="AG2141">
            <v>20.469360058004284</v>
          </cell>
          <cell r="AH2141">
            <v>17.881583490985356</v>
          </cell>
          <cell r="AI2141">
            <v>15.547864889645153</v>
          </cell>
          <cell r="AJ2141">
            <v>20.215302092325562</v>
          </cell>
          <cell r="AU2141">
            <v>15.144474629541399</v>
          </cell>
          <cell r="AV2141">
            <v>14.263722316306255</v>
          </cell>
          <cell r="AW2141">
            <v>12.105561258724364</v>
          </cell>
          <cell r="AX2141">
            <v>10.242049449424412</v>
          </cell>
          <cell r="AY2141">
            <v>13.969073068024317</v>
          </cell>
        </row>
        <row r="2142">
          <cell r="A2142">
            <v>42536</v>
          </cell>
          <cell r="AF2142">
            <v>21.677221290432996</v>
          </cell>
          <cell r="AG2142">
            <v>20.469360058004284</v>
          </cell>
          <cell r="AH2142">
            <v>17.881583490985356</v>
          </cell>
          <cell r="AI2142">
            <v>15.547864889645153</v>
          </cell>
          <cell r="AJ2142">
            <v>20.215302092325562</v>
          </cell>
          <cell r="AU2142">
            <v>14.932544956388295</v>
          </cell>
          <cell r="AV2142">
            <v>14.263722316306255</v>
          </cell>
          <cell r="AW2142">
            <v>12.105561258724364</v>
          </cell>
          <cell r="AX2142">
            <v>10.242049449424412</v>
          </cell>
          <cell r="AY2142">
            <v>13.969073068024317</v>
          </cell>
        </row>
        <row r="2143">
          <cell r="A2143">
            <v>42537</v>
          </cell>
          <cell r="AF2143">
            <v>21.735409892178676</v>
          </cell>
          <cell r="AG2143">
            <v>20.469360058004284</v>
          </cell>
          <cell r="AH2143">
            <v>17.881583490985356</v>
          </cell>
          <cell r="AI2143">
            <v>15.547864889645153</v>
          </cell>
          <cell r="AJ2143">
            <v>20.215302092325562</v>
          </cell>
          <cell r="AU2143">
            <v>14.970468887281427</v>
          </cell>
          <cell r="AV2143">
            <v>14.263722316306255</v>
          </cell>
          <cell r="AW2143">
            <v>12.105561258724364</v>
          </cell>
          <cell r="AX2143">
            <v>10.242049449424412</v>
          </cell>
          <cell r="AY2143">
            <v>13.969073068024317</v>
          </cell>
        </row>
        <row r="2144">
          <cell r="A2144">
            <v>42538</v>
          </cell>
          <cell r="AF2144">
            <v>21.636148211535168</v>
          </cell>
          <cell r="AG2144">
            <v>20.469360058004284</v>
          </cell>
          <cell r="AH2144">
            <v>17.881583490985356</v>
          </cell>
          <cell r="AI2144">
            <v>15.547864889645153</v>
          </cell>
          <cell r="AJ2144">
            <v>20.215302092325562</v>
          </cell>
          <cell r="AU2144">
            <v>14.90577257702804</v>
          </cell>
          <cell r="AV2144">
            <v>14.263722316306255</v>
          </cell>
          <cell r="AW2144">
            <v>12.105561258724364</v>
          </cell>
          <cell r="AX2144">
            <v>10.242049449424412</v>
          </cell>
          <cell r="AY2144">
            <v>13.969073068024317</v>
          </cell>
        </row>
        <row r="2145">
          <cell r="A2145">
            <v>42541</v>
          </cell>
          <cell r="AF2145">
            <v>21.673800444976894</v>
          </cell>
          <cell r="AG2145">
            <v>20.469360058004284</v>
          </cell>
          <cell r="AH2145">
            <v>17.881583490985356</v>
          </cell>
          <cell r="AI2145">
            <v>15.547864889645153</v>
          </cell>
          <cell r="AJ2145">
            <v>20.215302092325562</v>
          </cell>
          <cell r="AU2145">
            <v>14.930315449186176</v>
          </cell>
          <cell r="AV2145">
            <v>14.263722316306255</v>
          </cell>
          <cell r="AW2145">
            <v>12.105561258724364</v>
          </cell>
          <cell r="AX2145">
            <v>10.242049449424412</v>
          </cell>
          <cell r="AY2145">
            <v>13.969073068024317</v>
          </cell>
        </row>
        <row r="2146">
          <cell r="A2146">
            <v>42542</v>
          </cell>
          <cell r="AF2146">
            <v>21.701178846482971</v>
          </cell>
          <cell r="AG2146">
            <v>20.469360058004284</v>
          </cell>
          <cell r="AH2146">
            <v>17.881583490985356</v>
          </cell>
          <cell r="AI2146">
            <v>15.547864889645153</v>
          </cell>
          <cell r="AJ2146">
            <v>20.215302092325562</v>
          </cell>
          <cell r="AU2146">
            <v>14.948159091678546</v>
          </cell>
          <cell r="AV2146">
            <v>14.263722316306255</v>
          </cell>
          <cell r="AW2146">
            <v>12.105561258724364</v>
          </cell>
          <cell r="AX2146">
            <v>10.242049449424412</v>
          </cell>
          <cell r="AY2146">
            <v>13.969073068024317</v>
          </cell>
        </row>
        <row r="2147">
          <cell r="A2147">
            <v>42543</v>
          </cell>
          <cell r="AF2147">
            <v>21.725141879171659</v>
          </cell>
          <cell r="AG2147">
            <v>20.469360058004284</v>
          </cell>
          <cell r="AH2147">
            <v>17.881583490985356</v>
          </cell>
          <cell r="AI2147">
            <v>15.547864889645153</v>
          </cell>
          <cell r="AJ2147">
            <v>20.215302092325562</v>
          </cell>
          <cell r="AU2147">
            <v>14.963776796321932</v>
          </cell>
          <cell r="AV2147">
            <v>14.263722316306255</v>
          </cell>
          <cell r="AW2147">
            <v>12.105561258724364</v>
          </cell>
          <cell r="AX2147">
            <v>10.242049449424412</v>
          </cell>
          <cell r="AY2147">
            <v>13.969073068024317</v>
          </cell>
        </row>
        <row r="2148">
          <cell r="A2148">
            <v>42544</v>
          </cell>
          <cell r="AF2148">
            <v>21.97843813109704</v>
          </cell>
          <cell r="AG2148">
            <v>20.469360058004284</v>
          </cell>
          <cell r="AH2148">
            <v>17.881583490985356</v>
          </cell>
          <cell r="AI2148">
            <v>15.547864889645153</v>
          </cell>
          <cell r="AJ2148">
            <v>20.215302092325562</v>
          </cell>
          <cell r="AU2148">
            <v>15.128860494251148</v>
          </cell>
          <cell r="AV2148">
            <v>14.263722316306255</v>
          </cell>
          <cell r="AW2148">
            <v>12.105561258724364</v>
          </cell>
          <cell r="AX2148">
            <v>10.242049449424412</v>
          </cell>
          <cell r="AY2148">
            <v>13.969073068024317</v>
          </cell>
        </row>
        <row r="2149">
          <cell r="A2149">
            <v>42545</v>
          </cell>
          <cell r="AF2149">
            <v>20.982373438302243</v>
          </cell>
          <cell r="AG2149">
            <v>20.469360058004284</v>
          </cell>
          <cell r="AH2149">
            <v>17.881583490985356</v>
          </cell>
          <cell r="AI2149">
            <v>15.547864889645153</v>
          </cell>
          <cell r="AJ2149">
            <v>20.215302092325562</v>
          </cell>
          <cell r="AU2149">
            <v>14.479683723519718</v>
          </cell>
          <cell r="AV2149">
            <v>14.263722316306255</v>
          </cell>
          <cell r="AW2149">
            <v>12.105561258724364</v>
          </cell>
          <cell r="AX2149">
            <v>10.242049449424412</v>
          </cell>
          <cell r="AY2149">
            <v>13.969073068024317</v>
          </cell>
        </row>
        <row r="2150">
          <cell r="A2150">
            <v>42548</v>
          </cell>
          <cell r="AF2150">
            <v>20.30710423640534</v>
          </cell>
          <cell r="AG2150">
            <v>20.469360058004284</v>
          </cell>
          <cell r="AH2150">
            <v>17.881583490985356</v>
          </cell>
          <cell r="AI2150">
            <v>15.547864889645153</v>
          </cell>
          <cell r="AJ2150">
            <v>20.215302092325562</v>
          </cell>
          <cell r="AU2150">
            <v>14.17855469401122</v>
          </cell>
          <cell r="AV2150">
            <v>14.263722316306255</v>
          </cell>
          <cell r="AW2150">
            <v>12.105561258724364</v>
          </cell>
          <cell r="AX2150">
            <v>10.242049449424412</v>
          </cell>
          <cell r="AY2150">
            <v>13.969073068024317</v>
          </cell>
        </row>
        <row r="2151">
          <cell r="A2151">
            <v>42549</v>
          </cell>
          <cell r="AF2151">
            <v>20.714205222853018</v>
          </cell>
          <cell r="AG2151">
            <v>20.469360058004284</v>
          </cell>
          <cell r="AH2151">
            <v>17.881583490985356</v>
          </cell>
          <cell r="AI2151">
            <v>15.547864889645153</v>
          </cell>
          <cell r="AJ2151">
            <v>20.215302092325562</v>
          </cell>
          <cell r="AU2151">
            <v>14.44651415421189</v>
          </cell>
          <cell r="AV2151">
            <v>14.263722316306255</v>
          </cell>
          <cell r="AW2151">
            <v>12.105561258724364</v>
          </cell>
          <cell r="AX2151">
            <v>10.242049449424412</v>
          </cell>
          <cell r="AY2151">
            <v>13.969073068024317</v>
          </cell>
        </row>
        <row r="2152">
          <cell r="A2152">
            <v>42550</v>
          </cell>
          <cell r="AF2152">
            <v>21.01556060865105</v>
          </cell>
          <cell r="AG2152">
            <v>20.469360058004284</v>
          </cell>
          <cell r="AH2152">
            <v>17.881583490985356</v>
          </cell>
          <cell r="AI2152">
            <v>15.547864889645153</v>
          </cell>
          <cell r="AJ2152">
            <v>20.215302092325562</v>
          </cell>
          <cell r="AU2152">
            <v>14.640256563146371</v>
          </cell>
          <cell r="AV2152">
            <v>14.263722316306255</v>
          </cell>
          <cell r="AW2152">
            <v>12.105561258724364</v>
          </cell>
          <cell r="AX2152">
            <v>10.242049449424412</v>
          </cell>
          <cell r="AY2152">
            <v>13.969073068024317</v>
          </cell>
        </row>
        <row r="2153">
          <cell r="A2153">
            <v>42551</v>
          </cell>
          <cell r="AF2153">
            <v>21.213880663361259</v>
          </cell>
          <cell r="AG2153">
            <v>20.469360058004284</v>
          </cell>
          <cell r="AH2153">
            <v>17.881583490985356</v>
          </cell>
          <cell r="AI2153">
            <v>15.547864889645153</v>
          </cell>
          <cell r="AJ2153">
            <v>20.215302092325562</v>
          </cell>
          <cell r="AU2153">
            <v>14.770755848597512</v>
          </cell>
          <cell r="AV2153">
            <v>14.263722316306255</v>
          </cell>
          <cell r="AW2153">
            <v>12.105561258724364</v>
          </cell>
          <cell r="AX2153">
            <v>10.242049449424412</v>
          </cell>
          <cell r="AY2153">
            <v>13.969073068024317</v>
          </cell>
        </row>
        <row r="2154">
          <cell r="A2154">
            <v>42552</v>
          </cell>
          <cell r="AF2154">
            <v>21.105562346569393</v>
          </cell>
          <cell r="AG2154">
            <v>20.469360058004284</v>
          </cell>
          <cell r="AH2154">
            <v>17.881583490985356</v>
          </cell>
          <cell r="AI2154">
            <v>15.547864889645153</v>
          </cell>
          <cell r="AJ2154">
            <v>20.215302092325562</v>
          </cell>
          <cell r="AU2154">
            <v>14.664427577175806</v>
          </cell>
          <cell r="AV2154">
            <v>14.263722316306255</v>
          </cell>
          <cell r="AW2154">
            <v>12.105561258724364</v>
          </cell>
          <cell r="AX2154">
            <v>10.242049449424412</v>
          </cell>
          <cell r="AY2154">
            <v>13.969073068024317</v>
          </cell>
        </row>
        <row r="2155">
          <cell r="A2155">
            <v>42555</v>
          </cell>
          <cell r="AF2155">
            <v>21.105562346569393</v>
          </cell>
          <cell r="AG2155">
            <v>20.469360058004284</v>
          </cell>
          <cell r="AH2155">
            <v>17.881583490985356</v>
          </cell>
          <cell r="AI2155">
            <v>15.547864889645153</v>
          </cell>
          <cell r="AJ2155">
            <v>20.215302092325562</v>
          </cell>
          <cell r="AU2155">
            <v>14.664430913200572</v>
          </cell>
          <cell r="AV2155">
            <v>14.263722316306255</v>
          </cell>
          <cell r="AW2155">
            <v>12.105561258724364</v>
          </cell>
          <cell r="AX2155">
            <v>10.242049449424412</v>
          </cell>
          <cell r="AY2155">
            <v>13.969073068024317</v>
          </cell>
        </row>
        <row r="2156">
          <cell r="A2156">
            <v>42556</v>
          </cell>
          <cell r="AF2156">
            <v>21.044609836622719</v>
          </cell>
          <cell r="AG2156">
            <v>20.469360058004284</v>
          </cell>
          <cell r="AH2156">
            <v>17.881583490985356</v>
          </cell>
          <cell r="AI2156">
            <v>15.547864889645153</v>
          </cell>
          <cell r="AJ2156">
            <v>20.215302092325562</v>
          </cell>
          <cell r="AU2156">
            <v>14.624396836764236</v>
          </cell>
          <cell r="AV2156">
            <v>14.263722316306255</v>
          </cell>
          <cell r="AW2156">
            <v>12.105561258724364</v>
          </cell>
          <cell r="AX2156">
            <v>10.242049449424412</v>
          </cell>
          <cell r="AY2156">
            <v>13.969073068024317</v>
          </cell>
        </row>
        <row r="2157">
          <cell r="A2157">
            <v>42557</v>
          </cell>
          <cell r="AF2157">
            <v>21.244393803438957</v>
          </cell>
          <cell r="AG2157">
            <v>20.469360058004284</v>
          </cell>
          <cell r="AH2157">
            <v>17.881583490985356</v>
          </cell>
          <cell r="AI2157">
            <v>15.547864889645153</v>
          </cell>
          <cell r="AJ2157">
            <v>20.215302092325562</v>
          </cell>
          <cell r="AU2157">
            <v>14.75561647981541</v>
          </cell>
          <cell r="AV2157">
            <v>14.263722316306255</v>
          </cell>
          <cell r="AW2157">
            <v>12.105561258724364</v>
          </cell>
          <cell r="AX2157">
            <v>10.242049449424412</v>
          </cell>
          <cell r="AY2157">
            <v>13.969073068024317</v>
          </cell>
        </row>
        <row r="2158">
          <cell r="A2158">
            <v>42558</v>
          </cell>
          <cell r="AF2158">
            <v>21.163125370356752</v>
          </cell>
          <cell r="AG2158">
            <v>20.469360058004284</v>
          </cell>
          <cell r="AH2158">
            <v>17.881583490985356</v>
          </cell>
          <cell r="AI2158">
            <v>15.547864889645153</v>
          </cell>
          <cell r="AJ2158">
            <v>20.215302092325562</v>
          </cell>
          <cell r="AU2158">
            <v>14.702238749108</v>
          </cell>
          <cell r="AV2158">
            <v>14.263722316306255</v>
          </cell>
          <cell r="AW2158">
            <v>12.105561258724364</v>
          </cell>
          <cell r="AX2158">
            <v>10.242049449424412</v>
          </cell>
          <cell r="AY2158">
            <v>13.969073068024317</v>
          </cell>
        </row>
        <row r="2159">
          <cell r="A2159">
            <v>42559</v>
          </cell>
          <cell r="AF2159">
            <v>21.464488275630632</v>
          </cell>
          <cell r="AG2159">
            <v>20.469360058004284</v>
          </cell>
          <cell r="AH2159">
            <v>17.881583490985356</v>
          </cell>
          <cell r="AI2159">
            <v>15.547864889645153</v>
          </cell>
          <cell r="AJ2159">
            <v>20.215302092325562</v>
          </cell>
          <cell r="AU2159">
            <v>14.900176218711241</v>
          </cell>
          <cell r="AV2159">
            <v>14.263722316306255</v>
          </cell>
          <cell r="AW2159">
            <v>12.105561258724364</v>
          </cell>
          <cell r="AX2159">
            <v>10.242049449424412</v>
          </cell>
          <cell r="AY2159">
            <v>13.969073068024317</v>
          </cell>
        </row>
        <row r="2160">
          <cell r="A2160">
            <v>42562</v>
          </cell>
          <cell r="AF2160">
            <v>21.60363879266362</v>
          </cell>
          <cell r="AG2160">
            <v>20.469360058004284</v>
          </cell>
          <cell r="AH2160">
            <v>17.881583490985356</v>
          </cell>
          <cell r="AI2160">
            <v>15.547864889645153</v>
          </cell>
          <cell r="AJ2160">
            <v>20.215302092325562</v>
          </cell>
          <cell r="AU2160">
            <v>15.052969353026509</v>
          </cell>
          <cell r="AV2160">
            <v>14.263722316306255</v>
          </cell>
          <cell r="AW2160">
            <v>12.105561258724364</v>
          </cell>
          <cell r="AX2160">
            <v>10.242049449424412</v>
          </cell>
          <cell r="AY2160">
            <v>13.969073068024317</v>
          </cell>
        </row>
        <row r="2161">
          <cell r="A2161">
            <v>42563</v>
          </cell>
          <cell r="AF2161">
            <v>21.397583888828201</v>
          </cell>
          <cell r="AG2161">
            <v>20.469360058004284</v>
          </cell>
          <cell r="AH2161">
            <v>17.881583490985356</v>
          </cell>
          <cell r="AI2161">
            <v>15.547864889645153</v>
          </cell>
          <cell r="AJ2161">
            <v>20.215302092325562</v>
          </cell>
          <cell r="AU2161">
            <v>14.91662524351605</v>
          </cell>
          <cell r="AV2161">
            <v>14.263722316306255</v>
          </cell>
          <cell r="AW2161">
            <v>12.105561258724364</v>
          </cell>
          <cell r="AX2161">
            <v>10.242049449424412</v>
          </cell>
          <cell r="AY2161">
            <v>13.969073068024317</v>
          </cell>
        </row>
        <row r="2162">
          <cell r="A2162">
            <v>42564</v>
          </cell>
          <cell r="AF2162">
            <v>21.346739125524614</v>
          </cell>
          <cell r="AG2162">
            <v>20.469360058004284</v>
          </cell>
          <cell r="AH2162">
            <v>17.881583490985356</v>
          </cell>
          <cell r="AI2162">
            <v>15.547864889645153</v>
          </cell>
          <cell r="AJ2162">
            <v>20.215302092325562</v>
          </cell>
          <cell r="AU2162">
            <v>14.883096046803987</v>
          </cell>
          <cell r="AV2162">
            <v>14.263722316306255</v>
          </cell>
          <cell r="AW2162">
            <v>12.105561258724364</v>
          </cell>
          <cell r="AX2162">
            <v>10.242049449424412</v>
          </cell>
          <cell r="AY2162">
            <v>13.969073068024317</v>
          </cell>
        </row>
        <row r="2163">
          <cell r="A2163">
            <v>42565</v>
          </cell>
          <cell r="AF2163">
            <v>21.441643317141391</v>
          </cell>
          <cell r="AG2163">
            <v>20.469360058004284</v>
          </cell>
          <cell r="AH2163">
            <v>17.881583490985356</v>
          </cell>
          <cell r="AI2163">
            <v>15.547864889645153</v>
          </cell>
          <cell r="AJ2163">
            <v>20.215302092325562</v>
          </cell>
          <cell r="AU2163">
            <v>14.945679902107207</v>
          </cell>
          <cell r="AV2163">
            <v>14.263722316306255</v>
          </cell>
          <cell r="AW2163">
            <v>12.105561258724364</v>
          </cell>
          <cell r="AX2163">
            <v>10.242049449424412</v>
          </cell>
          <cell r="AY2163">
            <v>13.969073068024317</v>
          </cell>
        </row>
        <row r="2164">
          <cell r="A2164">
            <v>42566</v>
          </cell>
          <cell r="AF2164">
            <v>21.339963958876776</v>
          </cell>
          <cell r="AG2164">
            <v>20.469360058004284</v>
          </cell>
          <cell r="AH2164">
            <v>17.881583490985356</v>
          </cell>
          <cell r="AI2164">
            <v>15.547864889645153</v>
          </cell>
          <cell r="AJ2164">
            <v>20.215302092325562</v>
          </cell>
          <cell r="AU2164">
            <v>14.878628214120097</v>
          </cell>
          <cell r="AV2164">
            <v>14.263722316306255</v>
          </cell>
          <cell r="AW2164">
            <v>12.105561258724364</v>
          </cell>
          <cell r="AX2164">
            <v>10.242049449424412</v>
          </cell>
          <cell r="AY2164">
            <v>13.969073068024317</v>
          </cell>
        </row>
        <row r="2165">
          <cell r="A2165">
            <v>42569</v>
          </cell>
          <cell r="AF2165">
            <v>21.276447191770568</v>
          </cell>
          <cell r="AG2165">
            <v>20.469360058004284</v>
          </cell>
          <cell r="AH2165">
            <v>17.881583490985356</v>
          </cell>
          <cell r="AI2165">
            <v>15.547864889645153</v>
          </cell>
          <cell r="AJ2165">
            <v>20.215302092325562</v>
          </cell>
          <cell r="AU2165">
            <v>14.836159999321751</v>
          </cell>
          <cell r="AV2165">
            <v>14.263722316306255</v>
          </cell>
          <cell r="AW2165">
            <v>12.105561258724364</v>
          </cell>
          <cell r="AX2165">
            <v>10.242049449424412</v>
          </cell>
          <cell r="AY2165">
            <v>13.969073068024317</v>
          </cell>
        </row>
        <row r="2166">
          <cell r="A2166">
            <v>42570</v>
          </cell>
          <cell r="AF2166">
            <v>21.290003172091751</v>
          </cell>
          <cell r="AG2166">
            <v>20.469360058004284</v>
          </cell>
          <cell r="AH2166">
            <v>17.881583490985356</v>
          </cell>
          <cell r="AI2166">
            <v>15.547864889645153</v>
          </cell>
          <cell r="AJ2166">
            <v>20.215302092325562</v>
          </cell>
          <cell r="AU2166">
            <v>14.901480213500097</v>
          </cell>
          <cell r="AV2166">
            <v>14.263722316306255</v>
          </cell>
          <cell r="AW2166">
            <v>12.105561258724364</v>
          </cell>
          <cell r="AX2166">
            <v>10.242049449424412</v>
          </cell>
          <cell r="AY2166">
            <v>13.969073068024317</v>
          </cell>
        </row>
        <row r="2167">
          <cell r="A2167">
            <v>42571</v>
          </cell>
          <cell r="AF2167">
            <v>21.432365201020204</v>
          </cell>
          <cell r="AG2167">
            <v>20.469360058004284</v>
          </cell>
          <cell r="AH2167">
            <v>17.881583490985356</v>
          </cell>
          <cell r="AI2167">
            <v>15.547864889645153</v>
          </cell>
          <cell r="AJ2167">
            <v>20.215302092325562</v>
          </cell>
          <cell r="AU2167">
            <v>14.9957124213984</v>
          </cell>
          <cell r="AV2167">
            <v>14.263722316306255</v>
          </cell>
          <cell r="AW2167">
            <v>12.105561258724364</v>
          </cell>
          <cell r="AX2167">
            <v>10.242049449424412</v>
          </cell>
          <cell r="AY2167">
            <v>13.969073068024317</v>
          </cell>
        </row>
        <row r="2168">
          <cell r="A2168">
            <v>42572</v>
          </cell>
          <cell r="AF2168">
            <v>21.182255552417999</v>
          </cell>
          <cell r="AG2168">
            <v>20.469360058004284</v>
          </cell>
          <cell r="AH2168">
            <v>17.881583490985356</v>
          </cell>
          <cell r="AI2168">
            <v>15.547864889645153</v>
          </cell>
          <cell r="AJ2168">
            <v>20.215302092325562</v>
          </cell>
          <cell r="AU2168">
            <v>14.830294953471606</v>
          </cell>
          <cell r="AV2168">
            <v>14.263722316306255</v>
          </cell>
          <cell r="AW2168">
            <v>12.105561258724364</v>
          </cell>
          <cell r="AX2168">
            <v>10.242049449424412</v>
          </cell>
          <cell r="AY2168">
            <v>13.969073068024317</v>
          </cell>
        </row>
        <row r="2169">
          <cell r="A2169">
            <v>42573</v>
          </cell>
          <cell r="AF2169">
            <v>21.270414015260616</v>
          </cell>
          <cell r="AG2169">
            <v>20.469360058004284</v>
          </cell>
          <cell r="AH2169">
            <v>17.881583490985356</v>
          </cell>
          <cell r="AI2169">
            <v>15.547864889645153</v>
          </cell>
          <cell r="AJ2169">
            <v>20.215302092325562</v>
          </cell>
          <cell r="AU2169">
            <v>14.888648165991315</v>
          </cell>
          <cell r="AV2169">
            <v>14.263722316306255</v>
          </cell>
          <cell r="AW2169">
            <v>12.105561258724364</v>
          </cell>
          <cell r="AX2169">
            <v>10.242049449424412</v>
          </cell>
          <cell r="AY2169">
            <v>13.969073068024317</v>
          </cell>
        </row>
        <row r="2170">
          <cell r="A2170">
            <v>42576</v>
          </cell>
          <cell r="AF2170">
            <v>21.175472280307233</v>
          </cell>
          <cell r="AG2170">
            <v>20.469360058004284</v>
          </cell>
          <cell r="AH2170">
            <v>17.881583490985356</v>
          </cell>
          <cell r="AI2170">
            <v>15.547864889645153</v>
          </cell>
          <cell r="AJ2170">
            <v>20.215302092325562</v>
          </cell>
          <cell r="AU2170">
            <v>14.825805019025211</v>
          </cell>
          <cell r="AV2170">
            <v>14.263722316306255</v>
          </cell>
          <cell r="AW2170">
            <v>12.105561258724364</v>
          </cell>
          <cell r="AX2170">
            <v>10.242049449424412</v>
          </cell>
          <cell r="AY2170">
            <v>13.969073068024317</v>
          </cell>
        </row>
        <row r="2171">
          <cell r="A2171">
            <v>42577</v>
          </cell>
          <cell r="AF2171">
            <v>21.385704888388631</v>
          </cell>
          <cell r="AG2171">
            <v>20.469360058004284</v>
          </cell>
          <cell r="AH2171">
            <v>17.881583490985356</v>
          </cell>
          <cell r="AI2171">
            <v>15.547864889645153</v>
          </cell>
          <cell r="AJ2171">
            <v>20.215302092325562</v>
          </cell>
          <cell r="AU2171">
            <v>14.964960667415388</v>
          </cell>
          <cell r="AV2171">
            <v>14.263722316306255</v>
          </cell>
          <cell r="AW2171">
            <v>12.105561258724364</v>
          </cell>
          <cell r="AX2171">
            <v>10.242049449424412</v>
          </cell>
          <cell r="AY2171">
            <v>13.969073068024317</v>
          </cell>
        </row>
        <row r="2172">
          <cell r="A2172">
            <v>42578</v>
          </cell>
          <cell r="AF2172">
            <v>21.222943317323342</v>
          </cell>
          <cell r="AG2172">
            <v>20.469360058004284</v>
          </cell>
          <cell r="AH2172">
            <v>17.881583490985356</v>
          </cell>
          <cell r="AI2172">
            <v>15.547864889645153</v>
          </cell>
          <cell r="AJ2172">
            <v>20.215302092325562</v>
          </cell>
          <cell r="AU2172">
            <v>14.857226704728564</v>
          </cell>
          <cell r="AV2172">
            <v>14.263722316306255</v>
          </cell>
          <cell r="AW2172">
            <v>12.105561258724364</v>
          </cell>
          <cell r="AX2172">
            <v>10.242049449424412</v>
          </cell>
          <cell r="AY2172">
            <v>13.969073068024317</v>
          </cell>
        </row>
        <row r="2173">
          <cell r="A2173">
            <v>42579</v>
          </cell>
          <cell r="AF2173">
            <v>21.395876914384676</v>
          </cell>
          <cell r="AG2173">
            <v>20.469360058004284</v>
          </cell>
          <cell r="AH2173">
            <v>17.881583490985356</v>
          </cell>
          <cell r="AI2173">
            <v>15.547864889645153</v>
          </cell>
          <cell r="AJ2173">
            <v>20.215302092325562</v>
          </cell>
          <cell r="AU2173">
            <v>14.97169366133978</v>
          </cell>
          <cell r="AV2173">
            <v>14.263722316306255</v>
          </cell>
          <cell r="AW2173">
            <v>12.105561258724364</v>
          </cell>
          <cell r="AX2173">
            <v>10.242049449424412</v>
          </cell>
          <cell r="AY2173">
            <v>13.969073068024317</v>
          </cell>
        </row>
        <row r="2174">
          <cell r="A2174">
            <v>42580</v>
          </cell>
          <cell r="AF2174">
            <v>21.714606612039407</v>
          </cell>
          <cell r="AG2174">
            <v>20.469360058004284</v>
          </cell>
          <cell r="AH2174">
            <v>17.881583490985356</v>
          </cell>
          <cell r="AI2174">
            <v>15.547864889645153</v>
          </cell>
          <cell r="AJ2174">
            <v>20.215302092325562</v>
          </cell>
          <cell r="AU2174">
            <v>15.182664919048657</v>
          </cell>
          <cell r="AV2174">
            <v>14.263722316306255</v>
          </cell>
          <cell r="AW2174">
            <v>12.105561258724364</v>
          </cell>
          <cell r="AX2174">
            <v>10.242049449424412</v>
          </cell>
          <cell r="AY2174">
            <v>13.969073068024317</v>
          </cell>
        </row>
        <row r="2175">
          <cell r="A2175">
            <v>42583</v>
          </cell>
          <cell r="AF2175">
            <v>21.571086748935016</v>
          </cell>
          <cell r="AG2175">
            <v>20.469360058004284</v>
          </cell>
          <cell r="AH2175">
            <v>17.881583490985356</v>
          </cell>
          <cell r="AI2175">
            <v>15.547864889645153</v>
          </cell>
          <cell r="AJ2175">
            <v>20.215302092325562</v>
          </cell>
          <cell r="AU2175">
            <v>15.047229946647624</v>
          </cell>
          <cell r="AV2175">
            <v>14.263722316306255</v>
          </cell>
          <cell r="AW2175">
            <v>12.105561258724364</v>
          </cell>
          <cell r="AX2175">
            <v>10.242049449424412</v>
          </cell>
          <cell r="AY2175">
            <v>13.969073068024317</v>
          </cell>
        </row>
        <row r="2176">
          <cell r="A2176">
            <v>42584</v>
          </cell>
          <cell r="AF2176">
            <v>21.701952156989574</v>
          </cell>
          <cell r="AG2176">
            <v>20.469360058004284</v>
          </cell>
          <cell r="AH2176">
            <v>17.881583490985356</v>
          </cell>
          <cell r="AI2176">
            <v>15.547864889645153</v>
          </cell>
          <cell r="AJ2176">
            <v>20.215302092325562</v>
          </cell>
          <cell r="AU2176">
            <v>15.047229946647624</v>
          </cell>
          <cell r="AV2176">
            <v>14.263722316306255</v>
          </cell>
          <cell r="AW2176">
            <v>12.105561258724364</v>
          </cell>
          <cell r="AX2176">
            <v>10.242049449424412</v>
          </cell>
          <cell r="AY2176">
            <v>13.969073068024317</v>
          </cell>
        </row>
        <row r="2177">
          <cell r="A2177">
            <v>42585</v>
          </cell>
          <cell r="AF2177">
            <v>21.873202137401982</v>
          </cell>
          <cell r="AG2177">
            <v>20.469360058004284</v>
          </cell>
          <cell r="AH2177">
            <v>17.881583490985356</v>
          </cell>
          <cell r="AI2177">
            <v>15.547864889645153</v>
          </cell>
          <cell r="AJ2177">
            <v>20.215302092325562</v>
          </cell>
          <cell r="AU2177">
            <v>15.047229946647624</v>
          </cell>
          <cell r="AV2177">
            <v>14.263722316306255</v>
          </cell>
          <cell r="AW2177">
            <v>12.105561258724364</v>
          </cell>
          <cell r="AX2177">
            <v>10.242049449424412</v>
          </cell>
          <cell r="AY2177">
            <v>13.969073068024317</v>
          </cell>
        </row>
        <row r="2178">
          <cell r="A2178">
            <v>42586</v>
          </cell>
          <cell r="AF2178">
            <v>21.386311172102221</v>
          </cell>
          <cell r="AG2178">
            <v>20.469360058004284</v>
          </cell>
          <cell r="AH2178">
            <v>17.881583490985356</v>
          </cell>
          <cell r="AI2178">
            <v>15.547864889645153</v>
          </cell>
          <cell r="AJ2178">
            <v>20.215302092325562</v>
          </cell>
          <cell r="AU2178">
            <v>15.047229946647624</v>
          </cell>
          <cell r="AV2178">
            <v>14.263722316306255</v>
          </cell>
          <cell r="AW2178">
            <v>12.105561258724364</v>
          </cell>
          <cell r="AX2178">
            <v>10.242049449424412</v>
          </cell>
          <cell r="AY2178">
            <v>13.969073068024317</v>
          </cell>
        </row>
        <row r="2179">
          <cell r="A2179">
            <v>42587</v>
          </cell>
          <cell r="AF2179">
            <v>20.817290763694455</v>
          </cell>
          <cell r="AG2179">
            <v>20.469360058004284</v>
          </cell>
          <cell r="AH2179">
            <v>17.881583490985356</v>
          </cell>
          <cell r="AI2179">
            <v>15.547864889645153</v>
          </cell>
          <cell r="AJ2179">
            <v>20.215302092325562</v>
          </cell>
          <cell r="AU2179">
            <v>15.088190147685246</v>
          </cell>
          <cell r="AV2179">
            <v>14.263722316306255</v>
          </cell>
          <cell r="AW2179">
            <v>12.105561258724364</v>
          </cell>
          <cell r="AX2179">
            <v>10.242049449424412</v>
          </cell>
          <cell r="AY2179">
            <v>13.969073068024317</v>
          </cell>
        </row>
        <row r="2180">
          <cell r="A2180">
            <v>42590</v>
          </cell>
          <cell r="AF2180">
            <v>20.449621060763281</v>
          </cell>
          <cell r="AG2180">
            <v>20.469360058004284</v>
          </cell>
          <cell r="AH2180">
            <v>17.881583490985356</v>
          </cell>
          <cell r="AI2180">
            <v>15.547864889645153</v>
          </cell>
          <cell r="AJ2180">
            <v>20.215302092325562</v>
          </cell>
          <cell r="AU2180">
            <v>14.398615887287843</v>
          </cell>
          <cell r="AV2180">
            <v>14.263722316306255</v>
          </cell>
          <cell r="AW2180">
            <v>12.105561258724364</v>
          </cell>
          <cell r="AX2180">
            <v>10.242049449424412</v>
          </cell>
          <cell r="AY2180">
            <v>13.969073068024317</v>
          </cell>
        </row>
        <row r="2181">
          <cell r="A2181">
            <v>42591</v>
          </cell>
          <cell r="AF2181">
            <v>20.526856500060816</v>
          </cell>
          <cell r="AG2181">
            <v>20.469360058004284</v>
          </cell>
          <cell r="AH2181">
            <v>17.881583490985356</v>
          </cell>
          <cell r="AI2181">
            <v>15.547864889645153</v>
          </cell>
          <cell r="AJ2181">
            <v>20.215302092325562</v>
          </cell>
          <cell r="AU2181">
            <v>14.449901317265143</v>
          </cell>
          <cell r="AV2181">
            <v>14.263722316306255</v>
          </cell>
          <cell r="AW2181">
            <v>12.105561258724364</v>
          </cell>
          <cell r="AX2181">
            <v>10.242049449424412</v>
          </cell>
          <cell r="AY2181">
            <v>13.969073068024317</v>
          </cell>
        </row>
        <row r="2182">
          <cell r="A2182">
            <v>42592</v>
          </cell>
          <cell r="AF2182">
            <v>20.570505867935776</v>
          </cell>
          <cell r="AG2182">
            <v>20.469360058004284</v>
          </cell>
          <cell r="AH2182">
            <v>17.881583490985356</v>
          </cell>
          <cell r="AI2182">
            <v>15.547864889645153</v>
          </cell>
          <cell r="AJ2182">
            <v>20.215302092325562</v>
          </cell>
          <cell r="AU2182">
            <v>14.478885118225747</v>
          </cell>
          <cell r="AV2182">
            <v>14.263722316306255</v>
          </cell>
          <cell r="AW2182">
            <v>12.105561258724364</v>
          </cell>
          <cell r="AX2182">
            <v>10.242049449424412</v>
          </cell>
          <cell r="AY2182">
            <v>13.969073068024317</v>
          </cell>
        </row>
        <row r="2183">
          <cell r="A2183">
            <v>42593</v>
          </cell>
          <cell r="AF2183">
            <v>20.672948519517544</v>
          </cell>
          <cell r="AG2183">
            <v>20.469360058004284</v>
          </cell>
          <cell r="AH2183">
            <v>17.881583490985356</v>
          </cell>
          <cell r="AI2183">
            <v>15.547864889645153</v>
          </cell>
          <cell r="AJ2183">
            <v>20.215302092325562</v>
          </cell>
          <cell r="AU2183">
            <v>14.519021405965697</v>
          </cell>
          <cell r="AV2183">
            <v>14.263722316306255</v>
          </cell>
          <cell r="AW2183">
            <v>12.105561258724364</v>
          </cell>
          <cell r="AX2183">
            <v>10.242049449424412</v>
          </cell>
          <cell r="AY2183">
            <v>13.969073068024317</v>
          </cell>
        </row>
        <row r="2184">
          <cell r="A2184">
            <v>42594</v>
          </cell>
          <cell r="AF2184">
            <v>20.531630215345256</v>
          </cell>
          <cell r="AG2184">
            <v>20.469360058004284</v>
          </cell>
          <cell r="AH2184">
            <v>17.881583490985356</v>
          </cell>
          <cell r="AI2184">
            <v>15.547864889645153</v>
          </cell>
          <cell r="AJ2184">
            <v>20.215302092325562</v>
          </cell>
          <cell r="AU2184">
            <v>14.425374675941454</v>
          </cell>
          <cell r="AV2184">
            <v>14.263722316306255</v>
          </cell>
          <cell r="AW2184">
            <v>12.105561258724364</v>
          </cell>
          <cell r="AX2184">
            <v>10.242049449424412</v>
          </cell>
          <cell r="AY2184">
            <v>13.969073068024317</v>
          </cell>
        </row>
        <row r="2185">
          <cell r="A2185">
            <v>42597</v>
          </cell>
          <cell r="AF2185">
            <v>20.509905776212982</v>
          </cell>
          <cell r="AG2185">
            <v>20.469360058004284</v>
          </cell>
          <cell r="AH2185">
            <v>17.881583490985356</v>
          </cell>
          <cell r="AI2185">
            <v>15.547864889645153</v>
          </cell>
          <cell r="AJ2185">
            <v>20.215302092325562</v>
          </cell>
          <cell r="AU2185">
            <v>14.458642044938694</v>
          </cell>
          <cell r="AV2185">
            <v>14.263722316306255</v>
          </cell>
          <cell r="AW2185">
            <v>12.105561258724364</v>
          </cell>
          <cell r="AX2185">
            <v>10.242049449424412</v>
          </cell>
          <cell r="AY2185">
            <v>13.969073068024317</v>
          </cell>
        </row>
        <row r="2186">
          <cell r="A2186">
            <v>42598</v>
          </cell>
          <cell r="AF2186">
            <v>20.22812221929431</v>
          </cell>
          <cell r="AG2186">
            <v>20.469360058004284</v>
          </cell>
          <cell r="AH2186">
            <v>17.881583490985356</v>
          </cell>
          <cell r="AI2186">
            <v>15.547864889645153</v>
          </cell>
          <cell r="AJ2186">
            <v>20.215302092325562</v>
          </cell>
          <cell r="AU2186">
            <v>14.261823177892698</v>
          </cell>
          <cell r="AV2186">
            <v>14.263722316306255</v>
          </cell>
          <cell r="AW2186">
            <v>12.105561258724364</v>
          </cell>
          <cell r="AX2186">
            <v>10.242049449424412</v>
          </cell>
          <cell r="AY2186">
            <v>13.969073068024317</v>
          </cell>
        </row>
        <row r="2187">
          <cell r="A2187">
            <v>42599</v>
          </cell>
          <cell r="AF2187">
            <v>20.103570639094901</v>
          </cell>
          <cell r="AG2187">
            <v>20.469360058004284</v>
          </cell>
          <cell r="AH2187">
            <v>17.881583490985356</v>
          </cell>
          <cell r="AI2187">
            <v>15.547864889645153</v>
          </cell>
          <cell r="AJ2187">
            <v>20.215302092325562</v>
          </cell>
          <cell r="AU2187">
            <v>14.179071379081686</v>
          </cell>
          <cell r="AV2187">
            <v>14.263722316306255</v>
          </cell>
          <cell r="AW2187">
            <v>12.105561258724364</v>
          </cell>
          <cell r="AX2187">
            <v>10.242049449424412</v>
          </cell>
          <cell r="AY2187">
            <v>13.969073068024317</v>
          </cell>
        </row>
        <row r="2188">
          <cell r="A2188">
            <v>42600</v>
          </cell>
          <cell r="AF2188">
            <v>20.201191110714163</v>
          </cell>
          <cell r="AG2188">
            <v>20.469360058004284</v>
          </cell>
          <cell r="AH2188">
            <v>17.881583490985356</v>
          </cell>
          <cell r="AI2188">
            <v>15.547864889645153</v>
          </cell>
          <cell r="AJ2188">
            <v>20.215302092325562</v>
          </cell>
          <cell r="AU2188">
            <v>14.243930207964786</v>
          </cell>
          <cell r="AV2188">
            <v>14.263722316306255</v>
          </cell>
          <cell r="AW2188">
            <v>12.105561258724364</v>
          </cell>
          <cell r="AX2188">
            <v>10.242049449424412</v>
          </cell>
          <cell r="AY2188">
            <v>13.969073068024317</v>
          </cell>
        </row>
        <row r="2189">
          <cell r="A2189">
            <v>42601</v>
          </cell>
          <cell r="AF2189">
            <v>20.454394143388111</v>
          </cell>
          <cell r="AG2189">
            <v>20.469360058004284</v>
          </cell>
          <cell r="AH2189">
            <v>17.881583490985356</v>
          </cell>
          <cell r="AI2189">
            <v>15.547864889645153</v>
          </cell>
          <cell r="AJ2189">
            <v>20.215302092325562</v>
          </cell>
          <cell r="AU2189">
            <v>14.421506311864674</v>
          </cell>
          <cell r="AV2189">
            <v>14.263722316306255</v>
          </cell>
          <cell r="AW2189">
            <v>12.105561258724364</v>
          </cell>
          <cell r="AX2189">
            <v>10.242049449424412</v>
          </cell>
          <cell r="AY2189">
            <v>13.969073068024317</v>
          </cell>
        </row>
        <row r="2190">
          <cell r="A2190">
            <v>42604</v>
          </cell>
          <cell r="AF2190">
            <v>20.352960328503585</v>
          </cell>
          <cell r="AG2190">
            <v>20.469360058004284</v>
          </cell>
          <cell r="AH2190">
            <v>17.881583490985356</v>
          </cell>
          <cell r="AI2190">
            <v>15.547864889645153</v>
          </cell>
          <cell r="AJ2190">
            <v>20.215302092325562</v>
          </cell>
          <cell r="AU2190">
            <v>14.354345755824284</v>
          </cell>
          <cell r="AV2190">
            <v>14.263722316306255</v>
          </cell>
          <cell r="AW2190">
            <v>12.105561258724364</v>
          </cell>
          <cell r="AX2190">
            <v>10.242049449424412</v>
          </cell>
          <cell r="AY2190">
            <v>13.969073068024317</v>
          </cell>
        </row>
        <row r="2191">
          <cell r="A2191">
            <v>42605</v>
          </cell>
          <cell r="AF2191">
            <v>20.265451353051436</v>
          </cell>
          <cell r="AG2191">
            <v>20.469360058004284</v>
          </cell>
          <cell r="AH2191">
            <v>17.881583490985356</v>
          </cell>
          <cell r="AI2191">
            <v>15.547864889645153</v>
          </cell>
          <cell r="AJ2191">
            <v>20.215302092325562</v>
          </cell>
          <cell r="AU2191">
            <v>14.296165647484411</v>
          </cell>
          <cell r="AV2191">
            <v>14.263722316306255</v>
          </cell>
          <cell r="AW2191">
            <v>12.105561258724364</v>
          </cell>
          <cell r="AX2191">
            <v>10.242049449424412</v>
          </cell>
          <cell r="AY2191">
            <v>13.969073068024317</v>
          </cell>
        </row>
        <row r="2192">
          <cell r="A2192">
            <v>42606</v>
          </cell>
          <cell r="AF2192">
            <v>20.184670600908539</v>
          </cell>
          <cell r="AG2192">
            <v>20.469360058004284</v>
          </cell>
          <cell r="AH2192">
            <v>17.881583490985356</v>
          </cell>
          <cell r="AI2192">
            <v>15.547864889645153</v>
          </cell>
          <cell r="AJ2192">
            <v>20.215302092325562</v>
          </cell>
          <cell r="AU2192">
            <v>14.242458780421154</v>
          </cell>
          <cell r="AV2192">
            <v>14.263722316306255</v>
          </cell>
          <cell r="AW2192">
            <v>12.105561258724364</v>
          </cell>
          <cell r="AX2192">
            <v>10.242049449424412</v>
          </cell>
          <cell r="AY2192">
            <v>13.969073068024317</v>
          </cell>
        </row>
        <row r="2193">
          <cell r="A2193">
            <v>42607</v>
          </cell>
          <cell r="AF2193">
            <v>20.457298949874144</v>
          </cell>
          <cell r="AG2193">
            <v>20.469360058004284</v>
          </cell>
          <cell r="AH2193">
            <v>17.881583490985356</v>
          </cell>
          <cell r="AI2193">
            <v>15.547864889645153</v>
          </cell>
          <cell r="AJ2193">
            <v>20.215302092325562</v>
          </cell>
          <cell r="AU2193">
            <v>14.423715009252369</v>
          </cell>
          <cell r="AV2193">
            <v>14.263722316306255</v>
          </cell>
          <cell r="AW2193">
            <v>12.105561258724364</v>
          </cell>
          <cell r="AX2193">
            <v>10.242049449424412</v>
          </cell>
          <cell r="AY2193">
            <v>13.969073068024317</v>
          </cell>
        </row>
        <row r="2194">
          <cell r="A2194">
            <v>42608</v>
          </cell>
          <cell r="AF2194">
            <v>20.652515707043307</v>
          </cell>
          <cell r="AG2194">
            <v>20.469360058004284</v>
          </cell>
          <cell r="AH2194">
            <v>17.881583490985356</v>
          </cell>
          <cell r="AI2194">
            <v>15.547864889645153</v>
          </cell>
          <cell r="AJ2194">
            <v>20.215302092325562</v>
          </cell>
          <cell r="AU2194">
            <v>14.553504348267898</v>
          </cell>
          <cell r="AV2194">
            <v>14.263722316306255</v>
          </cell>
          <cell r="AW2194">
            <v>12.105561258724364</v>
          </cell>
          <cell r="AX2194">
            <v>10.242049449424412</v>
          </cell>
          <cell r="AY2194">
            <v>13.969073068024317</v>
          </cell>
        </row>
        <row r="2195">
          <cell r="A2195">
            <v>42611</v>
          </cell>
          <cell r="AF2195">
            <v>20.794307416538043</v>
          </cell>
          <cell r="AG2195">
            <v>20.469360058004284</v>
          </cell>
          <cell r="AH2195">
            <v>17.881583490985356</v>
          </cell>
          <cell r="AI2195">
            <v>15.547864889645153</v>
          </cell>
          <cell r="AJ2195">
            <v>20.215302092325562</v>
          </cell>
          <cell r="AU2195">
            <v>14.597896764582421</v>
          </cell>
          <cell r="AV2195">
            <v>14.263722316306255</v>
          </cell>
          <cell r="AW2195">
            <v>12.105561258724364</v>
          </cell>
          <cell r="AX2195">
            <v>10.242049449424412</v>
          </cell>
          <cell r="AY2195">
            <v>13.969073068024317</v>
          </cell>
        </row>
        <row r="2196">
          <cell r="A2196">
            <v>42612</v>
          </cell>
          <cell r="AF2196">
            <v>20.669952946450643</v>
          </cell>
          <cell r="AG2196">
            <v>20.469360058004284</v>
          </cell>
          <cell r="AH2196">
            <v>17.881583490985356</v>
          </cell>
          <cell r="AI2196">
            <v>15.547864889645153</v>
          </cell>
          <cell r="AJ2196">
            <v>20.215302092325562</v>
          </cell>
          <cell r="AU2196">
            <v>14.515494914734056</v>
          </cell>
          <cell r="AV2196">
            <v>14.263722316306255</v>
          </cell>
          <cell r="AW2196">
            <v>12.105561258724364</v>
          </cell>
          <cell r="AX2196">
            <v>10.242049449424412</v>
          </cell>
          <cell r="AY2196">
            <v>13.969073068024317</v>
          </cell>
        </row>
        <row r="2197">
          <cell r="A2197">
            <v>42613</v>
          </cell>
          <cell r="AF2197">
            <v>20.656511427293125</v>
          </cell>
          <cell r="AG2197">
            <v>20.469360058004284</v>
          </cell>
          <cell r="AH2197">
            <v>17.881583490985356</v>
          </cell>
          <cell r="AI2197">
            <v>15.547864889645153</v>
          </cell>
          <cell r="AJ2197">
            <v>20.215302092325562</v>
          </cell>
          <cell r="AU2197">
            <v>14.506588069306035</v>
          </cell>
          <cell r="AV2197">
            <v>14.263722316306255</v>
          </cell>
          <cell r="AW2197">
            <v>12.105561258724364</v>
          </cell>
          <cell r="AX2197">
            <v>10.242049449424412</v>
          </cell>
          <cell r="AY2197">
            <v>13.969073068024317</v>
          </cell>
        </row>
        <row r="2198">
          <cell r="A2198">
            <v>42614</v>
          </cell>
          <cell r="AF2198">
            <v>20.534597052210842</v>
          </cell>
          <cell r="AG2198">
            <v>20.469360058004284</v>
          </cell>
          <cell r="AH2198">
            <v>17.881583490985356</v>
          </cell>
          <cell r="AI2198">
            <v>15.547864889645153</v>
          </cell>
          <cell r="AJ2198">
            <v>20.215302092325562</v>
          </cell>
          <cell r="AU2198">
            <v>14.372643890560621</v>
          </cell>
          <cell r="AV2198">
            <v>14.263722316306255</v>
          </cell>
          <cell r="AW2198">
            <v>12.105561258724364</v>
          </cell>
          <cell r="AX2198">
            <v>10.242049449424412</v>
          </cell>
          <cell r="AY2198">
            <v>13.969073068024317</v>
          </cell>
        </row>
        <row r="2199">
          <cell r="A2199">
            <v>42615</v>
          </cell>
          <cell r="AF2199">
            <v>20.551252227496047</v>
          </cell>
          <cell r="AG2199">
            <v>20.469360058004284</v>
          </cell>
          <cell r="AH2199">
            <v>17.881583490985356</v>
          </cell>
          <cell r="AI2199">
            <v>15.547864889645153</v>
          </cell>
          <cell r="AJ2199">
            <v>20.215302092325562</v>
          </cell>
          <cell r="AU2199">
            <v>14.383645152293512</v>
          </cell>
          <cell r="AV2199">
            <v>14.263722316306255</v>
          </cell>
          <cell r="AW2199">
            <v>12.105561258724364</v>
          </cell>
          <cell r="AX2199">
            <v>10.242049449424412</v>
          </cell>
          <cell r="AY2199">
            <v>13.969073068024317</v>
          </cell>
        </row>
        <row r="2200">
          <cell r="A2200">
            <v>42618</v>
          </cell>
          <cell r="AF2200">
            <v>20.550259709332053</v>
          </cell>
          <cell r="AG2200">
            <v>20.469360058004284</v>
          </cell>
          <cell r="AH2200">
            <v>17.881583490985356</v>
          </cell>
          <cell r="AI2200">
            <v>15.547864889645153</v>
          </cell>
          <cell r="AJ2200">
            <v>20.215302092325562</v>
          </cell>
          <cell r="AU2200">
            <v>14.451835347198223</v>
          </cell>
          <cell r="AV2200">
            <v>14.263722316306255</v>
          </cell>
          <cell r="AW2200">
            <v>12.105561258724364</v>
          </cell>
          <cell r="AX2200">
            <v>10.242049449424412</v>
          </cell>
          <cell r="AY2200">
            <v>13.969073068024317</v>
          </cell>
        </row>
        <row r="2201">
          <cell r="A2201">
            <v>42619</v>
          </cell>
          <cell r="AF2201">
            <v>20.38372599208299</v>
          </cell>
          <cell r="AG2201">
            <v>20.469360058004284</v>
          </cell>
          <cell r="AH2201">
            <v>17.881583490985356</v>
          </cell>
          <cell r="AI2201">
            <v>15.547864889645153</v>
          </cell>
          <cell r="AJ2201">
            <v>20.215302092325562</v>
          </cell>
          <cell r="AU2201">
            <v>14.341307812099259</v>
          </cell>
          <cell r="AV2201">
            <v>14.263722316306255</v>
          </cell>
          <cell r="AW2201">
            <v>12.105561258724364</v>
          </cell>
          <cell r="AX2201">
            <v>10.242049449424412</v>
          </cell>
          <cell r="AY2201">
            <v>13.969073068024317</v>
          </cell>
        </row>
        <row r="2202">
          <cell r="A2202">
            <v>42620</v>
          </cell>
          <cell r="AF2202">
            <v>20.360413936207593</v>
          </cell>
          <cell r="AG2202">
            <v>20.469360058004284</v>
          </cell>
          <cell r="AH2202">
            <v>17.881583490985356</v>
          </cell>
          <cell r="AI2202">
            <v>15.547864889645153</v>
          </cell>
          <cell r="AJ2202">
            <v>20.215302092325562</v>
          </cell>
          <cell r="AU2202">
            <v>14.325835725625966</v>
          </cell>
          <cell r="AV2202">
            <v>14.263722316306255</v>
          </cell>
          <cell r="AW2202">
            <v>12.105561258724364</v>
          </cell>
          <cell r="AX2202">
            <v>10.242049449424412</v>
          </cell>
          <cell r="AY2202">
            <v>13.969073068024317</v>
          </cell>
        </row>
        <row r="2203">
          <cell r="A2203">
            <v>42621</v>
          </cell>
          <cell r="AF2203">
            <v>20.100622003433926</v>
          </cell>
          <cell r="AG2203">
            <v>20.469360058004284</v>
          </cell>
          <cell r="AH2203">
            <v>17.881583490985356</v>
          </cell>
          <cell r="AI2203">
            <v>15.547864889645153</v>
          </cell>
          <cell r="AJ2203">
            <v>20.215302092325562</v>
          </cell>
          <cell r="AU2203">
            <v>14.153413212981727</v>
          </cell>
          <cell r="AV2203">
            <v>14.263722316306255</v>
          </cell>
          <cell r="AW2203">
            <v>12.105561258724364</v>
          </cell>
          <cell r="AX2203">
            <v>10.242049449424412</v>
          </cell>
          <cell r="AY2203">
            <v>13.969073068024317</v>
          </cell>
        </row>
        <row r="2204">
          <cell r="A2204">
            <v>42622</v>
          </cell>
          <cell r="AF2204">
            <v>19.660970325356924</v>
          </cell>
          <cell r="AG2204">
            <v>20.469360058004284</v>
          </cell>
          <cell r="AH2204">
            <v>17.881583490985356</v>
          </cell>
          <cell r="AI2204">
            <v>15.547864889645153</v>
          </cell>
          <cell r="AJ2204">
            <v>20.215302092325562</v>
          </cell>
          <cell r="AU2204">
            <v>13.861618751879906</v>
          </cell>
          <cell r="AV2204">
            <v>14.263722316306255</v>
          </cell>
          <cell r="AW2204">
            <v>12.105561258724364</v>
          </cell>
          <cell r="AX2204">
            <v>10.242049449424412</v>
          </cell>
          <cell r="AY2204">
            <v>13.969073068024317</v>
          </cell>
        </row>
        <row r="2205">
          <cell r="A2205">
            <v>42625</v>
          </cell>
          <cell r="AF2205">
            <v>20.23684534278696</v>
          </cell>
          <cell r="AG2205">
            <v>20.469360058004284</v>
          </cell>
          <cell r="AH2205">
            <v>17.881583490985356</v>
          </cell>
          <cell r="AI2205">
            <v>15.547864889645153</v>
          </cell>
          <cell r="AJ2205">
            <v>20.215302092325562</v>
          </cell>
          <cell r="AU2205">
            <v>14.155668893608809</v>
          </cell>
          <cell r="AV2205">
            <v>14.263722316306255</v>
          </cell>
          <cell r="AW2205">
            <v>12.105561258724364</v>
          </cell>
          <cell r="AX2205">
            <v>10.242049449424412</v>
          </cell>
          <cell r="AY2205">
            <v>13.969073068024317</v>
          </cell>
        </row>
        <row r="2206">
          <cell r="A2206">
            <v>42626</v>
          </cell>
          <cell r="AF2206">
            <v>19.77071400805578</v>
          </cell>
          <cell r="AG2206">
            <v>20.469360058004284</v>
          </cell>
          <cell r="AH2206">
            <v>17.881583490985356</v>
          </cell>
          <cell r="AI2206">
            <v>15.547864889645153</v>
          </cell>
          <cell r="AJ2206">
            <v>20.215302092325562</v>
          </cell>
          <cell r="AU2206">
            <v>13.848208650002027</v>
          </cell>
          <cell r="AV2206">
            <v>14.263722316306255</v>
          </cell>
          <cell r="AW2206">
            <v>12.105561258724364</v>
          </cell>
          <cell r="AX2206">
            <v>10.242049449424412</v>
          </cell>
          <cell r="AY2206">
            <v>13.969073068024317</v>
          </cell>
        </row>
        <row r="2207">
          <cell r="A2207">
            <v>42627</v>
          </cell>
          <cell r="AF2207">
            <v>19.723608391608391</v>
          </cell>
          <cell r="AG2207">
            <v>20.469360058004284</v>
          </cell>
          <cell r="AH2207">
            <v>17.881583490985356</v>
          </cell>
          <cell r="AI2207">
            <v>15.547864889645153</v>
          </cell>
          <cell r="AJ2207">
            <v>20.215302092325562</v>
          </cell>
          <cell r="AU2207">
            <v>13.81526436332422</v>
          </cell>
          <cell r="AV2207">
            <v>14.263722316306255</v>
          </cell>
          <cell r="AW2207">
            <v>12.105561258724364</v>
          </cell>
          <cell r="AX2207">
            <v>10.242049449424412</v>
          </cell>
          <cell r="AY2207">
            <v>13.969073068024317</v>
          </cell>
        </row>
        <row r="2208">
          <cell r="A2208">
            <v>42628</v>
          </cell>
          <cell r="AF2208">
            <v>19.990009657009654</v>
          </cell>
          <cell r="AG2208">
            <v>20.469360058004284</v>
          </cell>
          <cell r="AH2208">
            <v>17.881583490985356</v>
          </cell>
          <cell r="AI2208">
            <v>15.547864889645153</v>
          </cell>
          <cell r="AJ2208">
            <v>20.215302092325562</v>
          </cell>
          <cell r="AU2208">
            <v>13.990957342912816</v>
          </cell>
          <cell r="AV2208">
            <v>14.263722316306255</v>
          </cell>
          <cell r="AW2208">
            <v>12.105561258724364</v>
          </cell>
          <cell r="AX2208">
            <v>10.242049449424412</v>
          </cell>
          <cell r="AY2208">
            <v>13.969073068024317</v>
          </cell>
        </row>
        <row r="2209">
          <cell r="A2209">
            <v>42629</v>
          </cell>
          <cell r="AF2209">
            <v>19.856811521811519</v>
          </cell>
          <cell r="AG2209">
            <v>20.469360058004284</v>
          </cell>
          <cell r="AH2209">
            <v>17.881583490985356</v>
          </cell>
          <cell r="AI2209">
            <v>15.547864889645153</v>
          </cell>
          <cell r="AJ2209">
            <v>20.215302092325562</v>
          </cell>
          <cell r="AU2209">
            <v>13.903112500234023</v>
          </cell>
          <cell r="AV2209">
            <v>14.263722316306255</v>
          </cell>
          <cell r="AW2209">
            <v>12.105561258724364</v>
          </cell>
          <cell r="AX2209">
            <v>10.242049449424412</v>
          </cell>
          <cell r="AY2209">
            <v>13.969073068024317</v>
          </cell>
        </row>
        <row r="2210">
          <cell r="A2210">
            <v>42632</v>
          </cell>
          <cell r="AF2210">
            <v>19.884131983751747</v>
          </cell>
          <cell r="AG2210">
            <v>20.469360058004284</v>
          </cell>
          <cell r="AH2210">
            <v>17.881583490985356</v>
          </cell>
          <cell r="AI2210">
            <v>15.547864889645153</v>
          </cell>
          <cell r="AJ2210">
            <v>20.215302092325562</v>
          </cell>
          <cell r="AU2210">
            <v>13.922906752929087</v>
          </cell>
          <cell r="AV2210">
            <v>14.263722316306255</v>
          </cell>
          <cell r="AW2210">
            <v>12.105561258724364</v>
          </cell>
          <cell r="AX2210">
            <v>10.242049449424412</v>
          </cell>
          <cell r="AY2210">
            <v>13.969073068024317</v>
          </cell>
        </row>
        <row r="2211">
          <cell r="A2211">
            <v>42633</v>
          </cell>
          <cell r="AF2211">
            <v>19.834190584004794</v>
          </cell>
          <cell r="AG2211">
            <v>20.469360058004284</v>
          </cell>
          <cell r="AH2211">
            <v>17.881583490985356</v>
          </cell>
          <cell r="AI2211">
            <v>15.547864889645153</v>
          </cell>
          <cell r="AJ2211">
            <v>20.215302092325562</v>
          </cell>
          <cell r="AU2211">
            <v>13.889965690626196</v>
          </cell>
          <cell r="AV2211">
            <v>14.263722316306255</v>
          </cell>
          <cell r="AW2211">
            <v>12.105561258724364</v>
          </cell>
          <cell r="AX2211">
            <v>10.242049449424412</v>
          </cell>
          <cell r="AY2211">
            <v>13.969073068024317</v>
          </cell>
        </row>
        <row r="2212">
          <cell r="A2212">
            <v>42634</v>
          </cell>
          <cell r="AF2212">
            <v>19.940733834987014</v>
          </cell>
          <cell r="AG2212">
            <v>20.469360058004284</v>
          </cell>
          <cell r="AH2212">
            <v>17.881583490985356</v>
          </cell>
          <cell r="AI2212">
            <v>15.547864889645153</v>
          </cell>
          <cell r="AJ2212">
            <v>20.215302092325562</v>
          </cell>
          <cell r="AU2212">
            <v>13.960241011028524</v>
          </cell>
          <cell r="AV2212">
            <v>14.263722316306255</v>
          </cell>
          <cell r="AW2212">
            <v>12.105561258724364</v>
          </cell>
          <cell r="AX2212">
            <v>10.242049449424412</v>
          </cell>
          <cell r="AY2212">
            <v>13.969073068024317</v>
          </cell>
        </row>
        <row r="2213">
          <cell r="A2213">
            <v>42635</v>
          </cell>
          <cell r="AF2213">
            <v>19.998332083645757</v>
          </cell>
          <cell r="AG2213">
            <v>20.469360058004284</v>
          </cell>
          <cell r="AH2213">
            <v>17.881583490985356</v>
          </cell>
          <cell r="AI2213">
            <v>15.547864889645153</v>
          </cell>
          <cell r="AJ2213">
            <v>20.215302092325562</v>
          </cell>
          <cell r="AU2213">
            <v>14.011057072183565</v>
          </cell>
          <cell r="AV2213">
            <v>14.263722316306255</v>
          </cell>
          <cell r="AW2213">
            <v>12.105561258724364</v>
          </cell>
          <cell r="AX2213">
            <v>10.242049449424412</v>
          </cell>
          <cell r="AY2213">
            <v>13.969073068024317</v>
          </cell>
        </row>
        <row r="2214">
          <cell r="A2214">
            <v>42636</v>
          </cell>
          <cell r="AF2214">
            <v>19.781721569607598</v>
          </cell>
          <cell r="AG2214">
            <v>20.469360058004284</v>
          </cell>
          <cell r="AH2214">
            <v>17.881583490985356</v>
          </cell>
          <cell r="AI2214">
            <v>15.547864889645153</v>
          </cell>
          <cell r="AJ2214">
            <v>20.215302092325562</v>
          </cell>
          <cell r="AU2214">
            <v>13.868038760986989</v>
          </cell>
          <cell r="AV2214">
            <v>14.263722316306255</v>
          </cell>
          <cell r="AW2214">
            <v>12.105561258724364</v>
          </cell>
          <cell r="AX2214">
            <v>10.242049449424412</v>
          </cell>
          <cell r="AY2214">
            <v>13.969073068024317</v>
          </cell>
        </row>
        <row r="2215">
          <cell r="A2215">
            <v>42639</v>
          </cell>
          <cell r="AF2215">
            <v>19.605099391818712</v>
          </cell>
          <cell r="AG2215">
            <v>20.469360058004284</v>
          </cell>
          <cell r="AH2215">
            <v>17.881583490985356</v>
          </cell>
          <cell r="AI2215">
            <v>15.547864889645153</v>
          </cell>
          <cell r="AJ2215">
            <v>20.215302092325562</v>
          </cell>
          <cell r="AU2215">
            <v>13.751439153625469</v>
          </cell>
          <cell r="AV2215">
            <v>14.263722316306255</v>
          </cell>
          <cell r="AW2215">
            <v>12.105561258724364</v>
          </cell>
          <cell r="AX2215">
            <v>10.242049449424412</v>
          </cell>
          <cell r="AY2215">
            <v>13.969073068024317</v>
          </cell>
        </row>
        <row r="2216">
          <cell r="A2216">
            <v>42640</v>
          </cell>
          <cell r="AF2216">
            <v>19.845040073315005</v>
          </cell>
          <cell r="AG2216">
            <v>20.469360058004284</v>
          </cell>
          <cell r="AH2216">
            <v>17.881583490985356</v>
          </cell>
          <cell r="AI2216">
            <v>15.547864889645153</v>
          </cell>
          <cell r="AJ2216">
            <v>20.215302092325562</v>
          </cell>
          <cell r="AU2216">
            <v>13.909839359096631</v>
          </cell>
          <cell r="AV2216">
            <v>14.263722316306255</v>
          </cell>
          <cell r="AW2216">
            <v>12.105561258724364</v>
          </cell>
          <cell r="AX2216">
            <v>10.242049449424412</v>
          </cell>
          <cell r="AY2216">
            <v>13.969073068024317</v>
          </cell>
        </row>
        <row r="2217">
          <cell r="A2217">
            <v>42641</v>
          </cell>
          <cell r="AF2217">
            <v>19.875031242189454</v>
          </cell>
          <cell r="AG2217">
            <v>20.469360058004284</v>
          </cell>
          <cell r="AH2217">
            <v>17.881583490985356</v>
          </cell>
          <cell r="AI2217">
            <v>15.547864889645153</v>
          </cell>
          <cell r="AJ2217">
            <v>20.215302092325562</v>
          </cell>
          <cell r="AU2217">
            <v>13.92963844978191</v>
          </cell>
          <cell r="AV2217">
            <v>14.263722316306255</v>
          </cell>
          <cell r="AW2217">
            <v>12.105561258724364</v>
          </cell>
          <cell r="AX2217">
            <v>10.242049449424412</v>
          </cell>
          <cell r="AY2217">
            <v>13.969073068024317</v>
          </cell>
        </row>
        <row r="2218">
          <cell r="A2218">
            <v>42642</v>
          </cell>
          <cell r="AF2218">
            <v>19.695078563692409</v>
          </cell>
          <cell r="AG2218">
            <v>20.469360058004284</v>
          </cell>
          <cell r="AH2218">
            <v>17.881583490985356</v>
          </cell>
          <cell r="AI2218">
            <v>15.547864889645153</v>
          </cell>
          <cell r="AJ2218">
            <v>20.215302092325562</v>
          </cell>
          <cell r="AU2218">
            <v>13.810840165675769</v>
          </cell>
          <cell r="AV2218">
            <v>14.263722316306255</v>
          </cell>
          <cell r="AW2218">
            <v>12.105561258724364</v>
          </cell>
          <cell r="AX2218">
            <v>10.242049449424412</v>
          </cell>
          <cell r="AY2218">
            <v>13.969073068024317</v>
          </cell>
        </row>
        <row r="2219">
          <cell r="A2219">
            <v>42643</v>
          </cell>
          <cell r="AF2219">
            <v>19.805458915665159</v>
          </cell>
          <cell r="AG2219">
            <v>20.469360058004284</v>
          </cell>
          <cell r="AH2219">
            <v>17.881583490985356</v>
          </cell>
          <cell r="AI2219">
            <v>15.547864889645153</v>
          </cell>
          <cell r="AJ2219">
            <v>20.215302092325562</v>
          </cell>
          <cell r="AU2219">
            <v>13.883456640397753</v>
          </cell>
          <cell r="AV2219">
            <v>14.263722316306255</v>
          </cell>
          <cell r="AW2219">
            <v>12.105561258724364</v>
          </cell>
          <cell r="AX2219">
            <v>10.242049449424412</v>
          </cell>
          <cell r="AY2219">
            <v>13.969073068024317</v>
          </cell>
        </row>
        <row r="2220">
          <cell r="A2220">
            <v>42646</v>
          </cell>
          <cell r="AF2220">
            <v>19.529189260710822</v>
          </cell>
          <cell r="AG2220">
            <v>20.469360058004284</v>
          </cell>
          <cell r="AH2220">
            <v>17.881583490985356</v>
          </cell>
          <cell r="AI2220">
            <v>15.547864889645153</v>
          </cell>
          <cell r="AJ2220">
            <v>20.215302092325562</v>
          </cell>
          <cell r="AU2220">
            <v>13.985362535155099</v>
          </cell>
          <cell r="AV2220">
            <v>14.263722316306255</v>
          </cell>
          <cell r="AW2220">
            <v>12.105561258724364</v>
          </cell>
          <cell r="AX2220">
            <v>10.242049449424412</v>
          </cell>
          <cell r="AY2220">
            <v>13.969073068024317</v>
          </cell>
        </row>
        <row r="2221">
          <cell r="A2221">
            <v>42647</v>
          </cell>
          <cell r="AF2221">
            <v>19.482880202879624</v>
          </cell>
          <cell r="AG2221">
            <v>20.469360058004284</v>
          </cell>
          <cell r="AH2221">
            <v>17.881583490985356</v>
          </cell>
          <cell r="AI2221">
            <v>15.547864889645153</v>
          </cell>
          <cell r="AJ2221">
            <v>20.215302092325562</v>
          </cell>
          <cell r="AU2221">
            <v>13.954143528729631</v>
          </cell>
          <cell r="AV2221">
            <v>14.263722316306255</v>
          </cell>
          <cell r="AW2221">
            <v>12.105561258724364</v>
          </cell>
          <cell r="AX2221">
            <v>10.242049449424412</v>
          </cell>
          <cell r="AY2221">
            <v>13.969073068024317</v>
          </cell>
        </row>
        <row r="2222">
          <cell r="A2222">
            <v>42648</v>
          </cell>
          <cell r="AF2222">
            <v>19.496114339270825</v>
          </cell>
          <cell r="AG2222">
            <v>20.469360058004284</v>
          </cell>
          <cell r="AH2222">
            <v>17.881583490985356</v>
          </cell>
          <cell r="AI2222">
            <v>15.547864889645153</v>
          </cell>
          <cell r="AJ2222">
            <v>20.215302092325562</v>
          </cell>
          <cell r="AU2222">
            <v>13.96306525178732</v>
          </cell>
          <cell r="AV2222">
            <v>14.263722316306255</v>
          </cell>
          <cell r="AW2222">
            <v>12.105561258724364</v>
          </cell>
          <cell r="AX2222">
            <v>10.242049449424412</v>
          </cell>
          <cell r="AY2222">
            <v>13.969073068024317</v>
          </cell>
        </row>
        <row r="2223">
          <cell r="A2223">
            <v>42649</v>
          </cell>
          <cell r="AF2223">
            <v>19.542423066323039</v>
          </cell>
          <cell r="AG2223">
            <v>20.469360058004284</v>
          </cell>
          <cell r="AH2223">
            <v>17.881583490985356</v>
          </cell>
          <cell r="AI2223">
            <v>15.547864889645153</v>
          </cell>
          <cell r="AJ2223">
            <v>20.215302092325562</v>
          </cell>
          <cell r="AU2223">
            <v>13.994284035219886</v>
          </cell>
          <cell r="AV2223">
            <v>14.263722316306255</v>
          </cell>
          <cell r="AW2223">
            <v>12.105561258724364</v>
          </cell>
          <cell r="AX2223">
            <v>10.242049449424412</v>
          </cell>
          <cell r="AY2223">
            <v>13.969073068024317</v>
          </cell>
        </row>
        <row r="2224">
          <cell r="A2224">
            <v>42650</v>
          </cell>
          <cell r="AF2224">
            <v>19.73758167484613</v>
          </cell>
          <cell r="AG2224">
            <v>20.469360058004284</v>
          </cell>
          <cell r="AH2224">
            <v>17.881583490985356</v>
          </cell>
          <cell r="AI2224">
            <v>15.547864889645153</v>
          </cell>
          <cell r="AJ2224">
            <v>20.215302092325562</v>
          </cell>
          <cell r="AU2224">
            <v>14.125804117665346</v>
          </cell>
          <cell r="AV2224">
            <v>14.263722316306255</v>
          </cell>
          <cell r="AW2224">
            <v>12.105561258724364</v>
          </cell>
          <cell r="AX2224">
            <v>10.242049449424412</v>
          </cell>
          <cell r="AY2224">
            <v>13.969073068024317</v>
          </cell>
        </row>
        <row r="2225">
          <cell r="A2225">
            <v>42653</v>
          </cell>
          <cell r="AF2225">
            <v>19.793641800928825</v>
          </cell>
          <cell r="AG2225">
            <v>20.469360058004284</v>
          </cell>
          <cell r="AH2225">
            <v>17.881583490985356</v>
          </cell>
          <cell r="AI2225">
            <v>15.547864889645153</v>
          </cell>
          <cell r="AJ2225">
            <v>20.215302092325562</v>
          </cell>
          <cell r="AU2225">
            <v>14.152562065707563</v>
          </cell>
          <cell r="AV2225">
            <v>14.263722316306255</v>
          </cell>
          <cell r="AW2225">
            <v>12.105561258724364</v>
          </cell>
          <cell r="AX2225">
            <v>10.242049449424412</v>
          </cell>
          <cell r="AY2225">
            <v>13.969073068024317</v>
          </cell>
        </row>
        <row r="2226">
          <cell r="A2226">
            <v>42654</v>
          </cell>
          <cell r="AF2226">
            <v>19.164643566543422</v>
          </cell>
          <cell r="AG2226">
            <v>20.469360058004284</v>
          </cell>
          <cell r="AH2226">
            <v>17.881583490985356</v>
          </cell>
          <cell r="AI2226">
            <v>15.547864889645153</v>
          </cell>
          <cell r="AJ2226">
            <v>20.215302092325562</v>
          </cell>
          <cell r="AU2226">
            <v>13.7289220346176</v>
          </cell>
          <cell r="AV2226">
            <v>14.263722316306255</v>
          </cell>
          <cell r="AW2226">
            <v>12.105561258724364</v>
          </cell>
          <cell r="AX2226">
            <v>10.242049449424412</v>
          </cell>
          <cell r="AY2226">
            <v>13.969073068024317</v>
          </cell>
        </row>
        <row r="2227">
          <cell r="A2227">
            <v>42655</v>
          </cell>
          <cell r="AF2227">
            <v>19.134850143458006</v>
          </cell>
          <cell r="AG2227">
            <v>20.469360058004284</v>
          </cell>
          <cell r="AH2227">
            <v>17.881583490985356</v>
          </cell>
          <cell r="AI2227">
            <v>15.547864889645153</v>
          </cell>
          <cell r="AJ2227">
            <v>20.215302092325562</v>
          </cell>
          <cell r="AU2227">
            <v>13.708853565315701</v>
          </cell>
          <cell r="AV2227">
            <v>14.263722316306255</v>
          </cell>
          <cell r="AW2227">
            <v>12.105561258724364</v>
          </cell>
          <cell r="AX2227">
            <v>10.242049449424412</v>
          </cell>
          <cell r="AY2227">
            <v>13.969073068024317</v>
          </cell>
        </row>
        <row r="2228">
          <cell r="A2228">
            <v>42656</v>
          </cell>
          <cell r="AF2228">
            <v>19.141472522623754</v>
          </cell>
          <cell r="AG2228">
            <v>20.469360058004284</v>
          </cell>
          <cell r="AH2228">
            <v>17.881583490985356</v>
          </cell>
          <cell r="AI2228">
            <v>15.547864889645153</v>
          </cell>
          <cell r="AJ2228">
            <v>20.215302092325562</v>
          </cell>
          <cell r="AU2228">
            <v>13.708853565315701</v>
          </cell>
          <cell r="AV2228">
            <v>14.263722316306255</v>
          </cell>
          <cell r="AW2228">
            <v>12.105561258724364</v>
          </cell>
          <cell r="AX2228">
            <v>10.242049449424412</v>
          </cell>
          <cell r="AY2228">
            <v>13.969073068024317</v>
          </cell>
        </row>
        <row r="2229">
          <cell r="A2229">
            <v>42657</v>
          </cell>
          <cell r="AF2229">
            <v>19.432795299052827</v>
          </cell>
          <cell r="AG2229">
            <v>20.469360058004284</v>
          </cell>
          <cell r="AH2229">
            <v>17.881583490985356</v>
          </cell>
          <cell r="AI2229">
            <v>15.547864889645153</v>
          </cell>
          <cell r="AJ2229">
            <v>20.215302092325562</v>
          </cell>
          <cell r="AU2229">
            <v>13.909545617100529</v>
          </cell>
          <cell r="AV2229">
            <v>14.263722316306255</v>
          </cell>
          <cell r="AW2229">
            <v>12.105561258724364</v>
          </cell>
          <cell r="AX2229">
            <v>10.242049449424412</v>
          </cell>
          <cell r="AY2229">
            <v>13.969073068024317</v>
          </cell>
        </row>
        <row r="2230">
          <cell r="A2230">
            <v>42660</v>
          </cell>
          <cell r="AF2230">
            <v>19.310307437653563</v>
          </cell>
          <cell r="AG2230">
            <v>20.469360058004284</v>
          </cell>
          <cell r="AH2230">
            <v>17.881583490985356</v>
          </cell>
          <cell r="AI2230">
            <v>15.547864889645153</v>
          </cell>
          <cell r="AJ2230">
            <v>20.215302092325562</v>
          </cell>
          <cell r="AU2230">
            <v>13.827039357940594</v>
          </cell>
          <cell r="AV2230">
            <v>14.263722316306255</v>
          </cell>
          <cell r="AW2230">
            <v>12.105561258724364</v>
          </cell>
          <cell r="AX2230">
            <v>10.242049449424412</v>
          </cell>
          <cell r="AY2230">
            <v>13.969073068024317</v>
          </cell>
        </row>
        <row r="2231">
          <cell r="A2231">
            <v>42661</v>
          </cell>
          <cell r="AF2231">
            <v>19.551974619291194</v>
          </cell>
          <cell r="AG2231">
            <v>20.469360058004284</v>
          </cell>
          <cell r="AH2231">
            <v>17.881583490985356</v>
          </cell>
          <cell r="AI2231">
            <v>15.547864889645153</v>
          </cell>
          <cell r="AJ2231">
            <v>20.215302092325562</v>
          </cell>
          <cell r="AU2231">
            <v>13.989823285187493</v>
          </cell>
          <cell r="AV2231">
            <v>14.263722316306255</v>
          </cell>
          <cell r="AW2231">
            <v>12.105561258724364</v>
          </cell>
          <cell r="AX2231">
            <v>10.242049449424412</v>
          </cell>
          <cell r="AY2231">
            <v>13.969073068024317</v>
          </cell>
        </row>
        <row r="2232">
          <cell r="A2232">
            <v>42662</v>
          </cell>
          <cell r="AF2232">
            <v>19.667845067315923</v>
          </cell>
          <cell r="AG2232">
            <v>20.469360058004284</v>
          </cell>
          <cell r="AH2232">
            <v>17.881583490985356</v>
          </cell>
          <cell r="AI2232">
            <v>15.547864889645153</v>
          </cell>
          <cell r="AJ2232">
            <v>20.215302092325562</v>
          </cell>
          <cell r="AU2232">
            <v>14.06787213920858</v>
          </cell>
          <cell r="AV2232">
            <v>14.263722316306255</v>
          </cell>
          <cell r="AW2232">
            <v>12.105561258724364</v>
          </cell>
          <cell r="AX2232">
            <v>10.242049449424412</v>
          </cell>
          <cell r="AY2232">
            <v>13.969073068024317</v>
          </cell>
        </row>
        <row r="2233">
          <cell r="A2233">
            <v>42663</v>
          </cell>
          <cell r="AF2233">
            <v>19.548666078130303</v>
          </cell>
          <cell r="AG2233">
            <v>20.469360058004284</v>
          </cell>
          <cell r="AH2233">
            <v>17.881583490985356</v>
          </cell>
          <cell r="AI2233">
            <v>15.547864889645153</v>
          </cell>
          <cell r="AJ2233">
            <v>20.215302092325562</v>
          </cell>
          <cell r="AU2233">
            <v>13.987594694114522</v>
          </cell>
          <cell r="AV2233">
            <v>14.263722316306255</v>
          </cell>
          <cell r="AW2233">
            <v>12.105561258724364</v>
          </cell>
          <cell r="AX2233">
            <v>10.242049449424412</v>
          </cell>
          <cell r="AY2233">
            <v>13.969073068024317</v>
          </cell>
        </row>
        <row r="2234">
          <cell r="A2234">
            <v>42664</v>
          </cell>
          <cell r="AF2234">
            <v>19.301547986251272</v>
          </cell>
          <cell r="AG2234">
            <v>20.469360058004284</v>
          </cell>
          <cell r="AH2234">
            <v>17.881583490985356</v>
          </cell>
          <cell r="AI2234">
            <v>15.547864889645153</v>
          </cell>
          <cell r="AJ2234">
            <v>20.215302092325562</v>
          </cell>
          <cell r="AU2234">
            <v>13.820305930006736</v>
          </cell>
          <cell r="AV2234">
            <v>14.263722316306255</v>
          </cell>
          <cell r="AW2234">
            <v>12.105561258724364</v>
          </cell>
          <cell r="AX2234">
            <v>10.242049449424412</v>
          </cell>
          <cell r="AY2234">
            <v>13.969073068024317</v>
          </cell>
        </row>
        <row r="2235">
          <cell r="A2235">
            <v>42667</v>
          </cell>
          <cell r="AF2235">
            <v>19.195602028374761</v>
          </cell>
          <cell r="AG2235">
            <v>20.469360058004284</v>
          </cell>
          <cell r="AH2235">
            <v>17.881583490985356</v>
          </cell>
          <cell r="AI2235">
            <v>15.547864889645153</v>
          </cell>
          <cell r="AJ2235">
            <v>20.215302092325562</v>
          </cell>
          <cell r="AU2235">
            <v>13.748946644727404</v>
          </cell>
          <cell r="AV2235">
            <v>14.263722316306255</v>
          </cell>
          <cell r="AW2235">
            <v>12.105561258724364</v>
          </cell>
          <cell r="AX2235">
            <v>10.242049449424412</v>
          </cell>
          <cell r="AY2235">
            <v>13.969073068024317</v>
          </cell>
        </row>
        <row r="2236">
          <cell r="A2236">
            <v>42668</v>
          </cell>
          <cell r="AF2236">
            <v>18.7916928306194</v>
          </cell>
          <cell r="AG2236">
            <v>20.469360058004284</v>
          </cell>
          <cell r="AH2236">
            <v>17.881583490985356</v>
          </cell>
          <cell r="AI2236">
            <v>15.547864889645153</v>
          </cell>
          <cell r="AJ2236">
            <v>20.215302092325562</v>
          </cell>
          <cell r="AU2236">
            <v>13.476895947869609</v>
          </cell>
          <cell r="AV2236">
            <v>14.263722316306255</v>
          </cell>
          <cell r="AW2236">
            <v>12.105561258724364</v>
          </cell>
          <cell r="AX2236">
            <v>10.242049449424412</v>
          </cell>
          <cell r="AY2236">
            <v>13.969073068024317</v>
          </cell>
        </row>
        <row r="2237">
          <cell r="A2237">
            <v>42669</v>
          </cell>
          <cell r="AF2237">
            <v>18.490420517689319</v>
          </cell>
          <cell r="AG2237">
            <v>20.469360058004284</v>
          </cell>
          <cell r="AH2237">
            <v>17.881583490985356</v>
          </cell>
          <cell r="AI2237">
            <v>15.547864889645153</v>
          </cell>
          <cell r="AJ2237">
            <v>20.215302092325562</v>
          </cell>
          <cell r="AU2237">
            <v>13.27397572933517</v>
          </cell>
          <cell r="AV2237">
            <v>14.263722316306255</v>
          </cell>
          <cell r="AW2237">
            <v>12.105561258724364</v>
          </cell>
          <cell r="AX2237">
            <v>10.242049449424412</v>
          </cell>
          <cell r="AY2237">
            <v>13.969073068024317</v>
          </cell>
        </row>
        <row r="2238">
          <cell r="A2238">
            <v>42670</v>
          </cell>
          <cell r="AF2238">
            <v>18.483797405494251</v>
          </cell>
          <cell r="AG2238">
            <v>20.469360058004284</v>
          </cell>
          <cell r="AH2238">
            <v>17.881583490985356</v>
          </cell>
          <cell r="AI2238">
            <v>15.547864889645153</v>
          </cell>
          <cell r="AJ2238">
            <v>20.215302092325562</v>
          </cell>
          <cell r="AU2238">
            <v>13.269511425657475</v>
          </cell>
          <cell r="AV2238">
            <v>14.263722316306255</v>
          </cell>
          <cell r="AW2238">
            <v>12.105561258724364</v>
          </cell>
          <cell r="AX2238">
            <v>10.242049449424412</v>
          </cell>
          <cell r="AY2238">
            <v>13.969073068024317</v>
          </cell>
        </row>
        <row r="2239">
          <cell r="A2239">
            <v>42671</v>
          </cell>
          <cell r="AF2239">
            <v>18.902100270031777</v>
          </cell>
          <cell r="AG2239">
            <v>20.469360058004284</v>
          </cell>
          <cell r="AH2239">
            <v>17.881583490985356</v>
          </cell>
          <cell r="AI2239">
            <v>15.547864889645153</v>
          </cell>
          <cell r="AJ2239">
            <v>20.215302092325562</v>
          </cell>
          <cell r="AU2239">
            <v>13.553792976331662</v>
          </cell>
          <cell r="AV2239">
            <v>14.263722316306255</v>
          </cell>
          <cell r="AW2239">
            <v>12.105561258724364</v>
          </cell>
          <cell r="AX2239">
            <v>10.242049449424412</v>
          </cell>
          <cell r="AY2239">
            <v>13.969073068024317</v>
          </cell>
        </row>
        <row r="2240">
          <cell r="A2240">
            <v>42674</v>
          </cell>
          <cell r="AF2240">
            <v>19.074390665468343</v>
          </cell>
          <cell r="AG2240">
            <v>20.469360058004284</v>
          </cell>
          <cell r="AH2240">
            <v>17.881583490985356</v>
          </cell>
          <cell r="AI2240">
            <v>15.547864889645153</v>
          </cell>
          <cell r="AJ2240">
            <v>20.215302092325562</v>
          </cell>
          <cell r="AU2240">
            <v>13.669854510595735</v>
          </cell>
          <cell r="AV2240">
            <v>14.263722316306255</v>
          </cell>
          <cell r="AW2240">
            <v>12.105561258724364</v>
          </cell>
          <cell r="AX2240">
            <v>10.242049449424412</v>
          </cell>
          <cell r="AY2240">
            <v>13.969073068024317</v>
          </cell>
        </row>
        <row r="2241">
          <cell r="A2241">
            <v>42675</v>
          </cell>
          <cell r="AF2241">
            <v>19.251089892546833</v>
          </cell>
          <cell r="AG2241">
            <v>20.469360058004284</v>
          </cell>
          <cell r="AH2241">
            <v>17.881583490985356</v>
          </cell>
          <cell r="AI2241">
            <v>15.547864889645153</v>
          </cell>
          <cell r="AJ2241">
            <v>20.215302092325562</v>
          </cell>
          <cell r="AU2241">
            <v>13.72581449319639</v>
          </cell>
          <cell r="AV2241">
            <v>14.263722316306255</v>
          </cell>
          <cell r="AW2241">
            <v>12.105561258724364</v>
          </cell>
          <cell r="AX2241">
            <v>10.242049449424412</v>
          </cell>
          <cell r="AY2241">
            <v>13.969073068024317</v>
          </cell>
        </row>
        <row r="2242">
          <cell r="A2242">
            <v>42676</v>
          </cell>
          <cell r="AF2242">
            <v>19.693425416187843</v>
          </cell>
          <cell r="AG2242">
            <v>20.469360058004284</v>
          </cell>
          <cell r="AH2242">
            <v>17.881583490985356</v>
          </cell>
          <cell r="AI2242">
            <v>15.547864889645153</v>
          </cell>
          <cell r="AJ2242">
            <v>20.215302092325562</v>
          </cell>
          <cell r="AU2242">
            <v>14.022105662189428</v>
          </cell>
          <cell r="AV2242">
            <v>14.263722316306255</v>
          </cell>
          <cell r="AW2242">
            <v>12.105561258724364</v>
          </cell>
          <cell r="AX2242">
            <v>10.242049449424412</v>
          </cell>
          <cell r="AY2242">
            <v>13.969073068024317</v>
          </cell>
        </row>
        <row r="2243">
          <cell r="A2243">
            <v>42677</v>
          </cell>
          <cell r="AF2243">
            <v>19.630790835670282</v>
          </cell>
          <cell r="AG2243">
            <v>20.469360058004284</v>
          </cell>
          <cell r="AH2243">
            <v>17.881583490985356</v>
          </cell>
          <cell r="AI2243">
            <v>15.547864889645153</v>
          </cell>
          <cell r="AJ2243">
            <v>20.215302092325562</v>
          </cell>
          <cell r="AU2243">
            <v>13.980094161776734</v>
          </cell>
          <cell r="AV2243">
            <v>14.263722316306255</v>
          </cell>
          <cell r="AW2243">
            <v>12.105561258724364</v>
          </cell>
          <cell r="AX2243">
            <v>10.242049449424412</v>
          </cell>
          <cell r="AY2243">
            <v>13.969073068024317</v>
          </cell>
        </row>
        <row r="2244">
          <cell r="A2244">
            <v>42678</v>
          </cell>
          <cell r="AF2244">
            <v>20.041993483598777</v>
          </cell>
          <cell r="AG2244">
            <v>20.469360058004284</v>
          </cell>
          <cell r="AH2244">
            <v>17.881583490985356</v>
          </cell>
          <cell r="AI2244">
            <v>15.547864889645153</v>
          </cell>
          <cell r="AJ2244">
            <v>20.215302092325562</v>
          </cell>
          <cell r="AU2244">
            <v>14.106408127464269</v>
          </cell>
          <cell r="AV2244">
            <v>14.263722316306255</v>
          </cell>
          <cell r="AW2244">
            <v>12.105561258724364</v>
          </cell>
          <cell r="AX2244">
            <v>10.242049449424412</v>
          </cell>
          <cell r="AY2244">
            <v>13.969073068024317</v>
          </cell>
        </row>
        <row r="2245">
          <cell r="A2245">
            <v>42681</v>
          </cell>
          <cell r="AF2245">
            <v>20.224708482528296</v>
          </cell>
          <cell r="AG2245">
            <v>20.469360058004284</v>
          </cell>
          <cell r="AH2245">
            <v>17.881583490985356</v>
          </cell>
          <cell r="AI2245">
            <v>15.547864889645153</v>
          </cell>
          <cell r="AJ2245">
            <v>20.215302092325562</v>
          </cell>
          <cell r="AU2245">
            <v>14.156046184516896</v>
          </cell>
          <cell r="AV2245">
            <v>14.263722316306255</v>
          </cell>
          <cell r="AW2245">
            <v>12.105561258724364</v>
          </cell>
          <cell r="AX2245">
            <v>10.242049449424412</v>
          </cell>
          <cell r="AY2245">
            <v>13.969073068024317</v>
          </cell>
        </row>
        <row r="2246">
          <cell r="A2246">
            <v>42682</v>
          </cell>
          <cell r="AF2246">
            <v>20.182981335155816</v>
          </cell>
          <cell r="AG2246">
            <v>20.469360058004284</v>
          </cell>
          <cell r="AH2246">
            <v>17.881583490985356</v>
          </cell>
          <cell r="AI2246">
            <v>15.547864889645153</v>
          </cell>
          <cell r="AJ2246">
            <v>20.215302092325562</v>
          </cell>
          <cell r="AU2246">
            <v>14.509372967087733</v>
          </cell>
          <cell r="AV2246">
            <v>14.263722316306255</v>
          </cell>
          <cell r="AW2246">
            <v>12.105561258724364</v>
          </cell>
          <cell r="AX2246">
            <v>10.242049449424412</v>
          </cell>
          <cell r="AY2246">
            <v>13.969073068024317</v>
          </cell>
        </row>
        <row r="2247">
          <cell r="A2247">
            <v>42683</v>
          </cell>
          <cell r="AF2247">
            <v>20.245847351592268</v>
          </cell>
          <cell r="AG2247">
            <v>20.469360058004284</v>
          </cell>
          <cell r="AH2247">
            <v>17.881583490985356</v>
          </cell>
          <cell r="AI2247">
            <v>15.547864889645153</v>
          </cell>
          <cell r="AJ2247">
            <v>20.215302092325562</v>
          </cell>
          <cell r="AU2247">
            <v>14.550860971526092</v>
          </cell>
          <cell r="AV2247">
            <v>14.263722316306255</v>
          </cell>
          <cell r="AW2247">
            <v>12.105561258724364</v>
          </cell>
          <cell r="AX2247">
            <v>10.242049449424412</v>
          </cell>
          <cell r="AY2247">
            <v>13.969073068024317</v>
          </cell>
        </row>
        <row r="2248">
          <cell r="A2248">
            <v>42684</v>
          </cell>
          <cell r="AF2248">
            <v>20.22405010761193</v>
          </cell>
          <cell r="AG2248">
            <v>20.469360058004284</v>
          </cell>
          <cell r="AH2248">
            <v>17.881583490985356</v>
          </cell>
          <cell r="AI2248">
            <v>15.547864889645153</v>
          </cell>
          <cell r="AJ2248">
            <v>20.215302092325562</v>
          </cell>
          <cell r="AU2248">
            <v>14.550860971526092</v>
          </cell>
          <cell r="AV2248">
            <v>14.263722316306255</v>
          </cell>
          <cell r="AW2248">
            <v>12.105561258724364</v>
          </cell>
          <cell r="AX2248">
            <v>10.242049449424412</v>
          </cell>
          <cell r="AY2248">
            <v>13.969073068024317</v>
          </cell>
        </row>
        <row r="2249">
          <cell r="A2249">
            <v>42685</v>
          </cell>
          <cell r="AF2249">
            <v>19.936547134937253</v>
          </cell>
          <cell r="AG2249">
            <v>20.469360058004284</v>
          </cell>
          <cell r="AH2249">
            <v>17.881583490985356</v>
          </cell>
          <cell r="AI2249">
            <v>15.547864889645153</v>
          </cell>
          <cell r="AJ2249">
            <v>20.215302092325562</v>
          </cell>
          <cell r="AU2249">
            <v>14.328406917630605</v>
          </cell>
          <cell r="AV2249">
            <v>14.263722316306255</v>
          </cell>
          <cell r="AW2249">
            <v>12.105561258724364</v>
          </cell>
          <cell r="AX2249">
            <v>10.242049449424412</v>
          </cell>
          <cell r="AY2249">
            <v>13.969073068024317</v>
          </cell>
        </row>
        <row r="2250">
          <cell r="A2250">
            <v>42688</v>
          </cell>
          <cell r="AF2250">
            <v>19.426708858666064</v>
          </cell>
          <cell r="AG2250">
            <v>20.469360058004284</v>
          </cell>
          <cell r="AH2250">
            <v>17.881583490985356</v>
          </cell>
          <cell r="AI2250">
            <v>15.547864889645153</v>
          </cell>
          <cell r="AJ2250">
            <v>20.215302092325562</v>
          </cell>
          <cell r="AU2250">
            <v>13.992388823115791</v>
          </cell>
          <cell r="AV2250">
            <v>14.263722316306255</v>
          </cell>
          <cell r="AW2250">
            <v>12.105561258724364</v>
          </cell>
          <cell r="AX2250">
            <v>10.242049449424412</v>
          </cell>
          <cell r="AY2250">
            <v>13.969073068024317</v>
          </cell>
        </row>
        <row r="2251">
          <cell r="A2251">
            <v>42689</v>
          </cell>
          <cell r="AF2251">
            <v>19.853781664691432</v>
          </cell>
          <cell r="AG2251">
            <v>20.469360058004284</v>
          </cell>
          <cell r="AH2251">
            <v>17.881583490985356</v>
          </cell>
          <cell r="AI2251">
            <v>15.547864889645153</v>
          </cell>
          <cell r="AJ2251">
            <v>20.215302092325562</v>
          </cell>
          <cell r="AU2251">
            <v>14.273858844451356</v>
          </cell>
          <cell r="AV2251">
            <v>14.263722316306255</v>
          </cell>
          <cell r="AW2251">
            <v>12.105561258724364</v>
          </cell>
          <cell r="AX2251">
            <v>10.242049449424412</v>
          </cell>
          <cell r="AY2251">
            <v>13.969073068024317</v>
          </cell>
        </row>
        <row r="2252">
          <cell r="A2252">
            <v>42690</v>
          </cell>
          <cell r="AF2252">
            <v>20.052420779652689</v>
          </cell>
          <cell r="AG2252">
            <v>20.469360058004284</v>
          </cell>
          <cell r="AH2252">
            <v>17.881583490985356</v>
          </cell>
          <cell r="AI2252">
            <v>15.547864889645153</v>
          </cell>
          <cell r="AJ2252">
            <v>20.215302092325562</v>
          </cell>
          <cell r="AU2252">
            <v>14.404775529235311</v>
          </cell>
          <cell r="AV2252">
            <v>14.263722316306255</v>
          </cell>
          <cell r="AW2252">
            <v>12.105561258724364</v>
          </cell>
          <cell r="AX2252">
            <v>10.242049449424412</v>
          </cell>
          <cell r="AY2252">
            <v>13.969073068024317</v>
          </cell>
        </row>
        <row r="2253">
          <cell r="A2253">
            <v>42691</v>
          </cell>
          <cell r="AF2253">
            <v>20.178220652745647</v>
          </cell>
          <cell r="AG2253">
            <v>20.469360058004284</v>
          </cell>
          <cell r="AH2253">
            <v>17.881583490985356</v>
          </cell>
          <cell r="AI2253">
            <v>15.547864889645153</v>
          </cell>
          <cell r="AJ2253">
            <v>20.215302092325562</v>
          </cell>
          <cell r="AU2253">
            <v>14.487686200352552</v>
          </cell>
          <cell r="AV2253">
            <v>14.263722316306255</v>
          </cell>
          <cell r="AW2253">
            <v>12.105561258724364</v>
          </cell>
          <cell r="AX2253">
            <v>10.242049449424412</v>
          </cell>
          <cell r="AY2253">
            <v>13.969073068024317</v>
          </cell>
        </row>
        <row r="2254">
          <cell r="A2254">
            <v>42692</v>
          </cell>
          <cell r="AF2254">
            <v>19.916684084202018</v>
          </cell>
          <cell r="AG2254">
            <v>20.469360058004284</v>
          </cell>
          <cell r="AH2254">
            <v>17.881583490985356</v>
          </cell>
          <cell r="AI2254">
            <v>15.547864889645153</v>
          </cell>
          <cell r="AJ2254">
            <v>20.215302092325562</v>
          </cell>
          <cell r="AU2254">
            <v>14.315315816452172</v>
          </cell>
          <cell r="AV2254">
            <v>14.263722316306255</v>
          </cell>
          <cell r="AW2254">
            <v>12.105561258724364</v>
          </cell>
          <cell r="AX2254">
            <v>10.242049449424412</v>
          </cell>
          <cell r="AY2254">
            <v>13.969073068024317</v>
          </cell>
        </row>
        <row r="2255">
          <cell r="A2255">
            <v>42695</v>
          </cell>
          <cell r="AF2255">
            <v>19.823987088588577</v>
          </cell>
          <cell r="AG2255">
            <v>20.469360058004284</v>
          </cell>
          <cell r="AH2255">
            <v>17.881583490985356</v>
          </cell>
          <cell r="AI2255">
            <v>15.547864889645153</v>
          </cell>
          <cell r="AJ2255">
            <v>20.215302092325562</v>
          </cell>
          <cell r="AU2255">
            <v>14.254222192683704</v>
          </cell>
          <cell r="AV2255">
            <v>14.263722316306255</v>
          </cell>
          <cell r="AW2255">
            <v>12.105561258724364</v>
          </cell>
          <cell r="AX2255">
            <v>10.242049449424412</v>
          </cell>
          <cell r="AY2255">
            <v>13.969073068024317</v>
          </cell>
        </row>
        <row r="2256">
          <cell r="A2256">
            <v>42696</v>
          </cell>
          <cell r="AF2256">
            <v>19.814055894282841</v>
          </cell>
          <cell r="AG2256">
            <v>20.469360058004284</v>
          </cell>
          <cell r="AH2256">
            <v>17.881583490985356</v>
          </cell>
          <cell r="AI2256">
            <v>15.547864889645153</v>
          </cell>
          <cell r="AJ2256">
            <v>20.215302092325562</v>
          </cell>
          <cell r="AU2256">
            <v>14.247676860286777</v>
          </cell>
          <cell r="AV2256">
            <v>14.263722316306255</v>
          </cell>
          <cell r="AW2256">
            <v>12.105561258724364</v>
          </cell>
          <cell r="AX2256">
            <v>10.242049449424412</v>
          </cell>
          <cell r="AY2256">
            <v>13.969073068024317</v>
          </cell>
        </row>
        <row r="2257">
          <cell r="A2257">
            <v>42697</v>
          </cell>
          <cell r="AF2257">
            <v>20.032552762989241</v>
          </cell>
          <cell r="AG2257">
            <v>20.469360058004284</v>
          </cell>
          <cell r="AH2257">
            <v>17.881583490985356</v>
          </cell>
          <cell r="AI2257">
            <v>15.547864889645153</v>
          </cell>
          <cell r="AJ2257">
            <v>20.215302092325562</v>
          </cell>
          <cell r="AU2257">
            <v>14.391681155172487</v>
          </cell>
          <cell r="AV2257">
            <v>14.263722316306255</v>
          </cell>
          <cell r="AW2257">
            <v>12.105561258724364</v>
          </cell>
          <cell r="AX2257">
            <v>10.242049449424412</v>
          </cell>
          <cell r="AY2257">
            <v>13.969073068024317</v>
          </cell>
        </row>
        <row r="2258">
          <cell r="A2258">
            <v>42698</v>
          </cell>
          <cell r="AF2258">
            <v>20.032552762989241</v>
          </cell>
          <cell r="AG2258">
            <v>20.469360058004284</v>
          </cell>
          <cell r="AH2258">
            <v>17.881583490985356</v>
          </cell>
          <cell r="AI2258">
            <v>15.547864889645153</v>
          </cell>
          <cell r="AJ2258">
            <v>20.215302092325562</v>
          </cell>
          <cell r="AU2258">
            <v>14.391681155172487</v>
          </cell>
          <cell r="AV2258">
            <v>14.263722316306255</v>
          </cell>
          <cell r="AW2258">
            <v>12.105561258724364</v>
          </cell>
          <cell r="AX2258">
            <v>10.242049449424412</v>
          </cell>
          <cell r="AY2258">
            <v>13.969073068024317</v>
          </cell>
        </row>
        <row r="2259">
          <cell r="A2259">
            <v>42699</v>
          </cell>
          <cell r="AF2259">
            <v>20.109107770751518</v>
          </cell>
          <cell r="AG2259">
            <v>20.469360058004284</v>
          </cell>
          <cell r="AH2259">
            <v>17.881583490985356</v>
          </cell>
          <cell r="AI2259">
            <v>15.547864889645153</v>
          </cell>
          <cell r="AJ2259">
            <v>20.215302092325562</v>
          </cell>
          <cell r="AU2259">
            <v>14.444010858225246</v>
          </cell>
          <cell r="AV2259">
            <v>14.263722316306255</v>
          </cell>
          <cell r="AW2259">
            <v>12.105561258724364</v>
          </cell>
          <cell r="AX2259">
            <v>10.242049449424412</v>
          </cell>
          <cell r="AY2259">
            <v>13.969073068024317</v>
          </cell>
        </row>
        <row r="2260">
          <cell r="A2260">
            <v>42702</v>
          </cell>
          <cell r="AF2260">
            <v>20.006858627090384</v>
          </cell>
          <cell r="AG2260">
            <v>20.469360058004284</v>
          </cell>
          <cell r="AH2260">
            <v>17.881583490985356</v>
          </cell>
          <cell r="AI2260">
            <v>15.547864889645153</v>
          </cell>
          <cell r="AJ2260">
            <v>20.215302092325562</v>
          </cell>
          <cell r="AU2260">
            <v>14.404154134566564</v>
          </cell>
          <cell r="AV2260">
            <v>14.263722316306255</v>
          </cell>
          <cell r="AW2260">
            <v>12.105561258724364</v>
          </cell>
          <cell r="AX2260">
            <v>10.242049449424412</v>
          </cell>
          <cell r="AY2260">
            <v>13.969073068024317</v>
          </cell>
        </row>
        <row r="2261">
          <cell r="A2261">
            <v>42703</v>
          </cell>
          <cell r="AF2261">
            <v>20.08136222499159</v>
          </cell>
          <cell r="AG2261">
            <v>20.469360058004284</v>
          </cell>
          <cell r="AH2261">
            <v>17.881583490985356</v>
          </cell>
          <cell r="AI2261">
            <v>15.547864889645153</v>
          </cell>
          <cell r="AJ2261">
            <v>20.215302092325562</v>
          </cell>
          <cell r="AU2261">
            <v>14.427324969263992</v>
          </cell>
          <cell r="AV2261">
            <v>14.263722316306255</v>
          </cell>
          <cell r="AW2261">
            <v>12.105561258724364</v>
          </cell>
          <cell r="AX2261">
            <v>10.242049449424412</v>
          </cell>
          <cell r="AY2261">
            <v>13.969073068024317</v>
          </cell>
        </row>
        <row r="2262">
          <cell r="A2262">
            <v>42704</v>
          </cell>
          <cell r="AF2262">
            <v>19.320877708594669</v>
          </cell>
          <cell r="AG2262">
            <v>20.469360058004284</v>
          </cell>
          <cell r="AH2262">
            <v>17.881583490985356</v>
          </cell>
          <cell r="AI2262">
            <v>15.547864889645153</v>
          </cell>
          <cell r="AJ2262">
            <v>20.215302092325562</v>
          </cell>
          <cell r="AU2262">
            <v>13.926121246917859</v>
          </cell>
          <cell r="AV2262">
            <v>14.263722316306255</v>
          </cell>
          <cell r="AW2262">
            <v>12.105561258724364</v>
          </cell>
          <cell r="AX2262">
            <v>10.242049449424412</v>
          </cell>
          <cell r="AY2262">
            <v>13.969073068024317</v>
          </cell>
        </row>
        <row r="2263">
          <cell r="A2263">
            <v>42705</v>
          </cell>
          <cell r="AF2263">
            <v>18.944941312232114</v>
          </cell>
          <cell r="AG2263">
            <v>20.469360058004284</v>
          </cell>
          <cell r="AH2263">
            <v>17.881583490985356</v>
          </cell>
          <cell r="AI2263">
            <v>15.547864889645153</v>
          </cell>
          <cell r="AJ2263">
            <v>20.215302092325562</v>
          </cell>
          <cell r="AU2263">
            <v>13.774294250703933</v>
          </cell>
          <cell r="AV2263">
            <v>14.263722316306255</v>
          </cell>
          <cell r="AW2263">
            <v>12.105561258724364</v>
          </cell>
          <cell r="AX2263">
            <v>10.242049449424412</v>
          </cell>
          <cell r="AY2263">
            <v>13.969073068024317</v>
          </cell>
        </row>
        <row r="2264">
          <cell r="A2264">
            <v>42706</v>
          </cell>
          <cell r="AF2264">
            <v>18.76285936593343</v>
          </cell>
          <cell r="AG2264">
            <v>20.469360058004284</v>
          </cell>
          <cell r="AH2264">
            <v>17.881583490985356</v>
          </cell>
          <cell r="AI2264">
            <v>15.547864889645153</v>
          </cell>
          <cell r="AJ2264">
            <v>20.215302092325562</v>
          </cell>
          <cell r="AU2264">
            <v>13.499418608859919</v>
          </cell>
          <cell r="AV2264">
            <v>14.263722316306255</v>
          </cell>
          <cell r="AW2264">
            <v>12.105561258724364</v>
          </cell>
          <cell r="AX2264">
            <v>10.242049449424412</v>
          </cell>
          <cell r="AY2264">
            <v>13.969073068024317</v>
          </cell>
        </row>
        <row r="2265">
          <cell r="A2265">
            <v>42709</v>
          </cell>
          <cell r="AF2265">
            <v>18.881549361713351</v>
          </cell>
          <cell r="AG2265">
            <v>20.469360058004284</v>
          </cell>
          <cell r="AH2265">
            <v>17.881583490985356</v>
          </cell>
          <cell r="AI2265">
            <v>15.547864889645153</v>
          </cell>
          <cell r="AJ2265">
            <v>20.215302092325562</v>
          </cell>
          <cell r="AU2265">
            <v>13.587263222057121</v>
          </cell>
          <cell r="AV2265">
            <v>14.263722316306255</v>
          </cell>
          <cell r="AW2265">
            <v>12.105561258724364</v>
          </cell>
          <cell r="AX2265">
            <v>10.242049449424412</v>
          </cell>
          <cell r="AY2265">
            <v>13.969073068024317</v>
          </cell>
        </row>
        <row r="2266">
          <cell r="A2266">
            <v>42710</v>
          </cell>
          <cell r="AF2266">
            <v>19.109204552952818</v>
          </cell>
          <cell r="AG2266">
            <v>20.469360058004284</v>
          </cell>
          <cell r="AH2266">
            <v>17.881583490985356</v>
          </cell>
          <cell r="AI2266">
            <v>15.547864889645153</v>
          </cell>
          <cell r="AJ2266">
            <v>20.215302092325562</v>
          </cell>
          <cell r="AU2266">
            <v>13.728076686026899</v>
          </cell>
          <cell r="AV2266">
            <v>14.263722316306255</v>
          </cell>
          <cell r="AW2266">
            <v>12.105561258724364</v>
          </cell>
          <cell r="AX2266">
            <v>10.242049449424412</v>
          </cell>
          <cell r="AY2266">
            <v>13.969073068024317</v>
          </cell>
        </row>
        <row r="2267">
          <cell r="A2267">
            <v>42711</v>
          </cell>
          <cell r="AF2267">
            <v>19.161993401517652</v>
          </cell>
          <cell r="AG2267">
            <v>20.469360058004284</v>
          </cell>
          <cell r="AH2267">
            <v>17.881583490985356</v>
          </cell>
          <cell r="AI2267">
            <v>15.547864889645153</v>
          </cell>
          <cell r="AJ2267">
            <v>20.215302092325562</v>
          </cell>
          <cell r="AU2267">
            <v>13.762739431645407</v>
          </cell>
          <cell r="AV2267">
            <v>14.263722316306255</v>
          </cell>
          <cell r="AW2267">
            <v>12.105561258724364</v>
          </cell>
          <cell r="AX2267">
            <v>10.242049449424412</v>
          </cell>
          <cell r="AY2267">
            <v>13.969073068024317</v>
          </cell>
        </row>
        <row r="2268">
          <cell r="A2268">
            <v>42712</v>
          </cell>
          <cell r="AF2268">
            <v>19.399539425932034</v>
          </cell>
          <cell r="AG2268">
            <v>20.469360058004284</v>
          </cell>
          <cell r="AH2268">
            <v>17.881583490985356</v>
          </cell>
          <cell r="AI2268">
            <v>15.547864889645153</v>
          </cell>
          <cell r="AJ2268">
            <v>20.215302092325562</v>
          </cell>
          <cell r="AU2268">
            <v>13.762739431645407</v>
          </cell>
          <cell r="AV2268">
            <v>14.263722316306255</v>
          </cell>
          <cell r="AW2268">
            <v>12.105561258724364</v>
          </cell>
          <cell r="AX2268">
            <v>10.242049449424412</v>
          </cell>
          <cell r="AY2268">
            <v>13.969073068024317</v>
          </cell>
        </row>
        <row r="2269">
          <cell r="A2269">
            <v>42713</v>
          </cell>
          <cell r="AF2269">
            <v>19.472123061695807</v>
          </cell>
          <cell r="AG2269">
            <v>20.469360058004284</v>
          </cell>
          <cell r="AH2269">
            <v>17.881583490985356</v>
          </cell>
          <cell r="AI2269">
            <v>15.547864889645153</v>
          </cell>
          <cell r="AJ2269">
            <v>20.215302092325562</v>
          </cell>
          <cell r="AU2269">
            <v>13.966379893821957</v>
          </cell>
          <cell r="AV2269">
            <v>14.263722316306255</v>
          </cell>
          <cell r="AW2269">
            <v>12.105561258724364</v>
          </cell>
          <cell r="AX2269">
            <v>10.242049449424412</v>
          </cell>
          <cell r="AY2269">
            <v>13.969073068024317</v>
          </cell>
        </row>
        <row r="2270">
          <cell r="A2270">
            <v>42716</v>
          </cell>
          <cell r="AF2270">
            <v>19.54800395908941</v>
          </cell>
          <cell r="AG2270">
            <v>20.469360058004284</v>
          </cell>
          <cell r="AH2270">
            <v>17.881583490985356</v>
          </cell>
          <cell r="AI2270">
            <v>15.547864889645153</v>
          </cell>
          <cell r="AJ2270">
            <v>20.215302092325562</v>
          </cell>
          <cell r="AU2270">
            <v>14.016205573206275</v>
          </cell>
          <cell r="AV2270">
            <v>14.263722316306255</v>
          </cell>
          <cell r="AW2270">
            <v>12.105561258724364</v>
          </cell>
          <cell r="AX2270">
            <v>10.242049449424412</v>
          </cell>
          <cell r="AY2270">
            <v>13.969073068024317</v>
          </cell>
        </row>
        <row r="2271">
          <cell r="A2271">
            <v>42717</v>
          </cell>
          <cell r="AF2271">
            <v>19.736063345430551</v>
          </cell>
          <cell r="AG2271">
            <v>20.469360058004284</v>
          </cell>
          <cell r="AH2271">
            <v>17.881583490985356</v>
          </cell>
          <cell r="AI2271">
            <v>15.547864889645153</v>
          </cell>
          <cell r="AJ2271">
            <v>20.215302092325562</v>
          </cell>
          <cell r="AU2271">
            <v>14.13969102225732</v>
          </cell>
          <cell r="AV2271">
            <v>14.263722316306255</v>
          </cell>
          <cell r="AW2271">
            <v>12.105561258724364</v>
          </cell>
          <cell r="AX2271">
            <v>10.242049449424412</v>
          </cell>
          <cell r="AY2271">
            <v>13.969073068024317</v>
          </cell>
        </row>
        <row r="2272">
          <cell r="A2272">
            <v>42718</v>
          </cell>
          <cell r="AF2272">
            <v>19.686571758495543</v>
          </cell>
          <cell r="AG2272">
            <v>20.469360058004284</v>
          </cell>
          <cell r="AH2272">
            <v>17.881583490985356</v>
          </cell>
          <cell r="AI2272">
            <v>15.547864889645153</v>
          </cell>
          <cell r="AJ2272">
            <v>20.215302092325562</v>
          </cell>
          <cell r="AU2272">
            <v>14.107193357791736</v>
          </cell>
          <cell r="AV2272">
            <v>14.263722316306255</v>
          </cell>
          <cell r="AW2272">
            <v>12.105561258724364</v>
          </cell>
          <cell r="AX2272">
            <v>10.242049449424412</v>
          </cell>
          <cell r="AY2272">
            <v>13.969073068024317</v>
          </cell>
        </row>
        <row r="2273">
          <cell r="A2273">
            <v>42719</v>
          </cell>
          <cell r="AF2273">
            <v>19.927414714615637</v>
          </cell>
          <cell r="AG2273">
            <v>20.469360058004284</v>
          </cell>
          <cell r="AH2273">
            <v>17.881583490985356</v>
          </cell>
          <cell r="AI2273">
            <v>15.547864889645153</v>
          </cell>
          <cell r="AJ2273">
            <v>20.215302092325562</v>
          </cell>
          <cell r="AU2273">
            <v>14.107193357791736</v>
          </cell>
          <cell r="AV2273">
            <v>14.263722316306255</v>
          </cell>
          <cell r="AW2273">
            <v>12.105561258724364</v>
          </cell>
          <cell r="AX2273">
            <v>10.242049449424412</v>
          </cell>
          <cell r="AY2273">
            <v>13.969073068024317</v>
          </cell>
        </row>
        <row r="2274">
          <cell r="A2274">
            <v>42720</v>
          </cell>
          <cell r="AF2274">
            <v>19.821841636423621</v>
          </cell>
          <cell r="AG2274">
            <v>20.469360058004284</v>
          </cell>
          <cell r="AH2274">
            <v>17.881583490985356</v>
          </cell>
          <cell r="AI2274">
            <v>15.547864889645153</v>
          </cell>
          <cell r="AJ2274">
            <v>20.215302092325562</v>
          </cell>
          <cell r="AU2274">
            <v>14.196015627948077</v>
          </cell>
          <cell r="AV2274">
            <v>14.263722316306255</v>
          </cell>
          <cell r="AW2274">
            <v>12.105561258724364</v>
          </cell>
          <cell r="AX2274">
            <v>10.242049449424412</v>
          </cell>
          <cell r="AY2274">
            <v>13.969073068024317</v>
          </cell>
        </row>
        <row r="2275">
          <cell r="A2275">
            <v>42723</v>
          </cell>
          <cell r="AF2275">
            <v>19.689869020125371</v>
          </cell>
          <cell r="AG2275">
            <v>20.469360058004284</v>
          </cell>
          <cell r="AH2275">
            <v>17.881583490985356</v>
          </cell>
          <cell r="AI2275">
            <v>15.547864889645153</v>
          </cell>
          <cell r="AJ2275">
            <v>20.215302092325562</v>
          </cell>
          <cell r="AU2275">
            <v>14.109358438944662</v>
          </cell>
          <cell r="AV2275">
            <v>14.263722316306255</v>
          </cell>
          <cell r="AW2275">
            <v>12.105561258724364</v>
          </cell>
          <cell r="AX2275">
            <v>10.242049449424412</v>
          </cell>
          <cell r="AY2275">
            <v>13.969073068024317</v>
          </cell>
        </row>
        <row r="2276">
          <cell r="A2276">
            <v>42724</v>
          </cell>
          <cell r="AF2276">
            <v>19.775652589904322</v>
          </cell>
          <cell r="AG2276">
            <v>20.469360058004284</v>
          </cell>
          <cell r="AH2276">
            <v>17.881583490985356</v>
          </cell>
          <cell r="AI2276">
            <v>15.547864889645153</v>
          </cell>
          <cell r="AJ2276">
            <v>20.215302092325562</v>
          </cell>
          <cell r="AU2276">
            <v>14.165686510844989</v>
          </cell>
          <cell r="AV2276">
            <v>14.263722316306255</v>
          </cell>
          <cell r="AW2276">
            <v>12.105561258724364</v>
          </cell>
          <cell r="AX2276">
            <v>10.242049449424412</v>
          </cell>
          <cell r="AY2276">
            <v>13.969073068024317</v>
          </cell>
        </row>
        <row r="2277">
          <cell r="A2277">
            <v>42725</v>
          </cell>
          <cell r="AF2277">
            <v>19.722863411415371</v>
          </cell>
          <cell r="AG2277">
            <v>20.469360058004284</v>
          </cell>
          <cell r="AH2277">
            <v>17.881583490985356</v>
          </cell>
          <cell r="AI2277">
            <v>15.547864889645153</v>
          </cell>
          <cell r="AJ2277">
            <v>20.215302092325562</v>
          </cell>
          <cell r="AU2277">
            <v>14.131023548588381</v>
          </cell>
          <cell r="AV2277">
            <v>14.263722316306255</v>
          </cell>
          <cell r="AW2277">
            <v>12.105561258724364</v>
          </cell>
          <cell r="AX2277">
            <v>10.242049449424412</v>
          </cell>
          <cell r="AY2277">
            <v>13.969073068024317</v>
          </cell>
        </row>
        <row r="2278">
          <cell r="A2278">
            <v>42726</v>
          </cell>
          <cell r="AF2278">
            <v>19.508414714615636</v>
          </cell>
          <cell r="AG2278">
            <v>20.469360058004284</v>
          </cell>
          <cell r="AH2278">
            <v>17.881583490985356</v>
          </cell>
          <cell r="AI2278">
            <v>15.547864889645153</v>
          </cell>
          <cell r="AJ2278">
            <v>20.215302092325562</v>
          </cell>
          <cell r="AU2278">
            <v>14.131023548588381</v>
          </cell>
          <cell r="AV2278">
            <v>14.263722316306255</v>
          </cell>
          <cell r="AW2278">
            <v>12.105561258724364</v>
          </cell>
          <cell r="AX2278">
            <v>10.242049449424412</v>
          </cell>
          <cell r="AY2278">
            <v>13.969073068024317</v>
          </cell>
        </row>
        <row r="2279">
          <cell r="A2279">
            <v>42727</v>
          </cell>
          <cell r="AF2279">
            <v>19.544706697459585</v>
          </cell>
          <cell r="AG2279">
            <v>20.469360058004284</v>
          </cell>
          <cell r="AH2279">
            <v>17.881583490985356</v>
          </cell>
          <cell r="AI2279">
            <v>15.547864889645153</v>
          </cell>
          <cell r="AJ2279">
            <v>20.215302092325562</v>
          </cell>
          <cell r="AU2279">
            <v>14.014040492053349</v>
          </cell>
          <cell r="AV2279">
            <v>14.263722316306255</v>
          </cell>
          <cell r="AW2279">
            <v>12.105561258724364</v>
          </cell>
          <cell r="AX2279">
            <v>10.242049449424412</v>
          </cell>
          <cell r="AY2279">
            <v>13.969073068024317</v>
          </cell>
        </row>
        <row r="2280">
          <cell r="A2280">
            <v>42730</v>
          </cell>
          <cell r="AF2280">
            <v>19.544706697459585</v>
          </cell>
          <cell r="AG2280">
            <v>20.469360058004284</v>
          </cell>
          <cell r="AH2280">
            <v>17.881583490985356</v>
          </cell>
          <cell r="AI2280">
            <v>15.547864889645153</v>
          </cell>
          <cell r="AJ2280">
            <v>20.215302092325562</v>
          </cell>
          <cell r="AU2280">
            <v>14.014040492053349</v>
          </cell>
          <cell r="AV2280">
            <v>14.263722316306255</v>
          </cell>
          <cell r="AW2280">
            <v>12.105561258724364</v>
          </cell>
          <cell r="AX2280">
            <v>10.242049449424412</v>
          </cell>
          <cell r="AY2280">
            <v>13.969073068024317</v>
          </cell>
        </row>
        <row r="2281">
          <cell r="A2281">
            <v>42731</v>
          </cell>
          <cell r="AF2281">
            <v>19.488620257340813</v>
          </cell>
          <cell r="AG2281">
            <v>20.469360058004284</v>
          </cell>
          <cell r="AH2281">
            <v>17.881583490985356</v>
          </cell>
          <cell r="AI2281">
            <v>15.547864889645153</v>
          </cell>
          <cell r="AJ2281">
            <v>20.215302092325562</v>
          </cell>
          <cell r="AU2281">
            <v>13.977212448643819</v>
          </cell>
          <cell r="AV2281">
            <v>14.263722316306255</v>
          </cell>
          <cell r="AW2281">
            <v>12.105561258724364</v>
          </cell>
          <cell r="AX2281">
            <v>10.242049449424412</v>
          </cell>
          <cell r="AY2281">
            <v>13.969073068024317</v>
          </cell>
        </row>
        <row r="2282">
          <cell r="A2282">
            <v>42732</v>
          </cell>
          <cell r="AF2282">
            <v>19.185085450346421</v>
          </cell>
          <cell r="AG2282">
            <v>20.469360058004284</v>
          </cell>
          <cell r="AH2282">
            <v>17.881583490985356</v>
          </cell>
          <cell r="AI2282">
            <v>15.547864889645153</v>
          </cell>
          <cell r="AJ2282">
            <v>20.215302092325562</v>
          </cell>
          <cell r="AU2282">
            <v>13.777902365411217</v>
          </cell>
          <cell r="AV2282">
            <v>14.263722316306255</v>
          </cell>
          <cell r="AW2282">
            <v>12.105561258724364</v>
          </cell>
          <cell r="AX2282">
            <v>10.242049449424412</v>
          </cell>
          <cell r="AY2282">
            <v>13.969073068024317</v>
          </cell>
        </row>
        <row r="2283">
          <cell r="A2283">
            <v>42733</v>
          </cell>
          <cell r="AF2283">
            <v>19.218079841636424</v>
          </cell>
          <cell r="AG2283">
            <v>20.469360058004284</v>
          </cell>
          <cell r="AH2283">
            <v>17.881583490985356</v>
          </cell>
          <cell r="AI2283">
            <v>15.547864889645153</v>
          </cell>
          <cell r="AJ2283">
            <v>20.215302092325562</v>
          </cell>
          <cell r="AU2283">
            <v>13.799567475054939</v>
          </cell>
          <cell r="AV2283">
            <v>14.263722316306255</v>
          </cell>
          <cell r="AW2283">
            <v>12.105561258724364</v>
          </cell>
          <cell r="AX2283">
            <v>10.242049449424412</v>
          </cell>
          <cell r="AY2283">
            <v>13.969073068024317</v>
          </cell>
        </row>
        <row r="2284">
          <cell r="A2284">
            <v>42734</v>
          </cell>
          <cell r="AF2284">
            <v>19.046517980864401</v>
          </cell>
          <cell r="AG2284">
            <v>20.469360058004284</v>
          </cell>
          <cell r="AH2284">
            <v>17.881583490985356</v>
          </cell>
          <cell r="AI2284">
            <v>15.547864889645153</v>
          </cell>
          <cell r="AJ2284">
            <v>20.215302092325562</v>
          </cell>
          <cell r="AU2284">
            <v>13.686914797463851</v>
          </cell>
          <cell r="AV2284">
            <v>14.263722316306255</v>
          </cell>
          <cell r="AW2284">
            <v>12.105561258724364</v>
          </cell>
          <cell r="AX2284">
            <v>10.242049449424412</v>
          </cell>
          <cell r="AY2284">
            <v>13.969073068024317</v>
          </cell>
        </row>
        <row r="2285">
          <cell r="A2285">
            <v>42737</v>
          </cell>
          <cell r="AF2285">
            <v>18.843519622413428</v>
          </cell>
          <cell r="AG2285">
            <v>20.469360058004284</v>
          </cell>
          <cell r="AH2285">
            <v>17.881583490985356</v>
          </cell>
          <cell r="AI2285">
            <v>15.547864889645153</v>
          </cell>
          <cell r="AJ2285">
            <v>20.215302092325562</v>
          </cell>
          <cell r="AU2285">
            <v>13.531844975050188</v>
          </cell>
          <cell r="AV2285">
            <v>14.263722316306255</v>
          </cell>
          <cell r="AW2285">
            <v>12.105561258724364</v>
          </cell>
          <cell r="AX2285">
            <v>10.242049449424412</v>
          </cell>
          <cell r="AY2285">
            <v>13.969073068024317</v>
          </cell>
        </row>
        <row r="2286">
          <cell r="A2286">
            <v>42738</v>
          </cell>
          <cell r="AF2286">
            <v>19.134886542336119</v>
          </cell>
          <cell r="AG2286">
            <v>20.469360058004284</v>
          </cell>
          <cell r="AH2286">
            <v>17.881583490985356</v>
          </cell>
          <cell r="AI2286">
            <v>15.547864889645153</v>
          </cell>
          <cell r="AJ2286">
            <v>20.215302092325562</v>
          </cell>
          <cell r="AU2286">
            <v>13.382431218199059</v>
          </cell>
          <cell r="AV2286">
            <v>14.263722316306255</v>
          </cell>
          <cell r="AW2286">
            <v>12.105561258724364</v>
          </cell>
          <cell r="AX2286">
            <v>10.242049449424412</v>
          </cell>
          <cell r="AY2286">
            <v>13.969073068024317</v>
          </cell>
        </row>
        <row r="2287">
          <cell r="A2287">
            <v>42739</v>
          </cell>
          <cell r="AF2287">
            <v>19.329614699665278</v>
          </cell>
          <cell r="AG2287">
            <v>20.469360058004284</v>
          </cell>
          <cell r="AH2287">
            <v>17.881583490985356</v>
          </cell>
          <cell r="AI2287">
            <v>15.547864889645153</v>
          </cell>
          <cell r="AJ2287">
            <v>20.215302092325562</v>
          </cell>
          <cell r="AU2287">
            <v>13.509069318184082</v>
          </cell>
          <cell r="AV2287">
            <v>14.263722316306255</v>
          </cell>
          <cell r="AW2287">
            <v>12.105561258724364</v>
          </cell>
          <cell r="AX2287">
            <v>10.242049449424412</v>
          </cell>
          <cell r="AY2287">
            <v>13.969073068024317</v>
          </cell>
        </row>
        <row r="2288">
          <cell r="A2288">
            <v>42740</v>
          </cell>
          <cell r="AF2288">
            <v>19.098499972716841</v>
          </cell>
          <cell r="AG2288">
            <v>20.469360058004284</v>
          </cell>
          <cell r="AH2288">
            <v>17.881583490985356</v>
          </cell>
          <cell r="AI2288">
            <v>15.547864889645153</v>
          </cell>
          <cell r="AJ2288">
            <v>20.215302092325562</v>
          </cell>
          <cell r="AU2288">
            <v>13.347918929146852</v>
          </cell>
          <cell r="AV2288">
            <v>14.263722316306255</v>
          </cell>
          <cell r="AW2288">
            <v>12.105561258724364</v>
          </cell>
          <cell r="AX2288">
            <v>10.242049449424412</v>
          </cell>
          <cell r="AY2288">
            <v>13.969073068024317</v>
          </cell>
        </row>
        <row r="2289">
          <cell r="A2289">
            <v>42741</v>
          </cell>
          <cell r="AF2289">
            <v>19.082755459818177</v>
          </cell>
          <cell r="AG2289">
            <v>20.469360058004284</v>
          </cell>
          <cell r="AH2289">
            <v>17.881583490985356</v>
          </cell>
          <cell r="AI2289">
            <v>15.547864889645153</v>
          </cell>
          <cell r="AJ2289">
            <v>20.215302092325562</v>
          </cell>
          <cell r="AU2289">
            <v>13.339545860446515</v>
          </cell>
          <cell r="AV2289">
            <v>14.263722316306255</v>
          </cell>
          <cell r="AW2289">
            <v>12.105561258724364</v>
          </cell>
          <cell r="AX2289">
            <v>10.242049449424412</v>
          </cell>
          <cell r="AY2289">
            <v>13.969073068024317</v>
          </cell>
        </row>
        <row r="2290">
          <cell r="A2290">
            <v>42744</v>
          </cell>
          <cell r="AF2290">
            <v>19.141685790893714</v>
          </cell>
          <cell r="AG2290">
            <v>20.469360058004284</v>
          </cell>
          <cell r="AH2290">
            <v>17.881583490985356</v>
          </cell>
          <cell r="AI2290">
            <v>15.547864889645153</v>
          </cell>
          <cell r="AJ2290">
            <v>20.215302092325562</v>
          </cell>
          <cell r="AU2290">
            <v>13.37721880962193</v>
          </cell>
          <cell r="AV2290">
            <v>14.263722316306255</v>
          </cell>
          <cell r="AW2290">
            <v>12.105561258724364</v>
          </cell>
          <cell r="AX2290">
            <v>10.242049449424412</v>
          </cell>
          <cell r="AY2290">
            <v>13.969073068024317</v>
          </cell>
        </row>
        <row r="2291">
          <cell r="A2291">
            <v>42745</v>
          </cell>
          <cell r="AF2291">
            <v>19.06379691938147</v>
          </cell>
          <cell r="AG2291">
            <v>20.469360058004284</v>
          </cell>
          <cell r="AH2291">
            <v>17.881583490985356</v>
          </cell>
          <cell r="AI2291">
            <v>15.547864889645153</v>
          </cell>
          <cell r="AJ2291">
            <v>20.215302092325562</v>
          </cell>
          <cell r="AU2291">
            <v>13.314432723606467</v>
          </cell>
          <cell r="AV2291">
            <v>14.263722316306255</v>
          </cell>
          <cell r="AW2291">
            <v>12.105561258724364</v>
          </cell>
          <cell r="AX2291">
            <v>10.242049449424412</v>
          </cell>
          <cell r="AY2291">
            <v>13.969073068024317</v>
          </cell>
        </row>
        <row r="2292">
          <cell r="A2292">
            <v>42746</v>
          </cell>
          <cell r="AF2292">
            <v>18.893377976842675</v>
          </cell>
          <cell r="AG2292">
            <v>20.469360058004284</v>
          </cell>
          <cell r="AH2292">
            <v>17.881583490985356</v>
          </cell>
          <cell r="AI2292">
            <v>15.547864889645153</v>
          </cell>
          <cell r="AJ2292">
            <v>20.215302092325562</v>
          </cell>
          <cell r="AU2292">
            <v>13.205603549703303</v>
          </cell>
          <cell r="AV2292">
            <v>14.263722316306255</v>
          </cell>
          <cell r="AW2292">
            <v>12.105561258724364</v>
          </cell>
          <cell r="AX2292">
            <v>10.242049449424412</v>
          </cell>
          <cell r="AY2292">
            <v>13.969073068024317</v>
          </cell>
        </row>
        <row r="2293">
          <cell r="A2293">
            <v>42747</v>
          </cell>
          <cell r="AF2293">
            <v>18.680358313307586</v>
          </cell>
          <cell r="AG2293">
            <v>20.469360058004284</v>
          </cell>
          <cell r="AH2293">
            <v>17.881583490985356</v>
          </cell>
          <cell r="AI2293">
            <v>15.547864889645153</v>
          </cell>
          <cell r="AJ2293">
            <v>20.215302092325562</v>
          </cell>
          <cell r="AU2293">
            <v>13.069569646063886</v>
          </cell>
          <cell r="AV2293">
            <v>14.263722316306255</v>
          </cell>
          <cell r="AW2293">
            <v>12.105561258724364</v>
          </cell>
          <cell r="AX2293">
            <v>10.242049449424412</v>
          </cell>
          <cell r="AY2293">
            <v>13.969073068024317</v>
          </cell>
        </row>
        <row r="2294">
          <cell r="A2294">
            <v>42748</v>
          </cell>
          <cell r="AF2294">
            <v>18.987988724995802</v>
          </cell>
          <cell r="AG2294">
            <v>20.469360058004284</v>
          </cell>
          <cell r="AH2294">
            <v>17.881583490985356</v>
          </cell>
          <cell r="AI2294">
            <v>15.547864889645153</v>
          </cell>
          <cell r="AJ2294">
            <v>20.215302092325562</v>
          </cell>
          <cell r="AU2294">
            <v>13.278237379129969</v>
          </cell>
          <cell r="AV2294">
            <v>14.263722316306255</v>
          </cell>
          <cell r="AW2294">
            <v>12.105561258724364</v>
          </cell>
          <cell r="AX2294">
            <v>10.242049449424412</v>
          </cell>
          <cell r="AY2294">
            <v>13.969073068024317</v>
          </cell>
        </row>
        <row r="2295">
          <cell r="A2295">
            <v>42751</v>
          </cell>
          <cell r="AF2295">
            <v>18.986814422141638</v>
          </cell>
          <cell r="AG2295">
            <v>20.469360058004284</v>
          </cell>
          <cell r="AH2295">
            <v>17.881583490985356</v>
          </cell>
          <cell r="AI2295">
            <v>15.547864889645153</v>
          </cell>
          <cell r="AJ2295">
            <v>20.215302092325562</v>
          </cell>
          <cell r="AU2295">
            <v>13.278196270889159</v>
          </cell>
          <cell r="AV2295">
            <v>14.263722316306255</v>
          </cell>
          <cell r="AW2295">
            <v>12.105561258724364</v>
          </cell>
          <cell r="AX2295">
            <v>10.242049449424412</v>
          </cell>
          <cell r="AY2295">
            <v>13.969073068024317</v>
          </cell>
        </row>
        <row r="2296">
          <cell r="A2296">
            <v>42752</v>
          </cell>
          <cell r="AF2296">
            <v>19.148604906537173</v>
          </cell>
          <cell r="AG2296">
            <v>20.469360058004284</v>
          </cell>
          <cell r="AH2296">
            <v>17.881583490985356</v>
          </cell>
          <cell r="AI2296">
            <v>15.547864889645153</v>
          </cell>
          <cell r="AJ2296">
            <v>20.215302092325562</v>
          </cell>
          <cell r="AU2296">
            <v>13.39252535339158</v>
          </cell>
          <cell r="AV2296">
            <v>14.263722316306255</v>
          </cell>
          <cell r="AW2296">
            <v>12.105561258724364</v>
          </cell>
          <cell r="AX2296">
            <v>10.242049449424412</v>
          </cell>
          <cell r="AY2296">
            <v>13.969073068024317</v>
          </cell>
        </row>
        <row r="2297">
          <cell r="A2297">
            <v>42753</v>
          </cell>
          <cell r="AF2297">
            <v>18.685465429415153</v>
          </cell>
          <cell r="AG2297">
            <v>20.469360058004284</v>
          </cell>
          <cell r="AH2297">
            <v>17.881583490985356</v>
          </cell>
          <cell r="AI2297">
            <v>15.547864889645153</v>
          </cell>
          <cell r="AJ2297">
            <v>20.215302092325562</v>
          </cell>
          <cell r="AU2297">
            <v>13.051496364976428</v>
          </cell>
          <cell r="AV2297">
            <v>14.263722316306255</v>
          </cell>
          <cell r="AW2297">
            <v>12.105561258724364</v>
          </cell>
          <cell r="AX2297">
            <v>10.242049449424412</v>
          </cell>
          <cell r="AY2297">
            <v>13.969073068024317</v>
          </cell>
        </row>
        <row r="2298">
          <cell r="A2298">
            <v>42754</v>
          </cell>
          <cell r="AF2298">
            <v>18.394690861031169</v>
          </cell>
          <cell r="AG2298">
            <v>20.469360058004284</v>
          </cell>
          <cell r="AH2298">
            <v>17.881583490985356</v>
          </cell>
          <cell r="AI2298">
            <v>15.547864889645153</v>
          </cell>
          <cell r="AJ2298">
            <v>20.215302092325562</v>
          </cell>
          <cell r="AU2298">
            <v>13.051496364976428</v>
          </cell>
          <cell r="AV2298">
            <v>14.263722316306255</v>
          </cell>
          <cell r="AW2298">
            <v>12.105561258724364</v>
          </cell>
          <cell r="AX2298">
            <v>10.242049449424412</v>
          </cell>
          <cell r="AY2298">
            <v>13.969073068024317</v>
          </cell>
        </row>
        <row r="2299">
          <cell r="A2299">
            <v>42755</v>
          </cell>
          <cell r="AF2299">
            <v>18.51736381835034</v>
          </cell>
          <cell r="AG2299">
            <v>20.469360058004284</v>
          </cell>
          <cell r="AH2299">
            <v>17.881583490985356</v>
          </cell>
          <cell r="AI2299">
            <v>15.547864889645153</v>
          </cell>
          <cell r="AJ2299">
            <v>20.215302092325562</v>
          </cell>
          <cell r="AU2299">
            <v>12.93778534985292</v>
          </cell>
          <cell r="AV2299">
            <v>14.263722316306255</v>
          </cell>
          <cell r="AW2299">
            <v>12.105561258724364</v>
          </cell>
          <cell r="AX2299">
            <v>10.242049449424412</v>
          </cell>
          <cell r="AY2299">
            <v>13.969073068024317</v>
          </cell>
        </row>
        <row r="2300">
          <cell r="A2300">
            <v>42758</v>
          </cell>
          <cell r="AF2300">
            <v>18.419741497355659</v>
          </cell>
          <cell r="AG2300">
            <v>20.469360058004284</v>
          </cell>
          <cell r="AH2300">
            <v>17.881583490985356</v>
          </cell>
          <cell r="AI2300">
            <v>15.547864889645153</v>
          </cell>
          <cell r="AJ2300">
            <v>20.215302092325562</v>
          </cell>
          <cell r="AU2300">
            <v>12.884509523589816</v>
          </cell>
          <cell r="AV2300">
            <v>14.263722316306255</v>
          </cell>
          <cell r="AW2300">
            <v>12.105561258724364</v>
          </cell>
          <cell r="AX2300">
            <v>10.242049449424412</v>
          </cell>
          <cell r="AY2300">
            <v>13.969073068024317</v>
          </cell>
        </row>
        <row r="2301">
          <cell r="A2301">
            <v>42759</v>
          </cell>
          <cell r="AF2301">
            <v>18.625181766146742</v>
          </cell>
          <cell r="AG2301">
            <v>20.469360058004284</v>
          </cell>
          <cell r="AH2301">
            <v>17.881583490985356</v>
          </cell>
          <cell r="AI2301">
            <v>15.547864889645153</v>
          </cell>
          <cell r="AJ2301">
            <v>20.215302092325562</v>
          </cell>
          <cell r="AU2301">
            <v>13.015385898441426</v>
          </cell>
          <cell r="AV2301">
            <v>14.263722316306255</v>
          </cell>
          <cell r="AW2301">
            <v>12.105561258724364</v>
          </cell>
          <cell r="AX2301">
            <v>10.242049449424412</v>
          </cell>
          <cell r="AY2301">
            <v>13.969073068024317</v>
          </cell>
        </row>
        <row r="2302">
          <cell r="A2302">
            <v>42760</v>
          </cell>
          <cell r="AF2302">
            <v>18.870407515890317</v>
          </cell>
          <cell r="AG2302">
            <v>20.469360058004284</v>
          </cell>
          <cell r="AH2302">
            <v>17.881583490985356</v>
          </cell>
          <cell r="AI2302">
            <v>15.547864889645153</v>
          </cell>
          <cell r="AJ2302">
            <v>20.215302092325562</v>
          </cell>
          <cell r="AU2302">
            <v>13.163146530958645</v>
          </cell>
          <cell r="AV2302">
            <v>14.263722316306255</v>
          </cell>
          <cell r="AW2302">
            <v>12.105561258724364</v>
          </cell>
          <cell r="AX2302">
            <v>10.242049449424412</v>
          </cell>
          <cell r="AY2302">
            <v>13.969073068024317</v>
          </cell>
        </row>
        <row r="2303">
          <cell r="A2303">
            <v>42761</v>
          </cell>
          <cell r="AF2303">
            <v>18.767617684445153</v>
          </cell>
          <cell r="AG2303">
            <v>20.469360058004284</v>
          </cell>
          <cell r="AH2303">
            <v>17.881583490985356</v>
          </cell>
          <cell r="AI2303">
            <v>15.547864889645153</v>
          </cell>
          <cell r="AJ2303">
            <v>20.215302092325562</v>
          </cell>
          <cell r="AU2303">
            <v>13.09770665483266</v>
          </cell>
          <cell r="AV2303">
            <v>14.263722316306255</v>
          </cell>
          <cell r="AW2303">
            <v>12.105561258724364</v>
          </cell>
          <cell r="AX2303">
            <v>10.242049449424412</v>
          </cell>
          <cell r="AY2303">
            <v>13.969073068024317</v>
          </cell>
        </row>
        <row r="2304">
          <cell r="A2304">
            <v>42762</v>
          </cell>
          <cell r="AF2304">
            <v>18.839185522548934</v>
          </cell>
          <cell r="AG2304">
            <v>20.469360058004284</v>
          </cell>
          <cell r="AH2304">
            <v>17.881583490985356</v>
          </cell>
          <cell r="AI2304">
            <v>15.547864889645153</v>
          </cell>
          <cell r="AJ2304">
            <v>20.215302092325562</v>
          </cell>
          <cell r="AU2304">
            <v>13.155197190994395</v>
          </cell>
          <cell r="AV2304">
            <v>14.263722316306255</v>
          </cell>
          <cell r="AW2304">
            <v>12.105561258724364</v>
          </cell>
          <cell r="AX2304">
            <v>10.242049449424412</v>
          </cell>
          <cell r="AY2304">
            <v>13.969073068024317</v>
          </cell>
        </row>
        <row r="2305">
          <cell r="A2305">
            <v>42765</v>
          </cell>
          <cell r="AF2305">
            <v>18.762586277570446</v>
          </cell>
          <cell r="AG2305">
            <v>20.469360058004284</v>
          </cell>
          <cell r="AH2305">
            <v>17.881583490985356</v>
          </cell>
          <cell r="AI2305">
            <v>15.547864889645153</v>
          </cell>
          <cell r="AJ2305">
            <v>20.215302092325562</v>
          </cell>
          <cell r="AU2305">
            <v>13.106408048952819</v>
          </cell>
          <cell r="AV2305">
            <v>14.263722316306255</v>
          </cell>
          <cell r="AW2305">
            <v>12.105561258724364</v>
          </cell>
          <cell r="AX2305">
            <v>10.242049449424412</v>
          </cell>
          <cell r="AY2305">
            <v>13.969073068024317</v>
          </cell>
        </row>
        <row r="2306">
          <cell r="A2306">
            <v>42766</v>
          </cell>
          <cell r="AF2306">
            <v>18.907351859058249</v>
          </cell>
          <cell r="AG2306">
            <v>20.469360058004284</v>
          </cell>
          <cell r="AH2306">
            <v>17.881583490985356</v>
          </cell>
          <cell r="AI2306">
            <v>15.547864889645153</v>
          </cell>
          <cell r="AJ2306">
            <v>20.215302092325562</v>
          </cell>
          <cell r="AU2306">
            <v>13.217310139444445</v>
          </cell>
          <cell r="AV2306">
            <v>14.263722316306255</v>
          </cell>
          <cell r="AW2306">
            <v>12.105561258724364</v>
          </cell>
          <cell r="AX2306">
            <v>10.242049449424412</v>
          </cell>
          <cell r="AY2306">
            <v>13.969073068024317</v>
          </cell>
        </row>
        <row r="2307">
          <cell r="A2307">
            <v>42767</v>
          </cell>
          <cell r="AF2307">
            <v>18.774745050595925</v>
          </cell>
          <cell r="AG2307">
            <v>20.469360058004284</v>
          </cell>
          <cell r="AH2307">
            <v>17.881583490985356</v>
          </cell>
          <cell r="AI2307">
            <v>15.547864889645153</v>
          </cell>
          <cell r="AJ2307">
            <v>20.215302092325562</v>
          </cell>
          <cell r="AU2307">
            <v>13.141957206253137</v>
          </cell>
          <cell r="AV2307">
            <v>14.263722316306255</v>
          </cell>
          <cell r="AW2307">
            <v>12.105561258724364</v>
          </cell>
          <cell r="AX2307">
            <v>10.242049449424412</v>
          </cell>
          <cell r="AY2307">
            <v>13.969073068024317</v>
          </cell>
        </row>
        <row r="2308">
          <cell r="A2308">
            <v>42768</v>
          </cell>
          <cell r="AF2308">
            <v>18.686358276396067</v>
          </cell>
          <cell r="AG2308">
            <v>20.469360058004284</v>
          </cell>
          <cell r="AH2308">
            <v>17.881583490985356</v>
          </cell>
          <cell r="AI2308">
            <v>15.547864889645153</v>
          </cell>
          <cell r="AJ2308">
            <v>20.215302092325562</v>
          </cell>
          <cell r="AU2308">
            <v>13.141957206253137</v>
          </cell>
          <cell r="AV2308">
            <v>14.263722316306255</v>
          </cell>
          <cell r="AW2308">
            <v>12.105561258724364</v>
          </cell>
          <cell r="AX2308">
            <v>10.242049449424412</v>
          </cell>
          <cell r="AY2308">
            <v>13.969073068024317</v>
          </cell>
        </row>
        <row r="2309">
          <cell r="A2309">
            <v>42769</v>
          </cell>
          <cell r="AF2309">
            <v>18.892118640567372</v>
          </cell>
          <cell r="AG2309">
            <v>20.469360058004284</v>
          </cell>
          <cell r="AH2309">
            <v>17.881583490985356</v>
          </cell>
          <cell r="AI2309">
            <v>15.547864889645153</v>
          </cell>
          <cell r="AJ2309">
            <v>20.215302092325562</v>
          </cell>
          <cell r="AU2309">
            <v>13.192507905919403</v>
          </cell>
          <cell r="AV2309">
            <v>14.263722316306255</v>
          </cell>
          <cell r="AW2309">
            <v>12.105561258724364</v>
          </cell>
          <cell r="AX2309">
            <v>10.242049449424412</v>
          </cell>
          <cell r="AY2309">
            <v>13.969073068024317</v>
          </cell>
        </row>
        <row r="2310">
          <cell r="A2310">
            <v>42772</v>
          </cell>
          <cell r="AF2310">
            <v>18.931792420341171</v>
          </cell>
          <cell r="AG2310">
            <v>20.469360058004284</v>
          </cell>
          <cell r="AH2310">
            <v>17.881583490985356</v>
          </cell>
          <cell r="AI2310">
            <v>15.547864889645153</v>
          </cell>
          <cell r="AJ2310">
            <v>20.215302092325562</v>
          </cell>
          <cell r="AU2310">
            <v>13.217800566147339</v>
          </cell>
          <cell r="AV2310">
            <v>14.263722316306255</v>
          </cell>
          <cell r="AW2310">
            <v>12.105561258724364</v>
          </cell>
          <cell r="AX2310">
            <v>10.242049449424412</v>
          </cell>
          <cell r="AY2310">
            <v>13.969073068024317</v>
          </cell>
        </row>
        <row r="2311">
          <cell r="A2311">
            <v>42773</v>
          </cell>
          <cell r="AF2311">
            <v>18.987998622382808</v>
          </cell>
          <cell r="AG2311">
            <v>20.469360058004284</v>
          </cell>
          <cell r="AH2311">
            <v>17.881583490985356</v>
          </cell>
          <cell r="AI2311">
            <v>15.547864889645153</v>
          </cell>
          <cell r="AJ2311">
            <v>20.215302092325562</v>
          </cell>
          <cell r="AU2311">
            <v>13.253632906273415</v>
          </cell>
          <cell r="AV2311">
            <v>14.263722316306255</v>
          </cell>
          <cell r="AW2311">
            <v>12.105561258724364</v>
          </cell>
          <cell r="AX2311">
            <v>10.242049449424412</v>
          </cell>
          <cell r="AY2311">
            <v>13.969073068024317</v>
          </cell>
        </row>
        <row r="2312">
          <cell r="A2312">
            <v>42774</v>
          </cell>
          <cell r="AF2312">
            <v>19.001107624311398</v>
          </cell>
          <cell r="AG2312">
            <v>20.469360058004284</v>
          </cell>
          <cell r="AH2312">
            <v>17.881583490985356</v>
          </cell>
          <cell r="AI2312">
            <v>15.547864889645153</v>
          </cell>
          <cell r="AJ2312">
            <v>20.215302092325562</v>
          </cell>
          <cell r="AU2312">
            <v>13.274123361051425</v>
          </cell>
          <cell r="AV2312">
            <v>14.263722316306255</v>
          </cell>
          <cell r="AW2312">
            <v>12.105561258724364</v>
          </cell>
          <cell r="AX2312">
            <v>10.242049449424412</v>
          </cell>
          <cell r="AY2312">
            <v>13.969073068024317</v>
          </cell>
        </row>
        <row r="2313">
          <cell r="A2313">
            <v>42775</v>
          </cell>
          <cell r="AF2313">
            <v>19.428729613261719</v>
          </cell>
          <cell r="AG2313">
            <v>20.469360058004284</v>
          </cell>
          <cell r="AH2313">
            <v>17.881583490985356</v>
          </cell>
          <cell r="AI2313">
            <v>15.547864889645153</v>
          </cell>
          <cell r="AJ2313">
            <v>20.215302092325562</v>
          </cell>
          <cell r="AU2313">
            <v>13.274123361051425</v>
          </cell>
          <cell r="AV2313">
            <v>14.263722316306255</v>
          </cell>
          <cell r="AW2313">
            <v>12.105561258724364</v>
          </cell>
          <cell r="AX2313">
            <v>10.242049449424412</v>
          </cell>
          <cell r="AY2313">
            <v>13.969073068024317</v>
          </cell>
        </row>
        <row r="2314">
          <cell r="A2314">
            <v>42776</v>
          </cell>
          <cell r="AF2314">
            <v>19.353855026734159</v>
          </cell>
          <cell r="AG2314">
            <v>20.469360058004284</v>
          </cell>
          <cell r="AH2314">
            <v>17.881583490985356</v>
          </cell>
          <cell r="AI2314">
            <v>15.547864889645153</v>
          </cell>
          <cell r="AJ2314">
            <v>20.215302092325562</v>
          </cell>
          <cell r="AU2314">
            <v>13.500416197946313</v>
          </cell>
          <cell r="AV2314">
            <v>14.263722316306255</v>
          </cell>
          <cell r="AW2314">
            <v>12.105561258724364</v>
          </cell>
          <cell r="AX2314">
            <v>10.242049449424412</v>
          </cell>
          <cell r="AY2314">
            <v>13.969073068024317</v>
          </cell>
        </row>
        <row r="2315">
          <cell r="A2315">
            <v>42779</v>
          </cell>
          <cell r="AF2315">
            <v>19.597219064326957</v>
          </cell>
          <cell r="AG2315">
            <v>20.469360058004284</v>
          </cell>
          <cell r="AH2315">
            <v>17.881583490985356</v>
          </cell>
          <cell r="AI2315">
            <v>15.547864889645153</v>
          </cell>
          <cell r="AJ2315">
            <v>20.215302092325562</v>
          </cell>
          <cell r="AU2315">
            <v>13.637463726061711</v>
          </cell>
          <cell r="AV2315">
            <v>14.263722316306255</v>
          </cell>
          <cell r="AW2315">
            <v>12.105561258724364</v>
          </cell>
          <cell r="AX2315">
            <v>10.242049449424412</v>
          </cell>
          <cell r="AY2315">
            <v>13.969073068024317</v>
          </cell>
        </row>
        <row r="2316">
          <cell r="A2316">
            <v>42780</v>
          </cell>
          <cell r="AF2316">
            <v>19.922189639842031</v>
          </cell>
          <cell r="AG2316">
            <v>20.469360058004284</v>
          </cell>
          <cell r="AH2316">
            <v>17.881583490985356</v>
          </cell>
          <cell r="AI2316">
            <v>15.547864889645153</v>
          </cell>
          <cell r="AJ2316">
            <v>20.215302092325562</v>
          </cell>
          <cell r="AU2316">
            <v>13.828381238446484</v>
          </cell>
          <cell r="AV2316">
            <v>14.263722316306255</v>
          </cell>
          <cell r="AW2316">
            <v>12.105561258724364</v>
          </cell>
          <cell r="AX2316">
            <v>10.242049449424412</v>
          </cell>
          <cell r="AY2316">
            <v>13.969073068024317</v>
          </cell>
        </row>
        <row r="2317">
          <cell r="A2317">
            <v>42781</v>
          </cell>
          <cell r="AF2317">
            <v>20.133948421522803</v>
          </cell>
          <cell r="AG2317">
            <v>20.469360058004284</v>
          </cell>
          <cell r="AH2317">
            <v>17.881583490985356</v>
          </cell>
          <cell r="AI2317">
            <v>15.547864889645153</v>
          </cell>
          <cell r="AJ2317">
            <v>20.215302092325562</v>
          </cell>
          <cell r="AU2317">
            <v>13.963081530176073</v>
          </cell>
          <cell r="AV2317">
            <v>14.263722316306255</v>
          </cell>
          <cell r="AW2317">
            <v>12.105561258724364</v>
          </cell>
          <cell r="AX2317">
            <v>10.242049449424412</v>
          </cell>
          <cell r="AY2317">
            <v>13.969073068024317</v>
          </cell>
        </row>
        <row r="2318">
          <cell r="A2318">
            <v>42782</v>
          </cell>
          <cell r="AF2318">
            <v>20.255671187196448</v>
          </cell>
          <cell r="AG2318">
            <v>20.469360058004284</v>
          </cell>
          <cell r="AH2318">
            <v>17.881583490985356</v>
          </cell>
          <cell r="AI2318">
            <v>15.547864889645153</v>
          </cell>
          <cell r="AJ2318">
            <v>20.215302092325562</v>
          </cell>
          <cell r="AU2318">
            <v>13.963081530176073</v>
          </cell>
          <cell r="AV2318">
            <v>14.263722316306255</v>
          </cell>
          <cell r="AW2318">
            <v>12.105561258724364</v>
          </cell>
          <cell r="AX2318">
            <v>10.242049449424412</v>
          </cell>
          <cell r="AY2318">
            <v>13.969073068024317</v>
          </cell>
        </row>
        <row r="2319">
          <cell r="A2319">
            <v>42783</v>
          </cell>
          <cell r="AF2319">
            <v>21.065671599991919</v>
          </cell>
          <cell r="AG2319">
            <v>20.469360058004284</v>
          </cell>
          <cell r="AH2319">
            <v>17.881583490985356</v>
          </cell>
          <cell r="AI2319">
            <v>15.547864889645153</v>
          </cell>
          <cell r="AJ2319">
            <v>20.215302092325562</v>
          </cell>
          <cell r="AU2319">
            <v>14.541481041669728</v>
          </cell>
          <cell r="AV2319">
            <v>14.263722316306255</v>
          </cell>
          <cell r="AW2319">
            <v>12.105561258724364</v>
          </cell>
          <cell r="AX2319">
            <v>10.242049449424412</v>
          </cell>
          <cell r="AY2319">
            <v>13.969073068024317</v>
          </cell>
        </row>
        <row r="2320">
          <cell r="A2320">
            <v>42786</v>
          </cell>
          <cell r="AF2320">
            <v>21.179632566450479</v>
          </cell>
          <cell r="AG2320">
            <v>20.469360058004284</v>
          </cell>
          <cell r="AH2320">
            <v>17.881583490985356</v>
          </cell>
          <cell r="AI2320">
            <v>15.547864889645153</v>
          </cell>
          <cell r="AJ2320">
            <v>20.215302092325562</v>
          </cell>
          <cell r="AU2320">
            <v>14.728669584543356</v>
          </cell>
          <cell r="AV2320">
            <v>14.263722316306255</v>
          </cell>
          <cell r="AW2320">
            <v>12.105561258724364</v>
          </cell>
          <cell r="AX2320">
            <v>10.242049449424412</v>
          </cell>
          <cell r="AY2320">
            <v>13.969073068024317</v>
          </cell>
        </row>
        <row r="2321">
          <cell r="A2321">
            <v>42787</v>
          </cell>
          <cell r="AF2321">
            <v>21.402216128141617</v>
          </cell>
          <cell r="AG2321">
            <v>20.469360058004284</v>
          </cell>
          <cell r="AH2321">
            <v>17.881583490985356</v>
          </cell>
          <cell r="AI2321">
            <v>15.547864889645153</v>
          </cell>
          <cell r="AJ2321">
            <v>20.215302092325562</v>
          </cell>
          <cell r="AU2321">
            <v>14.957372580492811</v>
          </cell>
          <cell r="AV2321">
            <v>14.263722316306255</v>
          </cell>
          <cell r="AW2321">
            <v>12.105561258724364</v>
          </cell>
          <cell r="AX2321">
            <v>10.242049449424412</v>
          </cell>
          <cell r="AY2321">
            <v>13.969073068024317</v>
          </cell>
        </row>
        <row r="2322">
          <cell r="A2322">
            <v>42788</v>
          </cell>
          <cell r="AF2322">
            <v>21.392049299401755</v>
          </cell>
          <cell r="AG2322">
            <v>20.469360058004284</v>
          </cell>
          <cell r="AH2322">
            <v>17.881583490985356</v>
          </cell>
          <cell r="AI2322">
            <v>15.547864889645153</v>
          </cell>
          <cell r="AJ2322">
            <v>20.215302092325562</v>
          </cell>
          <cell r="AU2322">
            <v>14.921881873109214</v>
          </cell>
          <cell r="AV2322">
            <v>14.263722316306255</v>
          </cell>
          <cell r="AW2322">
            <v>12.105561258724364</v>
          </cell>
          <cell r="AX2322">
            <v>10.242049449424412</v>
          </cell>
          <cell r="AY2322">
            <v>13.969073068024317</v>
          </cell>
        </row>
        <row r="2323">
          <cell r="A2323">
            <v>42789</v>
          </cell>
          <cell r="AF2323">
            <v>21.429795939378884</v>
          </cell>
          <cell r="AG2323">
            <v>20.469360058004284</v>
          </cell>
          <cell r="AH2323">
            <v>17.881583490985356</v>
          </cell>
          <cell r="AI2323">
            <v>15.547864889645153</v>
          </cell>
          <cell r="AJ2323">
            <v>20.215302092325562</v>
          </cell>
          <cell r="AU2323">
            <v>14.921881873109214</v>
          </cell>
          <cell r="AV2323">
            <v>14.263722316306255</v>
          </cell>
          <cell r="AW2323">
            <v>12.105561258724364</v>
          </cell>
          <cell r="AX2323">
            <v>10.242049449424412</v>
          </cell>
          <cell r="AY2323">
            <v>13.969073068024317</v>
          </cell>
        </row>
        <row r="2324">
          <cell r="A2324">
            <v>42790</v>
          </cell>
          <cell r="AF2324">
            <v>21.600761651393697</v>
          </cell>
          <cell r="AG2324">
            <v>20.469360058004284</v>
          </cell>
          <cell r="AH2324">
            <v>17.881583490985356</v>
          </cell>
          <cell r="AI2324">
            <v>15.547864889645153</v>
          </cell>
          <cell r="AJ2324">
            <v>20.215302092325562</v>
          </cell>
          <cell r="AU2324">
            <v>15.029484502681548</v>
          </cell>
          <cell r="AV2324">
            <v>14.263722316306255</v>
          </cell>
          <cell r="AW2324">
            <v>12.105561258724364</v>
          </cell>
          <cell r="AX2324">
            <v>10.242049449424412</v>
          </cell>
          <cell r="AY2324">
            <v>13.969073068024317</v>
          </cell>
        </row>
        <row r="2325">
          <cell r="A2325">
            <v>42793</v>
          </cell>
          <cell r="AF2325">
            <v>21.394355156371873</v>
          </cell>
          <cell r="AG2325">
            <v>20.469360058004284</v>
          </cell>
          <cell r="AH2325">
            <v>17.881583490985356</v>
          </cell>
          <cell r="AI2325">
            <v>15.547864889645153</v>
          </cell>
          <cell r="AJ2325">
            <v>20.215302092325562</v>
          </cell>
          <cell r="AU2325">
            <v>14.89632984739853</v>
          </cell>
          <cell r="AV2325">
            <v>14.263722316306255</v>
          </cell>
          <cell r="AW2325">
            <v>12.105561258724364</v>
          </cell>
          <cell r="AX2325">
            <v>10.242049449424412</v>
          </cell>
          <cell r="AY2325">
            <v>13.969073068024317</v>
          </cell>
        </row>
        <row r="2326">
          <cell r="A2326">
            <v>42794</v>
          </cell>
          <cell r="AF2326">
            <v>21.840689398283125</v>
          </cell>
          <cell r="AG2326">
            <v>20.469360058004284</v>
          </cell>
          <cell r="AH2326">
            <v>17.881583490985356</v>
          </cell>
          <cell r="AI2326">
            <v>15.547864889645153</v>
          </cell>
          <cell r="AJ2326">
            <v>20.215302092325562</v>
          </cell>
          <cell r="AU2326">
            <v>15.191494204590093</v>
          </cell>
          <cell r="AV2326">
            <v>14.263722316306255</v>
          </cell>
          <cell r="AW2326">
            <v>12.105561258724364</v>
          </cell>
          <cell r="AX2326">
            <v>10.242049449424412</v>
          </cell>
          <cell r="AY2326">
            <v>13.969073068024317</v>
          </cell>
        </row>
        <row r="2327">
          <cell r="A2327">
            <v>42795</v>
          </cell>
          <cell r="AF2327">
            <v>21.94997447677386</v>
          </cell>
          <cell r="AG2327">
            <v>20.469360058004284</v>
          </cell>
          <cell r="AH2327">
            <v>17.881583490985356</v>
          </cell>
          <cell r="AI2327">
            <v>15.547864889645153</v>
          </cell>
          <cell r="AJ2327">
            <v>20.215302092325562</v>
          </cell>
          <cell r="AU2327">
            <v>15.29271906364133</v>
          </cell>
          <cell r="AV2327">
            <v>14.263722316306255</v>
          </cell>
          <cell r="AW2327">
            <v>12.105561258724364</v>
          </cell>
          <cell r="AX2327">
            <v>10.242049449424412</v>
          </cell>
          <cell r="AY2327">
            <v>13.969073068024317</v>
          </cell>
        </row>
        <row r="2328">
          <cell r="A2328">
            <v>42796</v>
          </cell>
          <cell r="AF2328">
            <v>21.660709205376889</v>
          </cell>
          <cell r="AG2328">
            <v>20.469360058004284</v>
          </cell>
          <cell r="AH2328">
            <v>17.881583490985356</v>
          </cell>
          <cell r="AI2328">
            <v>15.547864889645153</v>
          </cell>
          <cell r="AJ2328">
            <v>20.215302092325562</v>
          </cell>
          <cell r="AU2328">
            <v>15.105571891903871</v>
          </cell>
          <cell r="AV2328">
            <v>14.263722316306255</v>
          </cell>
          <cell r="AW2328">
            <v>12.105561258724364</v>
          </cell>
          <cell r="AX2328">
            <v>10.242049449424412</v>
          </cell>
          <cell r="AY2328">
            <v>13.969073068024317</v>
          </cell>
        </row>
        <row r="2329">
          <cell r="A2329">
            <v>42797</v>
          </cell>
          <cell r="AF2329">
            <v>21.547356231933342</v>
          </cell>
          <cell r="AG2329">
            <v>20.469360058004284</v>
          </cell>
          <cell r="AH2329">
            <v>17.881583490985356</v>
          </cell>
          <cell r="AI2329">
            <v>15.547864889645153</v>
          </cell>
          <cell r="AJ2329">
            <v>20.215302092325562</v>
          </cell>
          <cell r="AU2329">
            <v>15.061950093157334</v>
          </cell>
          <cell r="AV2329">
            <v>14.263722316306255</v>
          </cell>
          <cell r="AW2329">
            <v>12.105561258724364</v>
          </cell>
          <cell r="AX2329">
            <v>10.242049449424412</v>
          </cell>
          <cell r="AY2329">
            <v>13.969073068024317</v>
          </cell>
        </row>
        <row r="2330">
          <cell r="A2330">
            <v>42800</v>
          </cell>
          <cell r="AF2330">
            <v>21.339908178881142</v>
          </cell>
          <cell r="AG2330">
            <v>20.469360058004284</v>
          </cell>
          <cell r="AH2330">
            <v>17.881583490985356</v>
          </cell>
          <cell r="AI2330">
            <v>15.547864889645153</v>
          </cell>
          <cell r="AJ2330">
            <v>20.215302092325562</v>
          </cell>
          <cell r="AU2330">
            <v>14.914128969794572</v>
          </cell>
          <cell r="AV2330">
            <v>14.263722316306255</v>
          </cell>
          <cell r="AW2330">
            <v>12.105561258724364</v>
          </cell>
          <cell r="AX2330">
            <v>10.242049449424412</v>
          </cell>
          <cell r="AY2330">
            <v>13.969073068024317</v>
          </cell>
        </row>
        <row r="2331">
          <cell r="A2331">
            <v>42801</v>
          </cell>
          <cell r="AF2331">
            <v>21.271893895595987</v>
          </cell>
          <cell r="AG2331">
            <v>20.469360058004284</v>
          </cell>
          <cell r="AH2331">
            <v>17.881583490985356</v>
          </cell>
          <cell r="AI2331">
            <v>15.547864889645153</v>
          </cell>
          <cell r="AJ2331">
            <v>20.215302092325562</v>
          </cell>
          <cell r="AU2331">
            <v>14.8700955326673</v>
          </cell>
          <cell r="AV2331">
            <v>14.263722316306255</v>
          </cell>
          <cell r="AW2331">
            <v>12.105561258724364</v>
          </cell>
          <cell r="AX2331">
            <v>10.242049449424412</v>
          </cell>
          <cell r="AY2331">
            <v>13.969073068024317</v>
          </cell>
        </row>
        <row r="2332">
          <cell r="A2332">
            <v>42802</v>
          </cell>
          <cell r="AF2332">
            <v>21.319504506036388</v>
          </cell>
          <cell r="AG2332">
            <v>20.469360058004284</v>
          </cell>
          <cell r="AH2332">
            <v>17.881583490985356</v>
          </cell>
          <cell r="AI2332">
            <v>15.547864889645153</v>
          </cell>
          <cell r="AJ2332">
            <v>20.215302092325562</v>
          </cell>
          <cell r="AU2332">
            <v>14.900919334965248</v>
          </cell>
          <cell r="AV2332">
            <v>14.263722316306255</v>
          </cell>
          <cell r="AW2332">
            <v>12.105561258724364</v>
          </cell>
          <cell r="AX2332">
            <v>10.242049449424412</v>
          </cell>
          <cell r="AY2332">
            <v>13.969073068024317</v>
          </cell>
        </row>
        <row r="2333">
          <cell r="A2333">
            <v>42803</v>
          </cell>
          <cell r="AF2333">
            <v>21.363716374766195</v>
          </cell>
          <cell r="AG2333">
            <v>20.469360058004284</v>
          </cell>
          <cell r="AH2333">
            <v>17.881583490985356</v>
          </cell>
          <cell r="AI2333">
            <v>15.547864889645153</v>
          </cell>
          <cell r="AJ2333">
            <v>20.215302092325562</v>
          </cell>
          <cell r="AU2333">
            <v>14.929539439828218</v>
          </cell>
          <cell r="AV2333">
            <v>14.263722316306255</v>
          </cell>
          <cell r="AW2333">
            <v>12.105561258724364</v>
          </cell>
          <cell r="AX2333">
            <v>10.242049449424412</v>
          </cell>
          <cell r="AY2333">
            <v>13.969073068024317</v>
          </cell>
        </row>
        <row r="2334">
          <cell r="A2334">
            <v>42804</v>
          </cell>
          <cell r="AF2334">
            <v>21.560956980105423</v>
          </cell>
          <cell r="AG2334">
            <v>20.469360058004284</v>
          </cell>
          <cell r="AH2334">
            <v>17.881583490985356</v>
          </cell>
          <cell r="AI2334">
            <v>15.547864889645153</v>
          </cell>
          <cell r="AJ2334">
            <v>20.215302092325562</v>
          </cell>
          <cell r="AU2334">
            <v>15.066410253574343</v>
          </cell>
          <cell r="AV2334">
            <v>14.263722316306255</v>
          </cell>
          <cell r="AW2334">
            <v>12.105561258724364</v>
          </cell>
          <cell r="AX2334">
            <v>10.242049449424412</v>
          </cell>
          <cell r="AY2334">
            <v>13.969073068024317</v>
          </cell>
        </row>
        <row r="2335">
          <cell r="A2335">
            <v>42807</v>
          </cell>
          <cell r="AF2335">
            <v>21.744602278524059</v>
          </cell>
          <cell r="AG2335">
            <v>20.469360058004284</v>
          </cell>
          <cell r="AH2335">
            <v>17.881583490985356</v>
          </cell>
          <cell r="AI2335">
            <v>15.547864889645153</v>
          </cell>
          <cell r="AJ2335">
            <v>20.215302092325562</v>
          </cell>
          <cell r="AU2335">
            <v>15.185377309631049</v>
          </cell>
          <cell r="AV2335">
            <v>14.263722316306255</v>
          </cell>
          <cell r="AW2335">
            <v>12.105561258724364</v>
          </cell>
          <cell r="AX2335">
            <v>10.242049449424412</v>
          </cell>
          <cell r="AY2335">
            <v>13.969073068024317</v>
          </cell>
        </row>
        <row r="2336">
          <cell r="A2336">
            <v>42808</v>
          </cell>
          <cell r="AF2336">
            <v>21.649380717565041</v>
          </cell>
          <cell r="AG2336">
            <v>20.469360058004284</v>
          </cell>
          <cell r="AH2336">
            <v>17.881583490985356</v>
          </cell>
          <cell r="AI2336">
            <v>15.547864889645153</v>
          </cell>
          <cell r="AJ2336">
            <v>20.215302092325562</v>
          </cell>
          <cell r="AU2336">
            <v>15.123691936370934</v>
          </cell>
          <cell r="AV2336">
            <v>14.263722316306255</v>
          </cell>
          <cell r="AW2336">
            <v>12.105561258724364</v>
          </cell>
          <cell r="AX2336">
            <v>10.242049449424412</v>
          </cell>
          <cell r="AY2336">
            <v>13.969073068024317</v>
          </cell>
        </row>
        <row r="2337">
          <cell r="A2337">
            <v>42809</v>
          </cell>
          <cell r="AF2337">
            <v>21.601770107124636</v>
          </cell>
          <cell r="AG2337">
            <v>20.469360058004284</v>
          </cell>
          <cell r="AH2337">
            <v>17.881583490985356</v>
          </cell>
          <cell r="AI2337">
            <v>15.547864889645153</v>
          </cell>
          <cell r="AJ2337">
            <v>20.215302092325562</v>
          </cell>
          <cell r="AU2337">
            <v>15.090540665161939</v>
          </cell>
          <cell r="AV2337">
            <v>14.263722316306255</v>
          </cell>
          <cell r="AW2337">
            <v>12.105561258724364</v>
          </cell>
          <cell r="AX2337">
            <v>10.242049449424412</v>
          </cell>
          <cell r="AY2337">
            <v>13.969073068024317</v>
          </cell>
        </row>
        <row r="2338">
          <cell r="A2338">
            <v>42810</v>
          </cell>
          <cell r="AF2338">
            <v>21.458937935725217</v>
          </cell>
          <cell r="AG2338">
            <v>20.469360058004284</v>
          </cell>
          <cell r="AH2338">
            <v>17.881583490985356</v>
          </cell>
          <cell r="AI2338">
            <v>15.547864889645153</v>
          </cell>
          <cell r="AJ2338">
            <v>20.215302092325562</v>
          </cell>
          <cell r="AU2338">
            <v>15.090540665161939</v>
          </cell>
          <cell r="AV2338">
            <v>14.263722316306255</v>
          </cell>
          <cell r="AW2338">
            <v>12.105561258724364</v>
          </cell>
          <cell r="AX2338">
            <v>10.242049449424412</v>
          </cell>
          <cell r="AY2338">
            <v>13.969073068024317</v>
          </cell>
        </row>
        <row r="2339">
          <cell r="A2339">
            <v>42811</v>
          </cell>
          <cell r="AF2339">
            <v>21.513346369665022</v>
          </cell>
          <cell r="AG2339">
            <v>20.469360058004284</v>
          </cell>
          <cell r="AH2339">
            <v>17.881583490985356</v>
          </cell>
          <cell r="AI2339">
            <v>15.547864889645153</v>
          </cell>
          <cell r="AJ2339">
            <v>20.215302092325562</v>
          </cell>
          <cell r="AU2339">
            <v>15.03326774452259</v>
          </cell>
          <cell r="AV2339">
            <v>14.263722316306255</v>
          </cell>
          <cell r="AW2339">
            <v>12.105561258724364</v>
          </cell>
          <cell r="AX2339">
            <v>10.242049449424412</v>
          </cell>
          <cell r="AY2339">
            <v>13.969073068024317</v>
          </cell>
        </row>
        <row r="2340">
          <cell r="A2340">
            <v>42814</v>
          </cell>
          <cell r="AF2340">
            <v>21.339908178881142</v>
          </cell>
          <cell r="AG2340">
            <v>20.469360058004284</v>
          </cell>
          <cell r="AH2340">
            <v>17.881583490985356</v>
          </cell>
          <cell r="AI2340">
            <v>15.547864889645153</v>
          </cell>
          <cell r="AJ2340">
            <v>20.215302092325562</v>
          </cell>
          <cell r="AU2340">
            <v>14.920930129963667</v>
          </cell>
          <cell r="AV2340">
            <v>14.263722316306255</v>
          </cell>
          <cell r="AW2340">
            <v>12.105561258724364</v>
          </cell>
          <cell r="AX2340">
            <v>10.242049449424412</v>
          </cell>
          <cell r="AY2340">
            <v>13.969073068024317</v>
          </cell>
        </row>
        <row r="2341">
          <cell r="A2341">
            <v>42815</v>
          </cell>
          <cell r="AF2341">
            <v>21.220878762115287</v>
          </cell>
          <cell r="AG2341">
            <v>20.469360058004284</v>
          </cell>
          <cell r="AH2341">
            <v>17.881583490985356</v>
          </cell>
          <cell r="AI2341">
            <v>15.547864889645153</v>
          </cell>
          <cell r="AJ2341">
            <v>20.215302092325562</v>
          </cell>
          <cell r="AU2341">
            <v>14.84383361113248</v>
          </cell>
          <cell r="AV2341">
            <v>14.263722316306255</v>
          </cell>
          <cell r="AW2341">
            <v>12.105561258724364</v>
          </cell>
          <cell r="AX2341">
            <v>10.242049449424412</v>
          </cell>
          <cell r="AY2341">
            <v>13.969073068024317</v>
          </cell>
        </row>
        <row r="2342">
          <cell r="A2342">
            <v>42816</v>
          </cell>
          <cell r="AF2342">
            <v>21.305898316612819</v>
          </cell>
          <cell r="AG2342">
            <v>20.469360058004284</v>
          </cell>
          <cell r="AH2342">
            <v>17.881583490985356</v>
          </cell>
          <cell r="AI2342">
            <v>15.547864889645153</v>
          </cell>
          <cell r="AJ2342">
            <v>20.215302092325562</v>
          </cell>
          <cell r="AU2342">
            <v>14.898901609131933</v>
          </cell>
          <cell r="AV2342">
            <v>14.263722316306255</v>
          </cell>
          <cell r="AW2342">
            <v>12.105561258724364</v>
          </cell>
          <cell r="AX2342">
            <v>10.242049449424412</v>
          </cell>
          <cell r="AY2342">
            <v>13.969073068024317</v>
          </cell>
        </row>
        <row r="2343">
          <cell r="A2343">
            <v>42817</v>
          </cell>
          <cell r="AF2343">
            <v>21.193677265771129</v>
          </cell>
          <cell r="AG2343">
            <v>20.469360058004284</v>
          </cell>
          <cell r="AH2343">
            <v>17.881583490985356</v>
          </cell>
          <cell r="AI2343">
            <v>15.547864889645153</v>
          </cell>
          <cell r="AJ2343">
            <v>20.215302092325562</v>
          </cell>
          <cell r="AU2343">
            <v>14.898901609131933</v>
          </cell>
          <cell r="AV2343">
            <v>14.263722316306255</v>
          </cell>
          <cell r="AW2343">
            <v>12.105561258724364</v>
          </cell>
          <cell r="AX2343">
            <v>10.242049449424412</v>
          </cell>
          <cell r="AY2343">
            <v>13.969073068024317</v>
          </cell>
        </row>
        <row r="2344">
          <cell r="A2344">
            <v>42818</v>
          </cell>
          <cell r="AF2344">
            <v>21.234484951538853</v>
          </cell>
          <cell r="AG2344">
            <v>20.469360058004284</v>
          </cell>
          <cell r="AH2344">
            <v>17.881583490985356</v>
          </cell>
          <cell r="AI2344">
            <v>15.547864889645153</v>
          </cell>
          <cell r="AJ2344">
            <v>20.215302092325562</v>
          </cell>
          <cell r="AU2344">
            <v>14.85264647326032</v>
          </cell>
          <cell r="AV2344">
            <v>14.263722316306255</v>
          </cell>
          <cell r="AW2344">
            <v>12.105561258724364</v>
          </cell>
          <cell r="AX2344">
            <v>10.242049449424412</v>
          </cell>
          <cell r="AY2344">
            <v>13.969073068024317</v>
          </cell>
        </row>
        <row r="2345">
          <cell r="A2345">
            <v>42821</v>
          </cell>
          <cell r="AF2345">
            <v>21.275292637306581</v>
          </cell>
          <cell r="AG2345">
            <v>20.469360058004284</v>
          </cell>
          <cell r="AH2345">
            <v>17.881583490985356</v>
          </cell>
          <cell r="AI2345">
            <v>15.547864889645153</v>
          </cell>
          <cell r="AJ2345">
            <v>20.215302092325562</v>
          </cell>
          <cell r="AU2345">
            <v>14.879078010940098</v>
          </cell>
          <cell r="AV2345">
            <v>14.263722316306255</v>
          </cell>
          <cell r="AW2345">
            <v>12.105561258724364</v>
          </cell>
          <cell r="AX2345">
            <v>10.242049449424412</v>
          </cell>
          <cell r="AY2345">
            <v>13.969073068024317</v>
          </cell>
        </row>
        <row r="2346">
          <cell r="A2346">
            <v>42822</v>
          </cell>
          <cell r="AF2346">
            <v>21.40452406053392</v>
          </cell>
          <cell r="AG2346">
            <v>20.469360058004284</v>
          </cell>
          <cell r="AH2346">
            <v>17.881583490985356</v>
          </cell>
          <cell r="AI2346">
            <v>15.547864889645153</v>
          </cell>
          <cell r="AJ2346">
            <v>20.215302092325562</v>
          </cell>
          <cell r="AU2346">
            <v>14.962782469259224</v>
          </cell>
          <cell r="AV2346">
            <v>14.263722316306255</v>
          </cell>
          <cell r="AW2346">
            <v>12.105561258724364</v>
          </cell>
          <cell r="AX2346">
            <v>10.242049449424412</v>
          </cell>
          <cell r="AY2346">
            <v>13.969073068024317</v>
          </cell>
        </row>
        <row r="2347">
          <cell r="A2347">
            <v>42823</v>
          </cell>
          <cell r="AF2347">
            <v>21.40452406053392</v>
          </cell>
          <cell r="AG2347">
            <v>20.469360058004284</v>
          </cell>
          <cell r="AH2347">
            <v>17.881583490985356</v>
          </cell>
          <cell r="AI2347">
            <v>15.547864889645153</v>
          </cell>
          <cell r="AJ2347">
            <v>20.215302092325562</v>
          </cell>
          <cell r="AU2347">
            <v>14.962782469259224</v>
          </cell>
          <cell r="AV2347">
            <v>14.263722316306255</v>
          </cell>
          <cell r="AW2347">
            <v>12.105561258724364</v>
          </cell>
          <cell r="AX2347">
            <v>10.242049449424412</v>
          </cell>
          <cell r="AY2347">
            <v>13.969073068024317</v>
          </cell>
        </row>
        <row r="2348">
          <cell r="A2348">
            <v>42824</v>
          </cell>
          <cell r="AF2348">
            <v>21.305898316612819</v>
          </cell>
          <cell r="AG2348">
            <v>20.469360058004284</v>
          </cell>
          <cell r="AH2348">
            <v>17.881583490985356</v>
          </cell>
          <cell r="AI2348">
            <v>15.547864889645153</v>
          </cell>
          <cell r="AJ2348">
            <v>20.215302092325562</v>
          </cell>
          <cell r="AU2348">
            <v>14.898901609131933</v>
          </cell>
          <cell r="AV2348">
            <v>14.263722316306255</v>
          </cell>
          <cell r="AW2348">
            <v>12.105561258724364</v>
          </cell>
          <cell r="AX2348">
            <v>10.242049449424412</v>
          </cell>
          <cell r="AY2348">
            <v>13.969073068024317</v>
          </cell>
        </row>
        <row r="2349">
          <cell r="A2349">
            <v>42825</v>
          </cell>
          <cell r="AF2349">
            <v>21.232589506973106</v>
          </cell>
          <cell r="AG2349">
            <v>20.469360058004284</v>
          </cell>
          <cell r="AH2349">
            <v>17.881583490985356</v>
          </cell>
          <cell r="AI2349">
            <v>15.547864889645153</v>
          </cell>
          <cell r="AJ2349">
            <v>20.215302092325562</v>
          </cell>
          <cell r="AU2349">
            <v>14.852603740747037</v>
          </cell>
          <cell r="AV2349">
            <v>14.263722316306255</v>
          </cell>
          <cell r="AW2349">
            <v>12.105561258724364</v>
          </cell>
          <cell r="AX2349">
            <v>10.242049449424412</v>
          </cell>
          <cell r="AY2349">
            <v>13.969073068024317</v>
          </cell>
        </row>
        <row r="2350">
          <cell r="A2350">
            <v>42828</v>
          </cell>
          <cell r="AF2350">
            <v>21.080073318094495</v>
          </cell>
          <cell r="AG2350">
            <v>20.469360058004284</v>
          </cell>
          <cell r="AH2350">
            <v>17.881583490985356</v>
          </cell>
          <cell r="AI2350">
            <v>15.547864889645153</v>
          </cell>
          <cell r="AJ2350">
            <v>20.215302092325562</v>
          </cell>
          <cell r="AU2350">
            <v>14.785546643992264</v>
          </cell>
          <cell r="AV2350">
            <v>14.263722316306255</v>
          </cell>
          <cell r="AW2350">
            <v>12.105561258724364</v>
          </cell>
          <cell r="AX2350">
            <v>10.242049449424412</v>
          </cell>
          <cell r="AY2350">
            <v>13.969073068024317</v>
          </cell>
        </row>
        <row r="2351">
          <cell r="A2351">
            <v>42829</v>
          </cell>
          <cell r="AF2351">
            <v>20.790659459000711</v>
          </cell>
          <cell r="AG2351">
            <v>20.469360058004284</v>
          </cell>
          <cell r="AH2351">
            <v>17.881583490985356</v>
          </cell>
          <cell r="AI2351">
            <v>15.547864889645153</v>
          </cell>
          <cell r="AJ2351">
            <v>20.215302092325562</v>
          </cell>
          <cell r="AU2351">
            <v>14.597525996764308</v>
          </cell>
          <cell r="AV2351">
            <v>14.263722316306255</v>
          </cell>
          <cell r="AW2351">
            <v>12.105561258724364</v>
          </cell>
          <cell r="AX2351">
            <v>10.242049449424412</v>
          </cell>
          <cell r="AY2351">
            <v>13.969073068024317</v>
          </cell>
        </row>
        <row r="2352">
          <cell r="A2352">
            <v>42830</v>
          </cell>
          <cell r="AF2352">
            <v>20.861332558574674</v>
          </cell>
          <cell r="AG2352">
            <v>20.469360058004284</v>
          </cell>
          <cell r="AH2352">
            <v>17.881583490985356</v>
          </cell>
          <cell r="AI2352">
            <v>15.547864889645153</v>
          </cell>
          <cell r="AJ2352">
            <v>20.215302092325562</v>
          </cell>
          <cell r="AU2352">
            <v>14.643439492286292</v>
          </cell>
          <cell r="AV2352">
            <v>14.263722316306255</v>
          </cell>
          <cell r="AW2352">
            <v>12.105561258724364</v>
          </cell>
          <cell r="AX2352">
            <v>10.242049449424412</v>
          </cell>
          <cell r="AY2352">
            <v>13.969073068024317</v>
          </cell>
        </row>
        <row r="2353">
          <cell r="A2353">
            <v>42831</v>
          </cell>
          <cell r="AF2353">
            <v>21.216205404121961</v>
          </cell>
          <cell r="AG2353">
            <v>20.469360058004284</v>
          </cell>
          <cell r="AH2353">
            <v>17.881583490985356</v>
          </cell>
          <cell r="AI2353">
            <v>15.547864889645153</v>
          </cell>
          <cell r="AJ2353">
            <v>20.215302092325562</v>
          </cell>
          <cell r="AU2353">
            <v>14.878751502329445</v>
          </cell>
          <cell r="AV2353">
            <v>14.263722316306255</v>
          </cell>
          <cell r="AW2353">
            <v>12.105561258724364</v>
          </cell>
          <cell r="AX2353">
            <v>10.242049449424412</v>
          </cell>
          <cell r="AY2353">
            <v>13.969073068024317</v>
          </cell>
        </row>
        <row r="2354">
          <cell r="A2354">
            <v>42832</v>
          </cell>
          <cell r="AF2354">
            <v>21.023226859645323</v>
          </cell>
          <cell r="AG2354">
            <v>20.469360058004284</v>
          </cell>
          <cell r="AH2354">
            <v>17.881583490985356</v>
          </cell>
          <cell r="AI2354">
            <v>15.547864889645153</v>
          </cell>
          <cell r="AJ2354">
            <v>20.215302092325562</v>
          </cell>
          <cell r="AU2354">
            <v>14.751900806046342</v>
          </cell>
          <cell r="AV2354">
            <v>14.263722316306255</v>
          </cell>
          <cell r="AW2354">
            <v>12.105561258724364</v>
          </cell>
          <cell r="AX2354">
            <v>10.242049449424412</v>
          </cell>
          <cell r="AY2354">
            <v>13.969073068024317</v>
          </cell>
        </row>
        <row r="2355">
          <cell r="A2355">
            <v>42835</v>
          </cell>
          <cell r="AF2355">
            <v>21.087174015485115</v>
          </cell>
          <cell r="AG2355">
            <v>20.469360058004284</v>
          </cell>
          <cell r="AH2355">
            <v>17.881583490985356</v>
          </cell>
          <cell r="AI2355">
            <v>15.547864889645153</v>
          </cell>
          <cell r="AJ2355">
            <v>20.215302092325562</v>
          </cell>
          <cell r="AU2355">
            <v>14.793453432630624</v>
          </cell>
          <cell r="AV2355">
            <v>14.263722316306255</v>
          </cell>
          <cell r="AW2355">
            <v>12.105561258724364</v>
          </cell>
          <cell r="AX2355">
            <v>10.242049449424412</v>
          </cell>
          <cell r="AY2355">
            <v>13.969073068024317</v>
          </cell>
        </row>
        <row r="2356">
          <cell r="A2356">
            <v>42836</v>
          </cell>
          <cell r="AF2356">
            <v>21.097271289130354</v>
          </cell>
          <cell r="AG2356">
            <v>20.469360058004284</v>
          </cell>
          <cell r="AH2356">
            <v>17.881583490985356</v>
          </cell>
          <cell r="AI2356">
            <v>15.547864889645153</v>
          </cell>
          <cell r="AJ2356">
            <v>20.215302092325562</v>
          </cell>
          <cell r="AU2356">
            <v>14.793453432630624</v>
          </cell>
          <cell r="AV2356">
            <v>14.263722316306255</v>
          </cell>
          <cell r="AW2356">
            <v>12.105561258724364</v>
          </cell>
          <cell r="AX2356">
            <v>10.242049449424412</v>
          </cell>
          <cell r="AY2356">
            <v>13.969073068024317</v>
          </cell>
        </row>
        <row r="2357">
          <cell r="A2357">
            <v>42837</v>
          </cell>
          <cell r="AF2357">
            <v>20.865030629419795</v>
          </cell>
          <cell r="AG2357">
            <v>20.469360058004284</v>
          </cell>
          <cell r="AH2357">
            <v>17.881583490985356</v>
          </cell>
          <cell r="AI2357">
            <v>15.547864889645153</v>
          </cell>
          <cell r="AJ2357">
            <v>20.215302092325562</v>
          </cell>
          <cell r="AU2357">
            <v>14.649105477696301</v>
          </cell>
          <cell r="AV2357">
            <v>14.263722316306255</v>
          </cell>
          <cell r="AW2357">
            <v>12.105561258724364</v>
          </cell>
          <cell r="AX2357">
            <v>10.242049449424412</v>
          </cell>
          <cell r="AY2357">
            <v>13.969073068024317</v>
          </cell>
        </row>
        <row r="2358">
          <cell r="A2358">
            <v>42838</v>
          </cell>
          <cell r="AF2358">
            <v>20.801078424774886</v>
          </cell>
          <cell r="AG2358">
            <v>20.469360058004284</v>
          </cell>
          <cell r="AH2358">
            <v>17.881583490985356</v>
          </cell>
          <cell r="AI2358">
            <v>15.547864889645153</v>
          </cell>
          <cell r="AJ2358">
            <v>20.215302092325562</v>
          </cell>
          <cell r="AU2358">
            <v>14.637595468793393</v>
          </cell>
          <cell r="AV2358">
            <v>14.263722316306255</v>
          </cell>
          <cell r="AW2358">
            <v>12.105561258724364</v>
          </cell>
          <cell r="AX2358">
            <v>10.242049449424412</v>
          </cell>
          <cell r="AY2358">
            <v>13.969073068024317</v>
          </cell>
        </row>
        <row r="2359">
          <cell r="A2359">
            <v>42839</v>
          </cell>
          <cell r="AF2359">
            <v>20.801078424774886</v>
          </cell>
          <cell r="AG2359">
            <v>20.469360058004284</v>
          </cell>
          <cell r="AH2359">
            <v>17.881583490985356</v>
          </cell>
          <cell r="AI2359">
            <v>15.547864889645153</v>
          </cell>
          <cell r="AJ2359">
            <v>20.215302092325562</v>
          </cell>
          <cell r="AU2359">
            <v>14.637595468793393</v>
          </cell>
          <cell r="AV2359">
            <v>14.263722316306255</v>
          </cell>
          <cell r="AW2359">
            <v>12.105561258724364</v>
          </cell>
          <cell r="AX2359">
            <v>10.242049449424412</v>
          </cell>
          <cell r="AY2359">
            <v>13.969073068024317</v>
          </cell>
        </row>
        <row r="2360">
          <cell r="A2360">
            <v>42842</v>
          </cell>
          <cell r="AF2360">
            <v>21.006396499497225</v>
          </cell>
          <cell r="AG2360">
            <v>20.469360058004284</v>
          </cell>
          <cell r="AH2360">
            <v>17.881583490985356</v>
          </cell>
          <cell r="AI2360">
            <v>15.547864889645153</v>
          </cell>
          <cell r="AJ2360">
            <v>20.215302092325562</v>
          </cell>
          <cell r="AU2360">
            <v>14.771306967850204</v>
          </cell>
          <cell r="AV2360">
            <v>14.263722316306255</v>
          </cell>
          <cell r="AW2360">
            <v>12.105561258724364</v>
          </cell>
          <cell r="AX2360">
            <v>10.242049449424412</v>
          </cell>
          <cell r="AY2360">
            <v>13.969073068024317</v>
          </cell>
        </row>
        <row r="2361">
          <cell r="A2361">
            <v>42843</v>
          </cell>
          <cell r="AF2361">
            <v>20.912152473916599</v>
          </cell>
          <cell r="AG2361">
            <v>20.469360058004284</v>
          </cell>
          <cell r="AH2361">
            <v>17.881583490985356</v>
          </cell>
          <cell r="AI2361">
            <v>15.547864889645153</v>
          </cell>
          <cell r="AJ2361">
            <v>20.215302092325562</v>
          </cell>
          <cell r="AU2361">
            <v>14.709931416990518</v>
          </cell>
          <cell r="AV2361">
            <v>14.263722316306255</v>
          </cell>
          <cell r="AW2361">
            <v>12.105561258724364</v>
          </cell>
          <cell r="AX2361">
            <v>10.242049449424412</v>
          </cell>
          <cell r="AY2361">
            <v>13.969073068024317</v>
          </cell>
        </row>
        <row r="2362">
          <cell r="A2362">
            <v>42844</v>
          </cell>
          <cell r="AF2362">
            <v>20.986202288793752</v>
          </cell>
          <cell r="AG2362">
            <v>20.469360058004284</v>
          </cell>
          <cell r="AH2362">
            <v>17.881583490985356</v>
          </cell>
          <cell r="AI2362">
            <v>15.547864889645153</v>
          </cell>
          <cell r="AJ2362">
            <v>20.215302092325562</v>
          </cell>
          <cell r="AU2362">
            <v>14.758155674720841</v>
          </cell>
          <cell r="AV2362">
            <v>14.263722316306255</v>
          </cell>
          <cell r="AW2362">
            <v>12.105561258724364</v>
          </cell>
          <cell r="AX2362">
            <v>10.242049449424412</v>
          </cell>
          <cell r="AY2362">
            <v>13.969073068024317</v>
          </cell>
        </row>
        <row r="2363">
          <cell r="A2363">
            <v>42845</v>
          </cell>
          <cell r="AF2363">
            <v>21.097271289130354</v>
          </cell>
          <cell r="AG2363">
            <v>20.469360058004284</v>
          </cell>
          <cell r="AH2363">
            <v>17.881583490985356</v>
          </cell>
          <cell r="AI2363">
            <v>15.547864889645153</v>
          </cell>
          <cell r="AJ2363">
            <v>20.215302092325562</v>
          </cell>
          <cell r="AU2363">
            <v>14.830488334930289</v>
          </cell>
          <cell r="AV2363">
            <v>14.263722316306255</v>
          </cell>
          <cell r="AW2363">
            <v>12.105561258724364</v>
          </cell>
          <cell r="AX2363">
            <v>10.242049449424412</v>
          </cell>
          <cell r="AY2363">
            <v>13.969073068024317</v>
          </cell>
        </row>
        <row r="2364">
          <cell r="A2364">
            <v>42846</v>
          </cell>
          <cell r="AF2364">
            <v>21.047729843145518</v>
          </cell>
          <cell r="AG2364">
            <v>20.469360058004284</v>
          </cell>
          <cell r="AH2364">
            <v>17.881583490985356</v>
          </cell>
          <cell r="AI2364">
            <v>15.547864889645153</v>
          </cell>
          <cell r="AJ2364">
            <v>20.215302092325562</v>
          </cell>
          <cell r="AU2364">
            <v>14.797614470305918</v>
          </cell>
          <cell r="AV2364">
            <v>14.263722316306255</v>
          </cell>
          <cell r="AW2364">
            <v>12.105561258724364</v>
          </cell>
          <cell r="AX2364">
            <v>10.242049449424412</v>
          </cell>
          <cell r="AY2364">
            <v>13.969073068024317</v>
          </cell>
        </row>
        <row r="2365">
          <cell r="A2365">
            <v>42849</v>
          </cell>
          <cell r="AF2365">
            <v>21.317012544040907</v>
          </cell>
          <cell r="AG2365">
            <v>20.469360058004284</v>
          </cell>
          <cell r="AH2365">
            <v>17.881583490985356</v>
          </cell>
          <cell r="AI2365">
            <v>15.547864889645153</v>
          </cell>
          <cell r="AJ2365">
            <v>20.215302092325562</v>
          </cell>
          <cell r="AU2365">
            <v>14.97297452659085</v>
          </cell>
          <cell r="AV2365">
            <v>14.263722316306255</v>
          </cell>
          <cell r="AW2365">
            <v>12.105561258724364</v>
          </cell>
          <cell r="AX2365">
            <v>10.242049449424412</v>
          </cell>
          <cell r="AY2365">
            <v>13.969073068024317</v>
          </cell>
        </row>
        <row r="2366">
          <cell r="A2366">
            <v>42850</v>
          </cell>
          <cell r="AF2366">
            <v>21.207766079247826</v>
          </cell>
          <cell r="AG2366">
            <v>20.469360058004284</v>
          </cell>
          <cell r="AH2366">
            <v>17.881583490985356</v>
          </cell>
          <cell r="AI2366">
            <v>15.547864889645153</v>
          </cell>
          <cell r="AJ2366">
            <v>20.215302092325562</v>
          </cell>
          <cell r="AU2366">
            <v>14.901957998709646</v>
          </cell>
          <cell r="AV2366">
            <v>14.263722316306255</v>
          </cell>
          <cell r="AW2366">
            <v>12.105561258724364</v>
          </cell>
          <cell r="AX2366">
            <v>10.242049449424412</v>
          </cell>
          <cell r="AY2366">
            <v>13.969073068024317</v>
          </cell>
        </row>
        <row r="2367">
          <cell r="A2367">
            <v>42851</v>
          </cell>
          <cell r="AF2367">
            <v>21.315524974746772</v>
          </cell>
          <cell r="AG2367">
            <v>20.469360058004284</v>
          </cell>
          <cell r="AH2367">
            <v>17.881583490985356</v>
          </cell>
          <cell r="AI2367">
            <v>15.547864889645153</v>
          </cell>
          <cell r="AJ2367">
            <v>20.215302092325562</v>
          </cell>
          <cell r="AU2367">
            <v>14.97213037402144</v>
          </cell>
          <cell r="AV2367">
            <v>14.263722316306255</v>
          </cell>
          <cell r="AW2367">
            <v>12.105561258724364</v>
          </cell>
          <cell r="AX2367">
            <v>10.242049449424412</v>
          </cell>
          <cell r="AY2367">
            <v>13.969073068024317</v>
          </cell>
        </row>
        <row r="2368">
          <cell r="A2368">
            <v>42852</v>
          </cell>
          <cell r="AF2368">
            <v>21.370682849471319</v>
          </cell>
          <cell r="AG2368">
            <v>20.469360058004284</v>
          </cell>
          <cell r="AH2368">
            <v>17.881583490985356</v>
          </cell>
          <cell r="AI2368">
            <v>15.547864889645153</v>
          </cell>
          <cell r="AJ2368">
            <v>20.215302092325562</v>
          </cell>
          <cell r="AU2368">
            <v>15.009379481637758</v>
          </cell>
          <cell r="AV2368">
            <v>14.263722316306255</v>
          </cell>
          <cell r="AW2368">
            <v>12.105561258724364</v>
          </cell>
          <cell r="AX2368">
            <v>10.242049449424412</v>
          </cell>
          <cell r="AY2368">
            <v>13.969073068024317</v>
          </cell>
        </row>
        <row r="2369">
          <cell r="A2369">
            <v>42853</v>
          </cell>
          <cell r="AF2369">
            <v>21.293241988942484</v>
          </cell>
          <cell r="AG2369">
            <v>20.469360058004284</v>
          </cell>
          <cell r="AH2369">
            <v>17.881583490985356</v>
          </cell>
          <cell r="AI2369">
            <v>15.547864889645153</v>
          </cell>
          <cell r="AJ2369">
            <v>20.215302092325562</v>
          </cell>
          <cell r="AU2369">
            <v>14.958945320981949</v>
          </cell>
          <cell r="AV2369">
            <v>14.263722316306255</v>
          </cell>
          <cell r="AW2369">
            <v>12.105561258724364</v>
          </cell>
          <cell r="AX2369">
            <v>10.242049449424412</v>
          </cell>
          <cell r="AY2369">
            <v>13.969073068024317</v>
          </cell>
        </row>
        <row r="2370">
          <cell r="A2370">
            <v>42856</v>
          </cell>
          <cell r="AF2370">
            <v>21.000869759851806</v>
          </cell>
          <cell r="AG2370">
            <v>20.469360058004284</v>
          </cell>
          <cell r="AH2370">
            <v>17.881583490985356</v>
          </cell>
          <cell r="AI2370">
            <v>15.547864889645153</v>
          </cell>
          <cell r="AJ2370">
            <v>20.215302092325562</v>
          </cell>
          <cell r="AU2370">
            <v>14.799445296982489</v>
          </cell>
          <cell r="AV2370">
            <v>14.263722316306255</v>
          </cell>
          <cell r="AW2370">
            <v>12.105561258724364</v>
          </cell>
          <cell r="AX2370">
            <v>10.242049449424412</v>
          </cell>
          <cell r="AY2370">
            <v>13.969073068024317</v>
          </cell>
        </row>
        <row r="2371">
          <cell r="A2371">
            <v>42857</v>
          </cell>
          <cell r="AF2371">
            <v>21.073329355594197</v>
          </cell>
          <cell r="AG2371">
            <v>20.469360058004284</v>
          </cell>
          <cell r="AH2371">
            <v>17.881583490985356</v>
          </cell>
          <cell r="AI2371">
            <v>15.547864889645153</v>
          </cell>
          <cell r="AJ2371">
            <v>20.215302092325562</v>
          </cell>
          <cell r="AU2371">
            <v>14.849502920817233</v>
          </cell>
          <cell r="AV2371">
            <v>14.263722316306255</v>
          </cell>
          <cell r="AW2371">
            <v>12.105561258724364</v>
          </cell>
          <cell r="AX2371">
            <v>10.242049449424412</v>
          </cell>
          <cell r="AY2371">
            <v>13.969073068024317</v>
          </cell>
        </row>
        <row r="2372">
          <cell r="A2372">
            <v>42858</v>
          </cell>
          <cell r="AF2372">
            <v>21.259906783143194</v>
          </cell>
          <cell r="AG2372">
            <v>20.469360058004284</v>
          </cell>
          <cell r="AH2372">
            <v>17.881583490985356</v>
          </cell>
          <cell r="AI2372">
            <v>15.547864889645153</v>
          </cell>
          <cell r="AJ2372">
            <v>20.215302092325562</v>
          </cell>
          <cell r="AU2372">
            <v>14.971384567080017</v>
          </cell>
          <cell r="AV2372">
            <v>14.263722316306255</v>
          </cell>
          <cell r="AW2372">
            <v>12.105561258724364</v>
          </cell>
          <cell r="AX2372">
            <v>10.242049449424412</v>
          </cell>
          <cell r="AY2372">
            <v>13.969073068024317</v>
          </cell>
        </row>
        <row r="2373">
          <cell r="A2373">
            <v>42859</v>
          </cell>
          <cell r="AF2373">
            <v>21.769103118840249</v>
          </cell>
          <cell r="AG2373">
            <v>20.469360058004284</v>
          </cell>
          <cell r="AH2373">
            <v>17.881583490985356</v>
          </cell>
          <cell r="AI2373">
            <v>15.547864889645153</v>
          </cell>
          <cell r="AJ2373">
            <v>20.215302092325562</v>
          </cell>
          <cell r="AU2373">
            <v>15.319089504910622</v>
          </cell>
          <cell r="AV2373">
            <v>14.263722316306255</v>
          </cell>
          <cell r="AW2373">
            <v>12.105561258724364</v>
          </cell>
          <cell r="AX2373">
            <v>10.242049449424412</v>
          </cell>
          <cell r="AY2373">
            <v>13.969073068024317</v>
          </cell>
        </row>
        <row r="2374">
          <cell r="A2374">
            <v>42860</v>
          </cell>
          <cell r="AF2374">
            <v>21.858432401405604</v>
          </cell>
          <cell r="AG2374">
            <v>20.469360058004284</v>
          </cell>
          <cell r="AH2374">
            <v>17.881583490985356</v>
          </cell>
          <cell r="AI2374">
            <v>15.547864889645153</v>
          </cell>
          <cell r="AJ2374">
            <v>20.215302092325562</v>
          </cell>
          <cell r="AU2374">
            <v>15.377927301394774</v>
          </cell>
          <cell r="AV2374">
            <v>14.263722316306255</v>
          </cell>
          <cell r="AW2374">
            <v>12.105561258724364</v>
          </cell>
          <cell r="AX2374">
            <v>10.242049449424412</v>
          </cell>
          <cell r="AY2374">
            <v>13.969073068024317</v>
          </cell>
        </row>
        <row r="2375">
          <cell r="A2375">
            <v>42863</v>
          </cell>
          <cell r="AF2375">
            <v>21.805109687913873</v>
          </cell>
          <cell r="AG2375">
            <v>20.469360058004284</v>
          </cell>
          <cell r="AH2375">
            <v>17.881583490985356</v>
          </cell>
          <cell r="AI2375">
            <v>15.547864889645153</v>
          </cell>
          <cell r="AJ2375">
            <v>20.215302092325562</v>
          </cell>
          <cell r="AU2375">
            <v>15.343059599186931</v>
          </cell>
          <cell r="AV2375">
            <v>14.263722316306255</v>
          </cell>
          <cell r="AW2375">
            <v>12.105561258724364</v>
          </cell>
          <cell r="AX2375">
            <v>10.242049449424412</v>
          </cell>
          <cell r="AY2375">
            <v>13.969073068024317</v>
          </cell>
        </row>
        <row r="2376">
          <cell r="A2376">
            <v>42864</v>
          </cell>
          <cell r="AF2376">
            <v>21.121951300964103</v>
          </cell>
          <cell r="AG2376">
            <v>20.469360058004284</v>
          </cell>
          <cell r="AH2376">
            <v>17.881583490985356</v>
          </cell>
          <cell r="AI2376">
            <v>15.547864889645153</v>
          </cell>
          <cell r="AJ2376">
            <v>20.215302092325562</v>
          </cell>
          <cell r="AU2376">
            <v>15.002498938486184</v>
          </cell>
          <cell r="AV2376">
            <v>14.263722316306255</v>
          </cell>
          <cell r="AW2376">
            <v>12.105561258724364</v>
          </cell>
          <cell r="AX2376">
            <v>10.242049449424412</v>
          </cell>
          <cell r="AY2376">
            <v>13.969073068024317</v>
          </cell>
        </row>
        <row r="2377">
          <cell r="A2377">
            <v>42865</v>
          </cell>
          <cell r="AF2377">
            <v>20.951159205788411</v>
          </cell>
          <cell r="AG2377">
            <v>20.469360058004284</v>
          </cell>
          <cell r="AH2377">
            <v>17.881583490985356</v>
          </cell>
          <cell r="AI2377">
            <v>15.547864889645153</v>
          </cell>
          <cell r="AJ2377">
            <v>20.215302092325562</v>
          </cell>
          <cell r="AU2377">
            <v>14.862542148418367</v>
          </cell>
          <cell r="AV2377">
            <v>14.263722316306255</v>
          </cell>
          <cell r="AW2377">
            <v>12.105561258724364</v>
          </cell>
          <cell r="AX2377">
            <v>10.242049449424412</v>
          </cell>
          <cell r="AY2377">
            <v>13.969073068024317</v>
          </cell>
        </row>
        <row r="2378">
          <cell r="A2378">
            <v>42866</v>
          </cell>
          <cell r="AF2378">
            <v>21.011476556175193</v>
          </cell>
          <cell r="AG2378">
            <v>20.469360058004284</v>
          </cell>
          <cell r="AH2378">
            <v>17.881583490985356</v>
          </cell>
          <cell r="AI2378">
            <v>15.547864889645153</v>
          </cell>
          <cell r="AJ2378">
            <v>20.215302092325562</v>
          </cell>
          <cell r="AU2378">
            <v>14.902085315817022</v>
          </cell>
          <cell r="AV2378">
            <v>14.263722316306255</v>
          </cell>
          <cell r="AW2378">
            <v>12.105561258724364</v>
          </cell>
          <cell r="AX2378">
            <v>10.242049449424412</v>
          </cell>
          <cell r="AY2378">
            <v>13.969073068024317</v>
          </cell>
        </row>
        <row r="2379">
          <cell r="A2379">
            <v>42867</v>
          </cell>
          <cell r="AF2379">
            <v>20.658933705147902</v>
          </cell>
          <cell r="AG2379">
            <v>20.469360058004284</v>
          </cell>
          <cell r="AH2379">
            <v>17.881583490985356</v>
          </cell>
          <cell r="AI2379">
            <v>15.547864889645153</v>
          </cell>
          <cell r="AJ2379">
            <v>20.215302092325562</v>
          </cell>
          <cell r="AU2379">
            <v>14.684540703391344</v>
          </cell>
          <cell r="AV2379">
            <v>14.263722316306255</v>
          </cell>
          <cell r="AW2379">
            <v>12.105561258724364</v>
          </cell>
          <cell r="AX2379">
            <v>10.242049449424412</v>
          </cell>
          <cell r="AY2379">
            <v>13.969073068024317</v>
          </cell>
        </row>
        <row r="2380">
          <cell r="A2380">
            <v>42870</v>
          </cell>
          <cell r="AF2380">
            <v>20.794237265417692</v>
          </cell>
          <cell r="AG2380">
            <v>20.469360058004284</v>
          </cell>
          <cell r="AH2380">
            <v>17.881583490985356</v>
          </cell>
          <cell r="AI2380">
            <v>15.547864889645153</v>
          </cell>
          <cell r="AJ2380">
            <v>20.215302092325562</v>
          </cell>
          <cell r="AU2380">
            <v>14.738710996548713</v>
          </cell>
          <cell r="AV2380">
            <v>14.263722316306255</v>
          </cell>
          <cell r="AW2380">
            <v>12.105561258724364</v>
          </cell>
          <cell r="AX2380">
            <v>10.242049449424412</v>
          </cell>
          <cell r="AY2380">
            <v>13.969073068024317</v>
          </cell>
        </row>
        <row r="2381">
          <cell r="A2381">
            <v>42871</v>
          </cell>
          <cell r="AF2381">
            <v>20.824703313885834</v>
          </cell>
          <cell r="AG2381">
            <v>20.469360058004284</v>
          </cell>
          <cell r="AH2381">
            <v>17.881583490985356</v>
          </cell>
          <cell r="AI2381">
            <v>15.547864889645153</v>
          </cell>
          <cell r="AJ2381">
            <v>20.215302092325562</v>
          </cell>
          <cell r="AU2381">
            <v>14.762822201515736</v>
          </cell>
          <cell r="AV2381">
            <v>14.263722316306255</v>
          </cell>
          <cell r="AW2381">
            <v>12.105561258724364</v>
          </cell>
          <cell r="AX2381">
            <v>10.242049449424412</v>
          </cell>
          <cell r="AY2381">
            <v>13.969073068024317</v>
          </cell>
        </row>
        <row r="2382">
          <cell r="A2382">
            <v>42872</v>
          </cell>
          <cell r="AF2382">
            <v>20.553339959241622</v>
          </cell>
          <cell r="AG2382">
            <v>20.469360058004284</v>
          </cell>
          <cell r="AH2382">
            <v>17.881583490985356</v>
          </cell>
          <cell r="AI2382">
            <v>15.547864889645153</v>
          </cell>
          <cell r="AJ2382">
            <v>20.215302092325562</v>
          </cell>
          <cell r="AU2382">
            <v>14.585276713427799</v>
          </cell>
          <cell r="AV2382">
            <v>14.263722316306255</v>
          </cell>
          <cell r="AW2382">
            <v>12.105561258724364</v>
          </cell>
          <cell r="AX2382">
            <v>10.242049449424412</v>
          </cell>
          <cell r="AY2382">
            <v>13.969073068024317</v>
          </cell>
        </row>
        <row r="2383">
          <cell r="A2383">
            <v>42873</v>
          </cell>
          <cell r="AF2383">
            <v>20.657194449875099</v>
          </cell>
          <cell r="AG2383">
            <v>20.469360058004284</v>
          </cell>
          <cell r="AH2383">
            <v>17.881583490985356</v>
          </cell>
          <cell r="AI2383">
            <v>15.547864889645153</v>
          </cell>
          <cell r="AJ2383">
            <v>20.215302092325562</v>
          </cell>
          <cell r="AU2383">
            <v>14.653222527410414</v>
          </cell>
          <cell r="AV2383">
            <v>14.263722316306255</v>
          </cell>
          <cell r="AW2383">
            <v>12.105561258724364</v>
          </cell>
          <cell r="AX2383">
            <v>10.242049449424412</v>
          </cell>
          <cell r="AY2383">
            <v>13.969073068024317</v>
          </cell>
        </row>
        <row r="2384">
          <cell r="A2384">
            <v>42874</v>
          </cell>
          <cell r="AF2384">
            <v>20.645618208487033</v>
          </cell>
          <cell r="AG2384">
            <v>20.469360058004284</v>
          </cell>
          <cell r="AH2384">
            <v>17.881583490985356</v>
          </cell>
          <cell r="AI2384">
            <v>15.547864889645153</v>
          </cell>
          <cell r="AJ2384">
            <v>20.215302092325562</v>
          </cell>
          <cell r="AU2384">
            <v>14.64445635086272</v>
          </cell>
          <cell r="AV2384">
            <v>14.263722316306255</v>
          </cell>
          <cell r="AW2384">
            <v>12.105561258724364</v>
          </cell>
          <cell r="AX2384">
            <v>10.242049449424412</v>
          </cell>
          <cell r="AY2384">
            <v>13.969073068024317</v>
          </cell>
        </row>
        <row r="2385">
          <cell r="A2385">
            <v>42877</v>
          </cell>
          <cell r="AF2385">
            <v>20.970614502025423</v>
          </cell>
          <cell r="AG2385">
            <v>20.469360058004284</v>
          </cell>
          <cell r="AH2385">
            <v>17.881583490985356</v>
          </cell>
          <cell r="AI2385">
            <v>15.547864889645153</v>
          </cell>
          <cell r="AJ2385">
            <v>20.215302092325562</v>
          </cell>
          <cell r="AU2385">
            <v>14.857073559310143</v>
          </cell>
          <cell r="AV2385">
            <v>14.263722316306255</v>
          </cell>
          <cell r="AW2385">
            <v>12.105561258724364</v>
          </cell>
          <cell r="AX2385">
            <v>10.242049449424412</v>
          </cell>
          <cell r="AY2385">
            <v>13.969073068024317</v>
          </cell>
        </row>
        <row r="2386">
          <cell r="A2386">
            <v>42878</v>
          </cell>
          <cell r="AF2386">
            <v>21.147511525369151</v>
          </cell>
          <cell r="AG2386">
            <v>20.469360058004284</v>
          </cell>
          <cell r="AH2386">
            <v>17.881583490985356</v>
          </cell>
          <cell r="AI2386">
            <v>15.547864889645153</v>
          </cell>
          <cell r="AJ2386">
            <v>20.215302092325562</v>
          </cell>
          <cell r="AU2386">
            <v>14.980578866152563</v>
          </cell>
          <cell r="AV2386">
            <v>14.263722316306255</v>
          </cell>
          <cell r="AW2386">
            <v>12.105561258724364</v>
          </cell>
          <cell r="AX2386">
            <v>10.242049449424412</v>
          </cell>
          <cell r="AY2386">
            <v>13.969073068024317</v>
          </cell>
        </row>
        <row r="2387">
          <cell r="A2387">
            <v>42879</v>
          </cell>
          <cell r="AF2387">
            <v>21.006863649050555</v>
          </cell>
          <cell r="AG2387">
            <v>20.469360058004284</v>
          </cell>
          <cell r="AH2387">
            <v>17.881583490985356</v>
          </cell>
          <cell r="AI2387">
            <v>15.547864889645153</v>
          </cell>
          <cell r="AJ2387">
            <v>20.215302092325562</v>
          </cell>
          <cell r="AU2387">
            <v>14.888513681653599</v>
          </cell>
          <cell r="AV2387">
            <v>14.263722316306255</v>
          </cell>
          <cell r="AW2387">
            <v>12.105561258724364</v>
          </cell>
          <cell r="AX2387">
            <v>10.242049449424412</v>
          </cell>
          <cell r="AY2387">
            <v>13.969073068024317</v>
          </cell>
        </row>
        <row r="2388">
          <cell r="A2388">
            <v>42880</v>
          </cell>
          <cell r="AF2388">
            <v>21.12072601440191</v>
          </cell>
          <cell r="AG2388">
            <v>20.469360058004284</v>
          </cell>
          <cell r="AH2388">
            <v>17.881583490985356</v>
          </cell>
          <cell r="AI2388">
            <v>15.547864889645153</v>
          </cell>
          <cell r="AJ2388">
            <v>20.215302092325562</v>
          </cell>
          <cell r="AU2388">
            <v>14.963042337823614</v>
          </cell>
          <cell r="AV2388">
            <v>14.263722316306255</v>
          </cell>
          <cell r="AW2388">
            <v>12.105561258724364</v>
          </cell>
          <cell r="AX2388">
            <v>10.242049449424412</v>
          </cell>
          <cell r="AY2388">
            <v>13.969073068024317</v>
          </cell>
        </row>
        <row r="2389">
          <cell r="A2389">
            <v>42881</v>
          </cell>
          <cell r="AF2389">
            <v>21.003516883408984</v>
          </cell>
          <cell r="AG2389">
            <v>20.469360058004284</v>
          </cell>
          <cell r="AH2389">
            <v>17.881583490985356</v>
          </cell>
          <cell r="AI2389">
            <v>15.547864889645153</v>
          </cell>
          <cell r="AJ2389">
            <v>20.215302092325562</v>
          </cell>
          <cell r="AU2389">
            <v>14.886322958236148</v>
          </cell>
          <cell r="AV2389">
            <v>14.263722316306255</v>
          </cell>
          <cell r="AW2389">
            <v>12.105561258724364</v>
          </cell>
          <cell r="AX2389">
            <v>10.242049449424412</v>
          </cell>
          <cell r="AY2389">
            <v>13.969073068024317</v>
          </cell>
        </row>
        <row r="2390">
          <cell r="A2390">
            <v>42884</v>
          </cell>
          <cell r="AF2390">
            <v>21.003516883408984</v>
          </cell>
          <cell r="AG2390">
            <v>20.469360058004284</v>
          </cell>
          <cell r="AH2390">
            <v>17.881583490985356</v>
          </cell>
          <cell r="AI2390">
            <v>15.547864889645153</v>
          </cell>
          <cell r="AJ2390">
            <v>20.215302092325562</v>
          </cell>
          <cell r="AU2390">
            <v>14.886322958236148</v>
          </cell>
          <cell r="AV2390">
            <v>14.263722316306255</v>
          </cell>
          <cell r="AW2390">
            <v>12.105561258724364</v>
          </cell>
          <cell r="AX2390">
            <v>10.242049449424412</v>
          </cell>
          <cell r="AY2390">
            <v>13.969073068024317</v>
          </cell>
        </row>
        <row r="2391">
          <cell r="A2391">
            <v>42885</v>
          </cell>
          <cell r="AF2391">
            <v>20.970027125078904</v>
          </cell>
          <cell r="AG2391">
            <v>20.469360058004284</v>
          </cell>
          <cell r="AH2391">
            <v>17.881583490985356</v>
          </cell>
          <cell r="AI2391">
            <v>15.547864889645153</v>
          </cell>
          <cell r="AJ2391">
            <v>20.215302092325562</v>
          </cell>
          <cell r="AU2391">
            <v>14.864401256606609</v>
          </cell>
          <cell r="AV2391">
            <v>14.263722316306255</v>
          </cell>
          <cell r="AW2391">
            <v>12.105561258724364</v>
          </cell>
          <cell r="AX2391">
            <v>10.242049449424412</v>
          </cell>
          <cell r="AY2391">
            <v>13.969073068024317</v>
          </cell>
        </row>
        <row r="2392">
          <cell r="A2392">
            <v>42886</v>
          </cell>
          <cell r="AF2392">
            <v>21.271419880562554</v>
          </cell>
          <cell r="AG2392">
            <v>20.469360058004284</v>
          </cell>
          <cell r="AH2392">
            <v>17.881583490985356</v>
          </cell>
          <cell r="AI2392">
            <v>15.547864889645153</v>
          </cell>
          <cell r="AJ2392">
            <v>20.215302092325562</v>
          </cell>
          <cell r="AU2392">
            <v>15.06168670709858</v>
          </cell>
          <cell r="AV2392">
            <v>14.263722316306255</v>
          </cell>
          <cell r="AW2392">
            <v>12.105561258724364</v>
          </cell>
          <cell r="AX2392">
            <v>10.242049449424412</v>
          </cell>
          <cell r="AY2392">
            <v>13.969073068024317</v>
          </cell>
        </row>
        <row r="2393">
          <cell r="A2393">
            <v>42887</v>
          </cell>
          <cell r="AF2393">
            <v>21.240052387267902</v>
          </cell>
          <cell r="AG2393">
            <v>20.469360058004284</v>
          </cell>
          <cell r="AH2393">
            <v>17.881583490985356</v>
          </cell>
          <cell r="AI2393">
            <v>15.547864889645153</v>
          </cell>
          <cell r="AJ2393">
            <v>20.215302092325562</v>
          </cell>
          <cell r="AU2393">
            <v>15.070764891211008</v>
          </cell>
          <cell r="AV2393">
            <v>14.263722316306255</v>
          </cell>
          <cell r="AW2393">
            <v>12.105561258724364</v>
          </cell>
          <cell r="AX2393">
            <v>10.242049449424412</v>
          </cell>
          <cell r="AY2393">
            <v>13.969073068024317</v>
          </cell>
        </row>
        <row r="2394">
          <cell r="A2394">
            <v>42888</v>
          </cell>
          <cell r="AF2394">
            <v>21.369362400530502</v>
          </cell>
          <cell r="AG2394">
            <v>20.469360058004284</v>
          </cell>
          <cell r="AH2394">
            <v>17.881583490985356</v>
          </cell>
          <cell r="AI2394">
            <v>15.547864889645153</v>
          </cell>
          <cell r="AJ2394">
            <v>20.215302092325562</v>
          </cell>
          <cell r="AU2394">
            <v>15.155638690077907</v>
          </cell>
          <cell r="AV2394">
            <v>14.263722316306255</v>
          </cell>
          <cell r="AW2394">
            <v>12.105561258724364</v>
          </cell>
          <cell r="AX2394">
            <v>10.242049449424412</v>
          </cell>
          <cell r="AY2394">
            <v>13.969073068024317</v>
          </cell>
        </row>
        <row r="2395">
          <cell r="A2395">
            <v>42891</v>
          </cell>
          <cell r="AF2395">
            <v>21.187000663129972</v>
          </cell>
          <cell r="AG2395">
            <v>20.469360058004284</v>
          </cell>
          <cell r="AH2395">
            <v>17.881583490985356</v>
          </cell>
          <cell r="AI2395">
            <v>15.547864889645153</v>
          </cell>
          <cell r="AJ2395">
            <v>20.215302092325562</v>
          </cell>
          <cell r="AU2395">
            <v>15.035943911377984</v>
          </cell>
          <cell r="AV2395">
            <v>14.263722316306255</v>
          </cell>
          <cell r="AW2395">
            <v>12.105561258724364</v>
          </cell>
          <cell r="AX2395">
            <v>10.242049449424412</v>
          </cell>
          <cell r="AY2395">
            <v>13.969073068024317</v>
          </cell>
        </row>
        <row r="2396">
          <cell r="A2396">
            <v>42892</v>
          </cell>
          <cell r="AF2396">
            <v>21.07095623342175</v>
          </cell>
          <cell r="AG2396">
            <v>20.469360058004284</v>
          </cell>
          <cell r="AH2396">
            <v>17.881583490985356</v>
          </cell>
          <cell r="AI2396">
            <v>15.547864889645153</v>
          </cell>
          <cell r="AJ2396">
            <v>20.215302092325562</v>
          </cell>
          <cell r="AU2396">
            <v>14.959777098474808</v>
          </cell>
          <cell r="AV2396">
            <v>14.263722316306255</v>
          </cell>
          <cell r="AW2396">
            <v>12.105561258724364</v>
          </cell>
          <cell r="AX2396">
            <v>10.242049449424412</v>
          </cell>
          <cell r="AY2396">
            <v>13.969073068024317</v>
          </cell>
        </row>
        <row r="2397">
          <cell r="A2397">
            <v>42893</v>
          </cell>
          <cell r="AF2397">
            <v>21.087535477453581</v>
          </cell>
          <cell r="AG2397">
            <v>20.469360058004284</v>
          </cell>
          <cell r="AH2397">
            <v>17.881583490985356</v>
          </cell>
          <cell r="AI2397">
            <v>15.547864889645153</v>
          </cell>
          <cell r="AJ2397">
            <v>20.215302092325562</v>
          </cell>
          <cell r="AU2397">
            <v>14.970659035517574</v>
          </cell>
          <cell r="AV2397">
            <v>14.263722316306255</v>
          </cell>
          <cell r="AW2397">
            <v>12.105561258724364</v>
          </cell>
          <cell r="AX2397">
            <v>10.242049449424412</v>
          </cell>
          <cell r="AY2397">
            <v>13.969073068024317</v>
          </cell>
        </row>
        <row r="2398">
          <cell r="A2398">
            <v>42894</v>
          </cell>
          <cell r="AF2398">
            <v>21.037797413793104</v>
          </cell>
          <cell r="AG2398">
            <v>20.469360058004284</v>
          </cell>
          <cell r="AH2398">
            <v>17.881583490985356</v>
          </cell>
          <cell r="AI2398">
            <v>15.547864889645153</v>
          </cell>
          <cell r="AJ2398">
            <v>20.215302092325562</v>
          </cell>
          <cell r="AU2398">
            <v>14.938013006763596</v>
          </cell>
          <cell r="AV2398">
            <v>14.263722316306255</v>
          </cell>
          <cell r="AW2398">
            <v>12.105561258724364</v>
          </cell>
          <cell r="AX2398">
            <v>10.242049449424412</v>
          </cell>
          <cell r="AY2398">
            <v>13.969073068024317</v>
          </cell>
        </row>
        <row r="2399">
          <cell r="A2399">
            <v>42895</v>
          </cell>
          <cell r="AF2399">
            <v>21.001325265251989</v>
          </cell>
          <cell r="AG2399">
            <v>20.469360058004284</v>
          </cell>
          <cell r="AH2399">
            <v>17.881583490985356</v>
          </cell>
          <cell r="AI2399">
            <v>15.547864889645153</v>
          </cell>
          <cell r="AJ2399">
            <v>20.215302092325562</v>
          </cell>
          <cell r="AU2399">
            <v>14.914074181599018</v>
          </cell>
          <cell r="AV2399">
            <v>14.263722316306255</v>
          </cell>
          <cell r="AW2399">
            <v>12.105561258724364</v>
          </cell>
          <cell r="AX2399">
            <v>10.242049449424412</v>
          </cell>
          <cell r="AY2399">
            <v>13.969073068024317</v>
          </cell>
        </row>
        <row r="2400">
          <cell r="A2400">
            <v>42898</v>
          </cell>
          <cell r="AF2400">
            <v>20.805702917771882</v>
          </cell>
          <cell r="AG2400">
            <v>20.469360058004284</v>
          </cell>
          <cell r="AH2400">
            <v>17.881583490985356</v>
          </cell>
          <cell r="AI2400">
            <v>15.547864889645153</v>
          </cell>
          <cell r="AJ2400">
            <v>20.215302092325562</v>
          </cell>
          <cell r="AU2400">
            <v>14.785675681320622</v>
          </cell>
          <cell r="AV2400">
            <v>14.263722316306255</v>
          </cell>
          <cell r="AW2400">
            <v>12.105561258724364</v>
          </cell>
          <cell r="AX2400">
            <v>10.242049449424412</v>
          </cell>
          <cell r="AY2400">
            <v>13.969073068024317</v>
          </cell>
        </row>
        <row r="2401">
          <cell r="A2401">
            <v>42899</v>
          </cell>
          <cell r="AF2401">
            <v>20.981432029177718</v>
          </cell>
          <cell r="AG2401">
            <v>20.469360058004284</v>
          </cell>
          <cell r="AH2401">
            <v>17.881583490985356</v>
          </cell>
          <cell r="AI2401">
            <v>15.547864889645153</v>
          </cell>
          <cell r="AJ2401">
            <v>20.215302092325562</v>
          </cell>
          <cell r="AU2401">
            <v>14.901017075851525</v>
          </cell>
          <cell r="AV2401">
            <v>14.263722316306255</v>
          </cell>
          <cell r="AW2401">
            <v>12.105561258724364</v>
          </cell>
          <cell r="AX2401">
            <v>10.242049449424412</v>
          </cell>
          <cell r="AY2401">
            <v>13.969073068024317</v>
          </cell>
        </row>
        <row r="2402">
          <cell r="A2402">
            <v>42900</v>
          </cell>
          <cell r="AF2402">
            <v>21.130635278514589</v>
          </cell>
          <cell r="AG2402">
            <v>20.469360058004284</v>
          </cell>
          <cell r="AH2402">
            <v>17.881583490985356</v>
          </cell>
          <cell r="AI2402">
            <v>15.547864889645153</v>
          </cell>
          <cell r="AJ2402">
            <v>20.215302092325562</v>
          </cell>
          <cell r="AU2402">
            <v>14.998947980465919</v>
          </cell>
          <cell r="AV2402">
            <v>14.263722316306255</v>
          </cell>
          <cell r="AW2402">
            <v>12.105561258724364</v>
          </cell>
          <cell r="AX2402">
            <v>10.242049449424412</v>
          </cell>
          <cell r="AY2402">
            <v>13.969073068024317</v>
          </cell>
        </row>
        <row r="2403">
          <cell r="A2403">
            <v>42901</v>
          </cell>
          <cell r="AF2403">
            <v>20.991378647214855</v>
          </cell>
          <cell r="AG2403">
            <v>20.469360058004284</v>
          </cell>
          <cell r="AH2403">
            <v>17.881583490985356</v>
          </cell>
          <cell r="AI2403">
            <v>15.547864889645153</v>
          </cell>
          <cell r="AJ2403">
            <v>20.215302092325562</v>
          </cell>
          <cell r="AU2403">
            <v>14.907545628725273</v>
          </cell>
          <cell r="AV2403">
            <v>14.263722316306255</v>
          </cell>
          <cell r="AW2403">
            <v>12.105561258724364</v>
          </cell>
          <cell r="AX2403">
            <v>10.242049449424412</v>
          </cell>
          <cell r="AY2403">
            <v>13.969073068024317</v>
          </cell>
        </row>
        <row r="2404">
          <cell r="A2404">
            <v>42902</v>
          </cell>
          <cell r="AF2404">
            <v>21.120688660477455</v>
          </cell>
          <cell r="AG2404">
            <v>20.469360058004284</v>
          </cell>
          <cell r="AH2404">
            <v>17.881583490985356</v>
          </cell>
          <cell r="AI2404">
            <v>15.547864889645153</v>
          </cell>
          <cell r="AJ2404">
            <v>20.215302092325562</v>
          </cell>
          <cell r="AU2404">
            <v>14.992419427592173</v>
          </cell>
          <cell r="AV2404">
            <v>14.263722316306255</v>
          </cell>
          <cell r="AW2404">
            <v>12.105561258724364</v>
          </cell>
          <cell r="AX2404">
            <v>10.242049449424412</v>
          </cell>
          <cell r="AY2404">
            <v>13.969073068024317</v>
          </cell>
        </row>
        <row r="2405">
          <cell r="A2405">
            <v>42905</v>
          </cell>
          <cell r="AF2405">
            <v>21.21352652519894</v>
          </cell>
          <cell r="AG2405">
            <v>20.469360058004284</v>
          </cell>
          <cell r="AH2405">
            <v>17.881583490985356</v>
          </cell>
          <cell r="AI2405">
            <v>15.547864889645153</v>
          </cell>
          <cell r="AJ2405">
            <v>20.215302092325562</v>
          </cell>
          <cell r="AU2405">
            <v>15.053354401294497</v>
          </cell>
          <cell r="AV2405">
            <v>14.263722316306255</v>
          </cell>
          <cell r="AW2405">
            <v>12.105561258724364</v>
          </cell>
          <cell r="AX2405">
            <v>10.242049449424412</v>
          </cell>
          <cell r="AY2405">
            <v>13.969073068024317</v>
          </cell>
        </row>
        <row r="2406">
          <cell r="A2406">
            <v>42906</v>
          </cell>
          <cell r="AF2406">
            <v>21.00464423076923</v>
          </cell>
          <cell r="AG2406">
            <v>20.469360058004284</v>
          </cell>
          <cell r="AH2406">
            <v>17.881583490985356</v>
          </cell>
          <cell r="AI2406">
            <v>15.547864889645153</v>
          </cell>
          <cell r="AJ2406">
            <v>20.215302092325562</v>
          </cell>
          <cell r="AU2406">
            <v>14.916252614688995</v>
          </cell>
          <cell r="AV2406">
            <v>14.263722316306255</v>
          </cell>
          <cell r="AW2406">
            <v>12.105561258724364</v>
          </cell>
          <cell r="AX2406">
            <v>10.242049449424412</v>
          </cell>
          <cell r="AY2406">
            <v>13.969073068024317</v>
          </cell>
        </row>
        <row r="2407">
          <cell r="A2407">
            <v>42907</v>
          </cell>
          <cell r="AF2407">
            <v>21.143900862068964</v>
          </cell>
          <cell r="AG2407">
            <v>20.469360058004284</v>
          </cell>
          <cell r="AH2407">
            <v>17.881583490985356</v>
          </cell>
          <cell r="AI2407">
            <v>15.547864889645153</v>
          </cell>
          <cell r="AJ2407">
            <v>20.215302092325562</v>
          </cell>
          <cell r="AU2407">
            <v>15.007654966429639</v>
          </cell>
          <cell r="AV2407">
            <v>14.263722316306255</v>
          </cell>
          <cell r="AW2407">
            <v>12.105561258724364</v>
          </cell>
          <cell r="AX2407">
            <v>10.242049449424412</v>
          </cell>
          <cell r="AY2407">
            <v>13.969073068024317</v>
          </cell>
        </row>
        <row r="2408">
          <cell r="A2408">
            <v>42908</v>
          </cell>
          <cell r="AF2408">
            <v>21.163793766578248</v>
          </cell>
          <cell r="AG2408">
            <v>20.469360058004284</v>
          </cell>
          <cell r="AH2408">
            <v>17.881583490985356</v>
          </cell>
          <cell r="AI2408">
            <v>15.547864889645153</v>
          </cell>
          <cell r="AJ2408">
            <v>20.215302092325562</v>
          </cell>
          <cell r="AU2408">
            <v>15.020711854551449</v>
          </cell>
          <cell r="AV2408">
            <v>14.263722316306255</v>
          </cell>
          <cell r="AW2408">
            <v>12.105561258724364</v>
          </cell>
          <cell r="AX2408">
            <v>10.242049449424412</v>
          </cell>
          <cell r="AY2408">
            <v>13.969073068024317</v>
          </cell>
        </row>
        <row r="2409">
          <cell r="A2409">
            <v>42909</v>
          </cell>
          <cell r="AF2409">
            <v>21.167107758620688</v>
          </cell>
          <cell r="AG2409">
            <v>20.469360058004284</v>
          </cell>
          <cell r="AH2409">
            <v>17.881583490985356</v>
          </cell>
          <cell r="AI2409">
            <v>15.547864889645153</v>
          </cell>
          <cell r="AJ2409">
            <v>20.215302092325562</v>
          </cell>
          <cell r="AU2409">
            <v>15.022887023256175</v>
          </cell>
          <cell r="AV2409">
            <v>14.263722316306255</v>
          </cell>
          <cell r="AW2409">
            <v>12.105561258724364</v>
          </cell>
          <cell r="AX2409">
            <v>10.242049449424412</v>
          </cell>
          <cell r="AY2409">
            <v>13.969073068024317</v>
          </cell>
        </row>
        <row r="2410">
          <cell r="A2410">
            <v>42912</v>
          </cell>
          <cell r="AF2410">
            <v>21.243371352785147</v>
          </cell>
          <cell r="AG2410">
            <v>20.469360058004284</v>
          </cell>
          <cell r="AH2410">
            <v>17.881583490985356</v>
          </cell>
          <cell r="AI2410">
            <v>15.547864889645153</v>
          </cell>
          <cell r="AJ2410">
            <v>20.215302092325562</v>
          </cell>
          <cell r="AU2410">
            <v>15.072943324300985</v>
          </cell>
          <cell r="AV2410">
            <v>14.263722316306255</v>
          </cell>
          <cell r="AW2410">
            <v>12.105561258724364</v>
          </cell>
          <cell r="AX2410">
            <v>10.242049449424412</v>
          </cell>
          <cell r="AY2410">
            <v>13.969073068024317</v>
          </cell>
        </row>
        <row r="2411">
          <cell r="A2411">
            <v>42913</v>
          </cell>
          <cell r="AF2411">
            <v>21.362729774535808</v>
          </cell>
          <cell r="AG2411">
            <v>20.469360058004284</v>
          </cell>
          <cell r="AH2411">
            <v>17.881583490985356</v>
          </cell>
          <cell r="AI2411">
            <v>15.547864889645153</v>
          </cell>
          <cell r="AJ2411">
            <v>20.215302092325562</v>
          </cell>
          <cell r="AU2411">
            <v>15.151285305908887</v>
          </cell>
          <cell r="AV2411">
            <v>14.263722316306255</v>
          </cell>
          <cell r="AW2411">
            <v>12.105561258724364</v>
          </cell>
          <cell r="AX2411">
            <v>10.242049449424412</v>
          </cell>
          <cell r="AY2411">
            <v>13.969073068024317</v>
          </cell>
        </row>
        <row r="2412">
          <cell r="A2412">
            <v>42914</v>
          </cell>
          <cell r="AF2412">
            <v>21.634615384615383</v>
          </cell>
          <cell r="AG2412">
            <v>20.469360058004284</v>
          </cell>
          <cell r="AH2412">
            <v>17.881583490985356</v>
          </cell>
          <cell r="AI2412">
            <v>15.547864889645153</v>
          </cell>
          <cell r="AJ2412">
            <v>20.215302092325562</v>
          </cell>
          <cell r="AU2412">
            <v>15.32973988960641</v>
          </cell>
          <cell r="AV2412">
            <v>14.263722316306255</v>
          </cell>
          <cell r="AW2412">
            <v>12.105561258724364</v>
          </cell>
          <cell r="AX2412">
            <v>10.242049449424412</v>
          </cell>
          <cell r="AY2412">
            <v>13.969073068024317</v>
          </cell>
        </row>
        <row r="2413">
          <cell r="A2413">
            <v>42915</v>
          </cell>
          <cell r="AF2413">
            <v>21.39588826259947</v>
          </cell>
          <cell r="AG2413">
            <v>20.469360058004284</v>
          </cell>
          <cell r="AH2413">
            <v>17.881583490985356</v>
          </cell>
          <cell r="AI2413">
            <v>15.547864889645153</v>
          </cell>
          <cell r="AJ2413">
            <v>20.215302092325562</v>
          </cell>
          <cell r="AU2413">
            <v>15.17304917999442</v>
          </cell>
          <cell r="AV2413">
            <v>14.263722316306255</v>
          </cell>
          <cell r="AW2413">
            <v>12.105561258724364</v>
          </cell>
          <cell r="AX2413">
            <v>10.242049449424412</v>
          </cell>
          <cell r="AY2413">
            <v>13.969073068024317</v>
          </cell>
        </row>
        <row r="2414">
          <cell r="A2414">
            <v>42916</v>
          </cell>
          <cell r="AF2414">
            <v>21.498672745358089</v>
          </cell>
          <cell r="AG2414">
            <v>20.469360058004284</v>
          </cell>
          <cell r="AH2414">
            <v>17.881583490985356</v>
          </cell>
          <cell r="AI2414">
            <v>15.547864889645153</v>
          </cell>
          <cell r="AJ2414">
            <v>20.215302092325562</v>
          </cell>
          <cell r="AU2414">
            <v>15.240512706570488</v>
          </cell>
          <cell r="AV2414">
            <v>14.263722316306255</v>
          </cell>
          <cell r="AW2414">
            <v>12.105561258724364</v>
          </cell>
          <cell r="AX2414">
            <v>10.242049449424412</v>
          </cell>
          <cell r="AY2414">
            <v>13.969073068024317</v>
          </cell>
        </row>
        <row r="2415">
          <cell r="A2415">
            <v>42919</v>
          </cell>
          <cell r="AF2415">
            <v>21.21915348837415</v>
          </cell>
          <cell r="AG2415">
            <v>20.469360058004284</v>
          </cell>
          <cell r="AH2415">
            <v>17.881583490985356</v>
          </cell>
          <cell r="AI2415">
            <v>15.547864889645153</v>
          </cell>
          <cell r="AJ2415">
            <v>20.215302092325562</v>
          </cell>
          <cell r="AU2415">
            <v>15.086198418003455</v>
          </cell>
          <cell r="AV2415">
            <v>14.263722316306255</v>
          </cell>
          <cell r="AW2415">
            <v>12.105561258724364</v>
          </cell>
          <cell r="AX2415">
            <v>10.242049449424412</v>
          </cell>
          <cell r="AY2415">
            <v>13.969073068024317</v>
          </cell>
        </row>
        <row r="2416">
          <cell r="A2416">
            <v>42920</v>
          </cell>
          <cell r="AF2416">
            <v>21.21915348837415</v>
          </cell>
          <cell r="AG2416">
            <v>20.469360058004284</v>
          </cell>
          <cell r="AH2416">
            <v>17.881583490985356</v>
          </cell>
          <cell r="AI2416">
            <v>15.547864889645153</v>
          </cell>
          <cell r="AJ2416">
            <v>20.215302092325562</v>
          </cell>
          <cell r="AU2416">
            <v>15.086198418003455</v>
          </cell>
          <cell r="AV2416">
            <v>14.263722316306255</v>
          </cell>
          <cell r="AW2416">
            <v>12.105561258724364</v>
          </cell>
          <cell r="AX2416">
            <v>10.242049449424412</v>
          </cell>
          <cell r="AY2416">
            <v>13.969073068024317</v>
          </cell>
        </row>
        <row r="2417">
          <cell r="A2417">
            <v>42921</v>
          </cell>
          <cell r="AF2417">
            <v>21.3668953214795</v>
          </cell>
          <cell r="AG2417">
            <v>20.469360058004284</v>
          </cell>
          <cell r="AH2417">
            <v>17.881583490985356</v>
          </cell>
          <cell r="AI2417">
            <v>15.547864889645153</v>
          </cell>
          <cell r="AJ2417">
            <v>20.215302092325562</v>
          </cell>
          <cell r="AU2417">
            <v>15.183429298897419</v>
          </cell>
          <cell r="AV2417">
            <v>14.263722316306255</v>
          </cell>
          <cell r="AW2417">
            <v>12.105561258724364</v>
          </cell>
          <cell r="AX2417">
            <v>10.242049449424412</v>
          </cell>
          <cell r="AY2417">
            <v>13.969073068024317</v>
          </cell>
        </row>
        <row r="2418">
          <cell r="A2418">
            <v>42922</v>
          </cell>
          <cell r="AF2418">
            <v>21.107521969906287</v>
          </cell>
          <cell r="AG2418">
            <v>20.469360058004284</v>
          </cell>
          <cell r="AH2418">
            <v>17.881583490985356</v>
          </cell>
          <cell r="AI2418">
            <v>15.547864889645153</v>
          </cell>
          <cell r="AJ2418">
            <v>20.215302092325562</v>
          </cell>
          <cell r="AU2418">
            <v>15.012732219242936</v>
          </cell>
          <cell r="AV2418">
            <v>14.263722316306255</v>
          </cell>
          <cell r="AW2418">
            <v>12.105561258724364</v>
          </cell>
          <cell r="AX2418">
            <v>10.242049449424412</v>
          </cell>
          <cell r="AY2418">
            <v>13.969073068024317</v>
          </cell>
        </row>
        <row r="2419">
          <cell r="A2419">
            <v>42923</v>
          </cell>
          <cell r="AF2419">
            <v>21.206618258756148</v>
          </cell>
          <cell r="AG2419">
            <v>20.469360058004284</v>
          </cell>
          <cell r="AH2419">
            <v>17.881583490985356</v>
          </cell>
          <cell r="AI2419">
            <v>15.547864889645153</v>
          </cell>
          <cell r="AJ2419">
            <v>20.215302092325562</v>
          </cell>
          <cell r="AU2419">
            <v>15.079747545278401</v>
          </cell>
          <cell r="AV2419">
            <v>14.263722316306255</v>
          </cell>
          <cell r="AW2419">
            <v>12.105561258724364</v>
          </cell>
          <cell r="AX2419">
            <v>10.242049449424412</v>
          </cell>
          <cell r="AY2419">
            <v>13.969073068024317</v>
          </cell>
        </row>
        <row r="2420">
          <cell r="A2420">
            <v>42926</v>
          </cell>
          <cell r="AF2420">
            <v>21.058194728733849</v>
          </cell>
          <cell r="AG2420">
            <v>20.469360058004284</v>
          </cell>
          <cell r="AH2420">
            <v>17.881583490985356</v>
          </cell>
          <cell r="AI2420">
            <v>15.547864889645153</v>
          </cell>
          <cell r="AJ2420">
            <v>20.215302092325562</v>
          </cell>
          <cell r="AU2420">
            <v>14.951929725600381</v>
          </cell>
          <cell r="AV2420">
            <v>14.263722316306255</v>
          </cell>
          <cell r="AW2420">
            <v>12.105561258724364</v>
          </cell>
          <cell r="AX2420">
            <v>10.242049449424412</v>
          </cell>
          <cell r="AY2420">
            <v>13.969073068024317</v>
          </cell>
        </row>
        <row r="2421">
          <cell r="A2421">
            <v>42927</v>
          </cell>
          <cell r="AF2421">
            <v>21.01767058002083</v>
          </cell>
          <cell r="AG2421">
            <v>20.469360058004284</v>
          </cell>
          <cell r="AH2421">
            <v>17.881583490985356</v>
          </cell>
          <cell r="AI2421">
            <v>15.547864889645153</v>
          </cell>
          <cell r="AJ2421">
            <v>20.215302092325562</v>
          </cell>
          <cell r="AU2421">
            <v>14.92178095480403</v>
          </cell>
          <cell r="AV2421">
            <v>14.263722316306255</v>
          </cell>
          <cell r="AW2421">
            <v>12.105561258724364</v>
          </cell>
          <cell r="AX2421">
            <v>10.242049449424412</v>
          </cell>
          <cell r="AY2421">
            <v>13.969073068024317</v>
          </cell>
        </row>
        <row r="2422">
          <cell r="A2422">
            <v>42928</v>
          </cell>
          <cell r="AF2422">
            <v>21.10223493113989</v>
          </cell>
          <cell r="AG2422">
            <v>20.469360058004284</v>
          </cell>
          <cell r="AH2422">
            <v>17.881583490985356</v>
          </cell>
          <cell r="AI2422">
            <v>15.547864889645153</v>
          </cell>
          <cell r="AJ2422">
            <v>20.215302092325562</v>
          </cell>
          <cell r="AU2422">
            <v>14.986383125568722</v>
          </cell>
          <cell r="AV2422">
            <v>14.263722316306255</v>
          </cell>
          <cell r="AW2422">
            <v>12.105561258724364</v>
          </cell>
          <cell r="AX2422">
            <v>10.242049449424412</v>
          </cell>
          <cell r="AY2422">
            <v>13.969073068024317</v>
          </cell>
        </row>
        <row r="2423">
          <cell r="A2423">
            <v>42929</v>
          </cell>
          <cell r="AF2423">
            <v>21.260887372015713</v>
          </cell>
          <cell r="AG2423">
            <v>20.469360058004284</v>
          </cell>
          <cell r="AH2423">
            <v>17.881583490985356</v>
          </cell>
          <cell r="AI2423">
            <v>15.547864889645153</v>
          </cell>
          <cell r="AJ2423">
            <v>20.215302092325562</v>
          </cell>
          <cell r="AU2423">
            <v>15.105860540308209</v>
          </cell>
          <cell r="AV2423">
            <v>14.263722316306255</v>
          </cell>
          <cell r="AW2423">
            <v>12.105561258724364</v>
          </cell>
          <cell r="AX2423">
            <v>10.242049449424412</v>
          </cell>
          <cell r="AY2423">
            <v>13.969073068024317</v>
          </cell>
        </row>
        <row r="2424">
          <cell r="A2424">
            <v>42930</v>
          </cell>
          <cell r="AF2424">
            <v>21.33296961092357</v>
          </cell>
          <cell r="AG2424">
            <v>20.469360058004284</v>
          </cell>
          <cell r="AH2424">
            <v>17.881583490985356</v>
          </cell>
          <cell r="AI2424">
            <v>15.547864889645153</v>
          </cell>
          <cell r="AJ2424">
            <v>20.215302092325562</v>
          </cell>
          <cell r="AU2424">
            <v>15.012795829316685</v>
          </cell>
          <cell r="AV2424">
            <v>14.263722316306255</v>
          </cell>
          <cell r="AW2424">
            <v>12.105561258724364</v>
          </cell>
          <cell r="AX2424">
            <v>10.242049449424412</v>
          </cell>
          <cell r="AY2424">
            <v>13.969073068024317</v>
          </cell>
        </row>
        <row r="2425">
          <cell r="A2425">
            <v>42933</v>
          </cell>
          <cell r="AF2425">
            <v>21.316586375428688</v>
          </cell>
          <cell r="AG2425">
            <v>20.469360058004284</v>
          </cell>
          <cell r="AH2425">
            <v>17.881583490985356</v>
          </cell>
          <cell r="AI2425">
            <v>15.547864889645153</v>
          </cell>
          <cell r="AJ2425">
            <v>20.215302092325562</v>
          </cell>
          <cell r="AU2425">
            <v>15.002117654983426</v>
          </cell>
          <cell r="AV2425">
            <v>14.263722316306255</v>
          </cell>
          <cell r="AW2425">
            <v>12.105561258724364</v>
          </cell>
          <cell r="AX2425">
            <v>10.242049449424412</v>
          </cell>
          <cell r="AY2425">
            <v>13.969073068024317</v>
          </cell>
        </row>
        <row r="2426">
          <cell r="A2426">
            <v>42934</v>
          </cell>
          <cell r="AF2426">
            <v>21.296928327647116</v>
          </cell>
          <cell r="AG2426">
            <v>20.469360058004284</v>
          </cell>
          <cell r="AH2426">
            <v>17.881583490985356</v>
          </cell>
          <cell r="AI2426">
            <v>15.547864889645153</v>
          </cell>
          <cell r="AJ2426">
            <v>20.215302092325562</v>
          </cell>
          <cell r="AU2426">
            <v>14.989305041667293</v>
          </cell>
          <cell r="AV2426">
            <v>14.263722316306255</v>
          </cell>
          <cell r="AW2426">
            <v>12.105561258724364</v>
          </cell>
          <cell r="AX2426">
            <v>10.242049449424412</v>
          </cell>
          <cell r="AY2426">
            <v>13.969073068024317</v>
          </cell>
        </row>
        <row r="2427">
          <cell r="A2427">
            <v>42935</v>
          </cell>
          <cell r="AF2427">
            <v>21.169147085326284</v>
          </cell>
          <cell r="AG2427">
            <v>20.469360058004284</v>
          </cell>
          <cell r="AH2427">
            <v>17.881583490985356</v>
          </cell>
          <cell r="AI2427">
            <v>15.547864889645153</v>
          </cell>
          <cell r="AJ2427">
            <v>20.215302092325562</v>
          </cell>
          <cell r="AU2427">
            <v>15.173888261109575</v>
          </cell>
          <cell r="AV2427">
            <v>14.263722316306255</v>
          </cell>
          <cell r="AW2427">
            <v>12.105561258724364</v>
          </cell>
          <cell r="AX2427">
            <v>10.242049449424412</v>
          </cell>
          <cell r="AY2427">
            <v>13.969073068024317</v>
          </cell>
        </row>
        <row r="2428">
          <cell r="A2428">
            <v>42936</v>
          </cell>
          <cell r="AF2428">
            <v>20.651467249148759</v>
          </cell>
          <cell r="AG2428">
            <v>20.469360058004284</v>
          </cell>
          <cell r="AH2428">
            <v>17.881583490985356</v>
          </cell>
          <cell r="AI2428">
            <v>15.547864889645153</v>
          </cell>
          <cell r="AJ2428">
            <v>20.215302092325562</v>
          </cell>
          <cell r="AU2428">
            <v>14.830414354198274</v>
          </cell>
          <cell r="AV2428">
            <v>14.263722316306255</v>
          </cell>
          <cell r="AW2428">
            <v>12.105561258724364</v>
          </cell>
          <cell r="AX2428">
            <v>10.242049449424412</v>
          </cell>
          <cell r="AY2428">
            <v>13.969073068024317</v>
          </cell>
        </row>
        <row r="2429">
          <cell r="A2429">
            <v>42937</v>
          </cell>
          <cell r="AF2429">
            <v>20.593463680783668</v>
          </cell>
          <cell r="AG2429">
            <v>20.469360058004284</v>
          </cell>
          <cell r="AH2429">
            <v>17.881583490985356</v>
          </cell>
          <cell r="AI2429">
            <v>15.547864889645153</v>
          </cell>
          <cell r="AJ2429">
            <v>20.215302092325562</v>
          </cell>
          <cell r="AU2429">
            <v>14.806522706575519</v>
          </cell>
          <cell r="AV2429">
            <v>14.263722316306255</v>
          </cell>
          <cell r="AW2429">
            <v>12.105561258724364</v>
          </cell>
          <cell r="AX2429">
            <v>10.242049449424412</v>
          </cell>
          <cell r="AY2429">
            <v>13.969073068024317</v>
          </cell>
        </row>
        <row r="2430">
          <cell r="A2430">
            <v>42940</v>
          </cell>
          <cell r="AF2430">
            <v>20.518186911107854</v>
          </cell>
          <cell r="AG2430">
            <v>20.469360058004284</v>
          </cell>
          <cell r="AH2430">
            <v>17.881583490985356</v>
          </cell>
          <cell r="AI2430">
            <v>15.547864889645153</v>
          </cell>
          <cell r="AJ2430">
            <v>20.215302092325562</v>
          </cell>
          <cell r="AU2430">
            <v>14.756524202099426</v>
          </cell>
          <cell r="AV2430">
            <v>14.263722316306255</v>
          </cell>
          <cell r="AW2430">
            <v>12.105561258724364</v>
          </cell>
          <cell r="AX2430">
            <v>10.242049449424412</v>
          </cell>
          <cell r="AY2430">
            <v>13.969073068024317</v>
          </cell>
        </row>
        <row r="2431">
          <cell r="A2431">
            <v>42941</v>
          </cell>
          <cell r="AF2431">
            <v>20.636013796619181</v>
          </cell>
          <cell r="AG2431">
            <v>20.469360058004284</v>
          </cell>
          <cell r="AH2431">
            <v>17.881583490985356</v>
          </cell>
          <cell r="AI2431">
            <v>15.547864889645153</v>
          </cell>
          <cell r="AJ2431">
            <v>20.215302092325562</v>
          </cell>
          <cell r="AU2431">
            <v>14.756524202099426</v>
          </cell>
          <cell r="AV2431">
            <v>14.263722316306255</v>
          </cell>
          <cell r="AW2431">
            <v>12.105561258724364</v>
          </cell>
          <cell r="AX2431">
            <v>10.242049449424412</v>
          </cell>
          <cell r="AY2431">
            <v>13.969073068024317</v>
          </cell>
        </row>
        <row r="2432">
          <cell r="A2432">
            <v>42942</v>
          </cell>
          <cell r="AF2432">
            <v>20.69055839725069</v>
          </cell>
          <cell r="AG2432">
            <v>20.469360058004284</v>
          </cell>
          <cell r="AH2432">
            <v>17.881583490985356</v>
          </cell>
          <cell r="AI2432">
            <v>15.547864889645153</v>
          </cell>
          <cell r="AJ2432">
            <v>20.215302092325562</v>
          </cell>
          <cell r="AU2432">
            <v>14.746275874538549</v>
          </cell>
          <cell r="AV2432">
            <v>14.263722316306255</v>
          </cell>
          <cell r="AW2432">
            <v>12.105561258724364</v>
          </cell>
          <cell r="AX2432">
            <v>10.242049449424412</v>
          </cell>
          <cell r="AY2432">
            <v>13.969073068024317</v>
          </cell>
        </row>
        <row r="2433">
          <cell r="A2433">
            <v>42943</v>
          </cell>
          <cell r="AF2433">
            <v>20.605400223819451</v>
          </cell>
          <cell r="AG2433">
            <v>20.469360058004284</v>
          </cell>
          <cell r="AH2433">
            <v>17.881583490985356</v>
          </cell>
          <cell r="AI2433">
            <v>15.547864889645153</v>
          </cell>
          <cell r="AJ2433">
            <v>20.215302092325562</v>
          </cell>
          <cell r="AU2433">
            <v>14.746275874538549</v>
          </cell>
          <cell r="AV2433">
            <v>14.263722316306255</v>
          </cell>
          <cell r="AW2433">
            <v>12.105561258724364</v>
          </cell>
          <cell r="AX2433">
            <v>10.242049449424412</v>
          </cell>
          <cell r="AY2433">
            <v>13.969073068024317</v>
          </cell>
        </row>
        <row r="2434">
          <cell r="A2434">
            <v>42944</v>
          </cell>
          <cell r="AF2434">
            <v>20.519777868881743</v>
          </cell>
          <cell r="AG2434">
            <v>20.469360058004284</v>
          </cell>
          <cell r="AH2434">
            <v>17.881583490985356</v>
          </cell>
          <cell r="AI2434">
            <v>15.547864889645153</v>
          </cell>
          <cell r="AJ2434">
            <v>20.215302092325562</v>
          </cell>
          <cell r="AU2434">
            <v>14.737584415099015</v>
          </cell>
          <cell r="AV2434">
            <v>14.263722316306255</v>
          </cell>
          <cell r="AW2434">
            <v>12.105561258724364</v>
          </cell>
          <cell r="AX2434">
            <v>10.242049449424412</v>
          </cell>
          <cell r="AY2434">
            <v>13.969073068024317</v>
          </cell>
        </row>
        <row r="2435">
          <cell r="A2435">
            <v>42947</v>
          </cell>
          <cell r="AF2435">
            <v>20.316710655821556</v>
          </cell>
          <cell r="AG2435">
            <v>20.469360058004284</v>
          </cell>
          <cell r="AH2435">
            <v>17.881583490985356</v>
          </cell>
          <cell r="AI2435">
            <v>15.547864889645153</v>
          </cell>
          <cell r="AJ2435">
            <v>20.215302092325562</v>
          </cell>
          <cell r="AU2435">
            <v>14.602898184620525</v>
          </cell>
          <cell r="AV2435">
            <v>14.263722316306255</v>
          </cell>
          <cell r="AW2435">
            <v>12.105561258724364</v>
          </cell>
          <cell r="AX2435">
            <v>10.242049449424412</v>
          </cell>
          <cell r="AY2435">
            <v>13.969073068024317</v>
          </cell>
        </row>
        <row r="2436">
          <cell r="A2436">
            <v>42948</v>
          </cell>
          <cell r="AF2436">
            <v>19.958907213152205</v>
          </cell>
          <cell r="AG2436">
            <v>20.469360058004284</v>
          </cell>
          <cell r="AH2436">
            <v>17.881583490985356</v>
          </cell>
          <cell r="AI2436">
            <v>15.547864889645153</v>
          </cell>
          <cell r="AJ2436">
            <v>20.215302092325562</v>
          </cell>
          <cell r="AU2436">
            <v>14.390607057930968</v>
          </cell>
          <cell r="AV2436">
            <v>14.263722316306255</v>
          </cell>
          <cell r="AW2436">
            <v>12.105561258724364</v>
          </cell>
          <cell r="AX2436">
            <v>10.242049449424412</v>
          </cell>
          <cell r="AY2436">
            <v>13.969073068024317</v>
          </cell>
        </row>
        <row r="2437">
          <cell r="A2437">
            <v>42949</v>
          </cell>
          <cell r="AF2437">
            <v>19.842112252624453</v>
          </cell>
          <cell r="AG2437">
            <v>20.469360058004284</v>
          </cell>
          <cell r="AH2437">
            <v>17.881583490985356</v>
          </cell>
          <cell r="AI2437">
            <v>15.547864889645153</v>
          </cell>
          <cell r="AJ2437">
            <v>20.215302092325562</v>
          </cell>
          <cell r="AU2437">
            <v>14.312949047131582</v>
          </cell>
          <cell r="AV2437">
            <v>14.263722316306255</v>
          </cell>
          <cell r="AW2437">
            <v>12.105561258724364</v>
          </cell>
          <cell r="AX2437">
            <v>10.242049449424412</v>
          </cell>
          <cell r="AY2437">
            <v>13.969073068024317</v>
          </cell>
        </row>
        <row r="2438">
          <cell r="A2438">
            <v>42950</v>
          </cell>
          <cell r="AF2438">
            <v>19.903754839409363</v>
          </cell>
          <cell r="AG2438">
            <v>20.469360058004284</v>
          </cell>
          <cell r="AH2438">
            <v>17.881583490985356</v>
          </cell>
          <cell r="AI2438">
            <v>15.547864889645153</v>
          </cell>
          <cell r="AJ2438">
            <v>20.215302092325562</v>
          </cell>
          <cell r="AU2438">
            <v>14.353932301338496</v>
          </cell>
          <cell r="AV2438">
            <v>14.263722316306255</v>
          </cell>
          <cell r="AW2438">
            <v>12.105561258724364</v>
          </cell>
          <cell r="AX2438">
            <v>10.242049449424412</v>
          </cell>
          <cell r="AY2438">
            <v>13.969073068024317</v>
          </cell>
        </row>
        <row r="2439">
          <cell r="A2439">
            <v>42951</v>
          </cell>
          <cell r="AF2439">
            <v>19.979691691836567</v>
          </cell>
          <cell r="AG2439">
            <v>20.469360058004284</v>
          </cell>
          <cell r="AH2439">
            <v>17.881583490985356</v>
          </cell>
          <cell r="AI2439">
            <v>15.547864889645153</v>
          </cell>
          <cell r="AJ2439">
            <v>20.215302092325562</v>
          </cell>
          <cell r="AU2439">
            <v>14.405700940210705</v>
          </cell>
          <cell r="AV2439">
            <v>14.263722316306255</v>
          </cell>
          <cell r="AW2439">
            <v>12.105561258724364</v>
          </cell>
          <cell r="AX2439">
            <v>10.242049449424412</v>
          </cell>
          <cell r="AY2439">
            <v>13.969073068024317</v>
          </cell>
        </row>
        <row r="2440">
          <cell r="A2440">
            <v>42954</v>
          </cell>
          <cell r="AF2440">
            <v>20.2229904334955</v>
          </cell>
          <cell r="AG2440">
            <v>20.469360058004284</v>
          </cell>
          <cell r="AH2440">
            <v>17.881583490985356</v>
          </cell>
          <cell r="AI2440">
            <v>15.547864889645153</v>
          </cell>
          <cell r="AJ2440">
            <v>20.215302092325562</v>
          </cell>
          <cell r="AU2440">
            <v>14.567487962551166</v>
          </cell>
          <cell r="AV2440">
            <v>14.263722316306255</v>
          </cell>
          <cell r="AW2440">
            <v>12.105561258724364</v>
          </cell>
          <cell r="AX2440">
            <v>10.242049449424412</v>
          </cell>
          <cell r="AY2440">
            <v>13.969073068024317</v>
          </cell>
        </row>
        <row r="2441">
          <cell r="A2441">
            <v>42955</v>
          </cell>
          <cell r="AF2441">
            <v>19.921302264626679</v>
          </cell>
          <cell r="AG2441">
            <v>20.469360058004284</v>
          </cell>
          <cell r="AH2441">
            <v>17.881583490985356</v>
          </cell>
          <cell r="AI2441">
            <v>15.547864889645153</v>
          </cell>
          <cell r="AJ2441">
            <v>20.215302092325562</v>
          </cell>
          <cell r="AU2441">
            <v>14.366873564861203</v>
          </cell>
          <cell r="AV2441">
            <v>14.263722316306255</v>
          </cell>
          <cell r="AW2441">
            <v>12.105561258724364</v>
          </cell>
          <cell r="AX2441">
            <v>10.242049449424412</v>
          </cell>
          <cell r="AY2441">
            <v>13.969073068024317</v>
          </cell>
        </row>
        <row r="2442">
          <cell r="A2442">
            <v>42956</v>
          </cell>
          <cell r="AF2442">
            <v>18.597219842770507</v>
          </cell>
          <cell r="AG2442">
            <v>20.469360058004284</v>
          </cell>
          <cell r="AH2442">
            <v>17.881583490985356</v>
          </cell>
          <cell r="AI2442">
            <v>15.547864889645153</v>
          </cell>
          <cell r="AJ2442">
            <v>20.215302092325562</v>
          </cell>
          <cell r="AU2442">
            <v>13.491798589691484</v>
          </cell>
          <cell r="AV2442">
            <v>14.263722316306255</v>
          </cell>
          <cell r="AW2442">
            <v>12.105561258724364</v>
          </cell>
          <cell r="AX2442">
            <v>10.242049449424412</v>
          </cell>
          <cell r="AY2442">
            <v>13.969073068024317</v>
          </cell>
        </row>
        <row r="2443">
          <cell r="A2443">
            <v>42957</v>
          </cell>
          <cell r="AF2443">
            <v>18.686868686870554</v>
          </cell>
          <cell r="AG2443">
            <v>20.469360058004284</v>
          </cell>
          <cell r="AH2443">
            <v>17.881583490985356</v>
          </cell>
          <cell r="AI2443">
            <v>15.547864889645153</v>
          </cell>
          <cell r="AJ2443">
            <v>20.215302092325562</v>
          </cell>
          <cell r="AU2443">
            <v>13.599902558714001</v>
          </cell>
          <cell r="AV2443">
            <v>14.263722316306255</v>
          </cell>
          <cell r="AW2443">
            <v>12.105561258724364</v>
          </cell>
          <cell r="AX2443">
            <v>10.242049449424412</v>
          </cell>
          <cell r="AY2443">
            <v>13.969073068024317</v>
          </cell>
        </row>
        <row r="2444">
          <cell r="A2444">
            <v>42958</v>
          </cell>
          <cell r="AF2444">
            <v>18.713388995866641</v>
          </cell>
          <cell r="AG2444">
            <v>20.469360058004284</v>
          </cell>
          <cell r="AH2444">
            <v>17.881583490985356</v>
          </cell>
          <cell r="AI2444">
            <v>15.547864889645153</v>
          </cell>
          <cell r="AJ2444">
            <v>20.215302092325562</v>
          </cell>
          <cell r="AU2444">
            <v>13.709169984204653</v>
          </cell>
          <cell r="AV2444">
            <v>14.263722316306255</v>
          </cell>
          <cell r="AW2444">
            <v>12.105561258724364</v>
          </cell>
          <cell r="AX2444">
            <v>10.242049449424412</v>
          </cell>
          <cell r="AY2444">
            <v>13.969073068024317</v>
          </cell>
        </row>
        <row r="2445">
          <cell r="A2445">
            <v>42961</v>
          </cell>
          <cell r="AF2445">
            <v>18.395821605578753</v>
          </cell>
          <cell r="AG2445">
            <v>20.469360058004284</v>
          </cell>
          <cell r="AH2445">
            <v>17.881583490985356</v>
          </cell>
          <cell r="AI2445">
            <v>15.547864889645153</v>
          </cell>
          <cell r="AJ2445">
            <v>20.215302092325562</v>
          </cell>
          <cell r="AU2445">
            <v>13.476185733845666</v>
          </cell>
          <cell r="AV2445">
            <v>14.263722316306255</v>
          </cell>
          <cell r="AW2445">
            <v>12.105561258724364</v>
          </cell>
          <cell r="AX2445">
            <v>10.242049449424412</v>
          </cell>
          <cell r="AY2445">
            <v>13.969073068024317</v>
          </cell>
        </row>
        <row r="2446">
          <cell r="A2446">
            <v>42962</v>
          </cell>
          <cell r="AF2446">
            <v>18.216234791567775</v>
          </cell>
          <cell r="AG2446">
            <v>20.469360058004284</v>
          </cell>
          <cell r="AH2446">
            <v>17.881583490985356</v>
          </cell>
          <cell r="AI2446">
            <v>15.547864889645153</v>
          </cell>
          <cell r="AJ2446">
            <v>20.215302092325562</v>
          </cell>
          <cell r="AU2446">
            <v>13.357454512830044</v>
          </cell>
          <cell r="AV2446">
            <v>14.263722316306255</v>
          </cell>
          <cell r="AW2446">
            <v>12.105561258724364</v>
          </cell>
          <cell r="AX2446">
            <v>10.242049449424412</v>
          </cell>
          <cell r="AY2446">
            <v>13.969073068024317</v>
          </cell>
        </row>
        <row r="2447">
          <cell r="A2447">
            <v>42963</v>
          </cell>
          <cell r="AF2447">
            <v>18.312976600846486</v>
          </cell>
          <cell r="AG2447">
            <v>20.469360058004284</v>
          </cell>
          <cell r="AH2447">
            <v>17.881583490985356</v>
          </cell>
          <cell r="AI2447">
            <v>15.547864889645153</v>
          </cell>
          <cell r="AJ2447">
            <v>20.215302092325562</v>
          </cell>
          <cell r="AU2447">
            <v>13.364643958376142</v>
          </cell>
          <cell r="AV2447">
            <v>14.263722316306255</v>
          </cell>
          <cell r="AW2447">
            <v>12.105561258724364</v>
          </cell>
          <cell r="AX2447">
            <v>10.242049449424412</v>
          </cell>
          <cell r="AY2447">
            <v>13.969073068024317</v>
          </cell>
        </row>
        <row r="2448">
          <cell r="A2448">
            <v>42964</v>
          </cell>
          <cell r="AF2448">
            <v>18.206825362403375</v>
          </cell>
          <cell r="AG2448">
            <v>20.469360058004284</v>
          </cell>
          <cell r="AH2448">
            <v>17.881583490985356</v>
          </cell>
          <cell r="AI2448">
            <v>15.547864889645153</v>
          </cell>
          <cell r="AJ2448">
            <v>20.215302092325562</v>
          </cell>
          <cell r="AU2448">
            <v>13.294832728476596</v>
          </cell>
          <cell r="AV2448">
            <v>14.263722316306255</v>
          </cell>
          <cell r="AW2448">
            <v>12.105561258724364</v>
          </cell>
          <cell r="AX2448">
            <v>10.242049449424412</v>
          </cell>
          <cell r="AY2448">
            <v>13.969073068024317</v>
          </cell>
        </row>
        <row r="2449">
          <cell r="A2449">
            <v>42965</v>
          </cell>
          <cell r="AF2449">
            <v>18.096074219576611</v>
          </cell>
          <cell r="AG2449">
            <v>20.469360058004284</v>
          </cell>
          <cell r="AH2449">
            <v>17.881583490985356</v>
          </cell>
          <cell r="AI2449">
            <v>15.547864889645153</v>
          </cell>
          <cell r="AJ2449">
            <v>20.215302092325562</v>
          </cell>
          <cell r="AU2449">
            <v>13.222779277567392</v>
          </cell>
          <cell r="AV2449">
            <v>14.263722316306255</v>
          </cell>
          <cell r="AW2449">
            <v>12.105561258724364</v>
          </cell>
          <cell r="AX2449">
            <v>10.242049449424412</v>
          </cell>
          <cell r="AY2449">
            <v>13.969073068024317</v>
          </cell>
        </row>
        <row r="2450">
          <cell r="A2450">
            <v>42968</v>
          </cell>
          <cell r="AF2450">
            <v>18.075525505133879</v>
          </cell>
          <cell r="AG2450">
            <v>20.469360058004284</v>
          </cell>
          <cell r="AH2450">
            <v>17.881583490985356</v>
          </cell>
          <cell r="AI2450">
            <v>15.547864889645153</v>
          </cell>
          <cell r="AJ2450">
            <v>20.215302092325562</v>
          </cell>
          <cell r="AU2450">
            <v>13.209264359420891</v>
          </cell>
          <cell r="AV2450">
            <v>14.263722316306255</v>
          </cell>
          <cell r="AW2450">
            <v>12.105561258724364</v>
          </cell>
          <cell r="AX2450">
            <v>10.242049449424412</v>
          </cell>
          <cell r="AY2450">
            <v>13.969073068024317</v>
          </cell>
        </row>
        <row r="2451">
          <cell r="A2451">
            <v>42969</v>
          </cell>
          <cell r="AF2451">
            <v>18.383692534559</v>
          </cell>
          <cell r="AG2451">
            <v>20.469360058004284</v>
          </cell>
          <cell r="AH2451">
            <v>17.881583490985356</v>
          </cell>
          <cell r="AI2451">
            <v>15.547864889645153</v>
          </cell>
          <cell r="AJ2451">
            <v>20.215302092325562</v>
          </cell>
          <cell r="AU2451">
            <v>13.41194624444771</v>
          </cell>
          <cell r="AV2451">
            <v>14.263722316306255</v>
          </cell>
          <cell r="AW2451">
            <v>12.105561258724364</v>
          </cell>
          <cell r="AX2451">
            <v>10.242049449424412</v>
          </cell>
          <cell r="AY2451">
            <v>13.969073068024317</v>
          </cell>
        </row>
        <row r="2452">
          <cell r="A2452">
            <v>42970</v>
          </cell>
          <cell r="AF2452">
            <v>18.349615676360873</v>
          </cell>
          <cell r="AG2452">
            <v>20.469360058004284</v>
          </cell>
          <cell r="AH2452">
            <v>17.881583490985356</v>
          </cell>
          <cell r="AI2452">
            <v>15.547864889645153</v>
          </cell>
          <cell r="AJ2452">
            <v>20.215302092325562</v>
          </cell>
          <cell r="AU2452">
            <v>13.350936983983685</v>
          </cell>
          <cell r="AV2452">
            <v>14.263722316306255</v>
          </cell>
          <cell r="AW2452">
            <v>12.105561258724364</v>
          </cell>
          <cell r="AX2452">
            <v>10.242049449424412</v>
          </cell>
          <cell r="AY2452">
            <v>13.969073068024317</v>
          </cell>
        </row>
        <row r="2453">
          <cell r="A2453">
            <v>42971</v>
          </cell>
          <cell r="AF2453">
            <v>18.832316745203581</v>
          </cell>
          <cell r="AG2453">
            <v>20.469360058004284</v>
          </cell>
          <cell r="AH2453">
            <v>17.881583490985356</v>
          </cell>
          <cell r="AI2453">
            <v>15.547864889645153</v>
          </cell>
          <cell r="AJ2453">
            <v>20.215302092325562</v>
          </cell>
          <cell r="AU2453">
            <v>13.667277742433741</v>
          </cell>
          <cell r="AV2453">
            <v>14.263722316306255</v>
          </cell>
          <cell r="AW2453">
            <v>12.105561258724364</v>
          </cell>
          <cell r="AX2453">
            <v>10.242049449424412</v>
          </cell>
          <cell r="AY2453">
            <v>13.969073068024317</v>
          </cell>
        </row>
        <row r="2454">
          <cell r="A2454">
            <v>42972</v>
          </cell>
          <cell r="AF2454">
            <v>18.894381335480567</v>
          </cell>
          <cell r="AG2454">
            <v>20.469360058004284</v>
          </cell>
          <cell r="AH2454">
            <v>17.881583490985356</v>
          </cell>
          <cell r="AI2454">
            <v>15.547864889645153</v>
          </cell>
          <cell r="AJ2454">
            <v>20.215302092325562</v>
          </cell>
          <cell r="AU2454">
            <v>13.707925115045912</v>
          </cell>
          <cell r="AV2454">
            <v>14.263722316306255</v>
          </cell>
          <cell r="AW2454">
            <v>12.105561258724364</v>
          </cell>
          <cell r="AX2454">
            <v>10.242049449424412</v>
          </cell>
          <cell r="AY2454">
            <v>13.969073068024317</v>
          </cell>
        </row>
        <row r="2455">
          <cell r="A2455">
            <v>42975</v>
          </cell>
          <cell r="AF2455">
            <v>19.018504999427254</v>
          </cell>
          <cell r="AG2455">
            <v>20.469360058004284</v>
          </cell>
          <cell r="AH2455">
            <v>17.881583490985356</v>
          </cell>
          <cell r="AI2455">
            <v>15.547864889645153</v>
          </cell>
          <cell r="AJ2455">
            <v>20.215302092325562</v>
          </cell>
          <cell r="AU2455">
            <v>13.789270069948158</v>
          </cell>
          <cell r="AV2455">
            <v>14.263722316306255</v>
          </cell>
          <cell r="AW2455">
            <v>12.105561258724364</v>
          </cell>
          <cell r="AX2455">
            <v>10.242049449424412</v>
          </cell>
          <cell r="AY2455">
            <v>13.969073068024317</v>
          </cell>
        </row>
        <row r="2456">
          <cell r="A2456">
            <v>42976</v>
          </cell>
          <cell r="AF2456">
            <v>19.204688081831595</v>
          </cell>
          <cell r="AG2456">
            <v>20.469360058004284</v>
          </cell>
          <cell r="AH2456">
            <v>17.881583490985356</v>
          </cell>
          <cell r="AI2456">
            <v>15.547864889645153</v>
          </cell>
          <cell r="AJ2456">
            <v>20.215302092325562</v>
          </cell>
          <cell r="AU2456">
            <v>13.911285920594073</v>
          </cell>
          <cell r="AV2456">
            <v>14.263722316306255</v>
          </cell>
          <cell r="AW2456">
            <v>12.105561258724364</v>
          </cell>
          <cell r="AX2456">
            <v>10.242049449424412</v>
          </cell>
          <cell r="AY2456">
            <v>13.969073068024317</v>
          </cell>
        </row>
        <row r="2457">
          <cell r="A2457">
            <v>42977</v>
          </cell>
          <cell r="AF2457">
            <v>19.19434513274528</v>
          </cell>
          <cell r="AG2457">
            <v>20.469360058004284</v>
          </cell>
          <cell r="AH2457">
            <v>17.881583490985356</v>
          </cell>
          <cell r="AI2457">
            <v>15.547864889645153</v>
          </cell>
          <cell r="AJ2457">
            <v>20.215302092325562</v>
          </cell>
          <cell r="AU2457">
            <v>13.89614361764167</v>
          </cell>
          <cell r="AV2457">
            <v>14.263722316306255</v>
          </cell>
          <cell r="AW2457">
            <v>12.105561258724364</v>
          </cell>
          <cell r="AX2457">
            <v>10.242049449424412</v>
          </cell>
          <cell r="AY2457">
            <v>13.969073068024317</v>
          </cell>
        </row>
        <row r="2458">
          <cell r="A2458">
            <v>42978</v>
          </cell>
          <cell r="AF2458">
            <v>19.504657395703592</v>
          </cell>
          <cell r="AG2458">
            <v>20.469360058004284</v>
          </cell>
          <cell r="AH2458">
            <v>17.881583490985356</v>
          </cell>
          <cell r="AI2458">
            <v>15.547864889645153</v>
          </cell>
          <cell r="AJ2458">
            <v>20.215302092325562</v>
          </cell>
          <cell r="AU2458">
            <v>14.099382320945727</v>
          </cell>
          <cell r="AV2458">
            <v>14.263722316306255</v>
          </cell>
          <cell r="AW2458">
            <v>12.105561258724364</v>
          </cell>
          <cell r="AX2458">
            <v>10.242049449424412</v>
          </cell>
          <cell r="AY2458">
            <v>13.969073068024317</v>
          </cell>
        </row>
        <row r="2459">
          <cell r="A2459">
            <v>42979</v>
          </cell>
          <cell r="AF2459">
            <v>19.349442158285669</v>
          </cell>
          <cell r="AG2459">
            <v>20.469360058004284</v>
          </cell>
          <cell r="AH2459">
            <v>17.881583490985356</v>
          </cell>
          <cell r="AI2459">
            <v>15.547864889645153</v>
          </cell>
          <cell r="AJ2459">
            <v>20.215302092325562</v>
          </cell>
          <cell r="AU2459">
            <v>14.013502630485899</v>
          </cell>
          <cell r="AV2459">
            <v>14.263722316306255</v>
          </cell>
          <cell r="AW2459">
            <v>12.105561258724364</v>
          </cell>
          <cell r="AX2459">
            <v>10.242049449424412</v>
          </cell>
          <cell r="AY2459">
            <v>13.969073068024317</v>
          </cell>
        </row>
        <row r="2460">
          <cell r="A2460">
            <v>42982</v>
          </cell>
          <cell r="AF2460">
            <v>19.349442158285669</v>
          </cell>
          <cell r="AG2460">
            <v>20.469360058004284</v>
          </cell>
          <cell r="AH2460">
            <v>17.881583490985356</v>
          </cell>
          <cell r="AI2460">
            <v>15.547864889645153</v>
          </cell>
          <cell r="AJ2460">
            <v>20.215302092325562</v>
          </cell>
          <cell r="AU2460">
            <v>14.013502630485899</v>
          </cell>
          <cell r="AV2460">
            <v>14.263722316306255</v>
          </cell>
          <cell r="AW2460">
            <v>12.105561258724364</v>
          </cell>
          <cell r="AX2460">
            <v>10.242049449424412</v>
          </cell>
          <cell r="AY2460">
            <v>13.969073068024317</v>
          </cell>
        </row>
        <row r="2461">
          <cell r="A2461">
            <v>42983</v>
          </cell>
          <cell r="AF2461">
            <v>19.291387688892684</v>
          </cell>
          <cell r="AG2461">
            <v>20.469360058004284</v>
          </cell>
          <cell r="AH2461">
            <v>17.881583490985356</v>
          </cell>
          <cell r="AI2461">
            <v>15.547864889645153</v>
          </cell>
          <cell r="AJ2461">
            <v>20.215302092325562</v>
          </cell>
          <cell r="AU2461">
            <v>13.97540205177614</v>
          </cell>
          <cell r="AV2461">
            <v>14.263722316306255</v>
          </cell>
          <cell r="AW2461">
            <v>12.105561258724364</v>
          </cell>
          <cell r="AX2461">
            <v>10.242049449424412</v>
          </cell>
          <cell r="AY2461">
            <v>13.969073068024317</v>
          </cell>
        </row>
        <row r="2462">
          <cell r="A2462">
            <v>42984</v>
          </cell>
          <cell r="AF2462">
            <v>19.44506206778793</v>
          </cell>
          <cell r="AG2462">
            <v>20.469360058004284</v>
          </cell>
          <cell r="AH2462">
            <v>17.881583490985356</v>
          </cell>
          <cell r="AI2462">
            <v>15.547864889645153</v>
          </cell>
          <cell r="AJ2462">
            <v>20.215302092325562</v>
          </cell>
          <cell r="AU2462">
            <v>14.076257038997493</v>
          </cell>
          <cell r="AV2462">
            <v>14.263722316306255</v>
          </cell>
          <cell r="AW2462">
            <v>12.105561258724364</v>
          </cell>
          <cell r="AX2462">
            <v>10.242049449424412</v>
          </cell>
          <cell r="AY2462">
            <v>13.969073068024317</v>
          </cell>
        </row>
        <row r="2463">
          <cell r="A2463">
            <v>42985</v>
          </cell>
          <cell r="AF2463">
            <v>19.748997524118501</v>
          </cell>
          <cell r="AG2463">
            <v>20.469360058004284</v>
          </cell>
          <cell r="AH2463">
            <v>17.881583490985356</v>
          </cell>
          <cell r="AI2463">
            <v>15.547864889645153</v>
          </cell>
          <cell r="AJ2463">
            <v>20.215302092325562</v>
          </cell>
          <cell r="AU2463">
            <v>14.275723535323497</v>
          </cell>
          <cell r="AV2463">
            <v>14.263722316306255</v>
          </cell>
          <cell r="AW2463">
            <v>12.105561258724364</v>
          </cell>
          <cell r="AX2463">
            <v>10.242049449424412</v>
          </cell>
          <cell r="AY2463">
            <v>13.969073068024317</v>
          </cell>
        </row>
        <row r="2464">
          <cell r="A2464">
            <v>42986</v>
          </cell>
          <cell r="AF2464">
            <v>19.95785866257765</v>
          </cell>
          <cell r="AG2464">
            <v>20.469360058004284</v>
          </cell>
          <cell r="AH2464">
            <v>17.881583490985356</v>
          </cell>
          <cell r="AI2464">
            <v>15.547864889645153</v>
          </cell>
          <cell r="AJ2464">
            <v>20.215302092325562</v>
          </cell>
          <cell r="AU2464">
            <v>14.41247423913015</v>
          </cell>
          <cell r="AV2464">
            <v>14.263722316306255</v>
          </cell>
          <cell r="AW2464">
            <v>12.105561258724364</v>
          </cell>
          <cell r="AX2464">
            <v>10.242049449424412</v>
          </cell>
          <cell r="AY2464">
            <v>13.969073068024317</v>
          </cell>
        </row>
        <row r="2465">
          <cell r="A2465">
            <v>42989</v>
          </cell>
          <cell r="AF2465">
            <v>20.231067868327315</v>
          </cell>
          <cell r="AG2465">
            <v>20.469360058004284</v>
          </cell>
          <cell r="AH2465">
            <v>17.881583490985356</v>
          </cell>
          <cell r="AI2465">
            <v>15.547864889645153</v>
          </cell>
          <cell r="AJ2465">
            <v>20.215302092325562</v>
          </cell>
          <cell r="AU2465">
            <v>14.591774255859043</v>
          </cell>
          <cell r="AV2465">
            <v>14.263722316306255</v>
          </cell>
          <cell r="AW2465">
            <v>12.105561258724364</v>
          </cell>
          <cell r="AX2465">
            <v>10.242049449424412</v>
          </cell>
          <cell r="AY2465">
            <v>13.969073068024317</v>
          </cell>
        </row>
        <row r="2466">
          <cell r="A2466">
            <v>42990</v>
          </cell>
          <cell r="AF2466">
            <v>20.303217123836294</v>
          </cell>
          <cell r="AG2466">
            <v>20.469360058004284</v>
          </cell>
          <cell r="AH2466">
            <v>17.881583490985356</v>
          </cell>
          <cell r="AI2466">
            <v>15.547864889645153</v>
          </cell>
          <cell r="AJ2466">
            <v>20.215302092325562</v>
          </cell>
          <cell r="AU2466">
            <v>14.648589879940321</v>
          </cell>
          <cell r="AV2466">
            <v>14.263722316306255</v>
          </cell>
          <cell r="AW2466">
            <v>12.105561258724364</v>
          </cell>
          <cell r="AX2466">
            <v>10.242049449424412</v>
          </cell>
          <cell r="AY2466">
            <v>13.969073068024317</v>
          </cell>
        </row>
        <row r="2467">
          <cell r="A2467">
            <v>42991</v>
          </cell>
          <cell r="AF2467">
            <v>20.189468293931895</v>
          </cell>
          <cell r="AG2467">
            <v>20.469360058004284</v>
          </cell>
          <cell r="AH2467">
            <v>17.881583490985356</v>
          </cell>
          <cell r="AI2467">
            <v>15.547864889645153</v>
          </cell>
          <cell r="AJ2467">
            <v>20.215302092325562</v>
          </cell>
          <cell r="AU2467">
            <v>14.581296866800795</v>
          </cell>
          <cell r="AV2467">
            <v>14.263722316306255</v>
          </cell>
          <cell r="AW2467">
            <v>12.105561258724364</v>
          </cell>
          <cell r="AX2467">
            <v>10.242049449424412</v>
          </cell>
          <cell r="AY2467">
            <v>13.969073068024317</v>
          </cell>
        </row>
        <row r="2468">
          <cell r="A2468">
            <v>42992</v>
          </cell>
          <cell r="AF2468">
            <v>19.841254928736028</v>
          </cell>
          <cell r="AG2468">
            <v>20.469360058004284</v>
          </cell>
          <cell r="AH2468">
            <v>17.881583490985356</v>
          </cell>
          <cell r="AI2468">
            <v>15.547864889645153</v>
          </cell>
          <cell r="AJ2468">
            <v>20.215302092325562</v>
          </cell>
          <cell r="AU2468">
            <v>14.352502012834767</v>
          </cell>
          <cell r="AV2468">
            <v>14.263722316306255</v>
          </cell>
          <cell r="AW2468">
            <v>12.105561258724364</v>
          </cell>
          <cell r="AX2468">
            <v>10.242049449424412</v>
          </cell>
          <cell r="AY2468">
            <v>13.969073068024317</v>
          </cell>
        </row>
        <row r="2469">
          <cell r="A2469">
            <v>42993</v>
          </cell>
          <cell r="AF2469">
            <v>20.262932217858975</v>
          </cell>
          <cell r="AG2469">
            <v>20.469360058004284</v>
          </cell>
          <cell r="AH2469">
            <v>17.881583490985356</v>
          </cell>
          <cell r="AI2469">
            <v>15.547864889645153</v>
          </cell>
          <cell r="AJ2469">
            <v>20.215302092325562</v>
          </cell>
          <cell r="AU2469">
            <v>14.558920137277328</v>
          </cell>
          <cell r="AV2469">
            <v>14.263722316306255</v>
          </cell>
          <cell r="AW2469">
            <v>12.105561258724364</v>
          </cell>
          <cell r="AX2469">
            <v>10.242049449424412</v>
          </cell>
          <cell r="AY2469">
            <v>13.969073068024317</v>
          </cell>
        </row>
        <row r="2470">
          <cell r="A2470">
            <v>42996</v>
          </cell>
          <cell r="AF2470">
            <v>20.04780843435206</v>
          </cell>
          <cell r="AG2470">
            <v>20.469360058004284</v>
          </cell>
          <cell r="AH2470">
            <v>17.881583490985356</v>
          </cell>
          <cell r="AI2470">
            <v>15.547864889645153</v>
          </cell>
          <cell r="AJ2470">
            <v>20.215302092325562</v>
          </cell>
          <cell r="AU2470">
            <v>14.418258086954467</v>
          </cell>
          <cell r="AV2470">
            <v>14.263722316306255</v>
          </cell>
          <cell r="AW2470">
            <v>12.105561258724364</v>
          </cell>
          <cell r="AX2470">
            <v>10.242049449424412</v>
          </cell>
          <cell r="AY2470">
            <v>13.969073068024317</v>
          </cell>
        </row>
        <row r="2471">
          <cell r="A2471">
            <v>42997</v>
          </cell>
          <cell r="AF2471">
            <v>19.754142735188665</v>
          </cell>
          <cell r="AG2471">
            <v>20.469360058004284</v>
          </cell>
          <cell r="AH2471">
            <v>17.881583490985356</v>
          </cell>
          <cell r="AI2471">
            <v>15.547864889645153</v>
          </cell>
          <cell r="AJ2471">
            <v>20.215302092325562</v>
          </cell>
          <cell r="AU2471">
            <v>14.226236604279402</v>
          </cell>
          <cell r="AV2471">
            <v>14.263722316306255</v>
          </cell>
          <cell r="AW2471">
            <v>12.105561258724364</v>
          </cell>
          <cell r="AX2471">
            <v>10.242049449424412</v>
          </cell>
          <cell r="AY2471">
            <v>13.969073068024317</v>
          </cell>
        </row>
        <row r="2472">
          <cell r="A2472">
            <v>42998</v>
          </cell>
          <cell r="AF2472">
            <v>20.027093433315152</v>
          </cell>
          <cell r="AG2472">
            <v>20.469360058004284</v>
          </cell>
          <cell r="AH2472">
            <v>17.881583490985356</v>
          </cell>
          <cell r="AI2472">
            <v>15.547864889645153</v>
          </cell>
          <cell r="AJ2472">
            <v>20.215302092325562</v>
          </cell>
          <cell r="AU2472">
            <v>14.404879607200398</v>
          </cell>
          <cell r="AV2472">
            <v>14.263722316306255</v>
          </cell>
          <cell r="AW2472">
            <v>12.105561258724364</v>
          </cell>
          <cell r="AX2472">
            <v>10.242049449424412</v>
          </cell>
          <cell r="AY2472">
            <v>13.969073068024317</v>
          </cell>
        </row>
        <row r="2473">
          <cell r="A2473">
            <v>42999</v>
          </cell>
          <cell r="AF2473">
            <v>19.784207369711609</v>
          </cell>
          <cell r="AG2473">
            <v>20.469360058004284</v>
          </cell>
          <cell r="AH2473">
            <v>17.881583490985356</v>
          </cell>
          <cell r="AI2473">
            <v>15.547864889645153</v>
          </cell>
          <cell r="AJ2473">
            <v>20.215302092325562</v>
          </cell>
          <cell r="AU2473">
            <v>14.210563904472453</v>
          </cell>
          <cell r="AV2473">
            <v>14.263722316306255</v>
          </cell>
          <cell r="AW2473">
            <v>12.105561258724364</v>
          </cell>
          <cell r="AX2473">
            <v>10.242049449424412</v>
          </cell>
          <cell r="AY2473">
            <v>13.969073068024317</v>
          </cell>
        </row>
        <row r="2474">
          <cell r="A2474">
            <v>43000</v>
          </cell>
          <cell r="AF2474">
            <v>20.030611963781993</v>
          </cell>
          <cell r="AG2474">
            <v>20.469360058004284</v>
          </cell>
          <cell r="AH2474">
            <v>17.881583490985356</v>
          </cell>
          <cell r="AI2474">
            <v>15.547864889645153</v>
          </cell>
          <cell r="AJ2474">
            <v>20.215302092325562</v>
          </cell>
          <cell r="AU2474">
            <v>14.371247061046928</v>
          </cell>
          <cell r="AV2474">
            <v>14.263722316306255</v>
          </cell>
          <cell r="AW2474">
            <v>12.105561258724364</v>
          </cell>
          <cell r="AX2474">
            <v>10.242049449424412</v>
          </cell>
          <cell r="AY2474">
            <v>13.969073068024317</v>
          </cell>
        </row>
        <row r="2475">
          <cell r="A2475">
            <v>43003</v>
          </cell>
          <cell r="AF2475">
            <v>20.246217395284607</v>
          </cell>
          <cell r="AG2475">
            <v>20.469360058004284</v>
          </cell>
          <cell r="AH2475">
            <v>17.881583490985356</v>
          </cell>
          <cell r="AI2475">
            <v>15.547864889645153</v>
          </cell>
          <cell r="AJ2475">
            <v>20.215302092325562</v>
          </cell>
          <cell r="AU2475">
            <v>14.511845743628903</v>
          </cell>
          <cell r="AV2475">
            <v>14.263722316306255</v>
          </cell>
          <cell r="AW2475">
            <v>12.105561258724364</v>
          </cell>
          <cell r="AX2475">
            <v>10.242049449424412</v>
          </cell>
          <cell r="AY2475">
            <v>13.969073068024317</v>
          </cell>
        </row>
        <row r="2476">
          <cell r="A2476">
            <v>43004</v>
          </cell>
          <cell r="AF2476">
            <v>20.379686365032494</v>
          </cell>
          <cell r="AG2476">
            <v>20.469360058004284</v>
          </cell>
          <cell r="AH2476">
            <v>17.881583490985356</v>
          </cell>
          <cell r="AI2476">
            <v>15.547864889645153</v>
          </cell>
          <cell r="AJ2476">
            <v>20.215302092325562</v>
          </cell>
          <cell r="AU2476">
            <v>14.598882332555927</v>
          </cell>
          <cell r="AV2476">
            <v>14.263722316306255</v>
          </cell>
          <cell r="AW2476">
            <v>12.105561258724364</v>
          </cell>
          <cell r="AX2476">
            <v>10.242049449424412</v>
          </cell>
          <cell r="AY2476">
            <v>13.969073068024317</v>
          </cell>
        </row>
        <row r="2477">
          <cell r="A2477">
            <v>43005</v>
          </cell>
          <cell r="AF2477">
            <v>20.488475447767588</v>
          </cell>
          <cell r="AG2477">
            <v>20.469360058004284</v>
          </cell>
          <cell r="AH2477">
            <v>17.881583490985356</v>
          </cell>
          <cell r="AI2477">
            <v>15.547864889645153</v>
          </cell>
          <cell r="AJ2477">
            <v>20.215302092325562</v>
          </cell>
          <cell r="AU2477">
            <v>14.629042439515795</v>
          </cell>
          <cell r="AV2477">
            <v>14.263722316306255</v>
          </cell>
          <cell r="AW2477">
            <v>12.105561258724364</v>
          </cell>
          <cell r="AX2477">
            <v>10.242049449424412</v>
          </cell>
          <cell r="AY2477">
            <v>13.969073068024317</v>
          </cell>
        </row>
        <row r="2478">
          <cell r="A2478">
            <v>43006</v>
          </cell>
          <cell r="AF2478">
            <v>20.30336652669466</v>
          </cell>
          <cell r="AG2478">
            <v>20.469360058004284</v>
          </cell>
          <cell r="AH2478">
            <v>17.881583490985356</v>
          </cell>
          <cell r="AI2478">
            <v>15.547864889645153</v>
          </cell>
          <cell r="AJ2478">
            <v>20.215302092325562</v>
          </cell>
          <cell r="AU2478">
            <v>14.508684038034351</v>
          </cell>
          <cell r="AV2478">
            <v>14.263722316306255</v>
          </cell>
          <cell r="AW2478">
            <v>12.105561258724364</v>
          </cell>
          <cell r="AX2478">
            <v>10.242049449424412</v>
          </cell>
          <cell r="AY2478">
            <v>13.969073068024317</v>
          </cell>
        </row>
        <row r="2479">
          <cell r="A2479">
            <v>43007</v>
          </cell>
          <cell r="AF2479">
            <v>20.501130458627546</v>
          </cell>
          <cell r="AG2479">
            <v>20.469360058004284</v>
          </cell>
          <cell r="AH2479">
            <v>17.881583490985356</v>
          </cell>
          <cell r="AI2479">
            <v>15.547864889645153</v>
          </cell>
          <cell r="AJ2479">
            <v>20.215302092325562</v>
          </cell>
          <cell r="AU2479">
            <v>14.637998815278847</v>
          </cell>
          <cell r="AV2479">
            <v>14.263722316306255</v>
          </cell>
          <cell r="AW2479">
            <v>12.105561258724364</v>
          </cell>
          <cell r="AX2479">
            <v>10.242049449424412</v>
          </cell>
          <cell r="AY2479">
            <v>13.969073068024317</v>
          </cell>
        </row>
        <row r="2480">
          <cell r="A2480">
            <v>43010</v>
          </cell>
          <cell r="AF2480">
            <v>19.151179283773345</v>
          </cell>
          <cell r="AG2480">
            <v>20.469360058004284</v>
          </cell>
          <cell r="AH2480">
            <v>17.881583490985356</v>
          </cell>
          <cell r="AI2480">
            <v>15.547864889645153</v>
          </cell>
          <cell r="AJ2480">
            <v>20.215302092325562</v>
          </cell>
          <cell r="AU2480">
            <v>13.620885880083136</v>
          </cell>
          <cell r="AV2480">
            <v>14.263722316306255</v>
          </cell>
          <cell r="AW2480">
            <v>12.105561258724364</v>
          </cell>
          <cell r="AX2480">
            <v>10.242049449424412</v>
          </cell>
          <cell r="AY2480">
            <v>13.969073068024317</v>
          </cell>
        </row>
        <row r="2481">
          <cell r="A2481">
            <v>43011</v>
          </cell>
          <cell r="AF2481">
            <v>18.919988893927446</v>
          </cell>
          <cell r="AG2481">
            <v>20.469360058004284</v>
          </cell>
          <cell r="AH2481">
            <v>17.881583490985356</v>
          </cell>
          <cell r="AI2481">
            <v>15.547864889645153</v>
          </cell>
          <cell r="AJ2481">
            <v>20.215302092325562</v>
          </cell>
          <cell r="AU2481">
            <v>13.471963951584412</v>
          </cell>
          <cell r="AV2481">
            <v>14.263722316306255</v>
          </cell>
          <cell r="AW2481">
            <v>12.105561258724364</v>
          </cell>
          <cell r="AX2481">
            <v>10.242049449424412</v>
          </cell>
          <cell r="AY2481">
            <v>13.969073068024317</v>
          </cell>
        </row>
        <row r="2482">
          <cell r="A2482">
            <v>43012</v>
          </cell>
          <cell r="AF2482">
            <v>19.450365027200387</v>
          </cell>
          <cell r="AG2482">
            <v>20.469360058004284</v>
          </cell>
          <cell r="AH2482">
            <v>17.881583490985356</v>
          </cell>
          <cell r="AI2482">
            <v>15.547864889645153</v>
          </cell>
          <cell r="AJ2482">
            <v>20.215302092325562</v>
          </cell>
          <cell r="AU2482">
            <v>13.813603918487967</v>
          </cell>
          <cell r="AV2482">
            <v>14.263722316306255</v>
          </cell>
          <cell r="AW2482">
            <v>12.105561258724364</v>
          </cell>
          <cell r="AX2482">
            <v>10.242049449424412</v>
          </cell>
          <cell r="AY2482">
            <v>13.969073068024317</v>
          </cell>
        </row>
        <row r="2483">
          <cell r="A2483">
            <v>43013</v>
          </cell>
          <cell r="AF2483">
            <v>19.450365027200387</v>
          </cell>
          <cell r="AG2483">
            <v>20.469360058004284</v>
          </cell>
          <cell r="AH2483">
            <v>17.881583490985356</v>
          </cell>
          <cell r="AI2483">
            <v>15.547864889645153</v>
          </cell>
          <cell r="AJ2483">
            <v>20.215302092325562</v>
          </cell>
          <cell r="AU2483">
            <v>13.813603918487967</v>
          </cell>
          <cell r="AV2483">
            <v>14.263722316306255</v>
          </cell>
          <cell r="AW2483">
            <v>12.105561258724364</v>
          </cell>
          <cell r="AX2483">
            <v>10.242049449424412</v>
          </cell>
          <cell r="AY2483">
            <v>13.969073068024317</v>
          </cell>
        </row>
        <row r="2484">
          <cell r="A2484">
            <v>43014</v>
          </cell>
          <cell r="AF2484">
            <v>20.009117697351577</v>
          </cell>
          <cell r="AG2484">
            <v>20.469360058004284</v>
          </cell>
          <cell r="AH2484">
            <v>17.881583490985356</v>
          </cell>
          <cell r="AI2484">
            <v>15.547864889645153</v>
          </cell>
          <cell r="AJ2484">
            <v>20.215302092325562</v>
          </cell>
          <cell r="AU2484">
            <v>14.140047850275668</v>
          </cell>
          <cell r="AV2484">
            <v>14.263722316306255</v>
          </cell>
          <cell r="AW2484">
            <v>12.105561258724364</v>
          </cell>
          <cell r="AX2484">
            <v>10.242049449424412</v>
          </cell>
          <cell r="AY2484">
            <v>13.969073068024317</v>
          </cell>
        </row>
        <row r="2485">
          <cell r="A2485">
            <v>43017</v>
          </cell>
          <cell r="AF2485">
            <v>19.865487717300265</v>
          </cell>
          <cell r="AG2485">
            <v>20.469360058004284</v>
          </cell>
          <cell r="AH2485">
            <v>17.881583490985356</v>
          </cell>
          <cell r="AI2485">
            <v>15.547864889645153</v>
          </cell>
          <cell r="AJ2485">
            <v>20.215302092325562</v>
          </cell>
          <cell r="AU2485">
            <v>14.047795841442104</v>
          </cell>
          <cell r="AV2485">
            <v>14.263722316306255</v>
          </cell>
          <cell r="AW2485">
            <v>12.105561258724364</v>
          </cell>
          <cell r="AX2485">
            <v>10.242049449424412</v>
          </cell>
          <cell r="AY2485">
            <v>13.969073068024317</v>
          </cell>
        </row>
        <row r="2486">
          <cell r="A2486">
            <v>43018</v>
          </cell>
          <cell r="AF2486">
            <v>19.687663037904411</v>
          </cell>
          <cell r="AG2486">
            <v>20.469360058004284</v>
          </cell>
          <cell r="AH2486">
            <v>17.881583490985356</v>
          </cell>
          <cell r="AI2486">
            <v>15.547864889645153</v>
          </cell>
          <cell r="AJ2486">
            <v>20.215302092325562</v>
          </cell>
          <cell r="AU2486">
            <v>13.933580940844111</v>
          </cell>
          <cell r="AV2486">
            <v>14.263722316306255</v>
          </cell>
          <cell r="AW2486">
            <v>12.105561258724364</v>
          </cell>
          <cell r="AX2486">
            <v>10.242049449424412</v>
          </cell>
          <cell r="AY2486">
            <v>13.969073068024317</v>
          </cell>
        </row>
        <row r="2487">
          <cell r="A2487">
            <v>43019</v>
          </cell>
          <cell r="AF2487">
            <v>19.602168595043189</v>
          </cell>
          <cell r="AG2487">
            <v>20.469360058004284</v>
          </cell>
          <cell r="AH2487">
            <v>17.881583490985356</v>
          </cell>
          <cell r="AI2487">
            <v>15.547864889645153</v>
          </cell>
          <cell r="AJ2487">
            <v>20.215302092325562</v>
          </cell>
          <cell r="AU2487">
            <v>13.878668769337603</v>
          </cell>
          <cell r="AV2487">
            <v>14.263722316306255</v>
          </cell>
          <cell r="AW2487">
            <v>12.105561258724364</v>
          </cell>
          <cell r="AX2487">
            <v>10.242049449424412</v>
          </cell>
          <cell r="AY2487">
            <v>13.969073068024317</v>
          </cell>
        </row>
        <row r="2488">
          <cell r="A2488">
            <v>43020</v>
          </cell>
          <cell r="AF2488">
            <v>19.974922998007031</v>
          </cell>
          <cell r="AG2488">
            <v>20.469360058004284</v>
          </cell>
          <cell r="AH2488">
            <v>17.881583490985356</v>
          </cell>
          <cell r="AI2488">
            <v>15.547864889645153</v>
          </cell>
          <cell r="AJ2488">
            <v>20.215302092325562</v>
          </cell>
          <cell r="AU2488">
            <v>14.118081663780949</v>
          </cell>
          <cell r="AV2488">
            <v>14.263722316306255</v>
          </cell>
          <cell r="AW2488">
            <v>12.105561258724364</v>
          </cell>
          <cell r="AX2488">
            <v>10.242049449424412</v>
          </cell>
          <cell r="AY2488">
            <v>13.969073068024317</v>
          </cell>
        </row>
        <row r="2489">
          <cell r="A2489">
            <v>43021</v>
          </cell>
          <cell r="AF2489">
            <v>19.910650134118914</v>
          </cell>
          <cell r="AG2489">
            <v>20.469360058004284</v>
          </cell>
          <cell r="AH2489">
            <v>17.881583490985356</v>
          </cell>
          <cell r="AI2489">
            <v>15.547864889645153</v>
          </cell>
          <cell r="AJ2489">
            <v>20.215302092325562</v>
          </cell>
          <cell r="AU2489">
            <v>14.076351268868919</v>
          </cell>
          <cell r="AV2489">
            <v>14.263722316306255</v>
          </cell>
          <cell r="AW2489">
            <v>12.105561258724364</v>
          </cell>
          <cell r="AX2489">
            <v>10.242049449424412</v>
          </cell>
          <cell r="AY2489">
            <v>13.969073068024317</v>
          </cell>
        </row>
        <row r="2490">
          <cell r="A2490">
            <v>43024</v>
          </cell>
          <cell r="AF2490">
            <v>20.242380636992227</v>
          </cell>
          <cell r="AG2490">
            <v>20.469360058004284</v>
          </cell>
          <cell r="AH2490">
            <v>17.881583490985356</v>
          </cell>
          <cell r="AI2490">
            <v>15.547864889645153</v>
          </cell>
          <cell r="AJ2490">
            <v>20.215302092325562</v>
          </cell>
          <cell r="AU2490">
            <v>14.289410713962861</v>
          </cell>
          <cell r="AV2490">
            <v>14.263722316306255</v>
          </cell>
          <cell r="AW2490">
            <v>12.105561258724364</v>
          </cell>
          <cell r="AX2490">
            <v>10.242049449424412</v>
          </cell>
          <cell r="AY2490">
            <v>13.969073068024317</v>
          </cell>
        </row>
        <row r="2491">
          <cell r="A2491">
            <v>43025</v>
          </cell>
          <cell r="AF2491">
            <v>20.348396466562733</v>
          </cell>
          <cell r="AG2491">
            <v>20.469360058004284</v>
          </cell>
          <cell r="AH2491">
            <v>17.881583490985356</v>
          </cell>
          <cell r="AI2491">
            <v>15.547864889645153</v>
          </cell>
          <cell r="AJ2491">
            <v>20.215302092325562</v>
          </cell>
          <cell r="AU2491">
            <v>14.357501147684875</v>
          </cell>
          <cell r="AV2491">
            <v>14.263722316306255</v>
          </cell>
          <cell r="AW2491">
            <v>12.105561258724364</v>
          </cell>
          <cell r="AX2491">
            <v>10.242049449424412</v>
          </cell>
          <cell r="AY2491">
            <v>13.969073068024317</v>
          </cell>
        </row>
        <row r="2492">
          <cell r="A2492">
            <v>43026</v>
          </cell>
          <cell r="AF2492">
            <v>20.348396466562733</v>
          </cell>
          <cell r="AG2492">
            <v>20.469360058004284</v>
          </cell>
          <cell r="AH2492">
            <v>17.881583490985356</v>
          </cell>
          <cell r="AI2492">
            <v>15.547864889645153</v>
          </cell>
          <cell r="AJ2492">
            <v>20.215302092325562</v>
          </cell>
          <cell r="AU2492">
            <v>14.357501147684875</v>
          </cell>
          <cell r="AV2492">
            <v>14.263722316306255</v>
          </cell>
          <cell r="AW2492">
            <v>12.105561258724364</v>
          </cell>
          <cell r="AX2492">
            <v>10.242049449424412</v>
          </cell>
          <cell r="AY2492">
            <v>13.969073068024317</v>
          </cell>
        </row>
        <row r="2493">
          <cell r="A2493">
            <v>43027</v>
          </cell>
          <cell r="AF2493">
            <v>20.748524256772512</v>
          </cell>
          <cell r="AG2493">
            <v>20.469360058004284</v>
          </cell>
          <cell r="AH2493">
            <v>17.881583490985356</v>
          </cell>
          <cell r="AI2493">
            <v>15.547864889645153</v>
          </cell>
          <cell r="AJ2493">
            <v>20.215302092325562</v>
          </cell>
          <cell r="AU2493">
            <v>14.615585717981238</v>
          </cell>
          <cell r="AV2493">
            <v>14.263722316306255</v>
          </cell>
          <cell r="AW2493">
            <v>12.105561258724364</v>
          </cell>
          <cell r="AX2493">
            <v>10.242049449424412</v>
          </cell>
          <cell r="AY2493">
            <v>13.969073068024317</v>
          </cell>
        </row>
        <row r="2494">
          <cell r="A2494">
            <v>43028</v>
          </cell>
          <cell r="AF2494">
            <v>21.203072228399069</v>
          </cell>
          <cell r="AG2494">
            <v>20.469360058004284</v>
          </cell>
          <cell r="AH2494">
            <v>17.881583490985356</v>
          </cell>
          <cell r="AI2494">
            <v>15.547864889645153</v>
          </cell>
          <cell r="AJ2494">
            <v>20.215302092325562</v>
          </cell>
          <cell r="AU2494">
            <v>14.871478414039741</v>
          </cell>
          <cell r="AV2494">
            <v>14.263722316306255</v>
          </cell>
          <cell r="AW2494">
            <v>12.105561258724364</v>
          </cell>
          <cell r="AX2494">
            <v>10.242049449424412</v>
          </cell>
          <cell r="AY2494">
            <v>13.969073068024317</v>
          </cell>
        </row>
        <row r="2495">
          <cell r="A2495">
            <v>43031</v>
          </cell>
          <cell r="AF2495">
            <v>21.196218602407249</v>
          </cell>
          <cell r="AG2495">
            <v>20.469360058004284</v>
          </cell>
          <cell r="AH2495">
            <v>17.881583490985356</v>
          </cell>
          <cell r="AI2495">
            <v>15.547864889645153</v>
          </cell>
          <cell r="AJ2495">
            <v>20.215302092325562</v>
          </cell>
          <cell r="AU2495">
            <v>14.867087856454768</v>
          </cell>
          <cell r="AV2495">
            <v>14.263722316306255</v>
          </cell>
          <cell r="AW2495">
            <v>12.105561258724364</v>
          </cell>
          <cell r="AX2495">
            <v>10.242049449424412</v>
          </cell>
          <cell r="AY2495">
            <v>13.969073068024317</v>
          </cell>
        </row>
        <row r="2496">
          <cell r="A2496">
            <v>43032</v>
          </cell>
          <cell r="AF2496">
            <v>20.971506007554346</v>
          </cell>
          <cell r="AG2496">
            <v>20.469360058004284</v>
          </cell>
          <cell r="AH2496">
            <v>17.881583490985356</v>
          </cell>
          <cell r="AI2496">
            <v>15.547864889645153</v>
          </cell>
          <cell r="AJ2496">
            <v>20.215302092325562</v>
          </cell>
          <cell r="AU2496">
            <v>14.730337131006076</v>
          </cell>
          <cell r="AV2496">
            <v>14.263722316306255</v>
          </cell>
          <cell r="AW2496">
            <v>12.105561258724364</v>
          </cell>
          <cell r="AX2496">
            <v>10.242049449424412</v>
          </cell>
          <cell r="AY2496">
            <v>13.969073068024317</v>
          </cell>
        </row>
        <row r="2497">
          <cell r="A2497">
            <v>43033</v>
          </cell>
          <cell r="AF2497">
            <v>20.940611053898319</v>
          </cell>
          <cell r="AG2497">
            <v>20.469360058004284</v>
          </cell>
          <cell r="AH2497">
            <v>17.881583490985356</v>
          </cell>
          <cell r="AI2497">
            <v>15.547864889645153</v>
          </cell>
          <cell r="AJ2497">
            <v>20.215302092325562</v>
          </cell>
          <cell r="AU2497">
            <v>14.710537693231823</v>
          </cell>
          <cell r="AV2497">
            <v>14.263722316306255</v>
          </cell>
          <cell r="AW2497">
            <v>12.105561258724364</v>
          </cell>
          <cell r="AX2497">
            <v>10.242049449424412</v>
          </cell>
          <cell r="AY2497">
            <v>13.969073068024317</v>
          </cell>
        </row>
        <row r="2498">
          <cell r="A2498">
            <v>43034</v>
          </cell>
          <cell r="AF2498">
            <v>21.067626501890093</v>
          </cell>
          <cell r="AG2498">
            <v>20.469360058004284</v>
          </cell>
          <cell r="AH2498">
            <v>17.881583490985356</v>
          </cell>
          <cell r="AI2498">
            <v>15.547864889645153</v>
          </cell>
          <cell r="AJ2498">
            <v>20.215302092325562</v>
          </cell>
          <cell r="AU2498">
            <v>14.791937215201695</v>
          </cell>
          <cell r="AV2498">
            <v>14.263722316306255</v>
          </cell>
          <cell r="AW2498">
            <v>12.105561258724364</v>
          </cell>
          <cell r="AX2498">
            <v>10.242049449424412</v>
          </cell>
          <cell r="AY2498">
            <v>13.969073068024317</v>
          </cell>
        </row>
        <row r="2499">
          <cell r="A2499">
            <v>43035</v>
          </cell>
          <cell r="AF2499">
            <v>21.060764503949823</v>
          </cell>
          <cell r="AG2499">
            <v>20.469360058004284</v>
          </cell>
          <cell r="AH2499">
            <v>17.881583490985356</v>
          </cell>
          <cell r="AI2499">
            <v>15.547864889645153</v>
          </cell>
          <cell r="AJ2499">
            <v>20.215302092325562</v>
          </cell>
          <cell r="AU2499">
            <v>14.830875161590617</v>
          </cell>
          <cell r="AV2499">
            <v>14.263722316306255</v>
          </cell>
          <cell r="AW2499">
            <v>12.105561258724364</v>
          </cell>
          <cell r="AX2499">
            <v>10.242049449424412</v>
          </cell>
          <cell r="AY2499">
            <v>13.969073068024317</v>
          </cell>
        </row>
        <row r="2500">
          <cell r="A2500">
            <v>43038</v>
          </cell>
          <cell r="AF2500">
            <v>21.036731548234066</v>
          </cell>
          <cell r="AG2500">
            <v>20.469360058004284</v>
          </cell>
          <cell r="AH2500">
            <v>17.881583490985356</v>
          </cell>
          <cell r="AI2500">
            <v>15.547864889645153</v>
          </cell>
          <cell r="AJ2500">
            <v>20.215302092325562</v>
          </cell>
          <cell r="AU2500">
            <v>14.815428189761359</v>
          </cell>
          <cell r="AV2500">
            <v>14.263722316306255</v>
          </cell>
          <cell r="AW2500">
            <v>12.105561258724364</v>
          </cell>
          <cell r="AX2500">
            <v>10.242049449424412</v>
          </cell>
          <cell r="AY2500">
            <v>13.969073068024317</v>
          </cell>
        </row>
        <row r="2501">
          <cell r="A2501">
            <v>43039</v>
          </cell>
          <cell r="AF2501">
            <v>20.96464400961408</v>
          </cell>
          <cell r="AG2501">
            <v>20.469360058004284</v>
          </cell>
          <cell r="AH2501">
            <v>17.881583490985356</v>
          </cell>
          <cell r="AI2501">
            <v>15.547864889645153</v>
          </cell>
          <cell r="AJ2501">
            <v>20.215302092325562</v>
          </cell>
          <cell r="AU2501">
            <v>14.769094555585305</v>
          </cell>
          <cell r="AV2501">
            <v>14.263722316306255</v>
          </cell>
          <cell r="AW2501">
            <v>12.105561258724364</v>
          </cell>
          <cell r="AX2501">
            <v>10.242049449424412</v>
          </cell>
          <cell r="AY2501">
            <v>13.969073068024317</v>
          </cell>
        </row>
        <row r="2502">
          <cell r="A2502">
            <v>43040</v>
          </cell>
          <cell r="AF2502">
            <v>20.827517112210444</v>
          </cell>
          <cell r="AG2502">
            <v>20.469360058004284</v>
          </cell>
          <cell r="AH2502">
            <v>17.881583490985356</v>
          </cell>
          <cell r="AI2502">
            <v>15.547864889645153</v>
          </cell>
          <cell r="AJ2502">
            <v>20.215302092325562</v>
          </cell>
          <cell r="AU2502">
            <v>14.688072805353247</v>
          </cell>
          <cell r="AV2502">
            <v>14.263722316306255</v>
          </cell>
          <cell r="AW2502">
            <v>12.105561258724364</v>
          </cell>
          <cell r="AX2502">
            <v>10.242049449424412</v>
          </cell>
          <cell r="AY2502">
            <v>13.969073068024317</v>
          </cell>
        </row>
        <row r="2503">
          <cell r="A2503">
            <v>43041</v>
          </cell>
          <cell r="AF2503">
            <v>20.827517112210444</v>
          </cell>
          <cell r="AG2503">
            <v>20.469360058004284</v>
          </cell>
          <cell r="AH2503">
            <v>17.881583490985356</v>
          </cell>
          <cell r="AI2503">
            <v>15.547864889645153</v>
          </cell>
          <cell r="AJ2503">
            <v>20.215302092325562</v>
          </cell>
          <cell r="AU2503">
            <v>14.688072805353247</v>
          </cell>
          <cell r="AV2503">
            <v>14.263722316306255</v>
          </cell>
          <cell r="AW2503">
            <v>12.105561258724364</v>
          </cell>
          <cell r="AX2503">
            <v>10.242049449424412</v>
          </cell>
          <cell r="AY2503">
            <v>13.969073068024317</v>
          </cell>
        </row>
        <row r="2504">
          <cell r="A2504">
            <v>43042</v>
          </cell>
          <cell r="AF2504">
            <v>22.137877975206372</v>
          </cell>
          <cell r="AG2504">
            <v>20.469360058004284</v>
          </cell>
          <cell r="AH2504">
            <v>17.881583490985356</v>
          </cell>
          <cell r="AI2504">
            <v>15.547864889645153</v>
          </cell>
          <cell r="AJ2504">
            <v>20.215302092325562</v>
          </cell>
          <cell r="AU2504">
            <v>15.7102221188313</v>
          </cell>
          <cell r="AV2504">
            <v>14.263722316306255</v>
          </cell>
          <cell r="AW2504">
            <v>12.105561258724364</v>
          </cell>
          <cell r="AX2504">
            <v>10.242049449424412</v>
          </cell>
          <cell r="AY2504">
            <v>13.969073068024317</v>
          </cell>
        </row>
        <row r="2505">
          <cell r="A2505">
            <v>43045</v>
          </cell>
          <cell r="AF2505">
            <v>21.879530459608187</v>
          </cell>
          <cell r="AG2505">
            <v>20.469360058004284</v>
          </cell>
          <cell r="AH2505">
            <v>17.881583490985356</v>
          </cell>
          <cell r="AI2505">
            <v>15.547864889645153</v>
          </cell>
          <cell r="AJ2505">
            <v>20.215302092325562</v>
          </cell>
          <cell r="AU2505">
            <v>15.643254786990273</v>
          </cell>
          <cell r="AV2505">
            <v>14.263722316306255</v>
          </cell>
          <cell r="AW2505">
            <v>12.105561258724364</v>
          </cell>
          <cell r="AX2505">
            <v>10.242049449424412</v>
          </cell>
          <cell r="AY2505">
            <v>13.969073068024317</v>
          </cell>
        </row>
        <row r="2506">
          <cell r="A2506">
            <v>43046</v>
          </cell>
          <cell r="AF2506">
            <v>22.054511659722781</v>
          </cell>
          <cell r="AG2506">
            <v>20.469360058004284</v>
          </cell>
          <cell r="AH2506">
            <v>17.881583490985356</v>
          </cell>
          <cell r="AI2506">
            <v>15.547864889645153</v>
          </cell>
          <cell r="AJ2506">
            <v>20.215302092325562</v>
          </cell>
          <cell r="AU2506">
            <v>15.399743984992881</v>
          </cell>
          <cell r="AV2506">
            <v>14.263722316306255</v>
          </cell>
          <cell r="AW2506">
            <v>12.105561258724364</v>
          </cell>
          <cell r="AX2506">
            <v>10.242049449424412</v>
          </cell>
          <cell r="AY2506">
            <v>13.969073068024317</v>
          </cell>
        </row>
        <row r="2507">
          <cell r="A2507">
            <v>43047</v>
          </cell>
          <cell r="AF2507">
            <v>22.075913406246961</v>
          </cell>
          <cell r="AG2507">
            <v>20.469360058004284</v>
          </cell>
          <cell r="AH2507">
            <v>17.881583490985356</v>
          </cell>
          <cell r="AI2507">
            <v>15.547864889645153</v>
          </cell>
          <cell r="AJ2507">
            <v>20.215302092325562</v>
          </cell>
          <cell r="AU2507">
            <v>15.428425395976072</v>
          </cell>
          <cell r="AV2507">
            <v>14.263722316306255</v>
          </cell>
          <cell r="AW2507">
            <v>12.105561258724364</v>
          </cell>
          <cell r="AX2507">
            <v>10.242049449424412</v>
          </cell>
          <cell r="AY2507">
            <v>13.969073068024317</v>
          </cell>
        </row>
        <row r="2508">
          <cell r="A2508">
            <v>43048</v>
          </cell>
          <cell r="AF2508">
            <v>22.460387015732909</v>
          </cell>
          <cell r="AG2508">
            <v>20.469360058004284</v>
          </cell>
          <cell r="AH2508">
            <v>17.881583490985356</v>
          </cell>
          <cell r="AI2508">
            <v>15.547864889645153</v>
          </cell>
          <cell r="AJ2508">
            <v>20.215302092325562</v>
          </cell>
          <cell r="AU2508">
            <v>15.423509855273821</v>
          </cell>
          <cell r="AV2508">
            <v>14.263722316306255</v>
          </cell>
          <cell r="AW2508">
            <v>12.105561258724364</v>
          </cell>
          <cell r="AX2508">
            <v>10.242049449424412</v>
          </cell>
          <cell r="AY2508">
            <v>13.969073068024317</v>
          </cell>
        </row>
        <row r="2509">
          <cell r="A2509">
            <v>43049</v>
          </cell>
          <cell r="AF2509">
            <v>22.468471849317023</v>
          </cell>
          <cell r="AG2509">
            <v>20.469360058004284</v>
          </cell>
          <cell r="AH2509">
            <v>17.881583490985356</v>
          </cell>
          <cell r="AI2509">
            <v>15.547864889645153</v>
          </cell>
          <cell r="AJ2509">
            <v>20.215302092325562</v>
          </cell>
          <cell r="AU2509">
            <v>15.699240413721821</v>
          </cell>
          <cell r="AV2509">
            <v>14.263722316306255</v>
          </cell>
          <cell r="AW2509">
            <v>12.105561258724364</v>
          </cell>
          <cell r="AX2509">
            <v>10.242049449424412</v>
          </cell>
          <cell r="AY2509">
            <v>13.969073068024317</v>
          </cell>
        </row>
        <row r="2510">
          <cell r="A2510">
            <v>43052</v>
          </cell>
          <cell r="AF2510">
            <v>22.543847094712621</v>
          </cell>
          <cell r="AG2510">
            <v>20.469360058004284</v>
          </cell>
          <cell r="AH2510">
            <v>17.881583490985356</v>
          </cell>
          <cell r="AI2510">
            <v>15.547864889645153</v>
          </cell>
          <cell r="AJ2510">
            <v>20.215302092325562</v>
          </cell>
          <cell r="AU2510">
            <v>15.743405911128606</v>
          </cell>
          <cell r="AV2510">
            <v>14.263722316306255</v>
          </cell>
          <cell r="AW2510">
            <v>12.105561258724364</v>
          </cell>
          <cell r="AX2510">
            <v>10.242049449424412</v>
          </cell>
          <cell r="AY2510">
            <v>13.969073068024317</v>
          </cell>
        </row>
        <row r="2511">
          <cell r="A2511">
            <v>43053</v>
          </cell>
          <cell r="AF2511">
            <v>22.407264627775682</v>
          </cell>
          <cell r="AG2511">
            <v>20.469360058004284</v>
          </cell>
          <cell r="AH2511">
            <v>17.881583490985356</v>
          </cell>
          <cell r="AI2511">
            <v>15.547864889645153</v>
          </cell>
          <cell r="AJ2511">
            <v>20.215302092325562</v>
          </cell>
          <cell r="AU2511">
            <v>15.619588912277059</v>
          </cell>
          <cell r="AV2511">
            <v>14.263722316306255</v>
          </cell>
          <cell r="AW2511">
            <v>12.105561258724364</v>
          </cell>
          <cell r="AX2511">
            <v>10.242049449424412</v>
          </cell>
          <cell r="AY2511">
            <v>13.969073068024317</v>
          </cell>
        </row>
        <row r="2512">
          <cell r="A2512">
            <v>43054</v>
          </cell>
          <cell r="AF2512">
            <v>22.821899083356978</v>
          </cell>
          <cell r="AG2512">
            <v>20.469360058004284</v>
          </cell>
          <cell r="AH2512">
            <v>17.881583490985356</v>
          </cell>
          <cell r="AI2512">
            <v>15.547864889645153</v>
          </cell>
          <cell r="AJ2512">
            <v>20.215302092325562</v>
          </cell>
          <cell r="AU2512">
            <v>15.886258013281694</v>
          </cell>
          <cell r="AV2512">
            <v>14.263722316306255</v>
          </cell>
          <cell r="AW2512">
            <v>12.105561258724364</v>
          </cell>
          <cell r="AX2512">
            <v>10.242049449424412</v>
          </cell>
          <cell r="AY2512">
            <v>13.969073068024317</v>
          </cell>
        </row>
        <row r="2513">
          <cell r="A2513">
            <v>43055</v>
          </cell>
          <cell r="AF2513">
            <v>23.020643536368215</v>
          </cell>
          <cell r="AG2513">
            <v>20.469360058004284</v>
          </cell>
          <cell r="AH2513">
            <v>17.881583490985356</v>
          </cell>
          <cell r="AI2513">
            <v>15.547864889645153</v>
          </cell>
          <cell r="AJ2513">
            <v>20.215302092325562</v>
          </cell>
          <cell r="AU2513">
            <v>15.886258013281694</v>
          </cell>
          <cell r="AV2513">
            <v>14.263722316306255</v>
          </cell>
          <cell r="AW2513">
            <v>12.105561258724364</v>
          </cell>
          <cell r="AX2513">
            <v>10.242049449424412</v>
          </cell>
          <cell r="AY2513">
            <v>13.969073068024317</v>
          </cell>
        </row>
        <row r="2514">
          <cell r="A2514">
            <v>43056</v>
          </cell>
          <cell r="AF2514">
            <v>23.147435620665327</v>
          </cell>
          <cell r="AG2514">
            <v>20.469360058004284</v>
          </cell>
          <cell r="AH2514">
            <v>17.881583490985356</v>
          </cell>
          <cell r="AI2514">
            <v>15.547864889645153</v>
          </cell>
          <cell r="AJ2514">
            <v>20.215302092325562</v>
          </cell>
          <cell r="AU2514">
            <v>16.095624443349536</v>
          </cell>
          <cell r="AV2514">
            <v>14.263722316306255</v>
          </cell>
          <cell r="AW2514">
            <v>12.105561258724364</v>
          </cell>
          <cell r="AX2514">
            <v>10.242049449424412</v>
          </cell>
          <cell r="AY2514">
            <v>13.969073068024317</v>
          </cell>
        </row>
        <row r="2515">
          <cell r="A2515">
            <v>43059</v>
          </cell>
          <cell r="AF2515">
            <v>22.763640195324758</v>
          </cell>
          <cell r="AG2515">
            <v>20.469360058004284</v>
          </cell>
          <cell r="AH2515">
            <v>17.881583490985356</v>
          </cell>
          <cell r="AI2515">
            <v>15.547864889645153</v>
          </cell>
          <cell r="AJ2515">
            <v>20.215302092325562</v>
          </cell>
          <cell r="AU2515">
            <v>15.848789237862871</v>
          </cell>
          <cell r="AV2515">
            <v>14.263722316306255</v>
          </cell>
          <cell r="AW2515">
            <v>12.105561258724364</v>
          </cell>
          <cell r="AX2515">
            <v>10.242049449424412</v>
          </cell>
          <cell r="AY2515">
            <v>13.969073068024317</v>
          </cell>
        </row>
        <row r="2516">
          <cell r="A2516">
            <v>43060</v>
          </cell>
          <cell r="AF2516">
            <v>22.962390131073946</v>
          </cell>
          <cell r="AG2516">
            <v>20.469360058004284</v>
          </cell>
          <cell r="AH2516">
            <v>17.881583490985356</v>
          </cell>
          <cell r="AI2516">
            <v>15.547864889645153</v>
          </cell>
          <cell r="AJ2516">
            <v>20.215302092325562</v>
          </cell>
          <cell r="AU2516">
            <v>15.976613797490124</v>
          </cell>
          <cell r="AV2516">
            <v>14.263722316306255</v>
          </cell>
          <cell r="AW2516">
            <v>12.105561258724364</v>
          </cell>
          <cell r="AX2516">
            <v>10.242049449424412</v>
          </cell>
          <cell r="AY2516">
            <v>13.969073068024317</v>
          </cell>
        </row>
        <row r="2517">
          <cell r="A2517">
            <v>43061</v>
          </cell>
          <cell r="AF2517">
            <v>23.161140066823126</v>
          </cell>
          <cell r="AG2517">
            <v>20.469360058004284</v>
          </cell>
          <cell r="AH2517">
            <v>17.881583490985356</v>
          </cell>
          <cell r="AI2517">
            <v>15.547864889645153</v>
          </cell>
          <cell r="AJ2517">
            <v>20.215302092325562</v>
          </cell>
          <cell r="AU2517">
            <v>15.976613797490124</v>
          </cell>
          <cell r="AV2517">
            <v>14.263722316306255</v>
          </cell>
          <cell r="AW2517">
            <v>12.105561258724364</v>
          </cell>
          <cell r="AX2517">
            <v>10.242049449424412</v>
          </cell>
          <cell r="AY2517">
            <v>13.969073068024317</v>
          </cell>
        </row>
        <row r="2518">
          <cell r="A2518">
            <v>43062</v>
          </cell>
          <cell r="AF2518">
            <v>23.161140066823126</v>
          </cell>
          <cell r="AG2518">
            <v>20.469360058004284</v>
          </cell>
          <cell r="AH2518">
            <v>17.881583490985356</v>
          </cell>
          <cell r="AI2518">
            <v>15.547864889645153</v>
          </cell>
          <cell r="AJ2518">
            <v>20.215302092325562</v>
          </cell>
          <cell r="AU2518">
            <v>15.976613797490124</v>
          </cell>
          <cell r="AV2518">
            <v>14.263722316306255</v>
          </cell>
          <cell r="AW2518">
            <v>12.105561258724364</v>
          </cell>
          <cell r="AX2518">
            <v>10.242049449424412</v>
          </cell>
          <cell r="AY2518">
            <v>13.969073068024317</v>
          </cell>
        </row>
        <row r="2519">
          <cell r="A2519">
            <v>43063</v>
          </cell>
          <cell r="AF2519">
            <v>23.133778540288482</v>
          </cell>
          <cell r="AG2519">
            <v>20.469360058004284</v>
          </cell>
          <cell r="AH2519">
            <v>17.881583490985356</v>
          </cell>
          <cell r="AI2519">
            <v>15.547864889645153</v>
          </cell>
          <cell r="AJ2519">
            <v>20.215302092325562</v>
          </cell>
          <cell r="AU2519">
            <v>16.086807003399112</v>
          </cell>
          <cell r="AV2519">
            <v>14.263722316306255</v>
          </cell>
          <cell r="AW2519">
            <v>12.105561258724364</v>
          </cell>
          <cell r="AX2519">
            <v>10.242049449424412</v>
          </cell>
          <cell r="AY2519">
            <v>13.969073068024317</v>
          </cell>
        </row>
        <row r="2520">
          <cell r="A2520">
            <v>43066</v>
          </cell>
          <cell r="AF2520">
            <v>23.301689486714029</v>
          </cell>
          <cell r="AG2520">
            <v>20.469360058004284</v>
          </cell>
          <cell r="AH2520">
            <v>17.881583490985356</v>
          </cell>
          <cell r="AI2520">
            <v>15.547864889645153</v>
          </cell>
          <cell r="AJ2520">
            <v>20.215302092325562</v>
          </cell>
          <cell r="AU2520">
            <v>16.194797447121978</v>
          </cell>
          <cell r="AV2520">
            <v>14.263722316306255</v>
          </cell>
          <cell r="AW2520">
            <v>12.105561258724364</v>
          </cell>
          <cell r="AX2520">
            <v>10.242049449424412</v>
          </cell>
          <cell r="AY2520">
            <v>13.969073068024317</v>
          </cell>
        </row>
        <row r="2521">
          <cell r="A2521">
            <v>43067</v>
          </cell>
          <cell r="AF2521">
            <v>23.499044116389598</v>
          </cell>
          <cell r="AG2521">
            <v>20.469360058004284</v>
          </cell>
          <cell r="AH2521">
            <v>17.881583490985356</v>
          </cell>
          <cell r="AI2521">
            <v>15.547864889645153</v>
          </cell>
          <cell r="AJ2521">
            <v>20.215302092325562</v>
          </cell>
          <cell r="AU2521">
            <v>16.318382632412732</v>
          </cell>
          <cell r="AV2521">
            <v>14.263722316306255</v>
          </cell>
          <cell r="AW2521">
            <v>12.105561258724364</v>
          </cell>
          <cell r="AX2521">
            <v>10.242049449424412</v>
          </cell>
          <cell r="AY2521">
            <v>13.969073068024317</v>
          </cell>
        </row>
        <row r="2522">
          <cell r="A2522">
            <v>43068</v>
          </cell>
          <cell r="AF2522">
            <v>23.49006391386748</v>
          </cell>
          <cell r="AG2522">
            <v>20.469360058004284</v>
          </cell>
          <cell r="AH2522">
            <v>17.881583490985356</v>
          </cell>
          <cell r="AI2522">
            <v>15.547864889645153</v>
          </cell>
          <cell r="AJ2522">
            <v>20.215302092325562</v>
          </cell>
          <cell r="AU2522">
            <v>16.269909994197544</v>
          </cell>
          <cell r="AV2522">
            <v>14.263722316306255</v>
          </cell>
          <cell r="AW2522">
            <v>12.105561258724364</v>
          </cell>
          <cell r="AX2522">
            <v>10.242049449424412</v>
          </cell>
          <cell r="AY2522">
            <v>13.969073068024317</v>
          </cell>
        </row>
        <row r="2523">
          <cell r="A2523">
            <v>43069</v>
          </cell>
          <cell r="AF2523">
            <v>23.026170895139987</v>
          </cell>
          <cell r="AG2523">
            <v>20.469360058004284</v>
          </cell>
          <cell r="AH2523">
            <v>17.881583490985356</v>
          </cell>
          <cell r="AI2523">
            <v>15.547864889645153</v>
          </cell>
          <cell r="AJ2523">
            <v>20.215302092325562</v>
          </cell>
          <cell r="AU2523">
            <v>16.269909994197544</v>
          </cell>
          <cell r="AV2523">
            <v>14.263722316306255</v>
          </cell>
          <cell r="AW2523">
            <v>12.105561258724364</v>
          </cell>
          <cell r="AX2523">
            <v>10.242049449424412</v>
          </cell>
          <cell r="AY2523">
            <v>13.969073068024317</v>
          </cell>
        </row>
        <row r="2524">
          <cell r="A2524">
            <v>43070</v>
          </cell>
          <cell r="AF2524">
            <v>22.526531057499238</v>
          </cell>
          <cell r="AG2524">
            <v>20.469360058004284</v>
          </cell>
          <cell r="AH2524">
            <v>17.881583490985356</v>
          </cell>
          <cell r="AI2524">
            <v>15.547864889645153</v>
          </cell>
          <cell r="AJ2524">
            <v>20.215302092325562</v>
          </cell>
          <cell r="AU2524">
            <v>15.668559034703879</v>
          </cell>
          <cell r="AV2524">
            <v>14.263722316306255</v>
          </cell>
          <cell r="AW2524">
            <v>12.105561258724364</v>
          </cell>
          <cell r="AX2524">
            <v>10.242049449424412</v>
          </cell>
          <cell r="AY2524">
            <v>13.969073068024317</v>
          </cell>
        </row>
        <row r="2525">
          <cell r="A2525">
            <v>43073</v>
          </cell>
          <cell r="AF2525">
            <v>22.424965893587995</v>
          </cell>
          <cell r="AG2525">
            <v>20.469360058004284</v>
          </cell>
          <cell r="AH2525">
            <v>17.881583490985356</v>
          </cell>
          <cell r="AI2525">
            <v>15.547864889645153</v>
          </cell>
          <cell r="AJ2525">
            <v>20.215302092325562</v>
          </cell>
          <cell r="AU2525">
            <v>15.48618017983909</v>
          </cell>
          <cell r="AV2525">
            <v>14.263722316306255</v>
          </cell>
          <cell r="AW2525">
            <v>12.105561258724364</v>
          </cell>
          <cell r="AX2525">
            <v>10.242049449424412</v>
          </cell>
          <cell r="AY2525">
            <v>13.969073068024317</v>
          </cell>
        </row>
        <row r="2526">
          <cell r="A2526">
            <v>43074</v>
          </cell>
          <cell r="AF2526">
            <v>22.377217257844475</v>
          </cell>
          <cell r="AG2526">
            <v>20.469360058004284</v>
          </cell>
          <cell r="AH2526">
            <v>17.881583490985356</v>
          </cell>
          <cell r="AI2526">
            <v>15.547864889645153</v>
          </cell>
          <cell r="AJ2526">
            <v>20.215302092325562</v>
          </cell>
          <cell r="AU2526">
            <v>15.455744426391746</v>
          </cell>
          <cell r="AV2526">
            <v>14.263722316306255</v>
          </cell>
          <cell r="AW2526">
            <v>12.105561258724364</v>
          </cell>
          <cell r="AX2526">
            <v>10.242049449424412</v>
          </cell>
          <cell r="AY2526">
            <v>13.969073068024317</v>
          </cell>
        </row>
        <row r="2527">
          <cell r="A2527">
            <v>43075</v>
          </cell>
          <cell r="AF2527">
            <v>22.339699863574353</v>
          </cell>
          <cell r="AG2527">
            <v>20.469360058004284</v>
          </cell>
          <cell r="AH2527">
            <v>17.881583490985356</v>
          </cell>
          <cell r="AI2527">
            <v>15.547864889645153</v>
          </cell>
          <cell r="AJ2527">
            <v>20.215302092325562</v>
          </cell>
          <cell r="AU2527">
            <v>15.431830231897775</v>
          </cell>
          <cell r="AV2527">
            <v>14.263722316306255</v>
          </cell>
          <cell r="AW2527">
            <v>12.105561258724364</v>
          </cell>
          <cell r="AX2527">
            <v>10.242049449424412</v>
          </cell>
          <cell r="AY2527">
            <v>13.969073068024317</v>
          </cell>
        </row>
        <row r="2528">
          <cell r="A2528">
            <v>43076</v>
          </cell>
          <cell r="AF2528">
            <v>22.203623505295521</v>
          </cell>
          <cell r="AG2528">
            <v>20.469360058004284</v>
          </cell>
          <cell r="AH2528">
            <v>17.881583490985356</v>
          </cell>
          <cell r="AI2528">
            <v>15.547864889645153</v>
          </cell>
          <cell r="AJ2528">
            <v>20.215302092325562</v>
          </cell>
          <cell r="AU2528">
            <v>15.351982485793249</v>
          </cell>
          <cell r="AV2528">
            <v>14.263722316306255</v>
          </cell>
          <cell r="AW2528">
            <v>12.105561258724364</v>
          </cell>
          <cell r="AX2528">
            <v>10.242049449424412</v>
          </cell>
          <cell r="AY2528">
            <v>13.969073068024317</v>
          </cell>
        </row>
        <row r="2529">
          <cell r="A2529">
            <v>43077</v>
          </cell>
          <cell r="AF2529">
            <v>22.19372283491494</v>
          </cell>
          <cell r="AG2529">
            <v>20.469360058004284</v>
          </cell>
          <cell r="AH2529">
            <v>17.881583490985356</v>
          </cell>
          <cell r="AI2529">
            <v>15.547864889645153</v>
          </cell>
          <cell r="AJ2529">
            <v>20.215302092325562</v>
          </cell>
          <cell r="AU2529">
            <v>15.222287906574186</v>
          </cell>
          <cell r="AV2529">
            <v>14.263722316306255</v>
          </cell>
          <cell r="AW2529">
            <v>12.105561258724364</v>
          </cell>
          <cell r="AX2529">
            <v>10.242049449424412</v>
          </cell>
          <cell r="AY2529">
            <v>13.969073068024317</v>
          </cell>
        </row>
        <row r="2530">
          <cell r="A2530">
            <v>43080</v>
          </cell>
          <cell r="AF2530">
            <v>22.234762759681971</v>
          </cell>
          <cell r="AG2530">
            <v>20.469360058004284</v>
          </cell>
          <cell r="AH2530">
            <v>17.881583490985356</v>
          </cell>
          <cell r="AI2530">
            <v>15.547864889645153</v>
          </cell>
          <cell r="AJ2530">
            <v>20.215302092325562</v>
          </cell>
          <cell r="AU2530">
            <v>15.248243397785666</v>
          </cell>
          <cell r="AV2530">
            <v>14.263722316306255</v>
          </cell>
          <cell r="AW2530">
            <v>12.105561258724364</v>
          </cell>
          <cell r="AX2530">
            <v>10.242049449424412</v>
          </cell>
          <cell r="AY2530">
            <v>13.969073068024317</v>
          </cell>
        </row>
        <row r="2531">
          <cell r="A2531">
            <v>43081</v>
          </cell>
          <cell r="AF2531">
            <v>22.224504060870309</v>
          </cell>
          <cell r="AG2531">
            <v>20.469360058004284</v>
          </cell>
          <cell r="AH2531">
            <v>17.881583490985356</v>
          </cell>
          <cell r="AI2531">
            <v>15.547864889645153</v>
          </cell>
          <cell r="AJ2531">
            <v>20.215302092325562</v>
          </cell>
          <cell r="AU2531">
            <v>15.241755336017551</v>
          </cell>
          <cell r="AV2531">
            <v>14.263722316306255</v>
          </cell>
          <cell r="AW2531">
            <v>12.105561258724364</v>
          </cell>
          <cell r="AX2531">
            <v>10.242049449424412</v>
          </cell>
          <cell r="AY2531">
            <v>13.969073068024317</v>
          </cell>
        </row>
        <row r="2532">
          <cell r="A2532">
            <v>43082</v>
          </cell>
          <cell r="AF2532">
            <v>22.607802190280626</v>
          </cell>
          <cell r="AG2532">
            <v>20.469360058004284</v>
          </cell>
          <cell r="AH2532">
            <v>17.881583490985356</v>
          </cell>
          <cell r="AI2532">
            <v>15.547864889645153</v>
          </cell>
          <cell r="AJ2532">
            <v>20.215302092325562</v>
          </cell>
          <cell r="AU2532">
            <v>15.489300049236522</v>
          </cell>
          <cell r="AV2532">
            <v>14.263722316306255</v>
          </cell>
          <cell r="AW2532">
            <v>12.105561258724364</v>
          </cell>
          <cell r="AX2532">
            <v>10.242049449424412</v>
          </cell>
          <cell r="AY2532">
            <v>13.969073068024317</v>
          </cell>
        </row>
        <row r="2533">
          <cell r="A2533">
            <v>43083</v>
          </cell>
          <cell r="AF2533">
            <v>22.467485968514715</v>
          </cell>
          <cell r="AG2533">
            <v>20.469360058004284</v>
          </cell>
          <cell r="AH2533">
            <v>17.881583490985356</v>
          </cell>
          <cell r="AI2533">
            <v>15.547864889645153</v>
          </cell>
          <cell r="AJ2533">
            <v>20.215302092325562</v>
          </cell>
          <cell r="AU2533">
            <v>15.489300049236522</v>
          </cell>
          <cell r="AV2533">
            <v>14.263722316306255</v>
          </cell>
          <cell r="AW2533">
            <v>12.105561258724364</v>
          </cell>
          <cell r="AX2533">
            <v>10.242049449424412</v>
          </cell>
          <cell r="AY2533">
            <v>13.969073068024317</v>
          </cell>
        </row>
        <row r="2534">
          <cell r="A2534">
            <v>43084</v>
          </cell>
          <cell r="AF2534">
            <v>22.753485411140584</v>
          </cell>
          <cell r="AG2534">
            <v>20.469360058004284</v>
          </cell>
          <cell r="AH2534">
            <v>17.881583490985356</v>
          </cell>
          <cell r="AI2534">
            <v>15.547864889645153</v>
          </cell>
          <cell r="AJ2534">
            <v>20.215302092325562</v>
          </cell>
          <cell r="AU2534">
            <v>15.580288952255183</v>
          </cell>
          <cell r="AV2534">
            <v>14.263722316306255</v>
          </cell>
          <cell r="AW2534">
            <v>12.105561258724364</v>
          </cell>
          <cell r="AX2534">
            <v>10.242049449424412</v>
          </cell>
          <cell r="AY2534">
            <v>13.969073068024317</v>
          </cell>
        </row>
        <row r="2535">
          <cell r="A2535">
            <v>43087</v>
          </cell>
          <cell r="AF2535">
            <v>22.81166903396937</v>
          </cell>
          <cell r="AG2535">
            <v>20.469360058004284</v>
          </cell>
          <cell r="AH2535">
            <v>17.881583490985356</v>
          </cell>
          <cell r="AI2535">
            <v>15.547864889645153</v>
          </cell>
          <cell r="AJ2535">
            <v>20.215302092325562</v>
          </cell>
          <cell r="AU2535">
            <v>15.617093897427344</v>
          </cell>
          <cell r="AV2535">
            <v>14.263722316306255</v>
          </cell>
          <cell r="AW2535">
            <v>12.105561258724364</v>
          </cell>
          <cell r="AX2535">
            <v>10.242049449424412</v>
          </cell>
          <cell r="AY2535">
            <v>13.969073068024317</v>
          </cell>
        </row>
        <row r="2536">
          <cell r="A2536">
            <v>43088</v>
          </cell>
          <cell r="AF2536">
            <v>22.794560451784037</v>
          </cell>
          <cell r="AG2536">
            <v>20.469360058004284</v>
          </cell>
          <cell r="AH2536">
            <v>17.881583490985356</v>
          </cell>
          <cell r="AI2536">
            <v>15.547864889645153</v>
          </cell>
          <cell r="AJ2536">
            <v>20.215302092325562</v>
          </cell>
          <cell r="AU2536">
            <v>15.606271600727847</v>
          </cell>
          <cell r="AV2536">
            <v>14.263722316306255</v>
          </cell>
          <cell r="AW2536">
            <v>12.105561258724364</v>
          </cell>
          <cell r="AX2536">
            <v>10.242049449424412</v>
          </cell>
          <cell r="AY2536">
            <v>13.969073068024317</v>
          </cell>
        </row>
        <row r="2537">
          <cell r="A2537">
            <v>43089</v>
          </cell>
          <cell r="AF2537">
            <v>22.739771055345482</v>
          </cell>
          <cell r="AG2537">
            <v>20.469360058004284</v>
          </cell>
          <cell r="AH2537">
            <v>17.881583490985356</v>
          </cell>
          <cell r="AI2537">
            <v>15.547864889645153</v>
          </cell>
          <cell r="AJ2537">
            <v>20.215302092325562</v>
          </cell>
          <cell r="AU2537">
            <v>15.448918665254508</v>
          </cell>
          <cell r="AV2537">
            <v>14.263722316306255</v>
          </cell>
          <cell r="AW2537">
            <v>12.105561258724364</v>
          </cell>
          <cell r="AX2537">
            <v>10.242049449424412</v>
          </cell>
          <cell r="AY2537">
            <v>13.969073068024317</v>
          </cell>
        </row>
        <row r="2538">
          <cell r="A2538">
            <v>43090</v>
          </cell>
          <cell r="AF2538">
            <v>22.516328635269854</v>
          </cell>
          <cell r="AG2538">
            <v>20.469360058004284</v>
          </cell>
          <cell r="AH2538">
            <v>17.881583490985356</v>
          </cell>
          <cell r="AI2538">
            <v>15.547864889645153</v>
          </cell>
          <cell r="AJ2538">
            <v>20.215302092325562</v>
          </cell>
          <cell r="AU2538">
            <v>15.448918665254508</v>
          </cell>
          <cell r="AV2538">
            <v>14.263722316306255</v>
          </cell>
          <cell r="AW2538">
            <v>12.105561258724364</v>
          </cell>
          <cell r="AX2538">
            <v>10.242049449424412</v>
          </cell>
          <cell r="AY2538">
            <v>13.969073068024317</v>
          </cell>
        </row>
        <row r="2539">
          <cell r="A2539">
            <v>43091</v>
          </cell>
          <cell r="AF2539">
            <v>22.629290866459009</v>
          </cell>
          <cell r="AG2539">
            <v>20.469360058004284</v>
          </cell>
          <cell r="AH2539">
            <v>17.881583490985356</v>
          </cell>
          <cell r="AI2539">
            <v>15.547864889645153</v>
          </cell>
          <cell r="AJ2539">
            <v>20.215302092325562</v>
          </cell>
          <cell r="AU2539">
            <v>15.377752007345613</v>
          </cell>
          <cell r="AV2539">
            <v>14.263722316306255</v>
          </cell>
          <cell r="AW2539">
            <v>12.105561258724364</v>
          </cell>
          <cell r="AX2539">
            <v>10.242049449424412</v>
          </cell>
          <cell r="AY2539">
            <v>13.969073068024317</v>
          </cell>
        </row>
        <row r="2540">
          <cell r="A2540">
            <v>43094</v>
          </cell>
          <cell r="AF2540">
            <v>22.629290866459009</v>
          </cell>
          <cell r="AG2540">
            <v>20.469360058004284</v>
          </cell>
          <cell r="AH2540">
            <v>17.881583490985356</v>
          </cell>
          <cell r="AI2540">
            <v>15.547864889645153</v>
          </cell>
          <cell r="AJ2540">
            <v>20.215302092325562</v>
          </cell>
          <cell r="AU2540">
            <v>15.377752007345613</v>
          </cell>
          <cell r="AV2540">
            <v>14.263722316306255</v>
          </cell>
          <cell r="AW2540">
            <v>12.105561258724364</v>
          </cell>
          <cell r="AX2540">
            <v>10.242049449424412</v>
          </cell>
          <cell r="AY2540">
            <v>13.969073068024317</v>
          </cell>
        </row>
        <row r="2541">
          <cell r="A2541">
            <v>43095</v>
          </cell>
          <cell r="AF2541">
            <v>22.780560884543188</v>
          </cell>
          <cell r="AG2541">
            <v>20.469360058004284</v>
          </cell>
          <cell r="AH2541">
            <v>17.881583490985356</v>
          </cell>
          <cell r="AI2541">
            <v>15.547864889645153</v>
          </cell>
          <cell r="AJ2541">
            <v>20.215302092325562</v>
          </cell>
          <cell r="AU2541">
            <v>15.47264210666304</v>
          </cell>
          <cell r="AV2541">
            <v>14.263722316306255</v>
          </cell>
          <cell r="AW2541">
            <v>12.105561258724364</v>
          </cell>
          <cell r="AX2541">
            <v>10.242049449424412</v>
          </cell>
          <cell r="AY2541">
            <v>13.969073068024317</v>
          </cell>
        </row>
        <row r="2542">
          <cell r="A2542">
            <v>43096</v>
          </cell>
          <cell r="AF2542">
            <v>22.701486959451561</v>
          </cell>
          <cell r="AG2542">
            <v>20.469360058004284</v>
          </cell>
          <cell r="AH2542">
            <v>17.881583490985356</v>
          </cell>
          <cell r="AI2542">
            <v>15.547864889645153</v>
          </cell>
          <cell r="AJ2542">
            <v>20.215302092325562</v>
          </cell>
          <cell r="AU2542">
            <v>15.423039860954393</v>
          </cell>
          <cell r="AV2542">
            <v>14.263722316306255</v>
          </cell>
          <cell r="AW2542">
            <v>12.105561258724364</v>
          </cell>
          <cell r="AX2542">
            <v>10.242049449424412</v>
          </cell>
          <cell r="AY2542">
            <v>13.969073068024317</v>
          </cell>
        </row>
        <row r="2543">
          <cell r="A2543">
            <v>43097</v>
          </cell>
          <cell r="AF2543">
            <v>22.839007158033706</v>
          </cell>
          <cell r="AG2543">
            <v>20.469360058004284</v>
          </cell>
          <cell r="AH2543">
            <v>17.881583490985356</v>
          </cell>
          <cell r="AI2543">
            <v>15.547864889645153</v>
          </cell>
          <cell r="AJ2543">
            <v>20.215302092325562</v>
          </cell>
          <cell r="AU2543">
            <v>15.509304842388781</v>
          </cell>
          <cell r="AV2543">
            <v>14.263722316306255</v>
          </cell>
          <cell r="AW2543">
            <v>12.105561258724364</v>
          </cell>
          <cell r="AX2543">
            <v>10.242049449424412</v>
          </cell>
          <cell r="AY2543">
            <v>13.969073068024317</v>
          </cell>
        </row>
        <row r="2544">
          <cell r="A2544">
            <v>43098</v>
          </cell>
          <cell r="AF2544">
            <v>22.632726860160485</v>
          </cell>
          <cell r="AG2544">
            <v>20.469360058004284</v>
          </cell>
          <cell r="AH2544">
            <v>17.881583490985356</v>
          </cell>
          <cell r="AI2544">
            <v>15.547864889645153</v>
          </cell>
          <cell r="AJ2544">
            <v>20.215302092325562</v>
          </cell>
          <cell r="AU2544">
            <v>15.509304842388781</v>
          </cell>
          <cell r="AV2544">
            <v>14.263722316306255</v>
          </cell>
          <cell r="AW2544">
            <v>12.105561258724364</v>
          </cell>
          <cell r="AX2544">
            <v>10.242049449424412</v>
          </cell>
          <cell r="AY2544">
            <v>13.969073068024317</v>
          </cell>
        </row>
        <row r="2545">
          <cell r="A2545">
            <v>43101</v>
          </cell>
          <cell r="AF2545">
            <v>22.389081964344047</v>
          </cell>
          <cell r="AG2545">
            <v>20.469360058004284</v>
          </cell>
          <cell r="AH2545">
            <v>17.881583490985356</v>
          </cell>
          <cell r="AI2545">
            <v>15.547864889645153</v>
          </cell>
          <cell r="AJ2545">
            <v>20.215302092325562</v>
          </cell>
          <cell r="AU2545">
            <v>15.260260633596316</v>
          </cell>
          <cell r="AV2545">
            <v>14.263722316306255</v>
          </cell>
          <cell r="AW2545">
            <v>12.105561258724364</v>
          </cell>
          <cell r="AX2545">
            <v>10.242049449424412</v>
          </cell>
          <cell r="AY2545">
            <v>13.969073068024317</v>
          </cell>
        </row>
        <row r="2546">
          <cell r="A2546">
            <v>43102</v>
          </cell>
          <cell r="AF2546">
            <v>22.86989863986674</v>
          </cell>
          <cell r="AG2546">
            <v>20.469360058004284</v>
          </cell>
          <cell r="AH2546">
            <v>17.881583490985356</v>
          </cell>
          <cell r="AI2546">
            <v>15.547864889645153</v>
          </cell>
          <cell r="AJ2546">
            <v>20.215302092325562</v>
          </cell>
          <cell r="AU2546">
            <v>15.540584400357492</v>
          </cell>
          <cell r="AV2546">
            <v>14.263722316306255</v>
          </cell>
          <cell r="AW2546">
            <v>12.105561258724364</v>
          </cell>
          <cell r="AX2546">
            <v>10.242049449424412</v>
          </cell>
          <cell r="AY2546">
            <v>13.969073068024317</v>
          </cell>
        </row>
        <row r="2547">
          <cell r="A2547">
            <v>43103</v>
          </cell>
          <cell r="AF2547">
            <v>22.861407013430146</v>
          </cell>
          <cell r="AG2547">
            <v>20.469360058004284</v>
          </cell>
          <cell r="AH2547">
            <v>17.881583490985356</v>
          </cell>
          <cell r="AI2547">
            <v>15.547864889645153</v>
          </cell>
          <cell r="AJ2547">
            <v>20.215302092325562</v>
          </cell>
          <cell r="AU2547">
            <v>15.556140293376663</v>
          </cell>
          <cell r="AV2547">
            <v>14.263722316306255</v>
          </cell>
          <cell r="AW2547">
            <v>12.105561258724364</v>
          </cell>
          <cell r="AX2547">
            <v>10.242049449424412</v>
          </cell>
          <cell r="AY2547">
            <v>13.969073068024317</v>
          </cell>
        </row>
        <row r="2548">
          <cell r="A2548">
            <v>43104</v>
          </cell>
          <cell r="AF2548">
            <v>22.917497230947273</v>
          </cell>
          <cell r="AG2548">
            <v>20.469360058004284</v>
          </cell>
          <cell r="AH2548">
            <v>17.881583490985356</v>
          </cell>
          <cell r="AI2548">
            <v>15.547864889645153</v>
          </cell>
          <cell r="AJ2548">
            <v>20.215302092325562</v>
          </cell>
          <cell r="AU2548">
            <v>15.581851877821229</v>
          </cell>
          <cell r="AV2548">
            <v>14.263722316306255</v>
          </cell>
          <cell r="AW2548">
            <v>12.105561258724364</v>
          </cell>
          <cell r="AX2548">
            <v>10.242049449424412</v>
          </cell>
          <cell r="AY2548">
            <v>13.969073068024317</v>
          </cell>
        </row>
        <row r="2549">
          <cell r="A2549">
            <v>43105</v>
          </cell>
          <cell r="AF2549">
            <v>23.239507964604169</v>
          </cell>
          <cell r="AG2549">
            <v>20.469360058004284</v>
          </cell>
          <cell r="AH2549">
            <v>17.881583490985356</v>
          </cell>
          <cell r="AI2549">
            <v>15.547864889645153</v>
          </cell>
          <cell r="AJ2549">
            <v>20.215302092325562</v>
          </cell>
          <cell r="AU2549">
            <v>15.782021545053023</v>
          </cell>
          <cell r="AV2549">
            <v>14.263722316306255</v>
          </cell>
          <cell r="AW2549">
            <v>12.105561258724364</v>
          </cell>
          <cell r="AX2549">
            <v>10.242049449424412</v>
          </cell>
          <cell r="AY2549">
            <v>13.969073068024317</v>
          </cell>
        </row>
        <row r="2550">
          <cell r="A2550">
            <v>43108</v>
          </cell>
          <cell r="AF2550">
            <v>23.397089580362106</v>
          </cell>
          <cell r="AG2550">
            <v>20.469360058004284</v>
          </cell>
          <cell r="AH2550">
            <v>17.881583490985356</v>
          </cell>
          <cell r="AI2550">
            <v>15.547864889645153</v>
          </cell>
          <cell r="AJ2550">
            <v>20.215302092325562</v>
          </cell>
          <cell r="AU2550">
            <v>15.881032449559077</v>
          </cell>
          <cell r="AV2550">
            <v>14.263722316306255</v>
          </cell>
          <cell r="AW2550">
            <v>12.105561258724364</v>
          </cell>
          <cell r="AX2550">
            <v>10.242049449424412</v>
          </cell>
          <cell r="AY2550">
            <v>13.969073068024317</v>
          </cell>
        </row>
        <row r="2551">
          <cell r="A2551">
            <v>43109</v>
          </cell>
          <cell r="AF2551">
            <v>22.420781159008879</v>
          </cell>
          <cell r="AG2551">
            <v>20.469360058004284</v>
          </cell>
          <cell r="AH2551">
            <v>17.881583490985356</v>
          </cell>
          <cell r="AI2551">
            <v>15.547864889645153</v>
          </cell>
          <cell r="AJ2551">
            <v>20.215302092325562</v>
          </cell>
          <cell r="AU2551">
            <v>15.881032449559077</v>
          </cell>
          <cell r="AV2551">
            <v>14.263722316306255</v>
          </cell>
          <cell r="AW2551">
            <v>12.105561258724364</v>
          </cell>
          <cell r="AX2551">
            <v>10.242049449424412</v>
          </cell>
          <cell r="AY2551">
            <v>13.969073068024317</v>
          </cell>
        </row>
        <row r="2552">
          <cell r="A2552">
            <v>43110</v>
          </cell>
          <cell r="AF2552">
            <v>21.499284613190916</v>
          </cell>
          <cell r="AG2552">
            <v>20.469360058004284</v>
          </cell>
          <cell r="AH2552">
            <v>17.881583490985356</v>
          </cell>
          <cell r="AI2552">
            <v>15.547864889645153</v>
          </cell>
          <cell r="AJ2552">
            <v>20.215302092325562</v>
          </cell>
          <cell r="AU2552">
            <v>14.68856136397614</v>
          </cell>
          <cell r="AV2552">
            <v>14.263722316306255</v>
          </cell>
          <cell r="AW2552">
            <v>12.105561258724364</v>
          </cell>
          <cell r="AX2552">
            <v>10.242049449424412</v>
          </cell>
          <cell r="AY2552">
            <v>13.969073068024317</v>
          </cell>
        </row>
        <row r="2553">
          <cell r="A2553">
            <v>43111</v>
          </cell>
          <cell r="AF2553">
            <v>22.009705966316858</v>
          </cell>
          <cell r="AG2553">
            <v>20.469360058004284</v>
          </cell>
          <cell r="AH2553">
            <v>17.881583490985356</v>
          </cell>
          <cell r="AI2553">
            <v>15.547864889645153</v>
          </cell>
          <cell r="AJ2553">
            <v>20.215302092325562</v>
          </cell>
          <cell r="AU2553">
            <v>15.009265667037056</v>
          </cell>
          <cell r="AV2553">
            <v>14.263722316306255</v>
          </cell>
          <cell r="AW2553">
            <v>12.105561258724364</v>
          </cell>
          <cell r="AX2553">
            <v>10.242049449424412</v>
          </cell>
          <cell r="AY2553">
            <v>13.969073068024317</v>
          </cell>
        </row>
        <row r="2554">
          <cell r="A2554">
            <v>43112</v>
          </cell>
          <cell r="AF2554">
            <v>22.537251727093388</v>
          </cell>
          <cell r="AG2554">
            <v>20.469360058004284</v>
          </cell>
          <cell r="AH2554">
            <v>17.881583490985356</v>
          </cell>
          <cell r="AI2554">
            <v>15.547864889645153</v>
          </cell>
          <cell r="AJ2554">
            <v>20.215302092325562</v>
          </cell>
          <cell r="AU2554">
            <v>15.340783365481581</v>
          </cell>
          <cell r="AV2554">
            <v>14.263722316306255</v>
          </cell>
          <cell r="AW2554">
            <v>12.105561258724364</v>
          </cell>
          <cell r="AX2554">
            <v>10.242049449424412</v>
          </cell>
          <cell r="AY2554">
            <v>13.969073068024317</v>
          </cell>
        </row>
        <row r="2555">
          <cell r="A2555">
            <v>43115</v>
          </cell>
          <cell r="AF2555">
            <v>22.537251727093388</v>
          </cell>
          <cell r="AG2555">
            <v>20.469360058004284</v>
          </cell>
          <cell r="AH2555">
            <v>17.881583490985356</v>
          </cell>
          <cell r="AI2555">
            <v>15.547864889645153</v>
          </cell>
          <cell r="AJ2555">
            <v>20.215302092325562</v>
          </cell>
          <cell r="AU2555">
            <v>15.340783365481581</v>
          </cell>
          <cell r="AV2555">
            <v>14.263722316306255</v>
          </cell>
          <cell r="AW2555">
            <v>12.105561258724364</v>
          </cell>
          <cell r="AX2555">
            <v>10.242049449424412</v>
          </cell>
          <cell r="AY2555">
            <v>13.969073068024317</v>
          </cell>
        </row>
        <row r="2556">
          <cell r="A2556">
            <v>43116</v>
          </cell>
          <cell r="AF2556">
            <v>22.489292834715428</v>
          </cell>
          <cell r="AG2556">
            <v>20.469360058004284</v>
          </cell>
          <cell r="AH2556">
            <v>17.881583490985356</v>
          </cell>
          <cell r="AI2556">
            <v>15.547864889645153</v>
          </cell>
          <cell r="AJ2556">
            <v>20.215302092325562</v>
          </cell>
          <cell r="AU2556">
            <v>15.340783365481581</v>
          </cell>
          <cell r="AV2556">
            <v>14.263722316306255</v>
          </cell>
          <cell r="AW2556">
            <v>12.105561258724364</v>
          </cell>
          <cell r="AX2556">
            <v>10.242049449424412</v>
          </cell>
          <cell r="AY2556">
            <v>13.969073068024317</v>
          </cell>
        </row>
        <row r="2557">
          <cell r="A2557">
            <v>43117</v>
          </cell>
          <cell r="AF2557">
            <v>21.461001890329008</v>
          </cell>
          <cell r="AG2557">
            <v>20.469360058004284</v>
          </cell>
          <cell r="AH2557">
            <v>17.881583490985356</v>
          </cell>
          <cell r="AI2557">
            <v>15.547864889645153</v>
          </cell>
          <cell r="AJ2557">
            <v>20.215302092325562</v>
          </cell>
          <cell r="AU2557">
            <v>14.664936606303998</v>
          </cell>
          <cell r="AV2557">
            <v>14.263722316306255</v>
          </cell>
          <cell r="AW2557">
            <v>12.105561258724364</v>
          </cell>
          <cell r="AX2557">
            <v>10.242049449424412</v>
          </cell>
          <cell r="AY2557">
            <v>13.969073068024317</v>
          </cell>
        </row>
        <row r="2558">
          <cell r="A2558">
            <v>43118</v>
          </cell>
          <cell r="AF2558">
            <v>21.395827281313906</v>
          </cell>
          <cell r="AG2558">
            <v>20.469360058004284</v>
          </cell>
          <cell r="AH2558">
            <v>17.881583490985356</v>
          </cell>
          <cell r="AI2558">
            <v>15.547864889645153</v>
          </cell>
          <cell r="AJ2558">
            <v>20.215302092325562</v>
          </cell>
          <cell r="AU2558">
            <v>14.664936606303998</v>
          </cell>
          <cell r="AV2558">
            <v>14.263722316306255</v>
          </cell>
          <cell r="AW2558">
            <v>12.105561258724364</v>
          </cell>
          <cell r="AX2558">
            <v>10.242049449424412</v>
          </cell>
          <cell r="AY2558">
            <v>13.969073068024317</v>
          </cell>
        </row>
        <row r="2559">
          <cell r="A2559">
            <v>43119</v>
          </cell>
          <cell r="AF2559">
            <v>21.269028156431702</v>
          </cell>
          <cell r="AG2559">
            <v>20.469360058004284</v>
          </cell>
          <cell r="AH2559">
            <v>17.881583490985356</v>
          </cell>
          <cell r="AI2559">
            <v>15.547864889645153</v>
          </cell>
          <cell r="AJ2559">
            <v>20.215302092325562</v>
          </cell>
          <cell r="AU2559">
            <v>14.514219771786356</v>
          </cell>
          <cell r="AV2559">
            <v>14.263722316306255</v>
          </cell>
          <cell r="AW2559">
            <v>12.105561258724364</v>
          </cell>
          <cell r="AX2559">
            <v>10.242049449424412</v>
          </cell>
          <cell r="AY2559">
            <v>13.969073068024317</v>
          </cell>
        </row>
        <row r="2560">
          <cell r="A2560">
            <v>43122</v>
          </cell>
          <cell r="AF2560">
            <v>20.874205966259531</v>
          </cell>
          <cell r="AG2560">
            <v>20.469360058004284</v>
          </cell>
          <cell r="AH2560">
            <v>17.881583490985356</v>
          </cell>
          <cell r="AI2560">
            <v>15.547864889645153</v>
          </cell>
          <cell r="AJ2560">
            <v>20.215302092325562</v>
          </cell>
          <cell r="AU2560">
            <v>14.266698653676061</v>
          </cell>
          <cell r="AV2560">
            <v>14.263722316306255</v>
          </cell>
          <cell r="AW2560">
            <v>12.105561258724364</v>
          </cell>
          <cell r="AX2560">
            <v>10.242049449424412</v>
          </cell>
          <cell r="AY2560">
            <v>13.969073068024317</v>
          </cell>
        </row>
        <row r="2561">
          <cell r="A2561">
            <v>43123</v>
          </cell>
          <cell r="AF2561">
            <v>21.001234771002473</v>
          </cell>
          <cell r="AG2561">
            <v>20.469360058004284</v>
          </cell>
          <cell r="AH2561">
            <v>17.881583490985356</v>
          </cell>
          <cell r="AI2561">
            <v>15.547864889645153</v>
          </cell>
          <cell r="AJ2561">
            <v>20.215302092325562</v>
          </cell>
          <cell r="AU2561">
            <v>14.34633529154709</v>
          </cell>
          <cell r="AV2561">
            <v>14.263722316306255</v>
          </cell>
          <cell r="AW2561">
            <v>12.105561258724364</v>
          </cell>
          <cell r="AX2561">
            <v>10.242049449424412</v>
          </cell>
          <cell r="AY2561">
            <v>13.969073068024317</v>
          </cell>
        </row>
        <row r="2562">
          <cell r="A2562">
            <v>43124</v>
          </cell>
          <cell r="AF2562">
            <v>21.227830785047953</v>
          </cell>
          <cell r="AG2562">
            <v>20.469360058004284</v>
          </cell>
          <cell r="AH2562">
            <v>17.881583490985356</v>
          </cell>
          <cell r="AI2562">
            <v>15.547864889645153</v>
          </cell>
          <cell r="AJ2562">
            <v>20.215302092325562</v>
          </cell>
          <cell r="AU2562">
            <v>14.488392400169623</v>
          </cell>
          <cell r="AV2562">
            <v>14.263722316306255</v>
          </cell>
          <cell r="AW2562">
            <v>12.105561258724364</v>
          </cell>
          <cell r="AX2562">
            <v>10.242049449424412</v>
          </cell>
          <cell r="AY2562">
            <v>13.969073068024317</v>
          </cell>
        </row>
        <row r="2563">
          <cell r="A2563">
            <v>43125</v>
          </cell>
          <cell r="AF2563">
            <v>21.564288630513069</v>
          </cell>
          <cell r="AG2563">
            <v>20.469360058004284</v>
          </cell>
          <cell r="AH2563">
            <v>17.881583490985356</v>
          </cell>
          <cell r="AI2563">
            <v>15.547864889645153</v>
          </cell>
          <cell r="AJ2563">
            <v>20.215302092325562</v>
          </cell>
          <cell r="AU2563">
            <v>14.488392400169623</v>
          </cell>
          <cell r="AV2563">
            <v>14.263722316306255</v>
          </cell>
          <cell r="AW2563">
            <v>12.105561258724364</v>
          </cell>
          <cell r="AX2563">
            <v>10.242049449424412</v>
          </cell>
          <cell r="AY2563">
            <v>13.969073068024317</v>
          </cell>
        </row>
        <row r="2564">
          <cell r="A2564">
            <v>43126</v>
          </cell>
          <cell r="AF2564">
            <v>21.613688096536951</v>
          </cell>
          <cell r="AG2564">
            <v>20.469360058004284</v>
          </cell>
          <cell r="AH2564">
            <v>17.881583490985356</v>
          </cell>
          <cell r="AI2564">
            <v>15.547864889645153</v>
          </cell>
          <cell r="AJ2564">
            <v>20.215302092325562</v>
          </cell>
          <cell r="AU2564">
            <v>14.698715719441768</v>
          </cell>
          <cell r="AV2564">
            <v>14.263722316306255</v>
          </cell>
          <cell r="AW2564">
            <v>12.105561258724364</v>
          </cell>
          <cell r="AX2564">
            <v>10.242049449424412</v>
          </cell>
          <cell r="AY2564">
            <v>13.969073068024317</v>
          </cell>
        </row>
        <row r="2565">
          <cell r="A2565">
            <v>43129</v>
          </cell>
          <cell r="AF2565">
            <v>21.317892516268071</v>
          </cell>
          <cell r="AG2565">
            <v>20.469360058004284</v>
          </cell>
          <cell r="AH2565">
            <v>17.881583490985356</v>
          </cell>
          <cell r="AI2565">
            <v>15.547864889645153</v>
          </cell>
          <cell r="AJ2565">
            <v>20.215302092325562</v>
          </cell>
          <cell r="AU2565">
            <v>14.513700557117881</v>
          </cell>
          <cell r="AV2565">
            <v>14.263722316306255</v>
          </cell>
          <cell r="AW2565">
            <v>12.105561258724364</v>
          </cell>
          <cell r="AX2565">
            <v>10.242049449424412</v>
          </cell>
          <cell r="AY2565">
            <v>13.969073068024317</v>
          </cell>
        </row>
        <row r="2566">
          <cell r="A2566">
            <v>43130</v>
          </cell>
          <cell r="AF2566">
            <v>21.118402017830146</v>
          </cell>
          <cell r="AG2566">
            <v>20.469360058004284</v>
          </cell>
          <cell r="AH2566">
            <v>17.881583490985356</v>
          </cell>
          <cell r="AI2566">
            <v>15.547864889645153</v>
          </cell>
          <cell r="AJ2566">
            <v>20.215302092325562</v>
          </cell>
          <cell r="AU2566">
            <v>14.388922604326918</v>
          </cell>
          <cell r="AV2566">
            <v>14.263722316306255</v>
          </cell>
          <cell r="AW2566">
            <v>12.105561258724364</v>
          </cell>
          <cell r="AX2566">
            <v>10.242049449424412</v>
          </cell>
          <cell r="AY2566">
            <v>13.969073068024317</v>
          </cell>
        </row>
        <row r="2567">
          <cell r="A2567">
            <v>43131</v>
          </cell>
          <cell r="AF2567">
            <v>20.915474103587812</v>
          </cell>
          <cell r="AG2567">
            <v>20.469360058004284</v>
          </cell>
          <cell r="AH2567">
            <v>17.881583490985356</v>
          </cell>
          <cell r="AI2567">
            <v>15.547864889645153</v>
          </cell>
          <cell r="AJ2567">
            <v>20.215302092325562</v>
          </cell>
          <cell r="AU2567">
            <v>14.388922604326918</v>
          </cell>
          <cell r="AV2567">
            <v>14.263722316306255</v>
          </cell>
          <cell r="AW2567">
            <v>12.105561258724364</v>
          </cell>
          <cell r="AX2567">
            <v>10.242049449424412</v>
          </cell>
          <cell r="AY2567">
            <v>13.969073068024317</v>
          </cell>
        </row>
        <row r="2568">
          <cell r="A2568">
            <v>43132</v>
          </cell>
          <cell r="AF2568">
            <v>20.711645313479146</v>
          </cell>
          <cell r="AG2568">
            <v>20.469360058004284</v>
          </cell>
          <cell r="AH2568">
            <v>17.881583490985356</v>
          </cell>
          <cell r="AI2568">
            <v>15.547864889645153</v>
          </cell>
          <cell r="AJ2568">
            <v>20.215302092325562</v>
          </cell>
          <cell r="AU2568">
            <v>14.149748620055654</v>
          </cell>
          <cell r="AV2568">
            <v>14.263722316306255</v>
          </cell>
          <cell r="AW2568">
            <v>12.105561258724364</v>
          </cell>
          <cell r="AX2568">
            <v>10.242049449424412</v>
          </cell>
          <cell r="AY2568">
            <v>13.969073068024317</v>
          </cell>
        </row>
        <row r="2569">
          <cell r="A2569">
            <v>43133</v>
          </cell>
          <cell r="AF2569">
            <v>20.483146023988983</v>
          </cell>
          <cell r="AG2569">
            <v>20.469360058004284</v>
          </cell>
          <cell r="AH2569">
            <v>17.881583490985356</v>
          </cell>
          <cell r="AI2569">
            <v>15.547864889645153</v>
          </cell>
          <cell r="AJ2569">
            <v>20.215302092325562</v>
          </cell>
          <cell r="AU2569">
            <v>14.006571130582342</v>
          </cell>
          <cell r="AV2569">
            <v>14.263722316306255</v>
          </cell>
          <cell r="AW2569">
            <v>12.105561258724364</v>
          </cell>
          <cell r="AX2569">
            <v>10.242049449424412</v>
          </cell>
          <cell r="AY2569">
            <v>13.969073068024317</v>
          </cell>
        </row>
        <row r="2570">
          <cell r="A2570">
            <v>43136</v>
          </cell>
          <cell r="AF2570">
            <v>19.96475666458462</v>
          </cell>
          <cell r="AG2570">
            <v>20.469360058004284</v>
          </cell>
          <cell r="AH2570">
            <v>17.881583490985356</v>
          </cell>
          <cell r="AI2570">
            <v>15.547864889645153</v>
          </cell>
          <cell r="AJ2570">
            <v>20.215302092325562</v>
          </cell>
          <cell r="AU2570">
            <v>14.006571130582342</v>
          </cell>
          <cell r="AV2570">
            <v>14.263722316306255</v>
          </cell>
          <cell r="AW2570">
            <v>12.105561258724364</v>
          </cell>
          <cell r="AX2570">
            <v>10.242049449424412</v>
          </cell>
          <cell r="AY2570">
            <v>13.969073068024317</v>
          </cell>
        </row>
        <row r="2571">
          <cell r="A2571">
            <v>43137</v>
          </cell>
          <cell r="AF2571">
            <v>19.937477519470082</v>
          </cell>
          <cell r="AG2571">
            <v>20.469360058004284</v>
          </cell>
          <cell r="AH2571">
            <v>17.881583490985356</v>
          </cell>
          <cell r="AI2571">
            <v>15.547864889645153</v>
          </cell>
          <cell r="AJ2571">
            <v>20.215302092325562</v>
          </cell>
          <cell r="AU2571">
            <v>13.664655640446707</v>
          </cell>
          <cell r="AV2571">
            <v>14.263722316306255</v>
          </cell>
          <cell r="AW2571">
            <v>12.105561258724364</v>
          </cell>
          <cell r="AX2571">
            <v>10.242049449424412</v>
          </cell>
          <cell r="AY2571">
            <v>13.969073068024317</v>
          </cell>
        </row>
        <row r="2572">
          <cell r="A2572">
            <v>43138</v>
          </cell>
          <cell r="AF2572">
            <v>19.882909338943733</v>
          </cell>
          <cell r="AG2572">
            <v>20.469360058004284</v>
          </cell>
          <cell r="AH2572">
            <v>17.881583490985356</v>
          </cell>
          <cell r="AI2572">
            <v>15.547864889645153</v>
          </cell>
          <cell r="AJ2572">
            <v>20.215302092325562</v>
          </cell>
          <cell r="AU2572">
            <v>13.630463258009449</v>
          </cell>
          <cell r="AV2572">
            <v>14.263722316306255</v>
          </cell>
          <cell r="AW2572">
            <v>12.105561258724364</v>
          </cell>
          <cell r="AX2572">
            <v>10.242049449424412</v>
          </cell>
          <cell r="AY2572">
            <v>13.969073068024317</v>
          </cell>
        </row>
        <row r="2573">
          <cell r="A2573">
            <v>43139</v>
          </cell>
          <cell r="AF2573">
            <v>19.388395498211569</v>
          </cell>
          <cell r="AG2573">
            <v>20.469360058004284</v>
          </cell>
          <cell r="AH2573">
            <v>17.881583490985356</v>
          </cell>
          <cell r="AI2573">
            <v>15.547864889645153</v>
          </cell>
          <cell r="AJ2573">
            <v>20.215302092325562</v>
          </cell>
          <cell r="AU2573">
            <v>13.630463258009449</v>
          </cell>
          <cell r="AV2573">
            <v>14.263722316306255</v>
          </cell>
          <cell r="AW2573">
            <v>12.105561258724364</v>
          </cell>
          <cell r="AX2573">
            <v>10.242049449424412</v>
          </cell>
          <cell r="AY2573">
            <v>13.969073068024317</v>
          </cell>
        </row>
        <row r="2574">
          <cell r="A2574">
            <v>43140</v>
          </cell>
          <cell r="AF2574">
            <v>19.500935485706609</v>
          </cell>
          <cell r="AG2574">
            <v>20.469360058004284</v>
          </cell>
          <cell r="AH2574">
            <v>17.881583490985356</v>
          </cell>
          <cell r="AI2574">
            <v>15.547864889645153</v>
          </cell>
          <cell r="AJ2574">
            <v>20.215302092325562</v>
          </cell>
          <cell r="AU2574">
            <v>13.391118717932475</v>
          </cell>
          <cell r="AV2574">
            <v>14.263722316306255</v>
          </cell>
          <cell r="AW2574">
            <v>12.105561258724364</v>
          </cell>
          <cell r="AX2574">
            <v>10.242049449424412</v>
          </cell>
          <cell r="AY2574">
            <v>13.969073068024317</v>
          </cell>
        </row>
        <row r="2575">
          <cell r="A2575">
            <v>43143</v>
          </cell>
          <cell r="AF2575">
            <v>19.5691485249836</v>
          </cell>
          <cell r="AG2575">
            <v>20.469360058004284</v>
          </cell>
          <cell r="AH2575">
            <v>17.881583490985356</v>
          </cell>
          <cell r="AI2575">
            <v>15.547864889645153</v>
          </cell>
          <cell r="AJ2575">
            <v>20.215302092325562</v>
          </cell>
          <cell r="AU2575">
            <v>13.43386095899071</v>
          </cell>
          <cell r="AV2575">
            <v>14.263722316306255</v>
          </cell>
          <cell r="AW2575">
            <v>12.105561258724364</v>
          </cell>
          <cell r="AX2575">
            <v>10.242049449424412</v>
          </cell>
          <cell r="AY2575">
            <v>13.969073068024317</v>
          </cell>
        </row>
        <row r="2576">
          <cell r="A2576">
            <v>43144</v>
          </cell>
          <cell r="AF2576">
            <v>19.436141419884969</v>
          </cell>
          <cell r="AG2576">
            <v>20.469360058004284</v>
          </cell>
          <cell r="AH2576">
            <v>17.881583490985356</v>
          </cell>
          <cell r="AI2576">
            <v>15.547864889645153</v>
          </cell>
          <cell r="AJ2576">
            <v>20.215302092325562</v>
          </cell>
          <cell r="AU2576">
            <v>13.350518803167704</v>
          </cell>
          <cell r="AV2576">
            <v>14.263722316306255</v>
          </cell>
          <cell r="AW2576">
            <v>12.105561258724364</v>
          </cell>
          <cell r="AX2576">
            <v>10.242049449424412</v>
          </cell>
          <cell r="AY2576">
            <v>13.969073068024317</v>
          </cell>
        </row>
        <row r="2577">
          <cell r="A2577">
            <v>43145</v>
          </cell>
          <cell r="AF2577">
            <v>19.500935485706609</v>
          </cell>
          <cell r="AG2577">
            <v>20.469360058004284</v>
          </cell>
          <cell r="AH2577">
            <v>17.881583490985356</v>
          </cell>
          <cell r="AI2577">
            <v>15.547864889645153</v>
          </cell>
          <cell r="AJ2577">
            <v>20.215302092325562</v>
          </cell>
          <cell r="AU2577">
            <v>13.391118717932475</v>
          </cell>
          <cell r="AV2577">
            <v>14.263722316306255</v>
          </cell>
          <cell r="AW2577">
            <v>12.105561258724364</v>
          </cell>
          <cell r="AX2577">
            <v>10.242049449424412</v>
          </cell>
          <cell r="AY2577">
            <v>13.969073068024317</v>
          </cell>
        </row>
        <row r="2578">
          <cell r="A2578">
            <v>43146</v>
          </cell>
          <cell r="AF2578">
            <v>19.678280111410032</v>
          </cell>
          <cell r="AG2578">
            <v>20.469360058004284</v>
          </cell>
          <cell r="AH2578">
            <v>17.881583490985356</v>
          </cell>
          <cell r="AI2578">
            <v>15.547864889645153</v>
          </cell>
          <cell r="AJ2578">
            <v>20.215302092325562</v>
          </cell>
          <cell r="AU2578">
            <v>13.391118717932475</v>
          </cell>
          <cell r="AV2578">
            <v>14.263722316306255</v>
          </cell>
          <cell r="AW2578">
            <v>12.105561258724364</v>
          </cell>
          <cell r="AX2578">
            <v>10.242049449424412</v>
          </cell>
          <cell r="AY2578">
            <v>13.969073068024317</v>
          </cell>
        </row>
        <row r="2579">
          <cell r="A2579">
            <v>43147</v>
          </cell>
          <cell r="AF2579">
            <v>19.927241402832784</v>
          </cell>
          <cell r="AG2579">
            <v>20.469360058004284</v>
          </cell>
          <cell r="AH2579">
            <v>17.881583490985356</v>
          </cell>
          <cell r="AI2579">
            <v>15.547864889645153</v>
          </cell>
          <cell r="AJ2579">
            <v>20.215302092325562</v>
          </cell>
          <cell r="AU2579">
            <v>13.658241697167696</v>
          </cell>
          <cell r="AV2579">
            <v>14.263722316306255</v>
          </cell>
          <cell r="AW2579">
            <v>12.105561258724364</v>
          </cell>
          <cell r="AX2579">
            <v>10.242049449424412</v>
          </cell>
          <cell r="AY2579">
            <v>13.969073068024317</v>
          </cell>
        </row>
        <row r="2580">
          <cell r="A2580">
            <v>43150</v>
          </cell>
          <cell r="AF2580">
            <v>19.927241402832784</v>
          </cell>
          <cell r="AG2580">
            <v>20.469360058004284</v>
          </cell>
          <cell r="AH2580">
            <v>17.881583490985356</v>
          </cell>
          <cell r="AI2580">
            <v>15.547864889645153</v>
          </cell>
          <cell r="AJ2580">
            <v>20.215302092325562</v>
          </cell>
          <cell r="AU2580">
            <v>13.658241697167696</v>
          </cell>
          <cell r="AV2580">
            <v>14.263722316306255</v>
          </cell>
          <cell r="AW2580">
            <v>12.105561258724364</v>
          </cell>
          <cell r="AX2580">
            <v>10.242049449424412</v>
          </cell>
          <cell r="AY2580">
            <v>13.969073068024317</v>
          </cell>
        </row>
        <row r="2581">
          <cell r="A2581">
            <v>43151</v>
          </cell>
          <cell r="AF2581">
            <v>19.831749218441253</v>
          </cell>
          <cell r="AG2581">
            <v>20.469360058004284</v>
          </cell>
          <cell r="AH2581">
            <v>17.881583490985356</v>
          </cell>
          <cell r="AI2581">
            <v>15.547864889645153</v>
          </cell>
          <cell r="AJ2581">
            <v>20.215302092325562</v>
          </cell>
          <cell r="AU2581">
            <v>13.658241697167696</v>
          </cell>
          <cell r="AV2581">
            <v>14.263722316306255</v>
          </cell>
          <cell r="AW2581">
            <v>12.105561258724364</v>
          </cell>
          <cell r="AX2581">
            <v>10.242049449424412</v>
          </cell>
          <cell r="AY2581">
            <v>13.969073068024317</v>
          </cell>
        </row>
        <row r="2582">
          <cell r="A2582">
            <v>43152</v>
          </cell>
          <cell r="AF2582">
            <v>19.801056556587103</v>
          </cell>
          <cell r="AG2582">
            <v>20.469360058004284</v>
          </cell>
          <cell r="AH2582">
            <v>17.881583490985356</v>
          </cell>
          <cell r="AI2582">
            <v>15.547864889645153</v>
          </cell>
          <cell r="AJ2582">
            <v>20.215302092325562</v>
          </cell>
          <cell r="AU2582">
            <v>13.579174363805986</v>
          </cell>
          <cell r="AV2582">
            <v>14.263722316306255</v>
          </cell>
          <cell r="AW2582">
            <v>12.105561258724364</v>
          </cell>
          <cell r="AX2582">
            <v>10.242049449424412</v>
          </cell>
          <cell r="AY2582">
            <v>13.969073068024317</v>
          </cell>
        </row>
        <row r="2583">
          <cell r="A2583">
            <v>43153</v>
          </cell>
          <cell r="AF2583">
            <v>19.477065082705412</v>
          </cell>
          <cell r="AG2583">
            <v>20.469360058004284</v>
          </cell>
          <cell r="AH2583">
            <v>17.881583490985356</v>
          </cell>
          <cell r="AI2583">
            <v>15.547864889645153</v>
          </cell>
          <cell r="AJ2583">
            <v>20.215302092325562</v>
          </cell>
          <cell r="AU2583">
            <v>13.376161540682368</v>
          </cell>
          <cell r="AV2583">
            <v>14.263722316306255</v>
          </cell>
          <cell r="AW2583">
            <v>12.105561258724364</v>
          </cell>
          <cell r="AX2583">
            <v>10.242049449424412</v>
          </cell>
          <cell r="AY2583">
            <v>13.969073068024317</v>
          </cell>
        </row>
        <row r="2584">
          <cell r="A2584">
            <v>43154</v>
          </cell>
          <cell r="AF2584">
            <v>19.668049451488471</v>
          </cell>
          <cell r="AG2584">
            <v>20.469360058004284</v>
          </cell>
          <cell r="AH2584">
            <v>17.881583490985356</v>
          </cell>
          <cell r="AI2584">
            <v>15.547864889645153</v>
          </cell>
          <cell r="AJ2584">
            <v>20.215302092325562</v>
          </cell>
          <cell r="AU2584">
            <v>13.49583220798298</v>
          </cell>
          <cell r="AV2584">
            <v>14.263722316306255</v>
          </cell>
          <cell r="AW2584">
            <v>12.105561258724364</v>
          </cell>
          <cell r="AX2584">
            <v>10.242049449424412</v>
          </cell>
          <cell r="AY2584">
            <v>13.969073068024317</v>
          </cell>
        </row>
        <row r="2585">
          <cell r="A2585">
            <v>43157</v>
          </cell>
          <cell r="AF2585">
            <v>19.456603421817558</v>
          </cell>
          <cell r="AG2585">
            <v>20.469360058004284</v>
          </cell>
          <cell r="AH2585">
            <v>17.881583490985356</v>
          </cell>
          <cell r="AI2585">
            <v>15.547864889645153</v>
          </cell>
          <cell r="AJ2585">
            <v>20.215302092325562</v>
          </cell>
          <cell r="AU2585">
            <v>13.363340278774228</v>
          </cell>
          <cell r="AV2585">
            <v>14.263722316306255</v>
          </cell>
          <cell r="AW2585">
            <v>12.105561258724364</v>
          </cell>
          <cell r="AX2585">
            <v>10.242049449424412</v>
          </cell>
          <cell r="AY2585">
            <v>13.969073068024317</v>
          </cell>
        </row>
        <row r="2586">
          <cell r="A2586">
            <v>43158</v>
          </cell>
          <cell r="AF2586">
            <v>19.552095265164354</v>
          </cell>
          <cell r="AG2586">
            <v>20.469360058004284</v>
          </cell>
          <cell r="AH2586">
            <v>17.881583490985356</v>
          </cell>
          <cell r="AI2586">
            <v>15.547864889645153</v>
          </cell>
          <cell r="AJ2586">
            <v>20.215302092325562</v>
          </cell>
          <cell r="AU2586">
            <v>13.363340278774228</v>
          </cell>
          <cell r="AV2586">
            <v>14.263722316306255</v>
          </cell>
          <cell r="AW2586">
            <v>12.105561258724364</v>
          </cell>
          <cell r="AX2586">
            <v>10.242049449424412</v>
          </cell>
          <cell r="AY2586">
            <v>13.969073068024317</v>
          </cell>
        </row>
        <row r="2587">
          <cell r="A2587">
            <v>43159</v>
          </cell>
          <cell r="AF2587">
            <v>19.117869547649207</v>
          </cell>
          <cell r="AG2587">
            <v>20.469360058004284</v>
          </cell>
          <cell r="AH2587">
            <v>17.881583490985356</v>
          </cell>
          <cell r="AI2587">
            <v>15.547864889645153</v>
          </cell>
          <cell r="AJ2587">
            <v>20.215302092325562</v>
          </cell>
          <cell r="AU2587">
            <v>13.151749045267932</v>
          </cell>
          <cell r="AV2587">
            <v>14.263722316306255</v>
          </cell>
          <cell r="AW2587">
            <v>12.105561258724364</v>
          </cell>
          <cell r="AX2587">
            <v>10.242049449424412</v>
          </cell>
          <cell r="AY2587">
            <v>13.969073068024317</v>
          </cell>
        </row>
        <row r="2588">
          <cell r="A2588">
            <v>43160</v>
          </cell>
          <cell r="AF2588">
            <v>18.666833449389124</v>
          </cell>
          <cell r="AG2588">
            <v>20.469360058004284</v>
          </cell>
          <cell r="AH2588">
            <v>17.881583490985356</v>
          </cell>
          <cell r="AI2588">
            <v>15.547864889645153</v>
          </cell>
          <cell r="AJ2588">
            <v>20.215302092325562</v>
          </cell>
          <cell r="AU2588">
            <v>13.054992686273129</v>
          </cell>
          <cell r="AV2588">
            <v>14.263722316306255</v>
          </cell>
          <cell r="AW2588">
            <v>12.105561258724364</v>
          </cell>
          <cell r="AX2588">
            <v>10.242049449424412</v>
          </cell>
          <cell r="AY2588">
            <v>13.969073068024317</v>
          </cell>
        </row>
        <row r="2589">
          <cell r="A2589">
            <v>43161</v>
          </cell>
          <cell r="AF2589">
            <v>19.371154124106642</v>
          </cell>
          <cell r="AG2589">
            <v>20.469360058004284</v>
          </cell>
          <cell r="AH2589">
            <v>17.881583490985356</v>
          </cell>
          <cell r="AI2589">
            <v>15.547864889645153</v>
          </cell>
          <cell r="AJ2589">
            <v>20.215302092325562</v>
          </cell>
          <cell r="AU2589">
            <v>13.414122451766161</v>
          </cell>
          <cell r="AV2589">
            <v>14.263722316306255</v>
          </cell>
          <cell r="AW2589">
            <v>12.105561258724364</v>
          </cell>
          <cell r="AX2589">
            <v>10.242049449424412</v>
          </cell>
          <cell r="AY2589">
            <v>13.969073068024317</v>
          </cell>
        </row>
        <row r="2590">
          <cell r="A2590">
            <v>43164</v>
          </cell>
          <cell r="AF2590">
            <v>19.496123635995577</v>
          </cell>
          <cell r="AG2590">
            <v>20.469360058004284</v>
          </cell>
          <cell r="AH2590">
            <v>17.881583490985356</v>
          </cell>
          <cell r="AI2590">
            <v>15.547864889645153</v>
          </cell>
          <cell r="AJ2590">
            <v>20.215302092325562</v>
          </cell>
          <cell r="AU2590">
            <v>13.398895399906973</v>
          </cell>
          <cell r="AV2590">
            <v>14.263722316306255</v>
          </cell>
          <cell r="AW2590">
            <v>12.105561258724364</v>
          </cell>
          <cell r="AX2590">
            <v>10.242049449424412</v>
          </cell>
          <cell r="AY2590">
            <v>13.969073068024317</v>
          </cell>
        </row>
        <row r="2591">
          <cell r="A2591">
            <v>43165</v>
          </cell>
          <cell r="AF2591">
            <v>19.868721213130556</v>
          </cell>
          <cell r="AG2591">
            <v>20.469360058004284</v>
          </cell>
          <cell r="AH2591">
            <v>17.881583490985356</v>
          </cell>
          <cell r="AI2591">
            <v>15.547864889645153</v>
          </cell>
          <cell r="AJ2591">
            <v>20.215302092325562</v>
          </cell>
          <cell r="AU2591">
            <v>13.533945005787357</v>
          </cell>
          <cell r="AV2591">
            <v>14.263722316306255</v>
          </cell>
          <cell r="AW2591">
            <v>12.105561258724364</v>
          </cell>
          <cell r="AX2591">
            <v>10.242049449424412</v>
          </cell>
          <cell r="AY2591">
            <v>13.969073068024317</v>
          </cell>
        </row>
        <row r="2592">
          <cell r="A2592">
            <v>43166</v>
          </cell>
          <cell r="AF2592">
            <v>19.892795690775035</v>
          </cell>
          <cell r="AG2592">
            <v>20.469360058004284</v>
          </cell>
          <cell r="AH2592">
            <v>17.881583490985356</v>
          </cell>
          <cell r="AI2592">
            <v>15.547864889645153</v>
          </cell>
          <cell r="AJ2592">
            <v>20.215302092325562</v>
          </cell>
          <cell r="AU2592">
            <v>13.54967113834067</v>
          </cell>
          <cell r="AV2592">
            <v>14.263722316306255</v>
          </cell>
          <cell r="AW2592">
            <v>12.105561258724364</v>
          </cell>
          <cell r="AX2592">
            <v>10.242049449424412</v>
          </cell>
          <cell r="AY2592">
            <v>13.969073068024317</v>
          </cell>
        </row>
        <row r="2593">
          <cell r="A2593">
            <v>43167</v>
          </cell>
          <cell r="AF2593">
            <v>20.212953682342501</v>
          </cell>
          <cell r="AG2593">
            <v>20.469360058004284</v>
          </cell>
          <cell r="AH2593">
            <v>17.881583490985356</v>
          </cell>
          <cell r="AI2593">
            <v>15.547864889645153</v>
          </cell>
          <cell r="AJ2593">
            <v>20.215302092325562</v>
          </cell>
          <cell r="AU2593">
            <v>13.537499233008576</v>
          </cell>
          <cell r="AV2593">
            <v>14.263722316306255</v>
          </cell>
          <cell r="AW2593">
            <v>12.105561258724364</v>
          </cell>
          <cell r="AX2593">
            <v>10.242049449424412</v>
          </cell>
          <cell r="AY2593">
            <v>13.969073068024317</v>
          </cell>
        </row>
        <row r="2594">
          <cell r="A2594">
            <v>43168</v>
          </cell>
          <cell r="AF2594">
            <v>20.467355950820853</v>
          </cell>
          <cell r="AG2594">
            <v>20.469360058004284</v>
          </cell>
          <cell r="AH2594">
            <v>17.881583490985356</v>
          </cell>
          <cell r="AI2594">
            <v>15.547864889645153</v>
          </cell>
          <cell r="AJ2594">
            <v>20.215302092325562</v>
          </cell>
          <cell r="AU2594">
            <v>13.807828574332783</v>
          </cell>
          <cell r="AV2594">
            <v>14.263722316306255</v>
          </cell>
          <cell r="AW2594">
            <v>12.105561258724364</v>
          </cell>
          <cell r="AX2594">
            <v>10.242049449424412</v>
          </cell>
          <cell r="AY2594">
            <v>13.969073068024317</v>
          </cell>
        </row>
        <row r="2595">
          <cell r="A2595">
            <v>43171</v>
          </cell>
          <cell r="AF2595">
            <v>20.733534505169633</v>
          </cell>
          <cell r="AG2595">
            <v>20.469360058004284</v>
          </cell>
          <cell r="AH2595">
            <v>17.881583490985356</v>
          </cell>
          <cell r="AI2595">
            <v>15.547864889645153</v>
          </cell>
          <cell r="AJ2595">
            <v>20.215302092325562</v>
          </cell>
          <cell r="AU2595">
            <v>13.971321776437874</v>
          </cell>
          <cell r="AV2595">
            <v>14.263722316306255</v>
          </cell>
          <cell r="AW2595">
            <v>12.105561258724364</v>
          </cell>
          <cell r="AX2595">
            <v>10.242049449424412</v>
          </cell>
          <cell r="AY2595">
            <v>13.969073068024317</v>
          </cell>
        </row>
        <row r="2596">
          <cell r="A2596">
            <v>43172</v>
          </cell>
          <cell r="AF2596">
            <v>20.513495341431671</v>
          </cell>
          <cell r="AG2596">
            <v>20.469360058004284</v>
          </cell>
          <cell r="AH2596">
            <v>17.881583490985356</v>
          </cell>
          <cell r="AI2596">
            <v>15.547864889645153</v>
          </cell>
          <cell r="AJ2596">
            <v>20.215302092325562</v>
          </cell>
          <cell r="AU2596">
            <v>13.836168485985679</v>
          </cell>
          <cell r="AV2596">
            <v>14.263722316306255</v>
          </cell>
          <cell r="AW2596">
            <v>12.105561258724364</v>
          </cell>
          <cell r="AX2596">
            <v>10.242049449424412</v>
          </cell>
          <cell r="AY2596">
            <v>13.969073068024317</v>
          </cell>
        </row>
        <row r="2597">
          <cell r="A2597">
            <v>43173</v>
          </cell>
          <cell r="AF2597">
            <v>20.329964165336175</v>
          </cell>
          <cell r="AG2597">
            <v>20.469360058004284</v>
          </cell>
          <cell r="AH2597">
            <v>17.881583490985356</v>
          </cell>
          <cell r="AI2597">
            <v>15.547864889645153</v>
          </cell>
          <cell r="AJ2597">
            <v>20.215302092325562</v>
          </cell>
          <cell r="AU2597">
            <v>13.808552439034111</v>
          </cell>
          <cell r="AV2597">
            <v>14.263722316306255</v>
          </cell>
          <cell r="AW2597">
            <v>12.105561258724364</v>
          </cell>
          <cell r="AX2597">
            <v>10.242049449424412</v>
          </cell>
          <cell r="AY2597">
            <v>13.969073068024317</v>
          </cell>
        </row>
        <row r="2598">
          <cell r="A2598">
            <v>43174</v>
          </cell>
          <cell r="AF2598">
            <v>20.205782153627819</v>
          </cell>
          <cell r="AG2598">
            <v>20.469360058004284</v>
          </cell>
          <cell r="AH2598">
            <v>17.881583490985356</v>
          </cell>
          <cell r="AI2598">
            <v>15.547864889645153</v>
          </cell>
          <cell r="AJ2598">
            <v>20.215302092325562</v>
          </cell>
          <cell r="AU2598">
            <v>13.731801762465553</v>
          </cell>
          <cell r="AV2598">
            <v>14.263722316306255</v>
          </cell>
          <cell r="AW2598">
            <v>12.105561258724364</v>
          </cell>
          <cell r="AX2598">
            <v>10.242049449424412</v>
          </cell>
          <cell r="AY2598">
            <v>13.969073068024317</v>
          </cell>
        </row>
        <row r="2599">
          <cell r="A2599">
            <v>43175</v>
          </cell>
          <cell r="AF2599">
            <v>19.986624254670673</v>
          </cell>
          <cell r="AG2599">
            <v>20.469360058004284</v>
          </cell>
          <cell r="AH2599">
            <v>17.881583490985356</v>
          </cell>
          <cell r="AI2599">
            <v>15.547864889645153</v>
          </cell>
          <cell r="AJ2599">
            <v>20.215302092325562</v>
          </cell>
          <cell r="AU2599">
            <v>13.495887256850329</v>
          </cell>
          <cell r="AV2599">
            <v>14.263722316306255</v>
          </cell>
          <cell r="AW2599">
            <v>12.105561258724364</v>
          </cell>
          <cell r="AX2599">
            <v>10.242049449424412</v>
          </cell>
          <cell r="AY2599">
            <v>13.969073068024317</v>
          </cell>
        </row>
        <row r="2600">
          <cell r="A2600">
            <v>43178</v>
          </cell>
          <cell r="AF2600">
            <v>19.677938606684325</v>
          </cell>
          <cell r="AG2600">
            <v>20.469360058004284</v>
          </cell>
          <cell r="AH2600">
            <v>17.881583490985356</v>
          </cell>
          <cell r="AI2600">
            <v>15.547864889645153</v>
          </cell>
          <cell r="AJ2600">
            <v>20.215302092325562</v>
          </cell>
          <cell r="AU2600">
            <v>13.307028814961335</v>
          </cell>
          <cell r="AV2600">
            <v>14.263722316306255</v>
          </cell>
          <cell r="AW2600">
            <v>12.105561258724364</v>
          </cell>
          <cell r="AX2600">
            <v>10.242049449424412</v>
          </cell>
          <cell r="AY2600">
            <v>13.969073068024317</v>
          </cell>
        </row>
        <row r="2601">
          <cell r="A2601">
            <v>43179</v>
          </cell>
          <cell r="AF2601">
            <v>19.37279931592029</v>
          </cell>
          <cell r="AG2601">
            <v>20.469360058004284</v>
          </cell>
          <cell r="AH2601">
            <v>17.881583490985356</v>
          </cell>
          <cell r="AI2601">
            <v>15.547864889645153</v>
          </cell>
          <cell r="AJ2601">
            <v>20.215302092325562</v>
          </cell>
          <cell r="AU2601">
            <v>13.120340086836995</v>
          </cell>
          <cell r="AV2601">
            <v>14.263722316306255</v>
          </cell>
          <cell r="AW2601">
            <v>12.105561258724364</v>
          </cell>
          <cell r="AX2601">
            <v>10.242049449424412</v>
          </cell>
          <cell r="AY2601">
            <v>13.969073068024317</v>
          </cell>
        </row>
        <row r="2602">
          <cell r="A2602">
            <v>43180</v>
          </cell>
          <cell r="AF2602">
            <v>19.206036435760197</v>
          </cell>
          <cell r="AG2602">
            <v>20.469360058004284</v>
          </cell>
          <cell r="AH2602">
            <v>17.881583490985356</v>
          </cell>
          <cell r="AI2602">
            <v>15.547864889645153</v>
          </cell>
          <cell r="AJ2602">
            <v>20.215302092325562</v>
          </cell>
          <cell r="AU2602">
            <v>13.120340086836995</v>
          </cell>
          <cell r="AV2602">
            <v>14.263722316306255</v>
          </cell>
          <cell r="AW2602">
            <v>12.105561258724364</v>
          </cell>
          <cell r="AX2602">
            <v>10.242049449424412</v>
          </cell>
          <cell r="AY2602">
            <v>13.969073068024317</v>
          </cell>
        </row>
        <row r="2603">
          <cell r="A2603">
            <v>43181</v>
          </cell>
          <cell r="AF2603">
            <v>18.683565843066571</v>
          </cell>
          <cell r="AG2603">
            <v>20.469360058004284</v>
          </cell>
          <cell r="AH2603">
            <v>17.881583490985356</v>
          </cell>
          <cell r="AI2603">
            <v>15.547864889645153</v>
          </cell>
          <cell r="AJ2603">
            <v>20.215302092325562</v>
          </cell>
          <cell r="AU2603">
            <v>12.6991801493661</v>
          </cell>
          <cell r="AV2603">
            <v>14.263722316306255</v>
          </cell>
          <cell r="AW2603">
            <v>12.105561258724364</v>
          </cell>
          <cell r="AX2603">
            <v>10.242049449424412</v>
          </cell>
          <cell r="AY2603">
            <v>13.969073068024317</v>
          </cell>
        </row>
        <row r="2604">
          <cell r="A2604">
            <v>43182</v>
          </cell>
          <cell r="AF2604">
            <v>17.963369043391396</v>
          </cell>
          <cell r="AG2604">
            <v>20.469360058004284</v>
          </cell>
          <cell r="AH2604">
            <v>17.881583490985356</v>
          </cell>
          <cell r="AI2604">
            <v>15.547864889645153</v>
          </cell>
          <cell r="AJ2604">
            <v>20.215302092325562</v>
          </cell>
          <cell r="AU2604">
            <v>12.264108438097141</v>
          </cell>
          <cell r="AV2604">
            <v>14.263722316306255</v>
          </cell>
          <cell r="AW2604">
            <v>12.105561258724364</v>
          </cell>
          <cell r="AX2604">
            <v>10.242049449424412</v>
          </cell>
          <cell r="AY2604">
            <v>13.969073068024317</v>
          </cell>
        </row>
        <row r="2605">
          <cell r="A2605">
            <v>43185</v>
          </cell>
          <cell r="AF2605">
            <v>18.148806698364918</v>
          </cell>
          <cell r="AG2605">
            <v>20.469360058004284</v>
          </cell>
          <cell r="AH2605">
            <v>17.881583490985356</v>
          </cell>
          <cell r="AI2605">
            <v>15.547864889645153</v>
          </cell>
          <cell r="AJ2605">
            <v>20.215302092325562</v>
          </cell>
          <cell r="AU2605">
            <v>12.358914373452034</v>
          </cell>
          <cell r="AV2605">
            <v>14.263722316306255</v>
          </cell>
          <cell r="AW2605">
            <v>12.105561258724364</v>
          </cell>
          <cell r="AX2605">
            <v>10.242049449424412</v>
          </cell>
          <cell r="AY2605">
            <v>13.969073068024317</v>
          </cell>
        </row>
        <row r="2606">
          <cell r="A2606">
            <v>43186</v>
          </cell>
          <cell r="AF2606">
            <v>17.831048407216528</v>
          </cell>
          <cell r="AG2606">
            <v>20.469360058004284</v>
          </cell>
          <cell r="AH2606">
            <v>17.881583490985356</v>
          </cell>
          <cell r="AI2606">
            <v>15.547864889645153</v>
          </cell>
          <cell r="AJ2606">
            <v>20.215302092325562</v>
          </cell>
          <cell r="AU2606">
            <v>12.155939135322209</v>
          </cell>
          <cell r="AV2606">
            <v>14.263722316306255</v>
          </cell>
          <cell r="AW2606">
            <v>12.105561258724364</v>
          </cell>
          <cell r="AX2606">
            <v>10.242049449424412</v>
          </cell>
          <cell r="AY2606">
            <v>13.969073068024317</v>
          </cell>
        </row>
        <row r="2607">
          <cell r="A2607">
            <v>43187</v>
          </cell>
          <cell r="AF2607">
            <v>17.802535123922759</v>
          </cell>
          <cell r="AG2607">
            <v>20.469360058004284</v>
          </cell>
          <cell r="AH2607">
            <v>17.881583490985356</v>
          </cell>
          <cell r="AI2607">
            <v>15.547864889645153</v>
          </cell>
          <cell r="AJ2607">
            <v>20.215302092325562</v>
          </cell>
          <cell r="AU2607">
            <v>12.138532706444838</v>
          </cell>
          <cell r="AV2607">
            <v>14.263722316306255</v>
          </cell>
          <cell r="AW2607">
            <v>12.105561258724364</v>
          </cell>
          <cell r="AX2607">
            <v>10.242049449424412</v>
          </cell>
          <cell r="AY2607">
            <v>13.969073068024317</v>
          </cell>
        </row>
        <row r="2608">
          <cell r="A2608">
            <v>43188</v>
          </cell>
          <cell r="AF2608">
            <v>17.9486257581163</v>
          </cell>
          <cell r="AG2608">
            <v>20.469360058004284</v>
          </cell>
          <cell r="AH2608">
            <v>17.881583490985356</v>
          </cell>
          <cell r="AI2608">
            <v>15.547864889645153</v>
          </cell>
          <cell r="AJ2608">
            <v>20.215302092325562</v>
          </cell>
          <cell r="AU2608">
            <v>12.216874508685585</v>
          </cell>
          <cell r="AV2608">
            <v>14.263722316306255</v>
          </cell>
          <cell r="AW2608">
            <v>12.105561258724364</v>
          </cell>
          <cell r="AX2608">
            <v>10.242049449424412</v>
          </cell>
          <cell r="AY2608">
            <v>13.969073068024317</v>
          </cell>
        </row>
        <row r="2609">
          <cell r="A2609">
            <v>43189</v>
          </cell>
          <cell r="AF2609">
            <v>17.9486257581163</v>
          </cell>
          <cell r="AG2609">
            <v>20.469360058004284</v>
          </cell>
          <cell r="AH2609">
            <v>17.881583490985356</v>
          </cell>
          <cell r="AI2609">
            <v>15.547864889645153</v>
          </cell>
          <cell r="AJ2609">
            <v>20.215302092325562</v>
          </cell>
          <cell r="AU2609">
            <v>12.216874508685585</v>
          </cell>
          <cell r="AV2609">
            <v>14.263722316306255</v>
          </cell>
          <cell r="AW2609">
            <v>12.105561258724364</v>
          </cell>
          <cell r="AX2609">
            <v>10.242049449424412</v>
          </cell>
          <cell r="AY2609">
            <v>13.969073068024317</v>
          </cell>
        </row>
        <row r="2610">
          <cell r="A2610">
            <v>43192</v>
          </cell>
          <cell r="AF2610">
            <v>17.344679915241677</v>
          </cell>
          <cell r="AG2610">
            <v>20.469360058004284</v>
          </cell>
          <cell r="AH2610">
            <v>17.881583490985356</v>
          </cell>
          <cell r="AI2610">
            <v>15.547864889645153</v>
          </cell>
          <cell r="AJ2610">
            <v>20.215302092325562</v>
          </cell>
          <cell r="AU2610">
            <v>11.869638583151072</v>
          </cell>
          <cell r="AV2610">
            <v>14.263722316306255</v>
          </cell>
          <cell r="AW2610">
            <v>12.105561258724364</v>
          </cell>
          <cell r="AX2610">
            <v>10.242049449424412</v>
          </cell>
          <cell r="AY2610">
            <v>13.969073068024317</v>
          </cell>
        </row>
        <row r="2611">
          <cell r="A2611">
            <v>43193</v>
          </cell>
          <cell r="AF2611">
            <v>17.671428301665877</v>
          </cell>
          <cell r="AG2611">
            <v>20.469360058004284</v>
          </cell>
          <cell r="AH2611">
            <v>17.881583490985356</v>
          </cell>
          <cell r="AI2611">
            <v>15.547864889645153</v>
          </cell>
          <cell r="AJ2611">
            <v>20.215302092325562</v>
          </cell>
          <cell r="AU2611">
            <v>12.060014856831256</v>
          </cell>
          <cell r="AV2611">
            <v>14.263722316306255</v>
          </cell>
          <cell r="AW2611">
            <v>12.105561258724364</v>
          </cell>
          <cell r="AX2611">
            <v>10.242049449424412</v>
          </cell>
          <cell r="AY2611">
            <v>13.969073068024317</v>
          </cell>
        </row>
        <row r="2612">
          <cell r="A2612">
            <v>43194</v>
          </cell>
          <cell r="AF2612">
            <v>17.890947362211158</v>
          </cell>
          <cell r="AG2612">
            <v>20.469360058004284</v>
          </cell>
          <cell r="AH2612">
            <v>17.881583490985356</v>
          </cell>
          <cell r="AI2612">
            <v>15.547864889645153</v>
          </cell>
          <cell r="AJ2612">
            <v>20.215302092325562</v>
          </cell>
          <cell r="AU2612">
            <v>12.19413379524816</v>
          </cell>
          <cell r="AV2612">
            <v>14.263722316306255</v>
          </cell>
          <cell r="AW2612">
            <v>12.105561258724364</v>
          </cell>
          <cell r="AX2612">
            <v>10.242049449424412</v>
          </cell>
          <cell r="AY2612">
            <v>13.969073068024317</v>
          </cell>
        </row>
        <row r="2613">
          <cell r="A2613">
            <v>43195</v>
          </cell>
          <cell r="AF2613">
            <v>17.735555382454582</v>
          </cell>
          <cell r="AG2613">
            <v>20.469360058004284</v>
          </cell>
          <cell r="AH2613">
            <v>17.881583490985356</v>
          </cell>
          <cell r="AI2613">
            <v>15.547864889645153</v>
          </cell>
          <cell r="AJ2613">
            <v>20.215302092325562</v>
          </cell>
          <cell r="AU2613">
            <v>12.098939902079247</v>
          </cell>
          <cell r="AV2613">
            <v>14.263722316306255</v>
          </cell>
          <cell r="AW2613">
            <v>12.105561258724364</v>
          </cell>
          <cell r="AX2613">
            <v>10.242049449424412</v>
          </cell>
          <cell r="AY2613">
            <v>13.969073068024317</v>
          </cell>
        </row>
        <row r="2614">
          <cell r="A2614">
            <v>43196</v>
          </cell>
          <cell r="AF2614">
            <v>17.356699253260096</v>
          </cell>
          <cell r="AG2614">
            <v>20.469360058004284</v>
          </cell>
          <cell r="AH2614">
            <v>17.881583490985356</v>
          </cell>
          <cell r="AI2614">
            <v>15.547864889645153</v>
          </cell>
          <cell r="AJ2614">
            <v>20.215302092325562</v>
          </cell>
          <cell r="AU2614">
            <v>11.867476657014072</v>
          </cell>
          <cell r="AV2614">
            <v>14.263722316306255</v>
          </cell>
          <cell r="AW2614">
            <v>12.105561258724364</v>
          </cell>
          <cell r="AX2614">
            <v>10.242049449424412</v>
          </cell>
          <cell r="AY2614">
            <v>13.969073068024317</v>
          </cell>
        </row>
        <row r="2615">
          <cell r="A2615">
            <v>43199</v>
          </cell>
          <cell r="AF2615">
            <v>17.470734302946052</v>
          </cell>
          <cell r="AG2615">
            <v>20.469360058004284</v>
          </cell>
          <cell r="AH2615">
            <v>17.881583490985356</v>
          </cell>
          <cell r="AI2615">
            <v>15.547864889645153</v>
          </cell>
          <cell r="AJ2615">
            <v>20.215302092325562</v>
          </cell>
          <cell r="AU2615">
            <v>11.945945945259803</v>
          </cell>
          <cell r="AV2615">
            <v>14.263722316306255</v>
          </cell>
          <cell r="AW2615">
            <v>12.105561258724364</v>
          </cell>
          <cell r="AX2615">
            <v>10.242049449424412</v>
          </cell>
          <cell r="AY2615">
            <v>13.969073068024317</v>
          </cell>
        </row>
        <row r="2616">
          <cell r="A2616">
            <v>43200</v>
          </cell>
          <cell r="AF2616">
            <v>17.648102163889668</v>
          </cell>
          <cell r="AG2616">
            <v>20.469360058004284</v>
          </cell>
          <cell r="AH2616">
            <v>17.881583490985356</v>
          </cell>
          <cell r="AI2616">
            <v>15.547864889645153</v>
          </cell>
          <cell r="AJ2616">
            <v>20.215302092325562</v>
          </cell>
          <cell r="AU2616">
            <v>12.059469780720759</v>
          </cell>
          <cell r="AV2616">
            <v>14.263722316306255</v>
          </cell>
          <cell r="AW2616">
            <v>12.105561258724364</v>
          </cell>
          <cell r="AX2616">
            <v>10.242049449424412</v>
          </cell>
          <cell r="AY2616">
            <v>13.969073068024317</v>
          </cell>
        </row>
        <row r="2617">
          <cell r="A2617">
            <v>43201</v>
          </cell>
          <cell r="AF2617">
            <v>17.484921603407209</v>
          </cell>
          <cell r="AG2617">
            <v>20.469360058004284</v>
          </cell>
          <cell r="AH2617">
            <v>17.881583490985356</v>
          </cell>
          <cell r="AI2617">
            <v>15.547864889645153</v>
          </cell>
          <cell r="AJ2617">
            <v>20.215302092325562</v>
          </cell>
          <cell r="AU2617">
            <v>12.059469780720759</v>
          </cell>
          <cell r="AV2617">
            <v>14.263722316306255</v>
          </cell>
          <cell r="AW2617">
            <v>12.105561258724364</v>
          </cell>
          <cell r="AX2617">
            <v>10.242049449424412</v>
          </cell>
          <cell r="AY2617">
            <v>13.969073068024317</v>
          </cell>
        </row>
        <row r="2618">
          <cell r="A2618">
            <v>43202</v>
          </cell>
          <cell r="AF2618">
            <v>17.449451223839983</v>
          </cell>
          <cell r="AG2618">
            <v>20.469360058004284</v>
          </cell>
          <cell r="AH2618">
            <v>17.881583490985356</v>
          </cell>
          <cell r="AI2618">
            <v>15.547864889645153</v>
          </cell>
          <cell r="AJ2618">
            <v>20.215302092325562</v>
          </cell>
          <cell r="AU2618">
            <v>12.059469780720759</v>
          </cell>
          <cell r="AV2618">
            <v>14.263722316306255</v>
          </cell>
          <cell r="AW2618">
            <v>12.105561258724364</v>
          </cell>
          <cell r="AX2618">
            <v>10.242049449424412</v>
          </cell>
          <cell r="AY2618">
            <v>13.969073068024317</v>
          </cell>
        </row>
        <row r="2619">
          <cell r="A2619">
            <v>43203</v>
          </cell>
          <cell r="AF2619">
            <v>17.381803734606429</v>
          </cell>
          <cell r="AG2619">
            <v>20.469360058004284</v>
          </cell>
          <cell r="AH2619">
            <v>17.881583490985356</v>
          </cell>
          <cell r="AI2619">
            <v>15.547864889645153</v>
          </cell>
          <cell r="AJ2619">
            <v>20.215302092325562</v>
          </cell>
          <cell r="AU2619">
            <v>12.059446768588074</v>
          </cell>
          <cell r="AV2619">
            <v>14.263722316306255</v>
          </cell>
          <cell r="AW2619">
            <v>12.105561258724364</v>
          </cell>
          <cell r="AX2619">
            <v>10.242049449424412</v>
          </cell>
          <cell r="AY2619">
            <v>13.969073068024317</v>
          </cell>
        </row>
        <row r="2620">
          <cell r="A2620">
            <v>43206</v>
          </cell>
          <cell r="AF2620">
            <v>17.8407671636079</v>
          </cell>
          <cell r="AG2620">
            <v>20.469360058004284</v>
          </cell>
          <cell r="AH2620">
            <v>17.881583490985356</v>
          </cell>
          <cell r="AI2620">
            <v>15.547864889645153</v>
          </cell>
          <cell r="AJ2620">
            <v>20.215302092325562</v>
          </cell>
          <cell r="AU2620">
            <v>12.059446768588074</v>
          </cell>
          <cell r="AV2620">
            <v>14.263722316306255</v>
          </cell>
          <cell r="AW2620">
            <v>12.105561258724364</v>
          </cell>
          <cell r="AX2620">
            <v>10.242049449424412</v>
          </cell>
          <cell r="AY2620">
            <v>13.969073068024317</v>
          </cell>
        </row>
        <row r="2621">
          <cell r="A2621">
            <v>43207</v>
          </cell>
          <cell r="AF2621">
            <v>17.869205039067342</v>
          </cell>
          <cell r="AG2621">
            <v>20.469360058004284</v>
          </cell>
          <cell r="AH2621">
            <v>17.881583490985356</v>
          </cell>
          <cell r="AI2621">
            <v>15.547864889645153</v>
          </cell>
          <cell r="AJ2621">
            <v>20.215302092325562</v>
          </cell>
          <cell r="AU2621">
            <v>12.067544787378123</v>
          </cell>
          <cell r="AV2621">
            <v>14.263722316306255</v>
          </cell>
          <cell r="AW2621">
            <v>12.105561258724364</v>
          </cell>
          <cell r="AX2621">
            <v>10.242049449424412</v>
          </cell>
          <cell r="AY2621">
            <v>13.969073068024317</v>
          </cell>
        </row>
        <row r="2622">
          <cell r="A2622">
            <v>43208</v>
          </cell>
          <cell r="AF2622">
            <v>17.993614434706515</v>
          </cell>
          <cell r="AG2622">
            <v>20.469360058004284</v>
          </cell>
          <cell r="AH2622">
            <v>17.881583490985356</v>
          </cell>
          <cell r="AI2622">
            <v>15.547864889645153</v>
          </cell>
          <cell r="AJ2622">
            <v>20.215302092325562</v>
          </cell>
          <cell r="AU2622">
            <v>12.067544787378123</v>
          </cell>
          <cell r="AV2622">
            <v>14.263722316306255</v>
          </cell>
          <cell r="AW2622">
            <v>12.105561258724364</v>
          </cell>
          <cell r="AX2622">
            <v>10.242049449424412</v>
          </cell>
          <cell r="AY2622">
            <v>13.969073068024317</v>
          </cell>
        </row>
        <row r="2623">
          <cell r="A2623">
            <v>43209</v>
          </cell>
          <cell r="AF2623">
            <v>17.713677350429123</v>
          </cell>
          <cell r="AG2623">
            <v>20.469360058004284</v>
          </cell>
          <cell r="AH2623">
            <v>17.881583490985356</v>
          </cell>
          <cell r="AI2623">
            <v>15.547864889645153</v>
          </cell>
          <cell r="AJ2623">
            <v>20.215302092325562</v>
          </cell>
          <cell r="AU2623">
            <v>12.156812151684372</v>
          </cell>
          <cell r="AV2623">
            <v>14.263722316306255</v>
          </cell>
          <cell r="AW2623">
            <v>12.105561258724364</v>
          </cell>
          <cell r="AX2623">
            <v>10.242049449424412</v>
          </cell>
          <cell r="AY2623">
            <v>13.969073068024317</v>
          </cell>
        </row>
      </sheetData>
      <sheetData sheetId="7"/>
      <sheetData sheetId="8"/>
      <sheetData sheetId="9"/>
      <sheetData sheetId="10"/>
      <sheetData sheetId="11"/>
      <sheetData sheetId="12" refreshError="1"/>
      <sheetData sheetId="13"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
<Relationship Id="rId1" Target="../printerSettings/printerSettings1.bin" Type="http://schemas.openxmlformats.org/officeDocument/2006/relationships/printerSettings"/>
<Relationship Id="rId2" Target="../drawings/drawing1.xml" Type="http://schemas.openxmlformats.org/officeDocument/2006/relationships/drawing"/>
</Relationships>

</file>

<file path=xl/worksheets/_rels/sheet2.xml.rels><?xml version="1.0" encoding="UTF-8" standalone="yes"?>
<Relationships xmlns="http://schemas.openxmlformats.org/package/2006/relationships">
<Relationship Id="rId1" Target="../printerSettings/printerSettings2.bin" Type="http://schemas.openxmlformats.org/officeDocument/2006/relationships/printerSettings"/>
<Relationship Id="rId2" Target="../drawings/drawing2.xml" Type="http://schemas.openxmlformats.org/officeDocument/2006/relationships/drawing"/>
<Relationship Id="rId3" Target="../drawings/vmlDrawing1.vml" Type="http://schemas.openxmlformats.org/officeDocument/2006/relationships/vmlDrawing"/>
<Relationship Id="rId4" Target="../ctrlProps/ctrlProp1.xml" Type="http://schemas.openxmlformats.org/officeDocument/2006/relationships/ctrlProp"/>
</Relationships>

</file>

<file path=xl/worksheets/_rels/sheet3.xml.rels><?xml version="1.0" encoding="UTF-8" standalone="yes"?>
<Relationships xmlns="http://schemas.openxmlformats.org/package/2006/relationships">
<Relationship Id="rId1" Target="../printerSettings/printerSettings3.bin" Type="http://schemas.openxmlformats.org/officeDocument/2006/relationships/printerSettings"/>
</Relationships>

</file>

<file path=xl/worksheets/_rels/sheet4.xml.rels><?xml version="1.0" encoding="UTF-8" standalone="yes"?>
<Relationships xmlns="http://schemas.openxmlformats.org/package/2006/relationships">
<Relationship Id="rId1" Target="../printerSettings/printerSettings4.bin" Type="http://schemas.openxmlformats.org/officeDocument/2006/relationships/printerSettings"/>
</Relationships>

</file>

<file path=xl/worksheets/_rels/sheet5.xml.rels><?xml version="1.0" encoding="UTF-8" standalone="yes"?>
<Relationships xmlns="http://schemas.openxmlformats.org/package/2006/relationships">
<Relationship Id="rId1" Target="../printerSettings/printerSettings5.bin" Type="http://schemas.openxmlformats.org/officeDocument/2006/relationships/printerSettings"/>
</Relationships>

</file>

<file path=xl/worksheets/_rels/sheet6.xml.rels><?xml version="1.0" encoding="UTF-8" standalone="yes"?>
<Relationships xmlns="http://schemas.openxmlformats.org/package/2006/relationships">
<Relationship Id="rId1" Target="../printerSettings/printerSettings6.bin" Type="http://schemas.openxmlformats.org/officeDocument/2006/relationships/printerSettings"/>
</Relationships>

</file>

<file path=xl/worksheets/_rels/sheet7.xml.rels><?xml version="1.0" encoding="UTF-8" standalone="yes"?>
<Relationships xmlns="http://schemas.openxmlformats.org/package/2006/relationships">
<Relationship Id="rId1" Target="../printerSettings/printerSettings7.bin" Type="http://schemas.openxmlformats.org/officeDocument/2006/relationships/printerSettings"/>
</Relationships>

</file>

<file path=xl/worksheets/_rels/sheet8.xml.rels><?xml version="1.0" encoding="UTF-8" standalone="yes"?>
<Relationships xmlns="http://schemas.openxmlformats.org/package/2006/relationships">
<Relationship Id="rId1" Target="../printerSettings/printerSettings8.bin" Type="http://schemas.openxmlformats.org/officeDocument/2006/relationships/printerSettings"/>
<Relationship Id="rId2" Target="../drawings/vmlDrawing2.vml" Type="http://schemas.openxmlformats.org/officeDocument/2006/relationships/vmlDrawing"/>
<Relationship Id="rId3" Target="../comments1.xml" Type="http://schemas.openxmlformats.org/officeDocument/2006/relationships/comments"/>
</Relationships>

</file>

<file path=xl/worksheets/_rels/sheet9.xml.rels><?xml version="1.0" encoding="UTF-8" standalone="yes"?>
<Relationships xmlns="http://schemas.openxmlformats.org/package/2006/relationships">
<Relationship Id="rId1" Target="../printerSettings/printerSettings9.bin" Type="http://schemas.openxmlformats.org/officeDocument/2006/relationships/printerSettings"/>
</Relationships>

</file>

<file path=xl/worksheets/_rels/sheet11.xml.rels><?xml version="1.0" encoding="UTF-8" standalone="yes"?>
<Relationships xmlns="http://schemas.openxmlformats.org/package/2006/relationships">
<Relationship Id="rId1" Target="../printerSettings/printerSettings10.bin" Type="http://schemas.openxmlformats.org/officeDocument/2006/relationships/printerSettings"/>
<Relationship Id="rId2" Target="../drawings/vmlDrawing3.vml" Type="http://schemas.openxmlformats.org/officeDocument/2006/relationships/vmlDrawing"/>
<Relationship Id="rId3" Target="../comments2.xml" Type="http://schemas.openxmlformats.org/officeDocument/2006/relationships/comments"/>
</Relationships>

</file>

<file path=xl/worksheets/_rels/sheet12.xml.rels><?xml version="1.0" encoding="UTF-8" standalone="yes"?>
<Relationships xmlns="http://schemas.openxmlformats.org/package/2006/relationships">
<Relationship Id="rId1" Target="../printerSettings/printerSettings11.bin" Type="http://schemas.openxmlformats.org/officeDocument/2006/relationships/printerSettings"/>
</Relationships>

</file>

<file path=xl/worksheets/_rels/sheet13.xml.rels><?xml version="1.0" encoding="UTF-8" standalone="yes"?>
<Relationships xmlns="http://schemas.openxmlformats.org/package/2006/relationships">
<Relationship Id="rId1" Target="../printerSettings/printerSettings12.bin" Type="http://schemas.openxmlformats.org/officeDocument/2006/relationships/printerSettings"/>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385"/>
  <sheetViews>
    <sheetView showGridLines="0" tabSelected="1" workbookViewId="0">
      <selection activeCell="Z1" sqref="Z1"/>
    </sheetView>
  </sheetViews>
  <sheetFormatPr defaultRowHeight="12.75" x14ac:dyDescent="0.2"/>
  <cols>
    <col min="1" max="1" width="25.7109375" style="1716" customWidth="1"/>
    <col min="2" max="5" width="9.140625" style="1716"/>
    <col min="6" max="6" width="18.7109375" style="1716" customWidth="1"/>
    <col min="7" max="256" width="9.140625" style="1716"/>
    <col min="257" max="257" width="100.7109375" style="1716" customWidth="1"/>
    <col min="258" max="512" width="9.140625" style="1716"/>
    <col min="513" max="513" width="100.7109375" style="1716" customWidth="1"/>
    <col min="514" max="768" width="9.140625" style="1716"/>
    <col min="769" max="769" width="100.7109375" style="1716" customWidth="1"/>
    <col min="770" max="1024" width="9.140625" style="1716"/>
    <col min="1025" max="1025" width="100.7109375" style="1716" customWidth="1"/>
    <col min="1026" max="1280" width="9.140625" style="1716"/>
    <col min="1281" max="1281" width="100.7109375" style="1716" customWidth="1"/>
    <col min="1282" max="1536" width="9.140625" style="1716"/>
    <col min="1537" max="1537" width="100.7109375" style="1716" customWidth="1"/>
    <col min="1538" max="1792" width="9.140625" style="1716"/>
    <col min="1793" max="1793" width="100.7109375" style="1716" customWidth="1"/>
    <col min="1794" max="2048" width="9.140625" style="1716"/>
    <col min="2049" max="2049" width="100.7109375" style="1716" customWidth="1"/>
    <col min="2050" max="2304" width="9.140625" style="1716"/>
    <col min="2305" max="2305" width="100.7109375" style="1716" customWidth="1"/>
    <col min="2306" max="2560" width="9.140625" style="1716"/>
    <col min="2561" max="2561" width="100.7109375" style="1716" customWidth="1"/>
    <col min="2562" max="2816" width="9.140625" style="1716"/>
    <col min="2817" max="2817" width="100.7109375" style="1716" customWidth="1"/>
    <col min="2818" max="3072" width="9.140625" style="1716"/>
    <col min="3073" max="3073" width="100.7109375" style="1716" customWidth="1"/>
    <col min="3074" max="3328" width="9.140625" style="1716"/>
    <col min="3329" max="3329" width="100.7109375" style="1716" customWidth="1"/>
    <col min="3330" max="3584" width="9.140625" style="1716"/>
    <col min="3585" max="3585" width="100.7109375" style="1716" customWidth="1"/>
    <col min="3586" max="3840" width="9.140625" style="1716"/>
    <col min="3841" max="3841" width="100.7109375" style="1716" customWidth="1"/>
    <col min="3842" max="4096" width="9.140625" style="1716"/>
    <col min="4097" max="4097" width="100.7109375" style="1716" customWidth="1"/>
    <col min="4098" max="4352" width="9.140625" style="1716"/>
    <col min="4353" max="4353" width="100.7109375" style="1716" customWidth="1"/>
    <col min="4354" max="4608" width="9.140625" style="1716"/>
    <col min="4609" max="4609" width="100.7109375" style="1716" customWidth="1"/>
    <col min="4610" max="4864" width="9.140625" style="1716"/>
    <col min="4865" max="4865" width="100.7109375" style="1716" customWidth="1"/>
    <col min="4866" max="5120" width="9.140625" style="1716"/>
    <col min="5121" max="5121" width="100.7109375" style="1716" customWidth="1"/>
    <col min="5122" max="5376" width="9.140625" style="1716"/>
    <col min="5377" max="5377" width="100.7109375" style="1716" customWidth="1"/>
    <col min="5378" max="5632" width="9.140625" style="1716"/>
    <col min="5633" max="5633" width="100.7109375" style="1716" customWidth="1"/>
    <col min="5634" max="5888" width="9.140625" style="1716"/>
    <col min="5889" max="5889" width="100.7109375" style="1716" customWidth="1"/>
    <col min="5890" max="6144" width="9.140625" style="1716"/>
    <col min="6145" max="6145" width="100.7109375" style="1716" customWidth="1"/>
    <col min="6146" max="6400" width="9.140625" style="1716"/>
    <col min="6401" max="6401" width="100.7109375" style="1716" customWidth="1"/>
    <col min="6402" max="6656" width="9.140625" style="1716"/>
    <col min="6657" max="6657" width="100.7109375" style="1716" customWidth="1"/>
    <col min="6658" max="6912" width="9.140625" style="1716"/>
    <col min="6913" max="6913" width="100.7109375" style="1716" customWidth="1"/>
    <col min="6914" max="7168" width="9.140625" style="1716"/>
    <col min="7169" max="7169" width="100.7109375" style="1716" customWidth="1"/>
    <col min="7170" max="7424" width="9.140625" style="1716"/>
    <col min="7425" max="7425" width="100.7109375" style="1716" customWidth="1"/>
    <col min="7426" max="7680" width="9.140625" style="1716"/>
    <col min="7681" max="7681" width="100.7109375" style="1716" customWidth="1"/>
    <col min="7682" max="7936" width="9.140625" style="1716"/>
    <col min="7937" max="7937" width="100.7109375" style="1716" customWidth="1"/>
    <col min="7938" max="8192" width="9.140625" style="1716"/>
    <col min="8193" max="8193" width="100.7109375" style="1716" customWidth="1"/>
    <col min="8194" max="8448" width="9.140625" style="1716"/>
    <col min="8449" max="8449" width="100.7109375" style="1716" customWidth="1"/>
    <col min="8450" max="8704" width="9.140625" style="1716"/>
    <col min="8705" max="8705" width="100.7109375" style="1716" customWidth="1"/>
    <col min="8706" max="8960" width="9.140625" style="1716"/>
    <col min="8961" max="8961" width="100.7109375" style="1716" customWidth="1"/>
    <col min="8962" max="9216" width="9.140625" style="1716"/>
    <col min="9217" max="9217" width="100.7109375" style="1716" customWidth="1"/>
    <col min="9218" max="9472" width="9.140625" style="1716"/>
    <col min="9473" max="9473" width="100.7109375" style="1716" customWidth="1"/>
    <col min="9474" max="9728" width="9.140625" style="1716"/>
    <col min="9729" max="9729" width="100.7109375" style="1716" customWidth="1"/>
    <col min="9730" max="9984" width="9.140625" style="1716"/>
    <col min="9985" max="9985" width="100.7109375" style="1716" customWidth="1"/>
    <col min="9986" max="10240" width="9.140625" style="1716"/>
    <col min="10241" max="10241" width="100.7109375" style="1716" customWidth="1"/>
    <col min="10242" max="10496" width="9.140625" style="1716"/>
    <col min="10497" max="10497" width="100.7109375" style="1716" customWidth="1"/>
    <col min="10498" max="10752" width="9.140625" style="1716"/>
    <col min="10753" max="10753" width="100.7109375" style="1716" customWidth="1"/>
    <col min="10754" max="11008" width="9.140625" style="1716"/>
    <col min="11009" max="11009" width="100.7109375" style="1716" customWidth="1"/>
    <col min="11010" max="11264" width="9.140625" style="1716"/>
    <col min="11265" max="11265" width="100.7109375" style="1716" customWidth="1"/>
    <col min="11266" max="11520" width="9.140625" style="1716"/>
    <col min="11521" max="11521" width="100.7109375" style="1716" customWidth="1"/>
    <col min="11522" max="11776" width="9.140625" style="1716"/>
    <col min="11777" max="11777" width="100.7109375" style="1716" customWidth="1"/>
    <col min="11778" max="12032" width="9.140625" style="1716"/>
    <col min="12033" max="12033" width="100.7109375" style="1716" customWidth="1"/>
    <col min="12034" max="12288" width="9.140625" style="1716"/>
    <col min="12289" max="12289" width="100.7109375" style="1716" customWidth="1"/>
    <col min="12290" max="12544" width="9.140625" style="1716"/>
    <col min="12545" max="12545" width="100.7109375" style="1716" customWidth="1"/>
    <col min="12546" max="12800" width="9.140625" style="1716"/>
    <col min="12801" max="12801" width="100.7109375" style="1716" customWidth="1"/>
    <col min="12802" max="13056" width="9.140625" style="1716"/>
    <col min="13057" max="13057" width="100.7109375" style="1716" customWidth="1"/>
    <col min="13058" max="13312" width="9.140625" style="1716"/>
    <col min="13313" max="13313" width="100.7109375" style="1716" customWidth="1"/>
    <col min="13314" max="13568" width="9.140625" style="1716"/>
    <col min="13569" max="13569" width="100.7109375" style="1716" customWidth="1"/>
    <col min="13570" max="13824" width="9.140625" style="1716"/>
    <col min="13825" max="13825" width="100.7109375" style="1716" customWidth="1"/>
    <col min="13826" max="14080" width="9.140625" style="1716"/>
    <col min="14081" max="14081" width="100.7109375" style="1716" customWidth="1"/>
    <col min="14082" max="14336" width="9.140625" style="1716"/>
    <col min="14337" max="14337" width="100.7109375" style="1716" customWidth="1"/>
    <col min="14338" max="14592" width="9.140625" style="1716"/>
    <col min="14593" max="14593" width="100.7109375" style="1716" customWidth="1"/>
    <col min="14594" max="14848" width="9.140625" style="1716"/>
    <col min="14849" max="14849" width="100.7109375" style="1716" customWidth="1"/>
    <col min="14850" max="15104" width="9.140625" style="1716"/>
    <col min="15105" max="15105" width="100.7109375" style="1716" customWidth="1"/>
    <col min="15106" max="15360" width="9.140625" style="1716"/>
    <col min="15361" max="15361" width="100.7109375" style="1716" customWidth="1"/>
    <col min="15362" max="15616" width="9.140625" style="1716"/>
    <col min="15617" max="15617" width="100.7109375" style="1716" customWidth="1"/>
    <col min="15618" max="15872" width="9.140625" style="1716"/>
    <col min="15873" max="15873" width="100.7109375" style="1716" customWidth="1"/>
    <col min="15874" max="16128" width="9.140625" style="1716"/>
    <col min="16129" max="16129" width="100.7109375" style="1716" customWidth="1"/>
    <col min="16130" max="16384" width="9.140625" style="1716"/>
  </cols>
  <sheetData>
    <row r="1" spans="1:8" ht="30" customHeight="1" x14ac:dyDescent="0.2">
      <c r="A1" s="1714"/>
      <c r="B1" s="1715"/>
      <c r="C1" s="1715"/>
      <c r="D1" s="1715"/>
      <c r="E1" s="1715"/>
      <c r="F1" s="1715"/>
      <c r="G1" s="1715"/>
      <c r="H1" s="1715"/>
    </row>
    <row r="2" spans="1:8" ht="14.25" x14ac:dyDescent="0.2">
      <c r="A2" s="1717" t="s">
        <v>789</v>
      </c>
      <c r="B2" s="1715"/>
      <c r="C2" s="1715"/>
      <c r="D2" s="1715"/>
      <c r="E2" s="1715"/>
      <c r="F2" s="1715"/>
      <c r="G2" s="1715"/>
      <c r="H2" s="1715"/>
    </row>
    <row r="3" spans="1:8" ht="14.25" x14ac:dyDescent="0.2">
      <c r="A3" s="1717" t="s">
        <v>790</v>
      </c>
      <c r="B3" s="1715"/>
      <c r="C3" s="1715"/>
      <c r="D3" s="1715"/>
      <c r="E3" s="1715"/>
      <c r="F3" s="1715"/>
      <c r="G3" s="1715"/>
      <c r="H3" s="1715"/>
    </row>
    <row r="4" spans="1:8" ht="14.25" x14ac:dyDescent="0.2">
      <c r="A4" s="1717" t="s">
        <v>193</v>
      </c>
      <c r="B4" s="1715"/>
      <c r="C4" s="1715"/>
      <c r="D4" s="1715"/>
      <c r="E4" s="1715"/>
      <c r="F4" s="1715"/>
      <c r="G4" s="1715"/>
      <c r="H4" s="1715"/>
    </row>
    <row r="5" spans="1:8" ht="14.25" x14ac:dyDescent="0.2">
      <c r="A5" s="1717" t="s">
        <v>791</v>
      </c>
      <c r="B5" s="1715"/>
      <c r="C5" s="1715"/>
      <c r="D5" s="1715"/>
      <c r="E5" s="1715"/>
      <c r="F5" s="1715"/>
      <c r="G5" s="1715"/>
      <c r="H5" s="1715"/>
    </row>
    <row r="6" spans="1:8" ht="14.25" x14ac:dyDescent="0.2">
      <c r="A6" s="1717"/>
      <c r="B6" s="1715"/>
      <c r="C6" s="1715"/>
      <c r="D6" s="1715"/>
      <c r="E6" s="1715"/>
      <c r="F6" s="1715"/>
      <c r="G6" s="1715"/>
      <c r="H6" s="1715"/>
    </row>
    <row r="7" spans="1:8" x14ac:dyDescent="0.2">
      <c r="A7" s="1714" t="s">
        <v>792</v>
      </c>
      <c r="B7" s="1715"/>
      <c r="C7" s="1715"/>
      <c r="D7" s="1715"/>
      <c r="E7" s="1715"/>
      <c r="F7" s="1715"/>
      <c r="G7" s="1715"/>
      <c r="H7" s="1715"/>
    </row>
    <row r="8" spans="1:8" x14ac:dyDescent="0.2">
      <c r="A8" s="1714" t="s">
        <v>793</v>
      </c>
      <c r="B8" s="1715"/>
      <c r="C8" s="1715"/>
      <c r="D8" s="1715"/>
      <c r="E8" s="1715"/>
      <c r="F8" s="1715"/>
      <c r="G8" s="1715"/>
      <c r="H8" s="1715"/>
    </row>
    <row r="9" spans="1:8" x14ac:dyDescent="0.2">
      <c r="A9" s="1714"/>
      <c r="B9" s="1715"/>
      <c r="C9" s="1715"/>
      <c r="D9" s="1715"/>
      <c r="E9" s="1715"/>
      <c r="F9" s="1715"/>
      <c r="G9" s="1715"/>
      <c r="H9" s="1715"/>
    </row>
    <row r="10" spans="1:8" x14ac:dyDescent="0.2">
      <c r="A10" s="1718" t="s">
        <v>794</v>
      </c>
      <c r="B10" s="1715"/>
      <c r="C10" s="1715"/>
      <c r="D10" s="1715"/>
      <c r="E10" s="1715"/>
      <c r="F10" s="1715"/>
      <c r="G10" s="1715"/>
      <c r="H10" s="1715"/>
    </row>
    <row r="11" spans="1:8" x14ac:dyDescent="0.2">
      <c r="A11" s="1718" t="s">
        <v>795</v>
      </c>
      <c r="B11" s="1715"/>
      <c r="C11" s="1715"/>
      <c r="D11" s="1715"/>
      <c r="E11" s="1715"/>
      <c r="F11" s="1715"/>
      <c r="G11" s="1715"/>
      <c r="H11" s="1715"/>
    </row>
    <row r="12" spans="1:8" x14ac:dyDescent="0.2">
      <c r="A12" s="1718" t="s">
        <v>796</v>
      </c>
      <c r="B12" s="1715"/>
      <c r="C12" s="1715"/>
      <c r="D12" s="1715"/>
      <c r="E12" s="1715"/>
      <c r="F12" s="1715"/>
      <c r="G12" s="1715"/>
      <c r="H12" s="1715"/>
    </row>
    <row r="13" spans="1:8" x14ac:dyDescent="0.2">
      <c r="A13" s="1718" t="s">
        <v>797</v>
      </c>
      <c r="B13" s="1715"/>
      <c r="C13" s="1715"/>
      <c r="D13" s="1715"/>
      <c r="E13" s="1715"/>
      <c r="F13" s="1715"/>
      <c r="G13" s="1715"/>
      <c r="H13" s="1715"/>
    </row>
    <row r="14" spans="1:8" x14ac:dyDescent="0.2">
      <c r="A14" s="1718" t="s">
        <v>798</v>
      </c>
      <c r="B14" s="1715"/>
      <c r="C14" s="1715"/>
      <c r="D14" s="1715"/>
      <c r="E14" s="1715"/>
      <c r="F14" s="1715"/>
      <c r="G14" s="1715"/>
      <c r="H14" s="1715"/>
    </row>
    <row r="15" spans="1:8" x14ac:dyDescent="0.2">
      <c r="A15" s="1718" t="s">
        <v>799</v>
      </c>
      <c r="B15" s="1715"/>
      <c r="C15" s="1715"/>
      <c r="D15" s="1715"/>
      <c r="E15" s="1715"/>
      <c r="F15" s="1715"/>
      <c r="G15" s="1715"/>
      <c r="H15" s="1715"/>
    </row>
    <row r="16" spans="1:8" x14ac:dyDescent="0.2">
      <c r="A16" s="1718"/>
      <c r="B16" s="1715"/>
      <c r="C16" s="1715"/>
      <c r="D16" s="1715"/>
      <c r="E16" s="1715"/>
      <c r="F16" s="1715"/>
      <c r="G16" s="1715"/>
      <c r="H16" s="1715"/>
    </row>
    <row r="17" spans="1:8" x14ac:dyDescent="0.2">
      <c r="A17" s="1718" t="s">
        <v>786</v>
      </c>
      <c r="B17" s="1715"/>
      <c r="C17" s="1715"/>
      <c r="D17" s="1715"/>
      <c r="E17" s="1715"/>
      <c r="F17" s="1715"/>
      <c r="G17" s="1715"/>
      <c r="H17" s="1715"/>
    </row>
    <row r="18" spans="1:8" x14ac:dyDescent="0.2">
      <c r="A18" s="1718"/>
      <c r="B18" s="1715"/>
      <c r="C18" s="1715"/>
      <c r="D18" s="1715"/>
      <c r="E18" s="1715"/>
      <c r="F18" s="1715"/>
      <c r="G18" s="1715"/>
      <c r="H18" s="1715"/>
    </row>
    <row r="19" spans="1:8" x14ac:dyDescent="0.2">
      <c r="A19" s="1718" t="s">
        <v>787</v>
      </c>
      <c r="B19" s="1715"/>
      <c r="C19" s="1715"/>
      <c r="D19" s="1715"/>
      <c r="E19" s="1715"/>
      <c r="F19" s="1715"/>
      <c r="G19" s="1715"/>
      <c r="H19" s="1715"/>
    </row>
    <row r="20" spans="1:8" x14ac:dyDescent="0.2">
      <c r="A20" s="1714"/>
      <c r="B20" s="1715"/>
      <c r="C20" s="1715"/>
      <c r="D20" s="1715"/>
      <c r="E20" s="1715"/>
      <c r="F20" s="1715"/>
      <c r="G20" s="1715"/>
      <c r="H20" s="1715"/>
    </row>
    <row r="21" spans="1:8" x14ac:dyDescent="0.2">
      <c r="A21" s="1719" t="s">
        <v>788</v>
      </c>
      <c r="B21" s="1715"/>
      <c r="C21" s="1715"/>
      <c r="D21" s="1715"/>
      <c r="E21" s="1715"/>
      <c r="F21" s="1715"/>
      <c r="G21" s="1715"/>
      <c r="H21" s="1715"/>
    </row>
    <row r="22" spans="1:8" x14ac:dyDescent="0.2">
      <c r="A22" s="1720"/>
      <c r="B22" s="1720"/>
      <c r="C22" s="1720"/>
      <c r="D22" s="1720"/>
      <c r="E22" s="1720"/>
      <c r="F22" s="1720"/>
      <c r="G22" s="1720"/>
      <c r="H22" s="1720"/>
    </row>
    <row r="23" spans="1:8" x14ac:dyDescent="0.2">
      <c r="A23" s="1721" t="s">
        <v>1074</v>
      </c>
      <c r="B23" s="1720"/>
      <c r="C23" s="1720"/>
      <c r="D23" s="1720"/>
      <c r="E23" s="1720"/>
      <c r="F23" s="1720"/>
      <c r="G23" s="1720"/>
      <c r="H23" s="1720"/>
    </row>
    <row r="24" spans="1:8" x14ac:dyDescent="0.2">
      <c r="A24" s="1721" t="s">
        <v>1075</v>
      </c>
      <c r="B24" s="1720"/>
      <c r="C24" s="1720"/>
      <c r="D24" s="1720"/>
      <c r="E24" s="1720"/>
      <c r="F24" s="1720"/>
      <c r="G24" s="1720"/>
      <c r="H24" s="1720"/>
    </row>
    <row r="25" spans="1:8" x14ac:dyDescent="0.2">
      <c r="A25" s="1721" t="s">
        <v>1076</v>
      </c>
      <c r="B25" s="1720"/>
      <c r="C25" s="1720"/>
      <c r="D25" s="1720"/>
      <c r="E25" s="1720"/>
      <c r="F25" s="1720"/>
      <c r="G25" s="1720"/>
      <c r="H25" s="1720"/>
    </row>
    <row r="26" spans="1:8" x14ac:dyDescent="0.2">
      <c r="A26" s="1721" t="s">
        <v>1077</v>
      </c>
      <c r="B26" s="1720"/>
      <c r="C26" s="1720"/>
      <c r="D26" s="1720"/>
      <c r="E26" s="1720"/>
      <c r="F26" s="1720"/>
      <c r="G26" s="1720"/>
      <c r="H26" s="1720"/>
    </row>
    <row r="27" spans="1:8" x14ac:dyDescent="0.2">
      <c r="A27" s="1720"/>
      <c r="B27" s="1720"/>
      <c r="C27" s="1720"/>
      <c r="D27" s="1720"/>
      <c r="E27" s="1720"/>
      <c r="F27" s="1720"/>
      <c r="G27" s="1720"/>
      <c r="H27" s="1720"/>
    </row>
    <row r="28" spans="1:8" x14ac:dyDescent="0.2">
      <c r="A28" s="1720"/>
      <c r="B28" s="1720"/>
      <c r="C28" s="1720"/>
      <c r="D28" s="1720"/>
      <c r="E28" s="1720"/>
      <c r="F28" s="1720"/>
      <c r="G28" s="1720"/>
      <c r="H28" s="1720"/>
    </row>
    <row r="29" spans="1:8" x14ac:dyDescent="0.2">
      <c r="A29" s="1721" t="s">
        <v>1069</v>
      </c>
      <c r="B29" s="1720"/>
      <c r="C29" s="1720"/>
      <c r="D29" s="1720"/>
      <c r="E29" s="1720"/>
      <c r="F29" s="1720"/>
      <c r="G29" s="1720"/>
      <c r="H29" s="1720"/>
    </row>
    <row r="30" spans="1:8" x14ac:dyDescent="0.2">
      <c r="A30" s="1721" t="s">
        <v>1070</v>
      </c>
      <c r="B30" s="1720"/>
      <c r="C30" s="1720"/>
      <c r="D30" s="1720"/>
      <c r="E30" s="1720"/>
      <c r="F30" s="1720"/>
      <c r="G30" s="1720"/>
      <c r="H30" s="1720"/>
    </row>
    <row r="31" spans="1:8" x14ac:dyDescent="0.2">
      <c r="A31" s="1721" t="s">
        <v>1071</v>
      </c>
      <c r="B31" s="1720"/>
      <c r="C31" s="1720"/>
      <c r="D31" s="1720"/>
      <c r="E31" s="1720"/>
      <c r="F31" s="1720"/>
      <c r="G31" s="1720"/>
      <c r="H31" s="1720"/>
    </row>
    <row r="32" spans="1:8" x14ac:dyDescent="0.2">
      <c r="A32" s="1721" t="s">
        <v>1072</v>
      </c>
      <c r="B32" s="1720"/>
      <c r="C32" s="1720"/>
      <c r="D32" s="1720"/>
      <c r="E32" s="1720"/>
      <c r="F32" s="1720"/>
      <c r="G32" s="1720"/>
      <c r="H32" s="1720"/>
    </row>
    <row r="33" spans="1:8" x14ac:dyDescent="0.2">
      <c r="A33" s="1721" t="s">
        <v>1073</v>
      </c>
      <c r="B33" s="1720"/>
      <c r="C33" s="1720"/>
      <c r="D33" s="1720"/>
      <c r="E33" s="1720"/>
      <c r="F33" s="1720"/>
      <c r="G33" s="1720"/>
      <c r="H33" s="1720"/>
    </row>
    <row r="34" spans="1:8" x14ac:dyDescent="0.2">
      <c r="A34" s="1720"/>
      <c r="B34" s="1720"/>
      <c r="C34" s="1720"/>
      <c r="D34" s="1720"/>
      <c r="E34" s="1720"/>
      <c r="F34" s="1720"/>
      <c r="G34" s="1720"/>
      <c r="H34" s="1720"/>
    </row>
    <row r="35" spans="1:8" x14ac:dyDescent="0.2">
      <c r="A35" s="1721" t="s">
        <v>1065</v>
      </c>
      <c r="B35" s="1720"/>
      <c r="C35" s="1720"/>
      <c r="D35" s="1720"/>
      <c r="E35" s="1720"/>
      <c r="F35" s="1720"/>
      <c r="G35" s="1720"/>
      <c r="H35" s="1720"/>
    </row>
    <row r="36" spans="1:8" x14ac:dyDescent="0.2">
      <c r="A36" s="1721" t="s">
        <v>1066</v>
      </c>
      <c r="B36" s="1720"/>
      <c r="C36" s="1720"/>
      <c r="D36" s="1720"/>
      <c r="E36" s="1720"/>
      <c r="F36" s="1720"/>
      <c r="G36" s="1720"/>
      <c r="H36" s="1720"/>
    </row>
    <row r="37" spans="1:8" x14ac:dyDescent="0.2">
      <c r="A37" s="1721" t="s">
        <v>1067</v>
      </c>
      <c r="B37" s="1720"/>
      <c r="C37" s="1720"/>
      <c r="D37" s="1720"/>
      <c r="E37" s="1720"/>
      <c r="F37" s="1720"/>
      <c r="G37" s="1720"/>
      <c r="H37" s="1720"/>
    </row>
    <row r="38" spans="1:8" x14ac:dyDescent="0.2">
      <c r="A38" s="1721" t="s">
        <v>1068</v>
      </c>
      <c r="B38" s="1720"/>
      <c r="C38" s="1720"/>
      <c r="D38" s="1720"/>
      <c r="E38" s="1720"/>
      <c r="F38" s="1720"/>
      <c r="G38" s="1720"/>
      <c r="H38" s="1720"/>
    </row>
    <row r="39" spans="1:8" x14ac:dyDescent="0.2">
      <c r="A39" s="1720"/>
      <c r="B39" s="1720"/>
      <c r="C39" s="1720"/>
      <c r="D39" s="1720"/>
      <c r="E39" s="1720"/>
      <c r="F39" s="1720"/>
      <c r="G39" s="1720"/>
      <c r="H39" s="1720"/>
    </row>
    <row r="40" spans="1:8" x14ac:dyDescent="0.2">
      <c r="A40" s="1721" t="s">
        <v>1059</v>
      </c>
      <c r="B40" s="1720"/>
      <c r="C40" s="1720"/>
      <c r="D40" s="1720"/>
      <c r="E40" s="1720"/>
      <c r="F40" s="1720"/>
      <c r="G40" s="1720"/>
      <c r="H40" s="1720"/>
    </row>
    <row r="41" spans="1:8" x14ac:dyDescent="0.2">
      <c r="A41" s="1721" t="s">
        <v>1060</v>
      </c>
      <c r="B41" s="1720"/>
      <c r="C41" s="1720"/>
      <c r="D41" s="1720"/>
      <c r="E41" s="1720"/>
      <c r="F41" s="1720"/>
      <c r="G41" s="1720"/>
      <c r="H41" s="1720"/>
    </row>
    <row r="42" spans="1:8" x14ac:dyDescent="0.2">
      <c r="A42" s="1721" t="s">
        <v>1061</v>
      </c>
      <c r="B42" s="1720"/>
      <c r="C42" s="1720"/>
      <c r="D42" s="1720"/>
      <c r="E42" s="1720"/>
      <c r="F42" s="1720"/>
      <c r="G42" s="1720"/>
      <c r="H42" s="1720"/>
    </row>
    <row r="43" spans="1:8" x14ac:dyDescent="0.2">
      <c r="A43" s="1721" t="s">
        <v>1062</v>
      </c>
      <c r="B43" s="1720"/>
      <c r="C43" s="1720"/>
      <c r="D43" s="1720"/>
      <c r="E43" s="1720"/>
      <c r="F43" s="1720"/>
      <c r="G43" s="1720"/>
      <c r="H43" s="1720"/>
    </row>
    <row r="44" spans="1:8" x14ac:dyDescent="0.2">
      <c r="A44" s="1721" t="s">
        <v>1063</v>
      </c>
      <c r="B44" s="1720"/>
      <c r="C44" s="1720"/>
      <c r="D44" s="1720"/>
      <c r="E44" s="1720"/>
      <c r="F44" s="1720"/>
      <c r="G44" s="1720"/>
      <c r="H44" s="1720"/>
    </row>
    <row r="45" spans="1:8" x14ac:dyDescent="0.2">
      <c r="A45" s="1721" t="s">
        <v>1064</v>
      </c>
      <c r="B45" s="1720"/>
      <c r="C45" s="1720"/>
      <c r="D45" s="1720"/>
      <c r="E45" s="1720"/>
      <c r="F45" s="1720"/>
      <c r="G45" s="1720"/>
      <c r="H45" s="1720"/>
    </row>
    <row r="46" spans="1:8" x14ac:dyDescent="0.2">
      <c r="A46" s="1720"/>
      <c r="B46" s="1720"/>
      <c r="C46" s="1720"/>
      <c r="D46" s="1720"/>
      <c r="E46" s="1720"/>
      <c r="F46" s="1720"/>
      <c r="G46" s="1720"/>
      <c r="H46" s="1720"/>
    </row>
    <row r="47" spans="1:8" ht="15.75" x14ac:dyDescent="0.2">
      <c r="A47" s="1722" t="s">
        <v>800</v>
      </c>
      <c r="B47" s="1720"/>
      <c r="C47" s="1720"/>
      <c r="D47" s="1720"/>
      <c r="E47" s="1720"/>
      <c r="F47" s="1720"/>
      <c r="G47" s="1720"/>
      <c r="H47" s="1720"/>
    </row>
    <row r="48" spans="1:8" x14ac:dyDescent="0.2">
      <c r="A48" s="1720"/>
      <c r="B48" s="1720"/>
      <c r="C48" s="1720"/>
      <c r="D48" s="1720"/>
      <c r="E48" s="1720"/>
      <c r="F48" s="1720"/>
      <c r="G48" s="1720"/>
      <c r="H48" s="1720"/>
    </row>
    <row r="49" spans="1:8" x14ac:dyDescent="0.2">
      <c r="A49" s="1721" t="s">
        <v>1055</v>
      </c>
      <c r="B49" s="1720"/>
      <c r="C49" s="1720"/>
      <c r="D49" s="1720"/>
      <c r="E49" s="1720"/>
      <c r="F49" s="1720"/>
      <c r="G49" s="1720"/>
      <c r="H49" s="1720"/>
    </row>
    <row r="50" spans="1:8" x14ac:dyDescent="0.2">
      <c r="A50" s="1721" t="s">
        <v>1056</v>
      </c>
      <c r="B50" s="1720"/>
      <c r="C50" s="1720"/>
      <c r="D50" s="1720"/>
      <c r="E50" s="1720"/>
      <c r="F50" s="1720"/>
      <c r="G50" s="1720"/>
      <c r="H50" s="1720"/>
    </row>
    <row r="51" spans="1:8" x14ac:dyDescent="0.2">
      <c r="A51" s="1721" t="s">
        <v>1057</v>
      </c>
      <c r="B51" s="1720"/>
      <c r="C51" s="1720"/>
      <c r="D51" s="1720"/>
      <c r="E51" s="1720"/>
      <c r="F51" s="1720"/>
      <c r="G51" s="1720"/>
      <c r="H51" s="1720"/>
    </row>
    <row r="52" spans="1:8" x14ac:dyDescent="0.2">
      <c r="A52" s="1721" t="s">
        <v>1058</v>
      </c>
      <c r="B52" s="1720"/>
      <c r="C52" s="1720"/>
      <c r="D52" s="1720"/>
      <c r="E52" s="1720"/>
      <c r="F52" s="1720"/>
      <c r="G52" s="1720"/>
      <c r="H52" s="1720"/>
    </row>
    <row r="53" spans="1:8" x14ac:dyDescent="0.2">
      <c r="A53" s="1720"/>
      <c r="B53" s="1720"/>
      <c r="C53" s="1720"/>
      <c r="D53" s="1720"/>
      <c r="E53" s="1720"/>
      <c r="F53" s="1720"/>
      <c r="G53" s="1720"/>
      <c r="H53" s="1720"/>
    </row>
    <row r="54" spans="1:8" x14ac:dyDescent="0.2">
      <c r="A54" s="1721" t="s">
        <v>801</v>
      </c>
      <c r="B54" s="1720"/>
      <c r="C54" s="1720"/>
      <c r="D54" s="1720"/>
      <c r="E54" s="1720"/>
      <c r="F54" s="1720"/>
      <c r="G54" s="1720"/>
      <c r="H54" s="1720"/>
    </row>
    <row r="55" spans="1:8" x14ac:dyDescent="0.2">
      <c r="A55" s="1720"/>
      <c r="B55" s="1720"/>
      <c r="C55" s="1720"/>
      <c r="D55" s="1720"/>
      <c r="E55" s="1720"/>
      <c r="F55" s="1720"/>
      <c r="G55" s="1720"/>
      <c r="H55" s="1720"/>
    </row>
    <row r="56" spans="1:8" ht="15.75" x14ac:dyDescent="0.2">
      <c r="A56" s="1722" t="s">
        <v>802</v>
      </c>
      <c r="B56" s="1720"/>
      <c r="C56" s="1720"/>
      <c r="D56" s="1720"/>
      <c r="E56" s="1720"/>
      <c r="F56" s="1720"/>
      <c r="G56" s="1720"/>
      <c r="H56" s="1720"/>
    </row>
    <row r="57" spans="1:8" x14ac:dyDescent="0.2">
      <c r="A57" s="1720"/>
      <c r="B57" s="1720"/>
      <c r="C57" s="1720"/>
      <c r="D57" s="1720"/>
      <c r="E57" s="1720"/>
      <c r="F57" s="1720"/>
      <c r="G57" s="1720"/>
      <c r="H57" s="1720"/>
    </row>
    <row r="58" spans="1:8" x14ac:dyDescent="0.2">
      <c r="A58" s="1721" t="s">
        <v>1053</v>
      </c>
      <c r="B58" s="1720"/>
      <c r="C58" s="1720"/>
      <c r="D58" s="1720"/>
      <c r="E58" s="1720"/>
      <c r="F58" s="1720"/>
      <c r="G58" s="1720"/>
      <c r="H58" s="1720"/>
    </row>
    <row r="59" spans="1:8" x14ac:dyDescent="0.2">
      <c r="A59" s="1721" t="s">
        <v>1054</v>
      </c>
      <c r="B59" s="1720"/>
      <c r="C59" s="1720"/>
      <c r="D59" s="1720"/>
      <c r="E59" s="1720"/>
      <c r="F59" s="1720"/>
      <c r="G59" s="1720"/>
      <c r="H59" s="1720"/>
    </row>
    <row r="60" spans="1:8" x14ac:dyDescent="0.2">
      <c r="A60" s="1720"/>
      <c r="B60" s="1720"/>
      <c r="C60" s="1720"/>
      <c r="D60" s="1720"/>
      <c r="E60" s="1720"/>
      <c r="F60" s="1720"/>
      <c r="G60" s="1720"/>
      <c r="H60" s="1720"/>
    </row>
    <row r="61" spans="1:8" ht="15.75" x14ac:dyDescent="0.2">
      <c r="A61" s="1722" t="s">
        <v>803</v>
      </c>
      <c r="B61" s="1720"/>
      <c r="C61" s="1720"/>
      <c r="D61" s="1720"/>
      <c r="E61" s="1720"/>
      <c r="F61" s="1720"/>
      <c r="G61" s="1720"/>
      <c r="H61" s="1720"/>
    </row>
    <row r="62" spans="1:8" x14ac:dyDescent="0.2">
      <c r="A62" s="1720"/>
      <c r="B62" s="1720"/>
      <c r="C62" s="1720"/>
      <c r="D62" s="1720"/>
      <c r="E62" s="1720"/>
      <c r="F62" s="1720"/>
      <c r="G62" s="1720"/>
      <c r="H62" s="1720"/>
    </row>
    <row r="63" spans="1:8" x14ac:dyDescent="0.2">
      <c r="A63" s="1721" t="s">
        <v>1051</v>
      </c>
      <c r="B63" s="1720"/>
      <c r="C63" s="1720"/>
      <c r="D63" s="1720"/>
      <c r="E63" s="1720"/>
      <c r="F63" s="1720"/>
      <c r="G63" s="1720"/>
      <c r="H63" s="1720"/>
    </row>
    <row r="64" spans="1:8" x14ac:dyDescent="0.2">
      <c r="A64" s="1721" t="s">
        <v>1052</v>
      </c>
      <c r="B64" s="1720"/>
      <c r="C64" s="1720"/>
      <c r="D64" s="1720"/>
      <c r="E64" s="1720"/>
      <c r="F64" s="1720"/>
      <c r="G64" s="1720"/>
      <c r="H64" s="1720"/>
    </row>
    <row r="65" spans="1:8" x14ac:dyDescent="0.2">
      <c r="A65" s="1720"/>
      <c r="B65" s="1720"/>
      <c r="C65" s="1720"/>
      <c r="D65" s="1720"/>
      <c r="E65" s="1720"/>
      <c r="F65" s="1720"/>
      <c r="G65" s="1720"/>
      <c r="H65" s="1720"/>
    </row>
    <row r="66" spans="1:8" x14ac:dyDescent="0.2">
      <c r="A66" s="1721" t="s">
        <v>1049</v>
      </c>
      <c r="B66" s="1720"/>
      <c r="C66" s="1720"/>
      <c r="D66" s="1720"/>
      <c r="E66" s="1720"/>
      <c r="F66" s="1720"/>
      <c r="G66" s="1720"/>
      <c r="H66" s="1720"/>
    </row>
    <row r="67" spans="1:8" x14ac:dyDescent="0.2">
      <c r="A67" s="1721" t="s">
        <v>1050</v>
      </c>
      <c r="B67" s="1720"/>
      <c r="C67" s="1720"/>
      <c r="D67" s="1720"/>
      <c r="E67" s="1720"/>
      <c r="F67" s="1720"/>
      <c r="G67" s="1720"/>
      <c r="H67" s="1720"/>
    </row>
    <row r="68" spans="1:8" x14ac:dyDescent="0.2">
      <c r="A68" s="1720"/>
      <c r="B68" s="1720"/>
      <c r="C68" s="1720"/>
      <c r="D68" s="1720"/>
      <c r="E68" s="1720"/>
      <c r="F68" s="1720"/>
      <c r="G68" s="1720"/>
      <c r="H68" s="1720"/>
    </row>
    <row r="69" spans="1:8" x14ac:dyDescent="0.2">
      <c r="A69" s="1721" t="s">
        <v>1046</v>
      </c>
      <c r="B69" s="1720"/>
      <c r="C69" s="1720"/>
      <c r="D69" s="1720"/>
      <c r="E69" s="1720"/>
      <c r="F69" s="1720"/>
      <c r="G69" s="1720"/>
      <c r="H69" s="1720"/>
    </row>
    <row r="70" spans="1:8" x14ac:dyDescent="0.2">
      <c r="A70" s="1721" t="s">
        <v>1047</v>
      </c>
      <c r="B70" s="1720"/>
      <c r="C70" s="1720"/>
      <c r="D70" s="1720"/>
      <c r="E70" s="1720"/>
      <c r="F70" s="1720"/>
      <c r="G70" s="1720"/>
      <c r="H70" s="1720"/>
    </row>
    <row r="71" spans="1:8" x14ac:dyDescent="0.2">
      <c r="A71" s="1721" t="s">
        <v>1048</v>
      </c>
      <c r="B71" s="1720"/>
      <c r="C71" s="1720"/>
      <c r="D71" s="1720"/>
      <c r="E71" s="1720"/>
      <c r="F71" s="1720"/>
      <c r="G71" s="1720"/>
      <c r="H71" s="1720"/>
    </row>
    <row r="72" spans="1:8" x14ac:dyDescent="0.2">
      <c r="A72" s="1720"/>
      <c r="B72" s="1720"/>
      <c r="C72" s="1720"/>
      <c r="D72" s="1720"/>
      <c r="E72" s="1720"/>
      <c r="F72" s="1720"/>
      <c r="G72" s="1720"/>
      <c r="H72" s="1720"/>
    </row>
    <row r="73" spans="1:8" x14ac:dyDescent="0.2">
      <c r="A73" s="1721" t="s">
        <v>804</v>
      </c>
      <c r="B73" s="1720"/>
      <c r="C73" s="1720"/>
      <c r="D73" s="1720"/>
      <c r="E73" s="1720"/>
      <c r="F73" s="1720"/>
      <c r="G73" s="1720"/>
      <c r="H73" s="1720"/>
    </row>
    <row r="74" spans="1:8" x14ac:dyDescent="0.2">
      <c r="A74" s="1720"/>
      <c r="B74" s="1720"/>
      <c r="C74" s="1720"/>
      <c r="D74" s="1720"/>
      <c r="E74" s="1720"/>
      <c r="F74" s="1720"/>
      <c r="G74" s="1720"/>
      <c r="H74" s="1720"/>
    </row>
    <row r="75" spans="1:8" x14ac:dyDescent="0.2">
      <c r="A75" s="1721" t="s">
        <v>1041</v>
      </c>
      <c r="B75" s="1720"/>
      <c r="C75" s="1720"/>
      <c r="D75" s="1720"/>
      <c r="E75" s="1720"/>
      <c r="F75" s="1720"/>
      <c r="G75" s="1720"/>
      <c r="H75" s="1720"/>
    </row>
    <row r="76" spans="1:8" x14ac:dyDescent="0.2">
      <c r="A76" s="1721" t="s">
        <v>1042</v>
      </c>
      <c r="B76" s="1720"/>
      <c r="C76" s="1720"/>
      <c r="D76" s="1720"/>
      <c r="E76" s="1720"/>
      <c r="F76" s="1720"/>
      <c r="G76" s="1720"/>
      <c r="H76" s="1720"/>
    </row>
    <row r="77" spans="1:8" x14ac:dyDescent="0.2">
      <c r="A77" s="1721" t="s">
        <v>1043</v>
      </c>
      <c r="B77" s="1720"/>
      <c r="C77" s="1720"/>
      <c r="D77" s="1720"/>
      <c r="E77" s="1720"/>
      <c r="F77" s="1720"/>
      <c r="G77" s="1720"/>
      <c r="H77" s="1720"/>
    </row>
    <row r="78" spans="1:8" x14ac:dyDescent="0.2">
      <c r="A78" s="1721" t="s">
        <v>1044</v>
      </c>
      <c r="B78" s="1720"/>
      <c r="C78" s="1720"/>
      <c r="D78" s="1720"/>
      <c r="E78" s="1720"/>
      <c r="F78" s="1720"/>
      <c r="G78" s="1720"/>
      <c r="H78" s="1720"/>
    </row>
    <row r="79" spans="1:8" x14ac:dyDescent="0.2">
      <c r="A79" s="1721" t="s">
        <v>1045</v>
      </c>
      <c r="B79" s="1720"/>
      <c r="C79" s="1720"/>
      <c r="D79" s="1720"/>
      <c r="E79" s="1720"/>
      <c r="F79" s="1720"/>
      <c r="G79" s="1720"/>
      <c r="H79" s="1720"/>
    </row>
    <row r="80" spans="1:8" x14ac:dyDescent="0.2">
      <c r="A80" s="1721" t="s">
        <v>930</v>
      </c>
      <c r="B80" s="1720"/>
      <c r="C80" s="1720"/>
      <c r="D80" s="1720"/>
      <c r="E80" s="1720"/>
      <c r="F80" s="1720"/>
      <c r="G80" s="1720"/>
      <c r="H80" s="1720"/>
    </row>
    <row r="81" spans="1:8" x14ac:dyDescent="0.2">
      <c r="A81" s="1720"/>
      <c r="B81" s="1720"/>
      <c r="C81" s="1720"/>
      <c r="D81" s="1720"/>
      <c r="E81" s="1720"/>
      <c r="F81" s="1720"/>
      <c r="G81" s="1720"/>
      <c r="H81" s="1720"/>
    </row>
    <row r="82" spans="1:8" x14ac:dyDescent="0.2">
      <c r="A82" s="1721" t="s">
        <v>1034</v>
      </c>
      <c r="B82" s="1720"/>
      <c r="C82" s="1720"/>
      <c r="D82" s="1720"/>
      <c r="E82" s="1720"/>
      <c r="F82" s="1720"/>
      <c r="G82" s="1720"/>
      <c r="H82" s="1720"/>
    </row>
    <row r="83" spans="1:8" x14ac:dyDescent="0.2">
      <c r="A83" s="1721" t="s">
        <v>1035</v>
      </c>
      <c r="B83" s="1720"/>
      <c r="C83" s="1720"/>
      <c r="D83" s="1720"/>
      <c r="E83" s="1720"/>
      <c r="F83" s="1720"/>
      <c r="G83" s="1720"/>
      <c r="H83" s="1720"/>
    </row>
    <row r="84" spans="1:8" x14ac:dyDescent="0.2">
      <c r="A84" s="1721" t="s">
        <v>1036</v>
      </c>
      <c r="B84" s="1720"/>
      <c r="C84" s="1720"/>
      <c r="D84" s="1720"/>
      <c r="E84" s="1720"/>
      <c r="F84" s="1720"/>
      <c r="G84" s="1720"/>
      <c r="H84" s="1720"/>
    </row>
    <row r="85" spans="1:8" x14ac:dyDescent="0.2">
      <c r="A85" s="1721" t="s">
        <v>1037</v>
      </c>
      <c r="B85" s="1720"/>
      <c r="C85" s="1720"/>
      <c r="D85" s="1720"/>
      <c r="E85" s="1720"/>
      <c r="F85" s="1720"/>
      <c r="G85" s="1720"/>
      <c r="H85" s="1720"/>
    </row>
    <row r="86" spans="1:8" x14ac:dyDescent="0.2">
      <c r="A86" s="1721" t="s">
        <v>1038</v>
      </c>
      <c r="B86" s="1720"/>
      <c r="C86" s="1720"/>
      <c r="D86" s="1720"/>
      <c r="E86" s="1720"/>
      <c r="F86" s="1720"/>
      <c r="G86" s="1720"/>
      <c r="H86" s="1720"/>
    </row>
    <row r="87" spans="1:8" x14ac:dyDescent="0.2">
      <c r="A87" s="1721" t="s">
        <v>1039</v>
      </c>
      <c r="B87" s="1720"/>
      <c r="C87" s="1720"/>
      <c r="D87" s="1720"/>
      <c r="E87" s="1720"/>
      <c r="F87" s="1720"/>
      <c r="G87" s="1720"/>
      <c r="H87" s="1720"/>
    </row>
    <row r="88" spans="1:8" x14ac:dyDescent="0.2">
      <c r="A88" s="1721" t="s">
        <v>1040</v>
      </c>
      <c r="B88" s="1720"/>
      <c r="C88" s="1720"/>
      <c r="D88" s="1720"/>
      <c r="E88" s="1720"/>
      <c r="F88" s="1720"/>
      <c r="G88" s="1720"/>
      <c r="H88" s="1720"/>
    </row>
    <row r="89" spans="1:8" x14ac:dyDescent="0.2">
      <c r="A89" s="1720"/>
      <c r="B89" s="1720"/>
      <c r="C89" s="1720"/>
      <c r="D89" s="1720"/>
      <c r="E89" s="1720"/>
      <c r="F89" s="1720"/>
      <c r="G89" s="1720"/>
      <c r="H89" s="1720"/>
    </row>
    <row r="90" spans="1:8" x14ac:dyDescent="0.2">
      <c r="A90" s="1721" t="s">
        <v>1032</v>
      </c>
      <c r="B90" s="1720"/>
      <c r="C90" s="1720"/>
      <c r="D90" s="1720"/>
      <c r="E90" s="1720"/>
      <c r="F90" s="1720"/>
      <c r="G90" s="1720"/>
      <c r="H90" s="1720"/>
    </row>
    <row r="91" spans="1:8" x14ac:dyDescent="0.2">
      <c r="A91" s="1721" t="s">
        <v>1033</v>
      </c>
      <c r="B91" s="1720"/>
      <c r="C91" s="1720"/>
      <c r="D91" s="1720"/>
      <c r="E91" s="1720"/>
      <c r="F91" s="1720"/>
      <c r="G91" s="1720"/>
      <c r="H91" s="1720"/>
    </row>
    <row r="92" spans="1:8" x14ac:dyDescent="0.2">
      <c r="A92" s="1720"/>
      <c r="B92" s="1720"/>
      <c r="C92" s="1720"/>
      <c r="D92" s="1720"/>
      <c r="E92" s="1720"/>
      <c r="F92" s="1720"/>
      <c r="G92" s="1720"/>
      <c r="H92" s="1720"/>
    </row>
    <row r="93" spans="1:8" ht="15.75" x14ac:dyDescent="0.2">
      <c r="A93" s="1722" t="s">
        <v>805</v>
      </c>
      <c r="B93" s="1720"/>
      <c r="C93" s="1720"/>
      <c r="D93" s="1720"/>
      <c r="E93" s="1720"/>
      <c r="F93" s="1720"/>
      <c r="G93" s="1720"/>
      <c r="H93" s="1720"/>
    </row>
    <row r="94" spans="1:8" x14ac:dyDescent="0.2">
      <c r="A94" s="1720"/>
      <c r="B94" s="1720"/>
      <c r="C94" s="1720"/>
      <c r="D94" s="1720"/>
      <c r="E94" s="1720"/>
      <c r="F94" s="1720"/>
      <c r="G94" s="1720"/>
      <c r="H94" s="1720"/>
    </row>
    <row r="95" spans="1:8" x14ac:dyDescent="0.2">
      <c r="A95" s="1721" t="s">
        <v>1023</v>
      </c>
      <c r="B95" s="1720"/>
      <c r="C95" s="1720"/>
      <c r="D95" s="1720"/>
      <c r="E95" s="1720"/>
      <c r="F95" s="1720"/>
      <c r="G95" s="1720"/>
      <c r="H95" s="1720"/>
    </row>
    <row r="96" spans="1:8" x14ac:dyDescent="0.2">
      <c r="A96" s="1721" t="s">
        <v>1024</v>
      </c>
      <c r="B96" s="1720"/>
      <c r="C96" s="1720"/>
      <c r="D96" s="1720"/>
      <c r="E96" s="1720"/>
      <c r="F96" s="1720"/>
      <c r="G96" s="1720"/>
      <c r="H96" s="1720"/>
    </row>
    <row r="97" spans="1:8" x14ac:dyDescent="0.2">
      <c r="A97" s="1721" t="s">
        <v>1025</v>
      </c>
      <c r="B97" s="1720"/>
      <c r="C97" s="1720"/>
      <c r="D97" s="1720"/>
      <c r="E97" s="1720"/>
      <c r="F97" s="1720"/>
      <c r="G97" s="1720"/>
      <c r="H97" s="1720"/>
    </row>
    <row r="98" spans="1:8" x14ac:dyDescent="0.2">
      <c r="A98" s="1721" t="s">
        <v>1026</v>
      </c>
      <c r="B98" s="1720"/>
      <c r="C98" s="1720"/>
      <c r="D98" s="1720"/>
      <c r="E98" s="1720"/>
      <c r="F98" s="1720"/>
      <c r="G98" s="1720"/>
      <c r="H98" s="1720"/>
    </row>
    <row r="99" spans="1:8" x14ac:dyDescent="0.2">
      <c r="A99" s="1721" t="s">
        <v>1027</v>
      </c>
      <c r="B99" s="1720"/>
      <c r="C99" s="1720"/>
      <c r="D99" s="1720"/>
      <c r="E99" s="1720"/>
      <c r="F99" s="1720"/>
      <c r="G99" s="1720"/>
      <c r="H99" s="1720"/>
    </row>
    <row r="100" spans="1:8" x14ac:dyDescent="0.2">
      <c r="A100" s="1721" t="s">
        <v>1028</v>
      </c>
      <c r="B100" s="1720"/>
      <c r="C100" s="1720"/>
      <c r="D100" s="1720"/>
      <c r="E100" s="1720"/>
      <c r="F100" s="1720"/>
      <c r="G100" s="1720"/>
      <c r="H100" s="1720"/>
    </row>
    <row r="101" spans="1:8" x14ac:dyDescent="0.2">
      <c r="A101" s="1721" t="s">
        <v>1029</v>
      </c>
      <c r="B101" s="1720"/>
      <c r="C101" s="1720"/>
      <c r="D101" s="1720"/>
      <c r="E101" s="1720"/>
      <c r="F101" s="1720"/>
      <c r="G101" s="1720"/>
      <c r="H101" s="1720"/>
    </row>
    <row r="102" spans="1:8" x14ac:dyDescent="0.2">
      <c r="A102" s="1721" t="s">
        <v>1030</v>
      </c>
      <c r="B102" s="1720"/>
      <c r="C102" s="1720"/>
      <c r="D102" s="1720"/>
      <c r="E102" s="1720"/>
      <c r="F102" s="1720"/>
      <c r="G102" s="1720"/>
      <c r="H102" s="1720"/>
    </row>
    <row r="103" spans="1:8" x14ac:dyDescent="0.2">
      <c r="A103" s="1721" t="s">
        <v>1031</v>
      </c>
      <c r="B103" s="1720"/>
      <c r="C103" s="1720"/>
      <c r="D103" s="1720"/>
      <c r="E103" s="1720"/>
      <c r="F103" s="1720"/>
      <c r="G103" s="1720"/>
      <c r="H103" s="1720"/>
    </row>
    <row r="104" spans="1:8" x14ac:dyDescent="0.2">
      <c r="A104" s="1720"/>
      <c r="B104" s="1720"/>
      <c r="C104" s="1720"/>
      <c r="D104" s="1720"/>
      <c r="E104" s="1720"/>
      <c r="F104" s="1720"/>
      <c r="G104" s="1720"/>
      <c r="H104" s="1720"/>
    </row>
    <row r="105" spans="1:8" ht="15.75" x14ac:dyDescent="0.2">
      <c r="A105" s="1723" t="s">
        <v>806</v>
      </c>
      <c r="B105" s="1723"/>
      <c r="C105" s="1723"/>
      <c r="D105" s="1723"/>
      <c r="E105" s="1723"/>
      <c r="F105" s="1723"/>
      <c r="G105" s="1723"/>
      <c r="H105" s="1723"/>
    </row>
    <row r="106" spans="1:8" x14ac:dyDescent="0.2">
      <c r="A106" s="1724" t="s">
        <v>807</v>
      </c>
      <c r="B106" s="1724"/>
      <c r="C106" s="1724"/>
      <c r="D106" s="1724"/>
      <c r="E106" s="1724"/>
      <c r="F106" s="1724"/>
      <c r="G106" s="1724"/>
      <c r="H106" s="1724"/>
    </row>
    <row r="107" spans="1:8" x14ac:dyDescent="0.2">
      <c r="A107" s="1725"/>
      <c r="B107" s="1725"/>
      <c r="C107" s="1725"/>
      <c r="D107" s="1725"/>
      <c r="E107" s="1725"/>
      <c r="F107" s="1725"/>
      <c r="G107" s="1725"/>
      <c r="H107" s="1725"/>
    </row>
    <row r="108" spans="1:8" x14ac:dyDescent="0.2">
      <c r="A108" s="1724" t="s">
        <v>1021</v>
      </c>
      <c r="B108" s="1724"/>
      <c r="C108" s="1724"/>
      <c r="D108" s="1724"/>
      <c r="E108" s="1724"/>
      <c r="F108" s="1724"/>
      <c r="G108" s="1724"/>
      <c r="H108" s="1724"/>
    </row>
    <row r="109" spans="1:8" x14ac:dyDescent="0.2">
      <c r="A109" s="1721" t="s">
        <v>1022</v>
      </c>
      <c r="B109" s="1721"/>
      <c r="C109" s="1721"/>
      <c r="D109" s="1721"/>
      <c r="E109" s="1721"/>
      <c r="F109" s="1721"/>
      <c r="G109" s="1721"/>
      <c r="H109" s="1721"/>
    </row>
    <row r="110" spans="1:8" x14ac:dyDescent="0.2">
      <c r="A110" s="1725"/>
      <c r="B110" s="1725"/>
      <c r="C110" s="1725"/>
      <c r="D110" s="1725"/>
      <c r="E110" s="1725"/>
      <c r="F110" s="1725"/>
      <c r="G110" s="1725"/>
      <c r="H110" s="1725"/>
    </row>
    <row r="111" spans="1:8" x14ac:dyDescent="0.2">
      <c r="A111" s="1724" t="s">
        <v>1014</v>
      </c>
      <c r="B111" s="1724"/>
      <c r="C111" s="1724"/>
      <c r="D111" s="1724"/>
      <c r="E111" s="1724"/>
      <c r="F111" s="1724"/>
      <c r="G111" s="1724"/>
      <c r="H111" s="1724"/>
    </row>
    <row r="112" spans="1:8" x14ac:dyDescent="0.2">
      <c r="A112" s="1721" t="s">
        <v>1015</v>
      </c>
      <c r="B112" s="1721"/>
      <c r="C112" s="1721"/>
      <c r="D112" s="1721"/>
      <c r="E112" s="1721"/>
      <c r="F112" s="1721"/>
      <c r="G112" s="1721"/>
      <c r="H112" s="1721"/>
    </row>
    <row r="113" spans="1:8" x14ac:dyDescent="0.2">
      <c r="A113" s="1721" t="s">
        <v>1016</v>
      </c>
      <c r="B113" s="1721"/>
      <c r="C113" s="1721"/>
      <c r="D113" s="1721"/>
      <c r="E113" s="1721"/>
      <c r="F113" s="1721"/>
      <c r="G113" s="1721"/>
      <c r="H113" s="1721"/>
    </row>
    <row r="114" spans="1:8" x14ac:dyDescent="0.2">
      <c r="A114" s="1721" t="s">
        <v>1017</v>
      </c>
      <c r="B114" s="1721"/>
      <c r="C114" s="1721"/>
      <c r="D114" s="1721"/>
      <c r="E114" s="1721"/>
      <c r="F114" s="1721"/>
      <c r="G114" s="1721"/>
      <c r="H114" s="1721"/>
    </row>
    <row r="115" spans="1:8" x14ac:dyDescent="0.2">
      <c r="A115" s="1721" t="s">
        <v>1018</v>
      </c>
      <c r="B115" s="1721"/>
      <c r="C115" s="1721"/>
      <c r="D115" s="1721"/>
      <c r="E115" s="1721"/>
      <c r="F115" s="1721"/>
      <c r="G115" s="1721"/>
      <c r="H115" s="1721"/>
    </row>
    <row r="116" spans="1:8" x14ac:dyDescent="0.2">
      <c r="A116" s="1721" t="s">
        <v>1019</v>
      </c>
      <c r="B116" s="1721"/>
      <c r="C116" s="1721"/>
      <c r="D116" s="1721"/>
      <c r="E116" s="1721"/>
      <c r="F116" s="1721"/>
      <c r="G116" s="1721"/>
      <c r="H116" s="1721"/>
    </row>
    <row r="117" spans="1:8" x14ac:dyDescent="0.2">
      <c r="A117" s="1721" t="s">
        <v>1020</v>
      </c>
      <c r="B117" s="1721"/>
      <c r="C117" s="1721"/>
      <c r="D117" s="1721"/>
      <c r="E117" s="1721"/>
      <c r="F117" s="1721"/>
      <c r="G117" s="1721"/>
      <c r="H117" s="1721"/>
    </row>
    <row r="118" spans="1:8" x14ac:dyDescent="0.2">
      <c r="A118" s="1726"/>
      <c r="B118" s="1726"/>
      <c r="C118" s="1726"/>
      <c r="D118" s="1726"/>
      <c r="E118" s="1726"/>
      <c r="F118" s="1726"/>
      <c r="G118" s="1726"/>
      <c r="H118" s="1726"/>
    </row>
    <row r="119" spans="1:8" x14ac:dyDescent="0.2">
      <c r="A119" s="1727"/>
      <c r="B119" s="1728" t="s">
        <v>808</v>
      </c>
      <c r="C119" s="1729"/>
      <c r="D119" s="1728" t="s">
        <v>809</v>
      </c>
      <c r="E119" s="1730"/>
      <c r="F119" s="1729"/>
      <c r="G119" s="1728" t="s">
        <v>810</v>
      </c>
      <c r="H119" s="1729"/>
    </row>
    <row r="120" spans="1:8" x14ac:dyDescent="0.2">
      <c r="A120" s="1727" t="s">
        <v>811</v>
      </c>
      <c r="B120" s="1727" t="s">
        <v>227</v>
      </c>
      <c r="C120" s="1727" t="s">
        <v>812</v>
      </c>
      <c r="D120" s="1727" t="s">
        <v>227</v>
      </c>
      <c r="E120" s="1727" t="s">
        <v>813</v>
      </c>
      <c r="F120" s="1727" t="s">
        <v>814</v>
      </c>
      <c r="G120" s="1727" t="s">
        <v>227</v>
      </c>
      <c r="H120" s="1727" t="s">
        <v>815</v>
      </c>
    </row>
    <row r="121" spans="1:8" x14ac:dyDescent="0.2">
      <c r="A121" s="1727" t="s">
        <v>816</v>
      </c>
      <c r="B121" s="1727">
        <v>1189</v>
      </c>
      <c r="C121" s="1731">
        <v>0.38</v>
      </c>
      <c r="D121" s="1727">
        <v>315</v>
      </c>
      <c r="E121" s="1731">
        <v>0.41</v>
      </c>
      <c r="F121" s="1731">
        <v>0.26</v>
      </c>
      <c r="G121" s="1727">
        <v>555</v>
      </c>
      <c r="H121" s="1731">
        <v>0.39</v>
      </c>
    </row>
    <row r="122" spans="1:8" x14ac:dyDescent="0.2">
      <c r="A122" s="1727" t="s">
        <v>817</v>
      </c>
      <c r="B122" s="1727">
        <v>1355</v>
      </c>
      <c r="C122" s="1731">
        <v>0.43</v>
      </c>
      <c r="D122" s="1727">
        <v>364</v>
      </c>
      <c r="E122" s="1731">
        <v>0.47</v>
      </c>
      <c r="F122" s="1731">
        <v>0.27</v>
      </c>
      <c r="G122" s="1727">
        <v>644</v>
      </c>
      <c r="H122" s="1731">
        <v>0.45</v>
      </c>
    </row>
    <row r="123" spans="1:8" x14ac:dyDescent="0.2">
      <c r="A123" s="1727" t="s">
        <v>818</v>
      </c>
      <c r="B123" s="1727">
        <v>53</v>
      </c>
      <c r="C123" s="1731">
        <v>0.02</v>
      </c>
      <c r="D123" s="1727">
        <v>4</v>
      </c>
      <c r="E123" s="1731">
        <v>0.01</v>
      </c>
      <c r="F123" s="1731">
        <v>0.08</v>
      </c>
      <c r="G123" s="1727">
        <v>7</v>
      </c>
      <c r="H123" s="1731">
        <v>0</v>
      </c>
    </row>
    <row r="124" spans="1:8" x14ac:dyDescent="0.2">
      <c r="A124" s="1727" t="s">
        <v>819</v>
      </c>
      <c r="B124" s="1727">
        <v>545</v>
      </c>
      <c r="C124" s="1731">
        <v>0.17</v>
      </c>
      <c r="D124" s="1727">
        <v>84</v>
      </c>
      <c r="E124" s="1731">
        <v>0.11</v>
      </c>
      <c r="F124" s="1731">
        <v>0.15</v>
      </c>
      <c r="G124" s="1727">
        <v>214</v>
      </c>
      <c r="H124" s="1731">
        <v>0.15</v>
      </c>
    </row>
    <row r="125" spans="1:8" x14ac:dyDescent="0.2">
      <c r="A125" s="1727" t="s">
        <v>30</v>
      </c>
      <c r="B125" s="1732">
        <v>3142</v>
      </c>
      <c r="C125" s="1727"/>
      <c r="D125" s="1727">
        <v>767</v>
      </c>
      <c r="E125" s="1727"/>
      <c r="F125" s="1727"/>
      <c r="G125" s="1727">
        <v>1420</v>
      </c>
      <c r="H125" s="1727"/>
    </row>
    <row r="126" spans="1:8" x14ac:dyDescent="0.2">
      <c r="A126" s="1733"/>
      <c r="B126" s="1733"/>
      <c r="C126" s="1733"/>
      <c r="D126" s="1733"/>
      <c r="E126" s="1733"/>
      <c r="F126" s="1733"/>
      <c r="G126" s="1733"/>
      <c r="H126" s="1733"/>
    </row>
    <row r="127" spans="1:8" x14ac:dyDescent="0.2">
      <c r="A127" s="1724" t="s">
        <v>1010</v>
      </c>
      <c r="B127" s="1724"/>
      <c r="C127" s="1724"/>
      <c r="D127" s="1724"/>
      <c r="E127" s="1724"/>
      <c r="F127" s="1724"/>
      <c r="G127" s="1724"/>
      <c r="H127" s="1724"/>
    </row>
    <row r="128" spans="1:8" x14ac:dyDescent="0.2">
      <c r="A128" s="1721" t="s">
        <v>1011</v>
      </c>
      <c r="B128" s="1721"/>
      <c r="C128" s="1721"/>
      <c r="D128" s="1721"/>
      <c r="E128" s="1721"/>
      <c r="F128" s="1721"/>
      <c r="G128" s="1721"/>
      <c r="H128" s="1721"/>
    </row>
    <row r="129" spans="1:8" x14ac:dyDescent="0.2">
      <c r="A129" s="1721" t="s">
        <v>1012</v>
      </c>
      <c r="B129" s="1721"/>
      <c r="C129" s="1721"/>
      <c r="D129" s="1721"/>
      <c r="E129" s="1721"/>
      <c r="F129" s="1721"/>
      <c r="G129" s="1721"/>
      <c r="H129" s="1721"/>
    </row>
    <row r="130" spans="1:8" x14ac:dyDescent="0.2">
      <c r="A130" s="1721" t="s">
        <v>1013</v>
      </c>
      <c r="B130" s="1721"/>
      <c r="C130" s="1721"/>
      <c r="D130" s="1721"/>
      <c r="E130" s="1721"/>
      <c r="F130" s="1721"/>
      <c r="G130" s="1721"/>
      <c r="H130" s="1721"/>
    </row>
    <row r="131" spans="1:8" x14ac:dyDescent="0.2">
      <c r="A131" s="1720"/>
      <c r="B131" s="1720"/>
      <c r="C131" s="1720"/>
      <c r="D131" s="1720"/>
      <c r="E131" s="1720"/>
      <c r="F131" s="1720"/>
      <c r="G131" s="1720"/>
      <c r="H131" s="1720"/>
    </row>
    <row r="132" spans="1:8" ht="15.75" x14ac:dyDescent="0.2">
      <c r="A132" s="1722" t="s">
        <v>820</v>
      </c>
      <c r="B132" s="1720"/>
      <c r="C132" s="1720"/>
      <c r="D132" s="1720"/>
      <c r="E132" s="1720"/>
      <c r="F132" s="1720"/>
      <c r="G132" s="1720"/>
      <c r="H132" s="1720"/>
    </row>
    <row r="133" spans="1:8" x14ac:dyDescent="0.2">
      <c r="A133" s="1720"/>
      <c r="B133" s="1720"/>
      <c r="C133" s="1720"/>
      <c r="D133" s="1720"/>
      <c r="E133" s="1720"/>
      <c r="F133" s="1720"/>
      <c r="G133" s="1720"/>
      <c r="H133" s="1720"/>
    </row>
    <row r="134" spans="1:8" x14ac:dyDescent="0.2">
      <c r="A134" s="1721" t="s">
        <v>1008</v>
      </c>
      <c r="B134" s="1720"/>
      <c r="C134" s="1720"/>
      <c r="D134" s="1720"/>
      <c r="E134" s="1720"/>
      <c r="F134" s="1720"/>
      <c r="G134" s="1720"/>
      <c r="H134" s="1720"/>
    </row>
    <row r="135" spans="1:8" x14ac:dyDescent="0.2">
      <c r="A135" s="1721" t="s">
        <v>1009</v>
      </c>
      <c r="B135" s="1720"/>
      <c r="C135" s="1720"/>
      <c r="D135" s="1720"/>
      <c r="E135" s="1720"/>
      <c r="F135" s="1720"/>
      <c r="G135" s="1720"/>
      <c r="H135" s="1720"/>
    </row>
    <row r="136" spans="1:8" x14ac:dyDescent="0.2">
      <c r="A136" s="1720"/>
      <c r="B136" s="1720"/>
      <c r="C136" s="1720"/>
      <c r="D136" s="1720"/>
      <c r="E136" s="1720"/>
      <c r="F136" s="1720"/>
      <c r="G136" s="1720"/>
      <c r="H136" s="1720"/>
    </row>
    <row r="137" spans="1:8" x14ac:dyDescent="0.2">
      <c r="A137" s="1721" t="s">
        <v>1005</v>
      </c>
      <c r="B137" s="1720"/>
      <c r="C137" s="1720"/>
      <c r="D137" s="1720"/>
      <c r="E137" s="1720"/>
      <c r="F137" s="1720"/>
      <c r="G137" s="1720"/>
      <c r="H137" s="1720"/>
    </row>
    <row r="138" spans="1:8" x14ac:dyDescent="0.2">
      <c r="A138" s="1721" t="s">
        <v>1006</v>
      </c>
      <c r="B138" s="1720"/>
      <c r="C138" s="1720"/>
      <c r="D138" s="1720"/>
      <c r="E138" s="1720"/>
      <c r="F138" s="1720"/>
      <c r="G138" s="1720"/>
      <c r="H138" s="1720"/>
    </row>
    <row r="139" spans="1:8" x14ac:dyDescent="0.2">
      <c r="A139" s="1721" t="s">
        <v>1007</v>
      </c>
      <c r="B139" s="1720"/>
      <c r="C139" s="1720"/>
      <c r="D139" s="1720"/>
      <c r="E139" s="1720"/>
      <c r="F139" s="1720"/>
      <c r="G139" s="1720"/>
      <c r="H139" s="1720"/>
    </row>
    <row r="140" spans="1:8" x14ac:dyDescent="0.2">
      <c r="A140" s="1720"/>
      <c r="B140" s="1720"/>
      <c r="C140" s="1720"/>
      <c r="D140" s="1720"/>
      <c r="E140" s="1720"/>
      <c r="F140" s="1720"/>
      <c r="G140" s="1720"/>
      <c r="H140" s="1720"/>
    </row>
    <row r="141" spans="1:8" x14ac:dyDescent="0.2">
      <c r="A141" s="1721" t="s">
        <v>1002</v>
      </c>
      <c r="B141" s="1720"/>
      <c r="C141" s="1720"/>
      <c r="D141" s="1720"/>
      <c r="E141" s="1720"/>
      <c r="F141" s="1720"/>
      <c r="G141" s="1720"/>
      <c r="H141" s="1720"/>
    </row>
    <row r="142" spans="1:8" x14ac:dyDescent="0.2">
      <c r="A142" s="1721" t="s">
        <v>1003</v>
      </c>
      <c r="B142" s="1720"/>
      <c r="C142" s="1720"/>
      <c r="D142" s="1720"/>
      <c r="E142" s="1720"/>
      <c r="F142" s="1720"/>
      <c r="G142" s="1720"/>
      <c r="H142" s="1720"/>
    </row>
    <row r="143" spans="1:8" x14ac:dyDescent="0.2">
      <c r="A143" s="1721" t="s">
        <v>1004</v>
      </c>
      <c r="B143" s="1720"/>
      <c r="C143" s="1720"/>
      <c r="D143" s="1720"/>
      <c r="E143" s="1720"/>
      <c r="F143" s="1720"/>
      <c r="G143" s="1720"/>
      <c r="H143" s="1720"/>
    </row>
    <row r="144" spans="1:8" x14ac:dyDescent="0.2">
      <c r="A144" s="1720"/>
      <c r="B144" s="1720"/>
      <c r="C144" s="1720"/>
      <c r="D144" s="1720"/>
      <c r="E144" s="1720"/>
      <c r="F144" s="1720"/>
      <c r="G144" s="1720"/>
      <c r="H144" s="1720"/>
    </row>
    <row r="145" spans="1:8" x14ac:dyDescent="0.2">
      <c r="A145" s="1721" t="s">
        <v>999</v>
      </c>
      <c r="B145" s="1720"/>
      <c r="C145" s="1720"/>
      <c r="D145" s="1720"/>
      <c r="E145" s="1720"/>
      <c r="F145" s="1720"/>
      <c r="G145" s="1720"/>
      <c r="H145" s="1720"/>
    </row>
    <row r="146" spans="1:8" x14ac:dyDescent="0.2">
      <c r="A146" s="1721" t="s">
        <v>1000</v>
      </c>
      <c r="B146" s="1720"/>
      <c r="C146" s="1720"/>
      <c r="D146" s="1720"/>
      <c r="E146" s="1720"/>
      <c r="F146" s="1720"/>
      <c r="G146" s="1720"/>
      <c r="H146" s="1720"/>
    </row>
    <row r="147" spans="1:8" x14ac:dyDescent="0.2">
      <c r="A147" s="1721" t="s">
        <v>1001</v>
      </c>
      <c r="B147" s="1720"/>
      <c r="C147" s="1720"/>
      <c r="D147" s="1720"/>
      <c r="E147" s="1720"/>
      <c r="F147" s="1720"/>
      <c r="G147" s="1720"/>
      <c r="H147" s="1720"/>
    </row>
    <row r="148" spans="1:8" x14ac:dyDescent="0.2">
      <c r="A148" s="1720"/>
      <c r="B148" s="1720"/>
      <c r="C148" s="1720"/>
      <c r="D148" s="1720"/>
      <c r="E148" s="1720"/>
      <c r="F148" s="1720"/>
      <c r="G148" s="1720"/>
      <c r="H148" s="1720"/>
    </row>
    <row r="149" spans="1:8" x14ac:dyDescent="0.2">
      <c r="A149" s="1721" t="s">
        <v>997</v>
      </c>
      <c r="B149" s="1720"/>
      <c r="C149" s="1720"/>
      <c r="D149" s="1720"/>
      <c r="E149" s="1720"/>
      <c r="F149" s="1720"/>
      <c r="G149" s="1720"/>
      <c r="H149" s="1720"/>
    </row>
    <row r="150" spans="1:8" x14ac:dyDescent="0.2">
      <c r="A150" s="1721" t="s">
        <v>998</v>
      </c>
      <c r="B150" s="1720"/>
      <c r="C150" s="1720"/>
      <c r="D150" s="1720"/>
      <c r="E150" s="1720"/>
      <c r="F150" s="1720"/>
      <c r="G150" s="1720"/>
      <c r="H150" s="1720"/>
    </row>
    <row r="151" spans="1:8" x14ac:dyDescent="0.2">
      <c r="A151" s="1720"/>
      <c r="B151" s="1720"/>
      <c r="C151" s="1720"/>
      <c r="D151" s="1720"/>
      <c r="E151" s="1720"/>
      <c r="F151" s="1720"/>
      <c r="G151" s="1720"/>
      <c r="H151" s="1720"/>
    </row>
    <row r="152" spans="1:8" ht="15.75" x14ac:dyDescent="0.2">
      <c r="A152" s="1722" t="s">
        <v>821</v>
      </c>
      <c r="B152" s="1720"/>
      <c r="C152" s="1720"/>
      <c r="D152" s="1720"/>
      <c r="E152" s="1720"/>
      <c r="F152" s="1720"/>
      <c r="G152" s="1720"/>
      <c r="H152" s="1720"/>
    </row>
    <row r="153" spans="1:8" x14ac:dyDescent="0.2">
      <c r="A153" s="1720"/>
      <c r="B153" s="1720"/>
      <c r="C153" s="1720"/>
      <c r="D153" s="1720"/>
      <c r="E153" s="1720"/>
      <c r="F153" s="1720"/>
      <c r="G153" s="1720"/>
      <c r="H153" s="1720"/>
    </row>
    <row r="154" spans="1:8" x14ac:dyDescent="0.2">
      <c r="A154" s="1721" t="s">
        <v>995</v>
      </c>
      <c r="B154" s="1720"/>
      <c r="C154" s="1720"/>
      <c r="D154" s="1720"/>
      <c r="E154" s="1720"/>
      <c r="F154" s="1720"/>
      <c r="G154" s="1720"/>
      <c r="H154" s="1720"/>
    </row>
    <row r="155" spans="1:8" x14ac:dyDescent="0.2">
      <c r="A155" s="1721" t="s">
        <v>996</v>
      </c>
      <c r="B155" s="1720"/>
      <c r="C155" s="1720"/>
      <c r="D155" s="1720"/>
      <c r="E155" s="1720"/>
      <c r="F155" s="1720"/>
      <c r="G155" s="1720"/>
      <c r="H155" s="1720"/>
    </row>
    <row r="156" spans="1:8" x14ac:dyDescent="0.2">
      <c r="A156" s="1720"/>
      <c r="B156" s="1720"/>
      <c r="C156" s="1720"/>
      <c r="D156" s="1720"/>
      <c r="E156" s="1720"/>
      <c r="F156" s="1720"/>
      <c r="G156" s="1720"/>
      <c r="H156" s="1720"/>
    </row>
    <row r="157" spans="1:8" x14ac:dyDescent="0.2">
      <c r="A157" s="1721" t="s">
        <v>993</v>
      </c>
      <c r="B157" s="1720"/>
      <c r="C157" s="1720"/>
      <c r="D157" s="1720"/>
      <c r="E157" s="1720"/>
      <c r="F157" s="1720"/>
      <c r="G157" s="1720"/>
      <c r="H157" s="1720"/>
    </row>
    <row r="158" spans="1:8" x14ac:dyDescent="0.2">
      <c r="A158" s="1721" t="s">
        <v>994</v>
      </c>
      <c r="B158" s="1720"/>
      <c r="C158" s="1720"/>
      <c r="D158" s="1720"/>
      <c r="E158" s="1720"/>
      <c r="F158" s="1720"/>
      <c r="G158" s="1720"/>
      <c r="H158" s="1720"/>
    </row>
    <row r="159" spans="1:8" x14ac:dyDescent="0.2">
      <c r="A159" s="1720"/>
      <c r="B159" s="1720"/>
      <c r="C159" s="1720"/>
      <c r="D159" s="1720"/>
      <c r="E159" s="1720"/>
      <c r="F159" s="1720"/>
      <c r="G159" s="1720"/>
      <c r="H159" s="1720"/>
    </row>
    <row r="160" spans="1:8" x14ac:dyDescent="0.2">
      <c r="A160" s="1721" t="s">
        <v>991</v>
      </c>
      <c r="B160" s="1720"/>
      <c r="C160" s="1720"/>
      <c r="D160" s="1720"/>
      <c r="E160" s="1720"/>
      <c r="F160" s="1720"/>
      <c r="G160" s="1720"/>
      <c r="H160" s="1720"/>
    </row>
    <row r="161" spans="1:8" x14ac:dyDescent="0.2">
      <c r="A161" s="1721" t="s">
        <v>992</v>
      </c>
      <c r="B161" s="1720"/>
      <c r="C161" s="1720"/>
      <c r="D161" s="1720"/>
      <c r="E161" s="1720"/>
      <c r="F161" s="1720"/>
      <c r="G161" s="1720"/>
      <c r="H161" s="1720"/>
    </row>
    <row r="162" spans="1:8" x14ac:dyDescent="0.2">
      <c r="A162" s="1720"/>
      <c r="B162" s="1720"/>
      <c r="C162" s="1720"/>
      <c r="D162" s="1720"/>
      <c r="E162" s="1720"/>
      <c r="F162" s="1720"/>
      <c r="G162" s="1720"/>
      <c r="H162" s="1720"/>
    </row>
    <row r="163" spans="1:8" x14ac:dyDescent="0.2">
      <c r="A163" s="1721" t="s">
        <v>988</v>
      </c>
      <c r="B163" s="1720"/>
      <c r="C163" s="1720"/>
      <c r="D163" s="1720"/>
      <c r="E163" s="1720"/>
      <c r="F163" s="1720"/>
      <c r="G163" s="1720"/>
      <c r="H163" s="1720"/>
    </row>
    <row r="164" spans="1:8" x14ac:dyDescent="0.2">
      <c r="A164" s="1721" t="s">
        <v>989</v>
      </c>
      <c r="B164" s="1720"/>
      <c r="C164" s="1720"/>
      <c r="D164" s="1720"/>
      <c r="E164" s="1720"/>
      <c r="F164" s="1720"/>
      <c r="G164" s="1720"/>
      <c r="H164" s="1720"/>
    </row>
    <row r="165" spans="1:8" x14ac:dyDescent="0.2">
      <c r="A165" s="1721" t="s">
        <v>990</v>
      </c>
      <c r="B165" s="1720"/>
      <c r="C165" s="1720"/>
      <c r="D165" s="1720"/>
      <c r="E165" s="1720"/>
      <c r="F165" s="1720"/>
      <c r="G165" s="1720"/>
      <c r="H165" s="1720"/>
    </row>
    <row r="166" spans="1:8" x14ac:dyDescent="0.2">
      <c r="A166" s="1720"/>
      <c r="B166" s="1720"/>
      <c r="C166" s="1720"/>
      <c r="D166" s="1720"/>
      <c r="E166" s="1720"/>
      <c r="F166" s="1720"/>
      <c r="G166" s="1720"/>
      <c r="H166" s="1720"/>
    </row>
    <row r="167" spans="1:8" x14ac:dyDescent="0.2">
      <c r="A167" s="1720"/>
      <c r="B167" s="1720"/>
      <c r="C167" s="1720"/>
      <c r="D167" s="1720"/>
      <c r="E167" s="1720"/>
      <c r="F167" s="1720"/>
      <c r="G167" s="1720"/>
      <c r="H167" s="1720"/>
    </row>
    <row r="168" spans="1:8" x14ac:dyDescent="0.2">
      <c r="A168" s="1721" t="s">
        <v>822</v>
      </c>
      <c r="B168" s="1720"/>
      <c r="C168" s="1720"/>
      <c r="D168" s="1720"/>
      <c r="E168" s="1720"/>
      <c r="F168" s="1720"/>
      <c r="G168" s="1720"/>
      <c r="H168" s="1720"/>
    </row>
    <row r="169" spans="1:8" x14ac:dyDescent="0.2">
      <c r="A169" s="1720"/>
      <c r="B169" s="1720"/>
      <c r="C169" s="1720"/>
      <c r="D169" s="1720"/>
      <c r="E169" s="1720"/>
      <c r="F169" s="1720"/>
      <c r="G169" s="1720"/>
      <c r="H169" s="1720"/>
    </row>
    <row r="170" spans="1:8" ht="15.75" x14ac:dyDescent="0.2">
      <c r="A170" s="1722" t="s">
        <v>823</v>
      </c>
      <c r="B170" s="1720"/>
      <c r="C170" s="1720"/>
      <c r="D170" s="1720"/>
      <c r="E170" s="1720"/>
      <c r="F170" s="1720"/>
      <c r="G170" s="1720"/>
      <c r="H170" s="1720"/>
    </row>
    <row r="171" spans="1:8" x14ac:dyDescent="0.2">
      <c r="A171" s="1720"/>
      <c r="B171" s="1720"/>
      <c r="C171" s="1720"/>
      <c r="D171" s="1720"/>
      <c r="E171" s="1720"/>
      <c r="F171" s="1720"/>
      <c r="G171" s="1720"/>
      <c r="H171" s="1720"/>
    </row>
    <row r="172" spans="1:8" x14ac:dyDescent="0.2">
      <c r="A172" s="1720"/>
      <c r="B172" s="1720"/>
      <c r="C172" s="1720"/>
      <c r="D172" s="1720"/>
      <c r="E172" s="1720"/>
      <c r="F172" s="1720"/>
      <c r="G172" s="1720"/>
      <c r="H172" s="1720"/>
    </row>
    <row r="173" spans="1:8" x14ac:dyDescent="0.2">
      <c r="A173" s="1720"/>
      <c r="B173" s="1720"/>
      <c r="C173" s="1720"/>
      <c r="D173" s="1720"/>
      <c r="E173" s="1720"/>
      <c r="F173" s="1720"/>
      <c r="G173" s="1720"/>
      <c r="H173" s="1720"/>
    </row>
    <row r="174" spans="1:8" x14ac:dyDescent="0.2">
      <c r="A174" s="1720"/>
      <c r="B174" s="1720"/>
      <c r="C174" s="1720"/>
      <c r="D174" s="1720"/>
      <c r="E174" s="1720"/>
      <c r="F174" s="1720"/>
      <c r="G174" s="1720"/>
      <c r="H174" s="1720"/>
    </row>
    <row r="175" spans="1:8" x14ac:dyDescent="0.2">
      <c r="A175" s="1720"/>
      <c r="B175" s="1720"/>
      <c r="C175" s="1720"/>
      <c r="D175" s="1720"/>
      <c r="E175" s="1720"/>
      <c r="F175" s="1720"/>
      <c r="G175" s="1720"/>
      <c r="H175" s="1720"/>
    </row>
    <row r="176" spans="1:8" x14ac:dyDescent="0.2">
      <c r="A176" s="1720"/>
      <c r="B176" s="1720"/>
      <c r="C176" s="1720"/>
      <c r="D176" s="1720"/>
      <c r="E176" s="1720"/>
      <c r="F176" s="1720"/>
      <c r="G176" s="1720"/>
      <c r="H176" s="1720"/>
    </row>
    <row r="177" spans="1:8" x14ac:dyDescent="0.2">
      <c r="A177" s="1720"/>
      <c r="B177" s="1720"/>
      <c r="C177" s="1720"/>
      <c r="D177" s="1720"/>
      <c r="E177" s="1720"/>
      <c r="F177" s="1720"/>
      <c r="G177" s="1720"/>
      <c r="H177" s="1720"/>
    </row>
    <row r="178" spans="1:8" x14ac:dyDescent="0.2">
      <c r="A178" s="1720"/>
      <c r="B178" s="1720"/>
      <c r="C178" s="1720"/>
      <c r="D178" s="1720"/>
      <c r="E178" s="1720"/>
      <c r="F178" s="1720"/>
      <c r="G178" s="1720"/>
      <c r="H178" s="1720"/>
    </row>
    <row r="179" spans="1:8" x14ac:dyDescent="0.2">
      <c r="A179" s="1720"/>
      <c r="B179" s="1720"/>
      <c r="C179" s="1720"/>
      <c r="D179" s="1720"/>
      <c r="E179" s="1720"/>
      <c r="F179" s="1720"/>
      <c r="G179" s="1720"/>
      <c r="H179" s="1720"/>
    </row>
    <row r="180" spans="1:8" x14ac:dyDescent="0.2">
      <c r="A180" s="1720"/>
      <c r="B180" s="1720"/>
      <c r="C180" s="1720"/>
      <c r="D180" s="1720"/>
      <c r="E180" s="1720"/>
      <c r="F180" s="1720"/>
      <c r="G180" s="1720"/>
      <c r="H180" s="1720"/>
    </row>
    <row r="181" spans="1:8" x14ac:dyDescent="0.2">
      <c r="A181" s="1720"/>
      <c r="B181" s="1720"/>
      <c r="C181" s="1720"/>
      <c r="D181" s="1720"/>
      <c r="E181" s="1720"/>
      <c r="F181" s="1720"/>
      <c r="G181" s="1720"/>
      <c r="H181" s="1720"/>
    </row>
    <row r="182" spans="1:8" x14ac:dyDescent="0.2">
      <c r="A182" s="1720"/>
      <c r="B182" s="1720"/>
      <c r="C182" s="1720"/>
      <c r="D182" s="1720"/>
      <c r="E182" s="1720"/>
      <c r="F182" s="1720"/>
      <c r="G182" s="1720"/>
      <c r="H182" s="1720"/>
    </row>
    <row r="183" spans="1:8" x14ac:dyDescent="0.2">
      <c r="A183" s="1720"/>
      <c r="B183" s="1720"/>
      <c r="C183" s="1720"/>
      <c r="D183" s="1720"/>
      <c r="E183" s="1720"/>
      <c r="F183" s="1720"/>
      <c r="G183" s="1720"/>
      <c r="H183" s="1720"/>
    </row>
    <row r="184" spans="1:8" x14ac:dyDescent="0.2">
      <c r="A184" s="1720"/>
      <c r="B184" s="1720"/>
      <c r="C184" s="1720"/>
      <c r="D184" s="1720"/>
      <c r="E184" s="1720"/>
      <c r="F184" s="1720"/>
      <c r="G184" s="1720"/>
      <c r="H184" s="1720"/>
    </row>
    <row r="185" spans="1:8" x14ac:dyDescent="0.2">
      <c r="A185" s="1720"/>
      <c r="B185" s="1720"/>
      <c r="C185" s="1720"/>
      <c r="D185" s="1720"/>
      <c r="E185" s="1720"/>
      <c r="F185" s="1720"/>
      <c r="G185" s="1720"/>
      <c r="H185" s="1720"/>
    </row>
    <row r="186" spans="1:8" x14ac:dyDescent="0.2">
      <c r="A186" s="1720"/>
      <c r="B186" s="1720"/>
      <c r="C186" s="1720"/>
      <c r="D186" s="1720"/>
      <c r="E186" s="1720"/>
      <c r="F186" s="1720"/>
      <c r="G186" s="1720"/>
      <c r="H186" s="1720"/>
    </row>
    <row r="187" spans="1:8" x14ac:dyDescent="0.2">
      <c r="A187" s="1720"/>
      <c r="B187" s="1720"/>
      <c r="C187" s="1720"/>
      <c r="D187" s="1720"/>
      <c r="E187" s="1720"/>
      <c r="F187" s="1720"/>
      <c r="G187" s="1720"/>
      <c r="H187" s="1720"/>
    </row>
    <row r="188" spans="1:8" x14ac:dyDescent="0.2">
      <c r="A188" s="1720"/>
      <c r="B188" s="1720"/>
      <c r="C188" s="1720"/>
      <c r="D188" s="1720"/>
      <c r="E188" s="1720"/>
      <c r="F188" s="1720"/>
      <c r="G188" s="1720"/>
      <c r="H188" s="1720"/>
    </row>
    <row r="189" spans="1:8" x14ac:dyDescent="0.2">
      <c r="A189" s="1720"/>
      <c r="B189" s="1720"/>
      <c r="C189" s="1720"/>
      <c r="D189" s="1720"/>
      <c r="E189" s="1720"/>
      <c r="F189" s="1720"/>
      <c r="G189" s="1720"/>
      <c r="H189" s="1720"/>
    </row>
    <row r="190" spans="1:8" x14ac:dyDescent="0.2">
      <c r="A190" s="1720"/>
      <c r="B190" s="1720"/>
      <c r="C190" s="1720"/>
      <c r="D190" s="1720"/>
      <c r="E190" s="1720"/>
      <c r="F190" s="1720"/>
      <c r="G190" s="1720"/>
      <c r="H190" s="1720"/>
    </row>
    <row r="191" spans="1:8" x14ac:dyDescent="0.2">
      <c r="A191" s="1720"/>
      <c r="B191" s="1720"/>
      <c r="C191" s="1720"/>
      <c r="D191" s="1720"/>
      <c r="E191" s="1720"/>
      <c r="F191" s="1720"/>
      <c r="G191" s="1720"/>
      <c r="H191" s="1720"/>
    </row>
    <row r="192" spans="1:8" x14ac:dyDescent="0.2">
      <c r="A192" s="1720"/>
      <c r="B192" s="1720"/>
      <c r="C192" s="1720"/>
      <c r="D192" s="1720"/>
      <c r="E192" s="1720"/>
      <c r="F192" s="1720"/>
      <c r="G192" s="1720"/>
      <c r="H192" s="1720"/>
    </row>
    <row r="193" spans="1:8" x14ac:dyDescent="0.2">
      <c r="A193" s="1720"/>
      <c r="B193" s="1720"/>
      <c r="C193" s="1720"/>
      <c r="D193" s="1720"/>
      <c r="E193" s="1720"/>
      <c r="F193" s="1720"/>
      <c r="G193" s="1720"/>
      <c r="H193" s="1720"/>
    </row>
    <row r="194" spans="1:8" x14ac:dyDescent="0.2">
      <c r="A194" s="1720"/>
      <c r="B194" s="1720"/>
      <c r="C194" s="1720"/>
      <c r="D194" s="1720"/>
      <c r="E194" s="1720"/>
      <c r="F194" s="1720"/>
      <c r="G194" s="1720"/>
      <c r="H194" s="1720"/>
    </row>
    <row r="195" spans="1:8" x14ac:dyDescent="0.2">
      <c r="A195" s="1720"/>
      <c r="B195" s="1720"/>
      <c r="C195" s="1720"/>
      <c r="D195" s="1720"/>
      <c r="E195" s="1720"/>
      <c r="F195" s="1720"/>
      <c r="G195" s="1720"/>
      <c r="H195" s="1720"/>
    </row>
    <row r="196" spans="1:8" x14ac:dyDescent="0.2">
      <c r="A196" s="1720"/>
      <c r="B196" s="1720"/>
      <c r="C196" s="1720"/>
      <c r="D196" s="1720"/>
      <c r="E196" s="1720"/>
      <c r="F196" s="1720"/>
      <c r="G196" s="1720"/>
      <c r="H196" s="1720"/>
    </row>
    <row r="197" spans="1:8" ht="15.75" x14ac:dyDescent="0.2">
      <c r="A197" s="1722" t="s">
        <v>824</v>
      </c>
      <c r="B197" s="1720"/>
      <c r="C197" s="1720"/>
      <c r="D197" s="1720"/>
      <c r="E197" s="1720"/>
      <c r="F197" s="1720"/>
      <c r="G197" s="1720"/>
      <c r="H197" s="1720"/>
    </row>
    <row r="198" spans="1:8" x14ac:dyDescent="0.2">
      <c r="A198" s="1720"/>
      <c r="B198" s="1720"/>
      <c r="C198" s="1720"/>
      <c r="D198" s="1720"/>
      <c r="E198" s="1720"/>
      <c r="F198" s="1720"/>
      <c r="G198" s="1720"/>
      <c r="H198" s="1720"/>
    </row>
    <row r="199" spans="1:8" x14ac:dyDescent="0.2">
      <c r="A199" s="1721" t="s">
        <v>983</v>
      </c>
      <c r="B199" s="1720"/>
      <c r="C199" s="1720"/>
      <c r="D199" s="1720"/>
      <c r="E199" s="1720"/>
      <c r="F199" s="1720"/>
      <c r="G199" s="1720"/>
      <c r="H199" s="1720"/>
    </row>
    <row r="200" spans="1:8" x14ac:dyDescent="0.2">
      <c r="A200" s="1721" t="s">
        <v>984</v>
      </c>
      <c r="B200" s="1720"/>
      <c r="C200" s="1720"/>
      <c r="D200" s="1720"/>
      <c r="E200" s="1720"/>
      <c r="F200" s="1720"/>
      <c r="G200" s="1720"/>
      <c r="H200" s="1720"/>
    </row>
    <row r="201" spans="1:8" x14ac:dyDescent="0.2">
      <c r="A201" s="1721" t="s">
        <v>985</v>
      </c>
      <c r="B201" s="1720"/>
      <c r="C201" s="1720"/>
      <c r="D201" s="1720"/>
      <c r="E201" s="1720"/>
      <c r="F201" s="1720"/>
      <c r="G201" s="1720"/>
      <c r="H201" s="1720"/>
    </row>
    <row r="202" spans="1:8" x14ac:dyDescent="0.2">
      <c r="A202" s="1721" t="s">
        <v>986</v>
      </c>
      <c r="B202" s="1720"/>
      <c r="C202" s="1720"/>
      <c r="D202" s="1720"/>
      <c r="E202" s="1720"/>
      <c r="F202" s="1720"/>
      <c r="G202" s="1720"/>
      <c r="H202" s="1720"/>
    </row>
    <row r="203" spans="1:8" x14ac:dyDescent="0.2">
      <c r="A203" s="1721" t="s">
        <v>987</v>
      </c>
      <c r="B203" s="1720"/>
      <c r="C203" s="1720"/>
      <c r="D203" s="1720"/>
      <c r="E203" s="1720"/>
      <c r="F203" s="1720"/>
      <c r="G203" s="1720"/>
      <c r="H203" s="1720"/>
    </row>
    <row r="204" spans="1:8" x14ac:dyDescent="0.2">
      <c r="A204" s="1720"/>
      <c r="B204" s="1720"/>
      <c r="C204" s="1720"/>
      <c r="D204" s="1720"/>
      <c r="E204" s="1720"/>
      <c r="F204" s="1720"/>
      <c r="G204" s="1720"/>
      <c r="H204" s="1720"/>
    </row>
    <row r="205" spans="1:8" x14ac:dyDescent="0.2">
      <c r="A205" s="1721" t="s">
        <v>980</v>
      </c>
      <c r="B205" s="1720"/>
      <c r="C205" s="1720"/>
      <c r="D205" s="1720"/>
      <c r="E205" s="1720"/>
      <c r="F205" s="1720"/>
      <c r="G205" s="1720"/>
      <c r="H205" s="1720"/>
    </row>
    <row r="206" spans="1:8" x14ac:dyDescent="0.2">
      <c r="A206" s="1721" t="s">
        <v>981</v>
      </c>
      <c r="B206" s="1720"/>
      <c r="C206" s="1720"/>
      <c r="D206" s="1720"/>
      <c r="E206" s="1720"/>
      <c r="F206" s="1720"/>
      <c r="G206" s="1720"/>
      <c r="H206" s="1720"/>
    </row>
    <row r="207" spans="1:8" x14ac:dyDescent="0.2">
      <c r="A207" s="1721" t="s">
        <v>982</v>
      </c>
      <c r="B207" s="1720"/>
      <c r="C207" s="1720"/>
      <c r="D207" s="1720"/>
      <c r="E207" s="1720"/>
      <c r="F207" s="1720"/>
      <c r="G207" s="1720"/>
      <c r="H207" s="1720"/>
    </row>
    <row r="208" spans="1:8" ht="15.75" x14ac:dyDescent="0.2">
      <c r="A208" s="1722" t="s">
        <v>825</v>
      </c>
      <c r="B208" s="1720"/>
      <c r="C208" s="1720"/>
      <c r="D208" s="1720"/>
      <c r="E208" s="1720"/>
      <c r="F208" s="1720"/>
      <c r="G208" s="1720"/>
      <c r="H208" s="1720"/>
    </row>
    <row r="209" spans="1:8" x14ac:dyDescent="0.2">
      <c r="A209" s="1720"/>
      <c r="B209" s="1720"/>
      <c r="C209" s="1720"/>
      <c r="D209" s="1720"/>
      <c r="E209" s="1720"/>
      <c r="F209" s="1720"/>
      <c r="G209" s="1720"/>
      <c r="H209" s="1720"/>
    </row>
    <row r="210" spans="1:8" x14ac:dyDescent="0.2">
      <c r="A210" s="1721" t="s">
        <v>973</v>
      </c>
      <c r="B210" s="1720"/>
      <c r="C210" s="1720"/>
      <c r="D210" s="1720"/>
      <c r="E210" s="1720"/>
      <c r="F210" s="1720"/>
      <c r="G210" s="1720"/>
      <c r="H210" s="1720"/>
    </row>
    <row r="211" spans="1:8" x14ac:dyDescent="0.2">
      <c r="A211" s="1721" t="s">
        <v>974</v>
      </c>
      <c r="B211" s="1720"/>
      <c r="C211" s="1720"/>
      <c r="D211" s="1720"/>
      <c r="E211" s="1720"/>
      <c r="F211" s="1720"/>
      <c r="G211" s="1720"/>
      <c r="H211" s="1720"/>
    </row>
    <row r="212" spans="1:8" x14ac:dyDescent="0.2">
      <c r="A212" s="1721" t="s">
        <v>975</v>
      </c>
      <c r="B212" s="1720"/>
      <c r="C212" s="1720"/>
      <c r="D212" s="1720"/>
      <c r="E212" s="1720"/>
      <c r="F212" s="1720"/>
      <c r="G212" s="1720"/>
      <c r="H212" s="1720"/>
    </row>
    <row r="213" spans="1:8" x14ac:dyDescent="0.2">
      <c r="A213" s="1721" t="s">
        <v>976</v>
      </c>
      <c r="B213" s="1720"/>
      <c r="C213" s="1720"/>
      <c r="D213" s="1720"/>
      <c r="E213" s="1720"/>
      <c r="F213" s="1720"/>
      <c r="G213" s="1720"/>
      <c r="H213" s="1720"/>
    </row>
    <row r="214" spans="1:8" x14ac:dyDescent="0.2">
      <c r="A214" s="1721" t="s">
        <v>977</v>
      </c>
      <c r="B214" s="1720"/>
      <c r="C214" s="1720"/>
      <c r="D214" s="1720"/>
      <c r="E214" s="1720"/>
      <c r="F214" s="1720"/>
      <c r="G214" s="1720"/>
      <c r="H214" s="1720"/>
    </row>
    <row r="215" spans="1:8" x14ac:dyDescent="0.2">
      <c r="A215" s="1721" t="s">
        <v>978</v>
      </c>
      <c r="B215" s="1720"/>
      <c r="C215" s="1720"/>
      <c r="D215" s="1720"/>
      <c r="E215" s="1720"/>
      <c r="F215" s="1720"/>
      <c r="G215" s="1720"/>
      <c r="H215" s="1720"/>
    </row>
    <row r="216" spans="1:8" x14ac:dyDescent="0.2">
      <c r="A216" s="1721" t="s">
        <v>979</v>
      </c>
      <c r="B216" s="1720"/>
      <c r="C216" s="1720"/>
      <c r="D216" s="1720"/>
      <c r="E216" s="1720"/>
      <c r="F216" s="1720"/>
      <c r="G216" s="1720"/>
      <c r="H216" s="1720"/>
    </row>
    <row r="217" spans="1:8" x14ac:dyDescent="0.2">
      <c r="A217" s="1720"/>
      <c r="B217" s="1720"/>
      <c r="C217" s="1720"/>
      <c r="D217" s="1720"/>
      <c r="E217" s="1720"/>
      <c r="F217" s="1720"/>
      <c r="G217" s="1720"/>
      <c r="H217" s="1720"/>
    </row>
    <row r="218" spans="1:8" x14ac:dyDescent="0.2">
      <c r="A218" s="1721" t="s">
        <v>970</v>
      </c>
      <c r="B218" s="1720"/>
      <c r="C218" s="1720"/>
      <c r="D218" s="1720"/>
      <c r="E218" s="1720"/>
      <c r="F218" s="1720"/>
      <c r="G218" s="1720"/>
      <c r="H218" s="1720"/>
    </row>
    <row r="219" spans="1:8" x14ac:dyDescent="0.2">
      <c r="A219" s="1721" t="s">
        <v>971</v>
      </c>
      <c r="B219" s="1720"/>
      <c r="C219" s="1720"/>
      <c r="D219" s="1720"/>
      <c r="E219" s="1720"/>
      <c r="F219" s="1720"/>
      <c r="G219" s="1720"/>
      <c r="H219" s="1720"/>
    </row>
    <row r="220" spans="1:8" x14ac:dyDescent="0.2">
      <c r="A220" s="1721" t="s">
        <v>972</v>
      </c>
      <c r="B220" s="1720"/>
      <c r="C220" s="1720"/>
      <c r="D220" s="1720"/>
      <c r="E220" s="1720"/>
      <c r="F220" s="1720"/>
      <c r="G220" s="1720"/>
      <c r="H220" s="1720"/>
    </row>
    <row r="221" spans="1:8" x14ac:dyDescent="0.2">
      <c r="A221" s="1720"/>
      <c r="B221" s="1720"/>
      <c r="C221" s="1720"/>
      <c r="D221" s="1720"/>
      <c r="E221" s="1720"/>
      <c r="F221" s="1720"/>
      <c r="G221" s="1720"/>
      <c r="H221" s="1720"/>
    </row>
    <row r="222" spans="1:8" x14ac:dyDescent="0.2">
      <c r="A222" s="1721" t="s">
        <v>965</v>
      </c>
      <c r="B222" s="1720"/>
      <c r="C222" s="1720"/>
      <c r="D222" s="1720"/>
      <c r="E222" s="1720"/>
      <c r="F222" s="1720"/>
      <c r="G222" s="1720"/>
      <c r="H222" s="1720"/>
    </row>
    <row r="223" spans="1:8" x14ac:dyDescent="0.2">
      <c r="A223" s="1721" t="s">
        <v>966</v>
      </c>
      <c r="B223" s="1720"/>
      <c r="C223" s="1720"/>
      <c r="D223" s="1720"/>
      <c r="E223" s="1720"/>
      <c r="F223" s="1720"/>
      <c r="G223" s="1720"/>
      <c r="H223" s="1720"/>
    </row>
    <row r="224" spans="1:8" x14ac:dyDescent="0.2">
      <c r="A224" s="1721" t="s">
        <v>967</v>
      </c>
      <c r="B224" s="1720"/>
      <c r="C224" s="1720"/>
      <c r="D224" s="1720"/>
      <c r="E224" s="1720"/>
      <c r="F224" s="1720"/>
      <c r="G224" s="1720"/>
      <c r="H224" s="1720"/>
    </row>
    <row r="225" spans="1:8" x14ac:dyDescent="0.2">
      <c r="A225" s="1721" t="s">
        <v>968</v>
      </c>
      <c r="B225" s="1720"/>
      <c r="C225" s="1720"/>
      <c r="D225" s="1720"/>
      <c r="E225" s="1720"/>
      <c r="F225" s="1720"/>
      <c r="G225" s="1720"/>
      <c r="H225" s="1720"/>
    </row>
    <row r="226" spans="1:8" x14ac:dyDescent="0.2">
      <c r="A226" s="1721" t="s">
        <v>969</v>
      </c>
      <c r="B226" s="1720"/>
      <c r="C226" s="1720"/>
      <c r="D226" s="1720"/>
      <c r="E226" s="1720"/>
      <c r="F226" s="1720"/>
      <c r="G226" s="1720"/>
      <c r="H226" s="1720"/>
    </row>
    <row r="227" spans="1:8" x14ac:dyDescent="0.2">
      <c r="A227" s="1720"/>
      <c r="B227" s="1720"/>
      <c r="C227" s="1720"/>
      <c r="D227" s="1720"/>
      <c r="E227" s="1720"/>
      <c r="F227" s="1720"/>
      <c r="G227" s="1720"/>
      <c r="H227" s="1720"/>
    </row>
    <row r="228" spans="1:8" x14ac:dyDescent="0.2">
      <c r="A228" s="1721" t="s">
        <v>959</v>
      </c>
      <c r="B228" s="1720"/>
      <c r="C228" s="1720"/>
      <c r="D228" s="1720"/>
      <c r="E228" s="1720"/>
      <c r="F228" s="1720"/>
      <c r="G228" s="1720"/>
      <c r="H228" s="1720"/>
    </row>
    <row r="229" spans="1:8" x14ac:dyDescent="0.2">
      <c r="A229" s="1721" t="s">
        <v>960</v>
      </c>
      <c r="B229" s="1720"/>
      <c r="C229" s="1720"/>
      <c r="D229" s="1720"/>
      <c r="E229" s="1720"/>
      <c r="F229" s="1720"/>
      <c r="G229" s="1720"/>
      <c r="H229" s="1720"/>
    </row>
    <row r="230" spans="1:8" x14ac:dyDescent="0.2">
      <c r="A230" s="1721" t="s">
        <v>961</v>
      </c>
      <c r="B230" s="1720"/>
      <c r="C230" s="1720"/>
      <c r="D230" s="1720"/>
      <c r="E230" s="1720"/>
      <c r="F230" s="1720"/>
      <c r="G230" s="1720"/>
      <c r="H230" s="1720"/>
    </row>
    <row r="231" spans="1:8" x14ac:dyDescent="0.2">
      <c r="A231" s="1721" t="s">
        <v>962</v>
      </c>
      <c r="B231" s="1720"/>
      <c r="C231" s="1720"/>
      <c r="D231" s="1720"/>
      <c r="E231" s="1720"/>
      <c r="F231" s="1720"/>
      <c r="G231" s="1720"/>
      <c r="H231" s="1720"/>
    </row>
    <row r="232" spans="1:8" x14ac:dyDescent="0.2">
      <c r="A232" s="1721" t="s">
        <v>963</v>
      </c>
      <c r="B232" s="1720"/>
      <c r="C232" s="1720"/>
      <c r="D232" s="1720"/>
      <c r="E232" s="1720"/>
      <c r="F232" s="1720"/>
      <c r="G232" s="1720"/>
      <c r="H232" s="1720"/>
    </row>
    <row r="233" spans="1:8" x14ac:dyDescent="0.2">
      <c r="A233" s="1721" t="s">
        <v>964</v>
      </c>
      <c r="B233" s="1720"/>
      <c r="C233" s="1720"/>
      <c r="D233" s="1720"/>
      <c r="E233" s="1720"/>
      <c r="F233" s="1720"/>
      <c r="G233" s="1720"/>
      <c r="H233" s="1720"/>
    </row>
    <row r="234" spans="1:8" x14ac:dyDescent="0.2">
      <c r="A234" s="1720"/>
      <c r="B234" s="1720"/>
      <c r="C234" s="1720"/>
      <c r="D234" s="1720"/>
      <c r="E234" s="1720"/>
      <c r="F234" s="1720"/>
      <c r="G234" s="1720"/>
      <c r="H234" s="1720"/>
    </row>
    <row r="235" spans="1:8" x14ac:dyDescent="0.2">
      <c r="A235" s="1721" t="s">
        <v>949</v>
      </c>
      <c r="B235" s="1720"/>
      <c r="C235" s="1720"/>
      <c r="D235" s="1720"/>
      <c r="E235" s="1720"/>
      <c r="F235" s="1720"/>
      <c r="G235" s="1720"/>
      <c r="H235" s="1720"/>
    </row>
    <row r="236" spans="1:8" x14ac:dyDescent="0.2">
      <c r="A236" s="1721" t="s">
        <v>950</v>
      </c>
      <c r="B236" s="1720"/>
      <c r="C236" s="1720"/>
      <c r="D236" s="1720"/>
      <c r="E236" s="1720"/>
      <c r="F236" s="1720"/>
      <c r="G236" s="1720"/>
      <c r="H236" s="1720"/>
    </row>
    <row r="237" spans="1:8" x14ac:dyDescent="0.2">
      <c r="A237" s="1721" t="s">
        <v>951</v>
      </c>
      <c r="B237" s="1720"/>
      <c r="C237" s="1720"/>
      <c r="D237" s="1720"/>
      <c r="E237" s="1720"/>
      <c r="F237" s="1720"/>
      <c r="G237" s="1720"/>
      <c r="H237" s="1720"/>
    </row>
    <row r="238" spans="1:8" x14ac:dyDescent="0.2">
      <c r="A238" s="1721" t="s">
        <v>952</v>
      </c>
      <c r="B238" s="1720"/>
      <c r="C238" s="1720"/>
      <c r="D238" s="1720"/>
      <c r="E238" s="1720"/>
      <c r="F238" s="1720"/>
      <c r="G238" s="1720"/>
      <c r="H238" s="1720"/>
    </row>
    <row r="239" spans="1:8" x14ac:dyDescent="0.2">
      <c r="A239" s="1721" t="s">
        <v>953</v>
      </c>
      <c r="B239" s="1720"/>
      <c r="C239" s="1720"/>
      <c r="D239" s="1720"/>
      <c r="E239" s="1720"/>
      <c r="F239" s="1720"/>
      <c r="G239" s="1720"/>
      <c r="H239" s="1720"/>
    </row>
    <row r="240" spans="1:8" x14ac:dyDescent="0.2">
      <c r="A240" s="1721" t="s">
        <v>954</v>
      </c>
      <c r="B240" s="1720"/>
      <c r="C240" s="1720"/>
      <c r="D240" s="1720"/>
      <c r="E240" s="1720"/>
      <c r="F240" s="1720"/>
      <c r="G240" s="1720"/>
      <c r="H240" s="1720"/>
    </row>
    <row r="241" spans="1:8" x14ac:dyDescent="0.2">
      <c r="A241" s="1721" t="s">
        <v>955</v>
      </c>
      <c r="B241" s="1720"/>
      <c r="C241" s="1720"/>
      <c r="D241" s="1720"/>
      <c r="E241" s="1720"/>
      <c r="F241" s="1720"/>
      <c r="G241" s="1720"/>
      <c r="H241" s="1720"/>
    </row>
    <row r="242" spans="1:8" x14ac:dyDescent="0.2">
      <c r="A242" s="1721" t="s">
        <v>956</v>
      </c>
      <c r="B242" s="1720"/>
      <c r="C242" s="1720"/>
      <c r="D242" s="1720"/>
      <c r="E242" s="1720"/>
      <c r="F242" s="1720"/>
      <c r="G242" s="1720"/>
      <c r="H242" s="1720"/>
    </row>
    <row r="243" spans="1:8" x14ac:dyDescent="0.2">
      <c r="A243" s="1721" t="s">
        <v>957</v>
      </c>
      <c r="B243" s="1720"/>
      <c r="C243" s="1720"/>
      <c r="D243" s="1720"/>
      <c r="E243" s="1720"/>
      <c r="F243" s="1720"/>
      <c r="G243" s="1720"/>
      <c r="H243" s="1720"/>
    </row>
    <row r="244" spans="1:8" x14ac:dyDescent="0.2">
      <c r="A244" s="1721" t="s">
        <v>958</v>
      </c>
      <c r="B244" s="1720"/>
      <c r="C244" s="1720"/>
      <c r="D244" s="1720"/>
      <c r="E244" s="1720"/>
      <c r="F244" s="1720"/>
      <c r="G244" s="1720"/>
      <c r="H244" s="1720"/>
    </row>
    <row r="245" spans="1:8" x14ac:dyDescent="0.2">
      <c r="A245" s="1720"/>
      <c r="B245" s="1720"/>
      <c r="C245" s="1720"/>
      <c r="D245" s="1720"/>
      <c r="E245" s="1720"/>
      <c r="F245" s="1720"/>
      <c r="G245" s="1720"/>
      <c r="H245" s="1720"/>
    </row>
    <row r="246" spans="1:8" x14ac:dyDescent="0.2">
      <c r="A246" s="1721" t="s">
        <v>947</v>
      </c>
      <c r="B246" s="1720"/>
      <c r="C246" s="1720"/>
      <c r="D246" s="1720"/>
      <c r="E246" s="1720"/>
      <c r="F246" s="1720"/>
      <c r="G246" s="1720"/>
      <c r="H246" s="1720"/>
    </row>
    <row r="247" spans="1:8" x14ac:dyDescent="0.2">
      <c r="A247" s="1721" t="s">
        <v>948</v>
      </c>
      <c r="B247" s="1720"/>
      <c r="C247" s="1720"/>
      <c r="D247" s="1720"/>
      <c r="E247" s="1720"/>
      <c r="F247" s="1720"/>
      <c r="G247" s="1720"/>
      <c r="H247" s="1720"/>
    </row>
    <row r="248" spans="1:8" x14ac:dyDescent="0.2">
      <c r="A248" s="1720"/>
      <c r="B248" s="1720"/>
      <c r="C248" s="1720"/>
      <c r="D248" s="1720"/>
      <c r="E248" s="1720"/>
      <c r="F248" s="1720"/>
      <c r="G248" s="1720"/>
      <c r="H248" s="1720"/>
    </row>
    <row r="249" spans="1:8" x14ac:dyDescent="0.2">
      <c r="A249" s="1721" t="s">
        <v>931</v>
      </c>
      <c r="B249" s="1720"/>
      <c r="C249" s="1720"/>
      <c r="D249" s="1720"/>
      <c r="E249" s="1720"/>
      <c r="F249" s="1720"/>
      <c r="G249" s="1720"/>
      <c r="H249" s="1720"/>
    </row>
    <row r="250" spans="1:8" x14ac:dyDescent="0.2">
      <c r="A250" s="1721" t="s">
        <v>932</v>
      </c>
      <c r="B250" s="1720"/>
      <c r="C250" s="1720"/>
      <c r="D250" s="1720"/>
      <c r="E250" s="1720"/>
      <c r="F250" s="1720"/>
      <c r="G250" s="1720"/>
      <c r="H250" s="1720"/>
    </row>
    <row r="251" spans="1:8" x14ac:dyDescent="0.2">
      <c r="A251" s="1721" t="s">
        <v>933</v>
      </c>
      <c r="B251" s="1720"/>
      <c r="C251" s="1720"/>
      <c r="D251" s="1720"/>
      <c r="E251" s="1720"/>
      <c r="F251" s="1720"/>
      <c r="G251" s="1720"/>
      <c r="H251" s="1720"/>
    </row>
    <row r="252" spans="1:8" x14ac:dyDescent="0.2">
      <c r="A252" s="1721" t="s">
        <v>934</v>
      </c>
      <c r="B252" s="1720"/>
      <c r="C252" s="1720"/>
      <c r="D252" s="1720"/>
      <c r="E252" s="1720"/>
      <c r="F252" s="1720"/>
      <c r="G252" s="1720"/>
      <c r="H252" s="1720"/>
    </row>
    <row r="253" spans="1:8" x14ac:dyDescent="0.2">
      <c r="A253" s="1721" t="s">
        <v>935</v>
      </c>
      <c r="B253" s="1720"/>
      <c r="C253" s="1720"/>
      <c r="D253" s="1720"/>
      <c r="E253" s="1720"/>
      <c r="F253" s="1720"/>
      <c r="G253" s="1720"/>
      <c r="H253" s="1720"/>
    </row>
    <row r="254" spans="1:8" x14ac:dyDescent="0.2">
      <c r="A254" s="1721" t="s">
        <v>936</v>
      </c>
      <c r="B254" s="1720"/>
      <c r="C254" s="1720"/>
      <c r="D254" s="1720"/>
      <c r="E254" s="1720"/>
      <c r="F254" s="1720"/>
      <c r="G254" s="1720"/>
      <c r="H254" s="1720"/>
    </row>
    <row r="255" spans="1:8" x14ac:dyDescent="0.2">
      <c r="A255" s="1721" t="s">
        <v>937</v>
      </c>
      <c r="B255" s="1720"/>
      <c r="C255" s="1720"/>
      <c r="D255" s="1720"/>
      <c r="E255" s="1720"/>
      <c r="F255" s="1720"/>
      <c r="G255" s="1720"/>
      <c r="H255" s="1720"/>
    </row>
    <row r="256" spans="1:8" x14ac:dyDescent="0.2">
      <c r="A256" s="1721" t="s">
        <v>938</v>
      </c>
      <c r="B256" s="1720"/>
      <c r="C256" s="1720"/>
      <c r="D256" s="1720"/>
      <c r="E256" s="1720"/>
      <c r="F256" s="1720"/>
      <c r="G256" s="1720"/>
      <c r="H256" s="1720"/>
    </row>
    <row r="257" spans="1:8" x14ac:dyDescent="0.2">
      <c r="A257" s="1721" t="s">
        <v>939</v>
      </c>
      <c r="B257" s="1720"/>
      <c r="C257" s="1720"/>
      <c r="D257" s="1720"/>
      <c r="E257" s="1720"/>
      <c r="F257" s="1720"/>
      <c r="G257" s="1720"/>
      <c r="H257" s="1720"/>
    </row>
    <row r="258" spans="1:8" x14ac:dyDescent="0.2">
      <c r="A258" s="1721" t="s">
        <v>940</v>
      </c>
      <c r="B258" s="1720"/>
      <c r="C258" s="1720"/>
      <c r="D258" s="1720"/>
      <c r="E258" s="1720"/>
      <c r="F258" s="1720"/>
      <c r="G258" s="1720"/>
      <c r="H258" s="1720"/>
    </row>
    <row r="259" spans="1:8" x14ac:dyDescent="0.2">
      <c r="A259" s="1721" t="s">
        <v>941</v>
      </c>
      <c r="B259" s="1720"/>
      <c r="C259" s="1720"/>
      <c r="D259" s="1720"/>
      <c r="E259" s="1720"/>
      <c r="F259" s="1720"/>
      <c r="G259" s="1720"/>
      <c r="H259" s="1720"/>
    </row>
    <row r="260" spans="1:8" x14ac:dyDescent="0.2">
      <c r="A260" s="1721" t="s">
        <v>942</v>
      </c>
      <c r="B260" s="1720"/>
      <c r="C260" s="1720"/>
      <c r="D260" s="1720"/>
      <c r="E260" s="1720"/>
      <c r="F260" s="1720"/>
      <c r="G260" s="1720"/>
      <c r="H260" s="1720"/>
    </row>
    <row r="261" spans="1:8" x14ac:dyDescent="0.2">
      <c r="A261" s="1721" t="s">
        <v>943</v>
      </c>
      <c r="B261" s="1720"/>
      <c r="C261" s="1720"/>
      <c r="D261" s="1720"/>
      <c r="E261" s="1720"/>
      <c r="F261" s="1720"/>
      <c r="G261" s="1720"/>
      <c r="H261" s="1720"/>
    </row>
    <row r="262" spans="1:8" x14ac:dyDescent="0.2">
      <c r="A262" s="1721" t="s">
        <v>944</v>
      </c>
      <c r="B262" s="1720"/>
      <c r="C262" s="1720"/>
      <c r="D262" s="1720"/>
      <c r="E262" s="1720"/>
      <c r="F262" s="1720"/>
      <c r="G262" s="1720"/>
      <c r="H262" s="1720"/>
    </row>
    <row r="263" spans="1:8" x14ac:dyDescent="0.2">
      <c r="A263" s="1721" t="s">
        <v>945</v>
      </c>
      <c r="B263" s="1720"/>
      <c r="C263" s="1720"/>
      <c r="D263" s="1720"/>
      <c r="E263" s="1720"/>
      <c r="F263" s="1720"/>
      <c r="G263" s="1720"/>
      <c r="H263" s="1720"/>
    </row>
    <row r="264" spans="1:8" x14ac:dyDescent="0.2">
      <c r="A264" s="1721" t="s">
        <v>946</v>
      </c>
      <c r="B264" s="1720"/>
      <c r="C264" s="1720"/>
      <c r="D264" s="1720"/>
      <c r="E264" s="1720"/>
      <c r="F264" s="1720"/>
      <c r="G264" s="1720"/>
      <c r="H264" s="1720"/>
    </row>
    <row r="265" spans="1:8" x14ac:dyDescent="0.2">
      <c r="A265" s="1720"/>
      <c r="B265" s="1720"/>
      <c r="C265" s="1720"/>
      <c r="D265" s="1720"/>
      <c r="E265" s="1720"/>
      <c r="F265" s="1720"/>
      <c r="G265" s="1720"/>
      <c r="H265" s="1720"/>
    </row>
    <row r="266" spans="1:8" x14ac:dyDescent="0.2">
      <c r="A266" s="1721" t="s">
        <v>924</v>
      </c>
      <c r="B266" s="1720"/>
      <c r="C266" s="1720"/>
      <c r="D266" s="1720"/>
      <c r="E266" s="1720"/>
      <c r="F266" s="1720"/>
      <c r="G266" s="1720"/>
      <c r="H266" s="1720"/>
    </row>
    <row r="267" spans="1:8" x14ac:dyDescent="0.2">
      <c r="A267" s="1721" t="s">
        <v>925</v>
      </c>
      <c r="B267" s="1720"/>
      <c r="C267" s="1720"/>
      <c r="D267" s="1720"/>
      <c r="E267" s="1720"/>
      <c r="F267" s="1720"/>
      <c r="G267" s="1720"/>
      <c r="H267" s="1720"/>
    </row>
    <row r="268" spans="1:8" x14ac:dyDescent="0.2">
      <c r="A268" s="1721" t="s">
        <v>926</v>
      </c>
      <c r="B268" s="1720"/>
      <c r="C268" s="1720"/>
      <c r="D268" s="1720"/>
      <c r="E268" s="1720"/>
      <c r="F268" s="1720"/>
      <c r="G268" s="1720"/>
      <c r="H268" s="1720"/>
    </row>
    <row r="269" spans="1:8" x14ac:dyDescent="0.2">
      <c r="A269" s="1721" t="s">
        <v>927</v>
      </c>
      <c r="B269" s="1720"/>
      <c r="C269" s="1720"/>
      <c r="D269" s="1720"/>
      <c r="E269" s="1720"/>
      <c r="F269" s="1720"/>
      <c r="G269" s="1720"/>
      <c r="H269" s="1720"/>
    </row>
    <row r="270" spans="1:8" x14ac:dyDescent="0.2">
      <c r="A270" s="1721" t="s">
        <v>928</v>
      </c>
      <c r="B270" s="1720"/>
      <c r="C270" s="1720"/>
      <c r="D270" s="1720"/>
      <c r="E270" s="1720"/>
      <c r="F270" s="1720"/>
      <c r="G270" s="1720"/>
      <c r="H270" s="1720"/>
    </row>
    <row r="271" spans="1:8" x14ac:dyDescent="0.2">
      <c r="A271" s="1721" t="s">
        <v>929</v>
      </c>
      <c r="B271" s="1720"/>
      <c r="C271" s="1720"/>
      <c r="D271" s="1720"/>
      <c r="E271" s="1720"/>
      <c r="F271" s="1720"/>
      <c r="G271" s="1720"/>
      <c r="H271" s="1720"/>
    </row>
    <row r="272" spans="1:8" x14ac:dyDescent="0.2">
      <c r="A272" s="1721" t="s">
        <v>930</v>
      </c>
      <c r="B272" s="1720"/>
      <c r="C272" s="1720"/>
      <c r="D272" s="1720"/>
      <c r="E272" s="1720"/>
      <c r="F272" s="1720"/>
      <c r="G272" s="1720"/>
      <c r="H272" s="1720"/>
    </row>
    <row r="273" spans="1:8" x14ac:dyDescent="0.2">
      <c r="A273" s="1720"/>
      <c r="B273" s="1720"/>
      <c r="C273" s="1720"/>
      <c r="D273" s="1720"/>
      <c r="E273" s="1720"/>
      <c r="F273" s="1720"/>
      <c r="G273" s="1720"/>
      <c r="H273" s="1720"/>
    </row>
    <row r="274" spans="1:8" x14ac:dyDescent="0.2">
      <c r="A274" s="1721" t="s">
        <v>915</v>
      </c>
      <c r="B274" s="1720"/>
      <c r="C274" s="1720"/>
      <c r="D274" s="1720"/>
      <c r="E274" s="1720"/>
      <c r="F274" s="1720"/>
      <c r="G274" s="1720"/>
      <c r="H274" s="1720"/>
    </row>
    <row r="275" spans="1:8" x14ac:dyDescent="0.2">
      <c r="A275" s="1721" t="s">
        <v>916</v>
      </c>
      <c r="B275" s="1720"/>
      <c r="C275" s="1720"/>
      <c r="D275" s="1720"/>
      <c r="E275" s="1720"/>
      <c r="F275" s="1720"/>
      <c r="G275" s="1720"/>
      <c r="H275" s="1720"/>
    </row>
    <row r="276" spans="1:8" x14ac:dyDescent="0.2">
      <c r="A276" s="1721" t="s">
        <v>917</v>
      </c>
      <c r="B276" s="1720"/>
      <c r="C276" s="1720"/>
      <c r="D276" s="1720"/>
      <c r="E276" s="1720"/>
      <c r="F276" s="1720"/>
      <c r="G276" s="1720"/>
      <c r="H276" s="1720"/>
    </row>
    <row r="277" spans="1:8" x14ac:dyDescent="0.2">
      <c r="A277" s="1721" t="s">
        <v>918</v>
      </c>
      <c r="B277" s="1720"/>
      <c r="C277" s="1720"/>
      <c r="D277" s="1720"/>
      <c r="E277" s="1720"/>
      <c r="F277" s="1720"/>
      <c r="G277" s="1720"/>
      <c r="H277" s="1720"/>
    </row>
    <row r="278" spans="1:8" x14ac:dyDescent="0.2">
      <c r="A278" s="1721" t="s">
        <v>919</v>
      </c>
      <c r="B278" s="1720"/>
      <c r="C278" s="1720"/>
      <c r="D278" s="1720"/>
      <c r="E278" s="1720"/>
      <c r="F278" s="1720"/>
      <c r="G278" s="1720"/>
      <c r="H278" s="1720"/>
    </row>
    <row r="279" spans="1:8" x14ac:dyDescent="0.2">
      <c r="A279" s="1721" t="s">
        <v>920</v>
      </c>
      <c r="B279" s="1720"/>
      <c r="C279" s="1720"/>
      <c r="D279" s="1720"/>
      <c r="E279" s="1720"/>
      <c r="F279" s="1720"/>
      <c r="G279" s="1720"/>
      <c r="H279" s="1720"/>
    </row>
    <row r="280" spans="1:8" x14ac:dyDescent="0.2">
      <c r="A280" s="1721" t="s">
        <v>921</v>
      </c>
      <c r="B280" s="1720"/>
      <c r="C280" s="1720"/>
      <c r="D280" s="1720"/>
      <c r="E280" s="1720"/>
      <c r="F280" s="1720"/>
      <c r="G280" s="1720"/>
      <c r="H280" s="1720"/>
    </row>
    <row r="281" spans="1:8" x14ac:dyDescent="0.2">
      <c r="A281" s="1721" t="s">
        <v>922</v>
      </c>
      <c r="B281" s="1720"/>
      <c r="C281" s="1720"/>
      <c r="D281" s="1720"/>
      <c r="E281" s="1720"/>
      <c r="F281" s="1720"/>
      <c r="G281" s="1720"/>
      <c r="H281" s="1720"/>
    </row>
    <row r="282" spans="1:8" x14ac:dyDescent="0.2">
      <c r="A282" s="1721" t="s">
        <v>923</v>
      </c>
      <c r="B282" s="1720"/>
      <c r="C282" s="1720"/>
      <c r="D282" s="1720"/>
      <c r="E282" s="1720"/>
      <c r="F282" s="1720"/>
      <c r="G282" s="1720"/>
      <c r="H282" s="1720"/>
    </row>
    <row r="283" spans="1:8" x14ac:dyDescent="0.2">
      <c r="A283" s="1720"/>
      <c r="B283" s="1720"/>
      <c r="C283" s="1720"/>
      <c r="D283" s="1720"/>
      <c r="E283" s="1720"/>
      <c r="F283" s="1720"/>
      <c r="G283" s="1720"/>
      <c r="H283" s="1720"/>
    </row>
    <row r="284" spans="1:8" x14ac:dyDescent="0.2">
      <c r="A284" s="1721" t="s">
        <v>908</v>
      </c>
      <c r="B284" s="1720"/>
      <c r="C284" s="1720"/>
      <c r="D284" s="1720"/>
      <c r="E284" s="1720"/>
      <c r="F284" s="1720"/>
      <c r="G284" s="1720"/>
      <c r="H284" s="1720"/>
    </row>
    <row r="285" spans="1:8" x14ac:dyDescent="0.2">
      <c r="A285" s="1721" t="s">
        <v>909</v>
      </c>
      <c r="B285" s="1720"/>
      <c r="C285" s="1720"/>
      <c r="D285" s="1720"/>
      <c r="E285" s="1720"/>
      <c r="F285" s="1720"/>
      <c r="G285" s="1720"/>
      <c r="H285" s="1720"/>
    </row>
    <row r="286" spans="1:8" x14ac:dyDescent="0.2">
      <c r="A286" s="1721" t="s">
        <v>910</v>
      </c>
      <c r="B286" s="1720"/>
      <c r="C286" s="1720"/>
      <c r="D286" s="1720"/>
      <c r="E286" s="1720"/>
      <c r="F286" s="1720"/>
      <c r="G286" s="1720"/>
      <c r="H286" s="1720"/>
    </row>
    <row r="287" spans="1:8" x14ac:dyDescent="0.2">
      <c r="A287" s="1721" t="s">
        <v>911</v>
      </c>
      <c r="B287" s="1720"/>
      <c r="C287" s="1720"/>
      <c r="D287" s="1720"/>
      <c r="E287" s="1720"/>
      <c r="F287" s="1720"/>
      <c r="G287" s="1720"/>
      <c r="H287" s="1720"/>
    </row>
    <row r="288" spans="1:8" x14ac:dyDescent="0.2">
      <c r="A288" s="1721" t="s">
        <v>912</v>
      </c>
      <c r="B288" s="1720"/>
      <c r="C288" s="1720"/>
      <c r="D288" s="1720"/>
      <c r="E288" s="1720"/>
      <c r="F288" s="1720"/>
      <c r="G288" s="1720"/>
      <c r="H288" s="1720"/>
    </row>
    <row r="289" spans="1:8" x14ac:dyDescent="0.2">
      <c r="A289" s="1721" t="s">
        <v>913</v>
      </c>
      <c r="B289" s="1720"/>
      <c r="C289" s="1720"/>
      <c r="D289" s="1720"/>
      <c r="E289" s="1720"/>
      <c r="F289" s="1720"/>
      <c r="G289" s="1720"/>
      <c r="H289" s="1720"/>
    </row>
    <row r="290" spans="1:8" x14ac:dyDescent="0.2">
      <c r="A290" s="1721" t="s">
        <v>914</v>
      </c>
      <c r="B290" s="1720"/>
      <c r="C290" s="1720"/>
      <c r="D290" s="1720"/>
      <c r="E290" s="1720"/>
      <c r="F290" s="1720"/>
      <c r="G290" s="1720"/>
      <c r="H290" s="1720"/>
    </row>
    <row r="291" spans="1:8" x14ac:dyDescent="0.2">
      <c r="A291" s="1720"/>
      <c r="B291" s="1720"/>
      <c r="C291" s="1720"/>
      <c r="D291" s="1720"/>
      <c r="E291" s="1720"/>
      <c r="F291" s="1720"/>
      <c r="G291" s="1720"/>
      <c r="H291" s="1720"/>
    </row>
    <row r="292" spans="1:8" x14ac:dyDescent="0.2">
      <c r="A292" s="1721" t="s">
        <v>905</v>
      </c>
      <c r="B292" s="1720"/>
      <c r="C292" s="1720"/>
      <c r="D292" s="1720"/>
      <c r="E292" s="1720"/>
      <c r="F292" s="1720"/>
      <c r="G292" s="1720"/>
      <c r="H292" s="1720"/>
    </row>
    <row r="293" spans="1:8" x14ac:dyDescent="0.2">
      <c r="A293" s="1721" t="s">
        <v>906</v>
      </c>
      <c r="B293" s="1720"/>
      <c r="C293" s="1720"/>
      <c r="D293" s="1720"/>
      <c r="E293" s="1720"/>
      <c r="F293" s="1720"/>
      <c r="G293" s="1720"/>
      <c r="H293" s="1720"/>
    </row>
    <row r="294" spans="1:8" x14ac:dyDescent="0.2">
      <c r="A294" s="1721" t="s">
        <v>907</v>
      </c>
      <c r="B294" s="1720"/>
      <c r="C294" s="1720"/>
      <c r="D294" s="1720"/>
      <c r="E294" s="1720"/>
      <c r="F294" s="1720"/>
      <c r="G294" s="1720"/>
      <c r="H294" s="1720"/>
    </row>
    <row r="295" spans="1:8" x14ac:dyDescent="0.2">
      <c r="A295" s="1720"/>
      <c r="B295" s="1720"/>
      <c r="C295" s="1720"/>
      <c r="D295" s="1720"/>
      <c r="E295" s="1720"/>
      <c r="F295" s="1720"/>
      <c r="G295" s="1720"/>
      <c r="H295" s="1720"/>
    </row>
    <row r="296" spans="1:8" x14ac:dyDescent="0.2">
      <c r="A296" s="1721" t="s">
        <v>903</v>
      </c>
      <c r="B296" s="1720"/>
      <c r="C296" s="1720"/>
      <c r="D296" s="1720"/>
      <c r="E296" s="1720"/>
      <c r="F296" s="1720"/>
      <c r="G296" s="1720"/>
      <c r="H296" s="1720"/>
    </row>
    <row r="297" spans="1:8" x14ac:dyDescent="0.2">
      <c r="A297" s="1721" t="s">
        <v>904</v>
      </c>
      <c r="B297" s="1720"/>
      <c r="C297" s="1720"/>
      <c r="D297" s="1720"/>
      <c r="E297" s="1720"/>
      <c r="F297" s="1720"/>
      <c r="G297" s="1720"/>
      <c r="H297" s="1720"/>
    </row>
    <row r="298" spans="1:8" x14ac:dyDescent="0.2">
      <c r="A298" s="1720"/>
      <c r="B298" s="1720"/>
      <c r="C298" s="1720"/>
      <c r="D298" s="1720"/>
      <c r="E298" s="1720"/>
      <c r="F298" s="1720"/>
      <c r="G298" s="1720"/>
      <c r="H298" s="1720"/>
    </row>
    <row r="299" spans="1:8" x14ac:dyDescent="0.2">
      <c r="A299" s="1721" t="s">
        <v>890</v>
      </c>
      <c r="B299" s="1720"/>
      <c r="C299" s="1720"/>
      <c r="D299" s="1720"/>
      <c r="E299" s="1720"/>
      <c r="F299" s="1720"/>
      <c r="G299" s="1720"/>
      <c r="H299" s="1720"/>
    </row>
    <row r="300" spans="1:8" x14ac:dyDescent="0.2">
      <c r="A300" s="1721" t="s">
        <v>891</v>
      </c>
      <c r="B300" s="1720"/>
      <c r="C300" s="1720"/>
      <c r="D300" s="1720"/>
      <c r="E300" s="1720"/>
      <c r="F300" s="1720"/>
      <c r="G300" s="1720"/>
      <c r="H300" s="1720"/>
    </row>
    <row r="301" spans="1:8" x14ac:dyDescent="0.2">
      <c r="A301" s="1721" t="s">
        <v>892</v>
      </c>
      <c r="B301" s="1720"/>
      <c r="C301" s="1720"/>
      <c r="D301" s="1720"/>
      <c r="E301" s="1720"/>
      <c r="F301" s="1720"/>
      <c r="G301" s="1720"/>
      <c r="H301" s="1720"/>
    </row>
    <row r="302" spans="1:8" x14ac:dyDescent="0.2">
      <c r="A302" s="1721" t="s">
        <v>893</v>
      </c>
      <c r="B302" s="1720"/>
      <c r="C302" s="1720"/>
      <c r="D302" s="1720"/>
      <c r="E302" s="1720"/>
      <c r="F302" s="1720"/>
      <c r="G302" s="1720"/>
      <c r="H302" s="1720"/>
    </row>
    <row r="303" spans="1:8" x14ac:dyDescent="0.2">
      <c r="A303" s="1721" t="s">
        <v>894</v>
      </c>
      <c r="B303" s="1720"/>
      <c r="C303" s="1720"/>
      <c r="D303" s="1720"/>
      <c r="E303" s="1720"/>
      <c r="F303" s="1720"/>
      <c r="G303" s="1720"/>
      <c r="H303" s="1720"/>
    </row>
    <row r="304" spans="1:8" x14ac:dyDescent="0.2">
      <c r="A304" s="1721" t="s">
        <v>895</v>
      </c>
      <c r="B304" s="1720"/>
      <c r="C304" s="1720"/>
      <c r="D304" s="1720"/>
      <c r="E304" s="1720"/>
      <c r="F304" s="1720"/>
      <c r="G304" s="1720"/>
      <c r="H304" s="1720"/>
    </row>
    <row r="305" spans="1:8" x14ac:dyDescent="0.2">
      <c r="A305" s="1721" t="s">
        <v>896</v>
      </c>
      <c r="B305" s="1720"/>
      <c r="C305" s="1720"/>
      <c r="D305" s="1720"/>
      <c r="E305" s="1720"/>
      <c r="F305" s="1720"/>
      <c r="G305" s="1720"/>
      <c r="H305" s="1720"/>
    </row>
    <row r="306" spans="1:8" x14ac:dyDescent="0.2">
      <c r="A306" s="1721" t="s">
        <v>897</v>
      </c>
      <c r="B306" s="1720"/>
      <c r="C306" s="1720"/>
      <c r="D306" s="1720"/>
      <c r="E306" s="1720"/>
      <c r="F306" s="1720"/>
      <c r="G306" s="1720"/>
      <c r="H306" s="1720"/>
    </row>
    <row r="307" spans="1:8" x14ac:dyDescent="0.2">
      <c r="A307" s="1721" t="s">
        <v>898</v>
      </c>
      <c r="B307" s="1720"/>
      <c r="C307" s="1720"/>
      <c r="D307" s="1720"/>
      <c r="E307" s="1720"/>
      <c r="F307" s="1720"/>
      <c r="G307" s="1720"/>
      <c r="H307" s="1720"/>
    </row>
    <row r="308" spans="1:8" x14ac:dyDescent="0.2">
      <c r="A308" s="1721" t="s">
        <v>899</v>
      </c>
      <c r="B308" s="1720"/>
      <c r="C308" s="1720"/>
      <c r="D308" s="1720"/>
      <c r="E308" s="1720"/>
      <c r="F308" s="1720"/>
      <c r="G308" s="1720"/>
      <c r="H308" s="1720"/>
    </row>
    <row r="309" spans="1:8" x14ac:dyDescent="0.2">
      <c r="A309" s="1721" t="s">
        <v>900</v>
      </c>
      <c r="B309" s="1720"/>
      <c r="C309" s="1720"/>
      <c r="D309" s="1720"/>
      <c r="E309" s="1720"/>
      <c r="F309" s="1720"/>
      <c r="G309" s="1720"/>
      <c r="H309" s="1720"/>
    </row>
    <row r="310" spans="1:8" x14ac:dyDescent="0.2">
      <c r="A310" s="1721" t="s">
        <v>901</v>
      </c>
      <c r="B310" s="1720"/>
      <c r="C310" s="1720"/>
      <c r="D310" s="1720"/>
      <c r="E310" s="1720"/>
      <c r="F310" s="1720"/>
      <c r="G310" s="1720"/>
      <c r="H310" s="1720"/>
    </row>
    <row r="311" spans="1:8" x14ac:dyDescent="0.2">
      <c r="A311" s="1721" t="s">
        <v>902</v>
      </c>
      <c r="B311" s="1720"/>
      <c r="C311" s="1720"/>
      <c r="D311" s="1720"/>
      <c r="E311" s="1720"/>
      <c r="F311" s="1720"/>
      <c r="G311" s="1720"/>
      <c r="H311" s="1720"/>
    </row>
    <row r="312" spans="1:8" x14ac:dyDescent="0.2">
      <c r="A312" s="1720"/>
      <c r="B312" s="1720"/>
      <c r="C312" s="1720"/>
      <c r="D312" s="1720"/>
      <c r="E312" s="1720"/>
      <c r="F312" s="1720"/>
      <c r="G312" s="1720"/>
      <c r="H312" s="1720"/>
    </row>
    <row r="313" spans="1:8" x14ac:dyDescent="0.2">
      <c r="A313" s="1721" t="s">
        <v>882</v>
      </c>
      <c r="B313" s="1720"/>
      <c r="C313" s="1720"/>
      <c r="D313" s="1720"/>
      <c r="E313" s="1720"/>
      <c r="F313" s="1720"/>
      <c r="G313" s="1720"/>
      <c r="H313" s="1720"/>
    </row>
    <row r="314" spans="1:8" x14ac:dyDescent="0.2">
      <c r="A314" s="1721" t="s">
        <v>883</v>
      </c>
      <c r="B314" s="1720"/>
      <c r="C314" s="1720"/>
      <c r="D314" s="1720"/>
      <c r="E314" s="1720"/>
      <c r="F314" s="1720"/>
      <c r="G314" s="1720"/>
      <c r="H314" s="1720"/>
    </row>
    <row r="315" spans="1:8" x14ac:dyDescent="0.2">
      <c r="A315" s="1721" t="s">
        <v>884</v>
      </c>
      <c r="B315" s="1720"/>
      <c r="C315" s="1720"/>
      <c r="D315" s="1720"/>
      <c r="E315" s="1720"/>
      <c r="F315" s="1720"/>
      <c r="G315" s="1720"/>
      <c r="H315" s="1720"/>
    </row>
    <row r="316" spans="1:8" x14ac:dyDescent="0.2">
      <c r="A316" s="1721" t="s">
        <v>885</v>
      </c>
      <c r="B316" s="1720"/>
      <c r="C316" s="1720"/>
      <c r="D316" s="1720"/>
      <c r="E316" s="1720"/>
      <c r="F316" s="1720"/>
      <c r="G316" s="1720"/>
      <c r="H316" s="1720"/>
    </row>
    <row r="317" spans="1:8" x14ac:dyDescent="0.2">
      <c r="A317" s="1721" t="s">
        <v>886</v>
      </c>
      <c r="B317" s="1720"/>
      <c r="C317" s="1720"/>
      <c r="D317" s="1720"/>
      <c r="E317" s="1720"/>
      <c r="F317" s="1720"/>
      <c r="G317" s="1720"/>
      <c r="H317" s="1720"/>
    </row>
    <row r="318" spans="1:8" x14ac:dyDescent="0.2">
      <c r="A318" s="1721" t="s">
        <v>887</v>
      </c>
      <c r="B318" s="1720"/>
      <c r="C318" s="1720"/>
      <c r="D318" s="1720"/>
      <c r="E318" s="1720"/>
      <c r="F318" s="1720"/>
      <c r="G318" s="1720"/>
      <c r="H318" s="1720"/>
    </row>
    <row r="319" spans="1:8" x14ac:dyDescent="0.2">
      <c r="A319" s="1721" t="s">
        <v>888</v>
      </c>
      <c r="B319" s="1720"/>
      <c r="C319" s="1720"/>
      <c r="D319" s="1720"/>
      <c r="E319" s="1720"/>
      <c r="F319" s="1720"/>
      <c r="G319" s="1720"/>
      <c r="H319" s="1720"/>
    </row>
    <row r="320" spans="1:8" x14ac:dyDescent="0.2">
      <c r="A320" s="1721" t="s">
        <v>889</v>
      </c>
      <c r="B320" s="1720"/>
      <c r="C320" s="1720"/>
      <c r="D320" s="1720"/>
      <c r="E320" s="1720"/>
      <c r="F320" s="1720"/>
      <c r="G320" s="1720"/>
      <c r="H320" s="1720"/>
    </row>
    <row r="321" spans="1:8" x14ac:dyDescent="0.2">
      <c r="A321" s="1720"/>
      <c r="B321" s="1720"/>
      <c r="C321" s="1720"/>
      <c r="D321" s="1720"/>
      <c r="E321" s="1720"/>
      <c r="F321" s="1720"/>
      <c r="G321" s="1720"/>
      <c r="H321" s="1720"/>
    </row>
    <row r="322" spans="1:8" x14ac:dyDescent="0.2">
      <c r="A322" s="1721" t="s">
        <v>847</v>
      </c>
      <c r="B322" s="1720"/>
      <c r="C322" s="1720"/>
      <c r="D322" s="1720"/>
      <c r="E322" s="1720"/>
      <c r="F322" s="1720"/>
      <c r="G322" s="1720"/>
      <c r="H322" s="1720"/>
    </row>
    <row r="323" spans="1:8" x14ac:dyDescent="0.2">
      <c r="A323" s="1721" t="s">
        <v>848</v>
      </c>
      <c r="B323" s="1720"/>
      <c r="C323" s="1720"/>
      <c r="D323" s="1720"/>
      <c r="E323" s="1720"/>
      <c r="F323" s="1720"/>
      <c r="G323" s="1720"/>
      <c r="H323" s="1720"/>
    </row>
    <row r="324" spans="1:8" x14ac:dyDescent="0.2">
      <c r="A324" s="1721" t="s">
        <v>849</v>
      </c>
      <c r="B324" s="1720"/>
      <c r="C324" s="1720"/>
      <c r="D324" s="1720"/>
      <c r="E324" s="1720"/>
      <c r="F324" s="1720"/>
      <c r="G324" s="1720"/>
      <c r="H324" s="1720"/>
    </row>
    <row r="325" spans="1:8" x14ac:dyDescent="0.2">
      <c r="A325" s="1721" t="s">
        <v>850</v>
      </c>
      <c r="B325" s="1720"/>
      <c r="C325" s="1720"/>
      <c r="D325" s="1720"/>
      <c r="E325" s="1720"/>
      <c r="F325" s="1720"/>
      <c r="G325" s="1720"/>
      <c r="H325" s="1720"/>
    </row>
    <row r="326" spans="1:8" x14ac:dyDescent="0.2">
      <c r="A326" s="1721" t="s">
        <v>851</v>
      </c>
      <c r="B326" s="1720"/>
      <c r="C326" s="1720"/>
      <c r="D326" s="1720"/>
      <c r="E326" s="1720"/>
      <c r="F326" s="1720"/>
      <c r="G326" s="1720"/>
      <c r="H326" s="1720"/>
    </row>
    <row r="327" spans="1:8" x14ac:dyDescent="0.2">
      <c r="A327" s="1721" t="s">
        <v>852</v>
      </c>
      <c r="B327" s="1720"/>
      <c r="C327" s="1720"/>
      <c r="D327" s="1720"/>
      <c r="E327" s="1720"/>
      <c r="F327" s="1720"/>
      <c r="G327" s="1720"/>
      <c r="H327" s="1720"/>
    </row>
    <row r="328" spans="1:8" x14ac:dyDescent="0.2">
      <c r="A328" s="1721" t="s">
        <v>853</v>
      </c>
      <c r="B328" s="1720"/>
      <c r="C328" s="1720"/>
      <c r="D328" s="1720"/>
      <c r="E328" s="1720"/>
      <c r="F328" s="1720"/>
      <c r="G328" s="1720"/>
      <c r="H328" s="1720"/>
    </row>
    <row r="329" spans="1:8" x14ac:dyDescent="0.2">
      <c r="A329" s="1721" t="s">
        <v>854</v>
      </c>
      <c r="B329" s="1720"/>
      <c r="C329" s="1720"/>
      <c r="D329" s="1720"/>
      <c r="E329" s="1720"/>
      <c r="F329" s="1720"/>
      <c r="G329" s="1720"/>
      <c r="H329" s="1720"/>
    </row>
    <row r="330" spans="1:8" x14ac:dyDescent="0.2">
      <c r="A330" s="1721" t="s">
        <v>855</v>
      </c>
      <c r="B330" s="1720"/>
      <c r="C330" s="1720"/>
      <c r="D330" s="1720"/>
      <c r="E330" s="1720"/>
      <c r="F330" s="1720"/>
      <c r="G330" s="1720"/>
      <c r="H330" s="1720"/>
    </row>
    <row r="331" spans="1:8" x14ac:dyDescent="0.2">
      <c r="A331" s="1721" t="s">
        <v>856</v>
      </c>
      <c r="B331" s="1720"/>
      <c r="C331" s="1720"/>
      <c r="D331" s="1720"/>
      <c r="E331" s="1720"/>
      <c r="F331" s="1720"/>
      <c r="G331" s="1720"/>
      <c r="H331" s="1720"/>
    </row>
    <row r="332" spans="1:8" x14ac:dyDescent="0.2">
      <c r="A332" s="1721" t="s">
        <v>857</v>
      </c>
      <c r="B332" s="1720"/>
      <c r="C332" s="1720"/>
      <c r="D332" s="1720"/>
      <c r="E332" s="1720"/>
      <c r="F332" s="1720"/>
      <c r="G332" s="1720"/>
      <c r="H332" s="1720"/>
    </row>
    <row r="333" spans="1:8" x14ac:dyDescent="0.2">
      <c r="A333" s="1721" t="s">
        <v>858</v>
      </c>
      <c r="B333" s="1720"/>
      <c r="C333" s="1720"/>
      <c r="D333" s="1720"/>
      <c r="E333" s="1720"/>
      <c r="F333" s="1720"/>
      <c r="G333" s="1720"/>
      <c r="H333" s="1720"/>
    </row>
    <row r="334" spans="1:8" x14ac:dyDescent="0.2">
      <c r="A334" s="1721" t="s">
        <v>859</v>
      </c>
      <c r="B334" s="1720"/>
      <c r="C334" s="1720"/>
      <c r="D334" s="1720"/>
      <c r="E334" s="1720"/>
      <c r="F334" s="1720"/>
      <c r="G334" s="1720"/>
      <c r="H334" s="1720"/>
    </row>
    <row r="335" spans="1:8" x14ac:dyDescent="0.2">
      <c r="A335" s="1721" t="s">
        <v>860</v>
      </c>
      <c r="B335" s="1720"/>
      <c r="C335" s="1720"/>
      <c r="D335" s="1720"/>
      <c r="E335" s="1720"/>
      <c r="F335" s="1720"/>
      <c r="G335" s="1720"/>
      <c r="H335" s="1720"/>
    </row>
    <row r="336" spans="1:8" x14ac:dyDescent="0.2">
      <c r="A336" s="1721" t="s">
        <v>861</v>
      </c>
      <c r="B336" s="1720"/>
      <c r="C336" s="1720"/>
      <c r="D336" s="1720"/>
      <c r="E336" s="1720"/>
      <c r="F336" s="1720"/>
      <c r="G336" s="1720"/>
      <c r="H336" s="1720"/>
    </row>
    <row r="337" spans="1:8" x14ac:dyDescent="0.2">
      <c r="A337" s="1721" t="s">
        <v>862</v>
      </c>
      <c r="B337" s="1720"/>
      <c r="C337" s="1720"/>
      <c r="D337" s="1720"/>
      <c r="E337" s="1720"/>
      <c r="F337" s="1720"/>
      <c r="G337" s="1720"/>
      <c r="H337" s="1720"/>
    </row>
    <row r="338" spans="1:8" x14ac:dyDescent="0.2">
      <c r="A338" s="1721" t="s">
        <v>863</v>
      </c>
      <c r="B338" s="1720"/>
      <c r="C338" s="1720"/>
      <c r="D338" s="1720"/>
      <c r="E338" s="1720"/>
      <c r="F338" s="1720"/>
      <c r="G338" s="1720"/>
      <c r="H338" s="1720"/>
    </row>
    <row r="339" spans="1:8" x14ac:dyDescent="0.2">
      <c r="A339" s="1721" t="s">
        <v>864</v>
      </c>
      <c r="B339" s="1720"/>
      <c r="C339" s="1720"/>
      <c r="D339" s="1720"/>
      <c r="E339" s="1720"/>
      <c r="F339" s="1720"/>
      <c r="G339" s="1720"/>
      <c r="H339" s="1720"/>
    </row>
    <row r="340" spans="1:8" x14ac:dyDescent="0.2">
      <c r="A340" s="1721" t="s">
        <v>865</v>
      </c>
      <c r="B340" s="1720"/>
      <c r="C340" s="1720"/>
      <c r="D340" s="1720"/>
      <c r="E340" s="1720"/>
      <c r="F340" s="1720"/>
      <c r="G340" s="1720"/>
      <c r="H340" s="1720"/>
    </row>
    <row r="341" spans="1:8" x14ac:dyDescent="0.2">
      <c r="A341" s="1721" t="s">
        <v>866</v>
      </c>
      <c r="B341" s="1720"/>
      <c r="C341" s="1720"/>
      <c r="D341" s="1720"/>
      <c r="E341" s="1720"/>
      <c r="F341" s="1720"/>
      <c r="G341" s="1720"/>
      <c r="H341" s="1720"/>
    </row>
    <row r="342" spans="1:8" x14ac:dyDescent="0.2">
      <c r="A342" s="1721" t="s">
        <v>867</v>
      </c>
      <c r="B342" s="1720"/>
      <c r="C342" s="1720"/>
      <c r="D342" s="1720"/>
      <c r="E342" s="1720"/>
      <c r="F342" s="1720"/>
      <c r="G342" s="1720"/>
      <c r="H342" s="1720"/>
    </row>
    <row r="343" spans="1:8" x14ac:dyDescent="0.2">
      <c r="A343" s="1721" t="s">
        <v>868</v>
      </c>
      <c r="B343" s="1720"/>
      <c r="C343" s="1720"/>
      <c r="D343" s="1720"/>
      <c r="E343" s="1720"/>
      <c r="F343" s="1720"/>
      <c r="G343" s="1720"/>
      <c r="H343" s="1720"/>
    </row>
    <row r="344" spans="1:8" x14ac:dyDescent="0.2">
      <c r="A344" s="1721" t="s">
        <v>869</v>
      </c>
      <c r="B344" s="1720"/>
      <c r="C344" s="1720"/>
      <c r="D344" s="1720"/>
      <c r="E344" s="1720"/>
      <c r="F344" s="1720"/>
      <c r="G344" s="1720"/>
      <c r="H344" s="1720"/>
    </row>
    <row r="345" spans="1:8" x14ac:dyDescent="0.2">
      <c r="A345" s="1721" t="s">
        <v>870</v>
      </c>
      <c r="B345" s="1720"/>
      <c r="C345" s="1720"/>
      <c r="D345" s="1720"/>
      <c r="E345" s="1720"/>
      <c r="F345" s="1720"/>
      <c r="G345" s="1720"/>
      <c r="H345" s="1720"/>
    </row>
    <row r="346" spans="1:8" x14ac:dyDescent="0.2">
      <c r="A346" s="1721" t="s">
        <v>871</v>
      </c>
      <c r="B346" s="1720"/>
      <c r="C346" s="1720"/>
      <c r="D346" s="1720"/>
      <c r="E346" s="1720"/>
      <c r="F346" s="1720"/>
      <c r="G346" s="1720"/>
      <c r="H346" s="1720"/>
    </row>
    <row r="347" spans="1:8" x14ac:dyDescent="0.2">
      <c r="A347" s="1721" t="s">
        <v>872</v>
      </c>
      <c r="B347" s="1720"/>
      <c r="C347" s="1720"/>
      <c r="D347" s="1720"/>
      <c r="E347" s="1720"/>
      <c r="F347" s="1720"/>
      <c r="G347" s="1720"/>
      <c r="H347" s="1720"/>
    </row>
    <row r="348" spans="1:8" x14ac:dyDescent="0.2">
      <c r="A348" s="1721" t="s">
        <v>873</v>
      </c>
      <c r="B348" s="1720"/>
      <c r="C348" s="1720"/>
      <c r="D348" s="1720"/>
      <c r="E348" s="1720"/>
      <c r="F348" s="1720"/>
      <c r="G348" s="1720"/>
      <c r="H348" s="1720"/>
    </row>
    <row r="349" spans="1:8" x14ac:dyDescent="0.2">
      <c r="A349" s="1721" t="s">
        <v>874</v>
      </c>
      <c r="B349" s="1720"/>
      <c r="C349" s="1720"/>
      <c r="D349" s="1720"/>
      <c r="E349" s="1720"/>
      <c r="F349" s="1720"/>
      <c r="G349" s="1720"/>
      <c r="H349" s="1720"/>
    </row>
    <row r="350" spans="1:8" x14ac:dyDescent="0.2">
      <c r="A350" s="1721" t="s">
        <v>875</v>
      </c>
      <c r="B350" s="1720"/>
      <c r="C350" s="1720"/>
      <c r="D350" s="1720"/>
      <c r="E350" s="1720"/>
      <c r="F350" s="1720"/>
      <c r="G350" s="1720"/>
      <c r="H350" s="1720"/>
    </row>
    <row r="351" spans="1:8" x14ac:dyDescent="0.2">
      <c r="A351" s="1721" t="s">
        <v>876</v>
      </c>
      <c r="B351" s="1720"/>
      <c r="C351" s="1720"/>
      <c r="D351" s="1720"/>
      <c r="E351" s="1720"/>
      <c r="F351" s="1720"/>
      <c r="G351" s="1720"/>
      <c r="H351" s="1720"/>
    </row>
    <row r="352" spans="1:8" x14ac:dyDescent="0.2">
      <c r="A352" s="1721" t="s">
        <v>877</v>
      </c>
      <c r="B352" s="1720"/>
      <c r="C352" s="1720"/>
      <c r="D352" s="1720"/>
      <c r="E352" s="1720"/>
      <c r="F352" s="1720"/>
      <c r="G352" s="1720"/>
      <c r="H352" s="1720"/>
    </row>
    <row r="353" spans="1:8" x14ac:dyDescent="0.2">
      <c r="A353" s="1721" t="s">
        <v>878</v>
      </c>
      <c r="B353" s="1720"/>
      <c r="C353" s="1720"/>
      <c r="D353" s="1720"/>
      <c r="E353" s="1720"/>
      <c r="F353" s="1720"/>
      <c r="G353" s="1720"/>
      <c r="H353" s="1720"/>
    </row>
    <row r="354" spans="1:8" x14ac:dyDescent="0.2">
      <c r="A354" s="1721" t="s">
        <v>879</v>
      </c>
      <c r="B354" s="1720"/>
      <c r="C354" s="1720"/>
      <c r="D354" s="1720"/>
      <c r="E354" s="1720"/>
      <c r="F354" s="1720"/>
      <c r="G354" s="1720"/>
      <c r="H354" s="1720"/>
    </row>
    <row r="355" spans="1:8" x14ac:dyDescent="0.2">
      <c r="A355" s="1721" t="s">
        <v>880</v>
      </c>
      <c r="B355" s="1720"/>
      <c r="C355" s="1720"/>
      <c r="D355" s="1720"/>
      <c r="E355" s="1720"/>
      <c r="F355" s="1720"/>
      <c r="G355" s="1720"/>
      <c r="H355" s="1720"/>
    </row>
    <row r="356" spans="1:8" x14ac:dyDescent="0.2">
      <c r="A356" s="1721" t="s">
        <v>881</v>
      </c>
      <c r="B356" s="1720"/>
      <c r="C356" s="1720"/>
      <c r="D356" s="1720"/>
      <c r="E356" s="1720"/>
      <c r="F356" s="1720"/>
      <c r="G356" s="1720"/>
      <c r="H356" s="1720"/>
    </row>
    <row r="357" spans="1:8" x14ac:dyDescent="0.2">
      <c r="A357" s="1720"/>
      <c r="B357" s="1720"/>
      <c r="C357" s="1720"/>
      <c r="D357" s="1720"/>
      <c r="E357" s="1720"/>
      <c r="F357" s="1720"/>
      <c r="G357" s="1720"/>
      <c r="H357" s="1720"/>
    </row>
    <row r="358" spans="1:8" x14ac:dyDescent="0.2">
      <c r="A358" s="1721" t="s">
        <v>839</v>
      </c>
      <c r="B358" s="1720"/>
      <c r="C358" s="1720"/>
      <c r="D358" s="1720"/>
      <c r="E358" s="1720"/>
      <c r="F358" s="1720"/>
      <c r="G358" s="1720"/>
      <c r="H358" s="1720"/>
    </row>
    <row r="359" spans="1:8" x14ac:dyDescent="0.2">
      <c r="A359" s="1721" t="s">
        <v>843</v>
      </c>
      <c r="B359" s="1720"/>
      <c r="C359" s="1720"/>
      <c r="D359" s="1720"/>
      <c r="E359" s="1720"/>
      <c r="F359" s="1720"/>
      <c r="G359" s="1720"/>
      <c r="H359" s="1720"/>
    </row>
    <row r="360" spans="1:8" x14ac:dyDescent="0.2">
      <c r="A360" s="1721" t="s">
        <v>844</v>
      </c>
      <c r="B360" s="1720"/>
      <c r="C360" s="1720"/>
      <c r="D360" s="1720"/>
      <c r="E360" s="1720"/>
      <c r="F360" s="1720"/>
      <c r="G360" s="1720"/>
      <c r="H360" s="1720"/>
    </row>
    <row r="361" spans="1:8" x14ac:dyDescent="0.2">
      <c r="A361" s="1721" t="s">
        <v>845</v>
      </c>
      <c r="B361" s="1720"/>
      <c r="C361" s="1720"/>
      <c r="D361" s="1720"/>
      <c r="E361" s="1720"/>
      <c r="F361" s="1720"/>
      <c r="G361" s="1720"/>
      <c r="H361" s="1720"/>
    </row>
    <row r="362" spans="1:8" x14ac:dyDescent="0.2">
      <c r="A362" s="1721" t="s">
        <v>846</v>
      </c>
      <c r="B362" s="1720"/>
      <c r="C362" s="1720"/>
      <c r="D362" s="1720"/>
      <c r="E362" s="1720"/>
      <c r="F362" s="1720"/>
      <c r="G362" s="1720"/>
      <c r="H362" s="1720"/>
    </row>
    <row r="363" spans="1:8" x14ac:dyDescent="0.2">
      <c r="A363" s="1720"/>
      <c r="B363" s="1720"/>
      <c r="C363" s="1720"/>
      <c r="D363" s="1720"/>
      <c r="E363" s="1720"/>
      <c r="F363" s="1720"/>
      <c r="G363" s="1720"/>
      <c r="H363" s="1720"/>
    </row>
    <row r="364" spans="1:8" x14ac:dyDescent="0.2">
      <c r="A364" s="1721" t="s">
        <v>839</v>
      </c>
      <c r="B364" s="1720"/>
      <c r="C364" s="1720"/>
      <c r="D364" s="1720"/>
      <c r="E364" s="1720"/>
      <c r="F364" s="1720"/>
      <c r="G364" s="1720"/>
      <c r="H364" s="1720"/>
    </row>
    <row r="365" spans="1:8" x14ac:dyDescent="0.2">
      <c r="A365" s="1721" t="s">
        <v>840</v>
      </c>
      <c r="B365" s="1720"/>
      <c r="C365" s="1720"/>
      <c r="D365" s="1720"/>
      <c r="E365" s="1720"/>
      <c r="F365" s="1720"/>
      <c r="G365" s="1720"/>
      <c r="H365" s="1720"/>
    </row>
    <row r="366" spans="1:8" x14ac:dyDescent="0.2">
      <c r="A366" s="1721" t="s">
        <v>841</v>
      </c>
      <c r="B366" s="1720"/>
      <c r="C366" s="1720"/>
      <c r="D366" s="1720"/>
      <c r="E366" s="1720"/>
      <c r="F366" s="1720"/>
      <c r="G366" s="1720"/>
      <c r="H366" s="1720"/>
    </row>
    <row r="367" spans="1:8" x14ac:dyDescent="0.2">
      <c r="A367" s="1721" t="s">
        <v>842</v>
      </c>
      <c r="B367" s="1720"/>
      <c r="C367" s="1720"/>
      <c r="D367" s="1720"/>
      <c r="E367" s="1720"/>
      <c r="F367" s="1720"/>
      <c r="G367" s="1720"/>
      <c r="H367" s="1720"/>
    </row>
    <row r="368" spans="1:8" x14ac:dyDescent="0.2">
      <c r="A368" s="1720"/>
      <c r="B368" s="1720"/>
      <c r="C368" s="1720"/>
      <c r="D368" s="1720"/>
      <c r="E368" s="1720"/>
      <c r="F368" s="1720"/>
      <c r="G368" s="1720"/>
      <c r="H368" s="1720"/>
    </row>
    <row r="369" spans="1:8" x14ac:dyDescent="0.2">
      <c r="A369" s="1721" t="s">
        <v>833</v>
      </c>
      <c r="B369" s="1720"/>
      <c r="C369" s="1720"/>
      <c r="D369" s="1720"/>
      <c r="E369" s="1720"/>
      <c r="F369" s="1720"/>
      <c r="G369" s="1720"/>
      <c r="H369" s="1720"/>
    </row>
    <row r="370" spans="1:8" x14ac:dyDescent="0.2">
      <c r="A370" s="1721" t="s">
        <v>834</v>
      </c>
      <c r="B370" s="1720"/>
      <c r="C370" s="1720"/>
      <c r="D370" s="1720"/>
      <c r="E370" s="1720"/>
      <c r="F370" s="1720"/>
      <c r="G370" s="1720"/>
      <c r="H370" s="1720"/>
    </row>
    <row r="371" spans="1:8" x14ac:dyDescent="0.2">
      <c r="A371" s="1721" t="s">
        <v>835</v>
      </c>
      <c r="B371" s="1720"/>
      <c r="C371" s="1720"/>
      <c r="D371" s="1720"/>
      <c r="E371" s="1720"/>
      <c r="F371" s="1720"/>
      <c r="G371" s="1720"/>
      <c r="H371" s="1720"/>
    </row>
    <row r="372" spans="1:8" x14ac:dyDescent="0.2">
      <c r="A372" s="1721" t="s">
        <v>836</v>
      </c>
      <c r="B372" s="1720"/>
      <c r="C372" s="1720"/>
      <c r="D372" s="1720"/>
      <c r="E372" s="1720"/>
      <c r="F372" s="1720"/>
      <c r="G372" s="1720"/>
      <c r="H372" s="1720"/>
    </row>
    <row r="373" spans="1:8" x14ac:dyDescent="0.2">
      <c r="A373" s="1721" t="s">
        <v>837</v>
      </c>
      <c r="B373" s="1720"/>
      <c r="C373" s="1720"/>
      <c r="D373" s="1720"/>
      <c r="E373" s="1720"/>
      <c r="F373" s="1720"/>
      <c r="G373" s="1720"/>
      <c r="H373" s="1720"/>
    </row>
    <row r="374" spans="1:8" x14ac:dyDescent="0.2">
      <c r="A374" s="1721" t="s">
        <v>838</v>
      </c>
      <c r="B374" s="1720"/>
      <c r="C374" s="1720"/>
      <c r="D374" s="1720"/>
      <c r="E374" s="1720"/>
      <c r="F374" s="1720"/>
      <c r="G374" s="1720"/>
      <c r="H374" s="1720"/>
    </row>
    <row r="375" spans="1:8" x14ac:dyDescent="0.2">
      <c r="A375" s="1720"/>
      <c r="B375" s="1720"/>
      <c r="C375" s="1720"/>
      <c r="D375" s="1720"/>
      <c r="E375" s="1720"/>
      <c r="F375" s="1720"/>
      <c r="G375" s="1720"/>
      <c r="H375" s="1720"/>
    </row>
    <row r="376" spans="1:8" x14ac:dyDescent="0.2">
      <c r="A376" s="1721" t="s">
        <v>828</v>
      </c>
      <c r="B376" s="1720"/>
      <c r="C376" s="1720"/>
      <c r="D376" s="1720"/>
      <c r="E376" s="1720"/>
      <c r="F376" s="1720"/>
      <c r="G376" s="1720"/>
      <c r="H376" s="1720"/>
    </row>
    <row r="377" spans="1:8" x14ac:dyDescent="0.2">
      <c r="A377" s="1721" t="s">
        <v>829</v>
      </c>
      <c r="B377" s="1720"/>
      <c r="C377" s="1720"/>
      <c r="D377" s="1720"/>
      <c r="E377" s="1720"/>
      <c r="F377" s="1720"/>
      <c r="G377" s="1720"/>
      <c r="H377" s="1720"/>
    </row>
    <row r="378" spans="1:8" x14ac:dyDescent="0.2">
      <c r="A378" s="1721" t="s">
        <v>830</v>
      </c>
      <c r="B378" s="1720"/>
      <c r="C378" s="1720"/>
      <c r="D378" s="1720"/>
      <c r="E378" s="1720"/>
      <c r="F378" s="1720"/>
      <c r="G378" s="1720"/>
      <c r="H378" s="1720"/>
    </row>
    <row r="379" spans="1:8" x14ac:dyDescent="0.2">
      <c r="A379" s="1721" t="s">
        <v>831</v>
      </c>
      <c r="B379" s="1720"/>
      <c r="C379" s="1720"/>
      <c r="D379" s="1720"/>
      <c r="E379" s="1720"/>
      <c r="F379" s="1720"/>
      <c r="G379" s="1720"/>
      <c r="H379" s="1720"/>
    </row>
    <row r="380" spans="1:8" x14ac:dyDescent="0.2">
      <c r="A380" s="1721" t="s">
        <v>832</v>
      </c>
      <c r="B380" s="1720"/>
      <c r="C380" s="1720"/>
      <c r="D380" s="1720"/>
      <c r="E380" s="1720"/>
      <c r="F380" s="1720"/>
      <c r="G380" s="1720"/>
      <c r="H380" s="1720"/>
    </row>
    <row r="381" spans="1:8" x14ac:dyDescent="0.2">
      <c r="A381" s="1720"/>
      <c r="B381" s="1720"/>
      <c r="C381" s="1720"/>
      <c r="D381" s="1720"/>
      <c r="E381" s="1720"/>
      <c r="F381" s="1720"/>
      <c r="G381" s="1720"/>
      <c r="H381" s="1720"/>
    </row>
    <row r="382" spans="1:8" x14ac:dyDescent="0.2">
      <c r="A382" s="1721" t="s">
        <v>826</v>
      </c>
      <c r="B382" s="1720"/>
      <c r="C382" s="1720"/>
      <c r="D382" s="1720"/>
      <c r="E382" s="1720"/>
      <c r="F382" s="1720"/>
      <c r="G382" s="1720"/>
      <c r="H382" s="1720"/>
    </row>
    <row r="383" spans="1:8" x14ac:dyDescent="0.2">
      <c r="A383" s="1721" t="s">
        <v>827</v>
      </c>
      <c r="B383" s="1720"/>
      <c r="C383" s="1720"/>
      <c r="D383" s="1720"/>
      <c r="E383" s="1720"/>
      <c r="F383" s="1720"/>
      <c r="G383" s="1720"/>
      <c r="H383" s="1720"/>
    </row>
    <row r="385" spans="1:1" x14ac:dyDescent="0.2">
      <c r="A385" s="1716" t="s">
        <v>1078</v>
      </c>
    </row>
  </sheetData>
  <mergeCells count="12">
    <mergeCell ref="A126:H126"/>
    <mergeCell ref="A127:H127"/>
    <mergeCell ref="B119:C119"/>
    <mergeCell ref="D119:F119"/>
    <mergeCell ref="G119:H119"/>
    <mergeCell ref="A105:H105"/>
    <mergeCell ref="A106:H106"/>
    <mergeCell ref="A107:H107"/>
    <mergeCell ref="A108:H108"/>
    <mergeCell ref="A110:H110"/>
    <mergeCell ref="A111:H111"/>
    <mergeCell ref="A118:H118"/>
  </mergeCells>
  <pageMargins left="0.5" right="0.5" top="0.5" bottom="0.5" header="0.5" footer="0.5"/>
  <pageSetup orientation="portrait" horizontalDpi="300" verticalDpi="0"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theme="0"/>
    <pageSetUpPr fitToPage="1"/>
  </sheetPr>
  <dimension ref="A1:XFD178"/>
  <sheetViews>
    <sheetView showGridLines="0" zoomScaleNormal="100" zoomScaleSheetLayoutView="130" workbookViewId="0">
      <pane xSplit="2" ySplit="6" topLeftCell="AK7" activePane="bottomRight" state="frozen"/>
      <selection activeCell="BG17" sqref="BG17"/>
      <selection pane="topRight" activeCell="BG17" sqref="BG17"/>
      <selection pane="bottomLeft" activeCell="BG17" sqref="BG17"/>
      <selection pane="bottomRight" sqref="A1:XFD1048576"/>
    </sheetView>
  </sheetViews>
  <sheetFormatPr defaultRowHeight="12.75" outlineLevelRow="1" outlineLevelCol="1" x14ac:dyDescent="0.2"/>
  <cols>
    <col min="1" max="1" width="0.7109375" customWidth="1"/>
    <col min="2" max="2" width="25.28515625" customWidth="1"/>
    <col min="3" max="6" width="6.5703125" hidden="1" customWidth="1" outlineLevel="1"/>
    <col min="7" max="7" width="6.5703125" hidden="1" customWidth="1" outlineLevel="1" collapsed="1"/>
    <col min="8" max="8" width="1" hidden="1" customWidth="1" outlineLevel="1"/>
    <col min="9" max="12" width="6.5703125" hidden="1" customWidth="1" outlineLevel="1"/>
    <col min="13" max="13" width="6.5703125" hidden="1" customWidth="1" outlineLevel="1" collapsed="1"/>
    <col min="14" max="14" width="1" hidden="1" customWidth="1" outlineLevel="1"/>
    <col min="15" max="19" width="6.5703125" hidden="1" customWidth="1" outlineLevel="1"/>
    <col min="20" max="20" width="1" hidden="1" customWidth="1" outlineLevel="1"/>
    <col min="21" max="25" width="6.5703125" hidden="1" customWidth="1" outlineLevel="1"/>
    <col min="26" max="26" width="0.7109375" hidden="1" customWidth="1" outlineLevel="1"/>
    <col min="27" max="30" width="6.5703125" hidden="1" customWidth="1" outlineLevel="1"/>
    <col min="31" max="31" width="6.5703125" hidden="1" customWidth="1" outlineLevel="1" collapsed="1"/>
    <col min="32" max="32" width="1" hidden="1" customWidth="1" outlineLevel="1"/>
    <col min="33" max="36" width="6.5703125" hidden="1" customWidth="1" outlineLevel="1"/>
    <col min="37" max="37" width="6.5703125" customWidth="1" collapsed="1"/>
    <col min="38" max="38" width="1" customWidth="1"/>
    <col min="39" max="42" width="6.5703125" hidden="1" customWidth="1" outlineLevel="1"/>
    <col min="43" max="43" width="6.5703125" customWidth="1" collapsed="1"/>
    <col min="44" max="44" width="0.85546875" customWidth="1"/>
    <col min="45" max="48" width="6.5703125" hidden="1" customWidth="1" outlineLevel="1"/>
    <col min="49" max="49" width="6.5703125" customWidth="1" collapsed="1"/>
    <col min="50" max="50" width="1" customWidth="1"/>
    <col min="51" max="54" width="6.5703125" hidden="1" customWidth="1" outlineLevel="1"/>
    <col min="55" max="55" width="6.5703125" customWidth="1" collapsed="1"/>
    <col min="56" max="56" width="1" customWidth="1"/>
    <col min="57" max="60" width="7.7109375" style="811" hidden="1" customWidth="1" outlineLevel="1"/>
    <col min="61" max="61" width="7.7109375" style="811" customWidth="1" collapsed="1"/>
    <col min="62" max="62" width="1" style="24" customWidth="1"/>
    <col min="63" max="66" width="7.7109375" style="811" customWidth="1" outlineLevel="1"/>
    <col min="67" max="67" width="7.7109375" style="811" customWidth="1"/>
    <col min="68" max="68" width="1" style="24" customWidth="1"/>
    <col min="69" max="72" width="7.7109375" style="811" customWidth="1" outlineLevel="1"/>
    <col min="73" max="73" width="7.7109375" style="811" customWidth="1"/>
    <col min="74" max="74" width="1" style="24" customWidth="1"/>
    <col min="75" max="78" width="7.7109375" style="811" hidden="1" customWidth="1" outlineLevel="1"/>
    <col min="79" max="79" width="7.7109375" style="811" customWidth="1" collapsed="1"/>
    <col min="80" max="80" width="1" style="24" customWidth="1"/>
    <col min="81" max="84" width="7.7109375" style="811" hidden="1" customWidth="1" outlineLevel="1"/>
    <col min="85" max="85" width="7.7109375" style="811" customWidth="1" collapsed="1"/>
    <col min="86" max="88" width="8.7109375" customWidth="1"/>
    <col min="89" max="92" width="2" customWidth="1"/>
    <col min="93" max="93" width="26.5703125" hidden="1" customWidth="1" outlineLevel="1"/>
    <col min="94" max="98" width="8.7109375" hidden="1" customWidth="1" outlineLevel="1"/>
    <col min="99" max="99" width="9.140625" collapsed="1"/>
  </cols>
  <sheetData>
    <row r="1" spans="1:98" x14ac:dyDescent="0.2">
      <c r="B1" s="91" t="s">
        <v>362</v>
      </c>
      <c r="C1" s="122"/>
      <c r="D1" s="122"/>
      <c r="E1" s="122"/>
      <c r="F1" s="122"/>
      <c r="G1" s="122"/>
      <c r="H1" s="123"/>
      <c r="I1" s="122"/>
      <c r="J1" s="122"/>
      <c r="K1" s="122"/>
      <c r="L1" s="122"/>
      <c r="M1" s="122"/>
      <c r="N1" s="123"/>
      <c r="O1" s="122"/>
      <c r="P1" s="122"/>
      <c r="Q1" s="122"/>
      <c r="R1" s="122"/>
      <c r="S1" s="122"/>
      <c r="T1" s="123"/>
      <c r="U1" s="122"/>
      <c r="V1" s="122"/>
      <c r="W1" s="122"/>
      <c r="X1" s="122"/>
      <c r="Y1" s="124"/>
      <c r="Z1" s="123"/>
      <c r="AA1" s="122"/>
      <c r="AB1" s="122"/>
      <c r="AC1" s="122"/>
      <c r="AD1" s="122"/>
      <c r="AE1" s="122"/>
      <c r="AF1" s="123"/>
      <c r="AG1" s="122"/>
      <c r="AH1" s="122"/>
      <c r="AI1" s="122"/>
      <c r="AJ1" s="122"/>
      <c r="AK1" s="122"/>
      <c r="AL1" s="123"/>
      <c r="AM1" s="122"/>
      <c r="AN1" s="122"/>
      <c r="AO1" s="531"/>
      <c r="AP1" s="122"/>
      <c r="AQ1" s="122"/>
      <c r="AR1" s="123"/>
      <c r="AS1" s="122"/>
      <c r="BD1" s="123"/>
      <c r="BE1" s="122"/>
      <c r="BF1" s="122"/>
      <c r="BG1" s="122"/>
      <c r="BH1" s="122"/>
      <c r="BI1"/>
      <c r="BJ1" s="167"/>
      <c r="BK1" s="122"/>
      <c r="BL1" s="122"/>
      <c r="BM1" s="122"/>
      <c r="BN1" s="122"/>
      <c r="BO1" s="1309"/>
      <c r="BP1" s="167"/>
      <c r="BQ1" s="122"/>
      <c r="BR1" s="122"/>
      <c r="BS1" s="122"/>
      <c r="BT1" s="122"/>
      <c r="BU1" s="122"/>
      <c r="BV1" s="167"/>
      <c r="BW1" s="122"/>
      <c r="BX1" s="122"/>
      <c r="BY1" s="122"/>
      <c r="BZ1" s="122"/>
      <c r="CA1" s="122"/>
      <c r="CB1" s="167"/>
      <c r="CC1" s="122"/>
      <c r="CD1" s="122"/>
      <c r="CE1" s="122"/>
      <c r="CF1" s="122"/>
      <c r="CG1" s="122"/>
      <c r="CH1" s="122"/>
      <c r="CI1" s="122"/>
      <c r="CJ1" s="122"/>
      <c r="CK1" s="122"/>
      <c r="CL1" s="122"/>
      <c r="CM1" s="24"/>
      <c r="CN1" s="24"/>
    </row>
    <row r="2" spans="1:98" x14ac:dyDescent="0.2">
      <c r="B2" s="10" t="s">
        <v>195</v>
      </c>
      <c r="C2" s="122"/>
      <c r="D2" s="122"/>
      <c r="E2" s="122"/>
      <c r="F2" s="122"/>
      <c r="G2" s="122"/>
      <c r="H2" s="123"/>
      <c r="I2" s="122"/>
      <c r="J2" s="122"/>
      <c r="K2" s="122"/>
      <c r="L2" s="122"/>
      <c r="M2" s="122"/>
      <c r="N2" s="123"/>
      <c r="O2" s="122"/>
      <c r="P2" s="122"/>
      <c r="Q2" s="122"/>
      <c r="R2" s="122"/>
      <c r="S2" s="122"/>
      <c r="T2" s="123"/>
      <c r="U2" s="122"/>
      <c r="V2" s="122"/>
      <c r="W2" s="122"/>
      <c r="X2" s="122"/>
      <c r="Y2" s="393"/>
      <c r="Z2" s="123"/>
      <c r="AA2" s="122"/>
      <c r="AB2" s="122"/>
      <c r="AC2" s="122"/>
      <c r="AD2" s="391"/>
      <c r="AE2" s="122"/>
      <c r="AF2" s="123"/>
      <c r="AG2" s="122"/>
      <c r="AH2" s="122"/>
      <c r="AI2" s="122"/>
      <c r="AJ2" s="122"/>
      <c r="AK2" s="122"/>
      <c r="AL2" s="123"/>
      <c r="AM2" s="122"/>
      <c r="AN2" s="122"/>
      <c r="AO2" s="122"/>
      <c r="AP2" s="122"/>
      <c r="AQ2" s="122"/>
      <c r="AR2" s="123"/>
      <c r="AS2" s="135"/>
      <c r="AT2" s="135"/>
      <c r="AU2" s="135"/>
      <c r="AV2" s="135"/>
      <c r="BD2" s="123"/>
      <c r="BE2" s="122"/>
      <c r="BF2" s="122"/>
      <c r="BG2" s="122"/>
      <c r="BH2" s="122"/>
      <c r="BI2"/>
      <c r="BJ2" s="167"/>
      <c r="BK2" s="122"/>
      <c r="BL2" s="122"/>
      <c r="BM2" s="122"/>
      <c r="BN2" s="122"/>
      <c r="BO2" s="559"/>
      <c r="BP2" s="167"/>
      <c r="BQ2" s="122"/>
      <c r="BR2" s="122"/>
      <c r="BS2" s="122"/>
      <c r="BT2" s="122"/>
      <c r="BU2" s="548"/>
      <c r="BV2" s="167"/>
      <c r="BW2" s="122"/>
      <c r="BX2" s="122"/>
      <c r="BY2" s="122"/>
      <c r="BZ2" s="122"/>
      <c r="CA2" s="548"/>
      <c r="CB2" s="167"/>
      <c r="CC2" s="122"/>
      <c r="CD2" s="122"/>
      <c r="CE2" s="122"/>
      <c r="CF2" s="122"/>
      <c r="CG2" s="548"/>
      <c r="CH2" s="122"/>
      <c r="CI2" s="122"/>
      <c r="CJ2" s="122"/>
      <c r="CK2" s="122"/>
      <c r="CL2" s="122"/>
      <c r="CM2" s="24"/>
      <c r="CN2" s="24"/>
    </row>
    <row r="3" spans="1:98" x14ac:dyDescent="0.2">
      <c r="B3" s="8" t="s">
        <v>334</v>
      </c>
      <c r="C3" s="122"/>
      <c r="D3" s="122"/>
      <c r="E3" s="122"/>
      <c r="F3" s="122"/>
      <c r="G3" s="380"/>
      <c r="H3" s="125"/>
      <c r="I3" s="122"/>
      <c r="J3" s="122"/>
      <c r="K3" s="122"/>
      <c r="L3" s="122"/>
      <c r="M3" s="380"/>
      <c r="N3" s="125"/>
      <c r="O3" s="122"/>
      <c r="P3" s="122"/>
      <c r="Q3" s="126"/>
      <c r="R3" s="126"/>
      <c r="S3" s="380"/>
      <c r="T3" s="125"/>
      <c r="U3" s="122"/>
      <c r="V3" s="122"/>
      <c r="W3" s="122"/>
      <c r="X3" s="122"/>
      <c r="Y3" s="393"/>
      <c r="Z3" s="125"/>
      <c r="AA3" s="380"/>
      <c r="AB3" s="380"/>
      <c r="AC3" s="380"/>
      <c r="AD3" s="413"/>
      <c r="AE3" s="380"/>
      <c r="AF3" s="125"/>
      <c r="AG3" s="380"/>
      <c r="AH3" s="380"/>
      <c r="AI3" s="380"/>
      <c r="AJ3" s="380"/>
      <c r="AK3" s="380"/>
      <c r="AL3" s="125"/>
      <c r="AM3" s="530"/>
      <c r="AN3" s="530"/>
      <c r="AO3" s="530"/>
      <c r="AP3" s="530"/>
      <c r="AQ3" s="136"/>
      <c r="AR3" s="125"/>
      <c r="AS3" s="530"/>
      <c r="BD3" s="125"/>
      <c r="BE3" s="548"/>
      <c r="BF3" s="548"/>
      <c r="BG3" s="548"/>
      <c r="BH3" s="548"/>
      <c r="BI3"/>
      <c r="BJ3" s="548"/>
      <c r="BK3" s="548"/>
      <c r="BL3" s="548"/>
      <c r="BM3" s="548"/>
      <c r="BN3" s="548"/>
      <c r="BO3" s="1471"/>
      <c r="BP3" s="548"/>
      <c r="BQ3" s="548"/>
      <c r="BR3" s="548"/>
      <c r="BS3" s="548"/>
      <c r="BT3" s="548"/>
      <c r="BU3" s="548"/>
      <c r="BV3" s="548"/>
      <c r="BW3" s="548"/>
      <c r="BX3" s="548"/>
      <c r="BY3" s="548"/>
      <c r="BZ3" s="548"/>
      <c r="CA3" s="548"/>
      <c r="CB3" s="548"/>
      <c r="CC3" s="548"/>
      <c r="CD3" s="548"/>
      <c r="CE3" s="548"/>
      <c r="CF3" s="548"/>
      <c r="CG3" s="548"/>
      <c r="CH3" s="380"/>
      <c r="CI3" s="380"/>
      <c r="CJ3" s="380"/>
      <c r="CK3" s="380"/>
      <c r="CL3" s="380"/>
      <c r="CM3" s="24"/>
      <c r="CN3" s="24"/>
    </row>
    <row r="4" spans="1:98" x14ac:dyDescent="0.2">
      <c r="B4" s="9" t="s">
        <v>332</v>
      </c>
      <c r="C4" s="439"/>
      <c r="D4" s="439"/>
      <c r="E4" s="439"/>
      <c r="F4" s="439"/>
      <c r="G4" s="518"/>
      <c r="H4" s="125"/>
      <c r="I4" s="439"/>
      <c r="J4" s="439"/>
      <c r="K4" s="439"/>
      <c r="L4" s="439"/>
      <c r="M4" s="518"/>
      <c r="N4" s="125"/>
      <c r="O4" s="439"/>
      <c r="P4" s="439"/>
      <c r="Q4" s="439"/>
      <c r="R4" s="439"/>
      <c r="S4" s="518"/>
      <c r="T4" s="125"/>
      <c r="U4" s="439"/>
      <c r="V4" s="439"/>
      <c r="W4" s="439"/>
      <c r="X4" s="439"/>
      <c r="Y4" s="440"/>
      <c r="Z4" s="125"/>
      <c r="AA4" s="518"/>
      <c r="AB4" s="519"/>
      <c r="AC4" s="518"/>
      <c r="AD4" s="520"/>
      <c r="AE4" s="518"/>
      <c r="AF4" s="125"/>
      <c r="AG4" s="518"/>
      <c r="AH4" s="518"/>
      <c r="AI4" s="518"/>
      <c r="AJ4" s="518"/>
      <c r="AK4" s="518"/>
      <c r="AL4" s="125"/>
      <c r="AM4" s="439"/>
      <c r="AN4" s="439"/>
      <c r="AO4" s="439"/>
      <c r="AP4" s="439"/>
      <c r="AQ4" s="518"/>
      <c r="AR4" s="125"/>
      <c r="AS4" s="439"/>
      <c r="AZ4" s="422"/>
      <c r="BC4" s="547"/>
      <c r="BD4" s="125"/>
      <c r="BE4" s="439"/>
      <c r="BF4" s="439"/>
      <c r="BG4" s="439"/>
      <c r="BH4" s="439"/>
      <c r="BI4"/>
      <c r="BJ4" s="69"/>
      <c r="BK4" s="439"/>
      <c r="BL4" s="439"/>
      <c r="BM4" s="439"/>
      <c r="BN4" s="439"/>
      <c r="BP4" s="69"/>
      <c r="BQ4" s="439"/>
      <c r="BR4" s="439"/>
      <c r="BS4" s="439"/>
      <c r="BT4" s="439"/>
      <c r="BU4" s="544"/>
      <c r="BV4" s="69"/>
      <c r="BW4" s="439"/>
      <c r="BX4" s="439"/>
      <c r="BY4" s="439"/>
      <c r="BZ4" s="439"/>
      <c r="CA4" s="544"/>
      <c r="CB4" s="69"/>
      <c r="CC4" s="439"/>
      <c r="CD4" s="439"/>
      <c r="CE4" s="439"/>
      <c r="CF4" s="439"/>
      <c r="CG4" s="544"/>
      <c r="CH4" s="518"/>
      <c r="CI4" s="518"/>
      <c r="CJ4" s="518"/>
      <c r="CK4" s="518"/>
      <c r="CL4" s="518"/>
      <c r="CM4" s="24"/>
      <c r="CN4" s="24"/>
    </row>
    <row r="5" spans="1:98" s="757" customFormat="1" x14ac:dyDescent="0.2">
      <c r="C5" s="1712" t="s">
        <v>68</v>
      </c>
      <c r="D5" s="1712"/>
      <c r="E5" s="1712"/>
      <c r="F5" s="1712"/>
      <c r="G5" s="1712"/>
      <c r="H5" s="4"/>
      <c r="I5" s="1712" t="s">
        <v>69</v>
      </c>
      <c r="J5" s="1712"/>
      <c r="K5" s="1712"/>
      <c r="L5" s="1712"/>
      <c r="M5" s="1712"/>
      <c r="N5" s="4"/>
      <c r="O5" s="1712" t="s">
        <v>70</v>
      </c>
      <c r="P5" s="1712"/>
      <c r="Q5" s="1712"/>
      <c r="R5" s="1712"/>
      <c r="S5" s="1712"/>
      <c r="T5" s="4"/>
      <c r="U5" s="1712" t="s">
        <v>142</v>
      </c>
      <c r="V5" s="1712"/>
      <c r="W5" s="1712"/>
      <c r="X5" s="1712"/>
      <c r="Y5" s="1712"/>
      <c r="Z5" s="4"/>
      <c r="AA5" s="1712" t="s">
        <v>186</v>
      </c>
      <c r="AB5" s="1712"/>
      <c r="AC5" s="1712"/>
      <c r="AD5" s="1712"/>
      <c r="AE5" s="1712"/>
      <c r="AF5" s="4"/>
      <c r="AG5" s="1712" t="s">
        <v>187</v>
      </c>
      <c r="AH5" s="1712"/>
      <c r="AI5" s="1712"/>
      <c r="AJ5" s="1712"/>
      <c r="AK5" s="1712"/>
      <c r="AL5" s="4"/>
      <c r="AM5" s="1712" t="s">
        <v>188</v>
      </c>
      <c r="AN5" s="1712"/>
      <c r="AO5" s="1712"/>
      <c r="AP5" s="1712"/>
      <c r="AQ5" s="1712"/>
      <c r="AR5" s="4"/>
      <c r="AS5" s="1712" t="s">
        <v>376</v>
      </c>
      <c r="AT5" s="1712"/>
      <c r="AU5" s="1712"/>
      <c r="AV5" s="1712"/>
      <c r="AW5" s="1712"/>
      <c r="AX5" s="4"/>
      <c r="AY5" s="1712" t="s">
        <v>529</v>
      </c>
      <c r="AZ5" s="1712"/>
      <c r="BA5" s="1712"/>
      <c r="BB5" s="1712"/>
      <c r="BC5" s="1712"/>
      <c r="BD5" s="4"/>
      <c r="BE5" s="1712" t="s">
        <v>580</v>
      </c>
      <c r="BF5" s="1712"/>
      <c r="BG5" s="1712"/>
      <c r="BH5" s="1712"/>
      <c r="BI5" s="1712"/>
      <c r="BJ5" s="755"/>
      <c r="BK5" s="1712" t="s">
        <v>581</v>
      </c>
      <c r="BL5" s="1712"/>
      <c r="BM5" s="1712"/>
      <c r="BN5" s="1712"/>
      <c r="BO5" s="1712"/>
      <c r="BP5" s="755"/>
      <c r="BQ5" s="1712" t="s">
        <v>393</v>
      </c>
      <c r="BR5" s="1712"/>
      <c r="BS5" s="1712"/>
      <c r="BT5" s="1712"/>
      <c r="BU5" s="1712"/>
      <c r="BV5" s="755"/>
      <c r="BW5" s="1712" t="s">
        <v>394</v>
      </c>
      <c r="BX5" s="1712"/>
      <c r="BY5" s="1712"/>
      <c r="BZ5" s="1712"/>
      <c r="CA5" s="1712"/>
      <c r="CB5" s="755"/>
      <c r="CC5" s="1712" t="s">
        <v>395</v>
      </c>
      <c r="CD5" s="1712"/>
      <c r="CE5" s="1712"/>
      <c r="CF5" s="1712"/>
      <c r="CG5" s="1712"/>
      <c r="CH5" s="29"/>
      <c r="CI5" s="29"/>
      <c r="CJ5" s="29"/>
      <c r="CK5" s="29"/>
      <c r="CL5" s="29"/>
      <c r="CM5" s="758"/>
      <c r="CN5" s="758"/>
      <c r="CO5"/>
      <c r="CP5"/>
      <c r="CQ5"/>
      <c r="CR5"/>
      <c r="CS5"/>
      <c r="CT5"/>
    </row>
    <row r="6" spans="1:98" x14ac:dyDescent="0.2">
      <c r="B6" s="379"/>
      <c r="C6" s="2">
        <v>39172</v>
      </c>
      <c r="D6" s="2">
        <v>39263</v>
      </c>
      <c r="E6" s="2">
        <v>39355</v>
      </c>
      <c r="F6" s="2">
        <v>39447</v>
      </c>
      <c r="G6" s="150" t="str">
        <f>+C5</f>
        <v>2007A</v>
      </c>
      <c r="H6" s="3"/>
      <c r="I6" s="2">
        <v>39538</v>
      </c>
      <c r="J6" s="2">
        <v>39629</v>
      </c>
      <c r="K6" s="2">
        <v>39721</v>
      </c>
      <c r="L6" s="2">
        <v>39813</v>
      </c>
      <c r="M6" s="522" t="str">
        <f>+I5</f>
        <v>2008A</v>
      </c>
      <c r="N6" s="523"/>
      <c r="O6" s="524">
        <v>39903</v>
      </c>
      <c r="P6" s="524">
        <v>39994</v>
      </c>
      <c r="Q6" s="524">
        <v>40086</v>
      </c>
      <c r="R6" s="524">
        <v>40178</v>
      </c>
      <c r="S6" s="522" t="str">
        <f>+O5</f>
        <v>2009A</v>
      </c>
      <c r="T6" s="523"/>
      <c r="U6" s="524">
        <v>40268</v>
      </c>
      <c r="V6" s="524">
        <v>40359</v>
      </c>
      <c r="W6" s="524">
        <v>40451</v>
      </c>
      <c r="X6" s="524">
        <v>40543</v>
      </c>
      <c r="Y6" s="522" t="str">
        <f>+U5</f>
        <v>2010A</v>
      </c>
      <c r="Z6" s="523"/>
      <c r="AA6" s="524">
        <v>40633</v>
      </c>
      <c r="AB6" s="524">
        <v>40724</v>
      </c>
      <c r="AC6" s="524">
        <v>40816</v>
      </c>
      <c r="AD6" s="524">
        <v>40908</v>
      </c>
      <c r="AE6" s="525" t="str">
        <f>+AA5</f>
        <v>2011A</v>
      </c>
      <c r="AF6" s="523"/>
      <c r="AG6" s="524">
        <v>40999</v>
      </c>
      <c r="AH6" s="524">
        <v>41090</v>
      </c>
      <c r="AI6" s="524">
        <v>41182</v>
      </c>
      <c r="AJ6" s="524">
        <v>41274</v>
      </c>
      <c r="AK6" s="525" t="str">
        <f>+AG5</f>
        <v>2012A</v>
      </c>
      <c r="AL6" s="523"/>
      <c r="AM6" s="524">
        <v>41364</v>
      </c>
      <c r="AN6" s="524">
        <v>41455</v>
      </c>
      <c r="AO6" s="524">
        <v>41547</v>
      </c>
      <c r="AP6" s="524">
        <v>41639</v>
      </c>
      <c r="AQ6" s="525" t="str">
        <f>+AM5</f>
        <v>2013A</v>
      </c>
      <c r="AR6" s="523"/>
      <c r="AS6" s="524">
        <v>41729</v>
      </c>
      <c r="AT6" s="524">
        <v>41820</v>
      </c>
      <c r="AU6" s="524">
        <v>41912</v>
      </c>
      <c r="AV6" s="524">
        <v>42004</v>
      </c>
      <c r="AW6" s="525" t="str">
        <f>+AS5</f>
        <v>2014A</v>
      </c>
      <c r="AX6" s="523"/>
      <c r="AY6" s="524">
        <v>42094</v>
      </c>
      <c r="AZ6" s="524">
        <v>42185</v>
      </c>
      <c r="BA6" s="524">
        <v>42277</v>
      </c>
      <c r="BB6" s="524">
        <v>42369</v>
      </c>
      <c r="BC6" s="525" t="str">
        <f>+AY5</f>
        <v>2015A</v>
      </c>
      <c r="BD6" s="523"/>
      <c r="BE6" s="524">
        <v>42460</v>
      </c>
      <c r="BF6" s="524">
        <v>42551</v>
      </c>
      <c r="BG6" s="524">
        <v>42643</v>
      </c>
      <c r="BH6" s="524">
        <v>42735</v>
      </c>
      <c r="BI6" s="525" t="str">
        <f>+BE5</f>
        <v>2016A</v>
      </c>
      <c r="BJ6" s="523"/>
      <c r="BK6" s="524">
        <v>42825</v>
      </c>
      <c r="BL6" s="524">
        <v>42916</v>
      </c>
      <c r="BM6" s="524">
        <v>43008</v>
      </c>
      <c r="BN6" s="524">
        <v>43100</v>
      </c>
      <c r="BO6" s="525" t="str">
        <f>+BK5</f>
        <v>2017A</v>
      </c>
      <c r="BP6" s="523"/>
      <c r="BQ6" s="515">
        <v>43190</v>
      </c>
      <c r="BR6" s="515">
        <v>43281</v>
      </c>
      <c r="BS6" s="515">
        <v>43373</v>
      </c>
      <c r="BT6" s="515">
        <v>43465</v>
      </c>
      <c r="BU6" s="525" t="str">
        <f>+BQ5</f>
        <v>2018E</v>
      </c>
      <c r="BV6" s="523"/>
      <c r="BW6" s="515">
        <v>43555</v>
      </c>
      <c r="BX6" s="515">
        <v>43646</v>
      </c>
      <c r="BY6" s="515">
        <v>43738</v>
      </c>
      <c r="BZ6" s="515">
        <v>43830</v>
      </c>
      <c r="CA6" s="525" t="str">
        <f>+BW5</f>
        <v>2019E</v>
      </c>
      <c r="CB6" s="523"/>
      <c r="CC6" s="515">
        <v>43921</v>
      </c>
      <c r="CD6" s="515">
        <v>44012</v>
      </c>
      <c r="CE6" s="515">
        <v>44104</v>
      </c>
      <c r="CF6" s="515">
        <v>44196</v>
      </c>
      <c r="CG6" s="525" t="str">
        <f>+CC5</f>
        <v>2020E</v>
      </c>
      <c r="CH6" s="151"/>
      <c r="CI6" s="151"/>
      <c r="CJ6" s="151"/>
      <c r="CK6" s="151"/>
      <c r="CL6" s="151"/>
      <c r="CM6" s="75"/>
      <c r="CN6" s="75"/>
    </row>
    <row r="7" spans="1:98" ht="12.75" customHeight="1" outlineLevel="1" x14ac:dyDescent="0.2">
      <c r="B7" s="32" t="s">
        <v>143</v>
      </c>
      <c r="C7" s="33">
        <v>92</v>
      </c>
      <c r="D7" s="33">
        <f>+D6-C6</f>
        <v>91</v>
      </c>
      <c r="E7" s="33">
        <f>+E6-D6</f>
        <v>92</v>
      </c>
      <c r="F7" s="33">
        <f>+F6-E6</f>
        <v>92</v>
      </c>
      <c r="G7" s="33">
        <f>+SUM(C7:F7)</f>
        <v>367</v>
      </c>
      <c r="H7" s="3"/>
      <c r="I7" s="33">
        <f>+I6-F6</f>
        <v>91</v>
      </c>
      <c r="J7" s="33">
        <f>+J6-I6</f>
        <v>91</v>
      </c>
      <c r="K7" s="33">
        <f>+K6-J6</f>
        <v>92</v>
      </c>
      <c r="L7" s="33">
        <f>+L6-K6</f>
        <v>92</v>
      </c>
      <c r="M7" s="33">
        <f>+SUM(I7:L7)</f>
        <v>366</v>
      </c>
      <c r="N7" s="3"/>
      <c r="O7" s="33">
        <f>+O6-L6</f>
        <v>90</v>
      </c>
      <c r="P7" s="33">
        <f>+P6-O6</f>
        <v>91</v>
      </c>
      <c r="Q7" s="33">
        <f>+Q6-P6</f>
        <v>92</v>
      </c>
      <c r="R7" s="33">
        <f>+R6-Q6</f>
        <v>92</v>
      </c>
      <c r="S7" s="33">
        <f>+SUM(O7:R7)</f>
        <v>365</v>
      </c>
      <c r="T7" s="3"/>
      <c r="U7" s="33">
        <f>+U6-R6</f>
        <v>90</v>
      </c>
      <c r="V7" s="33">
        <f>+V6-U6</f>
        <v>91</v>
      </c>
      <c r="W7" s="33">
        <f>+W6-V6</f>
        <v>92</v>
      </c>
      <c r="X7" s="33">
        <f>+X6-W6</f>
        <v>92</v>
      </c>
      <c r="Y7" s="33">
        <f>+SUM(U7:X7)</f>
        <v>365</v>
      </c>
      <c r="Z7" s="3"/>
      <c r="AA7" s="33">
        <f>+AA6-X6</f>
        <v>90</v>
      </c>
      <c r="AB7" s="33">
        <f>+AB6-AA6</f>
        <v>91</v>
      </c>
      <c r="AC7" s="33">
        <f>+AC6-AB6</f>
        <v>92</v>
      </c>
      <c r="AD7" s="33">
        <f>+AD6-AC6</f>
        <v>92</v>
      </c>
      <c r="AE7" s="33">
        <f>+SUM(AA7:AD7)</f>
        <v>365</v>
      </c>
      <c r="AF7" s="3"/>
      <c r="AG7" s="33">
        <f>+AG6-AD6</f>
        <v>91</v>
      </c>
      <c r="AH7" s="33">
        <f>+AH6-AG6</f>
        <v>91</v>
      </c>
      <c r="AI7" s="33">
        <f>+AI6-AH6</f>
        <v>92</v>
      </c>
      <c r="AJ7" s="33">
        <f>+AJ6-AI6</f>
        <v>92</v>
      </c>
      <c r="AK7" s="33">
        <f>+SUM(AG7:AJ7)</f>
        <v>366</v>
      </c>
      <c r="AL7" s="3"/>
      <c r="AM7" s="33">
        <f>+AM6-AJ6</f>
        <v>90</v>
      </c>
      <c r="AN7" s="33">
        <f>+AN6-AM6</f>
        <v>91</v>
      </c>
      <c r="AO7" s="33">
        <f>+AO6-AN6</f>
        <v>92</v>
      </c>
      <c r="AP7" s="33">
        <f>+AP6-AO6</f>
        <v>92</v>
      </c>
      <c r="AQ7" s="33">
        <f>+SUM(AM7:AP7)</f>
        <v>365</v>
      </c>
      <c r="AR7" s="3"/>
      <c r="AS7" s="33">
        <f>+AS6-AP6</f>
        <v>90</v>
      </c>
      <c r="AT7" s="33">
        <f>+AT6-AS6</f>
        <v>91</v>
      </c>
      <c r="AU7" s="33">
        <f>+AU6-AT6</f>
        <v>92</v>
      </c>
      <c r="AV7" s="33">
        <f>+AV6-AU6</f>
        <v>92</v>
      </c>
      <c r="AW7" s="33">
        <f>+SUM(AS7:AV7)</f>
        <v>365</v>
      </c>
      <c r="AX7" s="3"/>
      <c r="AY7" s="33">
        <f>+AY6-AV6</f>
        <v>90</v>
      </c>
      <c r="AZ7" s="33">
        <f>+AZ6-AY6</f>
        <v>91</v>
      </c>
      <c r="BA7" s="33">
        <f>+BA6-AZ6</f>
        <v>92</v>
      </c>
      <c r="BB7" s="33">
        <f>+BB6-BA6</f>
        <v>92</v>
      </c>
      <c r="BC7" s="33">
        <f>+SUM(AY7:BB7)</f>
        <v>365</v>
      </c>
      <c r="BD7" s="3"/>
      <c r="BE7" s="33">
        <f>+BE6-BB6</f>
        <v>91</v>
      </c>
      <c r="BF7" s="33">
        <f>+BF6-BE6</f>
        <v>91</v>
      </c>
      <c r="BG7" s="33">
        <f>+BG6-BF6</f>
        <v>92</v>
      </c>
      <c r="BH7" s="33">
        <f>+BH6-BG6</f>
        <v>92</v>
      </c>
      <c r="BI7" s="33">
        <f>+SUM(BE7:BH7)</f>
        <v>366</v>
      </c>
      <c r="BJ7" s="596"/>
      <c r="BK7" s="33">
        <f>+BK6-BH6</f>
        <v>90</v>
      </c>
      <c r="BL7" s="33">
        <f>+BL6-BK6</f>
        <v>91</v>
      </c>
      <c r="BM7" s="33">
        <f>+BM6-BL6</f>
        <v>92</v>
      </c>
      <c r="BN7" s="33">
        <f>+BN6-BM6</f>
        <v>92</v>
      </c>
      <c r="BO7" s="33">
        <f>+SUM(BK7:BN7)</f>
        <v>365</v>
      </c>
      <c r="BP7" s="596"/>
      <c r="BQ7" s="33">
        <f>+BQ6-BN6</f>
        <v>90</v>
      </c>
      <c r="BR7" s="33">
        <f>+BR6-BQ6</f>
        <v>91</v>
      </c>
      <c r="BS7" s="33">
        <f>+BS6-BR6</f>
        <v>92</v>
      </c>
      <c r="BT7" s="33">
        <f>+BT6-BS6</f>
        <v>92</v>
      </c>
      <c r="BU7" s="33">
        <f>+SUM(BQ7:BT7)</f>
        <v>365</v>
      </c>
      <c r="BV7" s="596"/>
      <c r="BW7" s="33">
        <f>+BW6-BT6</f>
        <v>90</v>
      </c>
      <c r="BX7" s="33">
        <f>+BX6-BW6</f>
        <v>91</v>
      </c>
      <c r="BY7" s="33">
        <f>+BY6-BX6</f>
        <v>92</v>
      </c>
      <c r="BZ7" s="33">
        <f>+BZ6-BY6</f>
        <v>92</v>
      </c>
      <c r="CA7" s="33">
        <f>+SUM(BW7:BZ7)</f>
        <v>365</v>
      </c>
      <c r="CB7" s="596"/>
      <c r="CC7" s="33">
        <f>+CC6-BZ6</f>
        <v>91</v>
      </c>
      <c r="CD7" s="33">
        <f>+CD6-CC6</f>
        <v>91</v>
      </c>
      <c r="CE7" s="33">
        <f>+CE6-CD6</f>
        <v>92</v>
      </c>
      <c r="CF7" s="33">
        <f>+CF6-CE6</f>
        <v>92</v>
      </c>
      <c r="CG7" s="33">
        <f>+SUM(CC7:CF7)</f>
        <v>366</v>
      </c>
      <c r="CH7" s="33"/>
      <c r="CI7" s="33"/>
      <c r="CJ7" s="33"/>
      <c r="CK7" s="33"/>
      <c r="CL7" s="33"/>
      <c r="CM7" s="24"/>
      <c r="CN7" s="24"/>
    </row>
    <row r="8" spans="1:98" x14ac:dyDescent="0.2">
      <c r="A8" s="291"/>
      <c r="B8" s="287" t="s">
        <v>137</v>
      </c>
      <c r="C8" s="390">
        <v>472.86399999999998</v>
      </c>
      <c r="D8" s="390">
        <v>507.36200000000002</v>
      </c>
      <c r="E8" s="390">
        <v>488.10300000000007</v>
      </c>
      <c r="F8" s="390">
        <v>541.50400000000013</v>
      </c>
      <c r="G8" s="445">
        <f>+SUM(C8:F8)</f>
        <v>2009.8330000000003</v>
      </c>
      <c r="H8" s="446"/>
      <c r="I8" s="447">
        <v>560.78199999999993</v>
      </c>
      <c r="J8" s="447">
        <v>594.84700000000009</v>
      </c>
      <c r="K8" s="447">
        <v>529.95300000000009</v>
      </c>
      <c r="L8" s="447">
        <v>508.14099999999996</v>
      </c>
      <c r="M8" s="445">
        <f>+SUM(I8:L8)</f>
        <v>2193.723</v>
      </c>
      <c r="N8" s="446"/>
      <c r="O8" s="447">
        <v>506.94900000000001</v>
      </c>
      <c r="P8" s="447">
        <v>552.83199999999988</v>
      </c>
      <c r="Q8" s="447">
        <v>531.20299999999997</v>
      </c>
      <c r="R8" s="447">
        <v>568.39399999999989</v>
      </c>
      <c r="S8" s="445">
        <f>+SUM(O8:R8)</f>
        <v>2159.3779999999997</v>
      </c>
      <c r="T8" s="446"/>
      <c r="U8" s="447">
        <v>545.94400000000007</v>
      </c>
      <c r="V8" s="447">
        <v>565.08600000000001</v>
      </c>
      <c r="W8" s="447">
        <v>541.81500000000005</v>
      </c>
      <c r="X8" s="447">
        <v>568.16899999999998</v>
      </c>
      <c r="Y8" s="445">
        <f>+SUM(U8:X8)</f>
        <v>2221.0140000000001</v>
      </c>
      <c r="Z8" s="446"/>
      <c r="AA8" s="448">
        <v>570.50300000000004</v>
      </c>
      <c r="AB8" s="448">
        <v>609.44299999999998</v>
      </c>
      <c r="AC8" s="448">
        <v>619.75900000000001</v>
      </c>
      <c r="AD8" s="448">
        <v>738.01300000000003</v>
      </c>
      <c r="AE8" s="445">
        <f>+SUM(AA8:AD8)</f>
        <v>2537.7179999999998</v>
      </c>
      <c r="AF8" s="446"/>
      <c r="AG8" s="448">
        <v>716.41300000000001</v>
      </c>
      <c r="AH8" s="448">
        <v>762.99400000000003</v>
      </c>
      <c r="AI8" s="448">
        <v>695.73400000000004</v>
      </c>
      <c r="AJ8" s="448">
        <v>753.28800000000001</v>
      </c>
      <c r="AK8" s="289">
        <f>+SUM(AG8:AJ8)</f>
        <v>2928.4290000000001</v>
      </c>
      <c r="AL8" s="179"/>
      <c r="AM8" s="929">
        <v>732.08399999999995</v>
      </c>
      <c r="AN8" s="929">
        <v>761.01</v>
      </c>
      <c r="AO8" s="929">
        <v>704.01800000000003</v>
      </c>
      <c r="AP8" s="929">
        <v>753.65800000000002</v>
      </c>
      <c r="AQ8" s="289">
        <f>+SUM(AM8:AP8)</f>
        <v>2950.77</v>
      </c>
      <c r="AR8" s="179"/>
      <c r="AS8" s="930">
        <v>730.11400000000003</v>
      </c>
      <c r="AT8" s="930">
        <v>765.22500000000002</v>
      </c>
      <c r="AU8" s="930">
        <v>708.24</v>
      </c>
      <c r="AV8" s="930">
        <v>719.04100000000005</v>
      </c>
      <c r="AW8" s="289">
        <f>+SUM(AS8:AV8)</f>
        <v>2922.62</v>
      </c>
      <c r="AX8" s="179"/>
      <c r="AY8" s="930">
        <v>656.32</v>
      </c>
      <c r="AZ8" s="930">
        <v>698.00599999999997</v>
      </c>
      <c r="BA8" s="930">
        <v>648.9</v>
      </c>
      <c r="BB8" s="930">
        <v>671.1</v>
      </c>
      <c r="BC8" s="289">
        <f>+SUM(AY8:BB8)</f>
        <v>2674.326</v>
      </c>
      <c r="BD8" s="446"/>
      <c r="BE8" s="966">
        <v>772.6</v>
      </c>
      <c r="BF8" s="966">
        <v>1023.6</v>
      </c>
      <c r="BG8" s="1059">
        <f>+RevBuild!BG65</f>
        <v>955.8</v>
      </c>
      <c r="BH8" s="966">
        <v>998</v>
      </c>
      <c r="BI8" s="645">
        <f t="shared" ref="BI8:BI9" si="0">SUM(BE8:BH8)</f>
        <v>3750</v>
      </c>
      <c r="BJ8" s="1148"/>
      <c r="BK8" s="966">
        <v>902</v>
      </c>
      <c r="BL8" s="966">
        <v>994.2</v>
      </c>
      <c r="BM8" s="966">
        <f>1009.2+1</f>
        <v>1010.2</v>
      </c>
      <c r="BN8" s="966">
        <v>1091</v>
      </c>
      <c r="BO8" s="645">
        <f t="shared" ref="BO8:BO9" si="1">SUM(BK8:BN8)</f>
        <v>3997.4</v>
      </c>
      <c r="BP8" s="1148"/>
      <c r="BQ8" s="1059">
        <f>+RevBuild!BQ65</f>
        <v>950.57</v>
      </c>
      <c r="BR8" s="1059">
        <f>+RevBuild!BR65</f>
        <v>1060.0640000000001</v>
      </c>
      <c r="BS8" s="1059">
        <f>+RevBuild!BS65</f>
        <v>1082.2520000000002</v>
      </c>
      <c r="BT8" s="1059">
        <f>+RevBuild!BT65</f>
        <v>1162.884</v>
      </c>
      <c r="BU8" s="1096">
        <f>+RevBuild!BU65</f>
        <v>4255.7700000000004</v>
      </c>
      <c r="BV8" s="1148"/>
      <c r="BW8" s="1059">
        <f>+RevBuild!BW65</f>
        <v>982.68546000000015</v>
      </c>
      <c r="BX8" s="1059">
        <f>+RevBuild!BX65</f>
        <v>1108.9359800000002</v>
      </c>
      <c r="BY8" s="1059">
        <f>+RevBuild!BY65</f>
        <v>1127.3386400000002</v>
      </c>
      <c r="BZ8" s="1059">
        <f>+RevBuild!BZ65</f>
        <v>1202.3734000000002</v>
      </c>
      <c r="CA8" s="1096">
        <f>+RevBuild!CA65</f>
        <v>4421.3334800000011</v>
      </c>
      <c r="CB8" s="1148"/>
      <c r="CC8" s="1059">
        <f>+RevBuild!CC65</f>
        <v>1016.4237653000001</v>
      </c>
      <c r="CD8" s="1059">
        <f>+RevBuild!CD65</f>
        <v>1136.0884081000002</v>
      </c>
      <c r="CE8" s="1059">
        <f>+RevBuild!CE65</f>
        <v>1158.1781032000001</v>
      </c>
      <c r="CF8" s="1059">
        <f>+RevBuild!CF65</f>
        <v>1243.9421122000001</v>
      </c>
      <c r="CG8" s="1096">
        <f>+RevBuild!CG65</f>
        <v>4554.6323888000006</v>
      </c>
      <c r="CH8" s="288"/>
      <c r="CI8" s="288"/>
      <c r="CJ8" s="288"/>
      <c r="CK8" s="288"/>
      <c r="CL8" s="288"/>
      <c r="CM8" s="290"/>
      <c r="CN8" s="290"/>
    </row>
    <row r="9" spans="1:98" x14ac:dyDescent="0.2">
      <c r="A9" s="291"/>
      <c r="B9" s="287" t="s">
        <v>345</v>
      </c>
      <c r="C9" s="390"/>
      <c r="D9" s="390"/>
      <c r="E9" s="390"/>
      <c r="F9" s="390"/>
      <c r="G9" s="445">
        <v>1819.8990000000001</v>
      </c>
      <c r="H9" s="446"/>
      <c r="I9" s="449">
        <v>496.24799999999999</v>
      </c>
      <c r="J9" s="449">
        <v>542.27300000000002</v>
      </c>
      <c r="K9" s="449">
        <v>488.08600000000001</v>
      </c>
      <c r="L9" s="449">
        <v>467.19299999999981</v>
      </c>
      <c r="M9" s="445">
        <v>1993.7999999999997</v>
      </c>
      <c r="N9" s="446"/>
      <c r="O9" s="449">
        <v>465.64999999999992</v>
      </c>
      <c r="P9" s="449">
        <v>511.52699999999999</v>
      </c>
      <c r="Q9" s="449">
        <v>493.81799999999998</v>
      </c>
      <c r="R9" s="449">
        <v>519.67100000000005</v>
      </c>
      <c r="S9" s="445">
        <v>1990.6659999999999</v>
      </c>
      <c r="T9" s="446"/>
      <c r="U9" s="449">
        <v>497.48599999999999</v>
      </c>
      <c r="V9" s="449">
        <v>519.28</v>
      </c>
      <c r="W9" s="449">
        <v>494.346</v>
      </c>
      <c r="X9" s="449">
        <v>520.64499999999998</v>
      </c>
      <c r="Y9" s="445">
        <v>2031.7570000000001</v>
      </c>
      <c r="Z9" s="446"/>
      <c r="AA9" s="449">
        <v>527.005</v>
      </c>
      <c r="AB9" s="449">
        <v>563.99</v>
      </c>
      <c r="AC9" s="449">
        <v>563.75099999999998</v>
      </c>
      <c r="AD9" s="449">
        <v>677.8</v>
      </c>
      <c r="AE9" s="445">
        <v>2332.5459999999998</v>
      </c>
      <c r="AF9" s="446"/>
      <c r="AG9" s="449">
        <v>665.625</v>
      </c>
      <c r="AH9" s="449">
        <v>698.48</v>
      </c>
      <c r="AI9" s="449">
        <v>647.12</v>
      </c>
      <c r="AJ9" s="449">
        <v>703.47299999999996</v>
      </c>
      <c r="AK9" s="289">
        <v>2714.6979999999999</v>
      </c>
      <c r="AL9" s="179"/>
      <c r="AM9" s="288">
        <v>672.649</v>
      </c>
      <c r="AN9" s="288">
        <v>715.95600000000002</v>
      </c>
      <c r="AO9" s="288">
        <v>669.42499999999995</v>
      </c>
      <c r="AP9" s="288">
        <v>713.66899999999998</v>
      </c>
      <c r="AQ9" s="289">
        <f>+SUM(AM9:AP9)</f>
        <v>2771.6989999999996</v>
      </c>
      <c r="AR9" s="179"/>
      <c r="AS9" s="288">
        <v>689.18200000000002</v>
      </c>
      <c r="AT9" s="288">
        <v>730.89800000000002</v>
      </c>
      <c r="AU9" s="288">
        <v>681.58399999999995</v>
      </c>
      <c r="AV9" s="288">
        <v>691.01099999999997</v>
      </c>
      <c r="AW9" s="289">
        <f>+SUM(AS9:AV9)</f>
        <v>2792.6749999999997</v>
      </c>
      <c r="AX9" s="179"/>
      <c r="AY9" s="288">
        <v>631.54700000000003</v>
      </c>
      <c r="AZ9" s="288">
        <v>674.69799999999998</v>
      </c>
      <c r="BA9" s="288">
        <v>629.29999999999995</v>
      </c>
      <c r="BB9" s="288">
        <v>645.9</v>
      </c>
      <c r="BC9" s="289">
        <f>+SUM(AY9:BB9)</f>
        <v>2581.4449999999997</v>
      </c>
      <c r="BD9" s="446"/>
      <c r="BE9" s="966">
        <v>754.5</v>
      </c>
      <c r="BF9" s="966">
        <v>1006.3</v>
      </c>
      <c r="BG9" s="1059">
        <f>+RevBuild!BG63</f>
        <v>940.8</v>
      </c>
      <c r="BH9" s="966">
        <v>984.1</v>
      </c>
      <c r="BI9" s="645">
        <f t="shared" si="0"/>
        <v>3685.7</v>
      </c>
      <c r="BJ9" s="1148"/>
      <c r="BK9" s="966">
        <v>890.9</v>
      </c>
      <c r="BL9" s="966">
        <v>984.5</v>
      </c>
      <c r="BM9" s="966">
        <f>999.8+1</f>
        <v>1000.8</v>
      </c>
      <c r="BN9" s="966">
        <v>1080.7</v>
      </c>
      <c r="BO9" s="645">
        <f t="shared" si="1"/>
        <v>3956.8999999999996</v>
      </c>
      <c r="BP9" s="1148"/>
      <c r="BQ9" s="1059">
        <f>+RevBuild!BQ63</f>
        <v>939.47</v>
      </c>
      <c r="BR9" s="1059">
        <f>+RevBuild!BR63</f>
        <v>1050.364</v>
      </c>
      <c r="BS9" s="1059">
        <f>+RevBuild!BS63</f>
        <v>1072.8520000000001</v>
      </c>
      <c r="BT9" s="1059">
        <f>+RevBuild!BT63</f>
        <v>1152.5840000000001</v>
      </c>
      <c r="BU9" s="1096">
        <f>+RevBuild!BU63</f>
        <v>4215.2700000000004</v>
      </c>
      <c r="BV9" s="1148"/>
      <c r="BW9" s="1059">
        <f>+RevBuild!BW63</f>
        <v>971.58546000000013</v>
      </c>
      <c r="BX9" s="1059">
        <f>+RevBuild!BX63</f>
        <v>1099.2359800000002</v>
      </c>
      <c r="BY9" s="1059">
        <f>+RevBuild!BY63</f>
        <v>1117.9386400000001</v>
      </c>
      <c r="BZ9" s="1059">
        <f>+RevBuild!BZ63</f>
        <v>1192.0734000000002</v>
      </c>
      <c r="CA9" s="1096">
        <f>+RevBuild!CA63</f>
        <v>4380.8334800000002</v>
      </c>
      <c r="CB9" s="1148"/>
      <c r="CC9" s="1059">
        <f>+RevBuild!CC63</f>
        <v>1005.3237653000001</v>
      </c>
      <c r="CD9" s="1059">
        <f>+RevBuild!CD63</f>
        <v>1126.3884081000001</v>
      </c>
      <c r="CE9" s="1059">
        <f>+RevBuild!CE63</f>
        <v>1148.7781032</v>
      </c>
      <c r="CF9" s="1059">
        <f>+RevBuild!CF63</f>
        <v>1233.6421122000002</v>
      </c>
      <c r="CG9" s="1096">
        <f>+RevBuild!CG63</f>
        <v>4514.1323888000006</v>
      </c>
      <c r="CH9" s="288"/>
      <c r="CI9" s="288"/>
      <c r="CJ9" s="288"/>
      <c r="CK9" s="288"/>
      <c r="CL9" s="288"/>
      <c r="CM9" s="290"/>
      <c r="CN9" s="290"/>
    </row>
    <row r="10" spans="1:98" x14ac:dyDescent="0.2">
      <c r="A10" s="291"/>
      <c r="B10" s="176" t="s">
        <v>178</v>
      </c>
      <c r="C10" s="177">
        <v>226.58600000000001</v>
      </c>
      <c r="D10" s="177">
        <v>238.578</v>
      </c>
      <c r="E10" s="177">
        <v>235.113</v>
      </c>
      <c r="F10" s="177">
        <v>268.77300000000002</v>
      </c>
      <c r="G10" s="450">
        <f>+SUM(C10:F10)</f>
        <v>969.05000000000007</v>
      </c>
      <c r="H10" s="453"/>
      <c r="I10" s="451">
        <v>275.53899999999999</v>
      </c>
      <c r="J10" s="451">
        <v>279.36099999999999</v>
      </c>
      <c r="K10" s="451">
        <v>249.77</v>
      </c>
      <c r="L10" s="451">
        <v>237.10900000000001</v>
      </c>
      <c r="M10" s="450">
        <f>+SUM(I10:L10)</f>
        <v>1041.779</v>
      </c>
      <c r="N10" s="453"/>
      <c r="O10" s="451">
        <v>241.21700000000001</v>
      </c>
      <c r="P10" s="451">
        <v>267.16399999999999</v>
      </c>
      <c r="Q10" s="451">
        <v>259.47300000000001</v>
      </c>
      <c r="R10" s="451">
        <v>285.161</v>
      </c>
      <c r="S10" s="450">
        <f>+SUM(O10:R10)</f>
        <v>1053.0150000000001</v>
      </c>
      <c r="T10" s="453"/>
      <c r="U10" s="451">
        <v>263.90600000000001</v>
      </c>
      <c r="V10" s="451">
        <v>277.49099999999999</v>
      </c>
      <c r="W10" s="451">
        <v>269.00099999999998</v>
      </c>
      <c r="X10" s="451">
        <v>280.45800000000003</v>
      </c>
      <c r="Y10" s="450">
        <f>+SUM(U10:X10)</f>
        <v>1090.856</v>
      </c>
      <c r="Z10" s="453"/>
      <c r="AA10" s="454">
        <f>270.519-1.6</f>
        <v>268.91899999999998</v>
      </c>
      <c r="AB10" s="454">
        <f>294.592-1.5</f>
        <v>293.09199999999998</v>
      </c>
      <c r="AC10" s="454">
        <f>322.111-16.311-0.031-1.031</f>
        <v>304.738</v>
      </c>
      <c r="AD10" s="454">
        <f>377.056-16.482-0.025-1.754-3.523</f>
        <v>355.27199999999993</v>
      </c>
      <c r="AE10" s="450">
        <f>+SUM(AA10:AD10)</f>
        <v>1222.021</v>
      </c>
      <c r="AF10" s="455"/>
      <c r="AG10" s="452">
        <f>+AG8-AG11</f>
        <v>320.32900000000001</v>
      </c>
      <c r="AH10" s="452">
        <f>+AH8-AH11</f>
        <v>351.08900000000006</v>
      </c>
      <c r="AI10" s="452">
        <f>+AI8-AI11</f>
        <v>327.38100000000003</v>
      </c>
      <c r="AJ10" s="452">
        <f>AJ8-AJ11</f>
        <v>356.99900000000002</v>
      </c>
      <c r="AK10" s="470">
        <f>+SUM(AG10:AJ10)</f>
        <v>1355.7980000000002</v>
      </c>
      <c r="AL10" s="931"/>
      <c r="AM10" s="178">
        <f>AM8-AM11</f>
        <v>340.40999999999997</v>
      </c>
      <c r="AN10" s="178">
        <f>AN8-AN11</f>
        <v>342.92099999999999</v>
      </c>
      <c r="AO10" s="178">
        <f>AO8-AO11</f>
        <v>324.91000000000003</v>
      </c>
      <c r="AP10" s="178">
        <f>AP8-AP11</f>
        <v>350.726</v>
      </c>
      <c r="AQ10" s="470">
        <f>+SUM(AM10:AP10)</f>
        <v>1358.9670000000001</v>
      </c>
      <c r="AR10" s="931"/>
      <c r="AS10" s="178">
        <f>AS8-AS11</f>
        <v>331.67100000000005</v>
      </c>
      <c r="AT10" s="178">
        <f>AT8-AT11</f>
        <v>337.791</v>
      </c>
      <c r="AU10" s="178">
        <f>AU8-AU11</f>
        <v>314.71000000000004</v>
      </c>
      <c r="AV10" s="178">
        <f>AV8-AV11</f>
        <v>322.73800000000006</v>
      </c>
      <c r="AW10" s="470">
        <f>+SUM(AS10:AV10)</f>
        <v>1306.9100000000001</v>
      </c>
      <c r="AX10" s="931"/>
      <c r="AY10" s="178">
        <f>AY8-AY11</f>
        <v>278.36600000000004</v>
      </c>
      <c r="AZ10" s="178">
        <f>AZ8-AZ11</f>
        <v>291.83799999999997</v>
      </c>
      <c r="BA10" s="178">
        <f>BA8-BA11</f>
        <v>270.5</v>
      </c>
      <c r="BB10" s="178">
        <f>BB8-BB11</f>
        <v>291</v>
      </c>
      <c r="BC10" s="470">
        <f>+SUM(AY10:BB10)</f>
        <v>1131.704</v>
      </c>
      <c r="BD10" s="455"/>
      <c r="BE10" s="178">
        <f>BE8-BE11</f>
        <v>309.8</v>
      </c>
      <c r="BF10" s="178">
        <f>BF8-BF11</f>
        <v>418</v>
      </c>
      <c r="BG10" s="178">
        <f>BG8-BG11</f>
        <v>411.69999999999993</v>
      </c>
      <c r="BH10" s="178">
        <f>BH8-BH11</f>
        <v>424.9</v>
      </c>
      <c r="BI10" s="645">
        <f>SUM(BE10:BH10)</f>
        <v>1564.4</v>
      </c>
      <c r="BJ10" s="716"/>
      <c r="BK10" s="178">
        <f>BK8-BK11</f>
        <v>376.9</v>
      </c>
      <c r="BL10" s="178">
        <f>BL8-BL11</f>
        <v>415.40000000000009</v>
      </c>
      <c r="BM10" s="178">
        <f>BM8-BM11</f>
        <v>419.09999999999991</v>
      </c>
      <c r="BN10" s="178">
        <f>BN8-BN11</f>
        <v>463.1</v>
      </c>
      <c r="BO10" s="645">
        <f>SUM(BK10:BN10)</f>
        <v>1674.5</v>
      </c>
      <c r="BP10" s="716"/>
      <c r="BQ10" s="178">
        <f>BQ8-BQ11</f>
        <v>408.74510000000009</v>
      </c>
      <c r="BR10" s="178">
        <f>BR8-BR11</f>
        <v>445.22688000000005</v>
      </c>
      <c r="BS10" s="178">
        <f>BS8-BS11</f>
        <v>454.54584000000011</v>
      </c>
      <c r="BT10" s="178">
        <f>BT8-BT11</f>
        <v>488.41128000000003</v>
      </c>
      <c r="BU10" s="645">
        <f>SUM(BQ10:BT10)</f>
        <v>1796.9291000000003</v>
      </c>
      <c r="BV10" s="716"/>
      <c r="BW10" s="178">
        <f>BW8-BW11</f>
        <v>419.60669142000006</v>
      </c>
      <c r="BX10" s="178">
        <f>BX8-BX11</f>
        <v>462.42630366000014</v>
      </c>
      <c r="BY10" s="178">
        <f>BY8-BY11</f>
        <v>470.10021288000007</v>
      </c>
      <c r="BZ10" s="178">
        <f>BZ8-BZ11</f>
        <v>501.38970780000011</v>
      </c>
      <c r="CA10" s="645">
        <f>SUM(BW10:BZ10)</f>
        <v>1853.5229157600002</v>
      </c>
      <c r="CB10" s="716"/>
      <c r="CC10" s="178">
        <f>CC8-CC11</f>
        <v>430.96367648720013</v>
      </c>
      <c r="CD10" s="178">
        <f>CD8-CD11</f>
        <v>470.3406009534001</v>
      </c>
      <c r="CE10" s="178">
        <f>CE8-CE11</f>
        <v>479.48573472480007</v>
      </c>
      <c r="CF10" s="178">
        <f>CF8-CF11</f>
        <v>514.99203445080013</v>
      </c>
      <c r="CG10" s="645">
        <f>SUM(CC10:CF10)</f>
        <v>1895.7820466162002</v>
      </c>
      <c r="CH10" s="178"/>
      <c r="CI10" s="178"/>
      <c r="CJ10" s="178"/>
      <c r="CK10" s="178"/>
      <c r="CL10" s="178"/>
      <c r="CM10" s="290"/>
      <c r="CN10" s="290"/>
    </row>
    <row r="11" spans="1:98" ht="12.75" customHeight="1" x14ac:dyDescent="0.2">
      <c r="A11" s="296"/>
      <c r="B11" s="294" t="s">
        <v>181</v>
      </c>
      <c r="C11" s="295">
        <f>+C8-C10</f>
        <v>246.27799999999996</v>
      </c>
      <c r="D11" s="295">
        <f>+D8-D10</f>
        <v>268.78399999999999</v>
      </c>
      <c r="E11" s="295">
        <f>+E8-E10</f>
        <v>252.99000000000007</v>
      </c>
      <c r="F11" s="295">
        <f>+F8-F10</f>
        <v>272.73100000000011</v>
      </c>
      <c r="G11" s="445">
        <f>+G8-G10</f>
        <v>1040.7830000000004</v>
      </c>
      <c r="H11" s="456"/>
      <c r="I11" s="457">
        <f>+I8-I10</f>
        <v>285.24299999999994</v>
      </c>
      <c r="J11" s="457">
        <f>+J8-J10</f>
        <v>315.4860000000001</v>
      </c>
      <c r="K11" s="457">
        <f>+K8-K10</f>
        <v>280.18300000000011</v>
      </c>
      <c r="L11" s="457">
        <f>+L8-L10</f>
        <v>271.03199999999993</v>
      </c>
      <c r="M11" s="445">
        <f>+M8-M10</f>
        <v>1151.944</v>
      </c>
      <c r="N11" s="456"/>
      <c r="O11" s="457">
        <f>+O8-O10</f>
        <v>265.73199999999997</v>
      </c>
      <c r="P11" s="457">
        <f>+P8-P10</f>
        <v>285.66799999999989</v>
      </c>
      <c r="Q11" s="457">
        <f>+Q8-Q10</f>
        <v>271.72999999999996</v>
      </c>
      <c r="R11" s="457">
        <f>+R8-R10</f>
        <v>283.23299999999989</v>
      </c>
      <c r="S11" s="445">
        <f>+S8-S10</f>
        <v>1106.3629999999996</v>
      </c>
      <c r="T11" s="456"/>
      <c r="U11" s="457">
        <f>+U8-U10</f>
        <v>282.03800000000007</v>
      </c>
      <c r="V11" s="457">
        <f>+V8-V10</f>
        <v>287.59500000000003</v>
      </c>
      <c r="W11" s="457">
        <f>+W8-W10</f>
        <v>272.81400000000008</v>
      </c>
      <c r="X11" s="457">
        <f>+X8-X10</f>
        <v>287.71099999999996</v>
      </c>
      <c r="Y11" s="445">
        <f>+Y8-Y10</f>
        <v>1130.1580000000001</v>
      </c>
      <c r="Z11" s="456"/>
      <c r="AA11" s="457">
        <f>+AA8-AA10</f>
        <v>301.58400000000006</v>
      </c>
      <c r="AB11" s="457">
        <f>+AB8-AB10</f>
        <v>316.351</v>
      </c>
      <c r="AC11" s="457">
        <f>+AC8-AC10</f>
        <v>315.02100000000002</v>
      </c>
      <c r="AD11" s="457">
        <f>+AD8-AD10</f>
        <v>382.7410000000001</v>
      </c>
      <c r="AE11" s="445">
        <f>+AE8-AE10</f>
        <v>1315.6969999999999</v>
      </c>
      <c r="AF11" s="458"/>
      <c r="AG11" s="448">
        <v>396.084</v>
      </c>
      <c r="AH11" s="448">
        <v>411.90499999999997</v>
      </c>
      <c r="AI11" s="448">
        <v>368.35300000000001</v>
      </c>
      <c r="AJ11" s="448">
        <f>392.053+4.236</f>
        <v>396.28899999999999</v>
      </c>
      <c r="AK11" s="289">
        <f>+AK8-AK10</f>
        <v>1572.6309999999999</v>
      </c>
      <c r="AL11" s="127"/>
      <c r="AM11" s="929">
        <v>391.67399999999998</v>
      </c>
      <c r="AN11" s="929">
        <v>418.089</v>
      </c>
      <c r="AO11" s="929">
        <v>379.108</v>
      </c>
      <c r="AP11" s="929">
        <v>402.93200000000002</v>
      </c>
      <c r="AQ11" s="289">
        <f>+AQ8-AQ10</f>
        <v>1591.8029999999999</v>
      </c>
      <c r="AR11" s="127"/>
      <c r="AS11" s="930">
        <v>398.44299999999998</v>
      </c>
      <c r="AT11" s="930">
        <v>427.43400000000003</v>
      </c>
      <c r="AU11" s="930">
        <v>393.53</v>
      </c>
      <c r="AV11" s="930">
        <f>393.051+3.252</f>
        <v>396.303</v>
      </c>
      <c r="AW11" s="289">
        <f>+AW8-AW10</f>
        <v>1615.7099999999998</v>
      </c>
      <c r="AX11" s="127"/>
      <c r="AY11" s="930">
        <v>377.95400000000001</v>
      </c>
      <c r="AZ11" s="930">
        <v>406.16800000000001</v>
      </c>
      <c r="BA11" s="930">
        <v>378.4</v>
      </c>
      <c r="BB11" s="930">
        <v>380.1</v>
      </c>
      <c r="BC11" s="289">
        <f>+BC8-BC10</f>
        <v>1542.6220000000001</v>
      </c>
      <c r="BD11" s="458"/>
      <c r="BE11" s="966">
        <v>462.8</v>
      </c>
      <c r="BF11" s="966">
        <v>605.6</v>
      </c>
      <c r="BG11" s="966">
        <v>544.1</v>
      </c>
      <c r="BH11" s="966">
        <v>573.1</v>
      </c>
      <c r="BI11" s="644">
        <f>+SUM(BE11:BH11)</f>
        <v>2185.6</v>
      </c>
      <c r="BJ11" s="458"/>
      <c r="BK11" s="966">
        <v>525.1</v>
      </c>
      <c r="BL11" s="966">
        <v>578.79999999999995</v>
      </c>
      <c r="BM11" s="966">
        <f>559+28.1+0.2+0.6+3.2</f>
        <v>591.10000000000014</v>
      </c>
      <c r="BN11" s="966">
        <v>627.9</v>
      </c>
      <c r="BO11" s="644">
        <f>+SUM(BK11:BN11)</f>
        <v>2322.9</v>
      </c>
      <c r="BP11" s="458"/>
      <c r="BQ11" s="1059">
        <f>+RevBuild!BQ81*BQ8</f>
        <v>541.82489999999996</v>
      </c>
      <c r="BR11" s="1059">
        <f>+RevBuild!BR81*BR8</f>
        <v>614.83712000000003</v>
      </c>
      <c r="BS11" s="1059">
        <f>+RevBuild!BS81*BS8</f>
        <v>627.70616000000007</v>
      </c>
      <c r="BT11" s="1059">
        <f>+RevBuild!BT81*BT8</f>
        <v>674.47271999999998</v>
      </c>
      <c r="BU11" s="644">
        <f>+SUM(BQ11:BT11)</f>
        <v>2458.8409000000001</v>
      </c>
      <c r="BV11" s="458"/>
      <c r="BW11" s="1059">
        <f>+RevBuild!BW81*BW8</f>
        <v>563.07876858000009</v>
      </c>
      <c r="BX11" s="1059">
        <f>+RevBuild!BX81*BX8</f>
        <v>646.50967634000006</v>
      </c>
      <c r="BY11" s="1059">
        <f>+RevBuild!BY81*BY8</f>
        <v>657.2384271200001</v>
      </c>
      <c r="BZ11" s="1059">
        <f>+RevBuild!BZ81*BZ8</f>
        <v>700.98369220000006</v>
      </c>
      <c r="CA11" s="644">
        <f>+SUM(BW11:BZ11)</f>
        <v>2567.8105642400005</v>
      </c>
      <c r="CB11" s="458"/>
      <c r="CC11" s="1059">
        <f>+RevBuild!CC81*CC8</f>
        <v>585.4600888128</v>
      </c>
      <c r="CD11" s="1059">
        <f>+RevBuild!CD81*CD8</f>
        <v>665.74780714660005</v>
      </c>
      <c r="CE11" s="1059">
        <f>+RevBuild!CE81*CE8</f>
        <v>678.69236847520006</v>
      </c>
      <c r="CF11" s="1059">
        <f>+RevBuild!CF81*CF8</f>
        <v>728.95007774919998</v>
      </c>
      <c r="CG11" s="644">
        <f>+SUM(CC11:CF11)</f>
        <v>2658.8503421838</v>
      </c>
      <c r="CH11" s="288"/>
      <c r="CI11" s="288"/>
      <c r="CJ11" s="288"/>
      <c r="CK11" s="288"/>
      <c r="CL11" s="288"/>
      <c r="CM11" s="290"/>
      <c r="CN11" s="296"/>
    </row>
    <row r="12" spans="1:98" ht="3" customHeight="1" x14ac:dyDescent="0.2">
      <c r="A12" s="299"/>
      <c r="B12" s="297"/>
      <c r="C12" s="295"/>
      <c r="D12" s="295"/>
      <c r="E12" s="295"/>
      <c r="F12" s="295"/>
      <c r="G12" s="445"/>
      <c r="H12" s="459"/>
      <c r="I12" s="457"/>
      <c r="J12" s="457"/>
      <c r="K12" s="457"/>
      <c r="L12" s="457"/>
      <c r="M12" s="445"/>
      <c r="N12" s="459"/>
      <c r="O12" s="457"/>
      <c r="P12" s="457"/>
      <c r="Q12" s="457"/>
      <c r="R12" s="457"/>
      <c r="S12" s="445"/>
      <c r="T12" s="459"/>
      <c r="U12" s="457"/>
      <c r="V12" s="457"/>
      <c r="W12" s="457"/>
      <c r="X12" s="457"/>
      <c r="Y12" s="445"/>
      <c r="Z12" s="459"/>
      <c r="AA12" s="457"/>
      <c r="AB12" s="457"/>
      <c r="AC12" s="457"/>
      <c r="AD12" s="457"/>
      <c r="AE12" s="445"/>
      <c r="AF12" s="460"/>
      <c r="AG12" s="457"/>
      <c r="AH12" s="457"/>
      <c r="AI12" s="457"/>
      <c r="AJ12" s="449"/>
      <c r="AK12" s="289"/>
      <c r="AL12" s="702"/>
      <c r="AM12" s="288"/>
      <c r="AN12" s="288"/>
      <c r="AO12" s="288"/>
      <c r="AP12" s="288"/>
      <c r="AQ12" s="289"/>
      <c r="AR12" s="702"/>
      <c r="AS12" s="288"/>
      <c r="AT12" s="288"/>
      <c r="AU12" s="288"/>
      <c r="AV12" s="288"/>
      <c r="AW12" s="289"/>
      <c r="AX12" s="702"/>
      <c r="AY12" s="288"/>
      <c r="AZ12" s="288"/>
      <c r="BA12" s="288"/>
      <c r="BB12" s="288"/>
      <c r="BC12" s="289"/>
      <c r="BD12" s="460"/>
      <c r="BE12" s="178"/>
      <c r="BF12" s="178"/>
      <c r="BG12" s="178"/>
      <c r="BH12" s="178"/>
      <c r="BI12" s="445"/>
      <c r="BJ12" s="460"/>
      <c r="BK12" s="178"/>
      <c r="BL12" s="178"/>
      <c r="BM12" s="178"/>
      <c r="BN12" s="178"/>
      <c r="BO12" s="445"/>
      <c r="BP12" s="460"/>
      <c r="BQ12" s="653"/>
      <c r="BR12" s="653"/>
      <c r="BS12" s="653"/>
      <c r="BT12" s="653"/>
      <c r="BU12" s="445"/>
      <c r="BV12" s="460"/>
      <c r="BW12" s="653"/>
      <c r="BX12" s="653"/>
      <c r="BY12" s="653"/>
      <c r="BZ12" s="653"/>
      <c r="CA12" s="445"/>
      <c r="CB12" s="460"/>
      <c r="CC12" s="653"/>
      <c r="CD12" s="653"/>
      <c r="CE12" s="653"/>
      <c r="CF12" s="653"/>
      <c r="CG12" s="445"/>
      <c r="CH12" s="288"/>
      <c r="CI12" s="288"/>
      <c r="CJ12" s="288"/>
      <c r="CK12" s="288"/>
      <c r="CL12" s="288"/>
      <c r="CM12" s="298"/>
      <c r="CN12" s="298"/>
    </row>
    <row r="13" spans="1:98" x14ac:dyDescent="0.2">
      <c r="A13" s="299"/>
      <c r="B13" s="176" t="s">
        <v>179</v>
      </c>
      <c r="C13" s="177">
        <v>164.077</v>
      </c>
      <c r="D13" s="177">
        <v>172.084</v>
      </c>
      <c r="E13" s="177">
        <v>165.708</v>
      </c>
      <c r="F13" s="177">
        <v>173.49600000000001</v>
      </c>
      <c r="G13" s="450">
        <f>+SUM(C13:F13)</f>
        <v>675.36500000000001</v>
      </c>
      <c r="H13" s="459"/>
      <c r="I13" s="451">
        <v>184.00200000000001</v>
      </c>
      <c r="J13" s="451">
        <v>200.86699999999999</v>
      </c>
      <c r="K13" s="451">
        <v>180.72900000000001</v>
      </c>
      <c r="L13" s="451">
        <v>173.56899999999999</v>
      </c>
      <c r="M13" s="450">
        <f>+SUM(I13:L13)</f>
        <v>739.16700000000003</v>
      </c>
      <c r="N13" s="459"/>
      <c r="O13" s="451">
        <f>177.987-2.604</f>
        <v>175.38299999999998</v>
      </c>
      <c r="P13" s="451">
        <f>183.817-1.173</f>
        <v>182.64400000000001</v>
      </c>
      <c r="Q13" s="451">
        <f>177.579-0.242</f>
        <v>177.33700000000002</v>
      </c>
      <c r="R13" s="451">
        <f>178.847-0.115</f>
        <v>178.732</v>
      </c>
      <c r="S13" s="450">
        <f>+SUM(O13:R13)</f>
        <v>714.096</v>
      </c>
      <c r="T13" s="459"/>
      <c r="U13" s="451">
        <f>188.034-0.518</f>
        <v>187.51599999999999</v>
      </c>
      <c r="V13" s="451">
        <f>182.383</f>
        <v>182.38300000000001</v>
      </c>
      <c r="W13" s="451">
        <f>182.057-1.715</f>
        <v>180.34199999999998</v>
      </c>
      <c r="X13" s="451">
        <f>186.426-0.454</f>
        <v>185.97199999999998</v>
      </c>
      <c r="Y13" s="450">
        <f>+SUM(U13:X13)</f>
        <v>736.21299999999997</v>
      </c>
      <c r="Z13" s="459"/>
      <c r="AA13" s="454">
        <f>200.767-0.8</f>
        <v>199.96699999999998</v>
      </c>
      <c r="AB13" s="454">
        <f>210.984-0.72-0.8</f>
        <v>209.464</v>
      </c>
      <c r="AC13" s="454">
        <f>231.493-7.692-1.29-1.106-3.354</f>
        <v>218.05099999999999</v>
      </c>
      <c r="AD13" s="454">
        <f>293.603-12.404-1.22-0.441-5.276</f>
        <v>274.262</v>
      </c>
      <c r="AE13" s="450">
        <f>+SUM(AA13:AD13)</f>
        <v>901.74399999999991</v>
      </c>
      <c r="AF13" s="460"/>
      <c r="AG13" s="454">
        <v>283.68299999999999</v>
      </c>
      <c r="AH13" s="454">
        <v>282.154</v>
      </c>
      <c r="AI13" s="454">
        <v>256.7</v>
      </c>
      <c r="AJ13" s="454">
        <f>287.992-11.771</f>
        <v>276.221</v>
      </c>
      <c r="AK13" s="470">
        <f>+SUM(AG13:AJ13)</f>
        <v>1098.758</v>
      </c>
      <c r="AL13" s="702"/>
      <c r="AM13" s="932">
        <v>282.97300000000001</v>
      </c>
      <c r="AN13" s="932">
        <v>280.32600000000002</v>
      </c>
      <c r="AO13" s="932">
        <v>259.392</v>
      </c>
      <c r="AP13" s="932">
        <v>280.31</v>
      </c>
      <c r="AQ13" s="470">
        <f>+SUM(AM13:AP13)</f>
        <v>1103.001</v>
      </c>
      <c r="AR13" s="702"/>
      <c r="AS13" s="933">
        <v>276.45399999999995</v>
      </c>
      <c r="AT13" s="933">
        <v>286.46900000000005</v>
      </c>
      <c r="AU13" s="933">
        <v>266.29700000000003</v>
      </c>
      <c r="AV13" s="933">
        <f>283.163-9.478</f>
        <v>273.685</v>
      </c>
      <c r="AW13" s="470">
        <f>+SUM(AS13:AV13)</f>
        <v>1102.905</v>
      </c>
      <c r="AX13" s="702"/>
      <c r="AY13" s="933">
        <v>260.084</v>
      </c>
      <c r="AZ13" s="933">
        <v>263.54899999999998</v>
      </c>
      <c r="BA13" s="933">
        <v>246.5</v>
      </c>
      <c r="BB13" s="933">
        <v>251.4</v>
      </c>
      <c r="BC13" s="470">
        <f>+SUM(AY13:BB13)</f>
        <v>1021.533</v>
      </c>
      <c r="BD13" s="460"/>
      <c r="BE13" s="966">
        <v>293.3</v>
      </c>
      <c r="BF13" s="966">
        <v>373.2</v>
      </c>
      <c r="BG13" s="966">
        <v>348.3</v>
      </c>
      <c r="BH13" s="966">
        <v>366.7</v>
      </c>
      <c r="BI13" s="645">
        <f>SUM(BE13:BH13)</f>
        <v>1381.5</v>
      </c>
      <c r="BJ13" s="460"/>
      <c r="BK13" s="966">
        <v>377.2</v>
      </c>
      <c r="BL13" s="966">
        <v>383.7</v>
      </c>
      <c r="BM13" s="966">
        <f>430.5-20.6-25.9-1.2-3.4</f>
        <v>379.40000000000003</v>
      </c>
      <c r="BN13" s="966">
        <v>391</v>
      </c>
      <c r="BO13" s="645">
        <f>SUM(BK13:BN13)</f>
        <v>1531.3</v>
      </c>
      <c r="BP13" s="460"/>
      <c r="BQ13" s="1059">
        <f>+RevBuild!BQ91</f>
        <v>403.00365000000005</v>
      </c>
      <c r="BR13" s="1059">
        <f>+RevBuild!BR91</f>
        <v>425.22687999999999</v>
      </c>
      <c r="BS13" s="1059">
        <f>+RevBuild!BS91</f>
        <v>407.48954000000009</v>
      </c>
      <c r="BT13" s="1059">
        <f>+RevBuild!BT91</f>
        <v>421.89591999999999</v>
      </c>
      <c r="BU13" s="645">
        <f>SUM(BQ13:BT13)</f>
        <v>1657.61599</v>
      </c>
      <c r="BV13" s="460"/>
      <c r="BW13" s="1059">
        <f>+RevBuild!BW91</f>
        <v>367.90103860000005</v>
      </c>
      <c r="BX13" s="1059">
        <f>+RevBuild!BX91</f>
        <v>417.44587984000009</v>
      </c>
      <c r="BY13" s="1059">
        <f>+RevBuild!BY91</f>
        <v>422.69948784000002</v>
      </c>
      <c r="BZ13" s="1059">
        <f>+RevBuild!BZ91</f>
        <v>450.75885360000007</v>
      </c>
      <c r="CA13" s="645">
        <f>SUM(BW13:BZ13)</f>
        <v>1658.8052598800002</v>
      </c>
      <c r="CB13" s="460"/>
      <c r="CC13" s="1059">
        <f>+RevBuild!CC91</f>
        <v>374.19268435975005</v>
      </c>
      <c r="CD13" s="1059">
        <f>+RevBuild!CD91</f>
        <v>420.68384948455002</v>
      </c>
      <c r="CE13" s="1059">
        <f>+RevBuild!CE91</f>
        <v>427.32486464120001</v>
      </c>
      <c r="CF13" s="1059">
        <f>+RevBuild!CF91</f>
        <v>459.44275804830005</v>
      </c>
      <c r="CG13" s="645">
        <f>SUM(CC13:CF13)</f>
        <v>1681.6441565338</v>
      </c>
      <c r="CH13" s="433"/>
      <c r="CI13" s="433"/>
      <c r="CJ13" s="433"/>
      <c r="CK13" s="433"/>
      <c r="CL13" s="433"/>
      <c r="CM13" s="298"/>
      <c r="CN13" s="298"/>
    </row>
    <row r="14" spans="1:98" x14ac:dyDescent="0.2">
      <c r="A14" s="301"/>
      <c r="B14" s="176" t="s">
        <v>20</v>
      </c>
      <c r="C14" s="177">
        <f>0.99-0.99</f>
        <v>0</v>
      </c>
      <c r="D14" s="177">
        <f>3.207-3.207</f>
        <v>0</v>
      </c>
      <c r="E14" s="177">
        <f>4.692-4.692</f>
        <v>0</v>
      </c>
      <c r="F14" s="177">
        <f>1.638-1.638</f>
        <v>0</v>
      </c>
      <c r="G14" s="450">
        <f>+SUM(C14:F14)</f>
        <v>0</v>
      </c>
      <c r="H14" s="453"/>
      <c r="I14" s="451">
        <f>0.204-0.204</f>
        <v>0</v>
      </c>
      <c r="J14" s="451">
        <f>1.458-1.458</f>
        <v>0</v>
      </c>
      <c r="K14" s="451">
        <f>18.539-18.539</f>
        <v>0</v>
      </c>
      <c r="L14" s="451">
        <f>12.153-12.153</f>
        <v>0</v>
      </c>
      <c r="M14" s="450">
        <f>+SUM(I14:L14)</f>
        <v>0</v>
      </c>
      <c r="N14" s="453"/>
      <c r="O14" s="451">
        <f>1.57-1.57</f>
        <v>0</v>
      </c>
      <c r="P14" s="451">
        <f>3.125-3.125</f>
        <v>0</v>
      </c>
      <c r="Q14" s="451">
        <f>1.21-1.21</f>
        <v>0</v>
      </c>
      <c r="R14" s="451">
        <f>0.985-0.985</f>
        <v>0</v>
      </c>
      <c r="S14" s="450">
        <f>+SUM(O14:R14)</f>
        <v>0</v>
      </c>
      <c r="T14" s="453"/>
      <c r="U14" s="451">
        <f>4.68-4.68</f>
        <v>0</v>
      </c>
      <c r="V14" s="451">
        <f>0.243-0.243</f>
        <v>0</v>
      </c>
      <c r="W14" s="451">
        <f>0.338-0.338</f>
        <v>0</v>
      </c>
      <c r="X14" s="451">
        <f>5.723-5.723</f>
        <v>0</v>
      </c>
      <c r="Y14" s="450">
        <f>+SUM(U14:X14)</f>
        <v>0</v>
      </c>
      <c r="Z14" s="453"/>
      <c r="AA14" s="454">
        <f>0.633-0.633</f>
        <v>0</v>
      </c>
      <c r="AB14" s="454">
        <f>6.863-6.863</f>
        <v>0</v>
      </c>
      <c r="AC14" s="454">
        <f>26.353-14.826-11.527</f>
        <v>0</v>
      </c>
      <c r="AD14" s="454">
        <f>2.016-2.016</f>
        <v>0</v>
      </c>
      <c r="AE14" s="450">
        <f>+SUM(AA14:AD14)</f>
        <v>0</v>
      </c>
      <c r="AF14" s="453"/>
      <c r="AG14" s="454">
        <v>0</v>
      </c>
      <c r="AH14" s="454">
        <v>0</v>
      </c>
      <c r="AI14" s="454">
        <v>0</v>
      </c>
      <c r="AJ14" s="454">
        <v>0</v>
      </c>
      <c r="AK14" s="470">
        <f>+SUM(AG14:AJ14)</f>
        <v>0</v>
      </c>
      <c r="AL14" s="483"/>
      <c r="AM14" s="933">
        <v>0</v>
      </c>
      <c r="AN14" s="933">
        <v>0</v>
      </c>
      <c r="AO14" s="933">
        <v>0</v>
      </c>
      <c r="AP14" s="933">
        <v>0</v>
      </c>
      <c r="AQ14" s="470">
        <f>+SUM(AM14:AP14)</f>
        <v>0</v>
      </c>
      <c r="AR14" s="483"/>
      <c r="AS14" s="933">
        <v>0</v>
      </c>
      <c r="AT14" s="933">
        <v>0</v>
      </c>
      <c r="AU14" s="933">
        <v>0</v>
      </c>
      <c r="AV14" s="933">
        <v>0</v>
      </c>
      <c r="AW14" s="470">
        <f>+SUM(AS14:AV14)</f>
        <v>0</v>
      </c>
      <c r="AX14" s="483"/>
      <c r="AY14" s="933">
        <v>0</v>
      </c>
      <c r="AZ14" s="933">
        <v>0</v>
      </c>
      <c r="BA14" s="933">
        <v>0</v>
      </c>
      <c r="BB14" s="933">
        <v>0</v>
      </c>
      <c r="BC14" s="470">
        <f>+SUM(AY14:BB14)</f>
        <v>0</v>
      </c>
      <c r="BD14" s="453"/>
      <c r="BE14" s="966">
        <v>0</v>
      </c>
      <c r="BF14" s="966">
        <v>0</v>
      </c>
      <c r="BG14" s="966">
        <v>0</v>
      </c>
      <c r="BH14" s="966">
        <v>0</v>
      </c>
      <c r="BI14" s="645">
        <f>SUM(BE14:BH14)</f>
        <v>0</v>
      </c>
      <c r="BJ14" s="711"/>
      <c r="BK14" s="966">
        <v>0</v>
      </c>
      <c r="BL14" s="966">
        <v>0</v>
      </c>
      <c r="BM14" s="966">
        <v>0</v>
      </c>
      <c r="BN14" s="966">
        <v>0</v>
      </c>
      <c r="BO14" s="645">
        <f>SUM(BK14:BN14)</f>
        <v>0</v>
      </c>
      <c r="BP14" s="711"/>
      <c r="BQ14" s="178">
        <f>BQ8*BQ109</f>
        <v>0</v>
      </c>
      <c r="BR14" s="178">
        <f>BR8*BR109</f>
        <v>0</v>
      </c>
      <c r="BS14" s="178">
        <f>BS8*BS109</f>
        <v>0</v>
      </c>
      <c r="BT14" s="178">
        <f>BT8*BT109</f>
        <v>0</v>
      </c>
      <c r="BU14" s="645">
        <f>SUM(BQ14:BT14)</f>
        <v>0</v>
      </c>
      <c r="BV14" s="711"/>
      <c r="BW14" s="178">
        <f>BW8*BW109</f>
        <v>0</v>
      </c>
      <c r="BX14" s="178">
        <f>BX8*BX109</f>
        <v>0</v>
      </c>
      <c r="BY14" s="178">
        <f>BY8*BY109</f>
        <v>0</v>
      </c>
      <c r="BZ14" s="178">
        <f>BZ8*BZ109</f>
        <v>0</v>
      </c>
      <c r="CA14" s="645">
        <f>SUM(BW14:BZ14)</f>
        <v>0</v>
      </c>
      <c r="CB14" s="711"/>
      <c r="CC14" s="178">
        <f>CC8*CC109</f>
        <v>0</v>
      </c>
      <c r="CD14" s="178">
        <f>CD8*CD109</f>
        <v>0</v>
      </c>
      <c r="CE14" s="178">
        <f>CE8*CE109</f>
        <v>0</v>
      </c>
      <c r="CF14" s="178">
        <f>CF8*CF109</f>
        <v>0</v>
      </c>
      <c r="CG14" s="645">
        <f>SUM(CC14:CF14)</f>
        <v>0</v>
      </c>
      <c r="CH14" s="178"/>
      <c r="CI14" s="178"/>
      <c r="CJ14" s="178"/>
      <c r="CK14" s="178"/>
      <c r="CL14" s="178"/>
      <c r="CM14" s="300"/>
      <c r="CN14" s="300"/>
    </row>
    <row r="15" spans="1:98" ht="3" customHeight="1" outlineLevel="1" x14ac:dyDescent="0.2">
      <c r="A15" s="304"/>
      <c r="B15" s="302"/>
      <c r="C15" s="178"/>
      <c r="D15" s="178"/>
      <c r="E15" s="178"/>
      <c r="F15" s="178"/>
      <c r="G15" s="450"/>
      <c r="H15" s="461"/>
      <c r="I15" s="452"/>
      <c r="J15" s="452"/>
      <c r="K15" s="452"/>
      <c r="L15" s="452"/>
      <c r="M15" s="450"/>
      <c r="N15" s="461"/>
      <c r="O15" s="452"/>
      <c r="P15" s="452"/>
      <c r="Q15" s="452"/>
      <c r="R15" s="452"/>
      <c r="S15" s="450"/>
      <c r="T15" s="461"/>
      <c r="U15" s="452"/>
      <c r="V15" s="452"/>
      <c r="W15" s="452"/>
      <c r="X15" s="452"/>
      <c r="Y15" s="450"/>
      <c r="Z15" s="461"/>
      <c r="AA15" s="452"/>
      <c r="AB15" s="452"/>
      <c r="AC15" s="452"/>
      <c r="AD15" s="452"/>
      <c r="AE15" s="450"/>
      <c r="AF15" s="461"/>
      <c r="AG15" s="452"/>
      <c r="AH15" s="452"/>
      <c r="AI15" s="452"/>
      <c r="AJ15" s="452"/>
      <c r="AK15" s="470"/>
      <c r="AL15" s="128"/>
      <c r="AM15" s="178"/>
      <c r="AN15" s="178"/>
      <c r="AO15" s="178"/>
      <c r="AP15" s="178"/>
      <c r="AQ15" s="470"/>
      <c r="AR15" s="128"/>
      <c r="AS15" s="178"/>
      <c r="AT15" s="178"/>
      <c r="AU15" s="178"/>
      <c r="AV15" s="178"/>
      <c r="AW15" s="470"/>
      <c r="AX15" s="128"/>
      <c r="AY15" s="178"/>
      <c r="AZ15" s="178"/>
      <c r="BA15" s="178"/>
      <c r="BB15" s="178"/>
      <c r="BC15" s="470"/>
      <c r="BD15" s="461"/>
      <c r="BE15" s="178"/>
      <c r="BF15" s="178"/>
      <c r="BG15" s="178"/>
      <c r="BH15" s="178"/>
      <c r="BI15" s="450"/>
      <c r="BJ15" s="713"/>
      <c r="BK15" s="178"/>
      <c r="BL15" s="178"/>
      <c r="BM15" s="178"/>
      <c r="BN15" s="178"/>
      <c r="BO15" s="450"/>
      <c r="BP15" s="713"/>
      <c r="BQ15" s="178"/>
      <c r="BR15" s="178"/>
      <c r="BS15" s="178"/>
      <c r="BT15" s="178"/>
      <c r="BU15" s="450"/>
      <c r="BV15" s="713"/>
      <c r="BW15" s="178"/>
      <c r="BX15" s="178"/>
      <c r="BY15" s="178"/>
      <c r="BZ15" s="178"/>
      <c r="CA15" s="450"/>
      <c r="CB15" s="713"/>
      <c r="CC15" s="178"/>
      <c r="CD15" s="178"/>
      <c r="CE15" s="178"/>
      <c r="CF15" s="178"/>
      <c r="CG15" s="450"/>
      <c r="CH15" s="178"/>
      <c r="CI15" s="178"/>
      <c r="CJ15" s="178"/>
      <c r="CK15" s="178"/>
      <c r="CL15" s="178"/>
      <c r="CM15" s="303"/>
      <c r="CN15" s="303"/>
    </row>
    <row r="16" spans="1:98" ht="12.75" customHeight="1" outlineLevel="1" x14ac:dyDescent="0.2">
      <c r="A16" s="306"/>
      <c r="B16" s="176" t="s">
        <v>378</v>
      </c>
      <c r="C16" s="178">
        <f>+C18+CashFlow!C11</f>
        <v>93.310999999999964</v>
      </c>
      <c r="D16" s="178">
        <f>+D18+CashFlow!D11</f>
        <v>107.09499999999998</v>
      </c>
      <c r="E16" s="178">
        <f>+E18+CashFlow!E11</f>
        <v>97.989000000000075</v>
      </c>
      <c r="F16" s="178">
        <f>+F18+CashFlow!F11</f>
        <v>109.6510000000001</v>
      </c>
      <c r="G16" s="470">
        <f>+G18+CashFlow!G11</f>
        <v>408.04600000000033</v>
      </c>
      <c r="H16" s="479"/>
      <c r="I16" s="178">
        <f>+I18+CashFlow!I11</f>
        <v>113.26199999999993</v>
      </c>
      <c r="J16" s="178">
        <f>+J18+CashFlow!J11</f>
        <v>126.54100000000011</v>
      </c>
      <c r="K16" s="178">
        <f>+K18+CashFlow!K11</f>
        <v>112.2080000000001</v>
      </c>
      <c r="L16" s="178">
        <f>+L18+CashFlow!L11</f>
        <v>108.65299999999993</v>
      </c>
      <c r="M16" s="470">
        <f>+M18+CashFlow!M11</f>
        <v>460.66399999999993</v>
      </c>
      <c r="N16" s="479"/>
      <c r="O16" s="178">
        <f>+O18+CashFlow!O11</f>
        <v>103.279</v>
      </c>
      <c r="P16" s="178">
        <f>+P18+CashFlow!P11</f>
        <v>116.46699999999989</v>
      </c>
      <c r="Q16" s="178">
        <f>+Q18+CashFlow!Q11</f>
        <v>108.13799999999995</v>
      </c>
      <c r="R16" s="178">
        <f>+R18+CashFlow!R11</f>
        <v>118.46999999999989</v>
      </c>
      <c r="S16" s="470">
        <f>+S18+CashFlow!S11</f>
        <v>446.35399999999959</v>
      </c>
      <c r="T16" s="479"/>
      <c r="U16" s="178">
        <f>+U18+CashFlow!U11</f>
        <v>109.78700000000008</v>
      </c>
      <c r="V16" s="178">
        <f>+V18+CashFlow!V11</f>
        <v>119.38500000000002</v>
      </c>
      <c r="W16" s="178">
        <f>+W18+CashFlow!W11</f>
        <v>106.0560000000001</v>
      </c>
      <c r="X16" s="178">
        <f>+X18+CashFlow!X11</f>
        <v>115.58499999999998</v>
      </c>
      <c r="Y16" s="470">
        <f>+Y18+CashFlow!Y11</f>
        <v>450.81300000000016</v>
      </c>
      <c r="Z16" s="479"/>
      <c r="AA16" s="178">
        <f>+AA18+CashFlow!AA11</f>
        <v>116.81700000000008</v>
      </c>
      <c r="AB16" s="178">
        <f>+AB18+CashFlow!AB11</f>
        <v>124.04600000000001</v>
      </c>
      <c r="AC16" s="178">
        <f>+AC18+CashFlow!AC11</f>
        <v>111.66900000000003</v>
      </c>
      <c r="AD16" s="178">
        <f>+AD18+CashFlow!AD11</f>
        <v>125.46000000000009</v>
      </c>
      <c r="AE16" s="470">
        <f>+AE18+CashFlow!AE11</f>
        <v>477.99199999999996</v>
      </c>
      <c r="AF16" s="479"/>
      <c r="AG16" s="178">
        <f>+AG18+CashFlow!AG11</f>
        <v>132.61000000000001</v>
      </c>
      <c r="AH16" s="178">
        <f>+AH18+CashFlow!AH11</f>
        <v>149.89899999999997</v>
      </c>
      <c r="AI16" s="178">
        <f>+AI18+CashFlow!AI11</f>
        <v>130.80500000000004</v>
      </c>
      <c r="AJ16" s="178">
        <f>+AJ18+CashFlow!AJ11</f>
        <v>140.01499999999999</v>
      </c>
      <c r="AK16" s="470">
        <f>+AK18+CashFlow!AK11</f>
        <v>553.32899999999984</v>
      </c>
      <c r="AL16" s="479"/>
      <c r="AM16" s="178">
        <f>+AM18+CashFlow!AM11</f>
        <v>129.11699999999999</v>
      </c>
      <c r="AN16" s="178">
        <f>+AN18+CashFlow!AN11</f>
        <v>159.09</v>
      </c>
      <c r="AO16" s="178">
        <f>+AO18+CashFlow!AO11</f>
        <v>139.518</v>
      </c>
      <c r="AP16" s="178">
        <f>+AP18+CashFlow!AP11</f>
        <v>142.71599999999998</v>
      </c>
      <c r="AQ16" s="470">
        <f>+AQ18+CashFlow!AQ11</f>
        <v>570.44099999999992</v>
      </c>
      <c r="AR16" s="479"/>
      <c r="AS16" s="178">
        <f>+AS18+CashFlow!AS11</f>
        <v>143.35900000000001</v>
      </c>
      <c r="AT16" s="178">
        <f>+AT18+CashFlow!AT11</f>
        <v>161.92000000000002</v>
      </c>
      <c r="AU16" s="178">
        <f>+AU18+CashFlow!AU11</f>
        <v>147.95599999999996</v>
      </c>
      <c r="AV16" s="178">
        <f>+AV18+CashFlow!AV11</f>
        <v>140.733</v>
      </c>
      <c r="AW16" s="470">
        <f>+AW18+CashFlow!AW11</f>
        <v>593.96799999999985</v>
      </c>
      <c r="AX16" s="479"/>
      <c r="AY16" s="178">
        <f>+AY18+CashFlow!AY11</f>
        <v>137.18100000000001</v>
      </c>
      <c r="AZ16" s="178">
        <f>+AZ18+CashFlow!AZ11</f>
        <v>162.09</v>
      </c>
      <c r="BA16" s="178">
        <f>+BA18+CashFlow!BA11</f>
        <v>155.21800000000002</v>
      </c>
      <c r="BB16" s="178">
        <f>+BB18+CashFlow!BB11</f>
        <v>146.20000000000002</v>
      </c>
      <c r="BC16" s="470">
        <f>+BC18+CashFlow!BC11</f>
        <v>600.18900000000008</v>
      </c>
      <c r="BD16" s="479"/>
      <c r="BE16" s="178">
        <f>+BE18+CashFlow!BE11</f>
        <v>193</v>
      </c>
      <c r="BF16" s="178">
        <f>+BF18+CashFlow!BF11</f>
        <v>264</v>
      </c>
      <c r="BG16" s="178">
        <f>+BG18+CashFlow!BG11</f>
        <v>227.70000000000002</v>
      </c>
      <c r="BH16" s="178">
        <f>+BH18+CashFlow!BH11</f>
        <v>236</v>
      </c>
      <c r="BI16" s="470">
        <f>+BI18+CashFlow!BI11</f>
        <v>920.69999999999993</v>
      </c>
      <c r="BJ16" s="479"/>
      <c r="BK16" s="178">
        <f>+BK18+CashFlow!BK11</f>
        <v>178.8</v>
      </c>
      <c r="BL16" s="178">
        <f>+BL18+CashFlow!BL11</f>
        <v>226.3</v>
      </c>
      <c r="BM16" s="178">
        <f>+BM18+CashFlow!BM11</f>
        <v>243.50000000000003</v>
      </c>
      <c r="BN16" s="178">
        <f>+BN18+CashFlow!BN11</f>
        <v>270.3</v>
      </c>
      <c r="BO16" s="470">
        <f>+BO18+CashFlow!BO11</f>
        <v>918.90000000000009</v>
      </c>
      <c r="BP16" s="479"/>
      <c r="BQ16" s="178">
        <f>+BQ18+CashFlow!BQ11</f>
        <v>169.84691562499989</v>
      </c>
      <c r="BR16" s="178">
        <f>+BR18+CashFlow!BR11</f>
        <v>221.03989787500004</v>
      </c>
      <c r="BS16" s="178">
        <f>+BS18+CashFlow!BS11</f>
        <v>252.09680507499996</v>
      </c>
      <c r="BT16" s="178">
        <f>+BT18+CashFlow!BT11</f>
        <v>284.91694217499997</v>
      </c>
      <c r="BU16" s="470">
        <f>+BU18+CashFlow!BU11</f>
        <v>927.90056075000007</v>
      </c>
      <c r="BV16" s="479"/>
      <c r="BW16" s="178">
        <f>+BW18+CashFlow!BW11</f>
        <v>228.01209785500004</v>
      </c>
      <c r="BX16" s="178">
        <f>+BX18+CashFlow!BX11</f>
        <v>262.31580569549999</v>
      </c>
      <c r="BY16" s="178">
        <f>+BY18+CashFlow!BY11</f>
        <v>268.26224626700008</v>
      </c>
      <c r="BZ16" s="178">
        <f>+BZ18+CashFlow!BZ11</f>
        <v>284.427264509</v>
      </c>
      <c r="CA16" s="470">
        <f>+CA18+CashFlow!CA11</f>
        <v>1043.0174143265003</v>
      </c>
      <c r="CB16" s="479"/>
      <c r="CC16" s="178">
        <f>+CC18+CashFlow!CC11</f>
        <v>245.98083905704993</v>
      </c>
      <c r="CD16" s="178">
        <f>+CD18+CashFlow!CD11</f>
        <v>280.20937236630255</v>
      </c>
      <c r="CE16" s="178">
        <f>+CE18+CashFlow!CE11</f>
        <v>286.99575611169502</v>
      </c>
      <c r="CF16" s="178">
        <f>+CF18+CashFlow!CF11</f>
        <v>305.6277976724549</v>
      </c>
      <c r="CG16" s="470">
        <f>+CG18+CashFlow!CG11</f>
        <v>1118.8137652075025</v>
      </c>
      <c r="CH16" s="178"/>
      <c r="CI16" s="178"/>
      <c r="CJ16" s="178"/>
      <c r="CK16" s="178"/>
      <c r="CL16" s="178"/>
      <c r="CM16" s="305"/>
      <c r="CN16" s="305"/>
    </row>
    <row r="17" spans="1:92" ht="3" customHeight="1" outlineLevel="1" x14ac:dyDescent="0.2">
      <c r="A17" s="301"/>
      <c r="B17" s="307"/>
      <c r="C17" s="178"/>
      <c r="D17" s="178"/>
      <c r="E17" s="178"/>
      <c r="F17" s="178"/>
      <c r="G17" s="450"/>
      <c r="H17" s="461"/>
      <c r="I17" s="452"/>
      <c r="J17" s="452"/>
      <c r="K17" s="452"/>
      <c r="L17" s="452"/>
      <c r="M17" s="450"/>
      <c r="N17" s="461"/>
      <c r="O17" s="452"/>
      <c r="P17" s="452"/>
      <c r="Q17" s="452"/>
      <c r="R17" s="452"/>
      <c r="S17" s="450"/>
      <c r="T17" s="461"/>
      <c r="U17" s="452"/>
      <c r="V17" s="452"/>
      <c r="W17" s="452"/>
      <c r="X17" s="452"/>
      <c r="Y17" s="450"/>
      <c r="Z17" s="461"/>
      <c r="AA17" s="452"/>
      <c r="AB17" s="452"/>
      <c r="AC17" s="452"/>
      <c r="AD17" s="452"/>
      <c r="AE17" s="450"/>
      <c r="AF17" s="461"/>
      <c r="AG17" s="452"/>
      <c r="AH17" s="452"/>
      <c r="AI17" s="452"/>
      <c r="AJ17" s="452"/>
      <c r="AK17" s="470"/>
      <c r="AL17" s="128"/>
      <c r="AM17" s="178"/>
      <c r="AN17" s="178"/>
      <c r="AO17" s="178"/>
      <c r="AP17" s="178"/>
      <c r="AQ17" s="470"/>
      <c r="AR17" s="128"/>
      <c r="AS17" s="178"/>
      <c r="AT17" s="178"/>
      <c r="AU17" s="178"/>
      <c r="AV17" s="178"/>
      <c r="AW17" s="470"/>
      <c r="AX17" s="128"/>
      <c r="AY17" s="178"/>
      <c r="AZ17" s="178"/>
      <c r="BA17" s="178"/>
      <c r="BB17" s="178"/>
      <c r="BC17" s="470"/>
      <c r="BD17" s="461"/>
      <c r="BE17" s="178"/>
      <c r="BF17" s="178"/>
      <c r="BG17" s="178"/>
      <c r="BH17" s="178"/>
      <c r="BI17" s="450"/>
      <c r="BJ17" s="713"/>
      <c r="BK17" s="178">
        <v>147.9</v>
      </c>
      <c r="BL17" s="178"/>
      <c r="BM17" s="178"/>
      <c r="BN17" s="178"/>
      <c r="BO17" s="450"/>
      <c r="BP17" s="713"/>
      <c r="BQ17" s="178"/>
      <c r="BR17" s="178"/>
      <c r="BS17" s="178"/>
      <c r="BT17" s="178"/>
      <c r="BU17" s="450"/>
      <c r="BV17" s="713"/>
      <c r="BW17" s="178"/>
      <c r="BX17" s="178"/>
      <c r="BY17" s="178"/>
      <c r="BZ17" s="178"/>
      <c r="CA17" s="450"/>
      <c r="CB17" s="713"/>
      <c r="CC17" s="178"/>
      <c r="CD17" s="178"/>
      <c r="CE17" s="178"/>
      <c r="CF17" s="178"/>
      <c r="CG17" s="450"/>
      <c r="CH17" s="178"/>
      <c r="CI17" s="178"/>
      <c r="CJ17" s="178"/>
      <c r="CK17" s="178"/>
      <c r="CL17" s="178"/>
      <c r="CM17" s="300"/>
      <c r="CN17" s="300"/>
    </row>
    <row r="18" spans="1:92" ht="11.25" customHeight="1" x14ac:dyDescent="0.2">
      <c r="A18" s="310"/>
      <c r="B18" s="308" t="s">
        <v>241</v>
      </c>
      <c r="C18" s="288">
        <f>C11-C13-C14</f>
        <v>82.200999999999965</v>
      </c>
      <c r="D18" s="288">
        <f>D11-D13-D14</f>
        <v>96.699999999999989</v>
      </c>
      <c r="E18" s="288">
        <f>E11-E13-E14</f>
        <v>87.282000000000068</v>
      </c>
      <c r="F18" s="288">
        <f>F11-F13-F14</f>
        <v>99.235000000000099</v>
      </c>
      <c r="G18" s="445">
        <f>G11-G13-G14</f>
        <v>365.41800000000035</v>
      </c>
      <c r="H18" s="463"/>
      <c r="I18" s="449">
        <f>I11-I13-I14</f>
        <v>101.24099999999993</v>
      </c>
      <c r="J18" s="449">
        <f>J11-J13-J14</f>
        <v>114.61900000000011</v>
      </c>
      <c r="K18" s="449">
        <f>K11-K13-K14</f>
        <v>99.454000000000093</v>
      </c>
      <c r="L18" s="449">
        <f>L11-L13-L14</f>
        <v>97.462999999999937</v>
      </c>
      <c r="M18" s="445">
        <f>M11-M13-M14</f>
        <v>412.77699999999993</v>
      </c>
      <c r="N18" s="463"/>
      <c r="O18" s="449">
        <f>O11-O13-O14</f>
        <v>90.34899999999999</v>
      </c>
      <c r="P18" s="449">
        <f>P11-P13-P14</f>
        <v>103.02399999999989</v>
      </c>
      <c r="Q18" s="449">
        <f>Q11-Q13-Q14</f>
        <v>94.392999999999944</v>
      </c>
      <c r="R18" s="449">
        <f>R11-R13-R14</f>
        <v>104.50099999999989</v>
      </c>
      <c r="S18" s="445">
        <f>S11-S13-S14</f>
        <v>392.2669999999996</v>
      </c>
      <c r="T18" s="463"/>
      <c r="U18" s="449">
        <f>U11-U13-U14</f>
        <v>94.522000000000077</v>
      </c>
      <c r="V18" s="449">
        <f>V11-V13-V14</f>
        <v>105.21200000000002</v>
      </c>
      <c r="W18" s="449">
        <f>W11-W13-W14</f>
        <v>92.472000000000094</v>
      </c>
      <c r="X18" s="449">
        <f>X11-X13-X14</f>
        <v>101.73899999999998</v>
      </c>
      <c r="Y18" s="445">
        <f>Y11-Y13-Y14</f>
        <v>393.94500000000016</v>
      </c>
      <c r="Z18" s="463"/>
      <c r="AA18" s="449">
        <f>AA11-AA13-AA14</f>
        <v>101.61700000000008</v>
      </c>
      <c r="AB18" s="449">
        <f>AB11-AB13-AB14</f>
        <v>106.887</v>
      </c>
      <c r="AC18" s="449">
        <f>AC11-AC13-AC14</f>
        <v>96.970000000000027</v>
      </c>
      <c r="AD18" s="449">
        <f>AD11-AD13-AD14</f>
        <v>108.4790000000001</v>
      </c>
      <c r="AE18" s="445">
        <f>AE11-AE13-AE14</f>
        <v>413.95299999999997</v>
      </c>
      <c r="AF18" s="464"/>
      <c r="AG18" s="449">
        <f>AG11-AG13-AG14</f>
        <v>112.40100000000001</v>
      </c>
      <c r="AH18" s="449">
        <f>AH11-AH13-AH14</f>
        <v>129.75099999999998</v>
      </c>
      <c r="AI18" s="449">
        <f>AI11-AI13-AI14</f>
        <v>111.65300000000002</v>
      </c>
      <c r="AJ18" s="449">
        <f>AJ11-AJ13-AJ14</f>
        <v>120.06799999999998</v>
      </c>
      <c r="AK18" s="289">
        <f>AK11-AK13-AK14</f>
        <v>473.87299999999982</v>
      </c>
      <c r="AL18" s="244"/>
      <c r="AM18" s="390">
        <v>108.70099999999999</v>
      </c>
      <c r="AN18" s="390">
        <v>137.76300000000001</v>
      </c>
      <c r="AO18" s="390">
        <v>119.71599999999999</v>
      </c>
      <c r="AP18" s="390">
        <v>122.622</v>
      </c>
      <c r="AQ18" s="289">
        <f>AQ11-AQ13-AQ14</f>
        <v>488.80199999999991</v>
      </c>
      <c r="AR18" s="244"/>
      <c r="AS18" s="390">
        <v>121.989</v>
      </c>
      <c r="AT18" s="390">
        <v>140.965</v>
      </c>
      <c r="AU18" s="288">
        <f>AU11-AU13-AU14</f>
        <v>127.23299999999995</v>
      </c>
      <c r="AV18" s="288">
        <f>AV11-AV13-AV14</f>
        <v>122.61799999999999</v>
      </c>
      <c r="AW18" s="289">
        <f>AW11-AW13-AW14</f>
        <v>512.80499999999984</v>
      </c>
      <c r="AX18" s="244"/>
      <c r="AY18" s="390">
        <f>+AY11-AY13</f>
        <v>117.87</v>
      </c>
      <c r="AZ18" s="390">
        <v>142.619</v>
      </c>
      <c r="BA18" s="390">
        <v>132.4</v>
      </c>
      <c r="BB18" s="288">
        <f>BB11-BB13-BB14</f>
        <v>128.70000000000002</v>
      </c>
      <c r="BC18" s="289">
        <f>BC11-BC13-BC14</f>
        <v>521.08900000000006</v>
      </c>
      <c r="BD18" s="464"/>
      <c r="BE18" s="390">
        <v>169.5</v>
      </c>
      <c r="BF18" s="390">
        <v>232.4</v>
      </c>
      <c r="BG18" s="390">
        <v>195.8</v>
      </c>
      <c r="BH18" s="390">
        <v>206.4</v>
      </c>
      <c r="BI18" s="644">
        <f>BI11-BI13+BI14</f>
        <v>804.09999999999991</v>
      </c>
      <c r="BJ18" s="464"/>
      <c r="BK18" s="390">
        <v>147.9</v>
      </c>
      <c r="BL18" s="390">
        <v>195.1</v>
      </c>
      <c r="BM18" s="390">
        <f>107.9+48.7+46.7+1.8+6.6</f>
        <v>211.70000000000002</v>
      </c>
      <c r="BN18" s="390">
        <v>236.9</v>
      </c>
      <c r="BO18" s="644">
        <f>BO11-BO13+BO14</f>
        <v>791.60000000000014</v>
      </c>
      <c r="BP18" s="464"/>
      <c r="BQ18" s="288">
        <f t="shared" ref="BQ18:CG18" si="2">BQ11-BQ13+BQ14</f>
        <v>138.82124999999991</v>
      </c>
      <c r="BR18" s="288">
        <f t="shared" si="2"/>
        <v>189.61024000000003</v>
      </c>
      <c r="BS18" s="288">
        <f t="shared" si="2"/>
        <v>220.21661999999998</v>
      </c>
      <c r="BT18" s="288">
        <f t="shared" si="2"/>
        <v>252.57679999999999</v>
      </c>
      <c r="BU18" s="644">
        <f t="shared" si="2"/>
        <v>801.22491000000014</v>
      </c>
      <c r="BV18" s="464"/>
      <c r="BW18" s="288">
        <f>BW11-BW13+BW14</f>
        <v>195.17772998000004</v>
      </c>
      <c r="BX18" s="288">
        <f t="shared" si="2"/>
        <v>229.06379649999997</v>
      </c>
      <c r="BY18" s="288">
        <f t="shared" si="2"/>
        <v>234.53893928000008</v>
      </c>
      <c r="BZ18" s="288">
        <f t="shared" si="2"/>
        <v>250.2248386</v>
      </c>
      <c r="CA18" s="644">
        <f t="shared" si="2"/>
        <v>909.00530436000031</v>
      </c>
      <c r="CB18" s="464"/>
      <c r="CC18" s="288">
        <f>CC11-CC13+CC14</f>
        <v>211.26740445304995</v>
      </c>
      <c r="CD18" s="288">
        <f t="shared" si="2"/>
        <v>245.06395766205003</v>
      </c>
      <c r="CE18" s="288">
        <f t="shared" si="2"/>
        <v>251.36750383400005</v>
      </c>
      <c r="CF18" s="288">
        <f t="shared" si="2"/>
        <v>269.50731970089993</v>
      </c>
      <c r="CG18" s="644">
        <f t="shared" si="2"/>
        <v>977.20618564999995</v>
      </c>
      <c r="CH18" s="469"/>
      <c r="CI18" s="469"/>
      <c r="CJ18" s="469"/>
      <c r="CK18" s="469"/>
      <c r="CL18" s="469"/>
      <c r="CM18" s="309"/>
      <c r="CN18" s="309"/>
    </row>
    <row r="19" spans="1:92" ht="3.75" customHeight="1" x14ac:dyDescent="0.2">
      <c r="A19" s="310"/>
      <c r="B19" s="308"/>
      <c r="C19" s="288"/>
      <c r="D19" s="288"/>
      <c r="E19" s="288"/>
      <c r="F19" s="288"/>
      <c r="G19" s="445"/>
      <c r="H19" s="463"/>
      <c r="I19" s="449"/>
      <c r="J19" s="449"/>
      <c r="K19" s="449"/>
      <c r="L19" s="449"/>
      <c r="M19" s="445"/>
      <c r="N19" s="463"/>
      <c r="O19" s="449"/>
      <c r="P19" s="449"/>
      <c r="Q19" s="449"/>
      <c r="R19" s="449"/>
      <c r="S19" s="445"/>
      <c r="T19" s="463"/>
      <c r="U19" s="449"/>
      <c r="V19" s="449"/>
      <c r="W19" s="449"/>
      <c r="X19" s="449"/>
      <c r="Y19" s="445"/>
      <c r="Z19" s="463"/>
      <c r="AA19" s="449"/>
      <c r="AB19" s="449"/>
      <c r="AC19" s="449"/>
      <c r="AD19" s="449"/>
      <c r="AE19" s="445"/>
      <c r="AF19" s="464"/>
      <c r="AG19" s="449"/>
      <c r="AH19" s="449"/>
      <c r="AI19" s="449"/>
      <c r="AJ19" s="449"/>
      <c r="AK19" s="289"/>
      <c r="AL19" s="244"/>
      <c r="AM19" s="288"/>
      <c r="AN19" s="288"/>
      <c r="AO19" s="288"/>
      <c r="AP19" s="288"/>
      <c r="AQ19" s="289"/>
      <c r="AR19" s="244"/>
      <c r="AS19" s="288"/>
      <c r="AT19" s="288"/>
      <c r="AU19" s="288"/>
      <c r="AV19" s="288"/>
      <c r="AW19" s="289"/>
      <c r="AX19" s="244"/>
      <c r="AY19" s="288"/>
      <c r="AZ19" s="288"/>
      <c r="BA19" s="288"/>
      <c r="BB19" s="288"/>
      <c r="BC19" s="289"/>
      <c r="BD19" s="464"/>
      <c r="BE19" s="288"/>
      <c r="BF19" s="288"/>
      <c r="BG19" s="288"/>
      <c r="BH19" s="288"/>
      <c r="BI19" s="445"/>
      <c r="BJ19" s="464"/>
      <c r="BK19" s="288"/>
      <c r="BL19" s="288"/>
      <c r="BM19" s="288"/>
      <c r="BN19" s="288"/>
      <c r="BO19" s="445"/>
      <c r="BP19" s="464"/>
      <c r="BQ19" s="288"/>
      <c r="BR19" s="288"/>
      <c r="BS19" s="288"/>
      <c r="BT19" s="288"/>
      <c r="BU19" s="445"/>
      <c r="BV19" s="464"/>
      <c r="BW19" s="288"/>
      <c r="BX19" s="288"/>
      <c r="BY19" s="288"/>
      <c r="BZ19" s="288"/>
      <c r="CA19" s="445"/>
      <c r="CB19" s="464"/>
      <c r="CC19" s="288"/>
      <c r="CD19" s="288"/>
      <c r="CE19" s="288"/>
      <c r="CF19" s="288"/>
      <c r="CG19" s="445"/>
      <c r="CH19" s="288"/>
      <c r="CI19" s="288"/>
      <c r="CJ19" s="288"/>
      <c r="CK19" s="288"/>
      <c r="CL19" s="288"/>
      <c r="CM19" s="309"/>
      <c r="CN19" s="309"/>
    </row>
    <row r="20" spans="1:92" x14ac:dyDescent="0.2">
      <c r="A20" s="306"/>
      <c r="B20" s="311" t="s">
        <v>289</v>
      </c>
      <c r="C20" s="452">
        <f>+SUM(C21:C23)</f>
        <v>2.2549999999999999</v>
      </c>
      <c r="D20" s="452">
        <f>+SUM(D21:D23)</f>
        <v>2.1330000000000005</v>
      </c>
      <c r="E20" s="452">
        <f>+SUM(E21:E23)</f>
        <v>-0.74499999999999944</v>
      </c>
      <c r="F20" s="452">
        <f>+SUM(F21:F23)</f>
        <v>-0.39900000000000491</v>
      </c>
      <c r="G20" s="450">
        <f>+SUM(G21:G23)</f>
        <v>3.2439999999999998</v>
      </c>
      <c r="H20" s="462"/>
      <c r="I20" s="452">
        <f>+SUM(I21:I23)</f>
        <v>-6.1640000000000006</v>
      </c>
      <c r="J20" s="452">
        <f>+SUM(J21:J23)</f>
        <v>-3.165</v>
      </c>
      <c r="K20" s="452">
        <f>+SUM(K21:K23)</f>
        <v>-5.6450000000000014</v>
      </c>
      <c r="L20" s="452">
        <f>+SUM(L21:L23)</f>
        <v>-10.576000000000001</v>
      </c>
      <c r="M20" s="450">
        <f>+SUM(M21:M23)</f>
        <v>-25.549999999999997</v>
      </c>
      <c r="N20" s="462"/>
      <c r="O20" s="452">
        <f>+SUM(O21:O23)</f>
        <v>-5.113999999999999</v>
      </c>
      <c r="P20" s="452">
        <f>+SUM(P21:P23)</f>
        <v>-3.706</v>
      </c>
      <c r="Q20" s="452">
        <f>+SUM(Q21:Q23)</f>
        <v>-5.0890000000000004</v>
      </c>
      <c r="R20" s="452">
        <f>+SUM(R21:R23)</f>
        <v>-3.976</v>
      </c>
      <c r="S20" s="450">
        <f>+SUM(S21:S23)</f>
        <v>-17.884999999999998</v>
      </c>
      <c r="T20" s="462"/>
      <c r="U20" s="452">
        <f>+SUM(U21:U23)</f>
        <v>-5.8780000000000001</v>
      </c>
      <c r="V20" s="452">
        <f>+SUM(V21:V23)</f>
        <v>-5.3890000000000002</v>
      </c>
      <c r="W20" s="452">
        <f>+SUM(W21:W23)</f>
        <v>-5.3159999999999998</v>
      </c>
      <c r="X20" s="452">
        <f>+SUM(X21:X23)</f>
        <v>-4.8419999999999996</v>
      </c>
      <c r="Y20" s="450">
        <f>+SUM(Y21:Y23)</f>
        <v>-21.425000000000001</v>
      </c>
      <c r="Z20" s="462"/>
      <c r="AA20" s="452">
        <f>+SUM(AA21:AA23)</f>
        <v>-3.5849999999999995</v>
      </c>
      <c r="AB20" s="452">
        <f>-4.574-0.783</f>
        <v>-5.3570000000000002</v>
      </c>
      <c r="AC20" s="452">
        <f>-20.826+11.635</f>
        <v>-9.1910000000000007</v>
      </c>
      <c r="AD20" s="452">
        <f>-14.632+0.008</f>
        <v>-14.624000000000001</v>
      </c>
      <c r="AE20" s="450">
        <f>+SUM(AA20:AD20)</f>
        <v>-32.757000000000005</v>
      </c>
      <c r="AF20" s="462"/>
      <c r="AG20" s="452">
        <v>-13.696</v>
      </c>
      <c r="AH20" s="452">
        <v>-13.416</v>
      </c>
      <c r="AI20" s="452">
        <v>-13.29</v>
      </c>
      <c r="AJ20" s="452">
        <f>-11.088-0.043</f>
        <v>-11.130999999999998</v>
      </c>
      <c r="AK20" s="470">
        <f>+SUM(AG20:AJ20)</f>
        <v>-51.533000000000001</v>
      </c>
      <c r="AL20" s="479"/>
      <c r="AM20" s="178">
        <v>-11.478999999999999</v>
      </c>
      <c r="AN20" s="178">
        <v>-12.788</v>
      </c>
      <c r="AO20" s="178">
        <f>-AO18+108.029</f>
        <v>-11.686999999999998</v>
      </c>
      <c r="AP20" s="178">
        <f>-AP18+111.978</f>
        <v>-10.644000000000005</v>
      </c>
      <c r="AQ20" s="470">
        <f>+SUM(AM20:AP20)</f>
        <v>-46.597999999999999</v>
      </c>
      <c r="AR20" s="479"/>
      <c r="AS20" s="178">
        <f>-AS18+111.29</f>
        <v>-10.698999999999998</v>
      </c>
      <c r="AT20" s="178">
        <f>-AT18+129.958</f>
        <v>-11.007000000000005</v>
      </c>
      <c r="AU20" s="178">
        <v>-10.702</v>
      </c>
      <c r="AV20" s="178">
        <v>-12.833</v>
      </c>
      <c r="AW20" s="470">
        <f>+SUM(AS20:AV20)</f>
        <v>-45.241</v>
      </c>
      <c r="AX20" s="479"/>
      <c r="AY20" s="178">
        <f>-AY18+108.202</f>
        <v>-9.6680000000000064</v>
      </c>
      <c r="AZ20" s="178">
        <f>-AZ18+133.538</f>
        <v>-9.0809999999999889</v>
      </c>
      <c r="BA20" s="178">
        <v>-11.5</v>
      </c>
      <c r="BB20" s="178">
        <v>-8.1999999999999993</v>
      </c>
      <c r="BC20" s="470">
        <f>+SUM(AY20:BB20)</f>
        <v>-38.448999999999998</v>
      </c>
      <c r="BD20" s="462"/>
      <c r="BE20" s="178">
        <f>+SUM(BE21:BE23)</f>
        <v>-10.199999999999999</v>
      </c>
      <c r="BF20" s="178">
        <f>SUM(BF21:BF23)</f>
        <v>3.2999999999999989</v>
      </c>
      <c r="BG20" s="966">
        <v>-9.1</v>
      </c>
      <c r="BH20" s="966">
        <v>-7.1</v>
      </c>
      <c r="BI20" s="470">
        <f>SUM(BI21:BI23)</f>
        <v>-23.1</v>
      </c>
      <c r="BJ20" s="468"/>
      <c r="BK20" s="178">
        <f>+SUM(BK21:BK23)</f>
        <v>-7.3</v>
      </c>
      <c r="BL20" s="178">
        <f>SUM(BL21:BL23)</f>
        <v>-15.700000000000001</v>
      </c>
      <c r="BM20" s="178">
        <f>SUM(BM21:BM23)</f>
        <v>-10.5</v>
      </c>
      <c r="BN20" s="178">
        <f>SUM(BN21:BN23)</f>
        <v>-9.7999999999999989</v>
      </c>
      <c r="BO20" s="470">
        <f>SUM(BO21:BO23)</f>
        <v>-43.300000000000004</v>
      </c>
      <c r="BP20" s="468"/>
      <c r="BQ20" s="178">
        <f>SUM(BQ21:BQ23)</f>
        <v>-5.7652999999999999</v>
      </c>
      <c r="BR20" s="178">
        <f>SUM(BR21:BR23)</f>
        <v>-5.493080770282841</v>
      </c>
      <c r="BS20" s="178">
        <f>SUM(BS21:BS23)</f>
        <v>-5.7091351857582442</v>
      </c>
      <c r="BT20" s="178">
        <f>SUM(BT21:BT23)</f>
        <v>-5.9482302069358299</v>
      </c>
      <c r="BU20" s="470">
        <f>SUM(BU21:BU23)</f>
        <v>-22.915746162976912</v>
      </c>
      <c r="BV20" s="468"/>
      <c r="BW20" s="178">
        <f>SUM(BW21:BW23)</f>
        <v>-5.6881304786743181</v>
      </c>
      <c r="BX20" s="178">
        <f>SUM(BX21:BX23)</f>
        <v>-5.0664910551482052</v>
      </c>
      <c r="BY20" s="178">
        <f>SUM(BY21:BY23)</f>
        <v>-5.3239790315052486</v>
      </c>
      <c r="BZ20" s="178">
        <f>SUM(BZ21:BZ23)</f>
        <v>-5.6215306803599354</v>
      </c>
      <c r="CA20" s="470">
        <f>SUM(CA21:CA23)</f>
        <v>-21.700131245687707</v>
      </c>
      <c r="CB20" s="468"/>
      <c r="CC20" s="178">
        <f>SUM(CC21:CC23)</f>
        <v>-2.7592696919498065</v>
      </c>
      <c r="CD20" s="178">
        <f>SUM(CD21:CD23)</f>
        <v>0.28245909820610304</v>
      </c>
      <c r="CE20" s="178">
        <f>SUM(CE21:CE23)</f>
        <v>-0.65388150897366959</v>
      </c>
      <c r="CF20" s="178">
        <f>SUM(CF21:CF23)</f>
        <v>-1.6805276610373694</v>
      </c>
      <c r="CG20" s="470">
        <f>SUM(CG21:CG23)</f>
        <v>-4.811219763754746</v>
      </c>
      <c r="CH20" s="178"/>
      <c r="CI20" s="178"/>
      <c r="CJ20" s="178"/>
      <c r="CK20" s="178"/>
      <c r="CL20" s="178"/>
      <c r="CM20" s="305"/>
      <c r="CN20" s="305"/>
    </row>
    <row r="21" spans="1:92" ht="12.75" customHeight="1" outlineLevel="1" x14ac:dyDescent="0.2">
      <c r="A21" s="301"/>
      <c r="B21" s="176" t="s">
        <v>139</v>
      </c>
      <c r="C21" s="451">
        <v>-4.4560000000000004</v>
      </c>
      <c r="D21" s="451">
        <v>-5.2089999999999996</v>
      </c>
      <c r="E21" s="451">
        <v>-7.1379999999999999</v>
      </c>
      <c r="F21" s="451">
        <f>-23.783-SUM(C21:E21)</f>
        <v>-6.980000000000004</v>
      </c>
      <c r="G21" s="450">
        <f>+SUM(C21:F21)</f>
        <v>-23.783000000000001</v>
      </c>
      <c r="H21" s="453"/>
      <c r="I21" s="451">
        <v>-8.2520000000000007</v>
      </c>
      <c r="J21" s="451">
        <v>-7.9009999999999998</v>
      </c>
      <c r="K21" s="451">
        <v>-9.2840000000000007</v>
      </c>
      <c r="L21" s="451">
        <f>-32.527-SUM(I21:K21)</f>
        <v>-7.0900000000000034</v>
      </c>
      <c r="M21" s="450">
        <f>+SUM(I21:L21)</f>
        <v>-32.527000000000001</v>
      </c>
      <c r="N21" s="453"/>
      <c r="O21" s="451">
        <v>-6.1529999999999996</v>
      </c>
      <c r="P21" s="451">
        <v>-5.2679999999999998</v>
      </c>
      <c r="Q21" s="451">
        <v>-5.4560000000000004</v>
      </c>
      <c r="R21" s="451">
        <f>-21.896-SUM(O21:Q21)</f>
        <v>-5.0190000000000019</v>
      </c>
      <c r="S21" s="450">
        <f>+SUM(O21:R21)</f>
        <v>-21.896000000000001</v>
      </c>
      <c r="T21" s="453"/>
      <c r="U21" s="451">
        <v>-5.72</v>
      </c>
      <c r="V21" s="451">
        <v>-6.6859999999999999</v>
      </c>
      <c r="W21" s="451">
        <v>-5.9989999999999997</v>
      </c>
      <c r="X21" s="451">
        <f>-25.089-SUM(U21:W21)</f>
        <v>-6.6840000000000011</v>
      </c>
      <c r="Y21" s="450">
        <f>+SUM(U21:X21)</f>
        <v>-25.088999999999999</v>
      </c>
      <c r="Z21" s="453"/>
      <c r="AA21" s="451">
        <f>-6.343+1</f>
        <v>-5.343</v>
      </c>
      <c r="AB21" s="451">
        <v>-5.57</v>
      </c>
      <c r="AC21" s="451">
        <v>-16.062000000000001</v>
      </c>
      <c r="AD21" s="451">
        <f>AE21-AC21-AB21-AA21</f>
        <v>-16.838999999999999</v>
      </c>
      <c r="AE21" s="450">
        <v>-43.814</v>
      </c>
      <c r="AF21" s="453"/>
      <c r="AG21" s="451">
        <v>-15.782</v>
      </c>
      <c r="AH21" s="451">
        <v>-14.584</v>
      </c>
      <c r="AI21" s="451">
        <v>-15.632</v>
      </c>
      <c r="AJ21" s="451">
        <f>-56.851-AI21-AH21-AG21</f>
        <v>-10.853000000000002</v>
      </c>
      <c r="AK21" s="470">
        <f>+SUM(AG21:AJ21)</f>
        <v>-56.850999999999999</v>
      </c>
      <c r="AL21" s="479"/>
      <c r="AM21" s="177">
        <v>-15.221</v>
      </c>
      <c r="AN21" s="177">
        <v>-11.507</v>
      </c>
      <c r="AO21" s="177">
        <v>-11.442</v>
      </c>
      <c r="AP21" s="177">
        <f>-49.625-AO21-AN21-AM21</f>
        <v>-11.455000000000002</v>
      </c>
      <c r="AQ21" s="470">
        <f>+SUM(AM21:AP21)</f>
        <v>-49.625</v>
      </c>
      <c r="AR21" s="483"/>
      <c r="AS21" s="177">
        <v>-10.955</v>
      </c>
      <c r="AT21" s="177">
        <v>-11.798</v>
      </c>
      <c r="AU21" s="177">
        <v>-12.664999999999999</v>
      </c>
      <c r="AV21" s="177">
        <f>-46.91-SUM(AS21:AU21)</f>
        <v>-11.491999999999997</v>
      </c>
      <c r="AW21" s="470">
        <f>+SUM(AS21:AV21)</f>
        <v>-46.91</v>
      </c>
      <c r="AX21" s="483"/>
      <c r="AY21" s="177">
        <v>-10.667999999999999</v>
      </c>
      <c r="AZ21" s="177">
        <v>-9.8239999999999998</v>
      </c>
      <c r="BA21" s="177">
        <f>+BA20-BA22</f>
        <v>-12.16</v>
      </c>
      <c r="BB21" s="177">
        <f>+BB20-BB22</f>
        <v>-8.86</v>
      </c>
      <c r="BC21" s="470">
        <f>+SUM(AY21:BB21)</f>
        <v>-41.512</v>
      </c>
      <c r="BD21" s="453"/>
      <c r="BE21" s="966">
        <v>-5.3</v>
      </c>
      <c r="BF21" s="966">
        <v>-9.3000000000000007</v>
      </c>
      <c r="BG21" s="966">
        <v>-8.4</v>
      </c>
      <c r="BH21" s="966">
        <v>-8</v>
      </c>
      <c r="BI21" s="470">
        <f>SUM(BE21:BH21)</f>
        <v>-31</v>
      </c>
      <c r="BJ21" s="711"/>
      <c r="BK21" s="966">
        <f>-7.3-BK22</f>
        <v>-7.8</v>
      </c>
      <c r="BL21" s="966">
        <f>-15.7-BL22</f>
        <v>-16.3</v>
      </c>
      <c r="BM21" s="966">
        <f>-10.3+0.4-0.2-0.4-BM22</f>
        <v>-10.9</v>
      </c>
      <c r="BN21" s="966">
        <v>-10.199999999999999</v>
      </c>
      <c r="BO21" s="470">
        <f>SUM(BK21:BN21)</f>
        <v>-45.2</v>
      </c>
      <c r="BP21" s="711"/>
      <c r="BQ21" s="1190">
        <f>-Debt!BQ95</f>
        <v>-6.5667999999999997</v>
      </c>
      <c r="BR21" s="1190">
        <f>-Debt!BR95</f>
        <v>-6.5232000000000001</v>
      </c>
      <c r="BS21" s="1190">
        <f>-Debt!BS95</f>
        <v>-6.5232000000000001</v>
      </c>
      <c r="BT21" s="1190">
        <f>-Debt!BT95</f>
        <v>-6.5232000000000001</v>
      </c>
      <c r="BU21" s="470">
        <f>SUM(BQ21:BT21)</f>
        <v>-26.136399999999998</v>
      </c>
      <c r="BV21" s="711"/>
      <c r="BW21" s="1190">
        <f>-Debt!BW95</f>
        <v>-6.5232000000000001</v>
      </c>
      <c r="BX21" s="1190">
        <f>-Debt!BX95</f>
        <v>-6.5232000000000001</v>
      </c>
      <c r="BY21" s="1190">
        <f>-Debt!BY95</f>
        <v>-6.5232000000000001</v>
      </c>
      <c r="BZ21" s="1190">
        <f>-Debt!BZ95</f>
        <v>-6.5232000000000001</v>
      </c>
      <c r="CA21" s="470">
        <f>SUM(BW21:BZ21)</f>
        <v>-26.0928</v>
      </c>
      <c r="CB21" s="711"/>
      <c r="CC21" s="1190">
        <f>-Debt!CC95</f>
        <v>-6.5232000000000001</v>
      </c>
      <c r="CD21" s="1190">
        <f>-Debt!CD95</f>
        <v>-6.5232000000000001</v>
      </c>
      <c r="CE21" s="1190">
        <f>-Debt!CE95</f>
        <v>-6.5232000000000001</v>
      </c>
      <c r="CF21" s="1190">
        <f>-Debt!CF95</f>
        <v>-6.5232000000000001</v>
      </c>
      <c r="CG21" s="470">
        <f>SUM(CC21:CF21)</f>
        <v>-26.0928</v>
      </c>
      <c r="CH21" s="178"/>
      <c r="CI21" s="178"/>
      <c r="CJ21" s="178"/>
      <c r="CK21" s="178"/>
      <c r="CL21" s="178"/>
      <c r="CM21" s="300"/>
      <c r="CN21" s="301"/>
    </row>
    <row r="22" spans="1:92" ht="12.75" customHeight="1" outlineLevel="1" x14ac:dyDescent="0.2">
      <c r="A22" s="301"/>
      <c r="B22" s="176" t="s">
        <v>138</v>
      </c>
      <c r="C22" s="451">
        <v>6.5010000000000003</v>
      </c>
      <c r="D22" s="451">
        <v>6.9950000000000001</v>
      </c>
      <c r="E22" s="451">
        <v>6.6130000000000004</v>
      </c>
      <c r="F22" s="451">
        <f>26.428-SUM(C22:E22)</f>
        <v>6.3189999999999991</v>
      </c>
      <c r="G22" s="450">
        <f>+SUM(C22:F22)</f>
        <v>26.428000000000001</v>
      </c>
      <c r="H22" s="453"/>
      <c r="I22" s="451">
        <v>5.21</v>
      </c>
      <c r="J22" s="451">
        <v>4.6849999999999996</v>
      </c>
      <c r="K22" s="451">
        <v>4.6689999999999996</v>
      </c>
      <c r="L22" s="451">
        <f>17.089-SUM(I22:K22)</f>
        <v>2.5249999999999986</v>
      </c>
      <c r="M22" s="450">
        <f>+SUM(I22:L22)</f>
        <v>17.088999999999999</v>
      </c>
      <c r="N22" s="453"/>
      <c r="O22" s="451">
        <v>1.956</v>
      </c>
      <c r="P22" s="451">
        <v>1.512</v>
      </c>
      <c r="Q22" s="451">
        <v>0.85799999999999998</v>
      </c>
      <c r="R22" s="451">
        <f>5.032-SUM(O22:Q22)</f>
        <v>0.70600000000000041</v>
      </c>
      <c r="S22" s="450">
        <f>+SUM(O22:R22)</f>
        <v>5.032</v>
      </c>
      <c r="T22" s="453"/>
      <c r="U22" s="451">
        <v>0.78700000000000003</v>
      </c>
      <c r="V22" s="451">
        <v>0.82699999999999996</v>
      </c>
      <c r="W22" s="451">
        <v>1.268</v>
      </c>
      <c r="X22" s="451">
        <f>4.254-SUM(U22:W22)</f>
        <v>1.3719999999999999</v>
      </c>
      <c r="Y22" s="450">
        <f>+SUM(U22:X22)</f>
        <v>4.2539999999999996</v>
      </c>
      <c r="Z22" s="453"/>
      <c r="AA22" s="451">
        <v>1.8280000000000001</v>
      </c>
      <c r="AB22" s="451">
        <v>2.4215999999999998</v>
      </c>
      <c r="AC22" s="451">
        <v>2.4180000000000001</v>
      </c>
      <c r="AD22" s="451">
        <f>AE22-AC22-AB22-AA22</f>
        <v>2.7883999999999993</v>
      </c>
      <c r="AE22" s="450">
        <v>9.4559999999999995</v>
      </c>
      <c r="AF22" s="453"/>
      <c r="AG22" s="451">
        <v>2.2970000000000002</v>
      </c>
      <c r="AH22" s="451">
        <v>2.0110000000000001</v>
      </c>
      <c r="AI22" s="451">
        <v>2.3420000000000001</v>
      </c>
      <c r="AJ22" s="451">
        <f>8.76-AI22-AH22-AG22</f>
        <v>2.109999999999999</v>
      </c>
      <c r="AK22" s="470">
        <f>+SUM(AG22:AJ22)</f>
        <v>8.76</v>
      </c>
      <c r="AL22" s="483"/>
      <c r="AM22" s="177">
        <v>2.1749999999999998</v>
      </c>
      <c r="AN22" s="177">
        <v>2.2429999999999999</v>
      </c>
      <c r="AO22" s="177">
        <v>2.1379999999999999</v>
      </c>
      <c r="AP22" s="177">
        <f>8.123-AO22-AN22-AM22</f>
        <v>1.5669999999999997</v>
      </c>
      <c r="AQ22" s="470">
        <f>+SUM(AM22:AP22)</f>
        <v>8.1229999999999993</v>
      </c>
      <c r="AR22" s="483"/>
      <c r="AS22" s="177">
        <v>1.4350000000000001</v>
      </c>
      <c r="AT22" s="177">
        <v>1.744</v>
      </c>
      <c r="AU22" s="177">
        <v>1.391</v>
      </c>
      <c r="AV22" s="177">
        <f>5.592-SUM(AS22:AU22)</f>
        <v>1.0219999999999994</v>
      </c>
      <c r="AW22" s="470">
        <f>+SUM(AS22:AV22)</f>
        <v>5.5919999999999996</v>
      </c>
      <c r="AX22" s="483"/>
      <c r="AY22" s="177">
        <v>0.74199999999999999</v>
      </c>
      <c r="AZ22" s="177">
        <v>0.66</v>
      </c>
      <c r="BA22" s="177">
        <f>+AZ22</f>
        <v>0.66</v>
      </c>
      <c r="BB22" s="177">
        <f>BA22</f>
        <v>0.66</v>
      </c>
      <c r="BC22" s="470">
        <f>+SUM(AY22:BB22)</f>
        <v>2.7220000000000004</v>
      </c>
      <c r="BD22" s="453"/>
      <c r="BE22" s="966">
        <v>0</v>
      </c>
      <c r="BF22" s="966">
        <v>0.4</v>
      </c>
      <c r="BG22" s="966">
        <v>0.5</v>
      </c>
      <c r="BH22" s="966">
        <v>0.4</v>
      </c>
      <c r="BI22" s="470">
        <f>SUM(BE22:BH22)</f>
        <v>1.3</v>
      </c>
      <c r="BJ22" s="711"/>
      <c r="BK22" s="966">
        <v>0.5</v>
      </c>
      <c r="BL22" s="966">
        <v>0.6</v>
      </c>
      <c r="BM22" s="966">
        <v>0.4</v>
      </c>
      <c r="BN22" s="966">
        <v>0.4</v>
      </c>
      <c r="BO22" s="470">
        <f>SUM(BK22:BN22)</f>
        <v>1.9</v>
      </c>
      <c r="BP22" s="711"/>
      <c r="BQ22" s="1059">
        <f>Debt!BQ101</f>
        <v>0.8015000000000001</v>
      </c>
      <c r="BR22" s="1059">
        <f>Debt!BR101</f>
        <v>1.0301192297171589</v>
      </c>
      <c r="BS22" s="1059">
        <f>Debt!BS101</f>
        <v>0.81406481424175581</v>
      </c>
      <c r="BT22" s="1059">
        <f>Debt!BT101</f>
        <v>0.57496979306416984</v>
      </c>
      <c r="BU22" s="470">
        <f>SUM(BQ22:BT22)</f>
        <v>3.2206538370230846</v>
      </c>
      <c r="BV22" s="711"/>
      <c r="BW22" s="1059">
        <f>Debt!BW101</f>
        <v>0.83506952132568191</v>
      </c>
      <c r="BX22" s="1059">
        <f>Debt!BX101</f>
        <v>1.4567089448517954</v>
      </c>
      <c r="BY22" s="1059">
        <f>Debt!BY101</f>
        <v>1.1992209684947512</v>
      </c>
      <c r="BZ22" s="1059">
        <f>Debt!BZ101</f>
        <v>0.9016693196400648</v>
      </c>
      <c r="CA22" s="470">
        <f>SUM(BW22:BZ22)</f>
        <v>4.3926687543122931</v>
      </c>
      <c r="CB22" s="711"/>
      <c r="CC22" s="1059">
        <f>Debt!CC101</f>
        <v>3.7639303080501936</v>
      </c>
      <c r="CD22" s="1059">
        <f>Debt!CD101</f>
        <v>6.8056590982061032</v>
      </c>
      <c r="CE22" s="1059">
        <f>Debt!CE101</f>
        <v>5.8693184910263305</v>
      </c>
      <c r="CF22" s="1059">
        <f>Debt!CF101</f>
        <v>4.8426723389626307</v>
      </c>
      <c r="CG22" s="470">
        <f>SUM(CC22:CF22)</f>
        <v>21.281580236245254</v>
      </c>
      <c r="CH22" s="178"/>
      <c r="CI22" s="178"/>
      <c r="CJ22" s="178"/>
      <c r="CK22" s="178"/>
      <c r="CL22" s="178"/>
      <c r="CM22" s="300"/>
      <c r="CN22" s="300"/>
    </row>
    <row r="23" spans="1:92" ht="12.75" customHeight="1" outlineLevel="1" x14ac:dyDescent="0.2">
      <c r="A23" s="301"/>
      <c r="B23" s="176" t="s">
        <v>290</v>
      </c>
      <c r="C23" s="451">
        <v>0.21</v>
      </c>
      <c r="D23" s="451">
        <v>0.34699999999999998</v>
      </c>
      <c r="E23" s="451">
        <v>-0.22</v>
      </c>
      <c r="F23" s="451">
        <f>0.599-SUM(C23:E23)</f>
        <v>0.26200000000000001</v>
      </c>
      <c r="G23" s="450">
        <f>+SUM(C23:F23)</f>
        <v>0.59899999999999998</v>
      </c>
      <c r="H23" s="453"/>
      <c r="I23" s="451">
        <v>-3.1219999999999999</v>
      </c>
      <c r="J23" s="451">
        <v>5.0999999999999997E-2</v>
      </c>
      <c r="K23" s="451">
        <v>-1.03</v>
      </c>
      <c r="L23" s="451">
        <f>-10.576-SUM(L21:L22)</f>
        <v>-6.0109999999999957</v>
      </c>
      <c r="M23" s="450">
        <f>+SUM(I23:L23)</f>
        <v>-10.111999999999995</v>
      </c>
      <c r="N23" s="453"/>
      <c r="O23" s="451">
        <v>-0.91700000000000004</v>
      </c>
      <c r="P23" s="451">
        <v>0.05</v>
      </c>
      <c r="Q23" s="451">
        <v>-0.49099999999999999</v>
      </c>
      <c r="R23" s="451">
        <f>-3.976-SUM(R21:R22)</f>
        <v>0.33700000000000152</v>
      </c>
      <c r="S23" s="450">
        <f>+SUM(O23:R23)</f>
        <v>-1.0209999999999986</v>
      </c>
      <c r="T23" s="453"/>
      <c r="U23" s="451">
        <v>-0.94499999999999995</v>
      </c>
      <c r="V23" s="451">
        <f>-0.722+1.192</f>
        <v>0.47</v>
      </c>
      <c r="W23" s="451">
        <v>-0.58499999999999996</v>
      </c>
      <c r="X23" s="451">
        <f>-4.842-SUM(X21:X22)</f>
        <v>0.47000000000000153</v>
      </c>
      <c r="Y23" s="450">
        <f>+SUM(U23:X23)</f>
        <v>-0.58999999999999853</v>
      </c>
      <c r="Z23" s="453"/>
      <c r="AA23" s="451">
        <v>-7.0000000000000007E-2</v>
      </c>
      <c r="AB23" s="451">
        <f>AB20-AB22-AB21</f>
        <v>-2.2085999999999997</v>
      </c>
      <c r="AC23" s="451">
        <f>AC20-AC22-AC21</f>
        <v>4.4529999999999994</v>
      </c>
      <c r="AD23" s="451">
        <f>AE23-AC23-AB23-AA23</f>
        <v>-0.57340000000000768</v>
      </c>
      <c r="AE23" s="450">
        <f>AE20-AE22-AE21</f>
        <v>1.600999999999992</v>
      </c>
      <c r="AF23" s="453"/>
      <c r="AG23" s="451">
        <f>AG20-AG22-AG21</f>
        <v>-0.2110000000000003</v>
      </c>
      <c r="AH23" s="451">
        <f>AH20-AH22-AH21</f>
        <v>-0.84299999999999997</v>
      </c>
      <c r="AI23" s="451">
        <f>AI20-AI22-AI21</f>
        <v>0</v>
      </c>
      <c r="AJ23" s="451">
        <f>AJ20-AJ22-AJ21</f>
        <v>-2.3879999999999963</v>
      </c>
      <c r="AK23" s="470">
        <f>+SUM(AG23:AJ23)</f>
        <v>-3.4419999999999966</v>
      </c>
      <c r="AL23" s="483"/>
      <c r="AM23" s="177">
        <f>AM20-AM22-AM21</f>
        <v>1.5670000000000002</v>
      </c>
      <c r="AN23" s="177">
        <f>AN20-AN22-AN21</f>
        <v>-3.5240000000000009</v>
      </c>
      <c r="AO23" s="177">
        <f>AO20-AO22-AO21</f>
        <v>-2.3829999999999973</v>
      </c>
      <c r="AP23" s="177">
        <f>AP20-AP22-AP21</f>
        <v>-0.75600000000000378</v>
      </c>
      <c r="AQ23" s="470">
        <f>+SUM(AM23:AP23)</f>
        <v>-5.0960000000000019</v>
      </c>
      <c r="AR23" s="483"/>
      <c r="AS23" s="177">
        <f>AS20-AS22-AS21</f>
        <v>-1.1789999999999985</v>
      </c>
      <c r="AT23" s="177">
        <f>AT20-AT22-AT21</f>
        <v>-0.95300000000000473</v>
      </c>
      <c r="AU23" s="177">
        <f>AU20-AU22-AU21</f>
        <v>0.57199999999999918</v>
      </c>
      <c r="AV23" s="177">
        <f>AV20-AV22-AV21</f>
        <v>-2.3630000000000031</v>
      </c>
      <c r="AW23" s="470">
        <f>+SUM(AS23:AV23)</f>
        <v>-3.9230000000000071</v>
      </c>
      <c r="AX23" s="483"/>
      <c r="AY23" s="177">
        <f>AY20-AY22-AY21</f>
        <v>0.25799999999999201</v>
      </c>
      <c r="AZ23" s="177">
        <f>AZ20-AZ22-AZ21</f>
        <v>8.3000000000010843E-2</v>
      </c>
      <c r="BA23" s="177">
        <f>BA20-BA22-BA21</f>
        <v>0</v>
      </c>
      <c r="BB23" s="177">
        <v>0</v>
      </c>
      <c r="BC23" s="470">
        <f>+SUM(AY23:BB23)</f>
        <v>0.34100000000000286</v>
      </c>
      <c r="BD23" s="453"/>
      <c r="BE23" s="966">
        <v>-4.9000000000000004</v>
      </c>
      <c r="BF23" s="966">
        <f>3.3-SUM(BF21:BF22)</f>
        <v>12.2</v>
      </c>
      <c r="BG23" s="178">
        <f>BG20-BG22-BG21</f>
        <v>-1.1999999999999993</v>
      </c>
      <c r="BH23" s="178">
        <f>BH20-BH22-BH21</f>
        <v>0.5</v>
      </c>
      <c r="BI23" s="470">
        <f>SUM(BE23:BH23)</f>
        <v>6.6</v>
      </c>
      <c r="BJ23" s="711"/>
      <c r="BK23" s="966">
        <v>0</v>
      </c>
      <c r="BL23" s="966">
        <v>0</v>
      </c>
      <c r="BM23" s="966">
        <v>0</v>
      </c>
      <c r="BN23" s="966">
        <v>0</v>
      </c>
      <c r="BO23" s="470">
        <f>SUM(BK23:BN23)</f>
        <v>0</v>
      </c>
      <c r="BP23" s="711"/>
      <c r="BQ23" s="712">
        <v>0</v>
      </c>
      <c r="BR23" s="712">
        <v>0</v>
      </c>
      <c r="BS23" s="712">
        <v>0</v>
      </c>
      <c r="BT23" s="712">
        <v>0</v>
      </c>
      <c r="BU23" s="470">
        <f t="shared" ref="BU23" si="3">SUM(BQ23:BT23)</f>
        <v>0</v>
      </c>
      <c r="BV23" s="711"/>
      <c r="BW23" s="712">
        <v>0</v>
      </c>
      <c r="BX23" s="712">
        <v>0</v>
      </c>
      <c r="BY23" s="712">
        <v>0</v>
      </c>
      <c r="BZ23" s="712">
        <v>0</v>
      </c>
      <c r="CA23" s="470">
        <f t="shared" ref="CA23" si="4">SUM(BW23:BZ23)</f>
        <v>0</v>
      </c>
      <c r="CB23" s="711"/>
      <c r="CC23" s="712">
        <v>0</v>
      </c>
      <c r="CD23" s="712">
        <v>0</v>
      </c>
      <c r="CE23" s="712">
        <v>0</v>
      </c>
      <c r="CF23" s="712">
        <v>0</v>
      </c>
      <c r="CG23" s="470">
        <f t="shared" ref="CG23" si="5">SUM(CC23:CF23)</f>
        <v>0</v>
      </c>
      <c r="CH23" s="178"/>
      <c r="CI23" s="178"/>
      <c r="CJ23" s="178"/>
      <c r="CK23" s="178"/>
      <c r="CL23" s="178"/>
      <c r="CM23" s="300"/>
      <c r="CN23" s="300"/>
    </row>
    <row r="24" spans="1:92" ht="5.25" customHeight="1" x14ac:dyDescent="0.2">
      <c r="A24" s="284"/>
      <c r="B24" s="312"/>
      <c r="C24" s="177"/>
      <c r="D24" s="177"/>
      <c r="E24" s="177"/>
      <c r="F24" s="177"/>
      <c r="G24" s="450"/>
      <c r="H24" s="465"/>
      <c r="I24" s="451"/>
      <c r="J24" s="451"/>
      <c r="K24" s="451"/>
      <c r="L24" s="451"/>
      <c r="M24" s="450"/>
      <c r="N24" s="465"/>
      <c r="O24" s="451"/>
      <c r="P24" s="451"/>
      <c r="Q24" s="451"/>
      <c r="R24" s="451"/>
      <c r="S24" s="450"/>
      <c r="T24" s="465"/>
      <c r="U24" s="451"/>
      <c r="V24" s="451"/>
      <c r="W24" s="451"/>
      <c r="X24" s="451"/>
      <c r="Y24" s="450"/>
      <c r="Z24" s="465"/>
      <c r="AA24" s="451"/>
      <c r="AB24" s="451"/>
      <c r="AC24" s="451"/>
      <c r="AD24" s="451"/>
      <c r="AE24" s="450"/>
      <c r="AF24" s="466"/>
      <c r="AG24" s="451"/>
      <c r="AH24" s="451"/>
      <c r="AI24" s="451"/>
      <c r="AJ24" s="452"/>
      <c r="AK24" s="470"/>
      <c r="AL24" s="313"/>
      <c r="AM24" s="178"/>
      <c r="AN24" s="178"/>
      <c r="AO24" s="178"/>
      <c r="AP24" s="178"/>
      <c r="AQ24" s="470"/>
      <c r="AR24" s="313"/>
      <c r="AS24" s="178"/>
      <c r="AT24" s="178"/>
      <c r="AU24" s="178"/>
      <c r="AV24" s="178"/>
      <c r="AW24" s="470"/>
      <c r="AX24" s="313"/>
      <c r="AY24" s="178"/>
      <c r="AZ24" s="178"/>
      <c r="BA24" s="178"/>
      <c r="BB24" s="178"/>
      <c r="BC24" s="470"/>
      <c r="BD24" s="467"/>
      <c r="BE24" s="178"/>
      <c r="BF24" s="178"/>
      <c r="BG24" s="178"/>
      <c r="BH24" s="178"/>
      <c r="BI24" s="450"/>
      <c r="BJ24" s="467"/>
      <c r="BK24" s="178"/>
      <c r="BL24" s="178"/>
      <c r="BM24" s="178"/>
      <c r="BN24" s="178"/>
      <c r="BO24" s="450"/>
      <c r="BP24" s="467"/>
      <c r="BQ24" s="177"/>
      <c r="BR24" s="177"/>
      <c r="BS24" s="177"/>
      <c r="BT24" s="177"/>
      <c r="BU24" s="450"/>
      <c r="BV24" s="467"/>
      <c r="BW24" s="177"/>
      <c r="BX24" s="177"/>
      <c r="BY24" s="177"/>
      <c r="BZ24" s="177"/>
      <c r="CA24" s="450"/>
      <c r="CB24" s="467"/>
      <c r="CC24" s="177"/>
      <c r="CD24" s="177"/>
      <c r="CE24" s="177"/>
      <c r="CF24" s="177"/>
      <c r="CG24" s="450"/>
      <c r="CH24" s="178"/>
      <c r="CI24" s="178"/>
      <c r="CJ24" s="178"/>
      <c r="CK24" s="178"/>
      <c r="CL24" s="178"/>
      <c r="CM24" s="314"/>
      <c r="CN24" s="314"/>
    </row>
    <row r="25" spans="1:92" ht="11.25" customHeight="1" x14ac:dyDescent="0.2">
      <c r="A25" s="310"/>
      <c r="B25" s="308" t="s">
        <v>242</v>
      </c>
      <c r="C25" s="288">
        <f>C18+C21+C22+C23</f>
        <v>84.45599999999996</v>
      </c>
      <c r="D25" s="288">
        <f>D18+D21+D22+D23</f>
        <v>98.832999999999984</v>
      </c>
      <c r="E25" s="288">
        <f>E18+E21+E22+E23</f>
        <v>86.537000000000063</v>
      </c>
      <c r="F25" s="288">
        <f>F18+F21+F22+F23</f>
        <v>98.836000000000098</v>
      </c>
      <c r="G25" s="445">
        <f>G18+G21+G22+G23</f>
        <v>368.66200000000032</v>
      </c>
      <c r="H25" s="463"/>
      <c r="I25" s="449">
        <f>I18+I21+I22+I23</f>
        <v>95.076999999999927</v>
      </c>
      <c r="J25" s="449">
        <f>J18+J21+J22+J23</f>
        <v>111.45400000000012</v>
      </c>
      <c r="K25" s="449">
        <f>K18+K21+K22+K23</f>
        <v>93.809000000000083</v>
      </c>
      <c r="L25" s="449">
        <f>L18+L21+L22+L23</f>
        <v>86.886999999999944</v>
      </c>
      <c r="M25" s="445">
        <f>M18+M21+M22+M23</f>
        <v>387.22699999999998</v>
      </c>
      <c r="N25" s="463"/>
      <c r="O25" s="449">
        <f>O18+O21+O22+O23</f>
        <v>85.234999999999985</v>
      </c>
      <c r="P25" s="449">
        <f>P18+P21+P22+P23</f>
        <v>99.317999999999884</v>
      </c>
      <c r="Q25" s="449">
        <f>Q18+Q21+Q22+Q23</f>
        <v>89.303999999999945</v>
      </c>
      <c r="R25" s="449">
        <f>R18+R21+R22+R23</f>
        <v>100.52499999999989</v>
      </c>
      <c r="S25" s="445">
        <f>S18+S21+S22+S23</f>
        <v>374.38199999999955</v>
      </c>
      <c r="T25" s="463"/>
      <c r="U25" s="449">
        <f>U18+U21+U22+U23</f>
        <v>88.644000000000091</v>
      </c>
      <c r="V25" s="449">
        <f>V18+V21+V22+V23</f>
        <v>99.823000000000008</v>
      </c>
      <c r="W25" s="449">
        <f>W18+W21+W22+W23</f>
        <v>87.156000000000105</v>
      </c>
      <c r="X25" s="449">
        <f>X18+X21+X22+X23</f>
        <v>96.896999999999977</v>
      </c>
      <c r="Y25" s="445">
        <f>Y18+Y21+Y22+Y23</f>
        <v>372.52000000000021</v>
      </c>
      <c r="Z25" s="463"/>
      <c r="AA25" s="449">
        <f>+AA18+AA20</f>
        <v>98.032000000000082</v>
      </c>
      <c r="AB25" s="449">
        <f>+AB18+AB20</f>
        <v>101.53</v>
      </c>
      <c r="AC25" s="449">
        <f>+AC18+AC20</f>
        <v>87.779000000000025</v>
      </c>
      <c r="AD25" s="449">
        <f>+AD18+AD20</f>
        <v>93.855000000000103</v>
      </c>
      <c r="AE25" s="445">
        <f>+AE18+AE20</f>
        <v>381.19599999999997</v>
      </c>
      <c r="AF25" s="464"/>
      <c r="AG25" s="449">
        <f>+AG18+AG20</f>
        <v>98.705000000000013</v>
      </c>
      <c r="AH25" s="449">
        <f>+AH18+AH20</f>
        <v>116.33499999999998</v>
      </c>
      <c r="AI25" s="449">
        <f>+AI18+AI20</f>
        <v>98.363000000000028</v>
      </c>
      <c r="AJ25" s="449">
        <f>+AJ18+AJ20</f>
        <v>108.93699999999998</v>
      </c>
      <c r="AK25" s="289">
        <f>+AK18+AK20</f>
        <v>422.3399999999998</v>
      </c>
      <c r="AL25" s="244"/>
      <c r="AM25" s="288">
        <f>+AM18+AM20</f>
        <v>97.221999999999994</v>
      </c>
      <c r="AN25" s="288">
        <f>+AN18+AN20</f>
        <v>124.97500000000001</v>
      </c>
      <c r="AO25" s="288">
        <f>+AO18+AO20</f>
        <v>108.029</v>
      </c>
      <c r="AP25" s="288">
        <f>+AP18+AP20</f>
        <v>111.97799999999999</v>
      </c>
      <c r="AQ25" s="289">
        <f>+AQ18+AQ20</f>
        <v>442.20399999999989</v>
      </c>
      <c r="AR25" s="244"/>
      <c r="AS25" s="288">
        <f>+AS18+AS20</f>
        <v>111.29</v>
      </c>
      <c r="AT25" s="288">
        <f>+AT18+AT20</f>
        <v>129.958</v>
      </c>
      <c r="AU25" s="288">
        <f>+AU18+AU20</f>
        <v>116.53099999999995</v>
      </c>
      <c r="AV25" s="288">
        <f>+AV18+AV20</f>
        <v>109.785</v>
      </c>
      <c r="AW25" s="289">
        <f>+AW18+AW20</f>
        <v>467.56399999999985</v>
      </c>
      <c r="AX25" s="244"/>
      <c r="AY25" s="288">
        <f>+AY18+AY20</f>
        <v>108.202</v>
      </c>
      <c r="AZ25" s="288">
        <f>+AZ18+AZ20</f>
        <v>133.53800000000001</v>
      </c>
      <c r="BA25" s="288">
        <f>+BA18+BA20</f>
        <v>120.9</v>
      </c>
      <c r="BB25" s="288">
        <f>+BB18+BB20</f>
        <v>120.50000000000001</v>
      </c>
      <c r="BC25" s="289">
        <f>+BC18+BC20</f>
        <v>482.64000000000004</v>
      </c>
      <c r="BD25" s="464"/>
      <c r="BE25" s="288">
        <f>+BE18+BE20</f>
        <v>159.30000000000001</v>
      </c>
      <c r="BF25" s="288">
        <f>+BF18+BF20</f>
        <v>235.70000000000002</v>
      </c>
      <c r="BG25" s="288">
        <f>+BG18+BG20</f>
        <v>186.70000000000002</v>
      </c>
      <c r="BH25" s="288">
        <f>+BH18+BH20</f>
        <v>199.3</v>
      </c>
      <c r="BI25" s="289">
        <f>+BI18+BI20</f>
        <v>780.99999999999989</v>
      </c>
      <c r="BJ25" s="464"/>
      <c r="BK25" s="288">
        <f>+BK18+BK20</f>
        <v>140.6</v>
      </c>
      <c r="BL25" s="288">
        <f>+BL18+BL20</f>
        <v>179.4</v>
      </c>
      <c r="BM25" s="288">
        <f>+BM18+BM20</f>
        <v>201.20000000000002</v>
      </c>
      <c r="BN25" s="288">
        <f>+BN18+BN20</f>
        <v>227.1</v>
      </c>
      <c r="BO25" s="289">
        <f>+BO18+BO20</f>
        <v>748.30000000000018</v>
      </c>
      <c r="BP25" s="464"/>
      <c r="BQ25" s="288">
        <f>BQ18+BQ21+BQ22+BQ23</f>
        <v>133.05594999999991</v>
      </c>
      <c r="BR25" s="288">
        <f>BR18+BR21+BR22+BR23</f>
        <v>184.1171592297172</v>
      </c>
      <c r="BS25" s="288">
        <f>BS18+BS21+BS22+BS23</f>
        <v>214.50748481424174</v>
      </c>
      <c r="BT25" s="288">
        <f>BT18+BT21+BT22+BT23</f>
        <v>246.62856979306414</v>
      </c>
      <c r="BU25" s="289">
        <f>BU18+BU21+BU22+BU23</f>
        <v>778.30916383702322</v>
      </c>
      <c r="BV25" s="464"/>
      <c r="BW25" s="288">
        <f>BW18+BW21+BW22+BW23</f>
        <v>189.48959950132573</v>
      </c>
      <c r="BX25" s="288">
        <f>BX18+BX21+BX22+BX23</f>
        <v>223.99730544485175</v>
      </c>
      <c r="BY25" s="288">
        <f>BY18+BY21+BY22+BY23</f>
        <v>229.21496024849483</v>
      </c>
      <c r="BZ25" s="288">
        <f>BZ18+BZ21+BZ22+BZ23</f>
        <v>244.60330791964006</v>
      </c>
      <c r="CA25" s="289">
        <f>CA18+CA21+CA22+CA23</f>
        <v>887.30517311431254</v>
      </c>
      <c r="CB25" s="464"/>
      <c r="CC25" s="288">
        <f>CC18+CC21+CC22+CC23</f>
        <v>208.50813476110014</v>
      </c>
      <c r="CD25" s="288">
        <f>CD18+CD21+CD22+CD23</f>
        <v>245.34641676025612</v>
      </c>
      <c r="CE25" s="288">
        <f>CE18+CE21+CE22+CE23</f>
        <v>250.71362232502636</v>
      </c>
      <c r="CF25" s="288">
        <f>CF18+CF21+CF22+CF23</f>
        <v>267.8267920398626</v>
      </c>
      <c r="CG25" s="289">
        <f>CG18+CG21+CG22+CG23</f>
        <v>972.39496588624525</v>
      </c>
      <c r="CH25" s="288"/>
      <c r="CI25" s="288"/>
      <c r="CJ25" s="288"/>
      <c r="CK25" s="288"/>
      <c r="CL25" s="288"/>
      <c r="CM25" s="309"/>
      <c r="CN25" s="309"/>
    </row>
    <row r="26" spans="1:92" ht="12.75" customHeight="1" outlineLevel="1" x14ac:dyDescent="0.2">
      <c r="A26" s="319"/>
      <c r="B26" s="317" t="s">
        <v>204</v>
      </c>
      <c r="C26" s="61">
        <f>+C27/C25</f>
        <v>0.30264279624893448</v>
      </c>
      <c r="D26" s="61">
        <f>+D27/D25</f>
        <v>0.31153562069349311</v>
      </c>
      <c r="E26" s="61">
        <f>+E27/E25</f>
        <v>0.2951569848735221</v>
      </c>
      <c r="F26" s="61">
        <f>+F27/F25</f>
        <v>0.30691246104658187</v>
      </c>
      <c r="G26" s="84">
        <f>+G27/G25</f>
        <v>0.30441434159202713</v>
      </c>
      <c r="H26" s="61"/>
      <c r="I26" s="61">
        <f>+I27/I25</f>
        <v>0.27510333729503472</v>
      </c>
      <c r="J26" s="61">
        <f>+J27/J25</f>
        <v>0.27026396540276676</v>
      </c>
      <c r="K26" s="61">
        <f>+K27/K25</f>
        <v>0.26131821040625075</v>
      </c>
      <c r="L26" s="61">
        <f>+L27/L25</f>
        <v>0.21956103905072116</v>
      </c>
      <c r="M26" s="84">
        <f>+M27/M25</f>
        <v>0.25790815206584256</v>
      </c>
      <c r="N26" s="61"/>
      <c r="O26" s="61">
        <f>+O27/O25</f>
        <v>0.26001055904264686</v>
      </c>
      <c r="P26" s="61">
        <f>+P27/P25</f>
        <v>0.25650939406754097</v>
      </c>
      <c r="Q26" s="61">
        <f>+Q27/Q25</f>
        <v>0.25848786168592686</v>
      </c>
      <c r="R26" s="61">
        <f>+R27/R25</f>
        <v>0.26858990300920199</v>
      </c>
      <c r="S26" s="84">
        <f>+S27/S25</f>
        <v>0.26102216452714105</v>
      </c>
      <c r="T26" s="61"/>
      <c r="U26" s="61">
        <f>+U27/U25</f>
        <v>0.25599025314742085</v>
      </c>
      <c r="V26" s="61">
        <f>+V27/V25</f>
        <v>0.25034310729992088</v>
      </c>
      <c r="W26" s="61">
        <f>+W27/W25</f>
        <v>0.25403873514158493</v>
      </c>
      <c r="X26" s="61">
        <f>+X27/X25</f>
        <v>0.23413521574455357</v>
      </c>
      <c r="Y26" s="84">
        <f>+Y27/Y25</f>
        <v>0.24833565983034456</v>
      </c>
      <c r="Z26" s="129"/>
      <c r="AA26" s="61">
        <f>+AA27/AA25</f>
        <v>0.2503570262771338</v>
      </c>
      <c r="AB26" s="61">
        <f>+AB27/AB25</f>
        <v>0.19770511178961883</v>
      </c>
      <c r="AC26" s="426">
        <f>+AC27/AC25</f>
        <v>0.23791567459187271</v>
      </c>
      <c r="AD26" s="426">
        <f>+AD27/AD25</f>
        <v>0.21991369665974086</v>
      </c>
      <c r="AE26" s="84">
        <f>+AE27/AE25</f>
        <v>0.22597299027272061</v>
      </c>
      <c r="AF26" s="129"/>
      <c r="AG26" s="61">
        <f>+AG27/AG25</f>
        <v>0.23020110430069396</v>
      </c>
      <c r="AH26" s="61">
        <f>+AH27/AH25</f>
        <v>0.23093651953410413</v>
      </c>
      <c r="AI26" s="61">
        <f>+AI27/AI25</f>
        <v>0.23186564053556716</v>
      </c>
      <c r="AJ26" s="61">
        <f>+AJ27/AJ25</f>
        <v>0.243324123117031</v>
      </c>
      <c r="AK26" s="84">
        <f>+AK27/AK25</f>
        <v>0.23417625609698359</v>
      </c>
      <c r="AL26" s="129"/>
      <c r="AM26" s="61">
        <f>+AM27/AM25</f>
        <v>0.21839707062187572</v>
      </c>
      <c r="AN26" s="61">
        <f>+AN27/AN25</f>
        <v>0.21962792558511701</v>
      </c>
      <c r="AO26" s="61">
        <f>+AO27/AO25</f>
        <v>0.22123689009432651</v>
      </c>
      <c r="AP26" s="61">
        <f>+AP27/AP25</f>
        <v>0.2075675579131615</v>
      </c>
      <c r="AQ26" s="84">
        <f>+AQ27/AQ25</f>
        <v>0.21669636638293641</v>
      </c>
      <c r="AR26" s="129"/>
      <c r="AS26" s="61">
        <f>+AS27/AS25</f>
        <v>0.22579746607961182</v>
      </c>
      <c r="AT26" s="61">
        <f>+AT27/AT25</f>
        <v>0.22414164576247711</v>
      </c>
      <c r="AU26" s="61">
        <f>+AU27/AU25</f>
        <v>0.2276561601633901</v>
      </c>
      <c r="AV26" s="61">
        <f>+AV27/AV25</f>
        <v>0.22075875574987477</v>
      </c>
      <c r="AW26" s="84">
        <f>+AW27/AW25</f>
        <v>0.22461737858346675</v>
      </c>
      <c r="AX26" s="129"/>
      <c r="AY26" s="61">
        <f>+AY27/AY25</f>
        <v>0.22920093898449198</v>
      </c>
      <c r="AZ26" s="61">
        <f>+AZ27/AZ25</f>
        <v>0.22795009660171636</v>
      </c>
      <c r="BA26" s="61">
        <f>+BA27/BA25</f>
        <v>0.22497932175351529</v>
      </c>
      <c r="BB26" s="61">
        <v>0.22800000000000001</v>
      </c>
      <c r="BC26" s="84">
        <f>+BC27/BC25</f>
        <v>0.22882479695010771</v>
      </c>
      <c r="BD26" s="129"/>
      <c r="BE26" s="61">
        <f>+BE27/BE25</f>
        <v>0.22975517890772126</v>
      </c>
      <c r="BF26" s="61">
        <f>+BF27/BF25</f>
        <v>0.23037759864234192</v>
      </c>
      <c r="BG26" s="61">
        <f>+BG27/BG25</f>
        <v>0.1676486341724692</v>
      </c>
      <c r="BH26" s="61">
        <f>+BH27/BH25</f>
        <v>0.20220772704465628</v>
      </c>
      <c r="BI26" s="737">
        <f>+BI27/BI25</f>
        <v>0.20806658130601796</v>
      </c>
      <c r="BJ26" s="257"/>
      <c r="BK26" s="61">
        <f>+BK27/BK25</f>
        <v>0.19203413940256045</v>
      </c>
      <c r="BL26" s="61">
        <f>+BL27/BL25</f>
        <v>0.1616499442586399</v>
      </c>
      <c r="BM26" s="61">
        <f>+BM27/BM25</f>
        <v>0.18389662027833001</v>
      </c>
      <c r="BN26" s="61">
        <f>+BN27/BN25</f>
        <v>0.16468516072214884</v>
      </c>
      <c r="BO26" s="737">
        <f>+BO27/BO25</f>
        <v>0.17426165976212746</v>
      </c>
      <c r="BP26" s="257"/>
      <c r="BQ26" s="1559">
        <v>0.22</v>
      </c>
      <c r="BR26" s="1559">
        <f>+BQ26</f>
        <v>0.22</v>
      </c>
      <c r="BS26" s="1559">
        <f>+BR26</f>
        <v>0.22</v>
      </c>
      <c r="BT26" s="1559">
        <f>+BS26</f>
        <v>0.22</v>
      </c>
      <c r="BU26" s="737">
        <f>+BU27/BU25</f>
        <v>0.21999999999999997</v>
      </c>
      <c r="BV26" s="99"/>
      <c r="BW26" s="1559">
        <f>+BT26</f>
        <v>0.22</v>
      </c>
      <c r="BX26" s="1559">
        <f>+BW26</f>
        <v>0.22</v>
      </c>
      <c r="BY26" s="1559">
        <f>+BX26</f>
        <v>0.22</v>
      </c>
      <c r="BZ26" s="1559">
        <f>+BY26</f>
        <v>0.22</v>
      </c>
      <c r="CA26" s="737">
        <f>+CA27/CA25</f>
        <v>0.21999999999999997</v>
      </c>
      <c r="CB26" s="99"/>
      <c r="CC26" s="1559">
        <f>+BZ26</f>
        <v>0.22</v>
      </c>
      <c r="CD26" s="1559">
        <f>+CC26</f>
        <v>0.22</v>
      </c>
      <c r="CE26" s="1559">
        <f>+CD26</f>
        <v>0.22</v>
      </c>
      <c r="CF26" s="1559">
        <f>+CE26</f>
        <v>0.22</v>
      </c>
      <c r="CG26" s="737">
        <f>+CG27/CG25</f>
        <v>0.22000000000000003</v>
      </c>
      <c r="CH26" s="395"/>
      <c r="CI26" s="395"/>
      <c r="CJ26" s="395"/>
      <c r="CK26" s="395"/>
      <c r="CL26" s="395"/>
      <c r="CM26" s="318"/>
      <c r="CN26" s="318"/>
    </row>
    <row r="27" spans="1:92" x14ac:dyDescent="0.2">
      <c r="A27" s="293"/>
      <c r="B27" s="176" t="s">
        <v>213</v>
      </c>
      <c r="C27" s="177">
        <f>24.994+(0.99-0.656)+0.232</f>
        <v>25.56</v>
      </c>
      <c r="D27" s="177">
        <f>30.193+(3.207-2.022)-0.588</f>
        <v>30.79</v>
      </c>
      <c r="E27" s="177">
        <f>16.126+(4.692-3.032)+7.756</f>
        <v>25.542000000000002</v>
      </c>
      <c r="F27" s="177">
        <f>27.168+(1.638-0.965)+2.493</f>
        <v>30.333999999999996</v>
      </c>
      <c r="G27" s="450">
        <f>+SUM(C27:F27)</f>
        <v>112.226</v>
      </c>
      <c r="H27" s="446"/>
      <c r="I27" s="451">
        <f>26.718+0.075-0.637</f>
        <v>26.155999999999999</v>
      </c>
      <c r="J27" s="451">
        <f>31.297-1.018+0.553-0.71</f>
        <v>30.122</v>
      </c>
      <c r="K27" s="451">
        <f>9.204+7.141+8.169</f>
        <v>24.513999999999999</v>
      </c>
      <c r="L27" s="451">
        <f>4.383+3.524+0.629+10.541</f>
        <v>19.076999999999998</v>
      </c>
      <c r="M27" s="450">
        <f>+SUM(I27:L27)</f>
        <v>99.869</v>
      </c>
      <c r="N27" s="446"/>
      <c r="O27" s="451">
        <f>21.131+0.574+0.739-0.282</f>
        <v>22.162000000000003</v>
      </c>
      <c r="P27" s="451">
        <f>24.44+0.94+0.308-0.212</f>
        <v>25.476000000000003</v>
      </c>
      <c r="Q27" s="451">
        <f>19.999+0.492+0.023+2.57</f>
        <v>23.084</v>
      </c>
      <c r="R27" s="451">
        <f>23.375+0.262+0.015+3.348</f>
        <v>27</v>
      </c>
      <c r="S27" s="450">
        <f>+SUM(O27:R27)</f>
        <v>97.722000000000008</v>
      </c>
      <c r="T27" s="446"/>
      <c r="U27" s="451">
        <f>21.255+1.743-0.437+0.131</f>
        <v>22.691999999999997</v>
      </c>
      <c r="V27" s="451">
        <f>25.042+0.059+0.46-0.571</f>
        <v>24.990000000000002</v>
      </c>
      <c r="W27" s="451">
        <f>21.288+0.431+0.102+0.32</f>
        <v>22.141000000000002</v>
      </c>
      <c r="X27" s="451">
        <f>21.64+1.832-0.027-0.758</f>
        <v>22.687000000000001</v>
      </c>
      <c r="Y27" s="450">
        <f>+SUM(U27:X27)</f>
        <v>92.51</v>
      </c>
      <c r="Z27" s="446"/>
      <c r="AA27" s="454">
        <f>23.712+0.154+0.12-0.196+0.753</f>
        <v>24.542999999999999</v>
      </c>
      <c r="AB27" s="454">
        <f>17.957+0.977-0.298+0.406+0.278+0.753</f>
        <v>20.073</v>
      </c>
      <c r="AC27" s="454">
        <f>-40.627+11.436+5.136+0.713+0.939+0.456-0.119+42.95</f>
        <v>20.884</v>
      </c>
      <c r="AD27" s="454">
        <v>20.64</v>
      </c>
      <c r="AE27" s="450">
        <f>+SUM(AA27:AD27)</f>
        <v>86.14</v>
      </c>
      <c r="AF27" s="446"/>
      <c r="AG27" s="454">
        <v>22.722000000000001</v>
      </c>
      <c r="AH27" s="454">
        <v>26.866</v>
      </c>
      <c r="AI27" s="454">
        <v>22.806999999999999</v>
      </c>
      <c r="AJ27" s="454">
        <v>26.507000000000001</v>
      </c>
      <c r="AK27" s="470">
        <f>+SUM(AG27:AJ27)</f>
        <v>98.902000000000001</v>
      </c>
      <c r="AL27" s="179"/>
      <c r="AM27" s="932">
        <v>21.233000000000001</v>
      </c>
      <c r="AN27" s="932">
        <v>27.448</v>
      </c>
      <c r="AO27" s="932">
        <v>23.9</v>
      </c>
      <c r="AP27" s="932">
        <v>23.242999999999999</v>
      </c>
      <c r="AQ27" s="470">
        <f>+SUM(AM27:AP27)</f>
        <v>95.823999999999984</v>
      </c>
      <c r="AR27" s="179"/>
      <c r="AS27" s="933">
        <v>25.129000000000001</v>
      </c>
      <c r="AT27" s="933">
        <v>29.129000000000001</v>
      </c>
      <c r="AU27" s="933">
        <v>26.529</v>
      </c>
      <c r="AV27" s="933">
        <v>24.236000000000001</v>
      </c>
      <c r="AW27" s="470">
        <f>+SUM(AS27:AV27)</f>
        <v>105.02300000000001</v>
      </c>
      <c r="AX27" s="179"/>
      <c r="AY27" s="933">
        <v>24.8</v>
      </c>
      <c r="AZ27" s="933">
        <v>30.44</v>
      </c>
      <c r="BA27" s="933">
        <v>27.2</v>
      </c>
      <c r="BB27" s="933">
        <v>28</v>
      </c>
      <c r="BC27" s="470">
        <f>+SUM(AY27:BB27)</f>
        <v>110.44</v>
      </c>
      <c r="BD27" s="446"/>
      <c r="BE27" s="966">
        <v>36.6</v>
      </c>
      <c r="BF27" s="966">
        <v>54.3</v>
      </c>
      <c r="BG27" s="966">
        <v>31.3</v>
      </c>
      <c r="BH27" s="966">
        <v>40.299999999999997</v>
      </c>
      <c r="BI27" s="470">
        <f>SUM(BE27:BH27)</f>
        <v>162.5</v>
      </c>
      <c r="BJ27" s="711"/>
      <c r="BK27" s="966">
        <v>27</v>
      </c>
      <c r="BL27" s="966">
        <v>29</v>
      </c>
      <c r="BM27" s="966">
        <f>7.1+33.9-4</f>
        <v>37</v>
      </c>
      <c r="BN27" s="966">
        <v>37.4</v>
      </c>
      <c r="BO27" s="470">
        <f>SUM(BK27:BN27)</f>
        <v>130.4</v>
      </c>
      <c r="BP27" s="711"/>
      <c r="BQ27" s="178">
        <f>BQ25*BQ26</f>
        <v>29.272308999999982</v>
      </c>
      <c r="BR27" s="178">
        <f>BR25*BR26</f>
        <v>40.505775030537784</v>
      </c>
      <c r="BS27" s="178">
        <f>BS25*BS26</f>
        <v>47.191646659133184</v>
      </c>
      <c r="BT27" s="178">
        <f>BT25*BT26</f>
        <v>54.258285354474111</v>
      </c>
      <c r="BU27" s="470">
        <f>SUM(BQ27:BT27)</f>
        <v>171.22801604414508</v>
      </c>
      <c r="BV27" s="711"/>
      <c r="BW27" s="178">
        <f>BW25*BW26</f>
        <v>41.687711890291659</v>
      </c>
      <c r="BX27" s="178">
        <f>BX25*BX26</f>
        <v>49.279407197867386</v>
      </c>
      <c r="BY27" s="178">
        <f>BY25*BY26</f>
        <v>50.427291254668866</v>
      </c>
      <c r="BZ27" s="178">
        <f>BZ25*BZ26</f>
        <v>53.81272774232081</v>
      </c>
      <c r="CA27" s="470">
        <f>SUM(BW27:BZ27)</f>
        <v>195.20713808514873</v>
      </c>
      <c r="CB27" s="711"/>
      <c r="CC27" s="178">
        <f>CC25*CC26</f>
        <v>45.871789647442029</v>
      </c>
      <c r="CD27" s="178">
        <f>CD25*CD26</f>
        <v>53.976211687256345</v>
      </c>
      <c r="CE27" s="178">
        <f>CE25*CE26</f>
        <v>55.1569969115058</v>
      </c>
      <c r="CF27" s="178">
        <f>CF25*CF26</f>
        <v>58.921894248769775</v>
      </c>
      <c r="CG27" s="470">
        <f>SUM(CC27:CF27)</f>
        <v>213.92689249497397</v>
      </c>
      <c r="CH27" s="178"/>
      <c r="CI27" s="178"/>
      <c r="CJ27" s="178"/>
      <c r="CK27" s="178"/>
      <c r="CL27" s="178"/>
      <c r="CM27" s="477"/>
      <c r="CN27" s="292"/>
    </row>
    <row r="28" spans="1:92" x14ac:dyDescent="0.2">
      <c r="A28" s="293"/>
      <c r="B28" s="176" t="s">
        <v>67</v>
      </c>
      <c r="C28" s="177">
        <v>0</v>
      </c>
      <c r="D28" s="177">
        <v>0</v>
      </c>
      <c r="E28" s="177">
        <v>0</v>
      </c>
      <c r="F28" s="177">
        <v>0</v>
      </c>
      <c r="G28" s="450">
        <f>+SUM(C28:F28)</f>
        <v>0</v>
      </c>
      <c r="H28" s="446"/>
      <c r="I28" s="451">
        <v>0</v>
      </c>
      <c r="J28" s="451">
        <f>0-1.839</f>
        <v>-1.839</v>
      </c>
      <c r="K28" s="451">
        <v>0</v>
      </c>
      <c r="L28" s="451">
        <v>0</v>
      </c>
      <c r="M28" s="450">
        <f>+SUM(I28:L28)</f>
        <v>-1.839</v>
      </c>
      <c r="N28" s="446"/>
      <c r="O28" s="451">
        <v>0</v>
      </c>
      <c r="P28" s="451">
        <v>0</v>
      </c>
      <c r="Q28" s="451">
        <v>0</v>
      </c>
      <c r="R28" s="451">
        <v>0</v>
      </c>
      <c r="S28" s="450">
        <f>+SUM(O28:R28)</f>
        <v>0</v>
      </c>
      <c r="T28" s="446"/>
      <c r="U28" s="451">
        <v>0</v>
      </c>
      <c r="V28" s="451">
        <v>0</v>
      </c>
      <c r="W28" s="451">
        <v>0</v>
      </c>
      <c r="X28" s="451">
        <f>-1.096-SUM(U28:W28)+1.131</f>
        <v>3.499999999999992E-2</v>
      </c>
      <c r="Y28" s="450">
        <f>+SUM(U28:X28)</f>
        <v>3.499999999999992E-2</v>
      </c>
      <c r="Z28" s="446"/>
      <c r="AA28" s="454">
        <f>-0.824+0.921</f>
        <v>9.7000000000000086E-2</v>
      </c>
      <c r="AB28" s="454">
        <f>0.917-1.181</f>
        <v>-0.26400000000000001</v>
      </c>
      <c r="AC28" s="454">
        <f>0.994-0.159-1.527</f>
        <v>-0.69199999999999995</v>
      </c>
      <c r="AD28" s="454">
        <f>0.661-0.433</f>
        <v>0.22800000000000004</v>
      </c>
      <c r="AE28" s="450">
        <f>+SUM(AA28:AD28)</f>
        <v>-0.63099999999999978</v>
      </c>
      <c r="AF28" s="57"/>
      <c r="AG28" s="454">
        <v>0.217</v>
      </c>
      <c r="AH28" s="454">
        <v>0.33400000000000002</v>
      </c>
      <c r="AI28" s="454">
        <v>-0.55900000000000005</v>
      </c>
      <c r="AJ28" s="454">
        <f>2.178-2.323</f>
        <v>-0.14500000000000002</v>
      </c>
      <c r="AK28" s="470">
        <f>+SUM(AG28:AJ28)</f>
        <v>-0.15300000000000002</v>
      </c>
      <c r="AL28" s="142"/>
      <c r="AM28" s="932">
        <v>0.126</v>
      </c>
      <c r="AN28" s="932">
        <v>-0.23300000000000001</v>
      </c>
      <c r="AO28" s="933">
        <v>-0.90600000000000003</v>
      </c>
      <c r="AP28" s="933">
        <v>0.80100000000000005</v>
      </c>
      <c r="AQ28" s="470">
        <f>+SUM(AM28:AP28)</f>
        <v>-0.21200000000000008</v>
      </c>
      <c r="AR28" s="142"/>
      <c r="AS28" s="933">
        <v>-0.65100000000000002</v>
      </c>
      <c r="AT28" s="933">
        <v>-1.137</v>
      </c>
      <c r="AU28" s="933">
        <v>-0.746</v>
      </c>
      <c r="AV28" s="933">
        <v>1.012</v>
      </c>
      <c r="AW28" s="470">
        <f>+SUM(AS28:AV28)</f>
        <v>-1.5219999999999998</v>
      </c>
      <c r="AX28" s="142"/>
      <c r="AY28" s="933">
        <v>0.222</v>
      </c>
      <c r="AZ28" s="933">
        <v>0.185</v>
      </c>
      <c r="BA28" s="933">
        <v>0.2</v>
      </c>
      <c r="BB28" s="933">
        <v>0.1</v>
      </c>
      <c r="BC28" s="470">
        <f>+SUM(AY28:BB28)</f>
        <v>0.70699999999999996</v>
      </c>
      <c r="BD28" s="57"/>
      <c r="BE28" s="966">
        <v>0</v>
      </c>
      <c r="BF28" s="966">
        <v>0</v>
      </c>
      <c r="BG28" s="966">
        <v>0</v>
      </c>
      <c r="BH28" s="966">
        <v>0</v>
      </c>
      <c r="BI28" s="470">
        <f>SUM(BE28:BH28)</f>
        <v>0</v>
      </c>
      <c r="BJ28" s="57"/>
      <c r="BK28" s="966">
        <v>0</v>
      </c>
      <c r="BL28" s="966">
        <v>0</v>
      </c>
      <c r="BM28" s="966">
        <v>0</v>
      </c>
      <c r="BN28" s="966">
        <v>0</v>
      </c>
      <c r="BO28" s="470">
        <f>SUM(BK28:BN28)</f>
        <v>0</v>
      </c>
      <c r="BP28" s="57"/>
      <c r="BQ28" s="653">
        <f>BN28</f>
        <v>0</v>
      </c>
      <c r="BR28" s="653">
        <f>BQ28</f>
        <v>0</v>
      </c>
      <c r="BS28" s="653">
        <f>BR28</f>
        <v>0</v>
      </c>
      <c r="BT28" s="653">
        <f>BS28</f>
        <v>0</v>
      </c>
      <c r="BU28" s="470">
        <f>SUM(BQ28:BT28)</f>
        <v>0</v>
      </c>
      <c r="BV28" s="57"/>
      <c r="BW28" s="653">
        <f>BT28</f>
        <v>0</v>
      </c>
      <c r="BX28" s="653">
        <f>BW28</f>
        <v>0</v>
      </c>
      <c r="BY28" s="653">
        <f>BX28</f>
        <v>0</v>
      </c>
      <c r="BZ28" s="653">
        <f>BY28</f>
        <v>0</v>
      </c>
      <c r="CA28" s="470">
        <f>SUM(BW28:BZ28)</f>
        <v>0</v>
      </c>
      <c r="CB28" s="57"/>
      <c r="CC28" s="653">
        <f>BZ28</f>
        <v>0</v>
      </c>
      <c r="CD28" s="653">
        <f>CC28</f>
        <v>0</v>
      </c>
      <c r="CE28" s="653">
        <f>CD28</f>
        <v>0</v>
      </c>
      <c r="CF28" s="653">
        <f>CE28</f>
        <v>0</v>
      </c>
      <c r="CG28" s="470">
        <f>SUM(CC28:CF28)</f>
        <v>0</v>
      </c>
      <c r="CH28" s="178"/>
      <c r="CI28" s="178"/>
      <c r="CJ28" s="178"/>
      <c r="CK28" s="178"/>
      <c r="CL28" s="178"/>
      <c r="CM28" s="292"/>
      <c r="CN28" s="292"/>
    </row>
    <row r="29" spans="1:92" ht="11.25" customHeight="1" x14ac:dyDescent="0.2">
      <c r="A29" s="310"/>
      <c r="B29" s="308" t="s">
        <v>291</v>
      </c>
      <c r="C29" s="288">
        <f>+C25-C27+C28</f>
        <v>58.895999999999958</v>
      </c>
      <c r="D29" s="288">
        <f>+D25-D27+D28</f>
        <v>68.042999999999978</v>
      </c>
      <c r="E29" s="288">
        <f>+E25-E27+E28</f>
        <v>60.995000000000061</v>
      </c>
      <c r="F29" s="288">
        <f>+F25-F27+F28</f>
        <v>68.502000000000095</v>
      </c>
      <c r="G29" s="445">
        <f>+G25-G27+G28</f>
        <v>256.43600000000032</v>
      </c>
      <c r="H29" s="463"/>
      <c r="I29" s="449">
        <f>+I25-I27+I28</f>
        <v>68.920999999999935</v>
      </c>
      <c r="J29" s="449">
        <f>+J25-J27+J28</f>
        <v>79.493000000000123</v>
      </c>
      <c r="K29" s="449">
        <f>+K25-K27+K28</f>
        <v>69.295000000000087</v>
      </c>
      <c r="L29" s="449">
        <f>+L25-L27+L28</f>
        <v>67.809999999999945</v>
      </c>
      <c r="M29" s="445">
        <f>+M25-M27+M28</f>
        <v>285.51899999999995</v>
      </c>
      <c r="N29" s="463"/>
      <c r="O29" s="449">
        <f>+O25-O27+O28</f>
        <v>63.072999999999979</v>
      </c>
      <c r="P29" s="449">
        <f>+P25-P27+P28</f>
        <v>73.841999999999885</v>
      </c>
      <c r="Q29" s="449">
        <f>+Q25-Q27+Q28</f>
        <v>66.219999999999942</v>
      </c>
      <c r="R29" s="449">
        <f>+R25-R27+R28</f>
        <v>73.524999999999892</v>
      </c>
      <c r="S29" s="445">
        <f>+S25-S27+S28</f>
        <v>276.65999999999951</v>
      </c>
      <c r="T29" s="463"/>
      <c r="U29" s="449">
        <f>+U25-U27+U28</f>
        <v>65.952000000000098</v>
      </c>
      <c r="V29" s="449">
        <f>+V25-V27+V28</f>
        <v>74.832999999999998</v>
      </c>
      <c r="W29" s="449">
        <f>+W25-W27+W28</f>
        <v>65.0150000000001</v>
      </c>
      <c r="X29" s="449">
        <f>+X25-X27+X28</f>
        <v>74.244999999999976</v>
      </c>
      <c r="Y29" s="445">
        <f>+Y25-Y27+Y28</f>
        <v>280.04500000000024</v>
      </c>
      <c r="Z29" s="463"/>
      <c r="AA29" s="449">
        <f>+AA25-AA27+AA28</f>
        <v>73.586000000000084</v>
      </c>
      <c r="AB29" s="449">
        <f>+AB25-AB27+AB28</f>
        <v>81.192999999999998</v>
      </c>
      <c r="AC29" s="449">
        <f>+AC25-AC27+AC28</f>
        <v>66.203000000000031</v>
      </c>
      <c r="AD29" s="449">
        <f>+AD25-AD27+AD28</f>
        <v>73.443000000000097</v>
      </c>
      <c r="AE29" s="445">
        <f>+AE25-AE27+AE28</f>
        <v>294.42500000000001</v>
      </c>
      <c r="AF29" s="464"/>
      <c r="AG29" s="449">
        <f>+AG25-AG27+AG28</f>
        <v>76.2</v>
      </c>
      <c r="AH29" s="449">
        <f>+AH25-AH27+AH28</f>
        <v>89.802999999999983</v>
      </c>
      <c r="AI29" s="449">
        <f>+AI25-AI27+AI28</f>
        <v>74.997000000000028</v>
      </c>
      <c r="AJ29" s="449">
        <f>+AJ25-AJ27+AJ28</f>
        <v>82.284999999999982</v>
      </c>
      <c r="AK29" s="289">
        <f>+AK25-AK27+AK28</f>
        <v>323.2849999999998</v>
      </c>
      <c r="AL29" s="244"/>
      <c r="AM29" s="288">
        <f>+AM25-AM27+AM28</f>
        <v>76.114999999999995</v>
      </c>
      <c r="AN29" s="288">
        <f>+AN25-AN27+AN28</f>
        <v>97.294000000000011</v>
      </c>
      <c r="AO29" s="288">
        <f>+AO25-AO27+AO28</f>
        <v>83.222999999999985</v>
      </c>
      <c r="AP29" s="288">
        <f>+AP25-AP27+AP28</f>
        <v>89.536000000000001</v>
      </c>
      <c r="AQ29" s="289">
        <f>+AQ25-AQ27+AQ28</f>
        <v>346.16799999999989</v>
      </c>
      <c r="AR29" s="244"/>
      <c r="AS29" s="288">
        <f>+AS25-AS27+AS28</f>
        <v>85.51</v>
      </c>
      <c r="AT29" s="288">
        <f>+AT25-AT27+AT28</f>
        <v>99.691999999999993</v>
      </c>
      <c r="AU29" s="288">
        <f>+AU25-AU27+AU28</f>
        <v>89.255999999999958</v>
      </c>
      <c r="AV29" s="288">
        <f>+AV25-AV27+AV28</f>
        <v>86.560999999999993</v>
      </c>
      <c r="AW29" s="289">
        <f>+AW25-AW27+AW28</f>
        <v>361.01899999999983</v>
      </c>
      <c r="AX29" s="244"/>
      <c r="AY29" s="288">
        <f>+AY25-AY27+AY28</f>
        <v>83.623999999999995</v>
      </c>
      <c r="AZ29" s="288">
        <f>+AZ25-AZ27+AZ28</f>
        <v>103.28300000000002</v>
      </c>
      <c r="BA29" s="288">
        <f>+BA25-BA27+BA28</f>
        <v>93.9</v>
      </c>
      <c r="BB29" s="288">
        <f>+BB25-BB27+BB28</f>
        <v>92.600000000000009</v>
      </c>
      <c r="BC29" s="289">
        <f>+BC25-BC27+BC28</f>
        <v>372.90700000000004</v>
      </c>
      <c r="BD29" s="464"/>
      <c r="BE29" s="288">
        <f>+BE25-BE27+BE28</f>
        <v>122.70000000000002</v>
      </c>
      <c r="BF29" s="288">
        <f>+BF25-BF27+BF28</f>
        <v>181.40000000000003</v>
      </c>
      <c r="BG29" s="288">
        <f>+BG25-BG27+BG28</f>
        <v>155.4</v>
      </c>
      <c r="BH29" s="288">
        <f>+BH25-BH27+BH28</f>
        <v>159</v>
      </c>
      <c r="BI29" s="289">
        <f>+BI25-BI27+BI28</f>
        <v>618.49999999999989</v>
      </c>
      <c r="BJ29" s="464"/>
      <c r="BK29" s="288">
        <f>+BK25-BK27+BK28</f>
        <v>113.6</v>
      </c>
      <c r="BL29" s="288">
        <f>+BL25-BL27+BL28</f>
        <v>150.4</v>
      </c>
      <c r="BM29" s="288">
        <f>+BM25-BM27+BM28</f>
        <v>164.20000000000002</v>
      </c>
      <c r="BN29" s="288">
        <f>+BN25-BN27+BN28</f>
        <v>189.7</v>
      </c>
      <c r="BO29" s="289">
        <f>+BO25-BO27+BO28</f>
        <v>617.9000000000002</v>
      </c>
      <c r="BP29" s="464"/>
      <c r="BQ29" s="288">
        <f>+BQ25-BQ27+BQ28</f>
        <v>103.78364099999993</v>
      </c>
      <c r="BR29" s="288">
        <f>+BR25-BR27+BR28</f>
        <v>143.61138419917941</v>
      </c>
      <c r="BS29" s="288">
        <f>+BS25-BS27+BS28</f>
        <v>167.31583815510857</v>
      </c>
      <c r="BT29" s="288">
        <f>+BT25-BT27+BT28</f>
        <v>192.37028443859003</v>
      </c>
      <c r="BU29" s="289">
        <f>+BU25-BU27+BU28</f>
        <v>607.08114779287814</v>
      </c>
      <c r="BV29" s="464"/>
      <c r="BW29" s="288">
        <f>+BW25-BW27+BW28</f>
        <v>147.80188761103406</v>
      </c>
      <c r="BX29" s="288">
        <f>+BX25-BX27+BX28</f>
        <v>174.71789824698436</v>
      </c>
      <c r="BY29" s="288">
        <f>+BY25-BY27+BY28</f>
        <v>178.78766899382597</v>
      </c>
      <c r="BZ29" s="288">
        <f>+BZ25-BZ27+BZ28</f>
        <v>190.79058017731924</v>
      </c>
      <c r="CA29" s="289">
        <f>+CA25-CA27+CA28</f>
        <v>692.09803502916384</v>
      </c>
      <c r="CB29" s="464"/>
      <c r="CC29" s="288">
        <f>+CC25-CC27+CC28</f>
        <v>162.63634511365811</v>
      </c>
      <c r="CD29" s="288">
        <f>+CD25-CD27+CD28</f>
        <v>191.37020507299977</v>
      </c>
      <c r="CE29" s="288">
        <f>+CE25-CE27+CE28</f>
        <v>195.55662541352058</v>
      </c>
      <c r="CF29" s="288">
        <f>+CF25-CF27+CF28</f>
        <v>208.90489779109282</v>
      </c>
      <c r="CG29" s="289">
        <f>+CG25-CG27+CG28</f>
        <v>758.46807339127122</v>
      </c>
      <c r="CH29" s="288"/>
      <c r="CI29" s="288"/>
      <c r="CJ29" s="288"/>
      <c r="CK29" s="288"/>
      <c r="CL29" s="288"/>
      <c r="CM29" s="309"/>
      <c r="CN29" s="309"/>
    </row>
    <row r="30" spans="1:92" ht="11.25" customHeight="1" x14ac:dyDescent="0.2">
      <c r="A30" s="316"/>
      <c r="B30" s="285" t="s">
        <v>232</v>
      </c>
      <c r="C30" s="177">
        <v>0</v>
      </c>
      <c r="D30" s="177">
        <v>0</v>
      </c>
      <c r="E30" s="177">
        <v>0</v>
      </c>
      <c r="F30" s="177">
        <v>0</v>
      </c>
      <c r="G30" s="450">
        <f>SUM(C30:F30)</f>
        <v>0</v>
      </c>
      <c r="H30" s="462"/>
      <c r="I30" s="451">
        <v>-2.5000000000000001E-2</v>
      </c>
      <c r="J30" s="451">
        <v>5.0999999999999997E-2</v>
      </c>
      <c r="K30" s="451">
        <v>1.9E-2</v>
      </c>
      <c r="L30" s="451">
        <f>-0.644+0.662</f>
        <v>1.8000000000000016E-2</v>
      </c>
      <c r="M30" s="450">
        <f>SUM(I30:L30)</f>
        <v>6.3000000000000014E-2</v>
      </c>
      <c r="N30" s="462"/>
      <c r="O30" s="451">
        <f>-1.813+0.746</f>
        <v>-1.0669999999999999</v>
      </c>
      <c r="P30" s="451">
        <f>0.381+0.346</f>
        <v>0.72699999999999998</v>
      </c>
      <c r="Q30" s="451">
        <f>0.37-(0.125-0.088)</f>
        <v>0.33299999999999996</v>
      </c>
      <c r="R30" s="451">
        <f>1.216-(0.328-0.04)</f>
        <v>0.92799999999999994</v>
      </c>
      <c r="S30" s="450">
        <f>SUM(O30:R30)</f>
        <v>0.92099999999999993</v>
      </c>
      <c r="T30" s="462"/>
      <c r="U30" s="451">
        <f>0.348+0.146</f>
        <v>0.49399999999999999</v>
      </c>
      <c r="V30" s="451">
        <f>0.96-0.035</f>
        <v>0.92499999999999993</v>
      </c>
      <c r="W30" s="451">
        <f>0.162-0.003</f>
        <v>0.159</v>
      </c>
      <c r="X30" s="451">
        <f>0.157+(0.002+0.354)</f>
        <v>0.51300000000000001</v>
      </c>
      <c r="Y30" s="450">
        <f>SUM(U30:X30)</f>
        <v>2.0910000000000002</v>
      </c>
      <c r="Z30" s="462"/>
      <c r="AA30" s="454">
        <v>0.379</v>
      </c>
      <c r="AB30" s="454">
        <v>1.1539999999999999</v>
      </c>
      <c r="AC30" s="454">
        <v>0.60299999999999998</v>
      </c>
      <c r="AD30" s="454">
        <v>0.83099999999999996</v>
      </c>
      <c r="AE30" s="450">
        <f>SUM(AA30:AD30)</f>
        <v>2.9670000000000001</v>
      </c>
      <c r="AF30" s="468"/>
      <c r="AG30" s="454">
        <v>0.94399999999999995</v>
      </c>
      <c r="AH30" s="454">
        <v>1.276</v>
      </c>
      <c r="AI30" s="454">
        <v>0.92800000000000005</v>
      </c>
      <c r="AJ30" s="454">
        <f>1.127-0.2</f>
        <v>0.92700000000000005</v>
      </c>
      <c r="AK30" s="470">
        <f>SUM(AG30:AJ30)</f>
        <v>4.0749999999999993</v>
      </c>
      <c r="AL30" s="238"/>
      <c r="AM30" s="933">
        <v>0.94399999999999995</v>
      </c>
      <c r="AN30" s="933">
        <v>1.4630000000000001</v>
      </c>
      <c r="AO30" s="933">
        <v>1.0149999999999999</v>
      </c>
      <c r="AP30" s="933">
        <v>1.603</v>
      </c>
      <c r="AQ30" s="470">
        <f>SUM(AM30:AP30)</f>
        <v>5.0249999999999995</v>
      </c>
      <c r="AR30" s="238"/>
      <c r="AS30" s="933">
        <v>4.2000000000000003E-2</v>
      </c>
      <c r="AT30" s="933">
        <v>2.1000000000000001E-2</v>
      </c>
      <c r="AU30" s="933">
        <v>-7.0000000000000001E-3</v>
      </c>
      <c r="AV30" s="933">
        <v>3.0000000000000001E-3</v>
      </c>
      <c r="AW30" s="470">
        <f>SUM(AS30:AV30)</f>
        <v>5.9000000000000004E-2</v>
      </c>
      <c r="AX30" s="238"/>
      <c r="AY30" s="933">
        <v>-7.0000000000000001E-3</v>
      </c>
      <c r="AZ30" s="933">
        <v>-3.5000000000000003E-2</v>
      </c>
      <c r="BA30" s="933">
        <v>-0.1</v>
      </c>
      <c r="BB30" s="933">
        <v>3.0000000000000001E-3</v>
      </c>
      <c r="BC30" s="470">
        <f>SUM(AY30:BB30)</f>
        <v>-0.13900000000000001</v>
      </c>
      <c r="BD30" s="468"/>
      <c r="BE30" s="966">
        <v>0.3</v>
      </c>
      <c r="BF30" s="966">
        <v>0.5</v>
      </c>
      <c r="BG30" s="966">
        <v>-0.2</v>
      </c>
      <c r="BH30" s="966">
        <v>0.9</v>
      </c>
      <c r="BI30" s="470">
        <f>SUM(BE30:BH30)</f>
        <v>1.5</v>
      </c>
      <c r="BJ30" s="57"/>
      <c r="BK30" s="966">
        <v>-0.1</v>
      </c>
      <c r="BL30" s="966">
        <v>-0.3</v>
      </c>
      <c r="BM30" s="966">
        <v>-0.1</v>
      </c>
      <c r="BN30" s="966">
        <v>0.2</v>
      </c>
      <c r="BO30" s="470">
        <f>SUM(BK30:BN30)</f>
        <v>-0.3</v>
      </c>
      <c r="BP30" s="57"/>
      <c r="BQ30" s="653">
        <f>(BN30/BN29)*BQ29</f>
        <v>0.10941870426989977</v>
      </c>
      <c r="BR30" s="653">
        <f>(BQ30/BQ29)*BR29</f>
        <v>0.15140894485944062</v>
      </c>
      <c r="BS30" s="653">
        <f>(BR30/BR29)*BS29</f>
        <v>0.17640046194529108</v>
      </c>
      <c r="BT30" s="653">
        <f>(BS30/BS29)*BT29</f>
        <v>0.20281527088939383</v>
      </c>
      <c r="BU30" s="470">
        <f>SUM(BQ30:BT30)</f>
        <v>0.64004338196402533</v>
      </c>
      <c r="BV30" s="57"/>
      <c r="BW30" s="653">
        <f>(BT30/BT29)*BW29</f>
        <v>0.15582697692254516</v>
      </c>
      <c r="BX30" s="653">
        <f>(BW30/BW29)*BX29</f>
        <v>0.18420442619608263</v>
      </c>
      <c r="BY30" s="653">
        <f>(BX30/BX29)*BY29</f>
        <v>0.18849517026233631</v>
      </c>
      <c r="BZ30" s="653">
        <f>(BY30/BY29)*BZ29</f>
        <v>0.20114979459917687</v>
      </c>
      <c r="CA30" s="470">
        <f>SUM(BW30:BZ30)</f>
        <v>0.72967636798014102</v>
      </c>
      <c r="CB30" s="57"/>
      <c r="CC30" s="653">
        <f>(BZ30/BZ29)*CC29</f>
        <v>0.17146688994587045</v>
      </c>
      <c r="CD30" s="653">
        <f>(CC30/CC29)*CD29</f>
        <v>0.20176089095730076</v>
      </c>
      <c r="CE30" s="653">
        <f>(CD30/CD29)*CE29</f>
        <v>0.20617461825357997</v>
      </c>
      <c r="CF30" s="653">
        <f>(CE30/CE29)*CF29</f>
        <v>0.22024765186198506</v>
      </c>
      <c r="CG30" s="470">
        <f>SUM(CC30:CF30)</f>
        <v>0.79965005101873621</v>
      </c>
      <c r="CH30" s="178"/>
      <c r="CI30" s="178"/>
      <c r="CJ30" s="178"/>
      <c r="CK30" s="178"/>
      <c r="CL30" s="178"/>
      <c r="CM30" s="315"/>
      <c r="CN30" s="315"/>
    </row>
    <row r="31" spans="1:92" x14ac:dyDescent="0.2">
      <c r="A31" s="310"/>
      <c r="B31" s="308" t="s">
        <v>22</v>
      </c>
      <c r="C31" s="288">
        <f>C29-C30</f>
        <v>58.895999999999958</v>
      </c>
      <c r="D31" s="288">
        <f>D29-D30</f>
        <v>68.042999999999978</v>
      </c>
      <c r="E31" s="288">
        <f>E29-E30</f>
        <v>60.995000000000061</v>
      </c>
      <c r="F31" s="288">
        <f>F29-F30</f>
        <v>68.502000000000095</v>
      </c>
      <c r="G31" s="445">
        <f>G29-G30</f>
        <v>256.43600000000032</v>
      </c>
      <c r="H31" s="463"/>
      <c r="I31" s="449">
        <f>I29-I30</f>
        <v>68.945999999999941</v>
      </c>
      <c r="J31" s="449">
        <f>J29-J30</f>
        <v>79.442000000000121</v>
      </c>
      <c r="K31" s="449">
        <f>K29-K30</f>
        <v>69.276000000000082</v>
      </c>
      <c r="L31" s="449">
        <f>L29-L30</f>
        <v>67.791999999999945</v>
      </c>
      <c r="M31" s="445">
        <f>M29-M30</f>
        <v>285.45599999999996</v>
      </c>
      <c r="N31" s="463"/>
      <c r="O31" s="449">
        <f>O29-O30</f>
        <v>64.139999999999972</v>
      </c>
      <c r="P31" s="449">
        <f>P29-P30</f>
        <v>73.114999999999881</v>
      </c>
      <c r="Q31" s="449">
        <f>Q29-Q30</f>
        <v>65.886999999999944</v>
      </c>
      <c r="R31" s="449">
        <f>R29-R30</f>
        <v>72.596999999999895</v>
      </c>
      <c r="S31" s="445">
        <f>S29-S30</f>
        <v>275.73899999999952</v>
      </c>
      <c r="T31" s="463"/>
      <c r="U31" s="449">
        <f>U29-U30</f>
        <v>65.458000000000098</v>
      </c>
      <c r="V31" s="449">
        <f>V29-V30</f>
        <v>73.908000000000001</v>
      </c>
      <c r="W31" s="449">
        <f>W29-W30</f>
        <v>64.856000000000094</v>
      </c>
      <c r="X31" s="449">
        <f>X29-X30</f>
        <v>73.731999999999971</v>
      </c>
      <c r="Y31" s="445">
        <f>Y29-Y30</f>
        <v>277.95400000000024</v>
      </c>
      <c r="Z31" s="463"/>
      <c r="AA31" s="449">
        <f>AA29-AA30</f>
        <v>73.207000000000079</v>
      </c>
      <c r="AB31" s="449">
        <f>AB29-AB30</f>
        <v>80.039000000000001</v>
      </c>
      <c r="AC31" s="449">
        <f>AC29-AC30</f>
        <v>65.600000000000037</v>
      </c>
      <c r="AD31" s="449">
        <f>AD29-AD30</f>
        <v>72.612000000000094</v>
      </c>
      <c r="AE31" s="445">
        <f>AE29-AE30</f>
        <v>291.45800000000003</v>
      </c>
      <c r="AF31" s="464"/>
      <c r="AG31" s="449">
        <f>AG29-AG30</f>
        <v>75.256</v>
      </c>
      <c r="AH31" s="449">
        <f>AH29-AH30</f>
        <v>88.526999999999987</v>
      </c>
      <c r="AI31" s="449">
        <f>AI29-AI30</f>
        <v>74.069000000000031</v>
      </c>
      <c r="AJ31" s="449">
        <f>AJ29-AJ30</f>
        <v>81.357999999999976</v>
      </c>
      <c r="AK31" s="289">
        <f>AK29-AK30</f>
        <v>319.20999999999981</v>
      </c>
      <c r="AL31" s="244"/>
      <c r="AM31" s="288">
        <f>AM29-AM30</f>
        <v>75.170999999999992</v>
      </c>
      <c r="AN31" s="288">
        <f>AN29-AN30</f>
        <v>95.831000000000017</v>
      </c>
      <c r="AO31" s="288">
        <f>AO29-AO30</f>
        <v>82.207999999999984</v>
      </c>
      <c r="AP31" s="288">
        <f>AP29-AP30</f>
        <v>87.933000000000007</v>
      </c>
      <c r="AQ31" s="289">
        <f>AQ29-AQ30</f>
        <v>341.14299999999992</v>
      </c>
      <c r="AR31" s="244"/>
      <c r="AS31" s="288">
        <f>AS29-AS30</f>
        <v>85.468000000000004</v>
      </c>
      <c r="AT31" s="288">
        <f>AT29-AT30</f>
        <v>99.670999999999992</v>
      </c>
      <c r="AU31" s="288">
        <f>AU29-AU30</f>
        <v>89.262999999999963</v>
      </c>
      <c r="AV31" s="288">
        <f>AV29-AV30</f>
        <v>86.557999999999993</v>
      </c>
      <c r="AW31" s="289">
        <f>AW29-AW30</f>
        <v>360.95999999999981</v>
      </c>
      <c r="AX31" s="244"/>
      <c r="AY31" s="288">
        <f>AY29-AY30</f>
        <v>83.631</v>
      </c>
      <c r="AZ31" s="288">
        <f>AZ29-AZ30</f>
        <v>103.31800000000001</v>
      </c>
      <c r="BA31" s="288">
        <f>BA29-BA30</f>
        <v>94</v>
      </c>
      <c r="BB31" s="288">
        <f>BB29-BB30</f>
        <v>92.597000000000008</v>
      </c>
      <c r="BC31" s="289">
        <f>BC29-BC30</f>
        <v>373.04600000000005</v>
      </c>
      <c r="BD31" s="464"/>
      <c r="BE31" s="288">
        <f>BE29-BE30</f>
        <v>122.40000000000002</v>
      </c>
      <c r="BF31" s="288">
        <f>BF29-BF30</f>
        <v>180.90000000000003</v>
      </c>
      <c r="BG31" s="288">
        <f>BG29-BG30</f>
        <v>155.6</v>
      </c>
      <c r="BH31" s="288">
        <f>BH29-BH30</f>
        <v>158.1</v>
      </c>
      <c r="BI31" s="289">
        <f>BI29-BI30</f>
        <v>616.99999999999989</v>
      </c>
      <c r="BJ31" s="464"/>
      <c r="BK31" s="288">
        <f>BK29-BK30</f>
        <v>113.69999999999999</v>
      </c>
      <c r="BL31" s="288">
        <f>BL29-BL30</f>
        <v>150.70000000000002</v>
      </c>
      <c r="BM31" s="288">
        <f>BM29-BM30</f>
        <v>164.3</v>
      </c>
      <c r="BN31" s="288">
        <f>BN29-BN30</f>
        <v>189.5</v>
      </c>
      <c r="BO31" s="289">
        <f>BO29-BO30</f>
        <v>618.20000000000016</v>
      </c>
      <c r="BP31" s="464"/>
      <c r="BQ31" s="288">
        <f>BQ29-BQ30</f>
        <v>103.67422229573003</v>
      </c>
      <c r="BR31" s="288">
        <f>BR29-BR30</f>
        <v>143.45997525431997</v>
      </c>
      <c r="BS31" s="288">
        <f>BS29-BS30</f>
        <v>167.13943769316327</v>
      </c>
      <c r="BT31" s="288">
        <f>BT29-BT30</f>
        <v>192.16746916770063</v>
      </c>
      <c r="BU31" s="289">
        <f>BU29-BU30</f>
        <v>606.44110441091414</v>
      </c>
      <c r="BV31" s="464"/>
      <c r="BW31" s="288">
        <f>BW29-BW30</f>
        <v>147.64606063411151</v>
      </c>
      <c r="BX31" s="288">
        <f>BX29-BX30</f>
        <v>174.53369382078827</v>
      </c>
      <c r="BY31" s="288">
        <f>BY29-BY30</f>
        <v>178.59917382356363</v>
      </c>
      <c r="BZ31" s="288">
        <f>BZ29-BZ30</f>
        <v>190.58943038272005</v>
      </c>
      <c r="CA31" s="289">
        <f>CA29-CA30</f>
        <v>691.36835866118372</v>
      </c>
      <c r="CB31" s="464"/>
      <c r="CC31" s="288">
        <f>CC29-CC30</f>
        <v>162.46487822371225</v>
      </c>
      <c r="CD31" s="288">
        <f>CD29-CD30</f>
        <v>191.16844418204246</v>
      </c>
      <c r="CE31" s="288">
        <f>CE29-CE30</f>
        <v>195.35045079526699</v>
      </c>
      <c r="CF31" s="288">
        <f>CF29-CF30</f>
        <v>208.68465013923083</v>
      </c>
      <c r="CG31" s="289">
        <f>CG29-CG30</f>
        <v>757.6684233402525</v>
      </c>
      <c r="CH31" s="178"/>
      <c r="CI31" s="178"/>
      <c r="CJ31" s="178"/>
      <c r="CK31" s="178"/>
      <c r="CL31" s="178"/>
      <c r="CM31" s="309"/>
      <c r="CN31" s="309"/>
    </row>
    <row r="32" spans="1:92" ht="12.75" customHeight="1" outlineLevel="1" x14ac:dyDescent="0.2">
      <c r="A32" s="310"/>
      <c r="B32" s="308" t="s">
        <v>344</v>
      </c>
      <c r="C32" s="288"/>
      <c r="D32" s="288"/>
      <c r="E32" s="288"/>
      <c r="F32" s="288"/>
      <c r="G32" s="470">
        <f>CashFlow!G28/'P&amp;L'!G31</f>
        <v>1.5118665086025345</v>
      </c>
      <c r="H32" s="243"/>
      <c r="I32" s="178">
        <f>CashFlow!I28/'P&amp;L'!I31</f>
        <v>0.43760334174571447</v>
      </c>
      <c r="J32" s="178">
        <f>CashFlow!J28/'P&amp;L'!J31</f>
        <v>1.3702323707862321</v>
      </c>
      <c r="K32" s="178">
        <f>CashFlow!K28/'P&amp;L'!K31</f>
        <v>1.4120041572839064</v>
      </c>
      <c r="L32" s="178">
        <f>CashFlow!L28/'P&amp;L'!L31</f>
        <v>1.4623849421760695</v>
      </c>
      <c r="M32" s="470">
        <f>CashFlow!M28/'P&amp;L'!M31</f>
        <v>1.1769975057451938</v>
      </c>
      <c r="N32" s="243"/>
      <c r="O32" s="178">
        <f>CashFlow!O28/'P&amp;L'!O31</f>
        <v>0.16587153102588098</v>
      </c>
      <c r="P32" s="178">
        <f>CashFlow!P28/'P&amp;L'!P31</f>
        <v>1.4322642412637647</v>
      </c>
      <c r="Q32" s="178">
        <f>CashFlow!Q28/'P&amp;L'!Q31</f>
        <v>1.9731510009561846</v>
      </c>
      <c r="R32" s="178">
        <f>CashFlow!R28/'P&amp;L'!R31</f>
        <v>1.613358678733283</v>
      </c>
      <c r="S32" s="470">
        <f>CashFlow!S28/'P&amp;L'!S31</f>
        <v>1.3146091049869646</v>
      </c>
      <c r="T32" s="243"/>
      <c r="U32" s="178">
        <f>CashFlow!U28/'P&amp;L'!U31</f>
        <v>0.55828164624644727</v>
      </c>
      <c r="V32" s="178">
        <f>CashFlow!V28/'P&amp;L'!V31</f>
        <v>1.5414298858039726</v>
      </c>
      <c r="W32" s="178">
        <f>CashFlow!W28/'P&amp;L'!W31</f>
        <v>1.5175465646971733</v>
      </c>
      <c r="X32" s="178">
        <f>CashFlow!X28/'P&amp;L'!X31</f>
        <v>1.5384636250203443</v>
      </c>
      <c r="Y32" s="470">
        <f>CashFlow!Y28/'P&amp;L'!Y31</f>
        <v>1.3035394345826994</v>
      </c>
      <c r="Z32" s="243"/>
      <c r="AA32" s="178">
        <f>CashFlow!AA28/'P&amp;L'!AA31</f>
        <v>0.60111737948556754</v>
      </c>
      <c r="AB32" s="178">
        <f>CashFlow!AB28/'P&amp;L'!AB31</f>
        <v>1.5112382713427206</v>
      </c>
      <c r="AC32" s="178">
        <f>CashFlow!AC28/'P&amp;L'!AC31</f>
        <v>1.3289786585365846</v>
      </c>
      <c r="AD32" s="178">
        <f>CashFlow!AD28/'P&amp;L'!AD31</f>
        <v>1.9462898694430646</v>
      </c>
      <c r="AE32" s="470">
        <f>CashFlow!AE28/'P&amp;L'!AE31</f>
        <v>1.3500024017182577</v>
      </c>
      <c r="AF32" s="243"/>
      <c r="AG32" s="178">
        <f>CashFlow!AG28/'P&amp;L'!AG31</f>
        <v>0.26513500584671007</v>
      </c>
      <c r="AH32" s="178">
        <f>CashFlow!AH28/'P&amp;L'!AH31</f>
        <v>0.94255989698058229</v>
      </c>
      <c r="AI32" s="178">
        <f>CashFlow!AI28/'P&amp;L'!AI31</f>
        <v>1.3321362513332162</v>
      </c>
      <c r="AJ32" s="434">
        <f>CashFlow!AJ28/'P&amp;L'!AJ31</f>
        <v>2.0602768012979666</v>
      </c>
      <c r="AK32" s="470">
        <f>CashFlow!AK28/'P&amp;L'!AK31</f>
        <v>1.1581247454653683</v>
      </c>
      <c r="AL32" s="243"/>
      <c r="AM32" s="178">
        <f>CashFlow!AM28/'P&amp;L'!AM31</f>
        <v>0.48005214776975147</v>
      </c>
      <c r="AN32" s="178">
        <f>CashFlow!AN28/'P&amp;L'!AN31</f>
        <v>0.99948868320272144</v>
      </c>
      <c r="AO32" s="178">
        <f>CashFlow!AO28/'P&amp;L'!AO31</f>
        <v>1.5375389256520047</v>
      </c>
      <c r="AP32" s="178">
        <f>CashFlow!AP28/'P&amp;L'!AP31</f>
        <v>1.8147908066368705</v>
      </c>
      <c r="AQ32" s="470">
        <f>CashFlow!AQ28/'P&amp;L'!AQ31</f>
        <v>1.2248411956276402</v>
      </c>
      <c r="AR32" s="243"/>
      <c r="AS32" s="178">
        <f>CashFlow!AS28/'P&amp;L'!AS31</f>
        <v>0.75542893246595211</v>
      </c>
      <c r="AT32" s="178">
        <f>CashFlow!AT28/'P&amp;L'!AT31</f>
        <v>1.5619387785815335</v>
      </c>
      <c r="AU32" s="178">
        <f>CashFlow!AU28/'P&amp;L'!AU31</f>
        <v>1.6528124754937663</v>
      </c>
      <c r="AV32" s="178">
        <f>CashFlow!AV28/'P&amp;L'!AV31</f>
        <v>2.2253402342937685</v>
      </c>
      <c r="AW32" s="470">
        <f>CashFlow!AW28/'P&amp;L'!AW31</f>
        <v>1.5525293661347528</v>
      </c>
      <c r="AX32" s="243"/>
      <c r="AY32" s="178">
        <f>CashFlow!AY28/'P&amp;L'!AY31</f>
        <v>0.78476880582559094</v>
      </c>
      <c r="AZ32" s="178">
        <f>CashFlow!AZ28/'P&amp;L'!AZ31</f>
        <v>1.4093768752782669</v>
      </c>
      <c r="BA32" s="178">
        <f>CashFlow!BA28/'P&amp;L'!BA31</f>
        <v>1.6995212765957444</v>
      </c>
      <c r="BB32" s="178">
        <f>CashFlow!BB28/'P&amp;L'!BB31</f>
        <v>1.3650550233808865</v>
      </c>
      <c r="BC32" s="470">
        <f>CashFlow!BC28/'P&amp;L'!BC31</f>
        <v>1.3333476300509852</v>
      </c>
      <c r="BD32" s="243"/>
      <c r="BE32" s="178">
        <f>CashFlow!BE28/'P&amp;L'!BE31</f>
        <v>7.4346405228758169E-2</v>
      </c>
      <c r="BF32" s="178">
        <f>CashFlow!BF28/'P&amp;L'!BF31</f>
        <v>1.0381426202321722</v>
      </c>
      <c r="BG32" s="178">
        <f>CashFlow!BG28/'P&amp;L'!BG31</f>
        <v>0.99871465295629847</v>
      </c>
      <c r="BH32" s="178">
        <f>CashFlow!BH28/'P&amp;L'!BH31</f>
        <v>1.4155597722960154</v>
      </c>
      <c r="BI32" s="470">
        <f>CashFlow!BI28/'P&amp;L'!BI31</f>
        <v>0.93371150729335495</v>
      </c>
      <c r="BJ32" s="244"/>
      <c r="BK32" s="178">
        <f>CashFlow!BK28/'P&amp;L'!BK31</f>
        <v>0.72559366754617427</v>
      </c>
      <c r="BL32" s="178">
        <f>CashFlow!BL28/'P&amp;L'!BL31</f>
        <v>0.8374253483742552</v>
      </c>
      <c r="BM32" s="178">
        <f>CashFlow!BM28/'P&amp;L'!BM31</f>
        <v>0.99999999999999978</v>
      </c>
      <c r="BN32" s="178">
        <f>CashFlow!BN28/'P&amp;L'!BN31</f>
        <v>1.2079155672823219</v>
      </c>
      <c r="BO32" s="470">
        <f>CashFlow!BO28/'P&amp;L'!BO31</f>
        <v>0.9736331284373988</v>
      </c>
      <c r="BP32" s="244"/>
      <c r="BQ32" s="178"/>
      <c r="BR32" s="178"/>
      <c r="BS32" s="178"/>
      <c r="BT32" s="178"/>
      <c r="BU32" s="470"/>
      <c r="BV32" s="244"/>
      <c r="BW32" s="178"/>
      <c r="BX32" s="178"/>
      <c r="BY32" s="178"/>
      <c r="BZ32" s="178"/>
      <c r="CA32" s="470"/>
      <c r="CB32" s="244"/>
      <c r="CC32" s="178"/>
      <c r="CD32" s="178"/>
      <c r="CE32" s="178"/>
      <c r="CF32" s="178"/>
      <c r="CG32" s="470"/>
      <c r="CH32" s="478"/>
      <c r="CI32" s="478"/>
      <c r="CJ32" s="478"/>
      <c r="CK32" s="478"/>
      <c r="CL32" s="478"/>
      <c r="CM32" s="309"/>
      <c r="CN32" s="309"/>
    </row>
    <row r="33" spans="1:99" ht="6.75" customHeight="1" outlineLevel="1" x14ac:dyDescent="0.2">
      <c r="B33" s="20"/>
      <c r="C33" s="153"/>
      <c r="D33" s="153"/>
      <c r="E33" s="153"/>
      <c r="F33" s="153"/>
      <c r="G33" s="152"/>
      <c r="H33" s="156"/>
      <c r="I33" s="153"/>
      <c r="J33" s="153"/>
      <c r="K33" s="153"/>
      <c r="L33" s="153"/>
      <c r="M33" s="152"/>
      <c r="N33" s="156"/>
      <c r="O33" s="153"/>
      <c r="P33" s="153"/>
      <c r="Q33" s="153"/>
      <c r="R33" s="153"/>
      <c r="S33" s="152"/>
      <c r="T33" s="156"/>
      <c r="U33" s="153"/>
      <c r="V33" s="153"/>
      <c r="W33" s="153"/>
      <c r="X33" s="153"/>
      <c r="Y33" s="152"/>
      <c r="Z33" s="156"/>
      <c r="AA33" s="153"/>
      <c r="AB33" s="153"/>
      <c r="AC33" s="153"/>
      <c r="AD33" s="153"/>
      <c r="AE33" s="152"/>
      <c r="AF33" s="156"/>
      <c r="AG33" s="153"/>
      <c r="AH33" s="153"/>
      <c r="AI33" s="153"/>
      <c r="AJ33" s="153"/>
      <c r="AK33" s="152"/>
      <c r="AL33" s="156"/>
      <c r="AM33" s="153"/>
      <c r="AN33" s="153"/>
      <c r="AO33" s="153"/>
      <c r="AP33" s="153"/>
      <c r="AQ33" s="152"/>
      <c r="AR33" s="156"/>
      <c r="AS33" s="153"/>
      <c r="AT33" s="153"/>
      <c r="AU33" s="153"/>
      <c r="AV33" s="153"/>
      <c r="AW33" s="152"/>
      <c r="AX33" s="156"/>
      <c r="AY33" s="153"/>
      <c r="AZ33" s="153"/>
      <c r="BA33" s="153"/>
      <c r="BB33" s="153"/>
      <c r="BC33" s="152"/>
      <c r="BD33" s="156"/>
      <c r="BE33" s="153"/>
      <c r="BF33" s="153"/>
      <c r="BG33" s="153"/>
      <c r="BH33" s="153"/>
      <c r="BI33" s="152"/>
      <c r="BJ33" s="714"/>
      <c r="BK33" s="153"/>
      <c r="BL33" s="153"/>
      <c r="BM33" s="153"/>
      <c r="BN33" s="153"/>
      <c r="BO33" s="152"/>
      <c r="BP33" s="714"/>
      <c r="BQ33" s="153"/>
      <c r="BR33" s="153"/>
      <c r="BS33" s="153"/>
      <c r="BT33" s="153"/>
      <c r="BU33" s="152"/>
      <c r="BV33" s="714"/>
      <c r="BW33" s="153"/>
      <c r="BX33" s="153"/>
      <c r="BY33" s="153"/>
      <c r="BZ33" s="153"/>
      <c r="CA33" s="152"/>
      <c r="CB33" s="714"/>
      <c r="CC33" s="153"/>
      <c r="CD33" s="153"/>
      <c r="CE33" s="153"/>
      <c r="CF33" s="153"/>
      <c r="CG33" s="152"/>
      <c r="CH33" s="153"/>
      <c r="CI33" s="153"/>
      <c r="CJ33" s="153"/>
      <c r="CK33" s="153"/>
      <c r="CL33" s="153"/>
      <c r="CM33" s="24"/>
      <c r="CN33" s="24"/>
    </row>
    <row r="34" spans="1:99" x14ac:dyDescent="0.2">
      <c r="A34" s="62"/>
      <c r="B34" s="66" t="s">
        <v>336</v>
      </c>
      <c r="C34" s="159">
        <v>152.983</v>
      </c>
      <c r="D34" s="159">
        <v>154.87299999999999</v>
      </c>
      <c r="E34" s="159">
        <v>154.73599999999999</v>
      </c>
      <c r="F34" s="159">
        <v>154.53800000000001</v>
      </c>
      <c r="G34" s="160">
        <v>154.721</v>
      </c>
      <c r="H34" s="154"/>
      <c r="I34" s="159">
        <v>152.983</v>
      </c>
      <c r="J34" s="159">
        <v>151.79</v>
      </c>
      <c r="K34" s="159">
        <v>151.697</v>
      </c>
      <c r="L34" s="159">
        <v>150.23400000000001</v>
      </c>
      <c r="M34" s="160">
        <v>151.679</v>
      </c>
      <c r="N34" s="154"/>
      <c r="O34" s="159">
        <v>149.70500000000001</v>
      </c>
      <c r="P34" s="159">
        <v>150.05699999999999</v>
      </c>
      <c r="Q34" s="159">
        <v>150.63800000000001</v>
      </c>
      <c r="R34" s="159">
        <v>150.21799999999999</v>
      </c>
      <c r="S34" s="160">
        <v>150.102</v>
      </c>
      <c r="T34" s="154"/>
      <c r="U34" s="159">
        <v>149.29400000000001</v>
      </c>
      <c r="V34" s="159">
        <v>146.93899999999999</v>
      </c>
      <c r="W34" s="159">
        <v>144.06299999999999</v>
      </c>
      <c r="X34" s="159">
        <v>143.93700000000001</v>
      </c>
      <c r="Y34" s="160">
        <v>145.98500000000001</v>
      </c>
      <c r="Z34" s="155"/>
      <c r="AA34" s="471">
        <v>144.04400000000001</v>
      </c>
      <c r="AB34" s="471">
        <v>143.37299999999999</v>
      </c>
      <c r="AC34" s="471">
        <v>143.39500000000001</v>
      </c>
      <c r="AD34" s="471">
        <v>143.578</v>
      </c>
      <c r="AE34" s="161">
        <f>+AVERAGE(AA34:AD34)</f>
        <v>143.5975</v>
      </c>
      <c r="AF34" s="155"/>
      <c r="AG34" s="471">
        <v>143.98400000000001</v>
      </c>
      <c r="AH34" s="471">
        <v>143.863</v>
      </c>
      <c r="AI34" s="471">
        <v>143.88399999999999</v>
      </c>
      <c r="AJ34" s="471">
        <v>144.297</v>
      </c>
      <c r="AK34" s="161">
        <f>+AVERAGE(AG34:AJ34)</f>
        <v>144.00700000000001</v>
      </c>
      <c r="AL34" s="155"/>
      <c r="AM34" s="471">
        <v>145.09899999999999</v>
      </c>
      <c r="AN34" s="471">
        <v>145.13300000000001</v>
      </c>
      <c r="AO34" s="471">
        <v>144.69800000000001</v>
      </c>
      <c r="AP34" s="471">
        <v>145.15700000000001</v>
      </c>
      <c r="AQ34" s="161">
        <f>+AVERAGE(AM34:AP34)</f>
        <v>145.02175</v>
      </c>
      <c r="AR34" s="155"/>
      <c r="AS34" s="471">
        <v>144.453</v>
      </c>
      <c r="AT34" s="471">
        <v>144.16399999999999</v>
      </c>
      <c r="AU34" s="471">
        <v>144.286</v>
      </c>
      <c r="AV34" s="471">
        <v>143.99600000000001</v>
      </c>
      <c r="AW34" s="161">
        <f>+AVERAGE(AS34:AV34)</f>
        <v>144.22475</v>
      </c>
      <c r="AX34" s="155"/>
      <c r="AY34" s="983">
        <v>142.804</v>
      </c>
      <c r="AZ34" s="983">
        <v>142.262</v>
      </c>
      <c r="BA34" s="983">
        <v>142.4</v>
      </c>
      <c r="BB34" s="983">
        <v>142.9</v>
      </c>
      <c r="BC34" s="1343">
        <v>142.5</v>
      </c>
      <c r="BD34" s="155"/>
      <c r="BE34" s="983">
        <v>178.4</v>
      </c>
      <c r="BF34" s="983">
        <v>237.4</v>
      </c>
      <c r="BG34" s="983">
        <v>236.3</v>
      </c>
      <c r="BH34" s="983">
        <v>234.2</v>
      </c>
      <c r="BI34" s="1343">
        <v>221.6</v>
      </c>
      <c r="BJ34" s="155"/>
      <c r="BK34" s="983">
        <v>234</v>
      </c>
      <c r="BL34" s="983">
        <v>233.26499999999999</v>
      </c>
      <c r="BM34" s="983">
        <v>233.1</v>
      </c>
      <c r="BN34" s="983">
        <v>231.887</v>
      </c>
      <c r="BO34" s="1343">
        <v>232.62799999999999</v>
      </c>
      <c r="BP34" s="155"/>
      <c r="BQ34" s="262">
        <f>BQ36+BN34-BN36</f>
        <v>227.41445372219599</v>
      </c>
      <c r="BR34" s="262">
        <f>BR36+BQ34-BQ36</f>
        <v>225.51247736097849</v>
      </c>
      <c r="BS34" s="262">
        <f>BS36+BR34-BR36</f>
        <v>223.76681027645824</v>
      </c>
      <c r="BT34" s="262">
        <f>BT36+BS34-BS36</f>
        <v>221.97548823787531</v>
      </c>
      <c r="BU34" s="161">
        <f>AVERAGE(BQ34:BT34)</f>
        <v>224.66730739937702</v>
      </c>
      <c r="BV34" s="155"/>
      <c r="BW34" s="262">
        <f>BW36+BT34-BT36</f>
        <v>219.82208271680352</v>
      </c>
      <c r="BX34" s="262">
        <f>BX36+BW34-BW36</f>
        <v>218.02192609344979</v>
      </c>
      <c r="BY34" s="262">
        <f>BY36+BX34-BX36</f>
        <v>216.07042803033173</v>
      </c>
      <c r="BZ34" s="262">
        <f>BZ36+BY34-BY36</f>
        <v>214.04696860698118</v>
      </c>
      <c r="CA34" s="161">
        <f>AVERAGE(BW34:BZ34)</f>
        <v>216.99035136189156</v>
      </c>
      <c r="CB34" s="155"/>
      <c r="CC34" s="262">
        <f>CC36+BZ34-BZ36</f>
        <v>212.0553532003714</v>
      </c>
      <c r="CD34" s="262">
        <f>CD36+CC34-CC36</f>
        <v>210.41300933234561</v>
      </c>
      <c r="CE34" s="262">
        <f>CE36+CD34-CD36</f>
        <v>208.62065175577146</v>
      </c>
      <c r="CF34" s="262">
        <f>CF36+CE34-CE36</f>
        <v>206.75725691607769</v>
      </c>
      <c r="CG34" s="161">
        <f>AVERAGE(CC34:CF34)</f>
        <v>209.46156780114154</v>
      </c>
      <c r="CH34" s="157"/>
      <c r="CI34" s="157"/>
      <c r="CJ34" s="157"/>
      <c r="CK34" s="157"/>
      <c r="CL34" s="157"/>
      <c r="CM34" s="100"/>
      <c r="CN34" s="67"/>
    </row>
    <row r="35" spans="1:99" ht="12.75" customHeight="1" outlineLevel="1" x14ac:dyDescent="0.2">
      <c r="A35" s="62"/>
      <c r="B35" s="66" t="s">
        <v>236</v>
      </c>
      <c r="C35" s="159">
        <v>149.94499999999999</v>
      </c>
      <c r="D35" s="159">
        <v>152</v>
      </c>
      <c r="E35" s="159">
        <v>151.63200000000001</v>
      </c>
      <c r="F35" s="159">
        <v>151.173</v>
      </c>
      <c r="G35" s="160">
        <v>151.70699999999999</v>
      </c>
      <c r="H35" s="158"/>
      <c r="I35" s="159">
        <v>149.94499999999999</v>
      </c>
      <c r="J35" s="159">
        <v>148.851</v>
      </c>
      <c r="K35" s="159">
        <v>148.77500000000001</v>
      </c>
      <c r="L35" s="159">
        <v>148.72</v>
      </c>
      <c r="M35" s="160">
        <v>149.06899999999999</v>
      </c>
      <c r="N35" s="158"/>
      <c r="O35" s="159">
        <v>148.51400000000001</v>
      </c>
      <c r="P35" s="159">
        <v>148.577</v>
      </c>
      <c r="Q35" s="159">
        <v>148.547</v>
      </c>
      <c r="R35" s="159">
        <v>147.648</v>
      </c>
      <c r="S35" s="160">
        <v>148.31899999999999</v>
      </c>
      <c r="T35" s="158"/>
      <c r="U35" s="159">
        <v>146.77600000000001</v>
      </c>
      <c r="V35" s="159">
        <v>144.779</v>
      </c>
      <c r="W35" s="159">
        <v>142.501</v>
      </c>
      <c r="X35" s="159">
        <v>141.934</v>
      </c>
      <c r="Y35" s="160">
        <v>143.97999999999999</v>
      </c>
      <c r="Z35" s="162"/>
      <c r="AA35" s="427">
        <v>141.614</v>
      </c>
      <c r="AB35" s="527">
        <v>141.05199999999999</v>
      </c>
      <c r="AC35" s="527">
        <v>141.34899999999999</v>
      </c>
      <c r="AD35" s="527">
        <v>141.53200000000001</v>
      </c>
      <c r="AE35" s="161">
        <f>+MIN(AVERAGE(AE122:AE123),AE34)</f>
        <v>141.75</v>
      </c>
      <c r="AF35" s="162"/>
      <c r="AG35" s="427">
        <v>141.721</v>
      </c>
      <c r="AH35" s="527">
        <v>141.73699999999999</v>
      </c>
      <c r="AI35" s="527">
        <v>141.84299999999999</v>
      </c>
      <c r="AJ35" s="527">
        <v>142.09800000000001</v>
      </c>
      <c r="AK35" s="161">
        <f>+MIN(AVERAGE(AK122:AK123),AK34)</f>
        <v>142</v>
      </c>
      <c r="AL35" s="162"/>
      <c r="AM35" s="427">
        <v>142.77500000000001</v>
      </c>
      <c r="AN35" s="527">
        <v>142.922</v>
      </c>
      <c r="AO35" s="527">
        <v>142.42099999999999</v>
      </c>
      <c r="AP35" s="527">
        <v>142.53899999999999</v>
      </c>
      <c r="AQ35" s="161">
        <f>+MIN(AVERAGE(AQ122:AQ123),AQ34)</f>
        <v>142.30000000000001</v>
      </c>
      <c r="AR35" s="162"/>
      <c r="AS35" s="427">
        <v>142.053</v>
      </c>
      <c r="AT35" s="527">
        <v>141.79</v>
      </c>
      <c r="AU35" s="527">
        <v>141.76599999999999</v>
      </c>
      <c r="AV35" s="527">
        <v>141.25399999999999</v>
      </c>
      <c r="AW35" s="161">
        <f>+MIN(AVERAGE(AW122:AW123),AW34)</f>
        <v>141.60000000000002</v>
      </c>
      <c r="AX35" s="162"/>
      <c r="AY35" s="427">
        <v>140.29599999999999</v>
      </c>
      <c r="AZ35" s="527">
        <v>139.81299999999999</v>
      </c>
      <c r="BA35" s="527">
        <v>139.80000000000001</v>
      </c>
      <c r="BB35" s="527">
        <v>140</v>
      </c>
      <c r="BC35" s="1343">
        <v>140</v>
      </c>
      <c r="BD35" s="162"/>
      <c r="BE35" s="427">
        <v>174.8</v>
      </c>
      <c r="BF35" s="427">
        <v>233.7</v>
      </c>
      <c r="BG35" s="427">
        <v>232.6</v>
      </c>
      <c r="BH35" s="427">
        <v>230.7</v>
      </c>
      <c r="BI35" s="1343">
        <v>218</v>
      </c>
      <c r="BJ35" s="162"/>
      <c r="BK35" s="427">
        <v>230.1</v>
      </c>
      <c r="BL35" s="427">
        <v>229.4</v>
      </c>
      <c r="BM35" s="427">
        <v>229.5</v>
      </c>
      <c r="BN35" s="427">
        <v>228.6</v>
      </c>
      <c r="BO35" s="1343">
        <v>229.4</v>
      </c>
      <c r="BP35" s="162"/>
      <c r="BQ35" s="262">
        <f>+MIN(AVERAGE(BQ143:BQ144),BQ34)</f>
        <v>225.10099394184334</v>
      </c>
      <c r="BR35" s="262">
        <f>+MIN(AVERAGE(BR143:BR144),BR34)</f>
        <v>223.17646554158722</v>
      </c>
      <c r="BS35" s="262">
        <f>+MIN(AVERAGE(BS143:BS144),BS34)</f>
        <v>221.35264381871838</v>
      </c>
      <c r="BT35" s="262">
        <f>+MIN(AVERAGE(BT143:BT144),BT34)</f>
        <v>219.58414925716676</v>
      </c>
      <c r="BU35" s="161">
        <f>+MIN(AVERAGE(BU143:BU144),BU34)</f>
        <v>222.38151119968299</v>
      </c>
      <c r="BV35" s="162"/>
      <c r="BW35" s="262">
        <f>+MIN(AVERAGE(BW143:BW144),BW34)</f>
        <v>217.61178547733942</v>
      </c>
      <c r="BX35" s="262">
        <f>+MIN(AVERAGE(BX143:BX144),BX34)</f>
        <v>215.63500440512667</v>
      </c>
      <c r="BY35" s="262">
        <f>+MIN(AVERAGE(BY143:BY144),BY34)</f>
        <v>213.75917706189074</v>
      </c>
      <c r="BZ35" s="262">
        <f>+MIN(AVERAGE(BZ143:BZ144),BZ34)</f>
        <v>211.77169831865643</v>
      </c>
      <c r="CA35" s="161">
        <f>+MIN(AVERAGE(CA143:CA144),CA34)</f>
        <v>214.72422842242824</v>
      </c>
      <c r="CB35" s="162"/>
      <c r="CC35" s="262">
        <f>+MIN(AVERAGE(CC143:CC144),CC34)</f>
        <v>209.76416090367627</v>
      </c>
      <c r="CD35" s="262">
        <f>+MIN(AVERAGE(CD143:CD144),CD34)</f>
        <v>207.94718126635851</v>
      </c>
      <c r="CE35" s="262">
        <f>+MIN(AVERAGE(CE143:CE144),CE34)</f>
        <v>206.22983054405859</v>
      </c>
      <c r="CF35" s="262">
        <f>+MIN(AVERAGE(CF143:CF144),CF34)</f>
        <v>204.40195433592464</v>
      </c>
      <c r="CG35" s="161">
        <f>+MIN(AVERAGE(CG143:CG144),CG34)</f>
        <v>207.11511276152947</v>
      </c>
      <c r="CH35" s="157"/>
      <c r="CI35" s="157"/>
      <c r="CJ35" s="157"/>
      <c r="CK35" s="157"/>
      <c r="CL35" s="157"/>
      <c r="CM35" s="78"/>
      <c r="CN35" s="78"/>
    </row>
    <row r="36" spans="1:99" ht="12.75" customHeight="1" outlineLevel="1" x14ac:dyDescent="0.2">
      <c r="A36" s="62"/>
      <c r="B36" s="571" t="s">
        <v>237</v>
      </c>
      <c r="C36" s="572">
        <f>162.8-10.6</f>
        <v>152.20000000000002</v>
      </c>
      <c r="D36" s="572">
        <f>162.8-10.8</f>
        <v>152</v>
      </c>
      <c r="E36" s="572">
        <f>162.8-11.4</f>
        <v>151.4</v>
      </c>
      <c r="F36" s="572">
        <f>162.8-12</f>
        <v>150.80000000000001</v>
      </c>
      <c r="G36" s="163">
        <f>F36</f>
        <v>150.80000000000001</v>
      </c>
      <c r="H36" s="573"/>
      <c r="I36" s="572">
        <f>162.8-14</f>
        <v>148.80000000000001</v>
      </c>
      <c r="J36" s="572">
        <f>162.8-14</f>
        <v>148.80000000000001</v>
      </c>
      <c r="K36" s="572">
        <f>162.8-13.9</f>
        <v>148.9</v>
      </c>
      <c r="L36" s="572">
        <f>162.8-14.2</f>
        <v>148.60000000000002</v>
      </c>
      <c r="M36" s="163">
        <f>L36</f>
        <v>148.60000000000002</v>
      </c>
      <c r="N36" s="573"/>
      <c r="O36" s="572">
        <f>162.8-14.3</f>
        <v>148.5</v>
      </c>
      <c r="P36" s="572">
        <f>162.8-14.2</f>
        <v>148.60000000000002</v>
      </c>
      <c r="Q36" s="572">
        <f>162.8-14.3</f>
        <v>148.5</v>
      </c>
      <c r="R36" s="572">
        <f>162.8-15.8</f>
        <v>147</v>
      </c>
      <c r="S36" s="163">
        <f>R36</f>
        <v>147</v>
      </c>
      <c r="T36" s="573"/>
      <c r="U36" s="572">
        <f>162.8-16.5</f>
        <v>146.30000000000001</v>
      </c>
      <c r="V36" s="572">
        <f>162.8-19.6</f>
        <v>143.20000000000002</v>
      </c>
      <c r="W36" s="572">
        <f>162.8-20.7</f>
        <v>142.10000000000002</v>
      </c>
      <c r="X36" s="572">
        <f>162.8-21</f>
        <v>141.80000000000001</v>
      </c>
      <c r="Y36" s="163">
        <f>X36</f>
        <v>141.80000000000001</v>
      </c>
      <c r="Z36" s="573"/>
      <c r="AA36" s="572">
        <f>162.8-21.9</f>
        <v>140.9</v>
      </c>
      <c r="AB36" s="572">
        <f>162.8-21.5</f>
        <v>141.30000000000001</v>
      </c>
      <c r="AC36" s="572">
        <f>162.8-21.4</f>
        <v>141.4</v>
      </c>
      <c r="AD36" s="572">
        <f>162.8-21.1</f>
        <v>141.70000000000002</v>
      </c>
      <c r="AE36" s="163">
        <f>+AD36</f>
        <v>141.70000000000002</v>
      </c>
      <c r="AF36" s="574"/>
      <c r="AG36" s="572">
        <f>162.7-21</f>
        <v>141.69999999999999</v>
      </c>
      <c r="AH36" s="572">
        <f>162.8-21</f>
        <v>141.80000000000001</v>
      </c>
      <c r="AI36" s="572">
        <f>162.8-20.8</f>
        <v>142</v>
      </c>
      <c r="AJ36" s="572">
        <f>162.8-20.5</f>
        <v>142.30000000000001</v>
      </c>
      <c r="AK36" s="163">
        <f>+AJ36</f>
        <v>142.30000000000001</v>
      </c>
      <c r="AL36" s="573"/>
      <c r="AM36" s="572">
        <f>162.8-19.7</f>
        <v>143.10000000000002</v>
      </c>
      <c r="AN36" s="572">
        <f>162.8-20.6</f>
        <v>142.20000000000002</v>
      </c>
      <c r="AO36" s="572">
        <f>162.8-20.6</f>
        <v>142.20000000000002</v>
      </c>
      <c r="AP36" s="572">
        <f>162.8-20.5</f>
        <v>142.30000000000001</v>
      </c>
      <c r="AQ36" s="163">
        <f>+AP36</f>
        <v>142.30000000000001</v>
      </c>
      <c r="AR36" s="573"/>
      <c r="AS36" s="572">
        <f>162.8-21</f>
        <v>141.80000000000001</v>
      </c>
      <c r="AT36" s="572">
        <f>162.8-21</f>
        <v>141.80000000000001</v>
      </c>
      <c r="AU36" s="572">
        <f>162.8-21.1</f>
        <v>141.70000000000002</v>
      </c>
      <c r="AV36" s="572">
        <v>140.9</v>
      </c>
      <c r="AW36" s="163">
        <f>+AV36</f>
        <v>140.9</v>
      </c>
      <c r="AX36" s="573"/>
      <c r="AY36" s="572">
        <f>162.8-22.9</f>
        <v>139.9</v>
      </c>
      <c r="AZ36" s="572">
        <f>162.8-23</f>
        <v>139.80000000000001</v>
      </c>
      <c r="BA36" s="572">
        <f>162.8-23</f>
        <v>139.80000000000001</v>
      </c>
      <c r="BB36" s="572">
        <v>140.1</v>
      </c>
      <c r="BC36" s="163">
        <f>+BB36</f>
        <v>140.1</v>
      </c>
      <c r="BD36" s="573"/>
      <c r="BE36" s="572">
        <v>234.230941</v>
      </c>
      <c r="BF36" s="1273">
        <v>233</v>
      </c>
      <c r="BG36" s="427">
        <v>231.6</v>
      </c>
      <c r="BH36" s="1273">
        <v>230.1</v>
      </c>
      <c r="BI36" s="163">
        <f>BH36</f>
        <v>230.1</v>
      </c>
      <c r="BJ36" s="574"/>
      <c r="BK36" s="572">
        <v>230.1</v>
      </c>
      <c r="BL36" s="1273">
        <v>229.4</v>
      </c>
      <c r="BM36" s="1273">
        <v>229.5</v>
      </c>
      <c r="BN36" s="1273">
        <v>228.6</v>
      </c>
      <c r="BO36" s="163">
        <f>BN36</f>
        <v>228.6</v>
      </c>
      <c r="BP36" s="574"/>
      <c r="BQ36" s="262">
        <f>BQ144</f>
        <v>224.12745372219598</v>
      </c>
      <c r="BR36" s="262">
        <f>BR144</f>
        <v>222.22547736097849</v>
      </c>
      <c r="BS36" s="262">
        <f>BS144</f>
        <v>220.47981027645824</v>
      </c>
      <c r="BT36" s="262">
        <f>BT144</f>
        <v>218.6884882378753</v>
      </c>
      <c r="BU36" s="163">
        <f>BT36</f>
        <v>218.6884882378753</v>
      </c>
      <c r="BV36" s="574"/>
      <c r="BW36" s="262">
        <f>BW144</f>
        <v>216.53508271680352</v>
      </c>
      <c r="BX36" s="262">
        <f>BX144</f>
        <v>214.73492609344979</v>
      </c>
      <c r="BY36" s="262">
        <f>BY144</f>
        <v>212.78342803033172</v>
      </c>
      <c r="BZ36" s="262">
        <f>BZ144</f>
        <v>210.75996860698118</v>
      </c>
      <c r="CA36" s="163">
        <f>BZ36</f>
        <v>210.75996860698118</v>
      </c>
      <c r="CB36" s="574"/>
      <c r="CC36" s="262">
        <f>CC144</f>
        <v>208.76835320037139</v>
      </c>
      <c r="CD36" s="262">
        <f>CD144</f>
        <v>207.12600933234563</v>
      </c>
      <c r="CE36" s="262">
        <f>CE144</f>
        <v>205.33365175577151</v>
      </c>
      <c r="CF36" s="262">
        <f>CF144</f>
        <v>203.47025691607774</v>
      </c>
      <c r="CG36" s="163">
        <f>CF36</f>
        <v>203.47025691607774</v>
      </c>
      <c r="CH36" s="396"/>
      <c r="CI36" s="396"/>
      <c r="CJ36" s="396"/>
      <c r="CK36" s="396"/>
      <c r="CL36" s="396"/>
      <c r="CM36" s="78"/>
      <c r="CN36" s="78"/>
    </row>
    <row r="37" spans="1:99" x14ac:dyDescent="0.2">
      <c r="A37" s="62"/>
      <c r="B37" s="575" t="s">
        <v>216</v>
      </c>
      <c r="C37" s="576">
        <f>C31/C34</f>
        <v>0.38498395246530631</v>
      </c>
      <c r="D37" s="576">
        <f>D31/D34</f>
        <v>0.43934707792836702</v>
      </c>
      <c r="E37" s="576">
        <f>E31/E34</f>
        <v>0.39418751938786106</v>
      </c>
      <c r="F37" s="576">
        <f>F31/F34</f>
        <v>0.44326961653444519</v>
      </c>
      <c r="G37" s="577">
        <f>G31/G34</f>
        <v>1.6574091429088509</v>
      </c>
      <c r="H37" s="578"/>
      <c r="I37" s="576">
        <f>I31/I34</f>
        <v>0.45067752626108742</v>
      </c>
      <c r="J37" s="576">
        <f>J31/J34</f>
        <v>0.52336781079122552</v>
      </c>
      <c r="K37" s="576">
        <f>K31/K34</f>
        <v>0.45667350046474275</v>
      </c>
      <c r="L37" s="576">
        <f>L31/L34</f>
        <v>0.45124272801096915</v>
      </c>
      <c r="M37" s="577">
        <f>M31/M34</f>
        <v>1.8819744328483174</v>
      </c>
      <c r="N37" s="578"/>
      <c r="O37" s="576">
        <f>O31/O34</f>
        <v>0.42844260378744842</v>
      </c>
      <c r="P37" s="576">
        <f>P31/P34</f>
        <v>0.48724817902530299</v>
      </c>
      <c r="Q37" s="576">
        <f>Q31/Q34</f>
        <v>0.43738631686559792</v>
      </c>
      <c r="R37" s="576">
        <f>R31/R34</f>
        <v>0.48327763650161698</v>
      </c>
      <c r="S37" s="577">
        <f>S31/S34</f>
        <v>1.8370108326338057</v>
      </c>
      <c r="T37" s="578"/>
      <c r="U37" s="576">
        <f>U31/U34</f>
        <v>0.43845030610741287</v>
      </c>
      <c r="V37" s="576">
        <f>V31/V34</f>
        <v>0.50298423155186844</v>
      </c>
      <c r="W37" s="576">
        <f>W31/W34</f>
        <v>0.45019192991954976</v>
      </c>
      <c r="X37" s="576">
        <f>X31/X34</f>
        <v>0.51225188797876819</v>
      </c>
      <c r="Y37" s="577">
        <f>Y31/Y34</f>
        <v>1.9039901359728753</v>
      </c>
      <c r="Z37" s="579"/>
      <c r="AA37" s="576">
        <f>AA31/AA34</f>
        <v>0.50822665296714942</v>
      </c>
      <c r="AB37" s="576">
        <f>AB31/AB34</f>
        <v>0.55825713349096417</v>
      </c>
      <c r="AC37" s="576">
        <f>AC31/AC34</f>
        <v>0.45747759684786798</v>
      </c>
      <c r="AD37" s="576">
        <f>AD31/AD34</f>
        <v>0.50573207594478331</v>
      </c>
      <c r="AE37" s="577">
        <f>AE31/AE34</f>
        <v>2.029687146363969</v>
      </c>
      <c r="AF37" s="579"/>
      <c r="AG37" s="576">
        <f>AG31/AG34</f>
        <v>0.52266918546505159</v>
      </c>
      <c r="AH37" s="576">
        <f>AH31/AH34</f>
        <v>0.61535627645746294</v>
      </c>
      <c r="AI37" s="576">
        <f>AI31/AI34</f>
        <v>0.51478274165299853</v>
      </c>
      <c r="AJ37" s="576">
        <f>AJ31/AJ34</f>
        <v>0.56382322570808807</v>
      </c>
      <c r="AK37" s="577">
        <f>AK31/AK34</f>
        <v>2.2166283583436903</v>
      </c>
      <c r="AL37" s="579"/>
      <c r="AM37" s="576">
        <f>AM31/AM34</f>
        <v>0.51806697496192256</v>
      </c>
      <c r="AN37" s="576">
        <f>AN31/AN34</f>
        <v>0.66029779581487336</v>
      </c>
      <c r="AO37" s="576">
        <f>AO31/AO34</f>
        <v>0.5681350122323735</v>
      </c>
      <c r="AP37" s="576">
        <f>AP31/AP34</f>
        <v>0.60577857078886999</v>
      </c>
      <c r="AQ37" s="577">
        <f>AQ31/AQ34</f>
        <v>2.3523574912039051</v>
      </c>
      <c r="AR37" s="579"/>
      <c r="AS37" s="576">
        <f>AS31/AS34</f>
        <v>0.59166649359999446</v>
      </c>
      <c r="AT37" s="576">
        <f>AT31/AT34</f>
        <v>0.69137232596209874</v>
      </c>
      <c r="AU37" s="576">
        <f>AU31/AU34</f>
        <v>0.61865323038964248</v>
      </c>
      <c r="AV37" s="576">
        <f>AV31/AV34</f>
        <v>0.60111391983110629</v>
      </c>
      <c r="AW37" s="1452">
        <f>AW31/AW34</f>
        <v>2.5027604485360508</v>
      </c>
      <c r="AX37" s="1453"/>
      <c r="AY37" s="1454">
        <f>AY31/AY34</f>
        <v>0.58563485616649391</v>
      </c>
      <c r="AZ37" s="1454">
        <f>AZ31/AZ34</f>
        <v>0.72625156401568947</v>
      </c>
      <c r="BA37" s="1454">
        <f>BA31/BA34</f>
        <v>0.6601123595505618</v>
      </c>
      <c r="BB37" s="1454">
        <f>BB31/BB34</f>
        <v>0.6479846046186144</v>
      </c>
      <c r="BC37" s="1452">
        <f>BC31/BC34</f>
        <v>2.617866666666667</v>
      </c>
      <c r="BD37" s="1453"/>
      <c r="BE37" s="1454">
        <f>BE31/BE34</f>
        <v>0.68609865470852027</v>
      </c>
      <c r="BF37" s="1455">
        <f>BF31/BF34</f>
        <v>0.76200505475989899</v>
      </c>
      <c r="BG37" s="1455">
        <f>BG31/BG34</f>
        <v>0.65848497672450268</v>
      </c>
      <c r="BH37" s="1455">
        <v>0.67</v>
      </c>
      <c r="BI37" s="1456">
        <f>SUM(BE37:BH37)</f>
        <v>2.7765886861929219</v>
      </c>
      <c r="BJ37" s="1453"/>
      <c r="BK37" s="1454">
        <f>BK31/BK34</f>
        <v>0.48589743589743584</v>
      </c>
      <c r="BL37" s="1455">
        <f>BL31/BL34</f>
        <v>0.64604634214305634</v>
      </c>
      <c r="BM37" s="1455">
        <f>BM31/BM34</f>
        <v>0.70484770484770487</v>
      </c>
      <c r="BN37" s="1455">
        <f>BN31/BN34</f>
        <v>0.81720838166865761</v>
      </c>
      <c r="BO37" s="1456">
        <f>SUM(BK37:BN37)</f>
        <v>2.6539998645568548</v>
      </c>
      <c r="BP37" s="1453"/>
      <c r="BQ37" s="1455">
        <f>BQ31/BQ34</f>
        <v>0.45588229155555771</v>
      </c>
      <c r="BR37" s="1455">
        <f>BR31/BR34</f>
        <v>0.63615094354483614</v>
      </c>
      <c r="BS37" s="1455">
        <f>BS31/BS34</f>
        <v>0.74693578322302001</v>
      </c>
      <c r="BT37" s="1455">
        <f>BT31/BT34</f>
        <v>0.86571481695207919</v>
      </c>
      <c r="BU37" s="1456">
        <f>BU31/BU34</f>
        <v>2.6992850514422275</v>
      </c>
      <c r="BV37" s="1453"/>
      <c r="BW37" s="1455">
        <f>BW31/BW34</f>
        <v>0.67166164021984864</v>
      </c>
      <c r="BX37" s="1455">
        <f>BX31/BX34</f>
        <v>0.8005327580950673</v>
      </c>
      <c r="BY37" s="1455">
        <f>BY31/BY34</f>
        <v>0.82657851632751933</v>
      </c>
      <c r="BZ37" s="1455">
        <f>BZ31/BZ34</f>
        <v>0.89040938829022942</v>
      </c>
      <c r="CA37" s="1456">
        <f>CA31/CA34</f>
        <v>3.18617097175964</v>
      </c>
      <c r="CB37" s="1453"/>
      <c r="CC37" s="1455">
        <f>CC31/CC34</f>
        <v>0.7661437250782297</v>
      </c>
      <c r="CD37" s="1455">
        <f>CD31/CD34</f>
        <v>0.90853909075599737</v>
      </c>
      <c r="CE37" s="1455">
        <f>CE31/CE34</f>
        <v>0.93639076069976213</v>
      </c>
      <c r="CF37" s="1455">
        <f>CF31/CF34</f>
        <v>1.0093220100319644</v>
      </c>
      <c r="CG37" s="1456">
        <f>CG31/CG34</f>
        <v>3.6172192889321213</v>
      </c>
      <c r="CH37" s="498"/>
      <c r="CI37" s="1290"/>
      <c r="CJ37" s="498"/>
      <c r="CK37" s="498"/>
      <c r="CL37" s="498"/>
      <c r="CM37" s="441"/>
      <c r="CN37" s="78"/>
      <c r="CU37" s="547"/>
    </row>
    <row r="38" spans="1:99" ht="6" customHeight="1" x14ac:dyDescent="0.2">
      <c r="A38" s="62"/>
      <c r="B38" s="102"/>
      <c r="C38" s="103"/>
      <c r="D38" s="103"/>
      <c r="E38" s="103"/>
      <c r="F38" s="103"/>
      <c r="G38" s="130"/>
      <c r="H38" s="131"/>
      <c r="I38" s="103"/>
      <c r="J38" s="103"/>
      <c r="K38" s="103"/>
      <c r="L38" s="103"/>
      <c r="M38" s="132"/>
      <c r="N38" s="131"/>
      <c r="O38" s="103"/>
      <c r="P38" s="103"/>
      <c r="Q38" s="103"/>
      <c r="R38" s="103"/>
      <c r="S38" s="130"/>
      <c r="T38" s="131"/>
      <c r="U38" s="103"/>
      <c r="V38" s="103"/>
      <c r="W38" s="103"/>
      <c r="X38" s="103"/>
      <c r="Y38" s="130"/>
      <c r="Z38" s="133"/>
      <c r="AA38" s="103"/>
      <c r="AB38" s="392"/>
      <c r="AC38" s="392"/>
      <c r="AD38" s="428"/>
      <c r="AE38" s="130"/>
      <c r="AF38" s="133"/>
      <c r="AG38" s="103"/>
      <c r="AH38" s="392"/>
      <c r="AI38" s="392"/>
      <c r="AJ38" s="103"/>
      <c r="AK38" s="670"/>
      <c r="AL38" s="133"/>
      <c r="AM38" s="670"/>
      <c r="AN38" s="670"/>
      <c r="AO38" s="670"/>
      <c r="AP38" s="670"/>
      <c r="AQ38" s="670"/>
      <c r="AR38" s="133"/>
      <c r="AS38" s="670"/>
      <c r="AT38" s="670"/>
      <c r="AU38" s="670"/>
      <c r="AV38" s="670"/>
      <c r="AW38" s="670"/>
      <c r="AX38" s="133"/>
      <c r="AY38" s="670"/>
      <c r="AZ38" s="670"/>
      <c r="BA38" s="670"/>
      <c r="BB38" s="670"/>
      <c r="BC38" s="670"/>
      <c r="BD38" s="133"/>
      <c r="BE38" s="670"/>
      <c r="BF38" s="670"/>
      <c r="BG38" s="670"/>
      <c r="BH38" s="670"/>
      <c r="BI38" s="670"/>
      <c r="BJ38" s="714"/>
      <c r="BK38" s="670"/>
      <c r="BL38" s="670"/>
      <c r="BM38" s="670"/>
      <c r="BN38" s="670"/>
      <c r="BO38" s="670"/>
      <c r="BP38" s="714"/>
      <c r="BQ38" s="670"/>
      <c r="BR38" s="670"/>
      <c r="BS38" s="670"/>
      <c r="BT38" s="670"/>
      <c r="BU38" s="670"/>
      <c r="BV38" s="714"/>
      <c r="BW38" s="670"/>
      <c r="BX38" s="670"/>
      <c r="BY38" s="670"/>
      <c r="BZ38" s="670"/>
      <c r="CA38" s="670"/>
      <c r="CB38" s="714"/>
      <c r="CC38" s="670"/>
      <c r="CD38" s="670"/>
      <c r="CE38" s="670"/>
      <c r="CF38" s="670"/>
      <c r="CG38" s="670"/>
      <c r="CH38" s="103"/>
      <c r="CI38" s="103"/>
      <c r="CJ38" s="103"/>
      <c r="CK38" s="103"/>
      <c r="CL38" s="103"/>
      <c r="CM38" s="78"/>
      <c r="CN38" s="78"/>
    </row>
    <row r="39" spans="1:99" x14ac:dyDescent="0.2">
      <c r="B39" s="44" t="s">
        <v>180</v>
      </c>
      <c r="C39" s="1161"/>
      <c r="D39" s="1164"/>
      <c r="E39" s="1164"/>
      <c r="F39" s="1164"/>
      <c r="G39" s="1165"/>
      <c r="H39" s="128"/>
      <c r="I39" s="1161"/>
      <c r="J39" s="1164"/>
      <c r="K39" s="1164"/>
      <c r="L39" s="1164"/>
      <c r="M39" s="1165"/>
      <c r="N39" s="128"/>
      <c r="O39" s="1161"/>
      <c r="P39" s="1164"/>
      <c r="Q39" s="1164"/>
      <c r="R39" s="1164"/>
      <c r="S39" s="1165"/>
      <c r="T39" s="128"/>
      <c r="U39" s="1161"/>
      <c r="V39" s="1164"/>
      <c r="W39" s="1164"/>
      <c r="X39" s="1164"/>
      <c r="Y39" s="1165"/>
      <c r="Z39" s="128"/>
      <c r="AA39" s="1161"/>
      <c r="AB39" s="1164"/>
      <c r="AC39" s="1164"/>
      <c r="AD39" s="1164"/>
      <c r="AE39" s="1165"/>
      <c r="AF39" s="128"/>
      <c r="AG39" s="1161"/>
      <c r="AH39" s="1164"/>
      <c r="AI39" s="1164"/>
      <c r="AJ39" s="1164"/>
      <c r="AK39" s="1165"/>
      <c r="AL39" s="497"/>
      <c r="AM39" s="1161"/>
      <c r="AN39" s="496"/>
      <c r="AO39" s="496"/>
      <c r="AP39" s="496"/>
      <c r="AQ39" s="580"/>
      <c r="AR39" s="497"/>
      <c r="AS39" s="496"/>
      <c r="AT39" s="496"/>
      <c r="AU39" s="496"/>
      <c r="AV39" s="496"/>
      <c r="AW39" s="580"/>
      <c r="AX39" s="497"/>
      <c r="AY39" s="496"/>
      <c r="AZ39" s="496"/>
      <c r="BA39" s="496"/>
      <c r="BB39" s="496"/>
      <c r="BC39" s="580"/>
      <c r="BD39" s="497"/>
      <c r="BE39" s="1161"/>
      <c r="BF39" s="496"/>
      <c r="BG39" s="496"/>
      <c r="BH39" s="496"/>
      <c r="BI39" s="580"/>
      <c r="BJ39" s="717"/>
      <c r="BK39" s="1161"/>
      <c r="BL39" s="496"/>
      <c r="BM39" s="496"/>
      <c r="BN39" s="496"/>
      <c r="BO39" s="1293"/>
      <c r="BP39" s="717"/>
      <c r="BQ39" s="1161"/>
      <c r="BR39" s="496"/>
      <c r="BS39" s="496"/>
      <c r="BT39" s="496"/>
      <c r="BU39" s="1294"/>
      <c r="BV39" s="717"/>
      <c r="BW39" s="1161"/>
      <c r="BX39" s="496"/>
      <c r="BY39" s="496"/>
      <c r="BZ39" s="496"/>
      <c r="CA39" s="562"/>
      <c r="CB39" s="717"/>
      <c r="CC39" s="1161"/>
      <c r="CD39" s="496"/>
      <c r="CE39" s="496"/>
      <c r="CF39" s="496"/>
      <c r="CG39" s="562"/>
      <c r="CH39" s="167"/>
      <c r="CI39" s="167"/>
      <c r="CJ39" s="167"/>
      <c r="CK39" s="167"/>
      <c r="CL39" s="167"/>
      <c r="CM39" s="24"/>
      <c r="CN39" s="24"/>
    </row>
    <row r="40" spans="1:99" x14ac:dyDescent="0.2">
      <c r="B40" s="45" t="s">
        <v>240</v>
      </c>
      <c r="C40" s="1062">
        <f>+C10/C8</f>
        <v>0.47917794545577591</v>
      </c>
      <c r="D40" s="46">
        <f>+D10/D8</f>
        <v>0.47023229962038937</v>
      </c>
      <c r="E40" s="46">
        <f>+E10/E8</f>
        <v>0.48168726682687868</v>
      </c>
      <c r="F40" s="46">
        <f>+F10/F8</f>
        <v>0.49634536402316504</v>
      </c>
      <c r="G40" s="85">
        <f>+G10/G8</f>
        <v>0.48215448746239109</v>
      </c>
      <c r="H40" s="128"/>
      <c r="I40" s="1062">
        <f>+I10/I8</f>
        <v>0.49134779646992954</v>
      </c>
      <c r="J40" s="46">
        <f>+J10/J8</f>
        <v>0.46963504901260317</v>
      </c>
      <c r="K40" s="46">
        <f>+K10/K8</f>
        <v>0.47130594599898473</v>
      </c>
      <c r="L40" s="46">
        <f>+L10/L8</f>
        <v>0.46662048525901278</v>
      </c>
      <c r="M40" s="85">
        <f>+M10/M8</f>
        <v>0.47489085905558726</v>
      </c>
      <c r="N40" s="128"/>
      <c r="O40" s="1062">
        <f>+O10/O8</f>
        <v>0.47582103919723684</v>
      </c>
      <c r="P40" s="46">
        <f>+P10/P8</f>
        <v>0.48326435517480909</v>
      </c>
      <c r="Q40" s="46">
        <f>+Q10/Q8</f>
        <v>0.48846297931299337</v>
      </c>
      <c r="R40" s="46">
        <f>+R10/R8</f>
        <v>0.50169600664327918</v>
      </c>
      <c r="S40" s="85">
        <f>+S10/S8</f>
        <v>0.48764736882565268</v>
      </c>
      <c r="T40" s="128"/>
      <c r="U40" s="1062">
        <f>+U10/U8</f>
        <v>0.48339390120598447</v>
      </c>
      <c r="V40" s="46">
        <f>+V10/V8</f>
        <v>0.49105976789373651</v>
      </c>
      <c r="W40" s="46">
        <f>+W10/W8</f>
        <v>0.49648127128263325</v>
      </c>
      <c r="X40" s="46">
        <f>+X10/X8</f>
        <v>0.49361721600439312</v>
      </c>
      <c r="Y40" s="85">
        <f>+Y10/Y8</f>
        <v>0.49115223947260123</v>
      </c>
      <c r="Z40" s="128"/>
      <c r="AA40" s="1062">
        <f>+AA10/AA8</f>
        <v>0.47137175439918799</v>
      </c>
      <c r="AB40" s="46">
        <f>+AB10/AB8</f>
        <v>0.48091782168307784</v>
      </c>
      <c r="AC40" s="46">
        <f>+AC10/AC8</f>
        <v>0.49170403334199259</v>
      </c>
      <c r="AD40" s="46">
        <f>+AD10/AD8</f>
        <v>0.48138989421595546</v>
      </c>
      <c r="AE40" s="85">
        <f>+AE10/AE8</f>
        <v>0.48154326051988439</v>
      </c>
      <c r="AF40" s="128"/>
      <c r="AG40" s="1062">
        <f>+AG10/AG8</f>
        <v>0.44712896052975032</v>
      </c>
      <c r="AH40" s="46">
        <f>+AH10/AH8</f>
        <v>0.4601464755948278</v>
      </c>
      <c r="AI40" s="46">
        <f>+AI10/AI8</f>
        <v>0.47055483848712298</v>
      </c>
      <c r="AJ40" s="46">
        <f>+AJ10/AJ8</f>
        <v>0.47392099701574963</v>
      </c>
      <c r="AK40" s="85">
        <f>+AK10/AK8</f>
        <v>0.46297793117060382</v>
      </c>
      <c r="AL40" s="497"/>
      <c r="AM40" s="1062">
        <f>+AM10/AM8</f>
        <v>0.4649876243709738</v>
      </c>
      <c r="AN40" s="46">
        <f>+AN10/AN8</f>
        <v>0.45061300114321756</v>
      </c>
      <c r="AO40" s="46">
        <f>+AO10/AO8</f>
        <v>0.46150808644097169</v>
      </c>
      <c r="AP40" s="46">
        <f>+AP10/AP8</f>
        <v>0.46536492679703523</v>
      </c>
      <c r="AQ40" s="85">
        <f>+AQ10/AQ8</f>
        <v>0.46054656920058157</v>
      </c>
      <c r="AR40" s="497"/>
      <c r="AS40" s="46">
        <f>+AS10/AS8</f>
        <v>0.45427289436992035</v>
      </c>
      <c r="AT40" s="46">
        <f>+AT10/AT8</f>
        <v>0.44142703126531413</v>
      </c>
      <c r="AU40" s="46">
        <f>+AU10/AU8</f>
        <v>0.44435502089687118</v>
      </c>
      <c r="AV40" s="46">
        <f>+AV10/AV8</f>
        <v>0.44884505890484694</v>
      </c>
      <c r="AW40" s="85">
        <f>+AW10/AW8</f>
        <v>0.44717068931301374</v>
      </c>
      <c r="AX40" s="497"/>
      <c r="AY40" s="46">
        <f>+AY10/AY8</f>
        <v>0.42413152120916631</v>
      </c>
      <c r="AZ40" s="46">
        <f>+AZ10/AZ8</f>
        <v>0.41810242318833934</v>
      </c>
      <c r="BA40" s="46">
        <f>+BA10/BA8</f>
        <v>0.41685930035444602</v>
      </c>
      <c r="BB40" s="46">
        <f>+BB10/BB8</f>
        <v>0.4336164506034868</v>
      </c>
      <c r="BC40" s="85">
        <f>+BC10/BC8</f>
        <v>0.42317353980030853</v>
      </c>
      <c r="BD40" s="497"/>
      <c r="BE40" s="1062">
        <f>+BE10/BE8</f>
        <v>0.4009836914315299</v>
      </c>
      <c r="BF40" s="46">
        <f>+BF10/BF8</f>
        <v>0.40836264165689723</v>
      </c>
      <c r="BG40" s="46">
        <f>+BG10/BG8</f>
        <v>0.43073864825277247</v>
      </c>
      <c r="BH40" s="46">
        <f>+BH10/BH8</f>
        <v>0.425751503006012</v>
      </c>
      <c r="BI40" s="85">
        <f>+BI10/BI8</f>
        <v>0.41717333333333334</v>
      </c>
      <c r="BJ40" s="239"/>
      <c r="BK40" s="1062">
        <f>+BK10/BK8</f>
        <v>0.41784922394678492</v>
      </c>
      <c r="BL40" s="46">
        <f>+BL10/BL8</f>
        <v>0.41782337557835453</v>
      </c>
      <c r="BM40" s="46">
        <f>+BM10/BM8</f>
        <v>0.41486834290239544</v>
      </c>
      <c r="BN40" s="46">
        <f>+BN10/BN8</f>
        <v>0.42447296058661782</v>
      </c>
      <c r="BO40" s="85">
        <f>+BO10/BO8</f>
        <v>0.41889728323410214</v>
      </c>
      <c r="BP40" s="239"/>
      <c r="BQ40" s="1062">
        <f>+BQ10/BQ8</f>
        <v>0.43000000000000005</v>
      </c>
      <c r="BR40" s="46">
        <f>+BR10/BR8</f>
        <v>0.42000000000000004</v>
      </c>
      <c r="BS40" s="46">
        <f>+BS10/BS8</f>
        <v>0.42000000000000004</v>
      </c>
      <c r="BT40" s="46">
        <f>+BT10/BT8</f>
        <v>0.42000000000000004</v>
      </c>
      <c r="BU40" s="85">
        <f>+BU10/BU8</f>
        <v>0.42223360284977807</v>
      </c>
      <c r="BV40" s="239"/>
      <c r="BW40" s="1062">
        <f>+BW10/BW8</f>
        <v>0.42699999999999999</v>
      </c>
      <c r="BX40" s="46">
        <f>+BX10/BX8</f>
        <v>0.41700000000000004</v>
      </c>
      <c r="BY40" s="46">
        <f>+BY10/BY8</f>
        <v>0.41699999999999998</v>
      </c>
      <c r="BZ40" s="46">
        <f>+BZ10/BZ8</f>
        <v>0.41700000000000004</v>
      </c>
      <c r="CA40" s="85">
        <f>+CA10/CA8</f>
        <v>0.41922259973025144</v>
      </c>
      <c r="CB40" s="239"/>
      <c r="CC40" s="1062">
        <f>+CC10/CC8</f>
        <v>0.4240000000000001</v>
      </c>
      <c r="CD40" s="46">
        <f>+CD10/CD8</f>
        <v>0.41400000000000003</v>
      </c>
      <c r="CE40" s="46">
        <f>+CE10/CE8</f>
        <v>0.41400000000000003</v>
      </c>
      <c r="CF40" s="46">
        <f>+CF10/CF8</f>
        <v>0.41400000000000009</v>
      </c>
      <c r="CG40" s="85">
        <f>+CG10/CG8</f>
        <v>0.41623162634991007</v>
      </c>
      <c r="CH40" s="397"/>
      <c r="CI40" s="397"/>
      <c r="CJ40" s="397"/>
      <c r="CK40" s="397"/>
      <c r="CL40" s="397"/>
      <c r="CM40" s="397"/>
      <c r="CN40" s="24"/>
    </row>
    <row r="41" spans="1:99" x14ac:dyDescent="0.2">
      <c r="B41" s="39" t="s">
        <v>181</v>
      </c>
      <c r="C41" s="1062">
        <f>+C11/C8</f>
        <v>0.52082205454422403</v>
      </c>
      <c r="D41" s="46">
        <f>+D11/D8</f>
        <v>0.52976770037961052</v>
      </c>
      <c r="E41" s="46">
        <f>+E11/E8</f>
        <v>0.51831273317312132</v>
      </c>
      <c r="F41" s="46">
        <f>+F11/F8</f>
        <v>0.50365463597683502</v>
      </c>
      <c r="G41" s="85">
        <f>+G11/G8</f>
        <v>0.51784551253760891</v>
      </c>
      <c r="H41" s="128"/>
      <c r="I41" s="1062">
        <f>+I11/I8</f>
        <v>0.50865220353007046</v>
      </c>
      <c r="J41" s="46">
        <f>+J11/J8</f>
        <v>0.53036495098739689</v>
      </c>
      <c r="K41" s="46">
        <f>+K11/K8</f>
        <v>0.52869405400101532</v>
      </c>
      <c r="L41" s="46">
        <f>+L11/L8</f>
        <v>0.5333795147409871</v>
      </c>
      <c r="M41" s="85">
        <f>+M11/M8</f>
        <v>0.52510914094441274</v>
      </c>
      <c r="N41" s="128"/>
      <c r="O41" s="1062">
        <f>+O11/O8</f>
        <v>0.52417896080276316</v>
      </c>
      <c r="P41" s="46">
        <f>+P11/P8</f>
        <v>0.51673564482519097</v>
      </c>
      <c r="Q41" s="46">
        <f>+Q11/Q8</f>
        <v>0.51153702068700657</v>
      </c>
      <c r="R41" s="46">
        <f>+R11/R8</f>
        <v>0.49830399335672076</v>
      </c>
      <c r="S41" s="85">
        <f>+S11/S8</f>
        <v>0.51235263117434726</v>
      </c>
      <c r="T41" s="128"/>
      <c r="U41" s="1062">
        <f>+U11/U8</f>
        <v>0.51660609879401553</v>
      </c>
      <c r="V41" s="46">
        <f>+V11/V8</f>
        <v>0.50894023210626349</v>
      </c>
      <c r="W41" s="46">
        <f>+W11/W8</f>
        <v>0.50351872871736669</v>
      </c>
      <c r="X41" s="46">
        <f>+X11/X8</f>
        <v>0.50638278399560688</v>
      </c>
      <c r="Y41" s="85">
        <f>+Y11/Y8</f>
        <v>0.50884776052739877</v>
      </c>
      <c r="Z41" s="128"/>
      <c r="AA41" s="1062">
        <f>+AA11/AA8</f>
        <v>0.52862824560081201</v>
      </c>
      <c r="AB41" s="46">
        <f>+AB11/AB8</f>
        <v>0.51908217831692216</v>
      </c>
      <c r="AC41" s="46">
        <f>+AC11/AC8</f>
        <v>0.50829596665800736</v>
      </c>
      <c r="AD41" s="46">
        <f>+AD11/AD8</f>
        <v>0.51861010578404454</v>
      </c>
      <c r="AE41" s="85">
        <f>+AE11/AE8</f>
        <v>0.51845673948011561</v>
      </c>
      <c r="AF41" s="128"/>
      <c r="AG41" s="1062">
        <f>+AG11/AG8</f>
        <v>0.55287103947024974</v>
      </c>
      <c r="AH41" s="46">
        <f>+AH11/AH8</f>
        <v>0.5398535244051722</v>
      </c>
      <c r="AI41" s="46">
        <f>+AI11/AI8</f>
        <v>0.52944516151287702</v>
      </c>
      <c r="AJ41" s="46">
        <f>+AJ11/AJ8</f>
        <v>0.52607900298425037</v>
      </c>
      <c r="AK41" s="85">
        <f>+AK11/AK8</f>
        <v>0.53702206882939618</v>
      </c>
      <c r="AL41" s="497"/>
      <c r="AM41" s="1062">
        <f>+AM11/AM8</f>
        <v>0.53501237562902615</v>
      </c>
      <c r="AN41" s="46">
        <f>+AN11/AN8</f>
        <v>0.54938699885678244</v>
      </c>
      <c r="AO41" s="46">
        <f>+AO11/AO8</f>
        <v>0.53849191355902826</v>
      </c>
      <c r="AP41" s="46">
        <f>+AP11/AP8</f>
        <v>0.53463507320296477</v>
      </c>
      <c r="AQ41" s="85">
        <f>+AQ11/AQ8</f>
        <v>0.53945343079941843</v>
      </c>
      <c r="AR41" s="497"/>
      <c r="AS41" s="46">
        <f>+AS11/AS8</f>
        <v>0.54572710563007965</v>
      </c>
      <c r="AT41" s="46">
        <f>+AT11/AT8</f>
        <v>0.55857296873468587</v>
      </c>
      <c r="AU41" s="46">
        <f>+AU11/AU8</f>
        <v>0.55564497910312882</v>
      </c>
      <c r="AV41" s="46">
        <f>+AV11/AV8</f>
        <v>0.55115494109515306</v>
      </c>
      <c r="AW41" s="85">
        <f>+AW11/AW8</f>
        <v>0.55282931068698626</v>
      </c>
      <c r="AX41" s="497"/>
      <c r="AY41" s="46">
        <f>+AY11/AY8</f>
        <v>0.57586847879083369</v>
      </c>
      <c r="AZ41" s="46">
        <f>+AZ11/AZ8</f>
        <v>0.58189757681166066</v>
      </c>
      <c r="BA41" s="46">
        <f>+BA11/BA8</f>
        <v>0.58314069964555404</v>
      </c>
      <c r="BB41" s="46">
        <f>+BB11/BB8</f>
        <v>0.56638354939651325</v>
      </c>
      <c r="BC41" s="85">
        <f>+BC11/BC8</f>
        <v>0.57682646019969142</v>
      </c>
      <c r="BD41" s="497"/>
      <c r="BE41" s="1062">
        <f>+BE11/BE8</f>
        <v>0.5990163085684701</v>
      </c>
      <c r="BF41" s="46">
        <f>+BF11/BF8</f>
        <v>0.59163735834310283</v>
      </c>
      <c r="BG41" s="46">
        <f>+BG11/BG8</f>
        <v>0.56926135174722747</v>
      </c>
      <c r="BH41" s="46">
        <f>+BH11/BH8</f>
        <v>0.57424849699398794</v>
      </c>
      <c r="BI41" s="85">
        <f>+BI11/BI8</f>
        <v>0.5828266666666666</v>
      </c>
      <c r="BJ41" s="239"/>
      <c r="BK41" s="1062">
        <f>+BK11/BK8</f>
        <v>0.58215077605321508</v>
      </c>
      <c r="BL41" s="46">
        <f>+BL11/BL8</f>
        <v>0.58217662442164542</v>
      </c>
      <c r="BM41" s="46">
        <f>+BM11/BM8</f>
        <v>0.58513165709760451</v>
      </c>
      <c r="BN41" s="46">
        <f>+BN11/BN8</f>
        <v>0.57552703941338224</v>
      </c>
      <c r="BO41" s="85">
        <f>+BO11/BO8</f>
        <v>0.58110271676589786</v>
      </c>
      <c r="BP41" s="239"/>
      <c r="BQ41" s="1062">
        <f>+BQ11/BQ8</f>
        <v>0.56999999999999995</v>
      </c>
      <c r="BR41" s="46">
        <f>+BR11/BR8</f>
        <v>0.57999999999999996</v>
      </c>
      <c r="BS41" s="46">
        <f>+BS11/BS8</f>
        <v>0.57999999999999996</v>
      </c>
      <c r="BT41" s="46">
        <f>+BT11/BT8</f>
        <v>0.57999999999999996</v>
      </c>
      <c r="BU41" s="85">
        <f>+BU11/BU8</f>
        <v>0.57776639715022193</v>
      </c>
      <c r="BV41" s="239"/>
      <c r="BW41" s="1062">
        <f>+BW11/BW8</f>
        <v>0.57299999999999995</v>
      </c>
      <c r="BX41" s="46">
        <f>+BX11/BX8</f>
        <v>0.58299999999999996</v>
      </c>
      <c r="BY41" s="46">
        <f>+BY11/BY8</f>
        <v>0.58299999999999996</v>
      </c>
      <c r="BZ41" s="46">
        <f>+BZ11/BZ8</f>
        <v>0.58299999999999996</v>
      </c>
      <c r="CA41" s="85">
        <f>+CA11/CA8</f>
        <v>0.58077740026974845</v>
      </c>
      <c r="CB41" s="239"/>
      <c r="CC41" s="1062">
        <f>+CC11/CC8</f>
        <v>0.57599999999999996</v>
      </c>
      <c r="CD41" s="46">
        <f>+CD11/CD8</f>
        <v>0.58599999999999997</v>
      </c>
      <c r="CE41" s="46">
        <f>+CE11/CE8</f>
        <v>0.58599999999999997</v>
      </c>
      <c r="CF41" s="46">
        <f>+CF11/CF8</f>
        <v>0.58599999999999997</v>
      </c>
      <c r="CG41" s="85">
        <f>+CG11/CG8</f>
        <v>0.58376837365008982</v>
      </c>
      <c r="CH41" s="397"/>
      <c r="CI41" s="397"/>
      <c r="CJ41" s="397"/>
      <c r="CK41" s="397"/>
      <c r="CL41" s="397"/>
      <c r="CM41" s="24"/>
      <c r="CN41" s="24"/>
    </row>
    <row r="42" spans="1:99" ht="12.75" customHeight="1" outlineLevel="1" x14ac:dyDescent="0.2">
      <c r="B42" s="812" t="s">
        <v>343</v>
      </c>
      <c r="C42" s="1162"/>
      <c r="D42" s="813"/>
      <c r="E42" s="813"/>
      <c r="F42" s="813"/>
      <c r="G42" s="814">
        <f>G11/G9</f>
        <v>0.57189052799083917</v>
      </c>
      <c r="H42" s="815"/>
      <c r="I42" s="1162">
        <f>I11/I9</f>
        <v>0.57479929390143625</v>
      </c>
      <c r="J42" s="813">
        <f>J11/J9</f>
        <v>0.58178445174294147</v>
      </c>
      <c r="K42" s="813">
        <f>K11/K9</f>
        <v>0.57404432825362761</v>
      </c>
      <c r="L42" s="813">
        <f>L11/L9</f>
        <v>0.58012855500831573</v>
      </c>
      <c r="M42" s="814">
        <f>M11/M9</f>
        <v>0.57776306550305956</v>
      </c>
      <c r="N42" s="815"/>
      <c r="O42" s="1162">
        <f>O11/O9</f>
        <v>0.57066895737141632</v>
      </c>
      <c r="P42" s="813">
        <f>P11/P9</f>
        <v>0.5584612346953336</v>
      </c>
      <c r="Q42" s="813">
        <f>Q11/Q9</f>
        <v>0.55026345738713445</v>
      </c>
      <c r="R42" s="813">
        <f>R11/R9</f>
        <v>0.54502367844270672</v>
      </c>
      <c r="S42" s="814">
        <f>S11/S9</f>
        <v>0.55577530334069081</v>
      </c>
      <c r="T42" s="815"/>
      <c r="U42" s="1162">
        <f>U11/U9</f>
        <v>0.56692650647455423</v>
      </c>
      <c r="V42" s="813">
        <f>V11/V9</f>
        <v>0.55383415498382382</v>
      </c>
      <c r="W42" s="813">
        <f>W11/W9</f>
        <v>0.55186852932965991</v>
      </c>
      <c r="X42" s="813">
        <f>X11/X9</f>
        <v>0.55260494194700793</v>
      </c>
      <c r="Y42" s="814">
        <f>Y11/Y9</f>
        <v>0.55624663776229155</v>
      </c>
      <c r="Z42" s="815"/>
      <c r="AA42" s="1162">
        <f>AA11/AA9</f>
        <v>0.57226022523505482</v>
      </c>
      <c r="AB42" s="813">
        <f>AB11/AB9</f>
        <v>0.5609159736874767</v>
      </c>
      <c r="AC42" s="813">
        <f>AC11/AC9</f>
        <v>0.55879457420031187</v>
      </c>
      <c r="AD42" s="813">
        <f>AD11/AD9</f>
        <v>0.56468132192387155</v>
      </c>
      <c r="AE42" s="814">
        <f>AE11/AE9</f>
        <v>0.56406047297673867</v>
      </c>
      <c r="AF42" s="815"/>
      <c r="AG42" s="1162">
        <f>AG11/AG9</f>
        <v>0.59505577464788728</v>
      </c>
      <c r="AH42" s="813">
        <f>AH11/AH9</f>
        <v>0.58971624098041453</v>
      </c>
      <c r="AI42" s="813">
        <f>AI11/AI9</f>
        <v>0.56921900111262214</v>
      </c>
      <c r="AJ42" s="813">
        <f>AJ11/AJ9</f>
        <v>0.56333221033358782</v>
      </c>
      <c r="AK42" s="814">
        <f>AK11/AK9</f>
        <v>0.57930237543918328</v>
      </c>
      <c r="AL42" s="816"/>
      <c r="AM42" s="1162">
        <f>AM11/AM9</f>
        <v>0.58228585785454223</v>
      </c>
      <c r="AN42" s="813">
        <f>AN11/AN9</f>
        <v>0.58395907011045367</v>
      </c>
      <c r="AO42" s="813">
        <f>AO11/AO9</f>
        <v>0.566318855734399</v>
      </c>
      <c r="AP42" s="813">
        <f>AP11/AP9</f>
        <v>0.56459226896502446</v>
      </c>
      <c r="AQ42" s="814">
        <f>AQ11/AQ9</f>
        <v>0.57430586798927308</v>
      </c>
      <c r="AR42" s="816"/>
      <c r="AS42" s="813">
        <f>AS11/AS9</f>
        <v>0.57813901117556754</v>
      </c>
      <c r="AT42" s="813">
        <f>AT11/AT9</f>
        <v>0.58480663512555786</v>
      </c>
      <c r="AU42" s="813">
        <f>AU11/AU9</f>
        <v>0.57737564262071883</v>
      </c>
      <c r="AV42" s="813">
        <f>AV11/AV9</f>
        <v>0.57351185436990149</v>
      </c>
      <c r="AW42" s="814">
        <f>AW11/AW9</f>
        <v>0.57855282121979823</v>
      </c>
      <c r="AX42" s="816"/>
      <c r="AY42" s="813">
        <f>AY11/AY9</f>
        <v>0.5984574386387711</v>
      </c>
      <c r="AZ42" s="813">
        <f>AZ11/AZ9</f>
        <v>0.60199970949965764</v>
      </c>
      <c r="BA42" s="813">
        <f>BA11/BA9</f>
        <v>0.60130303511838556</v>
      </c>
      <c r="BB42" s="813">
        <f>BB11/BB9</f>
        <v>0.58848118903855096</v>
      </c>
      <c r="BC42" s="814">
        <f>BC11/BC9</f>
        <v>0.59758081229698878</v>
      </c>
      <c r="BD42" s="816"/>
      <c r="BE42" s="1162">
        <f>BE11/BE9</f>
        <v>0.61338634857521535</v>
      </c>
      <c r="BF42" s="813">
        <f>BF11/BF9</f>
        <v>0.60180860578356365</v>
      </c>
      <c r="BG42" s="813">
        <f>BG11/BG9</f>
        <v>0.57833758503401367</v>
      </c>
      <c r="BH42" s="813">
        <f>BH11/BH9</f>
        <v>0.58235951630931815</v>
      </c>
      <c r="BI42" s="814">
        <f>BI11/BI9</f>
        <v>0.59299454649049033</v>
      </c>
      <c r="BJ42" s="815"/>
      <c r="BK42" s="1162">
        <f>BK11/BK9</f>
        <v>0.58940397350993379</v>
      </c>
      <c r="BL42" s="813">
        <f>BL11/BL9</f>
        <v>0.58791264601320459</v>
      </c>
      <c r="BM42" s="813">
        <f>BM11/BM9</f>
        <v>0.59062749800159886</v>
      </c>
      <c r="BN42" s="813">
        <f>BN11/BN9</f>
        <v>0.58101230683816041</v>
      </c>
      <c r="BO42" s="814">
        <f>BO11/BO9</f>
        <v>0.58705046880133449</v>
      </c>
      <c r="BP42" s="815"/>
      <c r="BQ42" s="1162">
        <f>BQ11/BQ9</f>
        <v>0.57673464825912479</v>
      </c>
      <c r="BR42" s="813">
        <f>BR11/BR9</f>
        <v>0.58535623840878015</v>
      </c>
      <c r="BS42" s="813">
        <f>BS11/BS9</f>
        <v>0.5850817820165316</v>
      </c>
      <c r="BT42" s="813">
        <f>BT11/BT9</f>
        <v>0.58518313632672325</v>
      </c>
      <c r="BU42" s="814">
        <f>BU11/BU9</f>
        <v>0.58331753363366989</v>
      </c>
      <c r="BV42" s="815"/>
      <c r="BW42" s="1162">
        <f>BW11/BW9</f>
        <v>0.57954631039867555</v>
      </c>
      <c r="BX42" s="813">
        <f>BX11/BX9</f>
        <v>0.58814457323349256</v>
      </c>
      <c r="BY42" s="813">
        <f>BY11/BY9</f>
        <v>0.58790205795194628</v>
      </c>
      <c r="BZ42" s="813">
        <f>BZ11/BZ9</f>
        <v>0.58803735759895315</v>
      </c>
      <c r="CA42" s="814">
        <f>CA11/CA9</f>
        <v>0.58614658054521629</v>
      </c>
      <c r="CB42" s="815"/>
      <c r="CC42" s="1162">
        <f>CC11/CC9</f>
        <v>0.5823597422250254</v>
      </c>
      <c r="CD42" s="813">
        <f>CD11/CD9</f>
        <v>0.59104639426251571</v>
      </c>
      <c r="CE42" s="813">
        <f>CE11/CE9</f>
        <v>0.59079500783019456</v>
      </c>
      <c r="CF42" s="813">
        <f>CF11/CF9</f>
        <v>0.59089266695770948</v>
      </c>
      <c r="CG42" s="814">
        <f>CG11/CG9</f>
        <v>0.58900584058648009</v>
      </c>
      <c r="CH42" s="397"/>
      <c r="CI42" s="397"/>
      <c r="CJ42" s="397"/>
      <c r="CK42" s="397"/>
      <c r="CL42" s="397"/>
      <c r="CM42" s="24"/>
      <c r="CN42" s="24"/>
    </row>
    <row r="43" spans="1:99" ht="12.75" customHeight="1" outlineLevel="1" x14ac:dyDescent="0.2">
      <c r="B43" s="812" t="s">
        <v>129</v>
      </c>
      <c r="C43" s="1162"/>
      <c r="D43" s="813"/>
      <c r="E43" s="813"/>
      <c r="F43" s="813"/>
      <c r="G43" s="814"/>
      <c r="H43" s="815"/>
      <c r="I43" s="1162"/>
      <c r="J43" s="813"/>
      <c r="K43" s="813"/>
      <c r="L43" s="813"/>
      <c r="M43" s="814"/>
      <c r="N43" s="815"/>
      <c r="O43" s="1162"/>
      <c r="P43" s="813"/>
      <c r="Q43" s="813"/>
      <c r="R43" s="813"/>
      <c r="S43" s="814"/>
      <c r="T43" s="815"/>
      <c r="U43" s="1162"/>
      <c r="V43" s="813"/>
      <c r="W43" s="813"/>
      <c r="X43" s="813"/>
      <c r="Y43" s="814"/>
      <c r="Z43" s="815"/>
      <c r="AA43" s="1162"/>
      <c r="AB43" s="813"/>
      <c r="AC43" s="813"/>
      <c r="AD43" s="813"/>
      <c r="AE43" s="814"/>
      <c r="AF43" s="815"/>
      <c r="AG43" s="1162"/>
      <c r="AH43" s="813"/>
      <c r="AI43" s="813"/>
      <c r="AJ43" s="813"/>
      <c r="AK43" s="814"/>
      <c r="AL43" s="816"/>
      <c r="AM43" s="1162">
        <f t="shared" ref="AM43:AW43" si="6">AM42+0.0045</f>
        <v>0.58678585785454218</v>
      </c>
      <c r="AN43" s="813">
        <f t="shared" si="6"/>
        <v>0.58845907011045362</v>
      </c>
      <c r="AO43" s="813">
        <f t="shared" si="6"/>
        <v>0.57081885573439894</v>
      </c>
      <c r="AP43" s="813">
        <f t="shared" si="6"/>
        <v>0.56909226896502441</v>
      </c>
      <c r="AQ43" s="814">
        <f t="shared" si="6"/>
        <v>0.57880586798927303</v>
      </c>
      <c r="AR43" s="816">
        <f t="shared" si="6"/>
        <v>4.4999999999999997E-3</v>
      </c>
      <c r="AS43" s="813">
        <f t="shared" si="6"/>
        <v>0.58263901117556749</v>
      </c>
      <c r="AT43" s="813">
        <f t="shared" si="6"/>
        <v>0.58930663512555781</v>
      </c>
      <c r="AU43" s="813">
        <f t="shared" si="6"/>
        <v>0.58187564262071878</v>
      </c>
      <c r="AV43" s="813">
        <f t="shared" si="6"/>
        <v>0.57801185436990143</v>
      </c>
      <c r="AW43" s="814">
        <f t="shared" si="6"/>
        <v>0.58305282121979818</v>
      </c>
      <c r="AX43" s="816"/>
      <c r="AY43" s="813">
        <f>AY42+0.0045</f>
        <v>0.60295743863877105</v>
      </c>
      <c r="AZ43" s="813">
        <f>AZ42+0.0045</f>
        <v>0.60649970949965759</v>
      </c>
      <c r="BA43" s="813">
        <f>BA42+0.0045</f>
        <v>0.60580303511838551</v>
      </c>
      <c r="BB43" s="813">
        <f>BB42+0.0045</f>
        <v>0.5929811890385509</v>
      </c>
      <c r="BC43" s="814">
        <f>BC42+0.0045</f>
        <v>0.60208081229698873</v>
      </c>
      <c r="BD43" s="816"/>
      <c r="BE43" s="1162">
        <f>BE42+0.0045</f>
        <v>0.61788634857521529</v>
      </c>
      <c r="BF43" s="813">
        <f>BF42+0.0045</f>
        <v>0.6063086057835636</v>
      </c>
      <c r="BG43" s="813">
        <f>BG42+0.0045</f>
        <v>0.58283758503401362</v>
      </c>
      <c r="BH43" s="813">
        <f>BH42+0.0045</f>
        <v>0.5868595163093181</v>
      </c>
      <c r="BI43" s="814">
        <f>BI42+0.0045</f>
        <v>0.59749454649049027</v>
      </c>
      <c r="BJ43" s="815"/>
      <c r="BK43" s="1162">
        <f>BK42+0.0045</f>
        <v>0.59390397350993374</v>
      </c>
      <c r="BL43" s="813">
        <f>BL42+0.0045</f>
        <v>0.59241264601320454</v>
      </c>
      <c r="BM43" s="813">
        <f>BM42+0.0045</f>
        <v>0.59512749800159881</v>
      </c>
      <c r="BN43" s="813">
        <f>BN42+0.0045</f>
        <v>0.58551230683816036</v>
      </c>
      <c r="BO43" s="814">
        <f>BO42+0.0045</f>
        <v>0.59155046880133444</v>
      </c>
      <c r="BP43" s="815"/>
      <c r="BQ43" s="1162">
        <f>BQ42+0.0045</f>
        <v>0.58123464825912474</v>
      </c>
      <c r="BR43" s="813">
        <f>BR42+0.0045</f>
        <v>0.5898562384087801</v>
      </c>
      <c r="BS43" s="813">
        <f>BS42+0.0045</f>
        <v>0.58958178201653155</v>
      </c>
      <c r="BT43" s="813">
        <f>BT42+0.0045</f>
        <v>0.5896831363267232</v>
      </c>
      <c r="BU43" s="814">
        <f>BU42+0.0045</f>
        <v>0.58781753363366984</v>
      </c>
      <c r="BV43" s="815"/>
      <c r="BW43" s="1162">
        <f>BW42+0.0045</f>
        <v>0.58404631039867549</v>
      </c>
      <c r="BX43" s="813">
        <f>BX42+0.0045</f>
        <v>0.59264457323349251</v>
      </c>
      <c r="BY43" s="813">
        <f>BY42+0.0045</f>
        <v>0.59240205795194623</v>
      </c>
      <c r="BZ43" s="813">
        <f>BZ42+0.0045</f>
        <v>0.5925373575989531</v>
      </c>
      <c r="CA43" s="814">
        <f>CA42+0.0045</f>
        <v>0.59064658054521624</v>
      </c>
      <c r="CB43" s="815"/>
      <c r="CC43" s="1162">
        <f>CC42+0.0045</f>
        <v>0.58685974222502535</v>
      </c>
      <c r="CD43" s="813">
        <f>CD42+0.0045</f>
        <v>0.59554639426251565</v>
      </c>
      <c r="CE43" s="813">
        <f>CE42+0.0045</f>
        <v>0.59529500783019451</v>
      </c>
      <c r="CF43" s="813">
        <f>CF42+0.0045</f>
        <v>0.59539266695770943</v>
      </c>
      <c r="CG43" s="814">
        <f>CG42+0.0045</f>
        <v>0.59350584058648004</v>
      </c>
      <c r="CH43" s="397"/>
      <c r="CI43" s="397"/>
      <c r="CJ43" s="397"/>
      <c r="CK43" s="397"/>
      <c r="CL43" s="397"/>
      <c r="CM43" s="24"/>
      <c r="CN43" s="24"/>
    </row>
    <row r="44" spans="1:99" s="811" customFormat="1" ht="12.75" customHeight="1" outlineLevel="1" x14ac:dyDescent="0.2">
      <c r="B44" s="817" t="s">
        <v>515</v>
      </c>
      <c r="C44" s="1162"/>
      <c r="D44" s="813"/>
      <c r="E44" s="813"/>
      <c r="F44" s="813"/>
      <c r="G44" s="814"/>
      <c r="H44" s="815"/>
      <c r="I44" s="1162"/>
      <c r="J44" s="813"/>
      <c r="K44" s="813"/>
      <c r="L44" s="813"/>
      <c r="M44" s="814"/>
      <c r="N44" s="815"/>
      <c r="O44" s="1162"/>
      <c r="P44" s="813"/>
      <c r="Q44" s="813"/>
      <c r="R44" s="813"/>
      <c r="S44" s="814"/>
      <c r="T44" s="815"/>
      <c r="U44" s="1162"/>
      <c r="V44" s="813"/>
      <c r="W44" s="813"/>
      <c r="X44" s="813"/>
      <c r="Y44" s="814"/>
      <c r="Z44" s="815"/>
      <c r="AA44" s="1162"/>
      <c r="AB44" s="813"/>
      <c r="AC44" s="813"/>
      <c r="AD44" s="813"/>
      <c r="AE44" s="814"/>
      <c r="AF44" s="815"/>
      <c r="AG44" s="1162"/>
      <c r="AH44" s="813"/>
      <c r="AI44" s="813"/>
      <c r="AJ44" s="813"/>
      <c r="AK44" s="814"/>
      <c r="AL44" s="816"/>
      <c r="AM44" s="1162"/>
      <c r="AN44" s="813"/>
      <c r="AO44" s="813"/>
      <c r="AP44" s="813"/>
      <c r="AQ44" s="814"/>
      <c r="AR44" s="816"/>
      <c r="AS44" s="813"/>
      <c r="AT44" s="813"/>
      <c r="AU44" s="813"/>
      <c r="AV44" s="813"/>
      <c r="AW44" s="814"/>
      <c r="AX44" s="816"/>
      <c r="AY44" s="813"/>
      <c r="AZ44" s="813"/>
      <c r="BA44" s="813"/>
      <c r="BB44" s="813"/>
      <c r="BC44" s="814"/>
      <c r="BD44" s="816"/>
      <c r="BE44" s="1162">
        <v>0.45289226385654485</v>
      </c>
      <c r="BF44" s="813">
        <v>0.59489008929664655</v>
      </c>
      <c r="BG44" s="813">
        <v>0.56412582171159242</v>
      </c>
      <c r="BH44" s="813">
        <v>0.56955524110575395</v>
      </c>
      <c r="BI44" s="814">
        <v>0.54690220529272482</v>
      </c>
      <c r="BJ44" s="815"/>
      <c r="BK44" s="1162">
        <v>0.58249254667670813</v>
      </c>
      <c r="BL44" s="813">
        <v>0.57962825539827889</v>
      </c>
      <c r="BM44" s="813">
        <v>0.58516030003713615</v>
      </c>
      <c r="BN44" s="813">
        <v>0.56942793110484347</v>
      </c>
      <c r="BO44" s="814">
        <v>0.57895869866484817</v>
      </c>
      <c r="BP44" s="815"/>
      <c r="BQ44" s="1162">
        <v>0.55756784999033293</v>
      </c>
      <c r="BR44" s="813">
        <v>0.56994664113222915</v>
      </c>
      <c r="BS44" s="813">
        <v>0.57414518563695205</v>
      </c>
      <c r="BT44" s="813">
        <v>0.57049574513882095</v>
      </c>
      <c r="BU44" s="814">
        <v>0.56851341337771388</v>
      </c>
      <c r="BV44" s="815"/>
      <c r="BW44" s="1162">
        <v>0.55772672858724415</v>
      </c>
      <c r="BX44" s="813">
        <v>0.57089805657572901</v>
      </c>
      <c r="BY44" s="813">
        <v>0.57531746273109963</v>
      </c>
      <c r="BZ44" s="813">
        <v>0.57098021652877762</v>
      </c>
      <c r="CA44" s="814">
        <v>0.56926613475915733</v>
      </c>
      <c r="CB44" s="815"/>
      <c r="CC44" s="1162">
        <v>0.55842682340117078</v>
      </c>
      <c r="CD44" s="813">
        <v>0.57185992312253275</v>
      </c>
      <c r="CE44" s="813">
        <v>0.5766098523235168</v>
      </c>
      <c r="CF44" s="813">
        <v>0.57189206062198628</v>
      </c>
      <c r="CG44" s="814">
        <v>0.57022683200900082</v>
      </c>
      <c r="CH44" s="397"/>
      <c r="CI44" s="397"/>
      <c r="CJ44" s="397"/>
      <c r="CK44" s="397"/>
      <c r="CL44" s="397"/>
      <c r="CM44" s="24"/>
      <c r="CN44" s="24"/>
      <c r="CO44"/>
      <c r="CP44"/>
      <c r="CQ44"/>
      <c r="CR44"/>
      <c r="CS44"/>
      <c r="CT44"/>
    </row>
    <row r="45" spans="1:99" s="811" customFormat="1" ht="12.75" customHeight="1" outlineLevel="1" x14ac:dyDescent="0.2">
      <c r="B45" s="817" t="s">
        <v>514</v>
      </c>
      <c r="C45" s="1162"/>
      <c r="D45" s="813"/>
      <c r="E45" s="813"/>
      <c r="F45" s="813"/>
      <c r="G45" s="814"/>
      <c r="H45" s="815"/>
      <c r="I45" s="1162"/>
      <c r="J45" s="813"/>
      <c r="K45" s="813"/>
      <c r="L45" s="813"/>
      <c r="M45" s="814"/>
      <c r="N45" s="815"/>
      <c r="O45" s="1162"/>
      <c r="P45" s="813"/>
      <c r="Q45" s="813"/>
      <c r="R45" s="813"/>
      <c r="S45" s="814"/>
      <c r="T45" s="815"/>
      <c r="U45" s="1162"/>
      <c r="V45" s="813"/>
      <c r="W45" s="813"/>
      <c r="X45" s="813"/>
      <c r="Y45" s="814"/>
      <c r="Z45" s="815"/>
      <c r="AA45" s="1162"/>
      <c r="AB45" s="813"/>
      <c r="AC45" s="813"/>
      <c r="AD45" s="813"/>
      <c r="AE45" s="814"/>
      <c r="AF45" s="815"/>
      <c r="AG45" s="1162"/>
      <c r="AH45" s="813"/>
      <c r="AI45" s="813"/>
      <c r="AJ45" s="813"/>
      <c r="AK45" s="814"/>
      <c r="AL45" s="816"/>
      <c r="AM45" s="1162"/>
      <c r="AN45" s="813"/>
      <c r="AO45" s="813"/>
      <c r="AP45" s="813"/>
      <c r="AQ45" s="814"/>
      <c r="AR45" s="816"/>
      <c r="AS45" s="813"/>
      <c r="AT45" s="813"/>
      <c r="AU45" s="813"/>
      <c r="AV45" s="813"/>
      <c r="AW45" s="814"/>
      <c r="AX45" s="816"/>
      <c r="AY45" s="813"/>
      <c r="AZ45" s="813"/>
      <c r="BA45" s="813"/>
      <c r="BB45" s="813"/>
      <c r="BC45" s="814"/>
      <c r="BD45" s="816"/>
      <c r="BE45" s="1162">
        <v>0.58581206469739688</v>
      </c>
      <c r="BF45" s="813">
        <v>0.58602558228874024</v>
      </c>
      <c r="BG45" s="813">
        <v>0.57915189051357774</v>
      </c>
      <c r="BH45" s="813">
        <v>0.58328597904971335</v>
      </c>
      <c r="BI45" s="814">
        <v>0.58355232981310157</v>
      </c>
      <c r="BJ45" s="815"/>
      <c r="BK45" s="1162">
        <v>0.58017813514545624</v>
      </c>
      <c r="BL45" s="813">
        <v>0.58758301641624922</v>
      </c>
      <c r="BM45" s="813">
        <v>0.58394105108689065</v>
      </c>
      <c r="BN45" s="813">
        <v>0.58733020663134627</v>
      </c>
      <c r="BO45" s="814">
        <v>0.58492893496186849</v>
      </c>
      <c r="BP45" s="815"/>
      <c r="BQ45" s="1162">
        <v>0.59105676905805138</v>
      </c>
      <c r="BR45" s="813">
        <v>0.59947744485739352</v>
      </c>
      <c r="BS45" s="813">
        <v>0.59098014299254176</v>
      </c>
      <c r="BT45" s="813">
        <v>0.59703319865779192</v>
      </c>
      <c r="BU45" s="814">
        <v>0.59472533394286931</v>
      </c>
      <c r="BV45" s="815"/>
      <c r="BW45" s="1162">
        <v>0.59733829959271323</v>
      </c>
      <c r="BX45" s="813">
        <v>0.60561152183028311</v>
      </c>
      <c r="BY45" s="813">
        <v>0.59703118586790083</v>
      </c>
      <c r="BZ45" s="813">
        <v>0.60347405638710228</v>
      </c>
      <c r="CA45" s="814">
        <v>0.60096066413580185</v>
      </c>
      <c r="CB45" s="815"/>
      <c r="CC45" s="1162">
        <v>0.60317856252356794</v>
      </c>
      <c r="CD45" s="813">
        <v>0.61133665437573592</v>
      </c>
      <c r="CE45" s="813">
        <v>0.60266850805286865</v>
      </c>
      <c r="CF45" s="813">
        <v>0.60941384096261719</v>
      </c>
      <c r="CG45" s="814">
        <v>0.60675249613939508</v>
      </c>
      <c r="CH45" s="397"/>
      <c r="CI45" s="397"/>
      <c r="CJ45" s="397"/>
      <c r="CK45" s="397"/>
      <c r="CL45" s="397"/>
      <c r="CM45" s="24"/>
      <c r="CN45" s="24"/>
      <c r="CO45"/>
      <c r="CP45"/>
      <c r="CQ45"/>
      <c r="CR45"/>
      <c r="CS45"/>
      <c r="CT45"/>
    </row>
    <row r="46" spans="1:99" x14ac:dyDescent="0.2">
      <c r="B46" s="39" t="s">
        <v>179</v>
      </c>
      <c r="C46" s="1062">
        <f>+C13/C8</f>
        <v>0.34698560262570211</v>
      </c>
      <c r="D46" s="46">
        <f>+D13/D8</f>
        <v>0.33917400199463105</v>
      </c>
      <c r="E46" s="46">
        <f>+E13/E8</f>
        <v>0.33949391829183589</v>
      </c>
      <c r="F46" s="46">
        <f>+F13/F8</f>
        <v>0.32039652523342388</v>
      </c>
      <c r="G46" s="85">
        <f>+G13/G8</f>
        <v>0.33603040650641119</v>
      </c>
      <c r="H46" s="128"/>
      <c r="I46" s="1062">
        <f>+I13/I8</f>
        <v>0.32811680831410428</v>
      </c>
      <c r="J46" s="46">
        <f>+J13/J8</f>
        <v>0.33767842823448713</v>
      </c>
      <c r="K46" s="46">
        <f>+K13/K8</f>
        <v>0.3410283553447192</v>
      </c>
      <c r="L46" s="46">
        <f>+L13/L8</f>
        <v>0.341576452205195</v>
      </c>
      <c r="M46" s="85">
        <f>+M13/M8</f>
        <v>0.3369463692544592</v>
      </c>
      <c r="N46" s="128"/>
      <c r="O46" s="1062">
        <f>+O13/O8</f>
        <v>0.34595787741962203</v>
      </c>
      <c r="P46" s="46">
        <f>+P13/P8</f>
        <v>0.33037884927066458</v>
      </c>
      <c r="Q46" s="46">
        <f>+Q13/Q8</f>
        <v>0.33384035858231226</v>
      </c>
      <c r="R46" s="46">
        <f>+R13/R8</f>
        <v>0.31445089145909355</v>
      </c>
      <c r="S46" s="85">
        <f>+S13/S8</f>
        <v>0.33069522797768619</v>
      </c>
      <c r="T46" s="128"/>
      <c r="U46" s="1062">
        <f>+U13/U8</f>
        <v>0.34347112524361467</v>
      </c>
      <c r="V46" s="46">
        <f>+V13/V8</f>
        <v>0.32275264296054051</v>
      </c>
      <c r="W46" s="46">
        <f>+W13/W8</f>
        <v>0.33284792779823363</v>
      </c>
      <c r="X46" s="46">
        <f>+X13/X8</f>
        <v>0.32731810429643288</v>
      </c>
      <c r="Y46" s="85">
        <f>+Y13/Y8</f>
        <v>0.3314760735411843</v>
      </c>
      <c r="Z46" s="128"/>
      <c r="AA46" s="1062">
        <f>+AA13/AA8</f>
        <v>0.35050998855396021</v>
      </c>
      <c r="AB46" s="46">
        <f>+AB13/AB8</f>
        <v>0.34369744176239614</v>
      </c>
      <c r="AC46" s="46">
        <f>+AC13/AC8</f>
        <v>0.35183192176313693</v>
      </c>
      <c r="AD46" s="46">
        <f>+AD13/AD8</f>
        <v>0.37162218009709852</v>
      </c>
      <c r="AE46" s="85">
        <f>+AE13/AE8</f>
        <v>0.35533656615904524</v>
      </c>
      <c r="AF46" s="148"/>
      <c r="AG46" s="1062">
        <f>+AG13/AG8</f>
        <v>0.39597690159167964</v>
      </c>
      <c r="AH46" s="46">
        <f>+AH13/AH8</f>
        <v>0.3697984518882193</v>
      </c>
      <c r="AI46" s="46">
        <f>+AI13/AI8</f>
        <v>0.3689628507446811</v>
      </c>
      <c r="AJ46" s="46">
        <f>+AJ13/AJ8</f>
        <v>0.36668711037478363</v>
      </c>
      <c r="AK46" s="85">
        <f>+AK13/AK8</f>
        <v>0.37520390625827021</v>
      </c>
      <c r="AL46" s="497"/>
      <c r="AM46" s="1062">
        <f>+AM13/AM8</f>
        <v>0.38653078062080315</v>
      </c>
      <c r="AN46" s="46">
        <f>+AN13/AN8</f>
        <v>0.3683604683249892</v>
      </c>
      <c r="AO46" s="46">
        <f>+AO13/AO8</f>
        <v>0.36844512498259985</v>
      </c>
      <c r="AP46" s="46">
        <f>+AP13/AP8</f>
        <v>0.37193262726594822</v>
      </c>
      <c r="AQ46" s="85">
        <f>+AQ13/AQ8</f>
        <v>0.37380107565144011</v>
      </c>
      <c r="AR46" s="497"/>
      <c r="AS46" s="397">
        <f>+AS13/AS8</f>
        <v>0.37864497872934905</v>
      </c>
      <c r="AT46" s="46">
        <f>+AT13/AT8</f>
        <v>0.37435917540592639</v>
      </c>
      <c r="AU46" s="46">
        <f>+AU13/AU8</f>
        <v>0.37599824918106861</v>
      </c>
      <c r="AV46" s="46">
        <f>+AV13/AV8</f>
        <v>0.38062502694561223</v>
      </c>
      <c r="AW46" s="85">
        <f>+AW13/AW8</f>
        <v>0.37736859393284111</v>
      </c>
      <c r="AX46" s="497"/>
      <c r="AY46" s="46">
        <f>+AY13/AY8</f>
        <v>0.39627620672842512</v>
      </c>
      <c r="AZ46" s="46">
        <f>+AZ13/AZ8</f>
        <v>0.37757411827405496</v>
      </c>
      <c r="BA46" s="46">
        <f>+BA13/BA8</f>
        <v>0.37987363230081678</v>
      </c>
      <c r="BB46" s="46">
        <f>+BB13/BB8</f>
        <v>0.37460885113991954</v>
      </c>
      <c r="BC46" s="85">
        <f>+BC13/BC8</f>
        <v>0.38197773943789948</v>
      </c>
      <c r="BD46" s="497"/>
      <c r="BE46" s="1062">
        <f>+BE13/BE8</f>
        <v>0.37962723272068338</v>
      </c>
      <c r="BF46" s="46">
        <f>+BF13/BF8</f>
        <v>0.36459554513481829</v>
      </c>
      <c r="BG46" s="46">
        <f>+BG13/BG8</f>
        <v>0.36440677966101698</v>
      </c>
      <c r="BH46" s="46">
        <f>+BH13/BH8</f>
        <v>0.36743486973947892</v>
      </c>
      <c r="BI46" s="85">
        <f>+BI13/BI8</f>
        <v>0.36840000000000001</v>
      </c>
      <c r="BJ46" s="239"/>
      <c r="BK46" s="1062">
        <f>+BK13/BK8</f>
        <v>0.41818181818181815</v>
      </c>
      <c r="BL46" s="46">
        <f>+BL13/BL8</f>
        <v>0.38593844296922147</v>
      </c>
      <c r="BM46" s="46">
        <f>+BM13/BM8</f>
        <v>0.37556919421896656</v>
      </c>
      <c r="BN46" s="46">
        <f>+BN13/BN8</f>
        <v>0.35838680109990834</v>
      </c>
      <c r="BO46" s="85">
        <f>+BO13/BO8</f>
        <v>0.38307399809876419</v>
      </c>
      <c r="BP46" s="239"/>
      <c r="BQ46" s="1062">
        <f>+BQ13/BQ8</f>
        <v>0.42395999242559729</v>
      </c>
      <c r="BR46" s="46">
        <f>+BR13/BR8</f>
        <v>0.40113321459836382</v>
      </c>
      <c r="BS46" s="46">
        <f>+BS13/BS8</f>
        <v>0.37652001567102672</v>
      </c>
      <c r="BT46" s="46">
        <f>+BT13/BT8</f>
        <v>0.36280138001726742</v>
      </c>
      <c r="BU46" s="85">
        <f>+BU13/BU8</f>
        <v>0.38949849028495426</v>
      </c>
      <c r="BV46" s="239"/>
      <c r="BW46" s="1062">
        <f>+BW13/BW8</f>
        <v>0.37438331345616938</v>
      </c>
      <c r="BX46" s="46">
        <f>+BX13/BX8</f>
        <v>0.37643821407977041</v>
      </c>
      <c r="BY46" s="46">
        <f>+BY13/BY8</f>
        <v>0.37495342822632244</v>
      </c>
      <c r="BZ46" s="46">
        <f>+BZ13/BZ8</f>
        <v>0.37489090626921723</v>
      </c>
      <c r="CA46" s="85">
        <f>+CA13/CA8</f>
        <v>0.37518211810614199</v>
      </c>
      <c r="CB46" s="239"/>
      <c r="CC46" s="1062">
        <f>CC13/CC8</f>
        <v>0.36814633535187569</v>
      </c>
      <c r="CD46" s="46">
        <f>CD13/CD8</f>
        <v>0.37029147246392891</v>
      </c>
      <c r="CE46" s="46">
        <f>CE13/CE8</f>
        <v>0.36896299753942713</v>
      </c>
      <c r="CF46" s="46">
        <f>CF13/CF8</f>
        <v>0.3693441628370816</v>
      </c>
      <c r="CG46" s="85">
        <f>CG13/CG8</f>
        <v>0.36921622053824177</v>
      </c>
      <c r="CH46" s="397"/>
      <c r="CI46" s="397"/>
      <c r="CJ46" s="397"/>
      <c r="CK46" s="397"/>
      <c r="CL46" s="397"/>
      <c r="CM46" s="24"/>
      <c r="CN46" s="24"/>
    </row>
    <row r="47" spans="1:99" ht="12.75" customHeight="1" outlineLevel="1" x14ac:dyDescent="0.2">
      <c r="B47" s="812" t="s">
        <v>343</v>
      </c>
      <c r="C47" s="1162"/>
      <c r="D47" s="813"/>
      <c r="E47" s="813"/>
      <c r="F47" s="813"/>
      <c r="G47" s="814">
        <f>+G13/G9</f>
        <v>0.37110026435532961</v>
      </c>
      <c r="H47" s="815"/>
      <c r="I47" s="1162">
        <f>+I13/I9</f>
        <v>0.37078638100304689</v>
      </c>
      <c r="J47" s="813">
        <f>+J13/J9</f>
        <v>0.37041674580884532</v>
      </c>
      <c r="K47" s="813">
        <f>+K13/K9</f>
        <v>0.37028105702683545</v>
      </c>
      <c r="L47" s="813">
        <f>+L13/L9</f>
        <v>0.37151455608281814</v>
      </c>
      <c r="M47" s="814">
        <f>+M13/M9</f>
        <v>0.37073277159193507</v>
      </c>
      <c r="N47" s="815"/>
      <c r="O47" s="1162">
        <f>+O13/O9</f>
        <v>0.37664125416085042</v>
      </c>
      <c r="P47" s="813">
        <f>+P13/P9</f>
        <v>0.35705642126417569</v>
      </c>
      <c r="Q47" s="813">
        <f>+Q13/Q9</f>
        <v>0.35911408656630583</v>
      </c>
      <c r="R47" s="813">
        <f>+R13/R9</f>
        <v>0.34393298837148883</v>
      </c>
      <c r="S47" s="814">
        <f>+S13/S9</f>
        <v>0.35872215630346832</v>
      </c>
      <c r="T47" s="815"/>
      <c r="U47" s="1162">
        <f>+U13/U9</f>
        <v>0.37692718991087187</v>
      </c>
      <c r="V47" s="813">
        <f>+V13/V9</f>
        <v>0.35122284701894935</v>
      </c>
      <c r="W47" s="813">
        <f>+W13/W9</f>
        <v>0.36480926314767387</v>
      </c>
      <c r="X47" s="813">
        <f>+X13/X9</f>
        <v>0.35719540185731158</v>
      </c>
      <c r="Y47" s="814">
        <f>+Y13/Y9</f>
        <v>0.36235287979812542</v>
      </c>
      <c r="Z47" s="815"/>
      <c r="AA47" s="1162">
        <f>+AA13/AA9</f>
        <v>0.3794404227663874</v>
      </c>
      <c r="AB47" s="813">
        <f>+AB13/AB9</f>
        <v>0.37139665596907745</v>
      </c>
      <c r="AC47" s="813">
        <f>+AC13/AC9</f>
        <v>0.38678601013568048</v>
      </c>
      <c r="AD47" s="813">
        <f>+AD13/AD9</f>
        <v>0.40463558571850106</v>
      </c>
      <c r="AE47" s="814">
        <f>+AE13/AE9</f>
        <v>0.38659216152650366</v>
      </c>
      <c r="AF47" s="818"/>
      <c r="AG47" s="1162">
        <f>+AG13/AG9</f>
        <v>0.42619042253521128</v>
      </c>
      <c r="AH47" s="813">
        <f>+AH13/AH9</f>
        <v>0.40395430076738059</v>
      </c>
      <c r="AI47" s="813">
        <f>+AI13/AI9</f>
        <v>0.39668067746322166</v>
      </c>
      <c r="AJ47" s="813">
        <f>+AJ13/AJ9</f>
        <v>0.39265330723425068</v>
      </c>
      <c r="AK47" s="814">
        <f>+AK13/AK9</f>
        <v>0.40474410044874237</v>
      </c>
      <c r="AL47" s="816"/>
      <c r="AM47" s="1162">
        <f>+AM13/AM9</f>
        <v>0.42068448774918271</v>
      </c>
      <c r="AN47" s="813">
        <f>+AN13/AN9</f>
        <v>0.39154082094430387</v>
      </c>
      <c r="AO47" s="813">
        <f>+AO13/AO9</f>
        <v>0.38748478171565154</v>
      </c>
      <c r="AP47" s="813">
        <f>+AP13/AP9</f>
        <v>0.39277312031207745</v>
      </c>
      <c r="AQ47" s="814">
        <f>+AQ13/AQ9</f>
        <v>0.39795122053296555</v>
      </c>
      <c r="AR47" s="816"/>
      <c r="AS47" s="813">
        <f>+AS13/AS9</f>
        <v>0.40113351770649835</v>
      </c>
      <c r="AT47" s="813">
        <f>+AT13/AT9</f>
        <v>0.39194114637062905</v>
      </c>
      <c r="AU47" s="813">
        <f>+AU13/AU9</f>
        <v>0.3907031268339633</v>
      </c>
      <c r="AV47" s="813">
        <f>+AV13/AV9</f>
        <v>0.39606460678628852</v>
      </c>
      <c r="AW47" s="814">
        <f>+AW13/AW9</f>
        <v>0.3949278021968185</v>
      </c>
      <c r="AX47" s="816"/>
      <c r="AY47" s="813">
        <f>+AY13/AY9</f>
        <v>0.41182049792018643</v>
      </c>
      <c r="AZ47" s="813">
        <f>+AZ13/AZ9</f>
        <v>0.39061772822803681</v>
      </c>
      <c r="BA47" s="813">
        <f>+BA13/BA9</f>
        <v>0.39170506912442399</v>
      </c>
      <c r="BB47" s="813">
        <f>+BB13/BB9</f>
        <v>0.38922433813283791</v>
      </c>
      <c r="BC47" s="814">
        <f>+BC13/BC9</f>
        <v>0.39572138860212019</v>
      </c>
      <c r="BD47" s="816"/>
      <c r="BE47" s="1162">
        <f>BE18/BE9</f>
        <v>0.22465208747514911</v>
      </c>
      <c r="BF47" s="813">
        <f>BF18/BF9</f>
        <v>0.23094504620888404</v>
      </c>
      <c r="BG47" s="813">
        <f>BG18/BG9</f>
        <v>0.20812074829931976</v>
      </c>
      <c r="BH47" s="813">
        <f>BH18/BH9</f>
        <v>0.209734783050503</v>
      </c>
      <c r="BI47" s="814">
        <f>BI18/BI9</f>
        <v>0.21816751227717934</v>
      </c>
      <c r="BJ47" s="815"/>
      <c r="BK47" s="1162">
        <f>BK18/BK9</f>
        <v>0.16601189808059266</v>
      </c>
      <c r="BL47" s="813">
        <f>BL18/BL9</f>
        <v>0.19817166074149314</v>
      </c>
      <c r="BM47" s="813">
        <f>BM18/BM9</f>
        <v>0.21153077537969628</v>
      </c>
      <c r="BN47" s="813">
        <f>BN18/BN9</f>
        <v>0.21920977144443415</v>
      </c>
      <c r="BO47" s="814">
        <f>BO18/BO9</f>
        <v>0.20005559908008799</v>
      </c>
      <c r="BP47" s="815"/>
      <c r="BQ47" s="1162">
        <f>BQ18/BQ9</f>
        <v>0.14776549543891759</v>
      </c>
      <c r="BR47" s="813">
        <f>BR18/BR9</f>
        <v>0.18051860117064183</v>
      </c>
      <c r="BS47" s="813">
        <f>BS18/BS9</f>
        <v>0.20526281351015793</v>
      </c>
      <c r="BT47" s="813">
        <f>BT18/BT9</f>
        <v>0.21913960284022682</v>
      </c>
      <c r="BU47" s="814">
        <f>BU18/BU9</f>
        <v>0.19007677088300395</v>
      </c>
      <c r="BV47" s="815"/>
      <c r="BW47" s="1162">
        <f>BW18/BW9</f>
        <v>0.2008858078011995</v>
      </c>
      <c r="BX47" s="813">
        <f>BX18/BX9</f>
        <v>0.20838455133173492</v>
      </c>
      <c r="BY47" s="813">
        <f>BY18/BY9</f>
        <v>0.20979589656190797</v>
      </c>
      <c r="BZ47" s="813">
        <f>BZ18/BZ9</f>
        <v>0.20990724111451523</v>
      </c>
      <c r="CA47" s="814">
        <f>CA18/CA9</f>
        <v>0.20749597274352466</v>
      </c>
      <c r="CB47" s="815"/>
      <c r="CC47" s="1162">
        <f>CC18/CC9</f>
        <v>0.21014862250869534</v>
      </c>
      <c r="CD47" s="813">
        <f>CD18/CD9</f>
        <v>0.21756612186326174</v>
      </c>
      <c r="CE47" s="813">
        <f>CE18/CE9</f>
        <v>0.21881293100364524</v>
      </c>
      <c r="CF47" s="813">
        <f>CF18/CF9</f>
        <v>0.21846475329889431</v>
      </c>
      <c r="CG47" s="814">
        <f>CG18/CG9</f>
        <v>0.21647707720636264</v>
      </c>
      <c r="CH47" s="397"/>
      <c r="CI47" s="397"/>
      <c r="CJ47" s="397"/>
      <c r="CK47" s="397"/>
      <c r="CL47" s="397"/>
      <c r="CM47" s="24"/>
      <c r="CN47" s="24"/>
    </row>
    <row r="48" spans="1:99" ht="12.75" customHeight="1" outlineLevel="1" x14ac:dyDescent="0.2">
      <c r="B48" s="819" t="s">
        <v>23</v>
      </c>
      <c r="C48" s="1162">
        <f>+C14/C8</f>
        <v>0</v>
      </c>
      <c r="D48" s="813">
        <f>+D14/D8</f>
        <v>0</v>
      </c>
      <c r="E48" s="813">
        <f>+E14/E8</f>
        <v>0</v>
      </c>
      <c r="F48" s="813">
        <f>+F14/F8</f>
        <v>0</v>
      </c>
      <c r="G48" s="814">
        <f>+G14/G8</f>
        <v>0</v>
      </c>
      <c r="H48" s="815"/>
      <c r="I48" s="1162">
        <f>+I14/I8</f>
        <v>0</v>
      </c>
      <c r="J48" s="813">
        <f>+J14/J8</f>
        <v>0</v>
      </c>
      <c r="K48" s="813">
        <f>+K14/K8</f>
        <v>0</v>
      </c>
      <c r="L48" s="813">
        <f>+L14/L8</f>
        <v>0</v>
      </c>
      <c r="M48" s="814">
        <f>+M14/M8</f>
        <v>0</v>
      </c>
      <c r="N48" s="815"/>
      <c r="O48" s="1162">
        <f>+O14/O8</f>
        <v>0</v>
      </c>
      <c r="P48" s="813">
        <f>+P14/P8</f>
        <v>0</v>
      </c>
      <c r="Q48" s="813">
        <f>+Q14/Q8</f>
        <v>0</v>
      </c>
      <c r="R48" s="813">
        <f>+R14/R8</f>
        <v>0</v>
      </c>
      <c r="S48" s="814">
        <f>+S14/S8</f>
        <v>0</v>
      </c>
      <c r="T48" s="815"/>
      <c r="U48" s="1162">
        <f>+U14/U8</f>
        <v>0</v>
      </c>
      <c r="V48" s="813">
        <f>+V14/V8</f>
        <v>0</v>
      </c>
      <c r="W48" s="813">
        <f>+W14/W8</f>
        <v>0</v>
      </c>
      <c r="X48" s="813">
        <f>+X14/X8</f>
        <v>0</v>
      </c>
      <c r="Y48" s="814">
        <f>+Y14/Y8</f>
        <v>0</v>
      </c>
      <c r="Z48" s="815"/>
      <c r="AA48" s="1162">
        <f>+AA14/AA8</f>
        <v>0</v>
      </c>
      <c r="AB48" s="813">
        <f>+AB14/AB8</f>
        <v>0</v>
      </c>
      <c r="AC48" s="813">
        <f>+AC14/AC8</f>
        <v>0</v>
      </c>
      <c r="AD48" s="813">
        <f>+AD14/AD8</f>
        <v>0</v>
      </c>
      <c r="AE48" s="814">
        <f>+AE14/AE8</f>
        <v>0</v>
      </c>
      <c r="AF48" s="815"/>
      <c r="AG48" s="1162">
        <f>+AG14/AG8</f>
        <v>0</v>
      </c>
      <c r="AH48" s="813">
        <f>+AH14/AH8</f>
        <v>0</v>
      </c>
      <c r="AI48" s="813">
        <f>+AI14/AI8</f>
        <v>0</v>
      </c>
      <c r="AJ48" s="813">
        <f>+AJ14/AJ8</f>
        <v>0</v>
      </c>
      <c r="AK48" s="814">
        <f>+AK14/AK8</f>
        <v>0</v>
      </c>
      <c r="AL48" s="816"/>
      <c r="AM48" s="1162">
        <f>+AM14/AM8</f>
        <v>0</v>
      </c>
      <c r="AN48" s="813">
        <f>+AN14/AN8</f>
        <v>0</v>
      </c>
      <c r="AO48" s="813">
        <f>+AO14/AO8</f>
        <v>0</v>
      </c>
      <c r="AP48" s="813">
        <f>+AP14/AP8</f>
        <v>0</v>
      </c>
      <c r="AQ48" s="814">
        <f>+AQ14/AQ8</f>
        <v>0</v>
      </c>
      <c r="AR48" s="816"/>
      <c r="AS48" s="813">
        <f>+AS14/AS8</f>
        <v>0</v>
      </c>
      <c r="AT48" s="813">
        <f>+AT14/AT8</f>
        <v>0</v>
      </c>
      <c r="AU48" s="813">
        <f>+AU14/AU8</f>
        <v>0</v>
      </c>
      <c r="AV48" s="813">
        <f>+AV14/AV8</f>
        <v>0</v>
      </c>
      <c r="AW48" s="814">
        <f>+AW14/AW8</f>
        <v>0</v>
      </c>
      <c r="AX48" s="816"/>
      <c r="AY48" s="813">
        <f>+AY14/AY8</f>
        <v>0</v>
      </c>
      <c r="AZ48" s="813">
        <f>+AZ14/AZ8</f>
        <v>0</v>
      </c>
      <c r="BA48" s="813">
        <f>+BA14/BA8</f>
        <v>0</v>
      </c>
      <c r="BB48" s="813">
        <f>+BB14/BB8</f>
        <v>0</v>
      </c>
      <c r="BC48" s="814">
        <f>+BC14/BC8</f>
        <v>0</v>
      </c>
      <c r="BD48" s="816"/>
      <c r="BE48" s="1162">
        <f>BE13/BE9</f>
        <v>0.38873426110006626</v>
      </c>
      <c r="BF48" s="813">
        <f>BF13/BF9</f>
        <v>0.37086355957467954</v>
      </c>
      <c r="BG48" s="813">
        <f>BG13/BG9</f>
        <v>0.37021683673469391</v>
      </c>
      <c r="BH48" s="813">
        <f>BH13/BH9</f>
        <v>0.37262473325881512</v>
      </c>
      <c r="BI48" s="814">
        <f>BI13/BI9</f>
        <v>0.37482703421331093</v>
      </c>
      <c r="BJ48" s="815"/>
      <c r="BK48" s="1162">
        <f>BK13/BK9</f>
        <v>0.4233920754293411</v>
      </c>
      <c r="BL48" s="813">
        <f>BL13/BL9</f>
        <v>0.38974098527171153</v>
      </c>
      <c r="BM48" s="813">
        <f>BM13/BM9</f>
        <v>0.37909672262190253</v>
      </c>
      <c r="BN48" s="813">
        <f>BN13/BN9</f>
        <v>0.36180253539372625</v>
      </c>
      <c r="BO48" s="814">
        <f>BO13/BO9</f>
        <v>0.38699486972124647</v>
      </c>
      <c r="BP48" s="815"/>
      <c r="BQ48" s="1162">
        <f>BQ13/BQ9</f>
        <v>0.4289691528202072</v>
      </c>
      <c r="BR48" s="813">
        <f>BR13/BR9</f>
        <v>0.40483763723813837</v>
      </c>
      <c r="BS48" s="813">
        <f>BS13/BS9</f>
        <v>0.3798189685063737</v>
      </c>
      <c r="BT48" s="813">
        <f>BT13/BT9</f>
        <v>0.36604353348649638</v>
      </c>
      <c r="BU48" s="814">
        <f>BU13/BU9</f>
        <v>0.393240762750666</v>
      </c>
      <c r="BV48" s="815"/>
      <c r="BW48" s="1162">
        <f>BW13/BW9</f>
        <v>0.37866050259747608</v>
      </c>
      <c r="BX48" s="813">
        <f>BX13/BX9</f>
        <v>0.37976002190175767</v>
      </c>
      <c r="BY48" s="813">
        <f>BY13/BY9</f>
        <v>0.37810616139003833</v>
      </c>
      <c r="BZ48" s="813">
        <f>BZ13/BZ9</f>
        <v>0.37813011648443795</v>
      </c>
      <c r="CA48" s="814">
        <f>CA13/CA9</f>
        <v>0.37865060780169169</v>
      </c>
      <c r="CB48" s="815"/>
      <c r="CC48" s="1162">
        <f>CC13/CC9</f>
        <v>0.37221111971633009</v>
      </c>
      <c r="CD48" s="813">
        <f>CD13/CD9</f>
        <v>0.37348027239925391</v>
      </c>
      <c r="CE48" s="813">
        <f>CE13/CE9</f>
        <v>0.37198207682654932</v>
      </c>
      <c r="CF48" s="813">
        <f>CF13/CF9</f>
        <v>0.37242791365881517</v>
      </c>
      <c r="CG48" s="814">
        <f>CG13/CG9</f>
        <v>0.37252876338011748</v>
      </c>
      <c r="CH48" s="397"/>
      <c r="CI48" s="397"/>
      <c r="CJ48" s="397"/>
      <c r="CK48" s="397"/>
      <c r="CL48" s="397"/>
      <c r="CM48" s="24"/>
      <c r="CN48" s="24"/>
    </row>
    <row r="49" spans="1:98" ht="12.75" customHeight="1" outlineLevel="1" x14ac:dyDescent="0.2">
      <c r="B49" s="39" t="s">
        <v>141</v>
      </c>
      <c r="C49" s="1062"/>
      <c r="D49" s="46"/>
      <c r="E49" s="46"/>
      <c r="F49" s="46"/>
      <c r="G49" s="85"/>
      <c r="H49" s="139"/>
      <c r="I49" s="1062">
        <f>I16/I8</f>
        <v>0.20197153260981976</v>
      </c>
      <c r="J49" s="46">
        <f>J16/J8</f>
        <v>0.2127286512330063</v>
      </c>
      <c r="K49" s="46">
        <f>K16/K8</f>
        <v>0.21173198377969382</v>
      </c>
      <c r="L49" s="46">
        <f>L16/L8</f>
        <v>0.2138245093389432</v>
      </c>
      <c r="M49" s="85">
        <f>M16/M8</f>
        <v>0.20999187226463867</v>
      </c>
      <c r="N49" s="139"/>
      <c r="O49" s="1062">
        <f>O16/O8</f>
        <v>0.20372660760747135</v>
      </c>
      <c r="P49" s="46">
        <f>P16/P8</f>
        <v>0.21067340530215312</v>
      </c>
      <c r="Q49" s="46">
        <f>Q16/Q8</f>
        <v>0.2035718924780168</v>
      </c>
      <c r="R49" s="46">
        <f>R16/R8</f>
        <v>0.20842936413825605</v>
      </c>
      <c r="S49" s="85">
        <f>S16/S8</f>
        <v>0.20670489372402592</v>
      </c>
      <c r="T49" s="139"/>
      <c r="U49" s="1062">
        <f>U16/U8</f>
        <v>0.2010957167768124</v>
      </c>
      <c r="V49" s="46">
        <f>V16/V8</f>
        <v>0.21126872723797796</v>
      </c>
      <c r="W49" s="46">
        <f>W16/W8</f>
        <v>0.19574208908944951</v>
      </c>
      <c r="X49" s="46">
        <f>X16/X8</f>
        <v>0.20343418947531453</v>
      </c>
      <c r="Y49" s="85">
        <f>Y16/Y8</f>
        <v>0.20297620816437903</v>
      </c>
      <c r="Z49" s="139"/>
      <c r="AA49" s="1062">
        <f>AA16/AA8</f>
        <v>0.20476141229756911</v>
      </c>
      <c r="AB49" s="46">
        <f>AB16/AB8</f>
        <v>0.20353995369542355</v>
      </c>
      <c r="AC49" s="46">
        <f>AC16/AC8</f>
        <v>0.18018132854867783</v>
      </c>
      <c r="AD49" s="46">
        <f>AD16/AD8</f>
        <v>0.16999700547280344</v>
      </c>
      <c r="AE49" s="85">
        <f>AE16/AE8</f>
        <v>0.18835504969425287</v>
      </c>
      <c r="AF49" s="139"/>
      <c r="AG49" s="1062">
        <f>AG16/AG8</f>
        <v>0.18510272705827507</v>
      </c>
      <c r="AH49" s="46">
        <f>AH16/AH8</f>
        <v>0.19646157112637841</v>
      </c>
      <c r="AI49" s="46">
        <f>AI16/AI8</f>
        <v>0.18801007281518514</v>
      </c>
      <c r="AJ49" s="46">
        <f>AJ16/AJ8</f>
        <v>0.18587180467497158</v>
      </c>
      <c r="AK49" s="85">
        <f>AK16/AK8</f>
        <v>0.18895079921691796</v>
      </c>
      <c r="AL49" s="497"/>
      <c r="AM49" s="1062">
        <f>AM16/AM8</f>
        <v>0.17636910518465093</v>
      </c>
      <c r="AN49" s="46">
        <f>AN16/AN8</f>
        <v>0.20905112942011275</v>
      </c>
      <c r="AO49" s="46">
        <f>AO16/AO8</f>
        <v>0.19817391032615642</v>
      </c>
      <c r="AP49" s="46">
        <f>AP16/AP8</f>
        <v>0.18936440666721507</v>
      </c>
      <c r="AQ49" s="85">
        <f>AQ16/AQ8</f>
        <v>0.1933193708760764</v>
      </c>
      <c r="AR49" s="497"/>
      <c r="AS49" s="46">
        <f>AS16/AS8</f>
        <v>0.19635152866538649</v>
      </c>
      <c r="AT49" s="46">
        <f>AT16/AT8</f>
        <v>0.21159789604364732</v>
      </c>
      <c r="AU49" s="46">
        <f>AU16/AU8</f>
        <v>0.20890658533830334</v>
      </c>
      <c r="AV49" s="46">
        <f>AV16/AV8</f>
        <v>0.19572319241879113</v>
      </c>
      <c r="AW49" s="85">
        <f>AW16/AW8</f>
        <v>0.20323134721585423</v>
      </c>
      <c r="AX49" s="497"/>
      <c r="AY49" s="46">
        <f>AY16/AY8</f>
        <v>0.2090154193076548</v>
      </c>
      <c r="AZ49" s="46">
        <f>AZ16/AZ8</f>
        <v>0.23221863422377459</v>
      </c>
      <c r="BA49" s="46">
        <f>BA16/BA8</f>
        <v>0.23920172599784253</v>
      </c>
      <c r="BB49" s="46">
        <f>BB16/BB8</f>
        <v>0.21785128892862465</v>
      </c>
      <c r="BC49" s="85">
        <f>BC16/BC8</f>
        <v>0.22442626665559848</v>
      </c>
      <c r="BD49" s="497"/>
      <c r="BE49" s="1062">
        <f>BE16/BE8</f>
        <v>0.24980585037535594</v>
      </c>
      <c r="BF49" s="46">
        <f>BF16/BF8</f>
        <v>0.25791324736225085</v>
      </c>
      <c r="BG49" s="46">
        <f>BG16/BG8</f>
        <v>0.23822975517890774</v>
      </c>
      <c r="BH49" s="46">
        <f>BH16/BH8</f>
        <v>0.23647294589178355</v>
      </c>
      <c r="BI49" s="85">
        <f>BI16/BI8</f>
        <v>0.24551999999999999</v>
      </c>
      <c r="BJ49" s="239"/>
      <c r="BK49" s="1062">
        <f>BK16/BK8</f>
        <v>0.19822616407982263</v>
      </c>
      <c r="BL49" s="46">
        <f>BL16/BL8</f>
        <v>0.2276201971434319</v>
      </c>
      <c r="BM49" s="46">
        <f>BM16/BM8</f>
        <v>0.24104137794496142</v>
      </c>
      <c r="BN49" s="46">
        <f>BN16/BN8</f>
        <v>0.24775435380384969</v>
      </c>
      <c r="BO49" s="85">
        <f>BO16/BO8</f>
        <v>0.22987441837194178</v>
      </c>
      <c r="BP49" s="239"/>
      <c r="BQ49" s="1062">
        <f>BQ16/BQ8</f>
        <v>0.17867901956194693</v>
      </c>
      <c r="BR49" s="46">
        <f>BR16/BR8</f>
        <v>0.20851561592035955</v>
      </c>
      <c r="BS49" s="46">
        <f>BS16/BS8</f>
        <v>0.23293725035851162</v>
      </c>
      <c r="BT49" s="46">
        <f>BT16/BT8</f>
        <v>0.24500891075550096</v>
      </c>
      <c r="BU49" s="85">
        <f>BU16/BU8</f>
        <v>0.21803353112362744</v>
      </c>
      <c r="BV49" s="239"/>
      <c r="BW49" s="1062">
        <f>BW16/BW8</f>
        <v>0.23202958335722196</v>
      </c>
      <c r="BX49" s="46">
        <f>BX16/BX8</f>
        <v>0.23654729436725458</v>
      </c>
      <c r="BY49" s="46">
        <f>BY16/BY8</f>
        <v>0.23796065951132486</v>
      </c>
      <c r="BZ49" s="46">
        <f>BZ16/BZ8</f>
        <v>0.23655485434807519</v>
      </c>
      <c r="CA49" s="85">
        <f>CA16/CA8</f>
        <v>0.2359056196608133</v>
      </c>
      <c r="CB49" s="239"/>
      <c r="CC49" s="1062">
        <f>CC16/CC8</f>
        <v>0.24200618625288445</v>
      </c>
      <c r="CD49" s="46">
        <f>CD16/CD8</f>
        <v>0.24664398507060387</v>
      </c>
      <c r="CE49" s="46">
        <f>CE16/CE8</f>
        <v>0.24779932837508942</v>
      </c>
      <c r="CF49" s="46">
        <f>CF16/CF8</f>
        <v>0.24569294236042094</v>
      </c>
      <c r="CG49" s="85">
        <f>CG16/CG8</f>
        <v>0.24564304420236074</v>
      </c>
      <c r="CH49" s="397"/>
      <c r="CI49" s="397"/>
      <c r="CJ49" s="397"/>
      <c r="CK49" s="397"/>
      <c r="CL49" s="397"/>
      <c r="CM49" s="24"/>
      <c r="CN49" s="24"/>
    </row>
    <row r="50" spans="1:98" x14ac:dyDescent="0.2">
      <c r="B50" s="45" t="str">
        <f>+B18</f>
        <v>Operating Income / Loss</v>
      </c>
      <c r="C50" s="1062">
        <f>+C18/C8</f>
        <v>0.17383645191852196</v>
      </c>
      <c r="D50" s="46">
        <f>+D18/D8</f>
        <v>0.19059369838497953</v>
      </c>
      <c r="E50" s="46">
        <f>+E18/E8</f>
        <v>0.17881881488128543</v>
      </c>
      <c r="F50" s="46">
        <f>+F18/F8</f>
        <v>0.18325811074341108</v>
      </c>
      <c r="G50" s="85">
        <f>+G18/G8</f>
        <v>0.18181510603119777</v>
      </c>
      <c r="H50" s="86"/>
      <c r="I50" s="1062">
        <f>+I18/I8</f>
        <v>0.18053539521596618</v>
      </c>
      <c r="J50" s="46">
        <f>+J18/J8</f>
        <v>0.19268652275290973</v>
      </c>
      <c r="K50" s="46">
        <f>+K18/K8</f>
        <v>0.18766569865629609</v>
      </c>
      <c r="L50" s="46">
        <f>+L18/L8</f>
        <v>0.19180306253579213</v>
      </c>
      <c r="M50" s="85">
        <f>+M18/M8</f>
        <v>0.18816277168995355</v>
      </c>
      <c r="N50" s="86"/>
      <c r="O50" s="1062">
        <f>+O18/O8</f>
        <v>0.17822108338314108</v>
      </c>
      <c r="P50" s="46">
        <f>+P18/P8</f>
        <v>0.18635679555452636</v>
      </c>
      <c r="Q50" s="46">
        <f>+Q18/Q8</f>
        <v>0.17769666210469434</v>
      </c>
      <c r="R50" s="46">
        <f>+R18/R8</f>
        <v>0.18385310189762719</v>
      </c>
      <c r="S50" s="85">
        <f>+S18/S8</f>
        <v>0.1816574031966611</v>
      </c>
      <c r="T50" s="86"/>
      <c r="U50" s="1062">
        <f>+U18/U8</f>
        <v>0.17313497355040089</v>
      </c>
      <c r="V50" s="46">
        <f>+V18/V8</f>
        <v>0.18618758914572298</v>
      </c>
      <c r="W50" s="46">
        <f>+W18/W8</f>
        <v>0.17067080091913306</v>
      </c>
      <c r="X50" s="46">
        <f>+X18/X8</f>
        <v>0.17906467969917397</v>
      </c>
      <c r="Y50" s="85">
        <f>+Y18/Y8</f>
        <v>0.17737168698621447</v>
      </c>
      <c r="Z50" s="86"/>
      <c r="AA50" s="1062">
        <f>+AA18/AA8</f>
        <v>0.17811825704685175</v>
      </c>
      <c r="AB50" s="46">
        <f>+AB18/AB8</f>
        <v>0.17538473655452602</v>
      </c>
      <c r="AC50" s="46">
        <f>+AC18/AC8</f>
        <v>0.15646404489487045</v>
      </c>
      <c r="AD50" s="46">
        <f>+AD18/AD8</f>
        <v>0.14698792568694602</v>
      </c>
      <c r="AE50" s="85">
        <f>+AE18/AE8</f>
        <v>0.16312017332107034</v>
      </c>
      <c r="AF50" s="86"/>
      <c r="AG50" s="1062">
        <f>+AG18/AG8</f>
        <v>0.15689413787857007</v>
      </c>
      <c r="AH50" s="46">
        <f>+AH18/AH8</f>
        <v>0.17005507251695293</v>
      </c>
      <c r="AI50" s="46">
        <f>+AI18/AI8</f>
        <v>0.16048231076819591</v>
      </c>
      <c r="AJ50" s="46">
        <f>+AJ18/AJ8</f>
        <v>0.15939189260946673</v>
      </c>
      <c r="AK50" s="85">
        <f>+AK18/AK8</f>
        <v>0.16181816257112597</v>
      </c>
      <c r="AL50" s="497"/>
      <c r="AM50" s="1062">
        <f>+AM18/AM8</f>
        <v>0.14848159500822311</v>
      </c>
      <c r="AN50" s="46">
        <f>+AN18/AN8</f>
        <v>0.18102653053179329</v>
      </c>
      <c r="AO50" s="46">
        <f>+AO18/AO8</f>
        <v>0.17004678857642844</v>
      </c>
      <c r="AP50" s="46">
        <f>+AP18/AP8</f>
        <v>0.16270244593701652</v>
      </c>
      <c r="AQ50" s="85">
        <f>+AQ18/AQ8</f>
        <v>0.1656523551479783</v>
      </c>
      <c r="AR50" s="497"/>
      <c r="AS50" s="46">
        <f>+AS18/AS8</f>
        <v>0.16708212690073057</v>
      </c>
      <c r="AT50" s="46">
        <f>+AT18/AT8</f>
        <v>0.18421379332875951</v>
      </c>
      <c r="AU50" s="46">
        <f>+AU18/AU8</f>
        <v>0.17964672992206024</v>
      </c>
      <c r="AV50" s="46">
        <f>+AV18/AV8</f>
        <v>0.17052991414954083</v>
      </c>
      <c r="AW50" s="85">
        <f>+AW18/AW8</f>
        <v>0.17546071675414521</v>
      </c>
      <c r="AX50" s="497"/>
      <c r="AY50" s="46">
        <f>+AY18/AY8</f>
        <v>0.17959227206240858</v>
      </c>
      <c r="AZ50" s="46">
        <f>+AZ18/AZ8</f>
        <v>0.2043234585376057</v>
      </c>
      <c r="BA50" s="46">
        <f>+BA18/BA8</f>
        <v>0.20403760209585453</v>
      </c>
      <c r="BB50" s="46">
        <f>+BB18/BB8</f>
        <v>0.19177469825659368</v>
      </c>
      <c r="BC50" s="85">
        <f>+BC18/BC8</f>
        <v>0.19484872076179197</v>
      </c>
      <c r="BD50" s="497"/>
      <c r="BE50" s="1062">
        <f>+BE18/BE8</f>
        <v>0.21938907584778669</v>
      </c>
      <c r="BF50" s="46">
        <f>+BF18/BF8</f>
        <v>0.22704181320828448</v>
      </c>
      <c r="BG50" s="46">
        <f>+BG18/BG8</f>
        <v>0.20485457208621052</v>
      </c>
      <c r="BH50" s="46">
        <f>+BH18/BH8</f>
        <v>0.20681362725450902</v>
      </c>
      <c r="BI50" s="85">
        <f>+BI18/BI8</f>
        <v>0.21442666666666665</v>
      </c>
      <c r="BJ50" s="239"/>
      <c r="BK50" s="1062">
        <f>+BK18/BK8</f>
        <v>0.1639689578713969</v>
      </c>
      <c r="BL50" s="46">
        <f>+BL18/BL8</f>
        <v>0.19623818145242405</v>
      </c>
      <c r="BM50" s="46">
        <f>+BM18/BM8</f>
        <v>0.20956246287863789</v>
      </c>
      <c r="BN50" s="46">
        <f>+BN18/BN8</f>
        <v>0.21714023831347387</v>
      </c>
      <c r="BO50" s="85">
        <f>+BO18/BO8</f>
        <v>0.19802871866713367</v>
      </c>
      <c r="BP50" s="239"/>
      <c r="BQ50" s="1062">
        <f>+BQ18/BQ8</f>
        <v>0.14604000757440261</v>
      </c>
      <c r="BR50" s="46">
        <f>+BR18/BR8</f>
        <v>0.17886678540163614</v>
      </c>
      <c r="BS50" s="46">
        <f>+BS18/BS8</f>
        <v>0.20347998432897324</v>
      </c>
      <c r="BT50" s="46">
        <f>+BT18/BT8</f>
        <v>0.21719861998273257</v>
      </c>
      <c r="BU50" s="85">
        <f>+BU18/BU8</f>
        <v>0.18826790686526765</v>
      </c>
      <c r="BV50" s="239"/>
      <c r="BW50" s="1062">
        <f>+BW18/BW8</f>
        <v>0.19861668654383063</v>
      </c>
      <c r="BX50" s="46">
        <f>+BX18/BX8</f>
        <v>0.20656178592022953</v>
      </c>
      <c r="BY50" s="46">
        <f>+BY18/BY8</f>
        <v>0.20804657177367755</v>
      </c>
      <c r="BZ50" s="46">
        <f>+BZ18/BZ8</f>
        <v>0.20810909373078276</v>
      </c>
      <c r="CA50" s="85">
        <f>+CA18/CA8</f>
        <v>0.20559528216360645</v>
      </c>
      <c r="CB50" s="239"/>
      <c r="CC50" s="1062">
        <f>+CC18/CC8</f>
        <v>0.20785366464812421</v>
      </c>
      <c r="CD50" s="46">
        <f>+CD18/CD8</f>
        <v>0.21570852753607106</v>
      </c>
      <c r="CE50" s="46">
        <f>+CE18/CE8</f>
        <v>0.21703700246057286</v>
      </c>
      <c r="CF50" s="46">
        <f>+CF18/CF8</f>
        <v>0.21665583716291834</v>
      </c>
      <c r="CG50" s="85">
        <f>+CG18/CG8</f>
        <v>0.21455215311184805</v>
      </c>
      <c r="CH50" s="397"/>
      <c r="CI50" s="397"/>
      <c r="CJ50" s="397"/>
      <c r="CK50" s="397"/>
      <c r="CL50" s="397"/>
      <c r="CM50" s="24"/>
      <c r="CN50" s="24"/>
    </row>
    <row r="51" spans="1:98" ht="12.75" customHeight="1" outlineLevel="1" x14ac:dyDescent="0.2">
      <c r="B51" s="812" t="s">
        <v>343</v>
      </c>
      <c r="C51" s="1162"/>
      <c r="D51" s="813"/>
      <c r="E51" s="813"/>
      <c r="F51" s="813"/>
      <c r="G51" s="814">
        <f>+G18/G9</f>
        <v>0.20079026363550961</v>
      </c>
      <c r="H51" s="820"/>
      <c r="I51" s="1162">
        <f>+I18/I9</f>
        <v>0.20401291289838938</v>
      </c>
      <c r="J51" s="813">
        <f>+J18/J9</f>
        <v>0.21136770593409612</v>
      </c>
      <c r="K51" s="813">
        <f>+K18/K9</f>
        <v>0.20376327122679219</v>
      </c>
      <c r="L51" s="813">
        <f>+L18/L9</f>
        <v>0.20861399892549753</v>
      </c>
      <c r="M51" s="814">
        <f>+M18/M9</f>
        <v>0.20703029391112449</v>
      </c>
      <c r="N51" s="820"/>
      <c r="O51" s="1162">
        <f>+O18/O9</f>
        <v>0.19402770321056589</v>
      </c>
      <c r="P51" s="813">
        <f>+P18/P9</f>
        <v>0.20140481343115788</v>
      </c>
      <c r="Q51" s="813">
        <f>+Q18/Q9</f>
        <v>0.19114937082082861</v>
      </c>
      <c r="R51" s="813">
        <f>+R18/R9</f>
        <v>0.20109069007121791</v>
      </c>
      <c r="S51" s="814">
        <f>+S18/S9</f>
        <v>0.19705314703722251</v>
      </c>
      <c r="T51" s="820"/>
      <c r="U51" s="1162">
        <f>+U18/U9</f>
        <v>0.18999931656368235</v>
      </c>
      <c r="V51" s="813">
        <f>+V18/V9</f>
        <v>0.20261130796487448</v>
      </c>
      <c r="W51" s="813">
        <f>+W18/W9</f>
        <v>0.18705926618198609</v>
      </c>
      <c r="X51" s="813">
        <f>+X18/X9</f>
        <v>0.19540954008969638</v>
      </c>
      <c r="Y51" s="814">
        <f>+Y18/Y9</f>
        <v>0.19389375796416605</v>
      </c>
      <c r="Z51" s="820"/>
      <c r="AA51" s="1162">
        <f>+AA18/AA9</f>
        <v>0.19281980246866742</v>
      </c>
      <c r="AB51" s="813">
        <f>+AB18/AB9</f>
        <v>0.18951931771839925</v>
      </c>
      <c r="AC51" s="813">
        <f>+AC18/AC9</f>
        <v>0.17200856406463141</v>
      </c>
      <c r="AD51" s="813">
        <f>+AD18/AD9</f>
        <v>0.16004573620537046</v>
      </c>
      <c r="AE51" s="814">
        <f>+AE18/AE9</f>
        <v>0.17746831145023506</v>
      </c>
      <c r="AF51" s="820"/>
      <c r="AG51" s="1162">
        <f>+AG18/AG9</f>
        <v>0.16886535211267606</v>
      </c>
      <c r="AH51" s="813">
        <f>+AH18/AH9</f>
        <v>0.18576194021303397</v>
      </c>
      <c r="AI51" s="813">
        <f>+AI18/AI9</f>
        <v>0.17253832364940044</v>
      </c>
      <c r="AJ51" s="813">
        <f>+AJ18/AJ9</f>
        <v>0.17067890309933714</v>
      </c>
      <c r="AK51" s="814">
        <f>+AK18/AK9</f>
        <v>0.17455827499044088</v>
      </c>
      <c r="AL51" s="816"/>
      <c r="AM51" s="1162">
        <f>+AM18/AM9</f>
        <v>0.16160137010535955</v>
      </c>
      <c r="AN51" s="813">
        <f>+AN18/AN9</f>
        <v>0.19241824916614989</v>
      </c>
      <c r="AO51" s="813">
        <f>+AO18/AO9</f>
        <v>0.17883407401874743</v>
      </c>
      <c r="AP51" s="813">
        <f>+AP18/AP9</f>
        <v>0.17181914865294695</v>
      </c>
      <c r="AQ51" s="814">
        <f>+AQ18/AQ9</f>
        <v>0.17635464745630747</v>
      </c>
      <c r="AR51" s="816"/>
      <c r="AS51" s="813">
        <f>+AS18/AS9</f>
        <v>0.17700549346906913</v>
      </c>
      <c r="AT51" s="813">
        <f>+AT18/AT9</f>
        <v>0.19286548875492887</v>
      </c>
      <c r="AU51" s="813">
        <f>+AU18/AU9</f>
        <v>0.18667251578675551</v>
      </c>
      <c r="AV51" s="813">
        <f>+AV18/AV9</f>
        <v>0.17744724758361299</v>
      </c>
      <c r="AW51" s="814">
        <f>+AW18/AW9</f>
        <v>0.18362501902297973</v>
      </c>
      <c r="AX51" s="816"/>
      <c r="AY51" s="813">
        <f>+AY18/AY9</f>
        <v>0.18663694071858469</v>
      </c>
      <c r="AZ51" s="813">
        <f>+AZ18/AZ9</f>
        <v>0.21138198127162078</v>
      </c>
      <c r="BA51" s="813">
        <f>+BA18/BA9</f>
        <v>0.21039249960273321</v>
      </c>
      <c r="BB51" s="813">
        <f>+BB18/BB9</f>
        <v>0.19925685090571299</v>
      </c>
      <c r="BC51" s="814">
        <f>+BC18/BC9</f>
        <v>0.20185942369486862</v>
      </c>
      <c r="BD51" s="816"/>
      <c r="BE51" s="1162">
        <f>BE18/BE9</f>
        <v>0.22465208747514911</v>
      </c>
      <c r="BF51" s="813">
        <f>BF18/BF9</f>
        <v>0.23094504620888404</v>
      </c>
      <c r="BG51" s="813">
        <f>BG18/BG9</f>
        <v>0.20812074829931976</v>
      </c>
      <c r="BH51" s="813">
        <f>BH18/BH9</f>
        <v>0.209734783050503</v>
      </c>
      <c r="BI51" s="814">
        <f>BI18/BI8</f>
        <v>0.21442666666666665</v>
      </c>
      <c r="BJ51" s="815"/>
      <c r="BK51" s="1162">
        <f>BK18/BK9</f>
        <v>0.16601189808059266</v>
      </c>
      <c r="BL51" s="813">
        <f>BL18/BL9</f>
        <v>0.19817166074149314</v>
      </c>
      <c r="BM51" s="813">
        <f t="shared" ref="BM51:BO51" si="7">BM18/BM9</f>
        <v>0.21153077537969628</v>
      </c>
      <c r="BN51" s="813">
        <f t="shared" si="7"/>
        <v>0.21920977144443415</v>
      </c>
      <c r="BO51" s="814">
        <f t="shared" si="7"/>
        <v>0.20005559908008799</v>
      </c>
      <c r="BP51" s="815"/>
      <c r="BQ51" s="1162">
        <f t="shared" ref="BQ51:CG51" si="8">BQ18/BQ9</f>
        <v>0.14776549543891759</v>
      </c>
      <c r="BR51" s="813">
        <f t="shared" si="8"/>
        <v>0.18051860117064183</v>
      </c>
      <c r="BS51" s="813">
        <f t="shared" si="8"/>
        <v>0.20526281351015793</v>
      </c>
      <c r="BT51" s="813">
        <f t="shared" si="8"/>
        <v>0.21913960284022682</v>
      </c>
      <c r="BU51" s="814">
        <f t="shared" si="8"/>
        <v>0.19007677088300395</v>
      </c>
      <c r="BV51" s="815"/>
      <c r="BW51" s="1162">
        <f t="shared" ref="BW51" si="9">BW18/BW9</f>
        <v>0.2008858078011995</v>
      </c>
      <c r="BX51" s="813">
        <f t="shared" si="8"/>
        <v>0.20838455133173492</v>
      </c>
      <c r="BY51" s="813">
        <f t="shared" si="8"/>
        <v>0.20979589656190797</v>
      </c>
      <c r="BZ51" s="813">
        <f t="shared" si="8"/>
        <v>0.20990724111451523</v>
      </c>
      <c r="CA51" s="814">
        <f t="shared" si="8"/>
        <v>0.20749597274352466</v>
      </c>
      <c r="CB51" s="815"/>
      <c r="CC51" s="1162">
        <f t="shared" ref="CC51" si="10">CC18/CC9</f>
        <v>0.21014862250869534</v>
      </c>
      <c r="CD51" s="813">
        <f t="shared" si="8"/>
        <v>0.21756612186326174</v>
      </c>
      <c r="CE51" s="813">
        <f t="shared" si="8"/>
        <v>0.21881293100364524</v>
      </c>
      <c r="CF51" s="813">
        <f t="shared" si="8"/>
        <v>0.21846475329889431</v>
      </c>
      <c r="CG51" s="814">
        <f t="shared" si="8"/>
        <v>0.21647707720636264</v>
      </c>
      <c r="CH51" s="397"/>
      <c r="CI51" s="397"/>
      <c r="CJ51" s="397"/>
      <c r="CK51" s="397"/>
      <c r="CL51" s="397"/>
      <c r="CM51" s="24"/>
      <c r="CN51" s="24"/>
    </row>
    <row r="52" spans="1:98" ht="12.75" customHeight="1" outlineLevel="1" x14ac:dyDescent="0.2">
      <c r="B52" s="817" t="s">
        <v>129</v>
      </c>
      <c r="C52" s="1162"/>
      <c r="D52" s="813"/>
      <c r="E52" s="813"/>
      <c r="F52" s="813"/>
      <c r="G52" s="814"/>
      <c r="H52" s="820"/>
      <c r="I52" s="1162"/>
      <c r="J52" s="813"/>
      <c r="K52" s="813"/>
      <c r="L52" s="813"/>
      <c r="M52" s="814"/>
      <c r="N52" s="820"/>
      <c r="O52" s="1162"/>
      <c r="P52" s="813"/>
      <c r="Q52" s="813"/>
      <c r="R52" s="813"/>
      <c r="S52" s="814"/>
      <c r="T52" s="820"/>
      <c r="U52" s="1162"/>
      <c r="V52" s="813"/>
      <c r="W52" s="813"/>
      <c r="X52" s="813"/>
      <c r="Y52" s="814"/>
      <c r="Z52" s="820"/>
      <c r="AA52" s="1162"/>
      <c r="AB52" s="813"/>
      <c r="AC52" s="813"/>
      <c r="AD52" s="813"/>
      <c r="AE52" s="814"/>
      <c r="AF52" s="820"/>
      <c r="AG52" s="1162"/>
      <c r="AH52" s="813"/>
      <c r="AI52" s="813"/>
      <c r="AJ52" s="813"/>
      <c r="AK52" s="814"/>
      <c r="AL52" s="816"/>
      <c r="AM52" s="1162">
        <f>AM51+AM43-AM42</f>
        <v>0.16610137010535952</v>
      </c>
      <c r="AN52" s="813">
        <f>AN51+AN43-AN42</f>
        <v>0.19691824916614986</v>
      </c>
      <c r="AO52" s="813">
        <f>AO51+AO43-AO42</f>
        <v>0.18333407401874735</v>
      </c>
      <c r="AP52" s="813">
        <f>AP51+AP43-AP42</f>
        <v>0.17631914865294696</v>
      </c>
      <c r="AQ52" s="814">
        <f>AQ51+AQ43-AQ42</f>
        <v>0.18085464745630742</v>
      </c>
      <c r="AR52" s="816"/>
      <c r="AS52" s="813">
        <f>AS51+AS43-AS42</f>
        <v>0.18150549346906908</v>
      </c>
      <c r="AT52" s="813">
        <f>AT51+AT43-AT42</f>
        <v>0.19736548875492876</v>
      </c>
      <c r="AU52" s="813">
        <f>AU51+AU43-AU42</f>
        <v>0.19117251578675543</v>
      </c>
      <c r="AV52" s="813">
        <f>AV51+AV43-AV42</f>
        <v>0.18194724758361291</v>
      </c>
      <c r="AW52" s="814">
        <f>AW51+AW43-AW42</f>
        <v>0.18812501902297962</v>
      </c>
      <c r="AX52" s="816"/>
      <c r="AY52" s="813">
        <f>AY51+AY43-AY42</f>
        <v>0.19113694071858467</v>
      </c>
      <c r="AZ52" s="813">
        <f>AZ51+AZ43-AZ42</f>
        <v>0.21588198127162073</v>
      </c>
      <c r="BA52" s="813">
        <f>BA51+BA43-BA42</f>
        <v>0.21489249960273316</v>
      </c>
      <c r="BB52" s="813">
        <f>BB51+BB43-BB42</f>
        <v>0.20375685090571294</v>
      </c>
      <c r="BC52" s="814">
        <f>BC51+BC43-BC42</f>
        <v>0.20635942369486859</v>
      </c>
      <c r="BD52" s="816"/>
      <c r="BE52" s="1162">
        <f>BE47+BE43-BE42</f>
        <v>0.22915208747514904</v>
      </c>
      <c r="BF52" s="813">
        <f>BF47+BF43-BF42</f>
        <v>0.23544504620888396</v>
      </c>
      <c r="BG52" s="813">
        <f>BG47+BG43-BG42</f>
        <v>0.21262074829931976</v>
      </c>
      <c r="BH52" s="813">
        <f>BH47+BH43-BH42</f>
        <v>0.21423478305050292</v>
      </c>
      <c r="BI52" s="814">
        <f>BI47+BI43-BI42</f>
        <v>0.22266751227717929</v>
      </c>
      <c r="BJ52" s="815"/>
      <c r="BK52" s="1162">
        <f>BK47+BK43-BK42</f>
        <v>0.17051189808059264</v>
      </c>
      <c r="BL52" s="813">
        <f>BL47+BL43-BL42</f>
        <v>0.20267166074149312</v>
      </c>
      <c r="BM52" s="813">
        <f>BM47+BM43-BM42</f>
        <v>0.21603077537969617</v>
      </c>
      <c r="BN52" s="813">
        <f>BN47+BN43-BN42</f>
        <v>0.22370977144443416</v>
      </c>
      <c r="BO52" s="814">
        <f>BO47+BO43-BO42</f>
        <v>0.20455559908008791</v>
      </c>
      <c r="BP52" s="815"/>
      <c r="BQ52" s="1162">
        <f>BQ47+BQ43-BQ42</f>
        <v>0.15226549543891754</v>
      </c>
      <c r="BR52" s="813">
        <f>BR47+BR43-BR42</f>
        <v>0.18501860117064173</v>
      </c>
      <c r="BS52" s="813">
        <f>BS47+BS43-BS42</f>
        <v>0.20976281351015791</v>
      </c>
      <c r="BT52" s="813">
        <f>BT47+BT43-BT42</f>
        <v>0.22363960284022677</v>
      </c>
      <c r="BU52" s="814">
        <f>BU47+BU43-BU42</f>
        <v>0.19457677088300385</v>
      </c>
      <c r="BV52" s="815"/>
      <c r="BW52" s="1162">
        <f>BW47+BW43-BW42</f>
        <v>0.20538580780119942</v>
      </c>
      <c r="BX52" s="813">
        <f>BX47+BX43-BX42</f>
        <v>0.21288455133173489</v>
      </c>
      <c r="BY52" s="813">
        <f>BY47+BY43-BY42</f>
        <v>0.21429589656190795</v>
      </c>
      <c r="BZ52" s="813">
        <f>BZ47+BZ43-BZ42</f>
        <v>0.21440724111451515</v>
      </c>
      <c r="CA52" s="814">
        <f>CA47+CA43-CA42</f>
        <v>0.21199597274352466</v>
      </c>
      <c r="CB52" s="815"/>
      <c r="CC52" s="1162">
        <f>CC47+CC43-CC42</f>
        <v>0.21464862250869532</v>
      </c>
      <c r="CD52" s="813">
        <f>CD47+CD43-CD42</f>
        <v>0.22206612186326169</v>
      </c>
      <c r="CE52" s="813">
        <f>CE47+CE43-CE42</f>
        <v>0.22331293100364513</v>
      </c>
      <c r="CF52" s="813">
        <f>CF47+CF43-CF42</f>
        <v>0.22296475329889431</v>
      </c>
      <c r="CG52" s="814">
        <f>CG47+CG43-CG42</f>
        <v>0.22097707720636262</v>
      </c>
      <c r="CH52" s="397"/>
      <c r="CI52" s="397"/>
      <c r="CJ52" s="397"/>
      <c r="CK52" s="397"/>
      <c r="CL52" s="397"/>
      <c r="CM52" s="24"/>
      <c r="CN52" s="24"/>
    </row>
    <row r="53" spans="1:98" ht="12.75" customHeight="1" outlineLevel="1" x14ac:dyDescent="0.2">
      <c r="B53" s="817" t="s">
        <v>396</v>
      </c>
      <c r="C53" s="1162"/>
      <c r="D53" s="813"/>
      <c r="E53" s="813"/>
      <c r="F53" s="813"/>
      <c r="G53" s="814"/>
      <c r="H53" s="820"/>
      <c r="I53" s="1162"/>
      <c r="J53" s="813"/>
      <c r="K53" s="813"/>
      <c r="L53" s="813"/>
      <c r="M53" s="814"/>
      <c r="N53" s="820"/>
      <c r="O53" s="1162"/>
      <c r="P53" s="813"/>
      <c r="Q53" s="813"/>
      <c r="R53" s="813"/>
      <c r="S53" s="814"/>
      <c r="T53" s="820"/>
      <c r="U53" s="1162"/>
      <c r="V53" s="813"/>
      <c r="W53" s="813"/>
      <c r="X53" s="813"/>
      <c r="Y53" s="814"/>
      <c r="Z53" s="820"/>
      <c r="AA53" s="1162"/>
      <c r="AB53" s="813"/>
      <c r="AC53" s="813"/>
      <c r="AD53" s="813"/>
      <c r="AE53" s="814"/>
      <c r="AF53" s="820"/>
      <c r="AG53" s="1162"/>
      <c r="AH53" s="813"/>
      <c r="AI53" s="813"/>
      <c r="AJ53" s="813"/>
      <c r="AK53" s="814"/>
      <c r="AL53" s="816"/>
      <c r="AM53" s="1162"/>
      <c r="AN53" s="813"/>
      <c r="AO53" s="813"/>
      <c r="AP53" s="813"/>
      <c r="AQ53" s="814"/>
      <c r="AR53" s="816"/>
      <c r="AS53" s="813">
        <f>+AS131</f>
        <v>0.18692011426472585</v>
      </c>
      <c r="AT53" s="813">
        <f>+AT131</f>
        <v>0.19936548875492877</v>
      </c>
      <c r="AU53" s="813">
        <f>+AU131</f>
        <v>0.19391342164958275</v>
      </c>
      <c r="AV53" s="813">
        <f>+AV131</f>
        <v>0.188632742222721</v>
      </c>
      <c r="AW53" s="814">
        <f>+AW131</f>
        <v>0.19233527434737765</v>
      </c>
      <c r="AX53" s="816"/>
      <c r="AY53" s="813">
        <f>+AY131</f>
        <v>0.18086951514737207</v>
      </c>
      <c r="AZ53" s="813">
        <f>+AZ131</f>
        <v>0.20688198127162072</v>
      </c>
      <c r="BA53" s="813">
        <f>+BA131</f>
        <v>0.20729249960273316</v>
      </c>
      <c r="BB53" s="813">
        <f>+BB131</f>
        <v>0.19939493024129296</v>
      </c>
      <c r="BC53" s="814">
        <f>+BC131</f>
        <v>0.19855208713596045</v>
      </c>
      <c r="BD53" s="816"/>
      <c r="BE53" s="1162">
        <f t="shared" ref="BE53:BK53" si="11">BE52</f>
        <v>0.22915208747514904</v>
      </c>
      <c r="BF53" s="813">
        <f t="shared" si="11"/>
        <v>0.23544504620888396</v>
      </c>
      <c r="BG53" s="813">
        <f t="shared" si="11"/>
        <v>0.21262074829931976</v>
      </c>
      <c r="BH53" s="813">
        <f t="shared" si="11"/>
        <v>0.21423478305050292</v>
      </c>
      <c r="BI53" s="814">
        <f t="shared" si="11"/>
        <v>0.22266751227717929</v>
      </c>
      <c r="BJ53" s="815"/>
      <c r="BK53" s="1162">
        <f t="shared" si="11"/>
        <v>0.17051189808059264</v>
      </c>
      <c r="BL53" s="813">
        <f t="shared" ref="BL53" si="12">BL52</f>
        <v>0.20267166074149312</v>
      </c>
      <c r="BM53" s="813">
        <f>BM52</f>
        <v>0.21603077537969617</v>
      </c>
      <c r="BN53" s="813">
        <f>BN52</f>
        <v>0.22370977144443416</v>
      </c>
      <c r="BO53" s="814">
        <f>BO52</f>
        <v>0.20455559908008791</v>
      </c>
      <c r="BP53" s="815"/>
      <c r="BQ53" s="1162">
        <f>BQ52</f>
        <v>0.15226549543891754</v>
      </c>
      <c r="BR53" s="813">
        <f>BR52</f>
        <v>0.18501860117064173</v>
      </c>
      <c r="BS53" s="813">
        <f>BS52</f>
        <v>0.20976281351015791</v>
      </c>
      <c r="BT53" s="813">
        <f>BT52</f>
        <v>0.22363960284022677</v>
      </c>
      <c r="BU53" s="814">
        <f>BU52</f>
        <v>0.19457677088300385</v>
      </c>
      <c r="BV53" s="815"/>
      <c r="BW53" s="1162">
        <f>BW52</f>
        <v>0.20538580780119942</v>
      </c>
      <c r="BX53" s="813">
        <f>BX52</f>
        <v>0.21288455133173489</v>
      </c>
      <c r="BY53" s="813">
        <f>BY52</f>
        <v>0.21429589656190795</v>
      </c>
      <c r="BZ53" s="813">
        <f>BZ52</f>
        <v>0.21440724111451515</v>
      </c>
      <c r="CA53" s="814">
        <f>CA52</f>
        <v>0.21199597274352466</v>
      </c>
      <c r="CB53" s="815"/>
      <c r="CC53" s="1162">
        <f>CC52</f>
        <v>0.21464862250869532</v>
      </c>
      <c r="CD53" s="813">
        <f>CD52</f>
        <v>0.22206612186326169</v>
      </c>
      <c r="CE53" s="813">
        <f>CE52</f>
        <v>0.22331293100364513</v>
      </c>
      <c r="CF53" s="813">
        <f>CF52</f>
        <v>0.22296475329889431</v>
      </c>
      <c r="CG53" s="814">
        <f>CG52</f>
        <v>0.22097707720636262</v>
      </c>
      <c r="CH53" s="397"/>
      <c r="CI53" s="397"/>
      <c r="CJ53" s="397"/>
      <c r="CK53" s="397"/>
      <c r="CL53" s="397"/>
      <c r="CM53" s="24"/>
      <c r="CN53" s="24"/>
    </row>
    <row r="54" spans="1:98" ht="12.75" customHeight="1" outlineLevel="1" x14ac:dyDescent="0.2">
      <c r="B54" s="39" t="s">
        <v>24</v>
      </c>
      <c r="C54" s="1062"/>
      <c r="D54" s="46"/>
      <c r="E54" s="46"/>
      <c r="F54" s="46"/>
      <c r="G54" s="85"/>
      <c r="H54" s="139"/>
      <c r="I54" s="1062">
        <f>+(I18-C18)/(I8-C8)</f>
        <v>0.21656543597443043</v>
      </c>
      <c r="J54" s="46">
        <f>+(J18-D18)/(J8-D8)</f>
        <v>0.20482368406012585</v>
      </c>
      <c r="K54" s="46">
        <f>+(K18-E18)/(K8-E8)</f>
        <v>0.29084826762246163</v>
      </c>
      <c r="L54" s="46">
        <f>+(L18-F18)/(L8-F8)</f>
        <v>5.3112729670597755E-2</v>
      </c>
      <c r="M54" s="85">
        <f>+(M18-G18)/(M9-G9)</f>
        <v>0.27233310906780117</v>
      </c>
      <c r="N54" s="139"/>
      <c r="O54" s="1062">
        <f>+(O18-I18)/(O9-I9)</f>
        <v>0.35597097849532366</v>
      </c>
      <c r="P54" s="46">
        <f>+(P18-J18)/(P9-J9)</f>
        <v>0.37712222728160449</v>
      </c>
      <c r="Q54" s="46">
        <f>+(Q18-K18)/(Q9-K9)</f>
        <v>-0.88293789253317778</v>
      </c>
      <c r="R54" s="46">
        <f>+(R18-L18)/(R9-L9)</f>
        <v>0.13411334273409661</v>
      </c>
      <c r="S54" s="85">
        <f>+(S18-M18)/(S9-M9)</f>
        <v>6.5443522654759807</v>
      </c>
      <c r="T54" s="139"/>
      <c r="U54" s="1062">
        <f>+(U18-O18)/(U9-O9)</f>
        <v>0.13107802487749962</v>
      </c>
      <c r="V54" s="46">
        <f>+(V18-P18)/(V9-P9)</f>
        <v>0.28221333677287941</v>
      </c>
      <c r="W54" s="46">
        <f>+(W18-Q18)/(W9-Q9)</f>
        <v>-3.6382575757571542</v>
      </c>
      <c r="X54" s="46">
        <f>+(X18-R18)/(X9-R9)</f>
        <v>-2.835728952772183</v>
      </c>
      <c r="Y54" s="85">
        <f>+(Y18-S18)/(Y9-S9)</f>
        <v>4.0836192840294973E-2</v>
      </c>
      <c r="Z54" s="139"/>
      <c r="AA54" s="1062">
        <f>+(AA18-U18)/(AA9-U9)</f>
        <v>0.24035367051729387</v>
      </c>
      <c r="AB54" s="46">
        <f>+(AB18-V18)/(AB9-V9)</f>
        <v>3.7463654663385852E-2</v>
      </c>
      <c r="AC54" s="46">
        <f>+(AC18-W18)/(AC9-W9)</f>
        <v>6.4808010950218792E-2</v>
      </c>
      <c r="AD54" s="46">
        <f>+(AD18-X18)/(AD9-X9)</f>
        <v>4.2887595049474238E-2</v>
      </c>
      <c r="AE54" s="85">
        <f>+(AE18-Y18)/(AE9-Y9)</f>
        <v>6.6518389967717653E-2</v>
      </c>
      <c r="AF54" s="139"/>
      <c r="AG54" s="1062">
        <f>+(AG18-AA18)/(AG9-AA9)</f>
        <v>7.779541191747176E-2</v>
      </c>
      <c r="AH54" s="46">
        <f>+(AH18-AB18)/(AH9-AB9)</f>
        <v>0.1700052048479439</v>
      </c>
      <c r="AI54" s="46">
        <f>+(AI18-AC18)/(AI9-AC9)</f>
        <v>0.17612062037447956</v>
      </c>
      <c r="AJ54" s="46">
        <f>+(AJ18-AD18)/(AJ9-AD9)</f>
        <v>0.45140809410664451</v>
      </c>
      <c r="AK54" s="85">
        <f>+(AK18-AE18)/(AK9-AE9)</f>
        <v>0.15679624861311686</v>
      </c>
      <c r="AL54" s="497"/>
      <c r="AM54" s="1062">
        <f>+(AM18-AG18)/(AM9-AG9)</f>
        <v>-0.52676537585421646</v>
      </c>
      <c r="AN54" s="46">
        <f>+(AN18-AH18)/(AN9-AH9)</f>
        <v>0.45845731288624569</v>
      </c>
      <c r="AO54" s="46">
        <f>+(AO18-AI18)/(AO9-AI9)</f>
        <v>0.36148845550325004</v>
      </c>
      <c r="AP54" s="46">
        <f>+(AP18-AJ18)/(AP9-AJ9)</f>
        <v>0.2504903883876039</v>
      </c>
      <c r="AQ54" s="85">
        <f>+(AQ18-AK18)/(AQ9-AK9)</f>
        <v>0.26190768583007584</v>
      </c>
      <c r="AR54" s="497"/>
      <c r="AS54" s="46">
        <f>+(AS18-AM18)/(AS9-AM9)</f>
        <v>0.80372588157019287</v>
      </c>
      <c r="AT54" s="46">
        <f>+(AT18-AN18)/(AT9-AN9)</f>
        <v>0.21429527506357895</v>
      </c>
      <c r="AU54" s="46">
        <f>+(AU18-AO18)/(AU9-AO9)</f>
        <v>0.6182251829920189</v>
      </c>
      <c r="AV54" s="46">
        <f>+(AV18-AP18)/(AV9-AP9)</f>
        <v>1.765380880927216E-4</v>
      </c>
      <c r="AW54" s="85">
        <f>+(AW18-AQ18)/(AW9-AQ9)</f>
        <v>1.1443077803203565</v>
      </c>
      <c r="AX54" s="497"/>
      <c r="AY54" s="46">
        <f>+(AY18-AS18)/(AY9-AS9)</f>
        <v>7.1466990543940317E-2</v>
      </c>
      <c r="AZ54" s="46">
        <f>+(AZ18-AT18)/(AZ9-AT9)</f>
        <v>-2.9430604982206319E-2</v>
      </c>
      <c r="BA54" s="46">
        <f>+(BA18-AU18)/(BA9-AU9)</f>
        <v>-9.8825644556653269E-2</v>
      </c>
      <c r="BB54" s="46">
        <f>+(BB18-AV18)/(BB9-AV9)</f>
        <v>-0.1348229921748581</v>
      </c>
      <c r="BC54" s="85">
        <f>+(BC18-AW18)/(BC9-AW9)</f>
        <v>-3.9217914122048093E-2</v>
      </c>
      <c r="BD54" s="497"/>
      <c r="BE54" s="1062">
        <f>+(BE18-AY18)/(BE8-AY8)</f>
        <v>0.44401444788441696</v>
      </c>
      <c r="BF54" s="46">
        <f>+(BF18-AZ18)/(BF8-AZ8)</f>
        <v>0.27574525329090827</v>
      </c>
      <c r="BG54" s="46">
        <f>+(BG18-BA18)/(BG8-BA8)</f>
        <v>0.20658194851743242</v>
      </c>
      <c r="BH54" s="46">
        <f>+(BH18-BB18)/(BH8-BB8)</f>
        <v>0.23768736616702354</v>
      </c>
      <c r="BI54" s="85">
        <f>+(BI18-BC18)/(BI8-BC8)</f>
        <v>0.26310108824792627</v>
      </c>
      <c r="BJ54" s="239"/>
      <c r="BK54" s="1062">
        <f>+(BK18-BE18)/(BK8-BE8)</f>
        <v>-0.16692426584234929</v>
      </c>
      <c r="BL54" s="46">
        <f>+(BL18-BF18)/(BL8-BF8)</f>
        <v>1.2687074829931986</v>
      </c>
      <c r="BM54" s="46">
        <f>+(BM18-BG18)/(BM8-BG8)</f>
        <v>0.29227941176470551</v>
      </c>
      <c r="BN54" s="46">
        <f>+(BN18-BH18)/(BN8-BH8)</f>
        <v>0.32795698924731181</v>
      </c>
      <c r="BO54" s="85">
        <f>+(BO18-BI18)/(BO8-BI8)</f>
        <v>-5.0525464834275537E-2</v>
      </c>
      <c r="BP54" s="239"/>
      <c r="BQ54" s="1062">
        <f>+(BQ18-BK18)/(BQ8-BK8)</f>
        <v>-0.18692093885114452</v>
      </c>
      <c r="BR54" s="46">
        <f>+(BR18-BL18)/(BR8-BL8)</f>
        <v>-8.334993319567531E-2</v>
      </c>
      <c r="BS54" s="46">
        <f>+(BS18-BM18)/(BS8-BM8)</f>
        <v>0.11820102148448267</v>
      </c>
      <c r="BT54" s="46">
        <f>+(BT18-BN18)/(BT8-BN8)</f>
        <v>0.21808469200378364</v>
      </c>
      <c r="BU54" s="85">
        <f>+(BU18-BO18)/(BU8-BO8)</f>
        <v>3.725242868754107E-2</v>
      </c>
      <c r="BV54" s="239"/>
      <c r="BW54" s="1062">
        <f>+(BW18-BQ18)/(BW8-BQ8)</f>
        <v>1.7548084312041603</v>
      </c>
      <c r="BX54" s="46">
        <f>+(BX18-BR18)/(BX8-BR8)</f>
        <v>0.80728377487467939</v>
      </c>
      <c r="BY54" s="46">
        <f>+(BY18-BS18)/(BY8-BS8)</f>
        <v>0.3176621562396334</v>
      </c>
      <c r="BZ54" s="46">
        <f>+(BZ18-BT18)/(BZ8-BT8)</f>
        <v>-5.9559309586876066E-2</v>
      </c>
      <c r="CA54" s="85">
        <f>+(CA18-BU18)/(CA8-BU8)</f>
        <v>0.65099135606475356</v>
      </c>
      <c r="CB54" s="239"/>
      <c r="CC54" s="1062">
        <f>+(CC18-BW18)/(CC8-BW8)</f>
        <v>0.47689634467353997</v>
      </c>
      <c r="CD54" s="46">
        <f>+(CD18-BX18)/(CD8-BX8)</f>
        <v>0.58927183613645551</v>
      </c>
      <c r="CE54" s="46">
        <f>+(CE18-BY18)/(CE8-BY8)</f>
        <v>0.54568279755271465</v>
      </c>
      <c r="CF54" s="46">
        <f>+(CF18-BZ18)/(CF8-BZ8)</f>
        <v>0.46387006188996055</v>
      </c>
      <c r="CG54" s="85">
        <f>+(CG18-CA18)/(CG8-CA8)</f>
        <v>0.51163870660282484</v>
      </c>
      <c r="CH54" s="397"/>
      <c r="CI54" s="397"/>
      <c r="CJ54" s="397"/>
      <c r="CK54" s="397"/>
      <c r="CL54" s="397"/>
      <c r="CM54" s="24"/>
      <c r="CN54" s="24"/>
    </row>
    <row r="55" spans="1:98" ht="12.75" customHeight="1" outlineLevel="1" x14ac:dyDescent="0.2">
      <c r="B55" s="39" t="s">
        <v>239</v>
      </c>
      <c r="C55" s="1062">
        <f>+C25/C8</f>
        <v>0.17860526493875611</v>
      </c>
      <c r="D55" s="46">
        <f>+D25/D8</f>
        <v>0.19479779723353341</v>
      </c>
      <c r="E55" s="46">
        <f>+E25/E8</f>
        <v>0.17729249769003683</v>
      </c>
      <c r="F55" s="46">
        <f>+F25/F8</f>
        <v>0.18252127408107802</v>
      </c>
      <c r="G55" s="85">
        <f>+G25/G8</f>
        <v>0.18342917048331889</v>
      </c>
      <c r="H55" s="139"/>
      <c r="I55" s="1062">
        <f>+I25/I8</f>
        <v>0.1695436016134611</v>
      </c>
      <c r="J55" s="46">
        <f>+J25/J8</f>
        <v>0.18736582684286901</v>
      </c>
      <c r="K55" s="46">
        <f>+K25/K8</f>
        <v>0.17701381065868119</v>
      </c>
      <c r="L55" s="46">
        <f>+L25/L8</f>
        <v>0.17098994176813118</v>
      </c>
      <c r="M55" s="85">
        <f>+M25/M8</f>
        <v>0.17651590469717462</v>
      </c>
      <c r="N55" s="139"/>
      <c r="O55" s="1062">
        <f>+O25/O8</f>
        <v>0.16813328362419097</v>
      </c>
      <c r="P55" s="46">
        <f>+P25/P8</f>
        <v>0.17965313151192389</v>
      </c>
      <c r="Q55" s="46">
        <f>+Q25/Q8</f>
        <v>0.16811652042627762</v>
      </c>
      <c r="R55" s="46">
        <f>+R25/R8</f>
        <v>0.17685795416559624</v>
      </c>
      <c r="S55" s="85">
        <f>+S25/S8</f>
        <v>0.17337492555726677</v>
      </c>
      <c r="T55" s="139"/>
      <c r="U55" s="1062">
        <f>+U25/U8</f>
        <v>0.1623683015107778</v>
      </c>
      <c r="V55" s="46">
        <f>+V25/V8</f>
        <v>0.17665098763727999</v>
      </c>
      <c r="W55" s="46">
        <f>+W25/W8</f>
        <v>0.16085933390548451</v>
      </c>
      <c r="X55" s="46">
        <f>+X25/X8</f>
        <v>0.17054256744032142</v>
      </c>
      <c r="Y55" s="85">
        <f>+Y25/Y8</f>
        <v>0.16772519218699214</v>
      </c>
      <c r="Z55" s="139"/>
      <c r="AA55" s="1062">
        <f>+AA25/AA8</f>
        <v>0.17183432865383719</v>
      </c>
      <c r="AB55" s="46">
        <f>+AB25/AB8</f>
        <v>0.16659474306867092</v>
      </c>
      <c r="AC55" s="46">
        <f>+AC25/AC8</f>
        <v>0.14163408679825548</v>
      </c>
      <c r="AD55" s="46">
        <f>+AD25/AD8</f>
        <v>0.12717255658098178</v>
      </c>
      <c r="AE55" s="85">
        <f>+AE25/AE8</f>
        <v>0.15021211970754828</v>
      </c>
      <c r="AF55" s="139"/>
      <c r="AG55" s="1062">
        <f>+AG25/AG8</f>
        <v>0.13777667351094972</v>
      </c>
      <c r="AH55" s="46">
        <f>+AH25/AH8</f>
        <v>0.15247171013140337</v>
      </c>
      <c r="AI55" s="46">
        <f>+AI25/AI8</f>
        <v>0.14138018265601512</v>
      </c>
      <c r="AJ55" s="46">
        <f>+AJ25/AJ8</f>
        <v>0.14461533968415796</v>
      </c>
      <c r="AK55" s="85">
        <f>+AK25/AK8</f>
        <v>0.14422067258588131</v>
      </c>
      <c r="AL55" s="497"/>
      <c r="AM55" s="1062">
        <f>+AM25/AM8</f>
        <v>0.1328017003513258</v>
      </c>
      <c r="AN55" s="46">
        <f>+AN25/AN8</f>
        <v>0.16422254635287317</v>
      </c>
      <c r="AO55" s="46">
        <f>+AO25/AO8</f>
        <v>0.15344636074645818</v>
      </c>
      <c r="AP55" s="46">
        <f>+AP25/AP8</f>
        <v>0.14857932908560645</v>
      </c>
      <c r="AQ55" s="85">
        <f>+AQ25/AQ8</f>
        <v>0.14986054487472758</v>
      </c>
      <c r="AR55" s="497"/>
      <c r="AS55" s="46">
        <f>+AS25/AS8</f>
        <v>0.15242825093067658</v>
      </c>
      <c r="AT55" s="46">
        <f>+AT25/AT8</f>
        <v>0.16982978862426082</v>
      </c>
      <c r="AU55" s="46">
        <f>+AU25/AU8</f>
        <v>0.16453603298316946</v>
      </c>
      <c r="AV55" s="46">
        <f>+AV25/AV8</f>
        <v>0.15268253131601672</v>
      </c>
      <c r="AW55" s="85">
        <f>+AW25/AW8</f>
        <v>0.15998111283711186</v>
      </c>
      <c r="AX55" s="497"/>
      <c r="AY55" s="46">
        <f>+AY25/AY8</f>
        <v>0.16486165285226717</v>
      </c>
      <c r="AZ55" s="46">
        <f>+AZ25/AZ8</f>
        <v>0.19131354171740647</v>
      </c>
      <c r="BA55" s="46">
        <f>+BA25/BA8</f>
        <v>0.18631530282015721</v>
      </c>
      <c r="BB55" s="46">
        <f>+BB25/BB8</f>
        <v>0.1795559529131277</v>
      </c>
      <c r="BC55" s="85">
        <f>+BC25/BC8</f>
        <v>0.18047164033105914</v>
      </c>
      <c r="BD55" s="497"/>
      <c r="BE55" s="1062">
        <f>BE25/BE8</f>
        <v>0.20618690137199069</v>
      </c>
      <c r="BF55" s="46">
        <f>BF25/BF8</f>
        <v>0.23026572880031262</v>
      </c>
      <c r="BG55" s="46">
        <f>BG25/BG8</f>
        <v>0.19533375183092699</v>
      </c>
      <c r="BH55" s="46">
        <f>BH25/BH8</f>
        <v>0.19969939879759521</v>
      </c>
      <c r="BI55" s="85">
        <f>BI25/BI8</f>
        <v>0.20826666666666663</v>
      </c>
      <c r="BJ55" s="239"/>
      <c r="BK55" s="1062">
        <f>BK25/BK8</f>
        <v>0.15587583148558759</v>
      </c>
      <c r="BL55" s="46">
        <f>BL25/BL8</f>
        <v>0.18044659022329512</v>
      </c>
      <c r="BM55" s="46">
        <f>BM25/BM8</f>
        <v>0.19916848148881411</v>
      </c>
      <c r="BN55" s="46">
        <f>BN25/BN8</f>
        <v>0.20815765352887258</v>
      </c>
      <c r="BO55" s="85">
        <f>BO25/BO8</f>
        <v>0.18719667784059643</v>
      </c>
      <c r="BP55" s="239"/>
      <c r="BQ55" s="1062">
        <f>BQ25/BQ8</f>
        <v>0.13997490979096741</v>
      </c>
      <c r="BR55" s="46">
        <f>BR25/BR8</f>
        <v>0.17368494659729714</v>
      </c>
      <c r="BS55" s="46">
        <f>BS25/BS8</f>
        <v>0.19820474789073311</v>
      </c>
      <c r="BT55" s="46">
        <f>BT25/BT8</f>
        <v>0.21208355243778756</v>
      </c>
      <c r="BU55" s="85">
        <f>BU25/BU8</f>
        <v>0.18288327701850032</v>
      </c>
      <c r="BV55" s="239"/>
      <c r="BW55" s="1062">
        <f>BW25/BW8</f>
        <v>0.19282833339299199</v>
      </c>
      <c r="BX55" s="46">
        <f>BX25/BX8</f>
        <v>0.20199300003310536</v>
      </c>
      <c r="BY55" s="46">
        <f>BY25/BY8</f>
        <v>0.2033239632844438</v>
      </c>
      <c r="BZ55" s="46">
        <f>BZ25/BZ8</f>
        <v>0.20343373191692365</v>
      </c>
      <c r="CA55" s="85">
        <f>CA25/CA8</f>
        <v>0.20068723092887178</v>
      </c>
      <c r="CB55" s="239"/>
      <c r="CC55" s="1062">
        <f>CC25/CC8</f>
        <v>0.20513898029485608</v>
      </c>
      <c r="CD55" s="46">
        <f>CD25/CD8</f>
        <v>0.21595715175949615</v>
      </c>
      <c r="CE55" s="46">
        <f>CE25/CE8</f>
        <v>0.21647242477846418</v>
      </c>
      <c r="CF55" s="46">
        <f>CF25/CF8</f>
        <v>0.21530486781751593</v>
      </c>
      <c r="CG55" s="85">
        <f>CG25/CG8</f>
        <v>0.21349581763775233</v>
      </c>
      <c r="CH55" s="397"/>
      <c r="CI55" s="397"/>
      <c r="CJ55" s="397"/>
      <c r="CK55" s="397"/>
      <c r="CL55" s="397"/>
      <c r="CM55" s="24"/>
      <c r="CN55" s="24"/>
    </row>
    <row r="56" spans="1:98" x14ac:dyDescent="0.2">
      <c r="B56" s="39" t="s">
        <v>108</v>
      </c>
      <c r="C56" s="1163">
        <f>C31/C8</f>
        <v>0.12455166813290917</v>
      </c>
      <c r="D56" s="493">
        <f>D31/D8</f>
        <v>0.13411134456265936</v>
      </c>
      <c r="E56" s="493">
        <f>E31/E8</f>
        <v>0.12496337863114969</v>
      </c>
      <c r="F56" s="493">
        <f>F31/F8</f>
        <v>0.12650322065949665</v>
      </c>
      <c r="G56" s="384">
        <f>G31/G8</f>
        <v>0.12759070032186767</v>
      </c>
      <c r="H56" s="140"/>
      <c r="I56" s="1163">
        <f>I31/I8</f>
        <v>0.12294617159609252</v>
      </c>
      <c r="J56" s="493">
        <f>J31/J8</f>
        <v>0.13355030789429906</v>
      </c>
      <c r="K56" s="493">
        <f>K31/K8</f>
        <v>0.13072102620421069</v>
      </c>
      <c r="L56" s="493">
        <f>L31/L8</f>
        <v>0.13341178924747255</v>
      </c>
      <c r="M56" s="384">
        <f>M31/M8</f>
        <v>0.13012399468848163</v>
      </c>
      <c r="N56" s="140"/>
      <c r="O56" s="1163">
        <f>O31/O8</f>
        <v>0.12652160276477509</v>
      </c>
      <c r="P56" s="493">
        <f>P31/P8</f>
        <v>0.13225536871961083</v>
      </c>
      <c r="Q56" s="493">
        <f>Q31/Q8</f>
        <v>0.12403356155744592</v>
      </c>
      <c r="R56" s="493">
        <f>R31/R8</f>
        <v>0.12772302311424805</v>
      </c>
      <c r="S56" s="384">
        <f>S31/S8</f>
        <v>0.12769371550511285</v>
      </c>
      <c r="T56" s="140"/>
      <c r="U56" s="1163">
        <f>U31/U8</f>
        <v>0.11989874419354382</v>
      </c>
      <c r="V56" s="493">
        <f>V31/V8</f>
        <v>0.13079071150232</v>
      </c>
      <c r="W56" s="493">
        <f>W31/W8</f>
        <v>0.11970137408525067</v>
      </c>
      <c r="X56" s="493">
        <f>X31/X8</f>
        <v>0.12977124763934669</v>
      </c>
      <c r="Y56" s="384">
        <f>Y31/Y8</f>
        <v>0.12514734261017726</v>
      </c>
      <c r="Z56" s="140"/>
      <c r="AA56" s="1163">
        <f>AA31/AA8</f>
        <v>0.12832009647626758</v>
      </c>
      <c r="AB56" s="493">
        <f>AB31/AB8</f>
        <v>0.13133139604524133</v>
      </c>
      <c r="AC56" s="493">
        <f>AC31/AC8</f>
        <v>0.10584759559764366</v>
      </c>
      <c r="AD56" s="493">
        <f>AD31/AD8</f>
        <v>9.8388510771490592E-2</v>
      </c>
      <c r="AE56" s="384">
        <f>AE31/AE8</f>
        <v>0.11485042861342358</v>
      </c>
      <c r="AF56" s="140"/>
      <c r="AG56" s="1163">
        <f>AG31/AG8</f>
        <v>0.10504555333306347</v>
      </c>
      <c r="AH56" s="493">
        <f>AH31/AH8</f>
        <v>0.11602581409552366</v>
      </c>
      <c r="AI56" s="493">
        <f>AI31/AI8</f>
        <v>0.10646166494666069</v>
      </c>
      <c r="AJ56" s="493">
        <f>AJ31/AJ8</f>
        <v>0.10800384447913676</v>
      </c>
      <c r="AK56" s="384">
        <f>AK31/AK8</f>
        <v>0.1090038378939697</v>
      </c>
      <c r="AL56" s="497"/>
      <c r="AM56" s="1163">
        <f>AM31/AM8</f>
        <v>0.10268083990361762</v>
      </c>
      <c r="AN56" s="493">
        <f>AN31/AN8</f>
        <v>0.12592607193072367</v>
      </c>
      <c r="AO56" s="493">
        <f>AO31/AO8</f>
        <v>0.11676974168274104</v>
      </c>
      <c r="AP56" s="493">
        <f>AP31/AP8</f>
        <v>0.1166749374384668</v>
      </c>
      <c r="AQ56" s="384">
        <f>AQ31/AQ8</f>
        <v>0.11561151834944774</v>
      </c>
      <c r="AR56" s="497"/>
      <c r="AS56" s="493">
        <f>AS31/AS8</f>
        <v>0.11706117126914427</v>
      </c>
      <c r="AT56" s="493">
        <f>AT31/AT8</f>
        <v>0.13025057989480218</v>
      </c>
      <c r="AU56" s="493">
        <f>AU31/AU8</f>
        <v>0.12603495990059863</v>
      </c>
      <c r="AV56" s="493">
        <f>AV31/AV8</f>
        <v>0.12037978362847179</v>
      </c>
      <c r="AW56" s="384">
        <f>AW31/AW8</f>
        <v>0.12350562166822913</v>
      </c>
      <c r="AX56" s="497"/>
      <c r="AY56" s="493">
        <f>AY31/AY8</f>
        <v>0.12742412237932715</v>
      </c>
      <c r="AZ56" s="493">
        <f>AZ31/AZ8</f>
        <v>0.14801878493881143</v>
      </c>
      <c r="BA56" s="493">
        <f>BA31/BA8</f>
        <v>0.14486053321004777</v>
      </c>
      <c r="BB56" s="493">
        <f>BB31/BB8</f>
        <v>0.13797794665474594</v>
      </c>
      <c r="BC56" s="384">
        <f>BC31/BC8</f>
        <v>0.1394915952654987</v>
      </c>
      <c r="BD56" s="497"/>
      <c r="BE56" s="1163">
        <f>BE31/BE8</f>
        <v>0.15842609370955218</v>
      </c>
      <c r="BF56" s="493">
        <f>BF31/BF8</f>
        <v>0.17672919109026966</v>
      </c>
      <c r="BG56" s="493">
        <f>BG31/BG8</f>
        <v>0.16279556392550742</v>
      </c>
      <c r="BH56" s="493">
        <f>BH31/BH8</f>
        <v>0.15841683366733467</v>
      </c>
      <c r="BI56" s="384">
        <f>BI31/BI8</f>
        <v>0.16453333333333331</v>
      </c>
      <c r="BJ56" s="239"/>
      <c r="BK56" s="1163">
        <f>BK31/BK8</f>
        <v>0.12605321507760531</v>
      </c>
      <c r="BL56" s="493">
        <f>BL31/BL8</f>
        <v>0.15157915912291289</v>
      </c>
      <c r="BM56" s="493">
        <f>BM31/BM8</f>
        <v>0.16264106117600474</v>
      </c>
      <c r="BN56" s="493">
        <f>BN31/BN8</f>
        <v>0.17369385884509625</v>
      </c>
      <c r="BO56" s="780">
        <f>BO31/BO8</f>
        <v>0.15465052283984593</v>
      </c>
      <c r="BP56" s="239"/>
      <c r="BQ56" s="1163">
        <f>BQ31/BQ8</f>
        <v>0.10906532111862359</v>
      </c>
      <c r="BR56" s="493">
        <f>BR31/BR8</f>
        <v>0.1353314283423642</v>
      </c>
      <c r="BS56" s="493">
        <f>BS31/BS8</f>
        <v>0.1544367094661532</v>
      </c>
      <c r="BT56" s="493">
        <f>BT31/BT8</f>
        <v>0.16525076376293821</v>
      </c>
      <c r="BU56" s="384">
        <f>BU31/BU8</f>
        <v>0.14249856181394063</v>
      </c>
      <c r="BV56" s="239"/>
      <c r="BW56" s="1163">
        <f>BW31/BW8</f>
        <v>0.15024752745818737</v>
      </c>
      <c r="BX56" s="493">
        <f>BX31/BX8</f>
        <v>0.15738843086396045</v>
      </c>
      <c r="BY56" s="493">
        <f>BY31/BY8</f>
        <v>0.15842548768093642</v>
      </c>
      <c r="BZ56" s="493">
        <f>BZ31/BZ8</f>
        <v>0.15851101694591715</v>
      </c>
      <c r="CA56" s="384">
        <f>CA31/CA8</f>
        <v>0.15637100476329227</v>
      </c>
      <c r="CB56" s="239"/>
      <c r="CC56" s="1163">
        <f>CC31/CC8</f>
        <v>0.15983970836785807</v>
      </c>
      <c r="CD56" s="493">
        <f>CD31/CD8</f>
        <v>0.16826898577528268</v>
      </c>
      <c r="CE56" s="493">
        <f>CE31/CE8</f>
        <v>0.16867047499475379</v>
      </c>
      <c r="CF56" s="493">
        <f>CF31/CF8</f>
        <v>0.16776074070694269</v>
      </c>
      <c r="CG56" s="384">
        <f>CG31/CG8</f>
        <v>0.16635116924109736</v>
      </c>
      <c r="CH56" s="397"/>
      <c r="CI56" s="397"/>
      <c r="CJ56" s="397"/>
      <c r="CK56" s="397"/>
      <c r="CL56" s="397"/>
      <c r="CM56" s="24"/>
      <c r="CN56" s="24"/>
    </row>
    <row r="57" spans="1:98" ht="6" customHeight="1" x14ac:dyDescent="0.2">
      <c r="B57" s="379"/>
      <c r="C57" s="122"/>
      <c r="D57" s="134"/>
      <c r="E57" s="134"/>
      <c r="F57" s="134"/>
      <c r="G57" s="383"/>
      <c r="H57" s="86"/>
      <c r="I57" s="134"/>
      <c r="J57" s="134"/>
      <c r="K57" s="134"/>
      <c r="L57" s="134"/>
      <c r="M57" s="383"/>
      <c r="N57" s="86"/>
      <c r="O57" s="122"/>
      <c r="P57" s="122"/>
      <c r="Q57" s="122"/>
      <c r="R57" s="122"/>
      <c r="S57" s="383"/>
      <c r="T57" s="86"/>
      <c r="U57" s="122"/>
      <c r="V57" s="122"/>
      <c r="W57" s="122"/>
      <c r="X57" s="122"/>
      <c r="Y57" s="383"/>
      <c r="Z57" s="86"/>
      <c r="AA57" s="46"/>
      <c r="AB57" s="46"/>
      <c r="AC57" s="46"/>
      <c r="AD57" s="46"/>
      <c r="AE57" s="85"/>
      <c r="AF57" s="86"/>
      <c r="AG57" s="46"/>
      <c r="AH57" s="46"/>
      <c r="AI57" s="46"/>
      <c r="AJ57" s="136"/>
      <c r="AK57" s="673"/>
      <c r="AL57" s="497"/>
      <c r="AM57" s="673"/>
      <c r="AN57" s="673"/>
      <c r="AO57" s="673"/>
      <c r="AP57" s="673"/>
      <c r="AQ57" s="673"/>
      <c r="AR57" s="497"/>
      <c r="AS57" s="673"/>
      <c r="AT57" s="673"/>
      <c r="AU57" s="673"/>
      <c r="AV57" s="673"/>
      <c r="AW57" s="673"/>
      <c r="AX57" s="497"/>
      <c r="AY57" s="673"/>
      <c r="AZ57" s="673"/>
      <c r="BA57" s="673"/>
      <c r="BB57" s="673"/>
      <c r="BC57" s="673"/>
      <c r="BD57" s="497"/>
      <c r="BE57" s="673"/>
      <c r="BF57" s="673"/>
      <c r="BG57" s="673"/>
      <c r="BH57" s="673"/>
      <c r="BI57" s="673"/>
      <c r="BJ57" s="19"/>
      <c r="BK57" s="673"/>
      <c r="BL57" s="673"/>
      <c r="BM57" s="673"/>
      <c r="BN57" s="673"/>
      <c r="BO57" s="673"/>
      <c r="BP57" s="19"/>
      <c r="BQ57" s="673"/>
      <c r="BR57" s="673"/>
      <c r="BS57" s="673"/>
      <c r="BT57" s="673"/>
      <c r="BU57" s="673"/>
      <c r="BV57" s="19"/>
      <c r="BW57" s="673"/>
      <c r="BX57" s="673"/>
      <c r="BY57" s="673"/>
      <c r="BZ57" s="673"/>
      <c r="CA57" s="673"/>
      <c r="CB57" s="19"/>
      <c r="CC57" s="673"/>
      <c r="CD57" s="673"/>
      <c r="CE57" s="673"/>
      <c r="CF57" s="673"/>
      <c r="CG57" s="673"/>
      <c r="CH57" s="397"/>
      <c r="CI57" s="397"/>
      <c r="CJ57" s="397"/>
      <c r="CK57" s="397"/>
      <c r="CL57" s="397"/>
      <c r="CM57" s="24"/>
      <c r="CN57" s="24"/>
    </row>
    <row r="58" spans="1:98" ht="12" customHeight="1" x14ac:dyDescent="0.2">
      <c r="B58" s="44" t="s">
        <v>209</v>
      </c>
      <c r="C58" s="122"/>
      <c r="D58" s="134"/>
      <c r="E58" s="134"/>
      <c r="F58" s="134"/>
      <c r="G58" s="383"/>
      <c r="H58" s="86"/>
      <c r="I58" s="134"/>
      <c r="J58" s="134"/>
      <c r="K58" s="134"/>
      <c r="L58" s="134"/>
      <c r="M58" s="383"/>
      <c r="N58" s="86"/>
      <c r="O58" s="122"/>
      <c r="P58" s="122"/>
      <c r="Q58" s="122"/>
      <c r="R58" s="122"/>
      <c r="S58" s="383"/>
      <c r="T58" s="86"/>
      <c r="U58" s="122"/>
      <c r="V58" s="122"/>
      <c r="W58" s="122"/>
      <c r="X58" s="122"/>
      <c r="Y58" s="383"/>
      <c r="Z58" s="86"/>
      <c r="AA58" s="136"/>
      <c r="AB58" s="136"/>
      <c r="AC58" s="136"/>
      <c r="AD58" s="136"/>
      <c r="AE58" s="137"/>
      <c r="AF58" s="86"/>
      <c r="AG58" s="136"/>
      <c r="AH58" s="136"/>
      <c r="AI58" s="136"/>
      <c r="AJ58" s="136"/>
      <c r="AK58" s="811"/>
      <c r="AL58" s="497"/>
      <c r="AM58" s="811"/>
      <c r="AN58" s="811"/>
      <c r="AO58" s="811"/>
      <c r="AP58" s="811"/>
      <c r="AQ58" s="811"/>
      <c r="AR58" s="497"/>
      <c r="AS58" s="811"/>
      <c r="AT58" s="811"/>
      <c r="AU58" s="811"/>
      <c r="AV58" s="811"/>
      <c r="AW58" s="811"/>
      <c r="AX58" s="497"/>
      <c r="AY58" s="811"/>
      <c r="AZ58" s="811"/>
      <c r="BA58" s="811"/>
      <c r="BB58" s="811"/>
      <c r="BC58" s="811"/>
      <c r="BD58" s="497"/>
      <c r="BE58" s="521"/>
      <c r="BL58" s="1462"/>
      <c r="BU58" s="1710"/>
      <c r="CA58" s="1710"/>
      <c r="CG58" s="1710"/>
      <c r="CH58" s="397"/>
      <c r="CI58" s="397"/>
      <c r="CJ58" s="397"/>
      <c r="CK58" s="397"/>
      <c r="CL58" s="397"/>
      <c r="CM58" s="24"/>
      <c r="CN58" s="24"/>
    </row>
    <row r="59" spans="1:98" x14ac:dyDescent="0.2">
      <c r="B59" s="39" t="s">
        <v>182</v>
      </c>
      <c r="C59" s="122"/>
      <c r="D59" s="134"/>
      <c r="E59" s="134"/>
      <c r="F59" s="134"/>
      <c r="G59" s="85"/>
      <c r="H59" s="86"/>
      <c r="I59" s="46">
        <f>IF(ISERROR(I8/C8-1),"NM",I8/C8-1)</f>
        <v>0.18592660891926638</v>
      </c>
      <c r="J59" s="46">
        <f>IF(ISERROR(J8/D8-1),"NM",J8/D8-1)</f>
        <v>0.1724311241283345</v>
      </c>
      <c r="K59" s="46">
        <f>IF(ISERROR(K8/E8-1),"NM",K8/E8-1)</f>
        <v>8.5740099937922976E-2</v>
      </c>
      <c r="L59" s="46">
        <f>IF(ISERROR(L8/F8-1),"NM",L8/F8-1)</f>
        <v>-6.1611733246661471E-2</v>
      </c>
      <c r="M59" s="85">
        <f>IF(ISERROR(M8/G8-1),"NM",M8/G8-1)</f>
        <v>9.1495164026065723E-2</v>
      </c>
      <c r="N59" s="86"/>
      <c r="O59" s="46">
        <f>IF(ISERROR(O8/I8-1),"NM",O8/I8-1)</f>
        <v>-9.5996305159580575E-2</v>
      </c>
      <c r="P59" s="46">
        <f>IF(ISERROR(P8/J8-1),"NM",P8/J8-1)</f>
        <v>-7.0631607791583728E-2</v>
      </c>
      <c r="Q59" s="46">
        <f>IF(ISERROR(Q8/K8-1),"NM",Q8/K8-1)</f>
        <v>2.3586997337496918E-3</v>
      </c>
      <c r="R59" s="46">
        <f>IF(ISERROR(R8/L8-1),"NM",R8/L8-1)</f>
        <v>0.11857535605274894</v>
      </c>
      <c r="S59" s="85">
        <f>IF(ISERROR(S8/M8-1),"NM",S8/M8-1)</f>
        <v>-1.5656033145479253E-2</v>
      </c>
      <c r="T59" s="86"/>
      <c r="U59" s="46">
        <f>IF(ISERROR(U8/O8-1),"NM",U8/O8-1)</f>
        <v>7.6920952600754822E-2</v>
      </c>
      <c r="V59" s="46">
        <f>IF(ISERROR(V8/P8-1),"NM",V8/P8-1)</f>
        <v>2.2165865941190299E-2</v>
      </c>
      <c r="W59" s="46">
        <f>IF(ISERROR(W8/Q8-1),"NM",W8/Q8-1)</f>
        <v>1.9977296814965406E-2</v>
      </c>
      <c r="X59" s="46">
        <f>IF(ISERROR(X8/R8-1),"NM",X8/R8-1)</f>
        <v>-3.9585217296433939E-4</v>
      </c>
      <c r="Y59" s="85">
        <f>IF(ISERROR(Y8/S8-1),"NM",Y8/S8-1)</f>
        <v>2.8543404628555313E-2</v>
      </c>
      <c r="Z59" s="86"/>
      <c r="AA59" s="87">
        <f>IF(ISERROR(AA8/U8-1),"NM",AA8/U8-1)</f>
        <v>4.49844672713684E-2</v>
      </c>
      <c r="AB59" s="87">
        <f>IF(ISERROR(AB8/V8-1),"NM",AB8/V8-1)</f>
        <v>7.8496016535536173E-2</v>
      </c>
      <c r="AC59" s="87">
        <f>IF(ISERROR(AC8/W8-1),"NM",AC8/W8-1)</f>
        <v>0.14385722063804063</v>
      </c>
      <c r="AD59" s="87">
        <f>IF(ISERROR(AD8/X8-1),"NM",AD8/X8-1)</f>
        <v>0.29893218391006915</v>
      </c>
      <c r="AE59" s="88">
        <f>IF(ISERROR(AE8/Y8-1),"NM",AE8/Y8-1)</f>
        <v>0.14259432853642506</v>
      </c>
      <c r="AF59" s="86"/>
      <c r="AG59" s="87">
        <f>IF(ISERROR(AG8/AA8-1),"NM",AG8/AA8-1)</f>
        <v>0.25575676201527409</v>
      </c>
      <c r="AH59" s="87">
        <f>IF(ISERROR(AH8/AB8-1),"NM",AH8/AB8-1)</f>
        <v>0.25195301283302962</v>
      </c>
      <c r="AI59" s="87">
        <f>IF(ISERROR(AI8/AC8-1),"NM",AI8/AC8-1)</f>
        <v>0.12258797371236252</v>
      </c>
      <c r="AJ59" s="87">
        <f>IF(ISERROR(AJ8/AD8-1),"NM",AJ8/AD8-1)</f>
        <v>2.0697467388785862E-2</v>
      </c>
      <c r="AK59" s="85">
        <f>IF(ISERROR(AK8/AE8-1),"NM",AK8/AE8-1)</f>
        <v>0.15396155128347599</v>
      </c>
      <c r="AL59" s="497"/>
      <c r="AM59" s="397">
        <f>IF(ISERROR(AM8/AG8-1),"NM",AM8/AG8-1)</f>
        <v>2.187425409644983E-2</v>
      </c>
      <c r="AN59" s="397">
        <f>IF(ISERROR(AN8/AH8-1),"NM",AN8/AH8-1)</f>
        <v>-2.6002825710293997E-3</v>
      </c>
      <c r="AO59" s="397">
        <f>IF(ISERROR(AO8/AI8-1),"NM",AO8/AI8-1)</f>
        <v>1.1906849456832624E-2</v>
      </c>
      <c r="AP59" s="397">
        <f>IF(ISERROR(AP8/AJ8-1),"NM",AP8/AJ8-1)</f>
        <v>4.9118000021231012E-4</v>
      </c>
      <c r="AQ59" s="85">
        <f>IF(ISERROR(AQ8/AK8-1),"NM",AQ8/AK8-1)</f>
        <v>7.6290051764955624E-3</v>
      </c>
      <c r="AR59" s="497"/>
      <c r="AS59" s="397">
        <f>IF(ISERROR(AS8/AM8-1),"NM",AS8/AM8-1)</f>
        <v>-2.6909480332857338E-3</v>
      </c>
      <c r="AT59" s="397">
        <f>IF(ISERROR(AT8/AN8-1),"NM",AT8/AN8-1)</f>
        <v>5.5386920014190988E-3</v>
      </c>
      <c r="AU59" s="397">
        <f>IF(ISERROR(AU8/AO8-1),"NM",AU8/AO8-1)</f>
        <v>5.9970057583753622E-3</v>
      </c>
      <c r="AV59" s="397">
        <f>IF(ISERROR(AV8/AP8-1),"NM",AV8/AP8-1)</f>
        <v>-4.5931974449949342E-2</v>
      </c>
      <c r="AW59" s="85">
        <f>IF(ISERROR(AW8/AQ8-1),"NM",AW8/AQ8-1)</f>
        <v>-9.5398828102495337E-3</v>
      </c>
      <c r="AX59" s="497"/>
      <c r="AY59" s="397">
        <f>IF(ISERROR(AY8/AS8-1),"NM",AY8/AS8-1)</f>
        <v>-0.10107188740388484</v>
      </c>
      <c r="AZ59" s="397">
        <f>IF(ISERROR(AZ8/AT8-1),"NM",AZ8/AT8-1)</f>
        <v>-8.7842137933287656E-2</v>
      </c>
      <c r="BA59" s="397">
        <f>IF(ISERROR(BA8/AU8-1),"NM",BA8/AU8-1)</f>
        <v>-8.3785157573703861E-2</v>
      </c>
      <c r="BB59" s="397">
        <f>IF(ISERROR(BB8/AV8-1),"NM",BB8/AV8-1)</f>
        <v>-6.6673527656976428E-2</v>
      </c>
      <c r="BC59" s="85">
        <f>IF(ISERROR(BC8/AW8-1),"NM",BC8/AW8-1)</f>
        <v>-8.4955964169135867E-2</v>
      </c>
      <c r="BD59" s="497"/>
      <c r="BE59" s="397">
        <f t="shared" ref="BE59:BI60" si="13">BE8/AY8-1</f>
        <v>0.17716967333008293</v>
      </c>
      <c r="BF59" s="397">
        <f t="shared" si="13"/>
        <v>0.4664630389996649</v>
      </c>
      <c r="BG59" s="397">
        <f t="shared" si="13"/>
        <v>0.47295423023578365</v>
      </c>
      <c r="BH59" s="397">
        <f t="shared" si="13"/>
        <v>0.48711071375353887</v>
      </c>
      <c r="BI59" s="85">
        <f t="shared" si="13"/>
        <v>0.40222246652053628</v>
      </c>
      <c r="BJ59" s="239"/>
      <c r="BK59" s="397">
        <f t="shared" ref="BK59:BO60" si="14">BK8/BE8-1</f>
        <v>0.16748640952627492</v>
      </c>
      <c r="BL59" s="397">
        <f t="shared" si="14"/>
        <v>-2.8722157092614276E-2</v>
      </c>
      <c r="BM59" s="397">
        <f t="shared" si="14"/>
        <v>5.691567273488185E-2</v>
      </c>
      <c r="BN59" s="397">
        <f t="shared" si="14"/>
        <v>9.3186372745490909E-2</v>
      </c>
      <c r="BO59" s="85">
        <f t="shared" si="14"/>
        <v>6.5973333333333439E-2</v>
      </c>
      <c r="BP59" s="239"/>
      <c r="BQ59" s="397">
        <f t="shared" ref="BQ59:BU60" si="15">BQ8/BK8-1</f>
        <v>5.3847006651884799E-2</v>
      </c>
      <c r="BR59" s="397">
        <f t="shared" si="15"/>
        <v>6.6248239790786645E-2</v>
      </c>
      <c r="BS59" s="397">
        <f t="shared" si="15"/>
        <v>7.1324490199960566E-2</v>
      </c>
      <c r="BT59" s="397">
        <f t="shared" si="15"/>
        <v>6.5888175985334474E-2</v>
      </c>
      <c r="BU59" s="85">
        <f t="shared" si="15"/>
        <v>6.4634512433081603E-2</v>
      </c>
      <c r="BV59" s="239"/>
      <c r="BW59" s="397">
        <f t="shared" ref="BW59:CA60" si="16">BW8/BQ8-1</f>
        <v>3.3785476082771382E-2</v>
      </c>
      <c r="BX59" s="397">
        <f t="shared" si="16"/>
        <v>4.610285794065283E-2</v>
      </c>
      <c r="BY59" s="397">
        <f t="shared" si="16"/>
        <v>4.1660020032302958E-2</v>
      </c>
      <c r="BZ59" s="397">
        <f t="shared" si="16"/>
        <v>3.3958159197306159E-2</v>
      </c>
      <c r="CA59" s="85">
        <f t="shared" si="16"/>
        <v>3.8903295995789344E-2</v>
      </c>
      <c r="CB59" s="239"/>
      <c r="CC59" s="397">
        <f t="shared" ref="CC59:CG60" si="17">CC8/BW8-1</f>
        <v>3.4332761268290213E-2</v>
      </c>
      <c r="CD59" s="397">
        <f t="shared" si="17"/>
        <v>2.4485117797332201E-2</v>
      </c>
      <c r="CE59" s="397">
        <f t="shared" si="17"/>
        <v>2.735598879144252E-2</v>
      </c>
      <c r="CF59" s="397">
        <f t="shared" si="17"/>
        <v>3.457221541993527E-2</v>
      </c>
      <c r="CG59" s="85">
        <f t="shared" si="17"/>
        <v>3.01490284329331E-2</v>
      </c>
      <c r="CH59" s="397"/>
      <c r="CI59" s="397"/>
      <c r="CJ59" s="397"/>
      <c r="CK59" s="397"/>
      <c r="CL59" s="397"/>
      <c r="CM59" s="24"/>
      <c r="CN59" s="24"/>
    </row>
    <row r="60" spans="1:98" ht="12.75" customHeight="1" outlineLevel="1" x14ac:dyDescent="0.2">
      <c r="A60" s="62"/>
      <c r="B60" s="819" t="s">
        <v>5</v>
      </c>
      <c r="C60" s="821"/>
      <c r="D60" s="818"/>
      <c r="E60" s="818"/>
      <c r="F60" s="818"/>
      <c r="G60" s="814"/>
      <c r="H60" s="820"/>
      <c r="I60" s="822">
        <v>0.17242585041085268</v>
      </c>
      <c r="J60" s="822">
        <v>0.17347676300778181</v>
      </c>
      <c r="K60" s="822">
        <v>9.6004778457420503E-2</v>
      </c>
      <c r="L60" s="822">
        <v>-4.4972025356045942E-2</v>
      </c>
      <c r="M60" s="823">
        <v>9.5555302794275931E-2</v>
      </c>
      <c r="N60" s="822"/>
      <c r="O60" s="822">
        <v>-6.1658686785639572E-2</v>
      </c>
      <c r="P60" s="822">
        <v>-5.6698378860832177E-2</v>
      </c>
      <c r="Q60" s="822">
        <v>1.1743832029601275E-2</v>
      </c>
      <c r="R60" s="822">
        <v>0.1123261692705162</v>
      </c>
      <c r="S60" s="823">
        <v>-1.5718728056975939E-3</v>
      </c>
      <c r="T60" s="822"/>
      <c r="U60" s="822">
        <v>6.8368946633738048E-2</v>
      </c>
      <c r="V60" s="822">
        <v>1.5156580200067715E-2</v>
      </c>
      <c r="W60" s="822">
        <v>1.0692198340278569E-3</v>
      </c>
      <c r="X60" s="822">
        <v>1.87426275470437E-3</v>
      </c>
      <c r="Y60" s="823">
        <v>2.0641835446026491E-2</v>
      </c>
      <c r="Z60" s="820"/>
      <c r="AA60" s="822">
        <v>5.9336343133274072E-2</v>
      </c>
      <c r="AB60" s="822">
        <v>8.6099984594053325E-2</v>
      </c>
      <c r="AC60" s="822">
        <v>0.14039761624449265</v>
      </c>
      <c r="AD60" s="822">
        <v>0.30184674778399856</v>
      </c>
      <c r="AE60" s="824">
        <f>+SUMPRODUCT(AA60:AD60,U$8:X$8)/Y$8</f>
        <v>0.14795841705503157</v>
      </c>
      <c r="AF60" s="820"/>
      <c r="AG60" s="813">
        <f>AG9/AA9-1</f>
        <v>0.26303355755638003</v>
      </c>
      <c r="AH60" s="813">
        <f>AH9/AB9-1</f>
        <v>0.23846167485239111</v>
      </c>
      <c r="AI60" s="813">
        <f>AI9/AC9-1</f>
        <v>0.14788266450968601</v>
      </c>
      <c r="AJ60" s="813">
        <f>AJ9/AD9-1</f>
        <v>3.7876954853939271E-2</v>
      </c>
      <c r="AK60" s="814">
        <f>AK9/AE9-1</f>
        <v>0.16383471108393999</v>
      </c>
      <c r="AL60" s="816"/>
      <c r="AM60" s="825">
        <f>AM9/AG9-1</f>
        <v>1.0552488262910886E-2</v>
      </c>
      <c r="AN60" s="825">
        <f>AN9/AH9-1</f>
        <v>2.5020043523078739E-2</v>
      </c>
      <c r="AO60" s="825">
        <f>AO9/AI9-1</f>
        <v>3.4468104833724755E-2</v>
      </c>
      <c r="AP60" s="825">
        <f>AP9/AJ9-1</f>
        <v>1.4493804310897529E-2</v>
      </c>
      <c r="AQ60" s="814">
        <f>AQ9/AK9-1</f>
        <v>2.0997179060064708E-2</v>
      </c>
      <c r="AR60" s="816"/>
      <c r="AS60" s="825">
        <f>AS9/AM9-1</f>
        <v>2.4578940874066646E-2</v>
      </c>
      <c r="AT60" s="825">
        <f>AT9/AN9-1</f>
        <v>2.0869997597617651E-2</v>
      </c>
      <c r="AU60" s="825">
        <f>AU9/AO9-1</f>
        <v>1.816334914292117E-2</v>
      </c>
      <c r="AV60" s="825">
        <f>AV9/AP9-1</f>
        <v>-3.1748611751386213E-2</v>
      </c>
      <c r="AW60" s="814">
        <f>AW9/AQ9-1</f>
        <v>7.567921336335548E-3</v>
      </c>
      <c r="AX60" s="816"/>
      <c r="AY60" s="825">
        <f>AY9/AS9-1</f>
        <v>-8.3628127258111751E-2</v>
      </c>
      <c r="AZ60" s="825">
        <f>AZ9/AT9-1</f>
        <v>-7.6891714028496483E-2</v>
      </c>
      <c r="BA60" s="825">
        <f>BA9/AU9-1</f>
        <v>-7.6709547172468806E-2</v>
      </c>
      <c r="BB60" s="825">
        <f>BB9/AV9-1</f>
        <v>-6.5282607657475733E-2</v>
      </c>
      <c r="BC60" s="814">
        <f>BC9/AW9-1</f>
        <v>-7.5637157922063936E-2</v>
      </c>
      <c r="BD60" s="816"/>
      <c r="BE60" s="825">
        <f t="shared" si="13"/>
        <v>0.19468543117139347</v>
      </c>
      <c r="BF60" s="825">
        <f t="shared" si="13"/>
        <v>0.49148211496106398</v>
      </c>
      <c r="BG60" s="825">
        <f t="shared" si="13"/>
        <v>0.49499443826473866</v>
      </c>
      <c r="BH60" s="825">
        <f t="shared" si="13"/>
        <v>0.52361046601641137</v>
      </c>
      <c r="BI60" s="814">
        <f t="shared" si="13"/>
        <v>0.42776623170356154</v>
      </c>
      <c r="BJ60" s="815"/>
      <c r="BK60" s="825">
        <f t="shared" si="14"/>
        <v>0.18078197481776015</v>
      </c>
      <c r="BL60" s="825">
        <f t="shared" si="14"/>
        <v>-2.166351982510184E-2</v>
      </c>
      <c r="BM60" s="825">
        <f t="shared" si="14"/>
        <v>6.3775510204081565E-2</v>
      </c>
      <c r="BN60" s="825">
        <f t="shared" si="14"/>
        <v>9.81607560207296E-2</v>
      </c>
      <c r="BO60" s="814">
        <f t="shared" si="14"/>
        <v>7.3581680549149375E-2</v>
      </c>
      <c r="BP60" s="815"/>
      <c r="BQ60" s="825">
        <f t="shared" si="15"/>
        <v>5.4517903243910704E-2</v>
      </c>
      <c r="BR60" s="825">
        <f t="shared" si="15"/>
        <v>6.6900964956830844E-2</v>
      </c>
      <c r="BS60" s="825">
        <f t="shared" si="15"/>
        <v>7.1994404476418916E-2</v>
      </c>
      <c r="BT60" s="825">
        <f t="shared" si="15"/>
        <v>6.6516146941796972E-2</v>
      </c>
      <c r="BU60" s="814">
        <f t="shared" si="15"/>
        <v>6.5296065101468459E-2</v>
      </c>
      <c r="BV60" s="815"/>
      <c r="BW60" s="825">
        <f t="shared" si="16"/>
        <v>3.4184657306779442E-2</v>
      </c>
      <c r="BX60" s="825">
        <f t="shared" si="16"/>
        <v>4.6528612937991154E-2</v>
      </c>
      <c r="BY60" s="825">
        <f t="shared" si="16"/>
        <v>4.2025032343697033E-2</v>
      </c>
      <c r="BZ60" s="825">
        <f t="shared" si="16"/>
        <v>3.4261624315451433E-2</v>
      </c>
      <c r="CA60" s="814">
        <f t="shared" si="16"/>
        <v>3.9277075964291752E-2</v>
      </c>
      <c r="CB60" s="815"/>
      <c r="CC60" s="825">
        <f t="shared" si="17"/>
        <v>3.4725000207392887E-2</v>
      </c>
      <c r="CD60" s="825">
        <f t="shared" si="17"/>
        <v>2.4701182088308293E-2</v>
      </c>
      <c r="CE60" s="825">
        <f t="shared" si="17"/>
        <v>2.7586007045968142E-2</v>
      </c>
      <c r="CF60" s="825">
        <f t="shared" si="17"/>
        <v>3.4870933450909858E-2</v>
      </c>
      <c r="CG60" s="814">
        <f t="shared" si="17"/>
        <v>3.0427750657165076E-2</v>
      </c>
      <c r="CH60" s="397"/>
      <c r="CI60" s="397"/>
      <c r="CJ60" s="397"/>
      <c r="CK60" s="397"/>
      <c r="CL60" s="397"/>
      <c r="CM60" s="62"/>
      <c r="CN60" s="62"/>
    </row>
    <row r="61" spans="1:98" ht="12.75" customHeight="1" outlineLevel="1" x14ac:dyDescent="0.2">
      <c r="A61" s="62"/>
      <c r="B61" s="819" t="s">
        <v>4</v>
      </c>
      <c r="C61" s="821"/>
      <c r="D61" s="818"/>
      <c r="E61" s="818"/>
      <c r="F61" s="818"/>
      <c r="G61" s="814"/>
      <c r="H61" s="820"/>
      <c r="I61" s="813"/>
      <c r="J61" s="813"/>
      <c r="K61" s="813"/>
      <c r="L61" s="813"/>
      <c r="M61" s="814"/>
      <c r="N61" s="820"/>
      <c r="O61" s="826">
        <v>7.0000000000000001E-3</v>
      </c>
      <c r="P61" s="826">
        <v>5.0000000000000001E-3</v>
      </c>
      <c r="Q61" s="826">
        <v>2.5000000000000001E-2</v>
      </c>
      <c r="R61" s="827">
        <v>5.8798288929842714E-2</v>
      </c>
      <c r="S61" s="828">
        <v>2.3E-2</v>
      </c>
      <c r="T61" s="826"/>
      <c r="U61" s="826">
        <v>2.7E-2</v>
      </c>
      <c r="V61" s="826">
        <v>2.8000000000000001E-2</v>
      </c>
      <c r="W61" s="826">
        <v>2.4E-2</v>
      </c>
      <c r="X61" s="829">
        <f>+X60-X63</f>
        <v>2.6209831406610925E-2</v>
      </c>
      <c r="Y61" s="814">
        <f>+SUMPRODUCT(U61:X61,O8:R8)/S8</f>
        <v>2.6310030903588539E-2</v>
      </c>
      <c r="Z61" s="820"/>
      <c r="AA61" s="830">
        <v>4.5999999999999999E-2</v>
      </c>
      <c r="AB61" s="830">
        <v>8.9999999999999993E-3</v>
      </c>
      <c r="AC61" s="830">
        <v>9.6000000000000002E-2</v>
      </c>
      <c r="AD61" s="830">
        <v>0.29199999999999998</v>
      </c>
      <c r="AE61" s="824">
        <f>+SUMPRODUCT(AA61:AD61,U$8:X$8)/Y$8</f>
        <v>0.11171419270657455</v>
      </c>
      <c r="AF61" s="820"/>
      <c r="AG61" s="830">
        <v>0.28299999999999997</v>
      </c>
      <c r="AH61" s="830">
        <v>0.3</v>
      </c>
      <c r="AI61" s="831">
        <v>0.20100000000000001</v>
      </c>
      <c r="AJ61" s="831">
        <v>5.8999999999999997E-2</v>
      </c>
      <c r="AK61" s="814">
        <f>+AK60-AK63</f>
        <v>0.20221724430861979</v>
      </c>
      <c r="AL61" s="816"/>
      <c r="AM61" s="832">
        <v>1.7000000000000001E-2</v>
      </c>
      <c r="AN61" s="832">
        <v>1.7000000000000001E-2</v>
      </c>
      <c r="AO61" s="832">
        <v>2.7E-2</v>
      </c>
      <c r="AP61" s="832">
        <v>1.0999999999999999E-2</v>
      </c>
      <c r="AQ61" s="814">
        <f>+AQ60-AQ63</f>
        <v>1.7811915161954576E-2</v>
      </c>
      <c r="AR61" s="816"/>
      <c r="AS61" s="832">
        <v>1.9E-2</v>
      </c>
      <c r="AT61" s="832">
        <v>3.0000000000000001E-3</v>
      </c>
      <c r="AU61" s="832">
        <v>0.03</v>
      </c>
      <c r="AV61" s="832">
        <v>2.1000000000000001E-2</v>
      </c>
      <c r="AW61" s="814">
        <f>+AW60-AW63</f>
        <v>1.7871716032571427E-2</v>
      </c>
      <c r="AX61" s="816"/>
      <c r="AY61" s="832">
        <v>1.2999999999999999E-2</v>
      </c>
      <c r="AZ61" s="832">
        <v>3.2000000000000001E-2</v>
      </c>
      <c r="BA61" s="832">
        <v>1.4E-2</v>
      </c>
      <c r="BB61" s="832">
        <v>1.4999999999999999E-2</v>
      </c>
      <c r="BC61" s="814">
        <f>+BC60-BC63</f>
        <v>1.7687969275612073E-2</v>
      </c>
      <c r="BD61" s="816"/>
      <c r="BE61" s="825">
        <f>+BE60-BE63</f>
        <v>0.22068543117139347</v>
      </c>
      <c r="BF61" s="825">
        <f>+BF60-BF63</f>
        <v>0.49808837962793467</v>
      </c>
      <c r="BG61" s="825">
        <f>+BG60-BG63</f>
        <v>0.49166006962384756</v>
      </c>
      <c r="BH61" s="825">
        <f>+BH60-BH63</f>
        <v>0.5303547794115252</v>
      </c>
      <c r="BI61" s="814">
        <f>+SUMPRODUCT(BE61:BH61,AY$8:BB$8)/BC$8</f>
        <v>0.43654672292718777</v>
      </c>
      <c r="BJ61" s="815"/>
      <c r="BK61" s="825">
        <f>BK60-BK63</f>
        <v>0.19351367685327342</v>
      </c>
      <c r="BL61" s="825">
        <f>+BL60-BL63</f>
        <v>-1.0019179171221306E-2</v>
      </c>
      <c r="BM61" s="825">
        <f>BM60-BM63</f>
        <v>4.2857461734693882E-2</v>
      </c>
      <c r="BN61" s="825">
        <f>BN60-BN63</f>
        <v>5.2660095518747875E-2</v>
      </c>
      <c r="BO61" s="814">
        <f>+SUMPRODUCT(BK61:BN61,BE$8:BH$8)/BI$8</f>
        <v>6.2072259250908722E-2</v>
      </c>
      <c r="BP61" s="815"/>
      <c r="BQ61" s="825">
        <f>BQ60-BQ63</f>
        <v>-3.8017734874845679E-3</v>
      </c>
      <c r="BR61" s="825">
        <f>BR60-BR63</f>
        <v>2.7110208227526661E-2</v>
      </c>
      <c r="BS61" s="825">
        <f>BS60-BS63</f>
        <v>4.6514788169464423E-2</v>
      </c>
      <c r="BT61" s="825">
        <f>BT60-BT63</f>
        <v>0.04</v>
      </c>
      <c r="BU61" s="814">
        <f>+SUMPRODUCT(BQ61:BT61,BK$8:BN$8)/BO$8</f>
        <v>2.8556814014831865E-2</v>
      </c>
      <c r="BV61" s="815"/>
      <c r="BW61" s="825">
        <f>BW60-BW63</f>
        <v>3.4184657306779359E-2</v>
      </c>
      <c r="BX61" s="825">
        <f>BX60-BX63</f>
        <v>4.6528612937991029E-2</v>
      </c>
      <c r="BY61" s="825">
        <f>BY60-BY63</f>
        <v>4.2025032343697033E-2</v>
      </c>
      <c r="BZ61" s="825">
        <f>BZ60-BZ63</f>
        <v>3.4261624315451197E-2</v>
      </c>
      <c r="CA61" s="814">
        <f>+SUMPRODUCT(BW61:BZ61,BQ$8:BT$8)/BU$8</f>
        <v>3.927425290278462E-2</v>
      </c>
      <c r="CB61" s="815"/>
      <c r="CC61" s="825">
        <f>CC60-CC63</f>
        <v>3.4725000207392977E-2</v>
      </c>
      <c r="CD61" s="825">
        <f>CD60-CD63</f>
        <v>2.4701182088308293E-2</v>
      </c>
      <c r="CE61" s="825">
        <f>CE60-CE63</f>
        <v>2.7586007045968107E-2</v>
      </c>
      <c r="CF61" s="825">
        <f>CF60-CF63</f>
        <v>3.4870933450909983E-2</v>
      </c>
      <c r="CG61" s="814">
        <f>+SUMPRODUCT(CC61:CF61,BW$8:BZ$8)/CA$8</f>
        <v>3.0430284767693008E-2</v>
      </c>
      <c r="CH61" s="397"/>
      <c r="CI61" s="397"/>
      <c r="CJ61" s="397"/>
      <c r="CK61" s="397"/>
      <c r="CL61" s="397"/>
      <c r="CM61" s="62"/>
      <c r="CN61" s="62"/>
    </row>
    <row r="62" spans="1:98" x14ac:dyDescent="0.2">
      <c r="A62" s="62"/>
      <c r="B62" s="812" t="s">
        <v>363</v>
      </c>
      <c r="C62" s="830">
        <v>6.4000000000000001E-2</v>
      </c>
      <c r="D62" s="830">
        <v>6.3E-2</v>
      </c>
      <c r="E62" s="830">
        <v>5.8999999999999997E-2</v>
      </c>
      <c r="F62" s="830">
        <v>7.0000000000000007E-2</v>
      </c>
      <c r="G62" s="814">
        <v>6.4000000000000001E-2</v>
      </c>
      <c r="H62" s="820"/>
      <c r="I62" s="830">
        <v>6.3E-2</v>
      </c>
      <c r="J62" s="830">
        <v>5.8999999999999997E-2</v>
      </c>
      <c r="K62" s="830">
        <v>5.3999999999999999E-2</v>
      </c>
      <c r="L62" s="830">
        <v>-2.3999999999999994E-2</v>
      </c>
      <c r="M62" s="824">
        <v>3.7999999999999999E-2</v>
      </c>
      <c r="N62" s="820"/>
      <c r="O62" s="813">
        <v>-3.7035000000000005E-2</v>
      </c>
      <c r="P62" s="813">
        <v>-4.0150000000000005E-2</v>
      </c>
      <c r="Q62" s="813">
        <v>-1.4421E-2</v>
      </c>
      <c r="R62" s="813">
        <v>6.6600000000001012E-4</v>
      </c>
      <c r="S62" s="824">
        <f>+SUMPRODUCT(O62:R62,I$8:L$8)/M$8</f>
        <v>-2.3683800884159029E-2</v>
      </c>
      <c r="T62" s="820"/>
      <c r="U62" s="813">
        <v>2.5553999999999997E-2</v>
      </c>
      <c r="V62" s="813">
        <v>2.6150999999999997E-2</v>
      </c>
      <c r="W62" s="813">
        <v>2.1596000000000004E-2</v>
      </c>
      <c r="X62" s="813">
        <v>1.0363000000000006E-2</v>
      </c>
      <c r="Y62" s="824">
        <f>+SUMPRODUCT(U62:X62,O$8:R$8)/S$8</f>
        <v>2.0734587176492493E-2</v>
      </c>
      <c r="Z62" s="820"/>
      <c r="AA62" s="1209">
        <v>3.8336999999999996E-2</v>
      </c>
      <c r="AB62" s="1209">
        <v>3.3799999999999997E-2</v>
      </c>
      <c r="AC62" s="1209">
        <v>3.8749999999999993E-2</v>
      </c>
      <c r="AD62" s="1209">
        <v>4.1619999999999997E-2</v>
      </c>
      <c r="AE62" s="824">
        <f>+SUMPRODUCT(AA62:AD62,U$8:X$8)/Y$8</f>
        <v>3.8123256745792686E-2</v>
      </c>
      <c r="AF62" s="820"/>
      <c r="AG62" s="1209">
        <v>4.5411999999999994E-2</v>
      </c>
      <c r="AH62" s="1209">
        <v>3.9700000000000006E-2</v>
      </c>
      <c r="AI62" s="1209">
        <v>2.7560000000000001E-2</v>
      </c>
      <c r="AJ62" s="1209">
        <v>3.4999999999999996E-2</v>
      </c>
      <c r="AK62" s="814">
        <f>+SUMPRODUCT(AG62:AJ62,AA$8:AD$8)/AE$8</f>
        <v>3.6652450105173234E-2</v>
      </c>
      <c r="AL62" s="816"/>
      <c r="AM62" s="1208">
        <v>1.5939999999999996E-2</v>
      </c>
      <c r="AN62" s="1208">
        <v>3.2439999999999997E-2</v>
      </c>
      <c r="AO62" s="1208">
        <v>2.6859999999999998E-2</v>
      </c>
      <c r="AP62" s="1208">
        <v>8.4399999999999996E-3</v>
      </c>
      <c r="AQ62" s="814">
        <f>+SUMPRODUCT(AM62:AP62,AG$8:AJ$8)/AK$8</f>
        <v>2.0904148449561177E-2</v>
      </c>
      <c r="AR62" s="816"/>
      <c r="AS62" s="1208">
        <v>2.4339999999999997E-2</v>
      </c>
      <c r="AT62" s="1208">
        <v>1.6869999999999996E-2</v>
      </c>
      <c r="AU62" s="1208">
        <v>2.784E-2</v>
      </c>
      <c r="AV62" s="1208">
        <v>3.2423E-2</v>
      </c>
      <c r="AW62" s="814">
        <f>+SUMPRODUCT(AS62:AV62,AM$8:AP$8)/AQ$8</f>
        <v>2.5313012438787162E-2</v>
      </c>
      <c r="AX62" s="816"/>
      <c r="AY62" s="1208">
        <v>3.424E-2</v>
      </c>
      <c r="AZ62" s="1208">
        <v>3.9118000000000007E-2</v>
      </c>
      <c r="BA62" s="1208">
        <v>3.1140000000000001E-2</v>
      </c>
      <c r="BB62" s="1208">
        <v>0.01</v>
      </c>
      <c r="BC62" s="814">
        <f>+SUMPRODUCT(AY62:BB62,AS$8:AV$8)/AW$8</f>
        <v>2.8802300165604838E-2</v>
      </c>
      <c r="BD62" s="816"/>
      <c r="BE62" s="1208">
        <f>RevBuild!BE72</f>
        <v>5.4823032759202965E-2</v>
      </c>
      <c r="BF62" s="1208">
        <f>RevBuild!BF72</f>
        <v>2.3995408631772266E-2</v>
      </c>
      <c r="BG62" s="1208">
        <f>RevBuild!BG72</f>
        <v>1.8571061368747987E-2</v>
      </c>
      <c r="BH62" s="1208">
        <f>RevBuild!BH72</f>
        <v>4.9060657118786856E-2</v>
      </c>
      <c r="BI62" s="814">
        <f>+SUMPRODUCT(BE62:BH62,AY$8:BB$8)/BC$8</f>
        <v>3.653472343033249E-2</v>
      </c>
      <c r="BJ62" s="815"/>
      <c r="BK62" s="1208">
        <f>RevBuild!BK72</f>
        <v>1.0107405803378077E-2</v>
      </c>
      <c r="BL62" s="1208">
        <f>RevBuild!BL72</f>
        <v>1.2368379210970882E-2</v>
      </c>
      <c r="BM62" s="1208">
        <f>RevBuild!BM72</f>
        <v>1.5190901360544224E-2</v>
      </c>
      <c r="BN62" s="1208">
        <f>RevBuild!BN72</f>
        <v>2.8519561020221528E-2</v>
      </c>
      <c r="BO62" s="814">
        <f>+SUMPRODUCT(BK62:BN62,BE$8:BH$8)/BI$8</f>
        <v>1.6920330694034386E-2</v>
      </c>
      <c r="BP62" s="815"/>
      <c r="BQ62" s="1208">
        <f>RevBuild!BQ72</f>
        <v>3.548434167695589E-2</v>
      </c>
      <c r="BR62" s="1208">
        <f>RevBuild!BR72</f>
        <v>3.7267648552564751E-2</v>
      </c>
      <c r="BS62" s="1208">
        <f>RevBuild!BS72</f>
        <v>4.6514788169464423E-2</v>
      </c>
      <c r="BT62" s="1208">
        <f>RevBuild!BT72</f>
        <v>0.04</v>
      </c>
      <c r="BU62" s="814">
        <f>+SUMPRODUCT(BQ62:BT62,BK$8:BN$8)/BO$8</f>
        <v>3.994786896291766E-2</v>
      </c>
      <c r="BV62" s="815"/>
      <c r="BW62" s="1208">
        <f>RevBuild!BW72</f>
        <v>3.4184657306779359E-2</v>
      </c>
      <c r="BX62" s="1208">
        <f>RevBuild!BX72</f>
        <v>4.6528612937991029E-2</v>
      </c>
      <c r="BY62" s="1208">
        <f>RevBuild!BY72</f>
        <v>4.2025032343696984E-2</v>
      </c>
      <c r="BZ62" s="1208">
        <f>RevBuild!BZ72</f>
        <v>3.4261624315451197E-2</v>
      </c>
      <c r="CA62" s="814">
        <f>+SUMPRODUCT(BW62:BZ62,BQ$8:BT$8)/BU$8</f>
        <v>3.9274252902784614E-2</v>
      </c>
      <c r="CB62" s="815"/>
      <c r="CC62" s="1208">
        <f>RevBuild!CC72</f>
        <v>3.4725000207392977E-2</v>
      </c>
      <c r="CD62" s="1208">
        <f>RevBuild!CD72</f>
        <v>2.4701182088308283E-2</v>
      </c>
      <c r="CE62" s="1208">
        <f>RevBuild!CE72</f>
        <v>2.7586007045968107E-2</v>
      </c>
      <c r="CF62" s="1208">
        <f>RevBuild!CF72</f>
        <v>3.4870933450909983E-2</v>
      </c>
      <c r="CG62" s="814">
        <f>+SUMPRODUCT(CC62:CF62,BW$8:BZ$8)/CA$8</f>
        <v>3.0430284767693008E-2</v>
      </c>
      <c r="CH62" s="397"/>
      <c r="CI62" s="397"/>
      <c r="CJ62" s="397"/>
      <c r="CK62" s="397"/>
      <c r="CL62" s="397"/>
      <c r="CM62" s="62"/>
      <c r="CN62" s="62"/>
    </row>
    <row r="63" spans="1:98" ht="12.75" customHeight="1" outlineLevel="1" x14ac:dyDescent="0.2">
      <c r="A63" s="62"/>
      <c r="B63" s="819" t="s">
        <v>342</v>
      </c>
      <c r="C63" s="821"/>
      <c r="D63" s="818"/>
      <c r="E63" s="818"/>
      <c r="F63" s="818"/>
      <c r="G63" s="814"/>
      <c r="H63" s="820"/>
      <c r="I63" s="813"/>
      <c r="J63" s="813"/>
      <c r="K63" s="813"/>
      <c r="L63" s="813"/>
      <c r="M63" s="814"/>
      <c r="N63" s="820"/>
      <c r="O63" s="813">
        <f>+O60-O61</f>
        <v>-6.8658686785639578E-2</v>
      </c>
      <c r="P63" s="813">
        <f>+P60-P61</f>
        <v>-6.1698378860832175E-2</v>
      </c>
      <c r="Q63" s="813">
        <f>+Q60-Q61</f>
        <v>-1.3256167970398726E-2</v>
      </c>
      <c r="R63" s="813">
        <f>+R60-R61</f>
        <v>5.3527880340673482E-2</v>
      </c>
      <c r="S63" s="824">
        <f>+SUMPRODUCT(O63:R63,I$8:L$8)/M$8</f>
        <v>-2.5084792657724116E-2</v>
      </c>
      <c r="T63" s="820"/>
      <c r="U63" s="813">
        <f>+U60-U61</f>
        <v>4.1368946633738052E-2</v>
      </c>
      <c r="V63" s="813">
        <f>+V60-V61</f>
        <v>-1.2843419799932285E-2</v>
      </c>
      <c r="W63" s="813">
        <f>+W60-W61</f>
        <v>-2.2930780165972144E-2</v>
      </c>
      <c r="X63" s="833">
        <v>-2.4335568651906555E-2</v>
      </c>
      <c r="Y63" s="824">
        <f>+SUMPRODUCT(U63:X63,O$8:R$8)/S$8</f>
        <v>-5.6226365891687167E-3</v>
      </c>
      <c r="Z63" s="820"/>
      <c r="AA63" s="813">
        <f t="shared" ref="AA63:AD64" si="18">+AA60-AA61</f>
        <v>1.3336343133274073E-2</v>
      </c>
      <c r="AB63" s="813">
        <f t="shared" si="18"/>
        <v>7.7099984594053331E-2</v>
      </c>
      <c r="AC63" s="813">
        <f t="shared" si="18"/>
        <v>4.4397616244492649E-2</v>
      </c>
      <c r="AD63" s="813">
        <f t="shared" si="18"/>
        <v>9.8467477839985773E-3</v>
      </c>
      <c r="AE63" s="824">
        <f>+SUMPRODUCT(AA63:AD63,U$8:X$8)/Y$8</f>
        <v>3.6244224348456998E-2</v>
      </c>
      <c r="AF63" s="820"/>
      <c r="AG63" s="813">
        <f t="shared" ref="AG63:AJ64" si="19">+AG60-AG61</f>
        <v>-1.9966442443619947E-2</v>
      </c>
      <c r="AH63" s="813">
        <f t="shared" si="19"/>
        <v>-6.1538325147608874E-2</v>
      </c>
      <c r="AI63" s="813">
        <f t="shared" si="19"/>
        <v>-5.3117335490313999E-2</v>
      </c>
      <c r="AJ63" s="813">
        <f t="shared" si="19"/>
        <v>-2.1123045146060726E-2</v>
      </c>
      <c r="AK63" s="824">
        <f>+SUMPRODUCT(AG63:AJ63,AA$8:AD$8)/AE$8</f>
        <v>-3.8382533224679792E-2</v>
      </c>
      <c r="AL63" s="816"/>
      <c r="AM63" s="834">
        <f t="shared" ref="AM63:AP64" si="20">+AM60-AM61</f>
        <v>-6.447511737089115E-3</v>
      </c>
      <c r="AN63" s="834">
        <f t="shared" si="20"/>
        <v>8.0200435230787376E-3</v>
      </c>
      <c r="AO63" s="834">
        <f t="shared" si="20"/>
        <v>7.4681048337247556E-3</v>
      </c>
      <c r="AP63" s="834">
        <f t="shared" si="20"/>
        <v>3.4938043108975296E-3</v>
      </c>
      <c r="AQ63" s="824">
        <f>+SUMPRODUCT(AM63:AP63,AG$8:AJ$8)/AK$8</f>
        <v>3.1852638981101308E-3</v>
      </c>
      <c r="AR63" s="835"/>
      <c r="AS63" s="834">
        <f t="shared" ref="AS63:AV64" si="21">+AS60-AS61</f>
        <v>5.5789408740666464E-3</v>
      </c>
      <c r="AT63" s="834">
        <f t="shared" si="21"/>
        <v>1.7869997597617652E-2</v>
      </c>
      <c r="AU63" s="834">
        <f t="shared" si="21"/>
        <v>-1.1836650857078829E-2</v>
      </c>
      <c r="AV63" s="834">
        <f t="shared" si="21"/>
        <v>-5.2748611751386218E-2</v>
      </c>
      <c r="AW63" s="824">
        <f>+SUMPRODUCT(AS63:AV63,AM$8:AP$8)/AQ$8</f>
        <v>-1.0303794696235878E-2</v>
      </c>
      <c r="AX63" s="835"/>
      <c r="AY63" s="834">
        <f t="shared" ref="AY63:BA64" si="22">+AY60-AY61</f>
        <v>-9.6628127258111748E-2</v>
      </c>
      <c r="AZ63" s="834">
        <f t="shared" si="22"/>
        <v>-0.10889171402849648</v>
      </c>
      <c r="BA63" s="834">
        <f t="shared" si="22"/>
        <v>-9.0709547172468805E-2</v>
      </c>
      <c r="BB63" s="834">
        <v>-7.5981123730993499E-2</v>
      </c>
      <c r="BC63" s="814">
        <f>+SUMPRODUCT(AY63:BB63,AS$8:AV$8)/AW$8</f>
        <v>-9.3325127197676008E-2</v>
      </c>
      <c r="BD63" s="816"/>
      <c r="BE63" s="1208">
        <f>RevBuild!BE69</f>
        <v>-2.5999999999999999E-2</v>
      </c>
      <c r="BF63" s="1208">
        <f>RevBuild!BF69</f>
        <v>-6.6062646668706843E-3</v>
      </c>
      <c r="BG63" s="1208">
        <f>RevBuild!BG69</f>
        <v>3.3343686408910745E-3</v>
      </c>
      <c r="BH63" s="1208">
        <f>RevBuild!BH69</f>
        <v>-6.7443133951138393E-3</v>
      </c>
      <c r="BI63" s="814">
        <f>+SUMPRODUCT(BE63:BH63,AY$8:BB$8)/BC$8</f>
        <v>-8.9884214876759291E-3</v>
      </c>
      <c r="BJ63" s="815"/>
      <c r="BK63" s="1208">
        <f>RevBuild!BK69</f>
        <v>-1.2731702035513277E-2</v>
      </c>
      <c r="BL63" s="1208">
        <f>RevBuild!BL69</f>
        <v>-1.1644340653880534E-2</v>
      </c>
      <c r="BM63" s="1208">
        <f>RevBuild!BM69</f>
        <v>2.0918048469387683E-2</v>
      </c>
      <c r="BN63" s="1208">
        <f>RevBuild!BN69</f>
        <v>4.5500660501981725E-2</v>
      </c>
      <c r="BO63" s="814">
        <f>+SUMPRODUCT(BK63:BN63,BE$8:BH$8)/BI$8</f>
        <v>1.1639325285885023E-2</v>
      </c>
      <c r="BP63" s="815"/>
      <c r="BQ63" s="1208">
        <f>RevBuild!BQ69</f>
        <v>5.8319676731395272E-2</v>
      </c>
      <c r="BR63" s="1208">
        <f>RevBuild!BR69</f>
        <v>3.9790756729304183E-2</v>
      </c>
      <c r="BS63" s="1208">
        <f>RevBuild!BS69</f>
        <v>2.5479616306954493E-2</v>
      </c>
      <c r="BT63" s="1208">
        <f>RevBuild!BT69</f>
        <v>2.6516146941796971E-2</v>
      </c>
      <c r="BU63" s="814">
        <f>+SUMPRODUCT(BQ63:BT63,BK$8:BN$8)/BO$8</f>
        <v>3.6732111737323929E-2</v>
      </c>
      <c r="BV63" s="815"/>
      <c r="BW63" s="1208">
        <f>RevBuild!BW69</f>
        <v>8.3266726846886741E-17</v>
      </c>
      <c r="BX63" s="1208">
        <f>RevBuild!BX69</f>
        <v>1.2490009027033011E-16</v>
      </c>
      <c r="BY63" s="1208">
        <f>RevBuild!BY69</f>
        <v>0</v>
      </c>
      <c r="BZ63" s="1208">
        <f>RevBuild!BZ69</f>
        <v>2.3592239273284576E-16</v>
      </c>
      <c r="CA63" s="814">
        <f>+SUMPRODUCT(BW63:BZ63,BQ$8:BT$8)/BU$8</f>
        <v>1.1417518277113541E-16</v>
      </c>
      <c r="CB63" s="815"/>
      <c r="CC63" s="1208">
        <f>RevBuild!CC69</f>
        <v>-9.0205620750793969E-17</v>
      </c>
      <c r="CD63" s="1208">
        <f>RevBuild!CD69</f>
        <v>0</v>
      </c>
      <c r="CE63" s="1208">
        <f>RevBuild!CE69</f>
        <v>3.4694469519536142E-17</v>
      </c>
      <c r="CF63" s="1208">
        <f>RevBuild!CF69</f>
        <v>-1.2490009027033011E-16</v>
      </c>
      <c r="CG63" s="814">
        <f>+SUMPRODUCT(CC63:CF63,BW$8:BZ$8)/CA$8</f>
        <v>-4.5169151555844172E-17</v>
      </c>
      <c r="CH63" s="397"/>
      <c r="CI63" s="397"/>
      <c r="CJ63" s="397"/>
      <c r="CK63" s="397"/>
      <c r="CL63" s="397"/>
      <c r="CM63" s="62"/>
      <c r="CN63" s="62"/>
    </row>
    <row r="64" spans="1:98" s="379" customFormat="1" ht="12.75" customHeight="1" outlineLevel="1" x14ac:dyDescent="0.2">
      <c r="A64" s="796"/>
      <c r="B64" s="837" t="s">
        <v>2</v>
      </c>
      <c r="C64" s="838"/>
      <c r="D64" s="839"/>
      <c r="E64" s="839"/>
      <c r="F64" s="839"/>
      <c r="G64" s="824"/>
      <c r="H64" s="820"/>
      <c r="I64" s="830"/>
      <c r="J64" s="830"/>
      <c r="K64" s="830"/>
      <c r="L64" s="830"/>
      <c r="M64" s="824"/>
      <c r="N64" s="820"/>
      <c r="O64" s="836">
        <v>0</v>
      </c>
      <c r="P64" s="836">
        <v>0</v>
      </c>
      <c r="Q64" s="836">
        <v>0</v>
      </c>
      <c r="R64" s="836">
        <v>0</v>
      </c>
      <c r="S64" s="824">
        <f>+SUMPRODUCT(O64:R64,I$8:L$8)/M$8</f>
        <v>0</v>
      </c>
      <c r="T64" s="820"/>
      <c r="U64" s="836">
        <v>0</v>
      </c>
      <c r="V64" s="836">
        <v>0</v>
      </c>
      <c r="W64" s="836">
        <v>0</v>
      </c>
      <c r="X64" s="836">
        <v>0</v>
      </c>
      <c r="Y64" s="824">
        <f>+SUMPRODUCT(U64:X64,O$8:R$8)/S$8</f>
        <v>0</v>
      </c>
      <c r="Z64" s="820"/>
      <c r="AA64" s="830">
        <f t="shared" si="18"/>
        <v>7.6630000000000031E-3</v>
      </c>
      <c r="AB64" s="830">
        <f t="shared" si="18"/>
        <v>-2.4799999999999996E-2</v>
      </c>
      <c r="AC64" s="830">
        <f t="shared" si="18"/>
        <v>5.7250000000000009E-2</v>
      </c>
      <c r="AD64" s="830">
        <f t="shared" si="18"/>
        <v>0.25037999999999999</v>
      </c>
      <c r="AE64" s="824">
        <v>7.4168530826769594E-2</v>
      </c>
      <c r="AF64" s="820"/>
      <c r="AG64" s="830">
        <f t="shared" si="19"/>
        <v>0.23758799999999997</v>
      </c>
      <c r="AH64" s="830">
        <f t="shared" si="19"/>
        <v>0.26029999999999998</v>
      </c>
      <c r="AI64" s="830">
        <f t="shared" si="19"/>
        <v>0.17344000000000001</v>
      </c>
      <c r="AJ64" s="830">
        <f t="shared" si="19"/>
        <v>2.4E-2</v>
      </c>
      <c r="AK64" s="824">
        <v>0.16550963384216225</v>
      </c>
      <c r="AL64" s="840"/>
      <c r="AM64" s="830">
        <f t="shared" si="20"/>
        <v>1.0600000000000054E-3</v>
      </c>
      <c r="AN64" s="830">
        <f t="shared" si="20"/>
        <v>-1.5439999999999995E-2</v>
      </c>
      <c r="AO64" s="830">
        <f t="shared" si="20"/>
        <v>1.4000000000000123E-4</v>
      </c>
      <c r="AP64" s="830">
        <f t="shared" si="20"/>
        <v>2.5599999999999998E-3</v>
      </c>
      <c r="AQ64" s="824">
        <v>-3.0151393676710147E-3</v>
      </c>
      <c r="AR64" s="840"/>
      <c r="AS64" s="830">
        <f t="shared" si="21"/>
        <v>-5.3399999999999975E-3</v>
      </c>
      <c r="AT64" s="830">
        <f t="shared" si="21"/>
        <v>-1.3869999999999997E-2</v>
      </c>
      <c r="AU64" s="830">
        <f t="shared" si="21"/>
        <v>2.1599999999999987E-3</v>
      </c>
      <c r="AV64" s="830">
        <f t="shared" si="21"/>
        <v>-1.1422999999999999E-2</v>
      </c>
      <c r="AW64" s="824">
        <v>-7.2982449995471895E-3</v>
      </c>
      <c r="AX64" s="840"/>
      <c r="AY64" s="830">
        <f t="shared" si="22"/>
        <v>-2.1240000000000002E-2</v>
      </c>
      <c r="AZ64" s="830">
        <f t="shared" si="22"/>
        <v>-7.1180000000000063E-3</v>
      </c>
      <c r="BA64" s="830">
        <f t="shared" si="22"/>
        <v>-1.7140000000000002E-2</v>
      </c>
      <c r="BB64" s="830">
        <v>-6.6040000000000508E-3</v>
      </c>
      <c r="BC64" s="824">
        <v>-1.2921855943853139E-2</v>
      </c>
      <c r="BD64" s="840"/>
      <c r="BE64" s="830">
        <f>+BE61-BE62</f>
        <v>0.1658623984121905</v>
      </c>
      <c r="BF64" s="830">
        <f>+BF61-BF62</f>
        <v>0.47409297099616243</v>
      </c>
      <c r="BG64" s="830">
        <f>+BG61-BG62</f>
        <v>0.47308900825509959</v>
      </c>
      <c r="BH64" s="830">
        <f>+BH61-BH62</f>
        <v>0.48129412229273832</v>
      </c>
      <c r="BI64" s="824">
        <f>+BI59-BI62-BI63</f>
        <v>0.37467616457787972</v>
      </c>
      <c r="BJ64" s="840"/>
      <c r="BK64" s="830">
        <f>+BK61-BK62</f>
        <v>0.18340627104989535</v>
      </c>
      <c r="BL64" s="830">
        <f>+BL61-BL62</f>
        <v>-2.2387558382192189E-2</v>
      </c>
      <c r="BM64" s="830">
        <f>+BM61-BM62</f>
        <v>2.7666560374149655E-2</v>
      </c>
      <c r="BN64" s="830">
        <f>+BN61-BN62</f>
        <v>2.4140534498526347E-2</v>
      </c>
      <c r="BO64" s="824">
        <f>+BO59-BO62-BO63</f>
        <v>3.7413677353414033E-2</v>
      </c>
      <c r="BP64" s="840"/>
      <c r="BQ64" s="830">
        <f>+BQ61-BQ62</f>
        <v>-3.9286115164440458E-2</v>
      </c>
      <c r="BR64" s="830">
        <f>+BR61-BR62</f>
        <v>-1.015744032503809E-2</v>
      </c>
      <c r="BS64" s="830">
        <f>+BS61-BS62</f>
        <v>0</v>
      </c>
      <c r="BT64" s="830">
        <f>+BT61-BT62</f>
        <v>0</v>
      </c>
      <c r="BU64" s="824">
        <f>+BU59-BU62-BU63</f>
        <v>-1.2045468267159985E-2</v>
      </c>
      <c r="BV64" s="840"/>
      <c r="BW64" s="830">
        <f>+BW61-BW62</f>
        <v>0</v>
      </c>
      <c r="BX64" s="830">
        <f>+BX61-BX62</f>
        <v>0</v>
      </c>
      <c r="BY64" s="830">
        <f>+BY61-BY62</f>
        <v>0</v>
      </c>
      <c r="BZ64" s="830">
        <f>+BZ61-BZ62</f>
        <v>0</v>
      </c>
      <c r="CA64" s="824">
        <f>+CA59-CA62-CA63</f>
        <v>-3.709569069953834E-4</v>
      </c>
      <c r="CB64" s="840"/>
      <c r="CC64" s="830">
        <f>+CC61-CC62</f>
        <v>0</v>
      </c>
      <c r="CD64" s="830">
        <f>+CD61-CD62</f>
        <v>0</v>
      </c>
      <c r="CE64" s="830">
        <f>+CE61-CE62</f>
        <v>0</v>
      </c>
      <c r="CF64" s="830">
        <f>+CF61-CF62</f>
        <v>0</v>
      </c>
      <c r="CG64" s="824">
        <f>+CG59-CG62-CG63</f>
        <v>-2.812563347598627E-4</v>
      </c>
      <c r="CH64" s="656"/>
      <c r="CI64" s="656"/>
      <c r="CJ64" s="656"/>
      <c r="CK64" s="656"/>
      <c r="CL64" s="656"/>
      <c r="CM64" s="796"/>
      <c r="CN64" s="796"/>
      <c r="CO64"/>
      <c r="CP64"/>
      <c r="CQ64"/>
      <c r="CR64"/>
      <c r="CS64"/>
      <c r="CT64"/>
    </row>
    <row r="65" spans="1:92" x14ac:dyDescent="0.2">
      <c r="B65" s="45" t="str">
        <f>+B10</f>
        <v>COGS</v>
      </c>
      <c r="C65" s="122"/>
      <c r="D65" s="134"/>
      <c r="E65" s="134"/>
      <c r="F65" s="134"/>
      <c r="G65" s="383"/>
      <c r="H65" s="86"/>
      <c r="I65" s="46">
        <f t="shared" ref="I65:M66" si="23">IF(ISERROR(I10/C10-1),"NM",I10/C10-1)</f>
        <v>0.21604600460752188</v>
      </c>
      <c r="J65" s="46">
        <f t="shared" si="23"/>
        <v>0.17094199800484522</v>
      </c>
      <c r="K65" s="46">
        <f t="shared" si="23"/>
        <v>6.2340236396966509E-2</v>
      </c>
      <c r="L65" s="46">
        <f t="shared" si="23"/>
        <v>-0.11780945258638331</v>
      </c>
      <c r="M65" s="85">
        <f t="shared" si="23"/>
        <v>7.5051854909447213E-2</v>
      </c>
      <c r="N65" s="86"/>
      <c r="O65" s="46">
        <f t="shared" ref="O65:S66" si="24">IF(ISERROR(O10/I10-1),"NM",O10/I10-1)</f>
        <v>-0.12456312899444355</v>
      </c>
      <c r="P65" s="46">
        <f t="shared" si="24"/>
        <v>-4.3660353449479383E-2</v>
      </c>
      <c r="Q65" s="46">
        <f t="shared" si="24"/>
        <v>3.8847739920726987E-2</v>
      </c>
      <c r="R65" s="46">
        <f t="shared" si="24"/>
        <v>0.20265784934355091</v>
      </c>
      <c r="S65" s="85">
        <f t="shared" si="24"/>
        <v>1.0785396902798006E-2</v>
      </c>
      <c r="T65" s="86"/>
      <c r="U65" s="46">
        <f t="shared" ref="U65:Y66" si="25">IF(ISERROR(U10/O10-1),"NM",U10/O10-1)</f>
        <v>9.4060534705265431E-2</v>
      </c>
      <c r="V65" s="46">
        <f t="shared" si="25"/>
        <v>3.86541599916157E-2</v>
      </c>
      <c r="W65" s="46">
        <f t="shared" si="25"/>
        <v>3.6720583644541005E-2</v>
      </c>
      <c r="X65" s="46">
        <f t="shared" si="25"/>
        <v>-1.6492437605422849E-2</v>
      </c>
      <c r="Y65" s="85">
        <f t="shared" si="25"/>
        <v>3.5935860362862782E-2</v>
      </c>
      <c r="Z65" s="86"/>
      <c r="AA65" s="46">
        <f t="shared" ref="AA65:AE66" si="26">IF(ISERROR(AA10/U10-1),"NM",AA10/U10-1)</f>
        <v>1.899539987722898E-2</v>
      </c>
      <c r="AB65" s="46">
        <f t="shared" si="26"/>
        <v>5.6221643224464879E-2</v>
      </c>
      <c r="AC65" s="46">
        <f t="shared" si="26"/>
        <v>0.1328508072460699</v>
      </c>
      <c r="AD65" s="46">
        <f t="shared" si="26"/>
        <v>0.26675651969278791</v>
      </c>
      <c r="AE65" s="85">
        <f t="shared" si="26"/>
        <v>0.12024043503450499</v>
      </c>
      <c r="AF65" s="86"/>
      <c r="AG65" s="46">
        <f t="shared" ref="AG65:AK66" si="27">IF(ISERROR(AG10/AA10-1),"NM",AG10/AA10-1)</f>
        <v>0.19117280668156589</v>
      </c>
      <c r="AH65" s="46">
        <f t="shared" si="27"/>
        <v>0.19787984660106739</v>
      </c>
      <c r="AI65" s="46">
        <f t="shared" si="27"/>
        <v>7.4303171905046428E-2</v>
      </c>
      <c r="AJ65" s="46">
        <f t="shared" si="27"/>
        <v>4.8610641986988057E-3</v>
      </c>
      <c r="AK65" s="85">
        <f t="shared" si="27"/>
        <v>0.109471932151739</v>
      </c>
      <c r="AL65" s="497"/>
      <c r="AM65" s="397">
        <f t="shared" ref="AM65:AQ66" si="28">IF(ISERROR(AM10/AG10-1),"NM",AM10/AG10-1)</f>
        <v>6.2688673207857981E-2</v>
      </c>
      <c r="AN65" s="397">
        <f t="shared" si="28"/>
        <v>-2.3264756229901984E-2</v>
      </c>
      <c r="AO65" s="397">
        <f t="shared" si="28"/>
        <v>-7.5477807203228053E-3</v>
      </c>
      <c r="AP65" s="397">
        <f t="shared" si="28"/>
        <v>-1.7571477791254342E-2</v>
      </c>
      <c r="AQ65" s="85">
        <f t="shared" si="28"/>
        <v>2.3373688410810445E-3</v>
      </c>
      <c r="AR65" s="497"/>
      <c r="AS65" s="397">
        <f t="shared" ref="AS65:AW66" si="29">IF(ISERROR(AS10/AM10-1),"NM",AS10/AM10-1)</f>
        <v>-2.5671983784259944E-2</v>
      </c>
      <c r="AT65" s="397">
        <f t="shared" si="29"/>
        <v>-1.4959713753313397E-2</v>
      </c>
      <c r="AU65" s="397">
        <f t="shared" si="29"/>
        <v>-3.1393308916315199E-2</v>
      </c>
      <c r="AV65" s="397">
        <f t="shared" si="29"/>
        <v>-7.9800185900104181E-2</v>
      </c>
      <c r="AW65" s="85">
        <f t="shared" si="29"/>
        <v>-3.8306301771860563E-2</v>
      </c>
      <c r="AX65" s="497"/>
      <c r="AY65" s="397">
        <f t="shared" ref="AY65:BC66" si="30">IF(ISERROR(AY10/AS10-1),"NM",AY10/AS10-1)</f>
        <v>-0.16071649315134573</v>
      </c>
      <c r="AZ65" s="397">
        <f t="shared" si="30"/>
        <v>-0.13603974054962986</v>
      </c>
      <c r="BA65" s="397">
        <f t="shared" si="30"/>
        <v>-0.14047853579485881</v>
      </c>
      <c r="BB65" s="397">
        <f t="shared" si="30"/>
        <v>-9.8339829831008641E-2</v>
      </c>
      <c r="BC65" s="85">
        <f t="shared" si="30"/>
        <v>-0.13406125900023724</v>
      </c>
      <c r="BD65" s="497"/>
      <c r="BE65" s="397">
        <f t="shared" ref="BE65:BI66" si="31">BE10/AY10-1</f>
        <v>0.11292327367566424</v>
      </c>
      <c r="BF65" s="397">
        <f t="shared" si="31"/>
        <v>0.43230148232923771</v>
      </c>
      <c r="BG65" s="397">
        <f t="shared" si="31"/>
        <v>0.5219963031423287</v>
      </c>
      <c r="BH65" s="397">
        <f t="shared" si="31"/>
        <v>0.46013745704467346</v>
      </c>
      <c r="BI65" s="85">
        <f t="shared" si="31"/>
        <v>0.38234025858351672</v>
      </c>
      <c r="BJ65" s="239"/>
      <c r="BK65" s="397">
        <f t="shared" ref="BK65:BO66" si="32">BK10/BE10-1</f>
        <v>0.2165913492575855</v>
      </c>
      <c r="BL65" s="397">
        <f t="shared" si="32"/>
        <v>-6.2200956937796814E-3</v>
      </c>
      <c r="BM65" s="397">
        <f t="shared" si="32"/>
        <v>1.7974253096915138E-2</v>
      </c>
      <c r="BN65" s="397">
        <f t="shared" si="32"/>
        <v>8.9903506707460723E-2</v>
      </c>
      <c r="BO65" s="85">
        <f t="shared" si="32"/>
        <v>7.037841984147275E-2</v>
      </c>
      <c r="BP65" s="239"/>
      <c r="BQ65" s="397">
        <f t="shared" ref="BQ65:BU66" si="33">BQ10/BK10-1</f>
        <v>8.4492172990183301E-2</v>
      </c>
      <c r="BR65" s="397">
        <f t="shared" si="33"/>
        <v>7.1802792489166878E-2</v>
      </c>
      <c r="BS65" s="397">
        <f t="shared" si="33"/>
        <v>8.4576091624910976E-2</v>
      </c>
      <c r="BT65" s="397">
        <f t="shared" si="33"/>
        <v>5.4656186568775578E-2</v>
      </c>
      <c r="BU65" s="85">
        <f t="shared" si="33"/>
        <v>7.3113825022394829E-2</v>
      </c>
      <c r="BV65" s="239"/>
      <c r="BW65" s="397">
        <f t="shared" ref="BW65:CA66" si="34">BW10/BQ10-1</f>
        <v>2.6573019272891463E-2</v>
      </c>
      <c r="BX65" s="397">
        <f t="shared" si="34"/>
        <v>3.8630694669648191E-2</v>
      </c>
      <c r="BY65" s="397">
        <f t="shared" si="34"/>
        <v>3.4219591317786513E-2</v>
      </c>
      <c r="BZ65" s="397">
        <f t="shared" si="34"/>
        <v>2.6572743774468277E-2</v>
      </c>
      <c r="CA65" s="85">
        <f t="shared" si="34"/>
        <v>3.1494740532612031E-2</v>
      </c>
      <c r="CB65" s="239"/>
      <c r="CC65" s="397">
        <f t="shared" ref="CC65:CG66" si="35">CC10/BW10-1</f>
        <v>2.7065786364766087E-2</v>
      </c>
      <c r="CD65" s="397">
        <f t="shared" si="35"/>
        <v>1.7114721266416E-2</v>
      </c>
      <c r="CE65" s="397">
        <f t="shared" si="35"/>
        <v>1.9964938512367247E-2</v>
      </c>
      <c r="CF65" s="397">
        <f t="shared" si="35"/>
        <v>2.7129249841374659E-2</v>
      </c>
      <c r="CG65" s="85">
        <f t="shared" si="35"/>
        <v>2.2799357103644224E-2</v>
      </c>
      <c r="CH65" s="397"/>
      <c r="CI65" s="397"/>
      <c r="CJ65" s="397"/>
      <c r="CK65" s="397"/>
      <c r="CL65" s="397"/>
      <c r="CM65" s="24"/>
      <c r="CN65" s="24"/>
    </row>
    <row r="66" spans="1:92" x14ac:dyDescent="0.2">
      <c r="B66" s="45" t="str">
        <f>+B11</f>
        <v>Gross Profit</v>
      </c>
      <c r="C66" s="122"/>
      <c r="D66" s="134"/>
      <c r="E66" s="134"/>
      <c r="F66" s="134"/>
      <c r="G66" s="383"/>
      <c r="H66" s="14"/>
      <c r="I66" s="46">
        <f t="shared" si="23"/>
        <v>0.15821551255085708</v>
      </c>
      <c r="J66" s="46">
        <f t="shared" si="23"/>
        <v>0.17375290195845028</v>
      </c>
      <c r="K66" s="46">
        <f t="shared" si="23"/>
        <v>0.10748646191549094</v>
      </c>
      <c r="L66" s="46">
        <f t="shared" si="23"/>
        <v>-6.2295815290530632E-3</v>
      </c>
      <c r="M66" s="85">
        <f t="shared" si="23"/>
        <v>0.10680516495753634</v>
      </c>
      <c r="N66" s="14"/>
      <c r="O66" s="46">
        <f t="shared" si="24"/>
        <v>-6.8401327990520233E-2</v>
      </c>
      <c r="P66" s="46">
        <f t="shared" si="24"/>
        <v>-9.4514495096455042E-2</v>
      </c>
      <c r="Q66" s="46">
        <f t="shared" si="24"/>
        <v>-3.0169567746794579E-2</v>
      </c>
      <c r="R66" s="46">
        <f t="shared" si="24"/>
        <v>4.5016824581599169E-2</v>
      </c>
      <c r="S66" s="85">
        <f t="shared" si="24"/>
        <v>-3.9568763759349701E-2</v>
      </c>
      <c r="T66" s="14"/>
      <c r="U66" s="46">
        <f t="shared" si="25"/>
        <v>6.1362575828278532E-2</v>
      </c>
      <c r="V66" s="46">
        <f t="shared" si="25"/>
        <v>6.7455927860318177E-3</v>
      </c>
      <c r="W66" s="46">
        <f t="shared" si="25"/>
        <v>3.9892540389361297E-3</v>
      </c>
      <c r="X66" s="46">
        <f t="shared" si="25"/>
        <v>1.5810304590214042E-2</v>
      </c>
      <c r="Y66" s="85">
        <f t="shared" si="25"/>
        <v>2.1507407604918649E-2</v>
      </c>
      <c r="Z66" s="14"/>
      <c r="AA66" s="46">
        <f t="shared" si="26"/>
        <v>6.9302718073451119E-2</v>
      </c>
      <c r="AB66" s="46">
        <f t="shared" si="26"/>
        <v>9.9987830108311915E-2</v>
      </c>
      <c r="AC66" s="46">
        <f t="shared" si="26"/>
        <v>0.15470980228287368</v>
      </c>
      <c r="AD66" s="46">
        <f t="shared" si="26"/>
        <v>0.33029672136275701</v>
      </c>
      <c r="AE66" s="85">
        <f t="shared" si="26"/>
        <v>0.16417085044745927</v>
      </c>
      <c r="AF66" s="14"/>
      <c r="AG66" s="46">
        <f t="shared" si="27"/>
        <v>0.31334553557217859</v>
      </c>
      <c r="AH66" s="46">
        <f t="shared" si="27"/>
        <v>0.30205057041071459</v>
      </c>
      <c r="AI66" s="46">
        <f t="shared" si="27"/>
        <v>0.16929665006459893</v>
      </c>
      <c r="AJ66" s="46">
        <f t="shared" si="27"/>
        <v>3.5397305227294451E-2</v>
      </c>
      <c r="AK66" s="85">
        <f t="shared" si="27"/>
        <v>0.19528356452891504</v>
      </c>
      <c r="AL66" s="497"/>
      <c r="AM66" s="397">
        <f t="shared" si="28"/>
        <v>-1.1134001878389532E-2</v>
      </c>
      <c r="AN66" s="397">
        <f t="shared" si="28"/>
        <v>1.501317051261819E-2</v>
      </c>
      <c r="AO66" s="397">
        <f t="shared" si="28"/>
        <v>2.9197536059160534E-2</v>
      </c>
      <c r="AP66" s="397">
        <f t="shared" si="28"/>
        <v>1.6763018907918203E-2</v>
      </c>
      <c r="AQ66" s="85">
        <f t="shared" si="28"/>
        <v>1.219103527782428E-2</v>
      </c>
      <c r="AR66" s="497"/>
      <c r="AS66" s="397">
        <f t="shared" si="29"/>
        <v>1.7282229609318023E-2</v>
      </c>
      <c r="AT66" s="397">
        <f t="shared" si="29"/>
        <v>2.2351700236074246E-2</v>
      </c>
      <c r="AU66" s="397">
        <f t="shared" si="29"/>
        <v>3.8041930004114821E-2</v>
      </c>
      <c r="AV66" s="397">
        <f t="shared" si="29"/>
        <v>-1.6451907517893938E-2</v>
      </c>
      <c r="AW66" s="85">
        <f t="shared" si="29"/>
        <v>1.5018818283418112E-2</v>
      </c>
      <c r="AX66" s="497"/>
      <c r="AY66" s="397">
        <f t="shared" si="30"/>
        <v>-5.1422662714616596E-2</v>
      </c>
      <c r="AZ66" s="397">
        <f t="shared" si="30"/>
        <v>-4.9752710359962093E-2</v>
      </c>
      <c r="BA66" s="397">
        <f t="shared" si="30"/>
        <v>-3.8446878255787298E-2</v>
      </c>
      <c r="BB66" s="397">
        <f t="shared" si="30"/>
        <v>-4.0885383153798971E-2</v>
      </c>
      <c r="BC66" s="85">
        <f t="shared" si="30"/>
        <v>-4.5235840590204801E-2</v>
      </c>
      <c r="BD66" s="497"/>
      <c r="BE66" s="397">
        <f t="shared" si="31"/>
        <v>0.22448763606153133</v>
      </c>
      <c r="BF66" s="397">
        <f t="shared" si="31"/>
        <v>0.49100864666837363</v>
      </c>
      <c r="BG66" s="397">
        <f t="shared" si="31"/>
        <v>0.43789640591966195</v>
      </c>
      <c r="BH66" s="397">
        <f t="shared" si="31"/>
        <v>0.50776111549592207</v>
      </c>
      <c r="BI66" s="85">
        <f t="shared" si="31"/>
        <v>0.41680852470663576</v>
      </c>
      <c r="BJ66" s="239"/>
      <c r="BK66" s="397">
        <f t="shared" si="32"/>
        <v>0.13461538461538458</v>
      </c>
      <c r="BL66" s="397">
        <f t="shared" si="32"/>
        <v>-4.4253632760898443E-2</v>
      </c>
      <c r="BM66" s="397">
        <f t="shared" si="32"/>
        <v>8.6381179930160146E-2</v>
      </c>
      <c r="BN66" s="397">
        <f t="shared" si="32"/>
        <v>9.5620310591519653E-2</v>
      </c>
      <c r="BO66" s="85">
        <f t="shared" si="32"/>
        <v>6.2820278184480216E-2</v>
      </c>
      <c r="BP66" s="239"/>
      <c r="BQ66" s="397">
        <f t="shared" si="33"/>
        <v>3.185088554561033E-2</v>
      </c>
      <c r="BR66" s="397">
        <f t="shared" si="33"/>
        <v>6.2261782999309068E-2</v>
      </c>
      <c r="BS66" s="397">
        <f t="shared" si="33"/>
        <v>6.1928878362375039E-2</v>
      </c>
      <c r="BT66" s="397">
        <f t="shared" si="33"/>
        <v>7.4172193024366839E-2</v>
      </c>
      <c r="BU66" s="85">
        <f t="shared" si="33"/>
        <v>5.8522062938568098E-2</v>
      </c>
      <c r="BV66" s="239"/>
      <c r="BW66" s="397">
        <f t="shared" si="34"/>
        <v>3.9226452272681067E-2</v>
      </c>
      <c r="BX66" s="397">
        <f t="shared" si="34"/>
        <v>5.1513734792069776E-2</v>
      </c>
      <c r="BY66" s="397">
        <f t="shared" si="34"/>
        <v>4.7047916687642521E-2</v>
      </c>
      <c r="BZ66" s="397">
        <f t="shared" si="34"/>
        <v>3.9306218641430135E-2</v>
      </c>
      <c r="CA66" s="85">
        <f t="shared" si="34"/>
        <v>4.4317492945558312E-2</v>
      </c>
      <c r="CB66" s="239"/>
      <c r="CC66" s="397">
        <f t="shared" si="35"/>
        <v>3.9748116039328263E-2</v>
      </c>
      <c r="CD66" s="397">
        <f t="shared" si="35"/>
        <v>2.9756910856323593E-2</v>
      </c>
      <c r="CE66" s="397">
        <f t="shared" si="35"/>
        <v>3.2642554771501242E-2</v>
      </c>
      <c r="CF66" s="397">
        <f t="shared" si="35"/>
        <v>3.9895914641649988E-2</v>
      </c>
      <c r="CG66" s="85">
        <f t="shared" si="35"/>
        <v>3.5454242307296102E-2</v>
      </c>
      <c r="CH66" s="397"/>
      <c r="CI66" s="397"/>
      <c r="CJ66" s="397"/>
      <c r="CK66" s="397"/>
      <c r="CL66" s="397"/>
      <c r="CM66" s="24"/>
      <c r="CN66" s="24"/>
    </row>
    <row r="67" spans="1:92" x14ac:dyDescent="0.2">
      <c r="B67" s="45" t="str">
        <f>+B13</f>
        <v>SG&amp;A</v>
      </c>
      <c r="C67" s="122"/>
      <c r="D67" s="134"/>
      <c r="E67" s="134"/>
      <c r="F67" s="134"/>
      <c r="G67" s="383"/>
      <c r="H67" s="14"/>
      <c r="I67" s="46">
        <f>IF(ISERROR(I13/C13-1),"NM",I13/C13-1)</f>
        <v>0.1214368863399502</v>
      </c>
      <c r="J67" s="46">
        <f>IF(ISERROR(J13/D13-1),"NM",J13/D13-1)</f>
        <v>0.16726133748634386</v>
      </c>
      <c r="K67" s="46">
        <f>IF(ISERROR(K13/E13-1),"NM",K13/E13-1)</f>
        <v>9.0647403867043286E-2</v>
      </c>
      <c r="L67" s="46">
        <f>IF(ISERROR(L13/F13-1),"NM",L13/F13-1)</f>
        <v>4.2075898003401946E-4</v>
      </c>
      <c r="M67" s="85">
        <f>IF(ISERROR(M13/G13-1),"NM",M13/G13-1)</f>
        <v>9.447039748876529E-2</v>
      </c>
      <c r="N67" s="14"/>
      <c r="O67" s="46">
        <f>IF(ISERROR(O13/I13-1),"NM",O13/I13-1)</f>
        <v>-4.6841882153454972E-2</v>
      </c>
      <c r="P67" s="46">
        <f>IF(ISERROR(P13/J13-1),"NM",P13/J13-1)</f>
        <v>-9.0721721337999717E-2</v>
      </c>
      <c r="Q67" s="46">
        <f>IF(ISERROR(Q13/K13-1),"NM",Q13/K13-1)</f>
        <v>-1.8768432293655102E-2</v>
      </c>
      <c r="R67" s="46">
        <f>IF(ISERROR(R13/L13-1),"NM",R13/L13-1)</f>
        <v>2.9746095212854984E-2</v>
      </c>
      <c r="S67" s="85">
        <f>IF(ISERROR(S13/M13-1),"NM",S13/M13-1)</f>
        <v>-3.3917910296320075E-2</v>
      </c>
      <c r="T67" s="14"/>
      <c r="U67" s="46">
        <f>IF(ISERROR(U13/O13-1),"NM",U13/O13-1)</f>
        <v>6.9180023149336023E-2</v>
      </c>
      <c r="V67" s="46">
        <f>IF(ISERROR(V13/P13-1),"NM",V13/P13-1)</f>
        <v>-1.4290094391274932E-3</v>
      </c>
      <c r="W67" s="46">
        <f>IF(ISERROR(W13/Q13-1),"NM",W13/Q13-1)</f>
        <v>1.6945138352402411E-2</v>
      </c>
      <c r="X67" s="46">
        <f>IF(ISERROR(X13/R13-1),"NM",X13/R13-1)</f>
        <v>4.0507575588031086E-2</v>
      </c>
      <c r="Y67" s="85">
        <f>IF(ISERROR(Y13/S13-1),"NM",Y13/S13-1)</f>
        <v>3.0972026170150713E-2</v>
      </c>
      <c r="Z67" s="14"/>
      <c r="AA67" s="46">
        <f>IF(ISERROR(AA13/U13-1),"NM",AA13/U13-1)</f>
        <v>6.6399667228396408E-2</v>
      </c>
      <c r="AB67" s="46">
        <f>IF(ISERROR(AB13/V13-1),"NM",AB13/V13-1)</f>
        <v>0.14848423372792419</v>
      </c>
      <c r="AC67" s="46">
        <f>IF(ISERROR(AC13/W13-1),"NM",AC13/W13-1)</f>
        <v>0.20909715984074717</v>
      </c>
      <c r="AD67" s="46">
        <f>IF(ISERROR(AD13/X13-1),"NM",AD13/X13-1)</f>
        <v>0.47474888692921535</v>
      </c>
      <c r="AE67" s="85">
        <f>IF(ISERROR(AE13/Y13-1),"NM",AE13/Y13-1)</f>
        <v>0.2248411804735857</v>
      </c>
      <c r="AF67" s="14"/>
      <c r="AG67" s="46">
        <f>IF(ISERROR(AG13/AA13-1),"NM",AG13/AA13-1)</f>
        <v>0.41864907709772115</v>
      </c>
      <c r="AH67" s="46">
        <f>IF(ISERROR(AH13/AB13-1),"NM",AH13/AB13-1)</f>
        <v>0.34702860634763022</v>
      </c>
      <c r="AI67" s="46">
        <f>IF(ISERROR(AI13/AC13-1),"NM",AI13/AC13-1)</f>
        <v>0.17724752466166183</v>
      </c>
      <c r="AJ67" s="46">
        <f>IF(ISERROR(AJ13/AD13-1),"NM",AJ13/AD13-1)</f>
        <v>7.142805055020407E-3</v>
      </c>
      <c r="AK67" s="85">
        <f>IF(ISERROR(AK13/AE13-1),"NM",AK13/AE13-1)</f>
        <v>0.21848107666921002</v>
      </c>
      <c r="AL67" s="497"/>
      <c r="AM67" s="397">
        <f>IF(ISERROR(AM13/AG13-1),"NM",AM13/AG13-1)</f>
        <v>-2.5027936111785554E-3</v>
      </c>
      <c r="AN67" s="397">
        <f>IF(ISERROR(AN13/AH13-1),"NM",AN13/AH13-1)</f>
        <v>-6.47873147288347E-3</v>
      </c>
      <c r="AO67" s="397">
        <f>IF(ISERROR(AO13/AI13-1),"NM",AO13/AI13-1)</f>
        <v>1.0486949746786101E-2</v>
      </c>
      <c r="AP67" s="397">
        <f>IF(ISERROR(AP13/AJ13-1),"NM",AP13/AJ13-1)</f>
        <v>1.4803363973050487E-2</v>
      </c>
      <c r="AQ67" s="85">
        <f>IF(ISERROR(AQ13/AK13-1),"NM",AQ13/AK13-1)</f>
        <v>3.8616328618312767E-3</v>
      </c>
      <c r="AR67" s="497"/>
      <c r="AS67" s="397">
        <f>IF(ISERROR(AS13/AM13-1),"NM",AS13/AM13-1)</f>
        <v>-2.303753361628158E-2</v>
      </c>
      <c r="AT67" s="397">
        <f>IF(ISERROR(AT13/AN13-1),"NM",AT13/AN13-1)</f>
        <v>2.1913771822806405E-2</v>
      </c>
      <c r="AU67" s="397">
        <f>IF(ISERROR(AU13/AO13-1),"NM",AU13/AO13-1)</f>
        <v>2.6619942018258236E-2</v>
      </c>
      <c r="AV67" s="397">
        <f>IF(ISERROR(AV13/AP13-1),"NM",AV13/AP13-1)</f>
        <v>-2.3634547465306244E-2</v>
      </c>
      <c r="AW67" s="85">
        <f>IF(ISERROR(AW13/AQ13-1),"NM",AW13/AQ13-1)</f>
        <v>-8.7035279206504335E-5</v>
      </c>
      <c r="AX67" s="497"/>
      <c r="AY67" s="397">
        <f>IF(ISERROR(AY13/AS13-1),"NM",AY13/AS13-1)</f>
        <v>-5.9214191149341122E-2</v>
      </c>
      <c r="AZ67" s="397">
        <f>IF(ISERROR(AZ13/AT13-1),"NM",AZ13/AT13-1)</f>
        <v>-8.0008657132185523E-2</v>
      </c>
      <c r="BA67" s="397">
        <f>IF(ISERROR(BA13/AU13-1),"NM",BA13/AU13-1)</f>
        <v>-7.4341806329023652E-2</v>
      </c>
      <c r="BB67" s="397">
        <f>IF(ISERROR(BB13/AV13-1),"NM",BB13/AV13-1)</f>
        <v>-8.1425726656557673E-2</v>
      </c>
      <c r="BC67" s="85">
        <f>IF(ISERROR(BC13/AW13-1),"NM",BC13/AW13-1)</f>
        <v>-7.3779699974159119E-2</v>
      </c>
      <c r="BD67" s="497"/>
      <c r="BE67" s="397">
        <f>BE13/AY13-1</f>
        <v>0.12771258516479289</v>
      </c>
      <c r="BF67" s="397">
        <f>BF13/AZ13-1</f>
        <v>0.41605545837775915</v>
      </c>
      <c r="BG67" s="397">
        <f>BG13/BA13-1</f>
        <v>0.41298174442190683</v>
      </c>
      <c r="BH67" s="397">
        <f>BH13/BB13-1</f>
        <v>0.45863166268894195</v>
      </c>
      <c r="BI67" s="85">
        <f>BI13/BC13-1</f>
        <v>0.3523792182925074</v>
      </c>
      <c r="BJ67" s="239"/>
      <c r="BK67" s="397">
        <f>BK13/BE13-1</f>
        <v>0.28605523354926676</v>
      </c>
      <c r="BL67" s="397">
        <f>BL13/BF13-1</f>
        <v>2.813504823151125E-2</v>
      </c>
      <c r="BM67" s="397">
        <f>BM13/BG13-1</f>
        <v>8.9290841228825801E-2</v>
      </c>
      <c r="BN67" s="397">
        <f>BN13/BH13-1</f>
        <v>6.6266703026997664E-2</v>
      </c>
      <c r="BO67" s="85">
        <f>BO13/BI13-1</f>
        <v>0.10843286283025688</v>
      </c>
      <c r="BP67" s="239"/>
      <c r="BQ67" s="397">
        <f>BQ13/BK13-1</f>
        <v>6.8408404029692615E-2</v>
      </c>
      <c r="BR67" s="397">
        <f>BR13/BL13-1</f>
        <v>0.10822746937711747</v>
      </c>
      <c r="BS67" s="397">
        <f>BS13/BM13-1</f>
        <v>7.4036742224565355E-2</v>
      </c>
      <c r="BT67" s="397">
        <f>BT13/BN13-1</f>
        <v>7.9017698209718601E-2</v>
      </c>
      <c r="BU67" s="414">
        <f>BU13/BO13-1</f>
        <v>8.2489381571213993E-2</v>
      </c>
      <c r="BV67" s="239"/>
      <c r="BW67" s="397">
        <f>BW13/BQ13-1</f>
        <v>-8.7102465200997514E-2</v>
      </c>
      <c r="BX67" s="397">
        <f>BX13/BR13-1</f>
        <v>-1.8298467302913513E-2</v>
      </c>
      <c r="BY67" s="397">
        <f>BY13/BS13-1</f>
        <v>3.7325983484140179E-2</v>
      </c>
      <c r="BZ67" s="397">
        <f>BZ13/BT13-1</f>
        <v>6.841245016069375E-2</v>
      </c>
      <c r="CA67" s="85">
        <f>CA13/BU13-1</f>
        <v>7.174580163167299E-4</v>
      </c>
      <c r="CB67" s="239"/>
      <c r="CC67" s="397">
        <f>CC13/BW13-1</f>
        <v>1.7101462348929619E-2</v>
      </c>
      <c r="CD67" s="397">
        <f>CD13/BX13-1</f>
        <v>7.756621399140462E-3</v>
      </c>
      <c r="CE67" s="397">
        <f>CE13/BY13-1</f>
        <v>1.0942470796063031E-2</v>
      </c>
      <c r="CF67" s="397">
        <f>CF13/BZ13-1</f>
        <v>1.9265077943440678E-2</v>
      </c>
      <c r="CG67" s="85">
        <f>CG13/CA13-1</f>
        <v>1.3768280826075951E-2</v>
      </c>
      <c r="CH67" s="397"/>
      <c r="CI67" s="397"/>
      <c r="CJ67" s="397"/>
      <c r="CK67" s="397"/>
      <c r="CL67" s="397"/>
      <c r="CM67" s="24"/>
      <c r="CN67" s="24"/>
    </row>
    <row r="68" spans="1:92" x14ac:dyDescent="0.2">
      <c r="B68" s="45" t="str">
        <f>+B18</f>
        <v>Operating Income / Loss</v>
      </c>
      <c r="C68" s="122"/>
      <c r="D68" s="134"/>
      <c r="E68" s="134"/>
      <c r="F68" s="134"/>
      <c r="G68" s="383"/>
      <c r="H68" s="86"/>
      <c r="I68" s="46">
        <f>IF(ISERROR(I18/C18-1),"NM",I18/C18-1)</f>
        <v>0.23162735246529809</v>
      </c>
      <c r="J68" s="46">
        <f>IF(ISERROR(J18/D18-1),"NM",J18/D18-1)</f>
        <v>0.18530506721820195</v>
      </c>
      <c r="K68" s="46">
        <f>IF(ISERROR(K18/E18-1),"NM",K18/E18-1)</f>
        <v>0.13945601613161962</v>
      </c>
      <c r="L68" s="46">
        <f>IF(ISERROR(L18/F18-1),"NM",L18/F18-1)</f>
        <v>-1.7856603013051475E-2</v>
      </c>
      <c r="M68" s="85">
        <f>IF(ISERROR(M18/G18-1),"NM",M18/G18-1)</f>
        <v>0.12960226370895667</v>
      </c>
      <c r="N68" s="86"/>
      <c r="O68" s="46">
        <f>IF(ISERROR(O18/I18-1),"NM",O18/I18-1)</f>
        <v>-0.10758487174168518</v>
      </c>
      <c r="P68" s="46">
        <f>IF(ISERROR(P18/J18-1),"NM",P18/J18-1)</f>
        <v>-0.10116123853811509</v>
      </c>
      <c r="Q68" s="46">
        <f>IF(ISERROR(Q18/K18-1),"NM",Q18/K18-1)</f>
        <v>-5.0887847648160345E-2</v>
      </c>
      <c r="R68" s="46">
        <f>IF(ISERROR(R18/L18-1),"NM",R18/L18-1)</f>
        <v>7.2212018919999954E-2</v>
      </c>
      <c r="S68" s="85">
        <f>IF(ISERROR(S18/M18-1),"NM",S18/M18-1)</f>
        <v>-4.9687845979791367E-2</v>
      </c>
      <c r="T68" s="86"/>
      <c r="U68" s="46">
        <f>IF(ISERROR(U18/O18-1),"NM",U18/O18-1)</f>
        <v>4.6187561566814139E-2</v>
      </c>
      <c r="V68" s="46">
        <f>IF(ISERROR(V18/P18-1),"NM",V18/P18-1)</f>
        <v>2.1237769840038556E-2</v>
      </c>
      <c r="W68" s="46">
        <f>IF(ISERROR(W18/Q18-1),"NM",W18/Q18-1)</f>
        <v>-2.0351085355904019E-2</v>
      </c>
      <c r="X68" s="46">
        <f>IF(ISERROR(X18/R18-1),"NM",X18/R18-1)</f>
        <v>-2.6430369087376393E-2</v>
      </c>
      <c r="Y68" s="85">
        <f>IF(ISERROR(Y18/S18-1),"NM",Y18/S18-1)</f>
        <v>4.2776986083472579E-3</v>
      </c>
      <c r="Z68" s="86"/>
      <c r="AA68" s="46">
        <f>IF(ISERROR(AA18/U18-1),"NM",AA18/U18-1)</f>
        <v>7.5061890353568472E-2</v>
      </c>
      <c r="AB68" s="46">
        <f>IF(ISERROR(AB18/V18-1),"NM",AB18/V18-1)</f>
        <v>1.5920237235296231E-2</v>
      </c>
      <c r="AC68" s="46">
        <f>IF(ISERROR(AC18/W18-1),"NM",AC18/W18-1)</f>
        <v>4.8641751016523127E-2</v>
      </c>
      <c r="AD68" s="46">
        <f>IF(ISERROR(AD18/X18-1),"NM",AD18/X18-1)</f>
        <v>6.6247948181131333E-2</v>
      </c>
      <c r="AE68" s="85">
        <f>IF(ISERROR(AE18/Y18-1),"NM",AE18/Y18-1)</f>
        <v>5.0788815697622169E-2</v>
      </c>
      <c r="AF68" s="86"/>
      <c r="AG68" s="46">
        <f>IF(ISERROR(AG18/AA18-1),"NM",AG18/AA18-1)</f>
        <v>0.10612397531908968</v>
      </c>
      <c r="AH68" s="46">
        <f>IF(ISERROR(AH18/AB18-1),"NM",AH18/AB18-1)</f>
        <v>0.21390814598594754</v>
      </c>
      <c r="AI68" s="46">
        <f>IF(ISERROR(AI18/AC18-1),"NM",AI18/AC18-1)</f>
        <v>0.15141796431886134</v>
      </c>
      <c r="AJ68" s="46">
        <f>IF(ISERROR(AJ18/AD18-1),"NM",AJ18/AD18-1)</f>
        <v>0.10683173701822346</v>
      </c>
      <c r="AK68" s="85">
        <f>IF(ISERROR(AK18/AE18-1),"NM",AK18/AE18-1)</f>
        <v>0.14475073257108861</v>
      </c>
      <c r="AL68" s="239"/>
      <c r="AM68" s="397">
        <f t="shared" ref="AM68" si="36">AM18/AG18-1</f>
        <v>-3.2917856602699413E-2</v>
      </c>
      <c r="AN68" s="397">
        <f t="shared" ref="AN68" si="37">AN18/AH18-1</f>
        <v>6.1749042396590736E-2</v>
      </c>
      <c r="AO68" s="397">
        <f t="shared" ref="AO68" si="38">AO18/AI18-1</f>
        <v>7.2214808379532869E-2</v>
      </c>
      <c r="AP68" s="397">
        <f t="shared" ref="AP68:AQ68" si="39">AP18/AJ18-1</f>
        <v>2.1271279608222171E-2</v>
      </c>
      <c r="AQ68" s="85">
        <f t="shared" si="39"/>
        <v>3.1504221595237691E-2</v>
      </c>
      <c r="AR68" s="239"/>
      <c r="AS68" s="397">
        <f t="shared" ref="AS68" si="40">AS18/AM18-1</f>
        <v>0.1222435856155879</v>
      </c>
      <c r="AT68" s="397">
        <f t="shared" ref="AT68" si="41">AT18/AN18-1</f>
        <v>2.3242815560055918E-2</v>
      </c>
      <c r="AU68" s="397">
        <f t="shared" ref="AU68" si="42">AU18/AO18-1</f>
        <v>6.2790270306391394E-2</v>
      </c>
      <c r="AV68" s="397">
        <f t="shared" ref="AV68:AW68" si="43">AV18/AP18-1</f>
        <v>-3.2620573795938412E-5</v>
      </c>
      <c r="AW68" s="85">
        <f t="shared" si="43"/>
        <v>4.9105772889636246E-2</v>
      </c>
      <c r="AX68" s="239"/>
      <c r="AY68" s="397">
        <f t="shared" ref="AY68" si="44">AY18/AS18-1</f>
        <v>-3.3765339497823565E-2</v>
      </c>
      <c r="AZ68" s="397">
        <f t="shared" ref="AZ68" si="45">AZ18/AT18-1</f>
        <v>1.1733409002234518E-2</v>
      </c>
      <c r="BA68" s="397">
        <f t="shared" ref="BA68" si="46">BA18/AU18-1</f>
        <v>4.0610533430792906E-2</v>
      </c>
      <c r="BB68" s="397">
        <f t="shared" ref="BB68:BC68" si="47">BB18/AV18-1</f>
        <v>4.9601200476276031E-2</v>
      </c>
      <c r="BC68" s="85">
        <f t="shared" si="47"/>
        <v>1.6154288667232564E-2</v>
      </c>
      <c r="BD68" s="239"/>
      <c r="BE68" s="397">
        <f t="shared" ref="BE68" si="48">BE18/AY18-1</f>
        <v>0.43802494273351988</v>
      </c>
      <c r="BF68" s="397">
        <f t="shared" ref="BF68" si="49">BF18/AZ18-1</f>
        <v>0.6295164038452099</v>
      </c>
      <c r="BG68" s="397">
        <f t="shared" ref="BG68" si="50">BG18/BA18-1</f>
        <v>0.47885196374622363</v>
      </c>
      <c r="BH68" s="397">
        <f t="shared" ref="BH68:BI68" si="51">BH18/BB18-1</f>
        <v>0.6037296037296036</v>
      </c>
      <c r="BI68" s="85">
        <f t="shared" si="51"/>
        <v>0.54311451594641191</v>
      </c>
      <c r="BJ68" s="239"/>
      <c r="BK68" s="397">
        <f t="shared" ref="BK68" si="52">BK18/BE18-1</f>
        <v>-0.12743362831858407</v>
      </c>
      <c r="BL68" s="397">
        <f t="shared" ref="BL68" si="53">BL18/BF18-1</f>
        <v>-0.16049913941480209</v>
      </c>
      <c r="BM68" s="397">
        <f t="shared" ref="BM68" si="54">BM18/BG18-1</f>
        <v>8.1205311542390302E-2</v>
      </c>
      <c r="BN68" s="397">
        <f t="shared" ref="BN68:BO68" si="55">BN18/BH18-1</f>
        <v>0.14777131782945729</v>
      </c>
      <c r="BO68" s="85">
        <f t="shared" si="55"/>
        <v>-1.5545330182812789E-2</v>
      </c>
      <c r="BP68" s="239"/>
      <c r="BQ68" s="397">
        <f t="shared" ref="BQ68:BT68" si="56">BQ18/BK18-1</f>
        <v>-6.1384381338743021E-2</v>
      </c>
      <c r="BR68" s="397">
        <f t="shared" si="56"/>
        <v>-2.8138185545873662E-2</v>
      </c>
      <c r="BS68" s="397">
        <f t="shared" si="56"/>
        <v>4.0229664619744643E-2</v>
      </c>
      <c r="BT68" s="397">
        <f t="shared" si="56"/>
        <v>6.617475728155342E-2</v>
      </c>
      <c r="BU68" s="85">
        <f>BU18/BO18-1</f>
        <v>1.2158804951996061E-2</v>
      </c>
      <c r="BV68" s="239"/>
      <c r="BW68" s="397">
        <f t="shared" ref="BW68" si="57">BW18/BQ18-1</f>
        <v>0.40596436049956441</v>
      </c>
      <c r="BX68" s="397">
        <f t="shared" ref="BX68" si="58">BX18/BR18-1</f>
        <v>0.20807714024305812</v>
      </c>
      <c r="BY68" s="397">
        <f t="shared" ref="BY68" si="59">BY18/BS18-1</f>
        <v>6.5037413070821337E-2</v>
      </c>
      <c r="BZ68" s="397">
        <f t="shared" ref="BZ68:CA68" si="60">BZ18/BT18-1</f>
        <v>-9.3118663313495054E-3</v>
      </c>
      <c r="CA68" s="85">
        <f t="shared" si="60"/>
        <v>0.13451952506069764</v>
      </c>
      <c r="CB68" s="239"/>
      <c r="CC68" s="397">
        <f t="shared" ref="CC68" si="61">CC18/BW18-1</f>
        <v>8.2436016008069268E-2</v>
      </c>
      <c r="CD68" s="397">
        <f t="shared" ref="CD68" si="62">CD18/BX18-1</f>
        <v>6.985024000529938E-2</v>
      </c>
      <c r="CE68" s="397">
        <f t="shared" ref="CE68" si="63">CE18/BY18-1</f>
        <v>7.1751686972155504E-2</v>
      </c>
      <c r="CF68" s="397">
        <f t="shared" ref="CF68:CG68" si="64">CF18/BZ18-1</f>
        <v>7.7060619596299063E-2</v>
      </c>
      <c r="CG68" s="85">
        <f t="shared" si="64"/>
        <v>7.5028034449169168E-2</v>
      </c>
      <c r="CH68" s="397"/>
      <c r="CI68" s="397"/>
      <c r="CJ68" s="397"/>
      <c r="CK68" s="397"/>
      <c r="CL68" s="397"/>
      <c r="CM68" s="24"/>
      <c r="CN68" s="24"/>
    </row>
    <row r="69" spans="1:92" x14ac:dyDescent="0.2">
      <c r="B69" s="500" t="s">
        <v>141</v>
      </c>
      <c r="C69" s="122"/>
      <c r="D69" s="134"/>
      <c r="E69" s="134"/>
      <c r="F69" s="134"/>
      <c r="G69" s="383"/>
      <c r="H69" s="86"/>
      <c r="I69" s="46"/>
      <c r="J69" s="46"/>
      <c r="K69" s="46"/>
      <c r="L69" s="46"/>
      <c r="M69" s="85"/>
      <c r="N69" s="86"/>
      <c r="O69" s="46">
        <f>O16/I16-1</f>
        <v>-8.8140770955836389E-2</v>
      </c>
      <c r="P69" s="46">
        <f>P16/J16-1</f>
        <v>-7.9610561003945146E-2</v>
      </c>
      <c r="Q69" s="46">
        <f>Q16/K16-1</f>
        <v>-3.6271923570513231E-2</v>
      </c>
      <c r="R69" s="46">
        <f>R16/L16-1</f>
        <v>9.0351854067535653E-2</v>
      </c>
      <c r="S69" s="85">
        <f>S16/M16-1</f>
        <v>-3.1063855651842442E-2</v>
      </c>
      <c r="T69" s="86"/>
      <c r="U69" s="46">
        <f>U16/O16-1</f>
        <v>6.3013778212415605E-2</v>
      </c>
      <c r="V69" s="46">
        <f>V16/P16-1</f>
        <v>2.5054307228658201E-2</v>
      </c>
      <c r="W69" s="46">
        <f>W16/Q16-1</f>
        <v>-1.9253176496697333E-2</v>
      </c>
      <c r="X69" s="46">
        <f>X16/R16-1</f>
        <v>-2.4352156664133595E-2</v>
      </c>
      <c r="Y69" s="85">
        <f>Y16/S16-1</f>
        <v>9.9898287009874132E-3</v>
      </c>
      <c r="Z69" s="86"/>
      <c r="AA69" s="46">
        <f>AA16/U16-1</f>
        <v>6.4033082241066852E-2</v>
      </c>
      <c r="AB69" s="46">
        <f>AB16/V16-1</f>
        <v>3.9041755664446898E-2</v>
      </c>
      <c r="AC69" s="46">
        <f>AC16/W16-1</f>
        <v>5.2924869880062619E-2</v>
      </c>
      <c r="AD69" s="46">
        <f>AD16/X16-1</f>
        <v>8.5434961283904709E-2</v>
      </c>
      <c r="AE69" s="85">
        <f>AE16/Y16-1</f>
        <v>6.0288855911430739E-2</v>
      </c>
      <c r="AF69" s="86"/>
      <c r="AG69" s="46">
        <f>AG16/AA16-1</f>
        <v>0.13519436383403027</v>
      </c>
      <c r="AH69" s="46">
        <f>AH16/AB16-1</f>
        <v>0.20841462038276104</v>
      </c>
      <c r="AI69" s="46">
        <f>AI16/AC16-1</f>
        <v>0.17136358344751002</v>
      </c>
      <c r="AJ69" s="46">
        <f>AJ16/AD16-1</f>
        <v>0.11601307189542398</v>
      </c>
      <c r="AK69" s="85">
        <f>AK16/AE16-1</f>
        <v>0.15761142445898657</v>
      </c>
      <c r="AL69" s="239"/>
      <c r="AM69" s="397">
        <f t="shared" ref="AM69" si="65">AM16/AG16-1</f>
        <v>-2.6340396651836406E-2</v>
      </c>
      <c r="AN69" s="397">
        <f t="shared" ref="AN69" si="66">AN16/AH16-1</f>
        <v>6.1314618509796803E-2</v>
      </c>
      <c r="AO69" s="397">
        <f t="shared" ref="AO69" si="67">AO16/AI16-1</f>
        <v>6.6610603570199656E-2</v>
      </c>
      <c r="AP69" s="397">
        <f t="shared" ref="AP69:AQ69" si="68">AP16/AJ16-1</f>
        <v>1.9290790272470826E-2</v>
      </c>
      <c r="AQ69" s="85">
        <f t="shared" si="68"/>
        <v>3.0925543392809951E-2</v>
      </c>
      <c r="AR69" s="239"/>
      <c r="AS69" s="397">
        <f t="shared" ref="AS69" si="69">AS16/AM16-1</f>
        <v>0.11030305846635247</v>
      </c>
      <c r="AT69" s="397">
        <f t="shared" ref="AT69" si="70">AT16/AN16-1</f>
        <v>1.7788673078132033E-2</v>
      </c>
      <c r="AU69" s="397">
        <f t="shared" ref="AU69" si="71">AU16/AO16-1</f>
        <v>6.0479651371148968E-2</v>
      </c>
      <c r="AV69" s="397">
        <f t="shared" ref="AV69:AW69" si="72">AV16/AP16-1</f>
        <v>-1.389472799125524E-2</v>
      </c>
      <c r="AW69" s="85">
        <f t="shared" si="72"/>
        <v>4.1243529129217471E-2</v>
      </c>
      <c r="AX69" s="239"/>
      <c r="AY69" s="397">
        <f t="shared" ref="AY69" si="73">AY16/AS16-1</f>
        <v>-4.3094608639848153E-2</v>
      </c>
      <c r="AZ69" s="397">
        <f t="shared" ref="AZ69" si="74">AZ16/AT16-1</f>
        <v>1.0499011857707519E-3</v>
      </c>
      <c r="BA69" s="397">
        <f t="shared" ref="BA69" si="75">BA16/AU16-1</f>
        <v>4.9082159560950966E-2</v>
      </c>
      <c r="BB69" s="397">
        <f t="shared" ref="BB69:BC69" si="76">BB16/AV16-1</f>
        <v>3.8846610247774249E-2</v>
      </c>
      <c r="BC69" s="85">
        <f t="shared" si="76"/>
        <v>1.0473628208927499E-2</v>
      </c>
      <c r="BD69" s="239"/>
      <c r="BE69" s="397">
        <f t="shared" ref="BE69" si="77">BE16/AY16-1</f>
        <v>0.40690037250056488</v>
      </c>
      <c r="BF69" s="397">
        <f t="shared" ref="BF69" si="78">BF16/AZ16-1</f>
        <v>0.62872478252822495</v>
      </c>
      <c r="BG69" s="397">
        <f t="shared" ref="BG69" si="79">BG16/BA16-1</f>
        <v>0.46696903709621296</v>
      </c>
      <c r="BH69" s="397">
        <f t="shared" ref="BH69:BI69" si="80">BH16/BB16-1</f>
        <v>0.61422708618331034</v>
      </c>
      <c r="BI69" s="85">
        <f t="shared" si="80"/>
        <v>0.53401678471281522</v>
      </c>
      <c r="BJ69" s="239"/>
      <c r="BK69" s="397">
        <f t="shared" ref="BK69" si="81">BK16/BE16-1</f>
        <v>-7.3575129533678729E-2</v>
      </c>
      <c r="BL69" s="397">
        <f t="shared" ref="BL69" si="82">BL16/BF16-1</f>
        <v>-0.14280303030303021</v>
      </c>
      <c r="BM69" s="397">
        <f t="shared" ref="BM69" si="83">BM16/BG16-1</f>
        <v>6.938954765041716E-2</v>
      </c>
      <c r="BN69" s="397">
        <f t="shared" ref="BN69:BO69" si="84">BN16/BH16-1</f>
        <v>0.14533898305084758</v>
      </c>
      <c r="BO69" s="85">
        <f t="shared" si="84"/>
        <v>-1.9550342130985054E-3</v>
      </c>
      <c r="BP69" s="239"/>
      <c r="BQ69" s="397">
        <f t="shared" ref="BQ69:BT69" si="85">BQ16/BK16-1</f>
        <v>-5.0073178831096854E-2</v>
      </c>
      <c r="BR69" s="397">
        <f t="shared" si="85"/>
        <v>-2.3243933384887172E-2</v>
      </c>
      <c r="BS69" s="397">
        <f t="shared" si="85"/>
        <v>3.5305154312114784E-2</v>
      </c>
      <c r="BT69" s="397">
        <f t="shared" si="85"/>
        <v>5.4076737606363112E-2</v>
      </c>
      <c r="BU69" s="85">
        <f>BU16/BO16-1</f>
        <v>9.7949295353139121E-3</v>
      </c>
      <c r="BV69" s="239"/>
      <c r="BW69" s="397">
        <f t="shared" ref="BW69" si="86">BW16/BQ16-1</f>
        <v>0.3424565115943663</v>
      </c>
      <c r="BX69" s="397">
        <f t="shared" ref="BX69" si="87">BX16/BR16-1</f>
        <v>0.18673510175001007</v>
      </c>
      <c r="BY69" s="397">
        <f t="shared" ref="BY69" si="88">BY16/BS16-1</f>
        <v>6.4123943130460548E-2</v>
      </c>
      <c r="BZ69" s="397">
        <f t="shared" ref="BZ69:CA69" si="89">BZ16/BT16-1</f>
        <v>-1.7186681222319811E-3</v>
      </c>
      <c r="CA69" s="85">
        <f t="shared" si="89"/>
        <v>0.1240616273401689</v>
      </c>
      <c r="CB69" s="239"/>
      <c r="CC69" s="397">
        <f t="shared" ref="CC69" si="90">CC16/BW16-1</f>
        <v>7.8806086918584484E-2</v>
      </c>
      <c r="CD69" s="397">
        <f t="shared" ref="CD69" si="91">CD16/BX16-1</f>
        <v>6.8213833411066682E-2</v>
      </c>
      <c r="CE69" s="397">
        <f t="shared" ref="CE69" si="92">CE16/BY16-1</f>
        <v>6.9832822565906616E-2</v>
      </c>
      <c r="CF69" s="397">
        <f t="shared" ref="CF69:CG69" si="93">CF16/BZ16-1</f>
        <v>7.4537626342020546E-2</v>
      </c>
      <c r="CG69" s="85">
        <f t="shared" si="93"/>
        <v>7.2670264024254694E-2</v>
      </c>
      <c r="CH69" s="397"/>
      <c r="CI69" s="397"/>
      <c r="CJ69" s="397"/>
      <c r="CK69" s="397"/>
      <c r="CL69" s="397"/>
      <c r="CM69" s="24"/>
      <c r="CN69" s="24"/>
    </row>
    <row r="70" spans="1:92" ht="12.75" customHeight="1" outlineLevel="1" x14ac:dyDescent="0.2">
      <c r="B70" s="39" t="s">
        <v>25</v>
      </c>
      <c r="C70" s="122"/>
      <c r="D70" s="134"/>
      <c r="E70" s="134"/>
      <c r="F70" s="134"/>
      <c r="G70" s="383"/>
      <c r="H70" s="14"/>
      <c r="I70" s="46">
        <f>IF(ISERROR(I31/C31-1),"NM",I31/C31-1)</f>
        <v>0.17063977180114076</v>
      </c>
      <c r="J70" s="46">
        <f>IF(ISERROR(J31/D31-1),"NM",J31/D31-1)</f>
        <v>0.16752641711858884</v>
      </c>
      <c r="K70" s="46">
        <f>IF(ISERROR(K31/E31-1),"NM",K31/E31-1)</f>
        <v>0.13576522665792301</v>
      </c>
      <c r="L70" s="46">
        <f>IF(ISERROR(L31/F31-1),"NM",L31/F31-1)</f>
        <v>-1.036466088581578E-2</v>
      </c>
      <c r="M70" s="85">
        <f>IF(ISERROR(M31/G31-1),"NM",M31/G31-1)</f>
        <v>0.1131666380695362</v>
      </c>
      <c r="N70" s="14"/>
      <c r="O70" s="46">
        <f>IF(ISERROR(O31/I31-1),"NM",O31/I31-1)</f>
        <v>-6.9706727003741698E-2</v>
      </c>
      <c r="P70" s="46">
        <f>IF(ISERROR(P31/J31-1),"NM",P31/J31-1)</f>
        <v>-7.9643009994716074E-2</v>
      </c>
      <c r="Q70" s="46">
        <f>IF(ISERROR(Q31/K31-1),"NM",Q31/K31-1)</f>
        <v>-4.8920260985047204E-2</v>
      </c>
      <c r="R70" s="46">
        <f>IF(ISERROR(R31/L31-1),"NM",R31/L31-1)</f>
        <v>7.087856974274187E-2</v>
      </c>
      <c r="S70" s="85">
        <f>IF(ISERROR(S31/M31-1),"NM",S31/M31-1)</f>
        <v>-3.4040272406256844E-2</v>
      </c>
      <c r="T70" s="14"/>
      <c r="U70" s="46">
        <f>IF(ISERROR(U31/O31-1),"NM",U31/O31-1)</f>
        <v>2.054879950109334E-2</v>
      </c>
      <c r="V70" s="46">
        <f>IF(ISERROR(V31/P31-1),"NM",V31/P31-1)</f>
        <v>1.0845927648227116E-2</v>
      </c>
      <c r="W70" s="46">
        <f>IF(ISERROR(W31/Q31-1),"NM",W31/Q31-1)</f>
        <v>-1.5648003399757915E-2</v>
      </c>
      <c r="X70" s="46">
        <f>IF(ISERROR(X31/R31-1),"NM",X31/R31-1)</f>
        <v>1.5634254859017371E-2</v>
      </c>
      <c r="Y70" s="85">
        <f>IF(ISERROR(Y31/S31-1),"NM",Y31/S31-1)</f>
        <v>8.0329587037042405E-3</v>
      </c>
      <c r="Z70" s="14"/>
      <c r="AA70" s="46">
        <f>IF(ISERROR(AA31/U31-1),"NM",AA31/U31-1)</f>
        <v>0.11838125210058315</v>
      </c>
      <c r="AB70" s="46">
        <f>IF(ISERROR(AB31/V31-1),"NM",AB31/V31-1)</f>
        <v>8.295448395302274E-2</v>
      </c>
      <c r="AC70" s="46">
        <f>IF(ISERROR(AC31/W31-1),"NM",AC31/W31-1)</f>
        <v>1.1471567780929171E-2</v>
      </c>
      <c r="AD70" s="46">
        <f>IF(ISERROR(AD31/X31-1),"NM",AD31/X31-1)</f>
        <v>-1.5190148103942369E-2</v>
      </c>
      <c r="AE70" s="85">
        <f>IF(ISERROR(AE31/Y31-1),"NM",AE31/Y31-1)</f>
        <v>4.8583578577749531E-2</v>
      </c>
      <c r="AF70" s="14"/>
      <c r="AG70" s="46">
        <f>IF(ISERROR(AG31/AA31-1),"NM",AG31/AA31-1)</f>
        <v>2.7989126722853364E-2</v>
      </c>
      <c r="AH70" s="46">
        <f>IF(ISERROR(AH31/AB31-1),"NM",AH31/AB31-1)</f>
        <v>0.10604830145304156</v>
      </c>
      <c r="AI70" s="46">
        <f>IF(ISERROR(AI31/AC31-1),"NM",AI31/AC31-1)</f>
        <v>0.12910060975609738</v>
      </c>
      <c r="AJ70" s="46">
        <f>IF(ISERROR(AJ31/AD31-1),"NM",AJ31/AD31-1)</f>
        <v>0.12044841073100687</v>
      </c>
      <c r="AK70" s="85">
        <f>IF(ISERROR(AK31/AE31-1),"NM",AK31/AE31-1)</f>
        <v>9.521783584598742E-2</v>
      </c>
      <c r="AL70" s="403"/>
      <c r="AM70" s="397">
        <f>IF(ISERROR(AM31/AG31-1),"NM",AM31/AG31-1)</f>
        <v>-1.1294780482620226E-3</v>
      </c>
      <c r="AN70" s="397">
        <f>IF(ISERROR(AN31/AH31-1),"NM",AN31/AH31-1)</f>
        <v>8.2505902154145438E-2</v>
      </c>
      <c r="AO70" s="397">
        <f>IF(ISERROR(AO31/AI31-1),"NM",AO31/AI31-1)</f>
        <v>0.10988402705585254</v>
      </c>
      <c r="AP70" s="397">
        <f>IF(ISERROR(AP31/AJ31-1),"NM",AP31/AJ31-1)</f>
        <v>8.0815654268787673E-2</v>
      </c>
      <c r="AQ70" s="85">
        <f>IF(ISERROR(AQ31/AK31-1),"NM",AQ31/AK31-1)</f>
        <v>6.8710253438175828E-2</v>
      </c>
      <c r="AR70" s="403"/>
      <c r="AS70" s="397">
        <f>IF(ISERROR(AS31/AM31-1),"NM",AS31/AM31-1)</f>
        <v>0.13698101661545037</v>
      </c>
      <c r="AT70" s="397">
        <f>IF(ISERROR(AT31/AN31-1),"NM",AT31/AN31-1)</f>
        <v>4.007054084795092E-2</v>
      </c>
      <c r="AU70" s="397">
        <f>IF(ISERROR(AU31/AO31-1),"NM",AU31/AO31-1)</f>
        <v>8.5818898404047994E-2</v>
      </c>
      <c r="AV70" s="397">
        <f>IF(ISERROR(AV31/AP31-1),"NM",AV31/AP31-1)</f>
        <v>-1.5636905371135046E-2</v>
      </c>
      <c r="AW70" s="85">
        <f>IF(ISERROR(AW31/AQ31-1),"NM",AW31/AQ31-1)</f>
        <v>5.8090009175037816E-2</v>
      </c>
      <c r="AX70" s="403"/>
      <c r="AY70" s="397">
        <f>IF(ISERROR(AY31/AS31-1),"NM",AY31/AS31-1)</f>
        <v>-2.1493424439556374E-2</v>
      </c>
      <c r="AZ70" s="397">
        <f>IF(ISERROR(AZ31/AT31-1),"NM",AZ31/AT31-1)</f>
        <v>3.6590382357957862E-2</v>
      </c>
      <c r="BA70" s="397">
        <f>IF(ISERROR(BA31/AU31-1),"NM",BA31/AU31-1)</f>
        <v>5.3067900473880991E-2</v>
      </c>
      <c r="BB70" s="397">
        <f>IF(ISERROR(BB31/AV31-1),"NM",BB31/AV31-1)</f>
        <v>6.9768247880034329E-2</v>
      </c>
      <c r="BC70" s="85">
        <f>IF(ISERROR(BC31/AW31-1),"NM",BC31/AW31-1)</f>
        <v>3.3482934397163877E-2</v>
      </c>
      <c r="BD70" s="403"/>
      <c r="BE70" s="397">
        <f>BE31/AY31-1</f>
        <v>0.4635721203859815</v>
      </c>
      <c r="BF70" s="397">
        <f>BF31/AZ31-1</f>
        <v>0.75090497299599313</v>
      </c>
      <c r="BG70" s="397">
        <f>BG31/BA31-1</f>
        <v>0.65531914893617005</v>
      </c>
      <c r="BH70" s="397">
        <f>BH31/BB31-1</f>
        <v>0.70739872782055557</v>
      </c>
      <c r="BI70" s="85">
        <f>BI31/BC31-1</f>
        <v>0.65395152340461982</v>
      </c>
      <c r="BJ70" s="239"/>
      <c r="BK70" s="397">
        <f>BK31/BE31-1</f>
        <v>-7.1078431372549211E-2</v>
      </c>
      <c r="BL70" s="397">
        <f>BL31/BF31-1</f>
        <v>-0.16694306246545054</v>
      </c>
      <c r="BM70" s="397">
        <f>BM31/BG31-1</f>
        <v>5.5912596401028303E-2</v>
      </c>
      <c r="BN70" s="397">
        <f>BN31/BH31-1</f>
        <v>0.19860847564832396</v>
      </c>
      <c r="BO70" s="85">
        <f>BO31/BI31-1</f>
        <v>1.94489465154013E-3</v>
      </c>
      <c r="BP70" s="239"/>
      <c r="BQ70" s="397">
        <f>BQ31/BK31-1</f>
        <v>-8.817746441750185E-2</v>
      </c>
      <c r="BR70" s="397">
        <f>BR31/BL31-1</f>
        <v>-4.8042632685335374E-2</v>
      </c>
      <c r="BS70" s="397">
        <f>BS31/BM31-1</f>
        <v>1.7282030999167697E-2</v>
      </c>
      <c r="BT70" s="397">
        <f>BT31/BN31-1</f>
        <v>1.4076354446969086E-2</v>
      </c>
      <c r="BU70" s="85">
        <f>BU31/BO31-1</f>
        <v>-1.9021183418126864E-2</v>
      </c>
      <c r="BV70" s="239"/>
      <c r="BW70" s="397">
        <f>BW31/BQ31-1</f>
        <v>0.42413473055001161</v>
      </c>
      <c r="BX70" s="397">
        <f>BX31/BR31-1</f>
        <v>0.21660200701542065</v>
      </c>
      <c r="BY70" s="397">
        <f>BY31/BS31-1</f>
        <v>6.8563926554774612E-2</v>
      </c>
      <c r="BZ70" s="397">
        <f>BZ31/BT31-1</f>
        <v>-8.2117893929458674E-3</v>
      </c>
      <c r="CA70" s="85">
        <f>CA31/BU31-1</f>
        <v>0.14004204799535547</v>
      </c>
      <c r="CB70" s="239"/>
      <c r="CC70" s="397">
        <f>CC31/BW31-1</f>
        <v>0.10036717218161306</v>
      </c>
      <c r="CD70" s="397">
        <f>CD31/BX31-1</f>
        <v>9.5309679163352756E-2</v>
      </c>
      <c r="CE70" s="397">
        <f>CE31/BY31-1</f>
        <v>9.3792578168652607E-2</v>
      </c>
      <c r="CF70" s="397">
        <f>CF31/BZ31-1</f>
        <v>9.4943458932502223E-2</v>
      </c>
      <c r="CG70" s="85">
        <f>CG31/CA31-1</f>
        <v>9.5896874435296819E-2</v>
      </c>
      <c r="CH70" s="397"/>
      <c r="CI70" s="397"/>
      <c r="CJ70" s="397"/>
      <c r="CK70" s="397"/>
      <c r="CL70" s="397"/>
      <c r="CM70" s="24"/>
      <c r="CN70" s="24"/>
    </row>
    <row r="71" spans="1:92" x14ac:dyDescent="0.2">
      <c r="A71" s="36"/>
      <c r="B71" s="54" t="s">
        <v>257</v>
      </c>
      <c r="C71" s="439"/>
      <c r="D71" s="134"/>
      <c r="E71" s="134"/>
      <c r="F71" s="134"/>
      <c r="G71" s="384"/>
      <c r="H71" s="403"/>
      <c r="I71" s="493">
        <f>IF(ISERROR(I37/C37-1),"NM",I37/C37-1)</f>
        <v>0.17063977180114076</v>
      </c>
      <c r="J71" s="493">
        <f>IF(ISERROR(J37/D37-1),"NM",J37/D37-1)</f>
        <v>0.19123999471906705</v>
      </c>
      <c r="K71" s="493">
        <f>IF(ISERROR(K37/E37-1),"NM",K37/E37-1)</f>
        <v>0.15851841573755809</v>
      </c>
      <c r="L71" s="493">
        <f>IF(ISERROR(L37/F37-1),"NM",L37/F37-1)</f>
        <v>1.7987047113355192E-2</v>
      </c>
      <c r="M71" s="384">
        <f>IF(ISERROR(M37/G37-1),"NM",M37/G37-1)</f>
        <v>0.1354917649032279</v>
      </c>
      <c r="N71" s="403"/>
      <c r="O71" s="493">
        <f>IF(ISERROR(O37/I37-1),"NM",O37/I37-1)</f>
        <v>-4.9336656873273599E-2</v>
      </c>
      <c r="P71" s="493">
        <f>IF(ISERROR(P37/J37-1),"NM",P37/J37-1)</f>
        <v>-6.9013857981286675E-2</v>
      </c>
      <c r="Q71" s="493">
        <f>IF(ISERROR(Q37/K37-1),"NM",Q37/K37-1)</f>
        <v>-4.2234076598525738E-2</v>
      </c>
      <c r="R71" s="493">
        <f>IF(ISERROR(R37/L37-1),"NM",R37/L37-1)</f>
        <v>7.0992631021123298E-2</v>
      </c>
      <c r="S71" s="384">
        <f>IF(ISERROR(S37/M37-1),"NM",S37/M37-1)</f>
        <v>-2.3891716821285658E-2</v>
      </c>
      <c r="T71" s="403"/>
      <c r="U71" s="493">
        <f>IF(ISERROR(U37/O37-1),"NM",U37/O37-1)</f>
        <v>2.3358326719836064E-2</v>
      </c>
      <c r="V71" s="493">
        <f>IF(ISERROR(V37/P37-1),"NM",V37/P37-1)</f>
        <v>3.2295764671802507E-2</v>
      </c>
      <c r="W71" s="493">
        <f>IF(ISERROR(W37/Q37-1),"NM",W37/Q37-1)</f>
        <v>2.9277580390990599E-2</v>
      </c>
      <c r="X71" s="493">
        <f>IF(ISERROR(X37/R37-1),"NM",X37/R37-1)</f>
        <v>5.995363594080616E-2</v>
      </c>
      <c r="Y71" s="384">
        <f>IF(ISERROR(Y37/S37-1),"NM",Y37/S37-1)</f>
        <v>3.6461027964129311E-2</v>
      </c>
      <c r="Z71" s="403"/>
      <c r="AA71" s="493">
        <f>IF(ISERROR(AA37/U37-1),"NM",AA37/U37-1)</f>
        <v>0.15914311357018995</v>
      </c>
      <c r="AB71" s="493">
        <f>IF(ISERROR(AB37/V37-1),"NM",AB37/V37-1)</f>
        <v>0.1098899298861935</v>
      </c>
      <c r="AC71" s="493">
        <f>IF(ISERROR(AC37/W37-1),"NM",AC37/W37-1)</f>
        <v>1.6183468525569067E-2</v>
      </c>
      <c r="AD71" s="493">
        <f>IF(ISERROR(AD37/X37-1),"NM",AD37/X37-1)</f>
        <v>-1.2727746226003367E-2</v>
      </c>
      <c r="AE71" s="384">
        <f>IF(ISERROR(AE37/Y37-1),"NM",AE37/Y37-1)</f>
        <v>6.601767940718184E-2</v>
      </c>
      <c r="AF71" s="403"/>
      <c r="AG71" s="493">
        <f>IF(ISERROR(AG37/AA37-1),"NM",AG37/AA37-1)</f>
        <v>2.8417503123032262E-2</v>
      </c>
      <c r="AH71" s="493">
        <f>IF(ISERROR(AH37/AB37-1),"NM",AH37/AB37-1)</f>
        <v>0.10228108077981757</v>
      </c>
      <c r="AI71" s="493">
        <f>IF(ISERROR(AI37/AC37-1),"NM",AI37/AC37-1)</f>
        <v>0.12526328108737328</v>
      </c>
      <c r="AJ71" s="493">
        <f>IF(ISERROR(AJ37/AD37-1),"NM",AJ37/AD37-1)</f>
        <v>0.11486546439590928</v>
      </c>
      <c r="AK71" s="384">
        <f>IF(ISERROR(AK37/AE37-1),"NM",AK37/AE37-1)</f>
        <v>9.2103461518496799E-2</v>
      </c>
      <c r="AL71" s="403"/>
      <c r="AM71" s="493">
        <f>IF(ISERROR(AM37/AG37-1),"NM",AM37/AG37-1)</f>
        <v>-8.8052072536745074E-3</v>
      </c>
      <c r="AN71" s="493">
        <f>IF(ISERROR(AN37/AH37-1),"NM",AN37/AH37-1)</f>
        <v>7.3033332195998169E-2</v>
      </c>
      <c r="AO71" s="493">
        <f>IF(ISERROR(AO37/AI37-1),"NM",AO37/AI37-1)</f>
        <v>0.10364036371549212</v>
      </c>
      <c r="AP71" s="493">
        <f>IF(ISERROR(AP37/AJ37-1),"NM",AP37/AJ37-1)</f>
        <v>7.4412232713704674E-2</v>
      </c>
      <c r="AQ71" s="384">
        <f>IF(ISERROR(AQ37/AK37-1),"NM",AQ37/AK37-1)</f>
        <v>6.1232245969114363E-2</v>
      </c>
      <c r="AR71" s="403"/>
      <c r="AS71" s="493">
        <f>IF(ISERROR(AS37/AM37-1),"NM",AS37/AM37-1)</f>
        <v>0.1420656443956525</v>
      </c>
      <c r="AT71" s="493">
        <f>IF(ISERROR(AT37/AN37-1),"NM",AT37/AN37-1)</f>
        <v>4.7061387065326032E-2</v>
      </c>
      <c r="AU71" s="493">
        <f>IF(ISERROR(AU37/AO37-1),"NM",AU37/AO37-1)</f>
        <v>8.8919389000103433E-2</v>
      </c>
      <c r="AV71" s="493">
        <f>IF(ISERROR(AV37/AP37-1),"NM",AV37/AP37-1)</f>
        <v>-7.7002574582477612E-3</v>
      </c>
      <c r="AW71" s="384">
        <f>IF(ISERROR(AW37/AQ37-1),"NM",AW37/AQ37-1)</f>
        <v>6.3937117506392083E-2</v>
      </c>
      <c r="AX71" s="403"/>
      <c r="AY71" s="493">
        <f>IF(ISERROR(AY37/AS37-1),"NM",AY37/AS37-1)</f>
        <v>-1.0194319770925442E-2</v>
      </c>
      <c r="AZ71" s="493">
        <f>IF(ISERROR(AZ37/AT37-1),"NM",AZ37/AT37-1)</f>
        <v>5.0449282888280989E-2</v>
      </c>
      <c r="BA71" s="493">
        <f>IF(ISERROR(BA37/AU37-1),"NM",BA37/AU37-1)</f>
        <v>6.701513404335957E-2</v>
      </c>
      <c r="BB71" s="493">
        <f>IF(ISERROR(BB37/AV37-1),"NM",BB37/AV37-1)</f>
        <v>7.7973048437602666E-2</v>
      </c>
      <c r="BC71" s="384">
        <f>IF(ISERROR(BC37/AW37-1),"NM",BC37/AW37-1)</f>
        <v>4.5991704159279667E-2</v>
      </c>
      <c r="BD71" s="403"/>
      <c r="BE71" s="493">
        <f>BE37/AY37-1</f>
        <v>0.17154682219506556</v>
      </c>
      <c r="BF71" s="493">
        <f>BF37/AZ37-1</f>
        <v>4.9230173834692303E-2</v>
      </c>
      <c r="BG71" s="493">
        <f>BG37/BA37-1</f>
        <v>-2.4653118556470233E-3</v>
      </c>
      <c r="BH71" s="493">
        <f>BH37/BB37-1</f>
        <v>3.397518278129974E-2</v>
      </c>
      <c r="BI71" s="384">
        <f>BI37/BC37-1</f>
        <v>6.0630291659718338E-2</v>
      </c>
      <c r="BJ71" s="239"/>
      <c r="BK71" s="493">
        <f>BK37/BE37-1</f>
        <v>-0.29179654767890084</v>
      </c>
      <c r="BL71" s="493">
        <f>BL37/BF37-1</f>
        <v>-0.15217577874648114</v>
      </c>
      <c r="BM71" s="493">
        <f>BM37/BG37-1</f>
        <v>7.0408179020004402E-2</v>
      </c>
      <c r="BN71" s="493">
        <f>BN37/BH37-1</f>
        <v>0.21971400249053374</v>
      </c>
      <c r="BO71" s="780">
        <f>BO37/BI37-1</f>
        <v>-4.4150875585448279E-2</v>
      </c>
      <c r="BP71" s="239"/>
      <c r="BQ71" s="493">
        <f>BQ37/BK37-1</f>
        <v>-6.1772592576952334E-2</v>
      </c>
      <c r="BR71" s="493">
        <f>BR37/BL37-1</f>
        <v>-1.5316855700158172E-2</v>
      </c>
      <c r="BS71" s="493">
        <f>BS37/BM37-1</f>
        <v>5.971230109121084E-2</v>
      </c>
      <c r="BT71" s="493">
        <f>BT37/BN37-1</f>
        <v>5.9356262578188712E-2</v>
      </c>
      <c r="BU71" s="384">
        <f>BU37/BO37-1</f>
        <v>1.7062995175749274E-2</v>
      </c>
      <c r="BV71" s="239"/>
      <c r="BW71" s="493">
        <f>BW37/BQ37-1</f>
        <v>0.47332250596532388</v>
      </c>
      <c r="BX71" s="493">
        <f>BX37/BR37-1</f>
        <v>0.2584006456616148</v>
      </c>
      <c r="BY71" s="493">
        <f>BY37/BS37-1</f>
        <v>0.10662594414856086</v>
      </c>
      <c r="BZ71" s="493">
        <f>BZ37/BT37-1</f>
        <v>2.8525064899654007E-2</v>
      </c>
      <c r="CA71" s="384">
        <f>CA37/BU37-1</f>
        <v>0.18037588140506666</v>
      </c>
      <c r="CB71" s="239"/>
      <c r="CC71" s="493">
        <f>CC37/BW37-1</f>
        <v>0.14066916911833038</v>
      </c>
      <c r="CD71" s="493">
        <f>CD37/BX37-1</f>
        <v>0.13491806746039958</v>
      </c>
      <c r="CE71" s="493">
        <f>CE37/BY37-1</f>
        <v>0.13285155880912258</v>
      </c>
      <c r="CF71" s="493">
        <f>CF37/BZ37-1</f>
        <v>0.13354825690918637</v>
      </c>
      <c r="CG71" s="384">
        <f>CG37/CA37-1</f>
        <v>0.13528725262801089</v>
      </c>
      <c r="CH71" s="397"/>
      <c r="CI71" s="397"/>
      <c r="CJ71" s="397"/>
      <c r="CK71" s="397"/>
      <c r="CL71" s="397"/>
      <c r="CM71" s="19"/>
      <c r="CN71" s="19"/>
    </row>
    <row r="72" spans="1:92" x14ac:dyDescent="0.2">
      <c r="B72" s="39"/>
      <c r="C72" s="122"/>
      <c r="D72" s="134"/>
      <c r="E72" s="134"/>
      <c r="F72" s="134"/>
      <c r="G72" s="134"/>
      <c r="H72" s="403"/>
      <c r="I72" s="397"/>
      <c r="J72" s="397"/>
      <c r="K72" s="397"/>
      <c r="L72" s="397"/>
      <c r="M72" s="397"/>
      <c r="N72" s="403"/>
      <c r="O72" s="397"/>
      <c r="P72" s="397"/>
      <c r="Q72" s="397"/>
      <c r="R72" s="397"/>
      <c r="S72" s="397"/>
      <c r="T72" s="403"/>
      <c r="U72" s="397"/>
      <c r="V72" s="397"/>
      <c r="W72" s="397"/>
      <c r="X72" s="397"/>
      <c r="Y72" s="397"/>
      <c r="Z72" s="403"/>
      <c r="AA72" s="397"/>
      <c r="AB72" s="397"/>
      <c r="AC72" s="397"/>
      <c r="AD72" s="397"/>
      <c r="AE72" s="397"/>
      <c r="AF72" s="403"/>
      <c r="AG72" s="397"/>
      <c r="AH72" s="397"/>
      <c r="AI72" s="397"/>
      <c r="AJ72" s="397"/>
      <c r="AK72" s="397"/>
      <c r="AL72" s="403"/>
      <c r="AM72" s="397"/>
      <c r="AN72" s="397"/>
      <c r="AO72" s="397"/>
      <c r="AP72" s="397"/>
      <c r="AQ72" s="397"/>
      <c r="AR72" s="403"/>
      <c r="AS72" s="397"/>
      <c r="AT72" s="397"/>
      <c r="AU72" s="397"/>
      <c r="AV72" s="397"/>
      <c r="AW72" s="397"/>
      <c r="AX72" s="403"/>
      <c r="AY72" s="397"/>
      <c r="AZ72" s="397"/>
      <c r="BA72" s="397"/>
      <c r="BB72" s="397"/>
      <c r="BC72" s="397"/>
      <c r="BD72" s="128"/>
      <c r="BL72" s="1462"/>
      <c r="CH72" s="397"/>
      <c r="CI72" s="397"/>
      <c r="CJ72" s="397"/>
      <c r="CK72" s="397"/>
      <c r="CL72" s="397"/>
      <c r="CM72" s="24"/>
      <c r="CN72" s="24"/>
    </row>
    <row r="73" spans="1:92" x14ac:dyDescent="0.2">
      <c r="B73" s="438" t="s">
        <v>243</v>
      </c>
      <c r="C73" s="122"/>
      <c r="D73" s="134"/>
      <c r="E73" s="134"/>
      <c r="F73" s="134"/>
      <c r="G73" s="421"/>
      <c r="H73" s="128"/>
      <c r="I73" s="420"/>
      <c r="J73" s="420"/>
      <c r="K73" s="420"/>
      <c r="L73" s="420"/>
      <c r="M73" s="421"/>
      <c r="N73" s="128"/>
      <c r="O73" s="420"/>
      <c r="P73" s="420"/>
      <c r="Q73" s="420"/>
      <c r="R73" s="420"/>
      <c r="S73" s="421"/>
      <c r="T73" s="128"/>
      <c r="U73" s="420"/>
      <c r="V73" s="420"/>
      <c r="W73" s="420"/>
      <c r="X73" s="420"/>
      <c r="Y73" s="421"/>
      <c r="Z73" s="128"/>
      <c r="AA73" s="420"/>
      <c r="AB73" s="420"/>
      <c r="AC73" s="420"/>
      <c r="AD73" s="420"/>
      <c r="AE73" s="421"/>
      <c r="AF73" s="128"/>
      <c r="AG73" s="420"/>
      <c r="AH73" s="420"/>
      <c r="AI73" s="420"/>
      <c r="AJ73" s="420"/>
      <c r="AK73" s="421"/>
      <c r="AL73" s="128"/>
      <c r="AM73" s="420"/>
      <c r="AN73" s="420"/>
      <c r="AO73" s="420"/>
      <c r="AP73" s="420"/>
      <c r="AQ73" s="421"/>
      <c r="AR73" s="128"/>
      <c r="AS73" s="420"/>
      <c r="AT73" s="420"/>
      <c r="AU73" s="420"/>
      <c r="AV73" s="420"/>
      <c r="AW73" s="421"/>
      <c r="AX73" s="128"/>
      <c r="AY73" s="420"/>
      <c r="AZ73" s="420"/>
      <c r="BA73" s="420"/>
      <c r="BB73" s="420"/>
      <c r="BC73" s="421"/>
      <c r="BD73" s="23"/>
      <c r="BI73" s="547"/>
      <c r="BL73" s="1462"/>
      <c r="BO73" s="547"/>
      <c r="BU73" s="547"/>
      <c r="CH73" s="167"/>
      <c r="CI73" s="167"/>
      <c r="CJ73" s="167"/>
      <c r="CK73" s="167"/>
      <c r="CL73" s="167"/>
      <c r="CM73" s="24"/>
      <c r="CN73" s="24"/>
    </row>
    <row r="74" spans="1:92" ht="12.75" customHeight="1" outlineLevel="1" x14ac:dyDescent="0.2">
      <c r="A74" s="52"/>
      <c r="B74" s="26" t="s">
        <v>256</v>
      </c>
      <c r="C74" s="1155">
        <f>-0.99+(0.99-0.656)+0.232</f>
        <v>-0.42400000000000004</v>
      </c>
      <c r="D74" s="1157">
        <f>-3.207+(3.207-2.022)-0.588</f>
        <v>-2.61</v>
      </c>
      <c r="E74" s="1157">
        <f>-4.692+(4.692-3.032)+7.756</f>
        <v>4.7240000000000002</v>
      </c>
      <c r="F74" s="1158">
        <f>-1.638+(1.638-0.965)+2.493</f>
        <v>1.528</v>
      </c>
      <c r="G74" s="47">
        <f>+SUM(C74:F74)</f>
        <v>3.2180000000000004</v>
      </c>
      <c r="H74" s="141"/>
      <c r="I74" s="1155">
        <f>-0.204+0.075-0.637</f>
        <v>-0.76600000000000001</v>
      </c>
      <c r="J74" s="23">
        <f>-1.458+0.553-0.71-1.018+1.839</f>
        <v>-0.79400000000000004</v>
      </c>
      <c r="K74" s="23">
        <f>-18.539+7.141+8.169</f>
        <v>-3.229000000000001</v>
      </c>
      <c r="L74" s="23">
        <f>-9.867-2.286+3.524+0.629+10.541+0.662</f>
        <v>3.2029999999999985</v>
      </c>
      <c r="M74" s="47">
        <f>+SUM(I74:L74)</f>
        <v>-1.586000000000003</v>
      </c>
      <c r="N74" s="141"/>
      <c r="O74" s="1155">
        <f>-1.57+0.574-2.604+0.739-0.282+0.746</f>
        <v>-2.3970000000000002</v>
      </c>
      <c r="P74" s="23">
        <f>-3.125+0.94-1.173+0.308-0.212+0.346</f>
        <v>-2.9160000000000004</v>
      </c>
      <c r="Q74" s="23">
        <f>-1.21+0.492-0.242+0.023+2.57-(0.125-0.088)</f>
        <v>1.5960000000000001</v>
      </c>
      <c r="R74" s="23">
        <f>-0.985+0.262-0.115+0.015+3.348-(0.328-0.04)</f>
        <v>2.2370000000000001</v>
      </c>
      <c r="S74" s="47">
        <f>+SUM(O74:R74)</f>
        <v>-1.4800000000000004</v>
      </c>
      <c r="T74" s="141"/>
      <c r="U74" s="1155">
        <f>-4.68+1.743-0.437-0.518+0.131+0.146</f>
        <v>-3.6149999999999993</v>
      </c>
      <c r="V74" s="23">
        <f>-0.243+0.059-1.192+0.46-0.571-0.035</f>
        <v>-1.5219999999999998</v>
      </c>
      <c r="W74" s="23">
        <f>-0.338+0.102-1.715+0.431+0.32-0.003</f>
        <v>-1.2029999999999998</v>
      </c>
      <c r="X74" s="23">
        <f>-5.723+1.832-0.454-0.027-0.758-1.131+(0.002+0.354)</f>
        <v>-5.9050000000000002</v>
      </c>
      <c r="Y74" s="47">
        <f>+SUM(U74:X74)</f>
        <v>-12.244999999999997</v>
      </c>
      <c r="Z74" s="141"/>
      <c r="AA74" s="1155">
        <f>-0.633+0.154+0.12-0.196-0.921</f>
        <v>-1.476</v>
      </c>
      <c r="AB74" s="23">
        <f>-6.164-0.591-0.442+1.181+0.783+0.977</f>
        <v>-4.2559999999999993</v>
      </c>
      <c r="AC74" s="394">
        <f>+AC75-AC31</f>
        <v>-5.0030000000000356</v>
      </c>
      <c r="AD74" s="394">
        <f>+AD75-AD31</f>
        <v>-32.008000000000095</v>
      </c>
      <c r="AE74" s="47">
        <f>+SUM(AA74:AD74)</f>
        <v>-42.74300000000013</v>
      </c>
      <c r="AF74" s="50"/>
      <c r="AG74" s="1151">
        <f>+AG75-AG31</f>
        <v>-21.972000000000001</v>
      </c>
      <c r="AH74" s="394">
        <f>+AH75-AH31</f>
        <v>-7.762999999999991</v>
      </c>
      <c r="AI74" s="394">
        <f>+AI75-AI31</f>
        <v>-20.704000000000015</v>
      </c>
      <c r="AJ74" s="394">
        <f>+AJ75-AJ31</f>
        <v>45.442000000000021</v>
      </c>
      <c r="AK74" s="47">
        <f>+SUM(AG74:AJ74)</f>
        <v>-4.9969999999999857</v>
      </c>
      <c r="AL74" s="23"/>
      <c r="AM74" s="1151">
        <f>+AM75-AM31</f>
        <v>-3.48599999999999</v>
      </c>
      <c r="AN74" s="394">
        <f>+AN75-AN31</f>
        <v>-8.6030000000000229</v>
      </c>
      <c r="AO74" s="394">
        <f>+AO75-AO31</f>
        <v>-2.3569999999999851</v>
      </c>
      <c r="AP74" s="394">
        <f>+AP75-AP31</f>
        <v>-13.50500000000001</v>
      </c>
      <c r="AQ74" s="47">
        <f>+SUM(AM74:AP74)</f>
        <v>-27.951000000000008</v>
      </c>
      <c r="AR74" s="23"/>
      <c r="AS74" s="1151">
        <f>+AS75-AS31</f>
        <v>-12.590000000000003</v>
      </c>
      <c r="AT74" s="394">
        <f>+AT75-AT31</f>
        <v>-9.6779999999999973</v>
      </c>
      <c r="AU74" s="394">
        <f>+AU75-AU31</f>
        <v>-13.989999999999966</v>
      </c>
      <c r="AV74" s="394">
        <f>+AV75-AV31</f>
        <v>-1.847999999999999</v>
      </c>
      <c r="AW74" s="47">
        <f>+SUM(AS74:AV74)</f>
        <v>-38.105999999999966</v>
      </c>
      <c r="AX74" s="23"/>
      <c r="AY74" s="1151">
        <f>+AY75-AY31</f>
        <v>-19.670000000000002</v>
      </c>
      <c r="AZ74" s="394">
        <f>+AZ75-AZ31</f>
        <v>-59.219000000000015</v>
      </c>
      <c r="BA74" s="394">
        <f>+BA75-BA31</f>
        <v>-9.5</v>
      </c>
      <c r="BB74" s="394">
        <f>+BB75-BB31</f>
        <v>-33.997000000000007</v>
      </c>
      <c r="BC74" s="47">
        <f>+SUM(AY74:BB74)</f>
        <v>-122.38600000000002</v>
      </c>
      <c r="BD74" s="23"/>
      <c r="BE74" s="1150">
        <f>+BE75-BE31</f>
        <v>2.5999999999999801</v>
      </c>
      <c r="BF74" s="1266">
        <f>+BF75-BF31</f>
        <v>-75.500000000000028</v>
      </c>
      <c r="BG74" s="1266">
        <f>+BG75-BG31</f>
        <v>-63.099999999999994</v>
      </c>
      <c r="BH74" s="1266">
        <f>+BH75-BH31</f>
        <v>-51.099999999999994</v>
      </c>
      <c r="BI74" s="679">
        <f>SUM(BE74:BH74)</f>
        <v>-187.10000000000005</v>
      </c>
      <c r="BJ74" s="57"/>
      <c r="BK74" s="1150">
        <f>+BK75-BK31</f>
        <v>-53.899999999999991</v>
      </c>
      <c r="BL74" s="1266">
        <f>+BL75-BL31</f>
        <v>-1200.7</v>
      </c>
      <c r="BM74" s="1266">
        <f>+BM75-BM31</f>
        <v>-73.700000000000017</v>
      </c>
      <c r="BN74" s="1266">
        <f>+BN75-BN31</f>
        <v>-862.9</v>
      </c>
      <c r="BO74" s="679">
        <f>SUM(BK74:BN74)</f>
        <v>-2191.2000000000003</v>
      </c>
      <c r="BP74" s="57"/>
      <c r="BQ74" s="1202">
        <v>-40</v>
      </c>
      <c r="BR74" s="1201">
        <v>-50</v>
      </c>
      <c r="BS74" s="1201">
        <f>+AVERAGE(BM74,BG74)</f>
        <v>-68.400000000000006</v>
      </c>
      <c r="BT74" s="1201">
        <v>-40</v>
      </c>
      <c r="BU74" s="679">
        <f>SUM(BQ74:BT74)</f>
        <v>-198.4</v>
      </c>
      <c r="BV74" s="57"/>
      <c r="BW74" s="1202">
        <v>-40</v>
      </c>
      <c r="BX74" s="1201">
        <v>-50</v>
      </c>
      <c r="BY74" s="1201">
        <f t="shared" ref="BY74" si="94">+AVERAGE(BS74,BM74)</f>
        <v>-71.050000000000011</v>
      </c>
      <c r="BZ74" s="1201">
        <v>-40</v>
      </c>
      <c r="CA74" s="679">
        <f t="shared" ref="CA74" si="95">SUM(BW74:BZ74)</f>
        <v>-201.05</v>
      </c>
      <c r="CB74" s="57"/>
      <c r="CC74" s="1202">
        <v>-40</v>
      </c>
      <c r="CD74" s="1201">
        <v>-50</v>
      </c>
      <c r="CE74" s="1201">
        <f t="shared" ref="CE74" si="96">+AVERAGE(BY74,BS74)</f>
        <v>-69.725000000000009</v>
      </c>
      <c r="CF74" s="1201">
        <v>-40</v>
      </c>
      <c r="CG74" s="679">
        <f t="shared" ref="CG74" si="97">SUM(CC74:CF74)</f>
        <v>-199.72500000000002</v>
      </c>
      <c r="CH74" s="394"/>
      <c r="CI74" s="394"/>
      <c r="CJ74" s="394"/>
      <c r="CK74" s="394"/>
      <c r="CL74" s="394"/>
      <c r="CM74" s="52"/>
      <c r="CN74" s="52"/>
    </row>
    <row r="75" spans="1:92" ht="12.75" customHeight="1" outlineLevel="1" x14ac:dyDescent="0.2">
      <c r="A75" s="290"/>
      <c r="B75" s="347" t="s">
        <v>258</v>
      </c>
      <c r="C75" s="739">
        <f>C31+C74</f>
        <v>58.471999999999959</v>
      </c>
      <c r="D75" s="288">
        <f>D31+D74</f>
        <v>65.432999999999979</v>
      </c>
      <c r="E75" s="288">
        <f>E31+E74</f>
        <v>65.719000000000065</v>
      </c>
      <c r="F75" s="1159">
        <f>F31+F74</f>
        <v>70.030000000000101</v>
      </c>
      <c r="G75" s="289">
        <f>G31+G74</f>
        <v>259.65400000000034</v>
      </c>
      <c r="H75" s="288"/>
      <c r="I75" s="739">
        <f>I31+I74</f>
        <v>68.179999999999936</v>
      </c>
      <c r="J75" s="288">
        <f>J31+J74</f>
        <v>78.648000000000124</v>
      </c>
      <c r="K75" s="288">
        <f>K31+K74</f>
        <v>66.047000000000082</v>
      </c>
      <c r="L75" s="288">
        <f>L31+L74</f>
        <v>70.994999999999948</v>
      </c>
      <c r="M75" s="289">
        <f>M31+M74</f>
        <v>283.86999999999995</v>
      </c>
      <c r="N75" s="288"/>
      <c r="O75" s="739">
        <f>O31+O74</f>
        <v>61.742999999999974</v>
      </c>
      <c r="P75" s="288">
        <f>P31+P74</f>
        <v>70.198999999999884</v>
      </c>
      <c r="Q75" s="288">
        <f>Q31+Q74</f>
        <v>67.482999999999947</v>
      </c>
      <c r="R75" s="288">
        <f>R31+R74</f>
        <v>74.833999999999889</v>
      </c>
      <c r="S75" s="289">
        <f>S31+S74</f>
        <v>274.2589999999995</v>
      </c>
      <c r="T75" s="288"/>
      <c r="U75" s="739">
        <f>U31+U74</f>
        <v>61.843000000000096</v>
      </c>
      <c r="V75" s="288">
        <f>V31+V74</f>
        <v>72.385999999999996</v>
      </c>
      <c r="W75" s="288">
        <f>W31+W74</f>
        <v>63.653000000000091</v>
      </c>
      <c r="X75" s="288">
        <f>X31+X74</f>
        <v>67.82699999999997</v>
      </c>
      <c r="Y75" s="289">
        <f>Y31+Y74</f>
        <v>265.70900000000023</v>
      </c>
      <c r="Z75" s="288"/>
      <c r="AA75" s="739">
        <f>AA31+AA74</f>
        <v>71.73100000000008</v>
      </c>
      <c r="AB75" s="288">
        <f>AB31+AB74</f>
        <v>75.783000000000001</v>
      </c>
      <c r="AC75" s="390">
        <v>60.597000000000001</v>
      </c>
      <c r="AD75" s="390">
        <v>40.603999999999999</v>
      </c>
      <c r="AE75" s="289">
        <f>AE31+AE74</f>
        <v>248.71499999999989</v>
      </c>
      <c r="AF75" s="142"/>
      <c r="AG75" s="1149">
        <v>53.283999999999999</v>
      </c>
      <c r="AH75" s="390">
        <v>80.763999999999996</v>
      </c>
      <c r="AI75" s="390">
        <f>314.213-AJ75-AH75-AG75</f>
        <v>53.365000000000016</v>
      </c>
      <c r="AJ75" s="390">
        <f>126.8</f>
        <v>126.8</v>
      </c>
      <c r="AK75" s="289">
        <f>AK31+AK74</f>
        <v>314.21299999999985</v>
      </c>
      <c r="AL75" s="142"/>
      <c r="AM75" s="1149">
        <v>71.685000000000002</v>
      </c>
      <c r="AN75" s="390">
        <v>87.227999999999994</v>
      </c>
      <c r="AO75" s="390">
        <v>79.850999999999999</v>
      </c>
      <c r="AP75" s="390">
        <v>74.427999999999997</v>
      </c>
      <c r="AQ75" s="289">
        <f>AQ31+AQ74</f>
        <v>313.19199999999989</v>
      </c>
      <c r="AR75" s="142"/>
      <c r="AS75" s="1149">
        <v>72.878</v>
      </c>
      <c r="AT75" s="528">
        <v>89.992999999999995</v>
      </c>
      <c r="AU75" s="528">
        <v>75.272999999999996</v>
      </c>
      <c r="AV75" s="528">
        <v>84.71</v>
      </c>
      <c r="AW75" s="289">
        <f>AW31+AW74</f>
        <v>322.85399999999981</v>
      </c>
      <c r="AX75" s="142"/>
      <c r="AY75" s="1149">
        <v>63.960999999999999</v>
      </c>
      <c r="AZ75" s="528">
        <v>44.098999999999997</v>
      </c>
      <c r="BA75" s="528">
        <v>84.5</v>
      </c>
      <c r="BB75" s="528">
        <v>58.6</v>
      </c>
      <c r="BC75" s="289">
        <f>BC31+BC74</f>
        <v>250.66000000000003</v>
      </c>
      <c r="BD75" s="23"/>
      <c r="BE75" s="1152">
        <v>125</v>
      </c>
      <c r="BF75" s="1253">
        <v>105.4</v>
      </c>
      <c r="BG75" s="1253">
        <v>92.5</v>
      </c>
      <c r="BH75" s="1253">
        <v>107</v>
      </c>
      <c r="BI75" s="677">
        <f>BI31+BI74</f>
        <v>429.89999999999986</v>
      </c>
      <c r="BJ75" s="464"/>
      <c r="BK75" s="1152">
        <v>59.8</v>
      </c>
      <c r="BL75" s="1253">
        <v>-1050</v>
      </c>
      <c r="BM75" s="1253">
        <v>90.6</v>
      </c>
      <c r="BN75" s="1253">
        <v>-673.4</v>
      </c>
      <c r="BO75" s="677">
        <f>BO31+BO74</f>
        <v>-1573</v>
      </c>
      <c r="BP75" s="464"/>
      <c r="BQ75" s="1153">
        <f>BQ31+BQ74</f>
        <v>63.674222295730033</v>
      </c>
      <c r="BR75" s="676">
        <f>BR31+BR74</f>
        <v>93.459975254319971</v>
      </c>
      <c r="BS75" s="676">
        <f>BS31+BS74</f>
        <v>98.739437693163268</v>
      </c>
      <c r="BT75" s="676">
        <f>BT31+BT74</f>
        <v>152.16746916770063</v>
      </c>
      <c r="BU75" s="677">
        <f>BU31+BU74</f>
        <v>408.04110441091416</v>
      </c>
      <c r="BV75" s="464"/>
      <c r="BW75" s="1153">
        <f>BW31+BW74</f>
        <v>107.64606063411151</v>
      </c>
      <c r="BX75" s="676">
        <f>BX31+BX74</f>
        <v>124.53369382078827</v>
      </c>
      <c r="BY75" s="676">
        <f>BY31+BY74</f>
        <v>107.54917382356362</v>
      </c>
      <c r="BZ75" s="676">
        <f>BZ31+BZ74</f>
        <v>150.58943038272005</v>
      </c>
      <c r="CA75" s="677">
        <f>CA31+CA74</f>
        <v>490.31835866118371</v>
      </c>
      <c r="CB75" s="464"/>
      <c r="CC75" s="1153">
        <f>CC31+CC74</f>
        <v>122.46487822371225</v>
      </c>
      <c r="CD75" s="676">
        <f>CD31+CD74</f>
        <v>141.16844418204246</v>
      </c>
      <c r="CE75" s="676">
        <f>CE31+CE74</f>
        <v>125.62545079526699</v>
      </c>
      <c r="CF75" s="676">
        <f>CF31+CF74</f>
        <v>168.68465013923083</v>
      </c>
      <c r="CG75" s="677">
        <f>CG31+CG74</f>
        <v>557.94342334025248</v>
      </c>
      <c r="CH75" s="288"/>
      <c r="CI75" s="288"/>
      <c r="CJ75" s="288"/>
      <c r="CK75" s="288"/>
      <c r="CL75" s="288"/>
      <c r="CM75" s="290"/>
      <c r="CN75" s="290"/>
    </row>
    <row r="76" spans="1:92" ht="11.25" customHeight="1" outlineLevel="1" x14ac:dyDescent="0.2">
      <c r="A76" s="378"/>
      <c r="B76" s="372" t="s">
        <v>244</v>
      </c>
      <c r="C76" s="1156">
        <f>+C75/C34</f>
        <v>0.38221240268526541</v>
      </c>
      <c r="D76" s="373">
        <f>+D75/D34</f>
        <v>0.42249456005888686</v>
      </c>
      <c r="E76" s="373">
        <f>+E75/E34</f>
        <v>0.42471693723503301</v>
      </c>
      <c r="F76" s="1160">
        <f>+F75/F34</f>
        <v>0.45315715228616971</v>
      </c>
      <c r="G76" s="374">
        <f>+G75/G34</f>
        <v>1.6782078709418911</v>
      </c>
      <c r="H76" s="375"/>
      <c r="I76" s="1154">
        <f>+I75/I34</f>
        <v>0.44567043396978706</v>
      </c>
      <c r="J76" s="376">
        <f>+J75/J34</f>
        <v>0.51813689966401033</v>
      </c>
      <c r="K76" s="376">
        <f>+K75/K34</f>
        <v>0.4353876477451768</v>
      </c>
      <c r="L76" s="376">
        <f>+L75/L34</f>
        <v>0.47256280202883466</v>
      </c>
      <c r="M76" s="377">
        <f>+M75/M34</f>
        <v>1.8715181402830976</v>
      </c>
      <c r="N76" s="376"/>
      <c r="O76" s="1154">
        <f>+O75/O34</f>
        <v>0.41243111452523273</v>
      </c>
      <c r="P76" s="376">
        <f>+P75/P34</f>
        <v>0.4678155634192333</v>
      </c>
      <c r="Q76" s="376">
        <f>+Q75/Q34</f>
        <v>0.44798125307027409</v>
      </c>
      <c r="R76" s="376">
        <f>+R75/R34</f>
        <v>0.4981693272444041</v>
      </c>
      <c r="S76" s="377">
        <f>+S75/S34</f>
        <v>1.8271508707412258</v>
      </c>
      <c r="T76" s="375"/>
      <c r="U76" s="1154">
        <f>+U75/U34</f>
        <v>0.41423633903572876</v>
      </c>
      <c r="V76" s="376">
        <f>+V75/V34</f>
        <v>0.49262619182109585</v>
      </c>
      <c r="W76" s="376">
        <f>+W75/W34</f>
        <v>0.44184141660245929</v>
      </c>
      <c r="X76" s="376">
        <f>+X75/X34</f>
        <v>0.47122699514370847</v>
      </c>
      <c r="Y76" s="377">
        <f>+Y75/Y34</f>
        <v>1.8201116553070535</v>
      </c>
      <c r="Z76" s="375"/>
      <c r="AA76" s="1154">
        <f>+AA75/AA34</f>
        <v>0.49797978395490317</v>
      </c>
      <c r="AB76" s="376">
        <f>+AB75/AB34</f>
        <v>0.52857232533322174</v>
      </c>
      <c r="AC76" s="376">
        <f>+AC75/AC34</f>
        <v>0.42258795634436347</v>
      </c>
      <c r="AD76" s="376">
        <f>+AD75/AD34</f>
        <v>0.28280098622351613</v>
      </c>
      <c r="AE76" s="377">
        <f>+AE75/AE34</f>
        <v>1.7320287609463947</v>
      </c>
      <c r="AF76" s="376"/>
      <c r="AG76" s="1154">
        <f>+AG75/AG34</f>
        <v>0.37006889654406044</v>
      </c>
      <c r="AH76" s="376">
        <f>+AH75/AH34</f>
        <v>0.56139521628215727</v>
      </c>
      <c r="AI76" s="376">
        <f>+AI75/AI34</f>
        <v>0.37088904951210711</v>
      </c>
      <c r="AJ76" s="376">
        <f>+AJ75/AJ34</f>
        <v>0.87874314781319085</v>
      </c>
      <c r="AK76" s="377">
        <f>+AK75/AK34</f>
        <v>2.181928656245876</v>
      </c>
      <c r="AL76" s="376"/>
      <c r="AM76" s="1154">
        <f>+AM75/AM34</f>
        <v>0.49404199891108835</v>
      </c>
      <c r="AN76" s="376">
        <f>+AN75/AN34</f>
        <v>0.60102113234068055</v>
      </c>
      <c r="AO76" s="376">
        <f>+AO75/AO34</f>
        <v>0.55184591355789292</v>
      </c>
      <c r="AP76" s="376">
        <f>+AP75/AP34</f>
        <v>0.5127413765784633</v>
      </c>
      <c r="AQ76" s="377">
        <f>+AQ75/AQ34</f>
        <v>2.1596208844535383</v>
      </c>
      <c r="AR76" s="376"/>
      <c r="AS76" s="1154">
        <f>+AS75/AS34</f>
        <v>0.50451011747765706</v>
      </c>
      <c r="AT76" s="376">
        <f>+AT75/AT34</f>
        <v>0.62424044837823589</v>
      </c>
      <c r="AU76" s="376">
        <f>+AU75/AU34</f>
        <v>0.52169302635044279</v>
      </c>
      <c r="AV76" s="376">
        <f>+AV75/AV34</f>
        <v>0.58828023000638896</v>
      </c>
      <c r="AW76" s="377">
        <f>+AW75/AW34</f>
        <v>2.2385478220624395</v>
      </c>
      <c r="AX76" s="376"/>
      <c r="AY76" s="1154">
        <f>+AY75/AY34</f>
        <v>0.44789361642531023</v>
      </c>
      <c r="AZ76" s="376">
        <f>+AZ75/AZ34</f>
        <v>0.30998439498952635</v>
      </c>
      <c r="BA76" s="376">
        <f>+BA75/BA34</f>
        <v>0.5933988764044944</v>
      </c>
      <c r="BB76" s="376">
        <f>+BB75/BB34</f>
        <v>0.4100769769069279</v>
      </c>
      <c r="BC76" s="377">
        <f>+BC75/BC34</f>
        <v>1.7590175438596494</v>
      </c>
      <c r="BD76" s="23"/>
      <c r="BE76" s="1200">
        <f>BE75/BE34</f>
        <v>0.70067264573991028</v>
      </c>
      <c r="BF76" s="978">
        <f>BF75/BF34</f>
        <v>0.44397641112047181</v>
      </c>
      <c r="BG76" s="978">
        <f>BG75/BG34</f>
        <v>0.39145154464663562</v>
      </c>
      <c r="BH76" s="978">
        <f>BH75/BH34</f>
        <v>0.45687446626814693</v>
      </c>
      <c r="BI76" s="979">
        <f>BI75/BI34</f>
        <v>1.9399819494584831</v>
      </c>
      <c r="BJ76" s="106"/>
      <c r="BK76" s="1200">
        <f>BK75/BK34</f>
        <v>0.25555555555555554</v>
      </c>
      <c r="BL76" s="978">
        <f>BL75/BL34</f>
        <v>-4.5013182431997949</v>
      </c>
      <c r="BM76" s="978">
        <f>BM75/BM34</f>
        <v>0.38867438867438864</v>
      </c>
      <c r="BN76" s="978">
        <f>BN75/BN34</f>
        <v>-2.9040006554916835</v>
      </c>
      <c r="BO76" s="979">
        <f>BO75/BO34</f>
        <v>-6.7618687346321167</v>
      </c>
      <c r="BP76" s="106"/>
      <c r="BQ76" s="1200">
        <f>BQ75/BQ34</f>
        <v>0.27999197611912974</v>
      </c>
      <c r="BR76" s="978">
        <f>BR75/BR34</f>
        <v>0.41443372157505198</v>
      </c>
      <c r="BS76" s="978">
        <f>BS75/BS34</f>
        <v>0.441260424506982</v>
      </c>
      <c r="BT76" s="978">
        <f>BT75/BT34</f>
        <v>0.68551474027904202</v>
      </c>
      <c r="BU76" s="979">
        <f>BU75/BU34</f>
        <v>1.8162015165186673</v>
      </c>
      <c r="BV76" s="106"/>
      <c r="BW76" s="1200">
        <f>BW75/BW34</f>
        <v>0.48969630031570477</v>
      </c>
      <c r="BX76" s="978">
        <f>BX75/BX34</f>
        <v>0.57119802605270964</v>
      </c>
      <c r="BY76" s="978">
        <f>BY75/BY34</f>
        <v>0.49775054737460872</v>
      </c>
      <c r="BZ76" s="978">
        <f>BZ75/BZ34</f>
        <v>0.70353451563811842</v>
      </c>
      <c r="CA76" s="979">
        <f>CA75/CA34</f>
        <v>2.2596320784947803</v>
      </c>
      <c r="CB76" s="106"/>
      <c r="CC76" s="1200">
        <f>CC75/CC34</f>
        <v>0.57751373108697246</v>
      </c>
      <c r="CD76" s="978">
        <f>CD75/CD34</f>
        <v>0.67091119807648425</v>
      </c>
      <c r="CE76" s="978">
        <f>CE75/CE34</f>
        <v>0.60217169171887397</v>
      </c>
      <c r="CF76" s="978">
        <f>CF75/CF34</f>
        <v>0.81585842574657264</v>
      </c>
      <c r="CG76" s="979">
        <f>CG75/CG34</f>
        <v>2.6637030802230619</v>
      </c>
      <c r="CH76" s="398"/>
      <c r="CI76" s="398"/>
      <c r="CJ76" s="398"/>
      <c r="CK76" s="398"/>
      <c r="CL76" s="398"/>
      <c r="CM76" s="378"/>
      <c r="CN76" s="378"/>
    </row>
    <row r="77" spans="1:92" ht="6" customHeight="1" x14ac:dyDescent="0.2">
      <c r="A77" s="25"/>
      <c r="B77" s="51"/>
      <c r="C77" s="82"/>
      <c r="D77" s="82"/>
      <c r="E77" s="82"/>
      <c r="F77" s="82"/>
      <c r="G77" s="83"/>
      <c r="H77" s="127"/>
      <c r="I77" s="82"/>
      <c r="J77" s="82"/>
      <c r="K77" s="82"/>
      <c r="L77" s="82"/>
      <c r="M77" s="83"/>
      <c r="N77" s="127"/>
      <c r="O77" s="82"/>
      <c r="P77" s="82"/>
      <c r="Q77" s="82"/>
      <c r="R77" s="82"/>
      <c r="S77" s="83"/>
      <c r="T77" s="127"/>
      <c r="U77" s="82"/>
      <c r="V77" s="82"/>
      <c r="W77" s="82"/>
      <c r="X77" s="82"/>
      <c r="Y77" s="83"/>
      <c r="Z77" s="127"/>
      <c r="AA77" s="82"/>
      <c r="AB77" s="82"/>
      <c r="AC77" s="82"/>
      <c r="AD77" s="82"/>
      <c r="AE77" s="83"/>
      <c r="AF77" s="127"/>
      <c r="AG77" s="83"/>
      <c r="AH77" s="82"/>
      <c r="AI77" s="82"/>
      <c r="AJ77" s="83"/>
      <c r="AK77" s="83"/>
      <c r="AL77" s="127"/>
      <c r="AM77" s="82"/>
      <c r="AN77" s="82"/>
      <c r="AO77" s="82"/>
      <c r="AP77" s="82"/>
      <c r="AQ77" s="83"/>
      <c r="AR77" s="127"/>
      <c r="AS77" s="82"/>
      <c r="AT77" s="82"/>
      <c r="AU77" s="83"/>
      <c r="AV77" s="83"/>
      <c r="AW77" s="83"/>
      <c r="AX77" s="127"/>
      <c r="AY77" s="82"/>
      <c r="AZ77" s="82"/>
      <c r="BA77" s="82"/>
      <c r="BB77" s="83"/>
      <c r="BC77" s="83"/>
      <c r="BD77" s="23"/>
      <c r="CH77" s="83"/>
      <c r="CI77" s="83"/>
      <c r="CJ77" s="83"/>
      <c r="CK77" s="83"/>
      <c r="CL77" s="83"/>
      <c r="CM77" s="25"/>
      <c r="CN77" s="25"/>
    </row>
    <row r="78" spans="1:92" ht="6" customHeight="1" outlineLevel="1" x14ac:dyDescent="0.2">
      <c r="A78" s="418"/>
      <c r="B78" s="417"/>
      <c r="C78" s="46"/>
      <c r="D78" s="46"/>
      <c r="E78" s="46"/>
      <c r="F78" s="46"/>
      <c r="G78" s="46"/>
      <c r="H78" s="46"/>
      <c r="I78" s="46"/>
      <c r="J78" s="46"/>
      <c r="K78" s="46"/>
      <c r="L78" s="46"/>
      <c r="M78" s="46"/>
      <c r="N78" s="46"/>
      <c r="O78" s="46"/>
      <c r="P78" s="46"/>
      <c r="Q78" s="46"/>
      <c r="R78" s="46"/>
      <c r="S78" s="46"/>
      <c r="T78" s="46"/>
      <c r="U78" s="46"/>
      <c r="V78" s="46"/>
      <c r="W78" s="46"/>
      <c r="X78" s="46"/>
      <c r="Y78" s="46"/>
      <c r="Z78" s="46"/>
      <c r="AA78" s="46"/>
      <c r="AB78" s="46"/>
      <c r="AC78" s="46"/>
      <c r="AD78" s="46"/>
      <c r="AE78" s="46"/>
      <c r="AF78" s="46"/>
      <c r="AG78" s="46"/>
      <c r="AH78" s="46"/>
      <c r="AI78" s="46"/>
      <c r="AJ78" s="46"/>
      <c r="AK78" s="46"/>
      <c r="AL78" s="46"/>
      <c r="AM78" s="46"/>
      <c r="AN78" s="46"/>
      <c r="AO78" s="46"/>
      <c r="AP78" s="46"/>
      <c r="AQ78" s="46"/>
      <c r="AR78" s="46"/>
      <c r="AS78" s="46"/>
      <c r="AT78" s="46"/>
      <c r="AU78" s="46"/>
      <c r="AV78" s="46"/>
      <c r="AW78" s="46"/>
      <c r="AX78" s="46"/>
      <c r="AY78" s="46"/>
      <c r="AZ78" s="46"/>
      <c r="BA78" s="46"/>
      <c r="BB78" s="46"/>
      <c r="BC78" s="46"/>
      <c r="CH78" s="46"/>
      <c r="CI78" s="46"/>
      <c r="CJ78" s="46"/>
      <c r="CK78" s="46"/>
      <c r="CL78" s="46"/>
      <c r="CM78" s="417"/>
      <c r="CN78" s="417"/>
    </row>
    <row r="79" spans="1:92" ht="12.75" customHeight="1" outlineLevel="1" x14ac:dyDescent="0.2">
      <c r="A79" s="418"/>
      <c r="B79" s="417" t="s">
        <v>183</v>
      </c>
      <c r="C79" s="46"/>
      <c r="D79" s="46"/>
      <c r="E79" s="46"/>
      <c r="F79" s="46"/>
      <c r="G79" s="46"/>
      <c r="H79" s="46"/>
      <c r="I79" s="46"/>
      <c r="J79" s="46"/>
      <c r="K79" s="46"/>
      <c r="L79" s="46"/>
      <c r="M79" s="46"/>
      <c r="N79" s="46"/>
      <c r="O79" s="46"/>
      <c r="P79" s="46"/>
      <c r="Q79" s="46"/>
      <c r="R79" s="46"/>
      <c r="S79" s="46"/>
      <c r="T79" s="46"/>
      <c r="U79" s="46"/>
      <c r="V79" s="46"/>
      <c r="W79" s="46"/>
      <c r="X79" s="46"/>
      <c r="Y79" s="46"/>
      <c r="Z79" s="46"/>
      <c r="AA79" s="46"/>
      <c r="AB79" s="46"/>
      <c r="AC79" s="46"/>
      <c r="AD79" s="46"/>
      <c r="AE79" s="46"/>
      <c r="AF79" s="46"/>
      <c r="AG79" s="46"/>
      <c r="AH79" s="46"/>
      <c r="AI79" s="46"/>
      <c r="AJ79" s="46"/>
      <c r="AK79" s="46"/>
      <c r="AL79" s="46"/>
      <c r="AM79" s="46"/>
      <c r="AN79" s="46"/>
      <c r="AO79" s="46"/>
      <c r="AP79" s="46"/>
      <c r="AQ79" s="46"/>
      <c r="AR79" s="46"/>
      <c r="AS79" s="46"/>
      <c r="AT79" s="46"/>
      <c r="AU79" s="46"/>
      <c r="AV79" s="46"/>
      <c r="AW79" s="510"/>
      <c r="AX79" s="46"/>
      <c r="AY79" s="46"/>
      <c r="AZ79" s="46"/>
      <c r="BA79" s="46"/>
      <c r="BB79" s="46"/>
      <c r="BC79" s="46"/>
      <c r="CH79" s="46"/>
      <c r="CI79" s="46"/>
      <c r="CJ79" s="46"/>
      <c r="CK79" s="46"/>
      <c r="CL79" s="46"/>
      <c r="CM79" s="417"/>
      <c r="CN79" s="417"/>
    </row>
    <row r="80" spans="1:92" ht="12.75" customHeight="1" outlineLevel="1" x14ac:dyDescent="0.2">
      <c r="A80" s="331"/>
      <c r="B80" s="333" t="s">
        <v>238</v>
      </c>
      <c r="C80" s="143"/>
      <c r="D80" s="143"/>
      <c r="E80" s="143"/>
      <c r="F80" s="143"/>
      <c r="G80" s="143"/>
      <c r="H80" s="143"/>
      <c r="I80" s="143"/>
      <c r="J80" s="143"/>
      <c r="K80" s="143"/>
      <c r="L80" s="143"/>
      <c r="M80" s="143"/>
      <c r="N80" s="143"/>
      <c r="O80" s="143"/>
      <c r="P80" s="143"/>
      <c r="Q80" s="143"/>
      <c r="R80" s="143"/>
      <c r="S80" s="143"/>
      <c r="T80" s="143"/>
      <c r="U80" s="143"/>
      <c r="V80" s="143"/>
      <c r="W80" s="143"/>
      <c r="X80" s="143"/>
      <c r="Y80" s="143"/>
      <c r="Z80" s="143"/>
      <c r="AA80" s="143"/>
      <c r="AB80" s="143"/>
      <c r="AC80" s="143"/>
      <c r="AD80" s="143"/>
      <c r="AE80" s="143"/>
      <c r="AF80" s="143"/>
      <c r="AG80" s="143"/>
      <c r="AH80" s="143"/>
      <c r="AI80" s="143"/>
      <c r="AJ80" s="143"/>
      <c r="AK80" s="143"/>
      <c r="AL80" s="495"/>
      <c r="AM80" s="495"/>
      <c r="AN80" s="495"/>
      <c r="AO80" s="495"/>
      <c r="AP80" s="143"/>
      <c r="AQ80" s="143"/>
      <c r="AR80" s="143"/>
      <c r="AS80" s="143"/>
      <c r="AT80" s="143"/>
      <c r="AU80" s="143"/>
      <c r="AV80" s="143"/>
      <c r="AW80" s="143"/>
      <c r="AX80" s="143"/>
      <c r="AY80" s="143"/>
      <c r="AZ80" s="143"/>
      <c r="BA80" s="143"/>
      <c r="BB80" s="143"/>
      <c r="BC80" s="143"/>
      <c r="CH80" s="138"/>
      <c r="CI80" s="138"/>
      <c r="CJ80" s="138"/>
      <c r="CK80" s="138"/>
      <c r="CL80" s="138"/>
      <c r="CM80" s="334"/>
      <c r="CN80" s="334"/>
    </row>
    <row r="81" spans="1:92" ht="6" customHeight="1" outlineLevel="1" x14ac:dyDescent="0.2">
      <c r="A81" s="331"/>
      <c r="B81" s="120"/>
      <c r="C81" s="335"/>
      <c r="D81" s="335"/>
      <c r="E81" s="335"/>
      <c r="F81" s="143"/>
      <c r="G81" s="143"/>
      <c r="H81" s="143"/>
      <c r="I81" s="143"/>
      <c r="J81" s="143"/>
      <c r="K81" s="143"/>
      <c r="L81" s="143"/>
      <c r="M81" s="143"/>
      <c r="N81" s="143"/>
      <c r="O81" s="143"/>
      <c r="P81" s="143"/>
      <c r="Q81" s="143"/>
      <c r="R81" s="143"/>
      <c r="S81" s="143"/>
      <c r="T81" s="143"/>
      <c r="U81" s="143"/>
      <c r="V81" s="143"/>
      <c r="W81" s="143"/>
      <c r="X81" s="143"/>
      <c r="Y81" s="143"/>
      <c r="Z81" s="143"/>
      <c r="AA81" s="143"/>
      <c r="AB81" s="143"/>
      <c r="AC81" s="143"/>
      <c r="AD81" s="143"/>
      <c r="AE81" s="143"/>
      <c r="AF81" s="143"/>
      <c r="AG81" s="143"/>
      <c r="AH81" s="143"/>
      <c r="AI81" s="143"/>
      <c r="AJ81" s="143"/>
      <c r="AK81" s="143"/>
      <c r="AL81" s="143"/>
      <c r="AM81" s="143"/>
      <c r="AN81" s="143"/>
      <c r="AO81" s="143"/>
      <c r="AP81" s="143"/>
      <c r="AQ81" s="143"/>
      <c r="AR81" s="143"/>
      <c r="AS81" s="143"/>
      <c r="AT81" s="143"/>
      <c r="AU81" s="143"/>
      <c r="AV81" s="143"/>
      <c r="AW81" s="143"/>
      <c r="AX81" s="143"/>
      <c r="AY81" s="143"/>
      <c r="AZ81" s="143"/>
      <c r="BA81" s="143"/>
      <c r="BB81" s="143"/>
      <c r="BC81" s="143"/>
      <c r="CH81" s="138"/>
      <c r="CI81" s="138"/>
      <c r="CJ81" s="138"/>
      <c r="CK81" s="138"/>
      <c r="CL81" s="138"/>
      <c r="CM81" s="334"/>
      <c r="CN81" s="334"/>
    </row>
    <row r="82" spans="1:92" ht="12.75" customHeight="1" outlineLevel="1" x14ac:dyDescent="0.2">
      <c r="A82" s="332"/>
      <c r="B82" s="411" t="s">
        <v>341</v>
      </c>
      <c r="C82" s="335">
        <f>+C41</f>
        <v>0.52082205454422403</v>
      </c>
      <c r="D82" s="335">
        <f>+D41</f>
        <v>0.52976770037961052</v>
      </c>
      <c r="E82" s="335">
        <f>+E41</f>
        <v>0.51831273317312132</v>
      </c>
      <c r="F82" s="335">
        <f>+F41</f>
        <v>0.50365463597683502</v>
      </c>
      <c r="G82" s="335">
        <f>+G41</f>
        <v>0.51784551253760891</v>
      </c>
      <c r="H82" s="335"/>
      <c r="I82" s="335">
        <f>+I41</f>
        <v>0.50865220353007046</v>
      </c>
      <c r="J82" s="335">
        <f>+J41</f>
        <v>0.53036495098739689</v>
      </c>
      <c r="K82" s="335">
        <f>+K41</f>
        <v>0.52869405400101532</v>
      </c>
      <c r="L82" s="335">
        <f>+L41</f>
        <v>0.5333795147409871</v>
      </c>
      <c r="M82" s="335">
        <f>+M41</f>
        <v>0.52510914094441274</v>
      </c>
      <c r="N82" s="335"/>
      <c r="O82" s="335">
        <f>+O41</f>
        <v>0.52417896080276316</v>
      </c>
      <c r="P82" s="335">
        <f>+P41</f>
        <v>0.51673564482519097</v>
      </c>
      <c r="Q82" s="335">
        <f>+Q41</f>
        <v>0.51153702068700657</v>
      </c>
      <c r="R82" s="335">
        <f>+R41</f>
        <v>0.49830399335672076</v>
      </c>
      <c r="S82" s="335">
        <f>+S41</f>
        <v>0.51235263117434726</v>
      </c>
      <c r="T82" s="335"/>
      <c r="U82" s="335">
        <f>+U41</f>
        <v>0.51660609879401553</v>
      </c>
      <c r="V82" s="335">
        <f>+V41</f>
        <v>0.50894023210626349</v>
      </c>
      <c r="W82" s="335">
        <f>+W41</f>
        <v>0.50351872871736669</v>
      </c>
      <c r="X82" s="335">
        <f>+X41</f>
        <v>0.50638278399560688</v>
      </c>
      <c r="Y82" s="335">
        <f>+Y41</f>
        <v>0.50884776052739877</v>
      </c>
      <c r="Z82" s="335"/>
      <c r="AA82" s="144">
        <f>+AA41</f>
        <v>0.52862824560081201</v>
      </c>
      <c r="AB82" s="144">
        <f>+AB41</f>
        <v>0.51908217831692216</v>
      </c>
      <c r="AC82" s="144">
        <f>+AC41</f>
        <v>0.50829596665800736</v>
      </c>
      <c r="AD82" s="144">
        <f>+AD41</f>
        <v>0.51861010578404454</v>
      </c>
      <c r="AE82" s="335">
        <f>+AE41</f>
        <v>0.51845673948011561</v>
      </c>
      <c r="AF82" s="335"/>
      <c r="AG82" s="144">
        <f>+AG41</f>
        <v>0.55287103947024974</v>
      </c>
      <c r="AH82" s="144">
        <f>+AH41</f>
        <v>0.5398535244051722</v>
      </c>
      <c r="AI82" s="144">
        <f>+AI41</f>
        <v>0.52944516151287702</v>
      </c>
      <c r="AJ82" s="144">
        <f>+AJ41</f>
        <v>0.52607900298425037</v>
      </c>
      <c r="AK82" s="335">
        <f>+AK41</f>
        <v>0.53702206882939618</v>
      </c>
      <c r="AL82" s="335"/>
      <c r="AM82" s="144">
        <f>+AM41</f>
        <v>0.53501237562902615</v>
      </c>
      <c r="AN82" s="144">
        <f>+AN41</f>
        <v>0.54938699885678244</v>
      </c>
      <c r="AO82" s="144">
        <v>0.53200000000000003</v>
      </c>
      <c r="AP82" s="144">
        <f>+AP41</f>
        <v>0.53463507320296477</v>
      </c>
      <c r="AQ82" s="335">
        <f>+AQ41</f>
        <v>0.53945343079941843</v>
      </c>
      <c r="AR82" s="335"/>
      <c r="AS82" s="144">
        <f>+AS41</f>
        <v>0.54572710563007965</v>
      </c>
      <c r="AT82" s="144">
        <f>+AT41</f>
        <v>0.55857296873468587</v>
      </c>
      <c r="AU82" s="144">
        <f>+AU41</f>
        <v>0.55564497910312882</v>
      </c>
      <c r="AV82" s="144">
        <f>+AV41</f>
        <v>0.55115494109515306</v>
      </c>
      <c r="AW82" s="335">
        <f>+AW41</f>
        <v>0.55282931068698626</v>
      </c>
      <c r="AX82" s="335"/>
      <c r="AY82" s="144">
        <f>+AY41</f>
        <v>0.57586847879083369</v>
      </c>
      <c r="AZ82" s="144">
        <f>+AZ41</f>
        <v>0.58189757681166066</v>
      </c>
      <c r="BA82" s="144">
        <f>+BA41</f>
        <v>0.58314069964555404</v>
      </c>
      <c r="BB82" s="144">
        <f>+BB41</f>
        <v>0.56638354939651325</v>
      </c>
      <c r="BC82" s="335">
        <f>+BC41</f>
        <v>0.57682646019969142</v>
      </c>
      <c r="CH82" s="138"/>
      <c r="CI82" s="138"/>
      <c r="CJ82" s="138"/>
      <c r="CK82" s="138"/>
      <c r="CL82" s="138"/>
      <c r="CM82" s="330"/>
      <c r="CN82" s="330"/>
    </row>
    <row r="83" spans="1:92" ht="12.75" customHeight="1" outlineLevel="1" x14ac:dyDescent="0.2">
      <c r="A83" s="332"/>
      <c r="B83" s="442" t="s">
        <v>346</v>
      </c>
      <c r="C83" s="335"/>
      <c r="D83" s="335"/>
      <c r="E83" s="335"/>
      <c r="F83" s="335"/>
      <c r="G83" s="335">
        <f>G42</f>
        <v>0.57189052799083917</v>
      </c>
      <c r="H83" s="335"/>
      <c r="I83" s="144">
        <f>I42</f>
        <v>0.57479929390143625</v>
      </c>
      <c r="J83" s="144">
        <f>J42</f>
        <v>0.58178445174294147</v>
      </c>
      <c r="K83" s="144">
        <f>K42</f>
        <v>0.57404432825362761</v>
      </c>
      <c r="L83" s="144">
        <f>L42</f>
        <v>0.58012855500831573</v>
      </c>
      <c r="M83" s="335">
        <f>M42</f>
        <v>0.57776306550305956</v>
      </c>
      <c r="N83" s="335"/>
      <c r="O83" s="144">
        <f>O42</f>
        <v>0.57066895737141632</v>
      </c>
      <c r="P83" s="144">
        <f>P42</f>
        <v>0.5584612346953336</v>
      </c>
      <c r="Q83" s="144">
        <f>Q42</f>
        <v>0.55026345738713445</v>
      </c>
      <c r="R83" s="144">
        <f>R42</f>
        <v>0.54502367844270672</v>
      </c>
      <c r="S83" s="335">
        <f>S42</f>
        <v>0.55577530334069081</v>
      </c>
      <c r="T83" s="335"/>
      <c r="U83" s="144">
        <f>U42</f>
        <v>0.56692650647455423</v>
      </c>
      <c r="V83" s="144">
        <f>V42</f>
        <v>0.55383415498382382</v>
      </c>
      <c r="W83" s="144">
        <f>W42</f>
        <v>0.55186852932965991</v>
      </c>
      <c r="X83" s="144">
        <f>X42</f>
        <v>0.55260494194700793</v>
      </c>
      <c r="Y83" s="335">
        <f>Y42</f>
        <v>0.55624663776229155</v>
      </c>
      <c r="Z83" s="335"/>
      <c r="AA83" s="144">
        <f>AA42</f>
        <v>0.57226022523505482</v>
      </c>
      <c r="AB83" s="144">
        <f>AB42</f>
        <v>0.5609159736874767</v>
      </c>
      <c r="AC83" s="144">
        <f>AC42</f>
        <v>0.55879457420031187</v>
      </c>
      <c r="AD83" s="144">
        <f>AD42</f>
        <v>0.56468132192387155</v>
      </c>
      <c r="AE83" s="335">
        <f>AE42</f>
        <v>0.56406047297673867</v>
      </c>
      <c r="AF83" s="335"/>
      <c r="AG83" s="144">
        <f>AG42</f>
        <v>0.59505577464788728</v>
      </c>
      <c r="AH83" s="144">
        <f>AH42</f>
        <v>0.58971624098041453</v>
      </c>
      <c r="AI83" s="144">
        <f>AI42</f>
        <v>0.56921900111262214</v>
      </c>
      <c r="AJ83" s="144">
        <f>AJ42</f>
        <v>0.56333221033358782</v>
      </c>
      <c r="AK83" s="335">
        <f>AK42</f>
        <v>0.57930237543918328</v>
      </c>
      <c r="AL83" s="335"/>
      <c r="AM83" s="144">
        <f>AM42</f>
        <v>0.58228585785454223</v>
      </c>
      <c r="AN83" s="144">
        <f>AN42</f>
        <v>0.58395907011045367</v>
      </c>
      <c r="AO83" s="144">
        <f>AO42</f>
        <v>0.566318855734399</v>
      </c>
      <c r="AP83" s="144">
        <f>AP42</f>
        <v>0.56459226896502446</v>
      </c>
      <c r="AQ83" s="335">
        <f>AQ42</f>
        <v>0.57430586798927308</v>
      </c>
      <c r="AR83" s="335"/>
      <c r="AS83" s="144">
        <f>AS42</f>
        <v>0.57813901117556754</v>
      </c>
      <c r="AT83" s="144">
        <f>AT42</f>
        <v>0.58480663512555786</v>
      </c>
      <c r="AU83" s="144">
        <f>AU42</f>
        <v>0.57737564262071883</v>
      </c>
      <c r="AV83" s="144">
        <f>AV42</f>
        <v>0.57351185436990149</v>
      </c>
      <c r="AW83" s="335">
        <f>AW42</f>
        <v>0.57855282121979823</v>
      </c>
      <c r="AX83" s="335"/>
      <c r="AY83" s="144">
        <f>AY42</f>
        <v>0.5984574386387711</v>
      </c>
      <c r="AZ83" s="144">
        <f>AZ42</f>
        <v>0.60199970949965764</v>
      </c>
      <c r="BA83" s="144">
        <f>BA42</f>
        <v>0.60130303511838556</v>
      </c>
      <c r="BB83" s="144">
        <f>BB42</f>
        <v>0.58848118903855096</v>
      </c>
      <c r="BC83" s="335">
        <f>BC42</f>
        <v>0.59758081229698878</v>
      </c>
      <c r="CH83" s="138"/>
      <c r="CI83" s="138"/>
      <c r="CJ83" s="138"/>
      <c r="CK83" s="138"/>
      <c r="CL83" s="138"/>
      <c r="CM83" s="330"/>
      <c r="CN83" s="330"/>
    </row>
    <row r="84" spans="1:92" ht="12.75" customHeight="1" outlineLevel="1" x14ac:dyDescent="0.2">
      <c r="A84" s="423"/>
      <c r="B84" s="487" t="s">
        <v>201</v>
      </c>
      <c r="C84" s="143"/>
      <c r="D84" s="143"/>
      <c r="E84" s="143"/>
      <c r="F84" s="143"/>
      <c r="G84" s="144"/>
      <c r="H84" s="144"/>
      <c r="I84" s="144"/>
      <c r="J84" s="144"/>
      <c r="K84" s="144"/>
      <c r="L84" s="144"/>
      <c r="M84" s="144"/>
      <c r="N84" s="144"/>
      <c r="O84" s="144">
        <f>+O83</f>
        <v>0.57066895737141632</v>
      </c>
      <c r="P84" s="144">
        <f>+P83</f>
        <v>0.5584612346953336</v>
      </c>
      <c r="Q84" s="144">
        <f>+Q83</f>
        <v>0.55026345738713445</v>
      </c>
      <c r="R84" s="144">
        <f>+R83</f>
        <v>0.54502367844270672</v>
      </c>
      <c r="S84" s="144">
        <f>+S83</f>
        <v>0.55577530334069081</v>
      </c>
      <c r="T84" s="144"/>
      <c r="U84" s="144">
        <f>+U83</f>
        <v>0.56692650647455423</v>
      </c>
      <c r="V84" s="144">
        <f>+V83</f>
        <v>0.55383415498382382</v>
      </c>
      <c r="W84" s="144">
        <f>+W83</f>
        <v>0.55186852932965991</v>
      </c>
      <c r="X84" s="144">
        <f>+X83</f>
        <v>0.55260494194700793</v>
      </c>
      <c r="Y84" s="144">
        <f>+Y83</f>
        <v>0.55624663776229155</v>
      </c>
      <c r="Z84" s="144"/>
      <c r="AA84" s="144">
        <f>+AA83</f>
        <v>0.57226022523505482</v>
      </c>
      <c r="AB84" s="144">
        <f>+AB83</f>
        <v>0.5609159736874767</v>
      </c>
      <c r="AC84" s="144">
        <f>+AC83</f>
        <v>0.55879457420031187</v>
      </c>
      <c r="AD84" s="144">
        <f>+AD83</f>
        <v>0.56468132192387155</v>
      </c>
      <c r="AE84" s="144">
        <f>+AE83</f>
        <v>0.56406047297673867</v>
      </c>
      <c r="AF84" s="144"/>
      <c r="AG84" s="144">
        <f>+AG83</f>
        <v>0.59505577464788728</v>
      </c>
      <c r="AH84" s="144">
        <f>+AH83</f>
        <v>0.58971624098041453</v>
      </c>
      <c r="AI84" s="144">
        <f>+AI83</f>
        <v>0.56921900111262214</v>
      </c>
      <c r="AJ84" s="144">
        <f>+AJ83</f>
        <v>0.56333221033358782</v>
      </c>
      <c r="AK84" s="144">
        <f>+AK83</f>
        <v>0.57930237543918328</v>
      </c>
      <c r="AL84" s="144"/>
      <c r="AM84" s="516">
        <f t="shared" ref="AM84:AW84" si="98">AM83+0.0045</f>
        <v>0.58678585785454218</v>
      </c>
      <c r="AN84" s="516">
        <f t="shared" si="98"/>
        <v>0.58845907011045362</v>
      </c>
      <c r="AO84" s="516">
        <f t="shared" si="98"/>
        <v>0.57081885573439894</v>
      </c>
      <c r="AP84" s="516">
        <f t="shared" si="98"/>
        <v>0.56909226896502441</v>
      </c>
      <c r="AQ84" s="516">
        <f t="shared" si="98"/>
        <v>0.57880586798927303</v>
      </c>
      <c r="AR84" s="144">
        <f t="shared" si="98"/>
        <v>4.4999999999999997E-3</v>
      </c>
      <c r="AS84" s="516">
        <f t="shared" si="98"/>
        <v>0.58263901117556749</v>
      </c>
      <c r="AT84" s="526">
        <f t="shared" si="98"/>
        <v>0.58930663512555781</v>
      </c>
      <c r="AU84" s="526">
        <f t="shared" si="98"/>
        <v>0.58187564262071878</v>
      </c>
      <c r="AV84" s="526">
        <f t="shared" si="98"/>
        <v>0.57801185436990143</v>
      </c>
      <c r="AW84" s="144">
        <f t="shared" si="98"/>
        <v>0.58305282121979818</v>
      </c>
      <c r="AX84" s="144"/>
      <c r="AY84" s="516">
        <f>AY83+0.0045</f>
        <v>0.60295743863877105</v>
      </c>
      <c r="AZ84" s="526">
        <f>AZ83</f>
        <v>0.60199970949965764</v>
      </c>
      <c r="BA84" s="526">
        <f>BA83</f>
        <v>0.60130303511838556</v>
      </c>
      <c r="BB84" s="526">
        <f>BB83</f>
        <v>0.58848118903855096</v>
      </c>
      <c r="BC84" s="144">
        <f>BC83+0.0045</f>
        <v>0.60208081229698873</v>
      </c>
      <c r="CH84" s="138"/>
      <c r="CI84" s="138"/>
      <c r="CJ84" s="138"/>
      <c r="CK84" s="138"/>
      <c r="CL84" s="138"/>
      <c r="CM84" s="330"/>
      <c r="CN84" s="330"/>
    </row>
    <row r="85" spans="1:92" ht="12.75" customHeight="1" outlineLevel="1" x14ac:dyDescent="0.2">
      <c r="A85" s="332"/>
      <c r="B85" s="120" t="s">
        <v>0</v>
      </c>
      <c r="C85" s="335"/>
      <c r="D85" s="335"/>
      <c r="E85" s="335"/>
      <c r="F85" s="335"/>
      <c r="G85" s="335"/>
      <c r="H85" s="335"/>
      <c r="I85" s="144">
        <f>I83-C83</f>
        <v>0.57479929390143625</v>
      </c>
      <c r="J85" s="144">
        <f>J83-D83</f>
        <v>0.58178445174294147</v>
      </c>
      <c r="K85" s="144">
        <f>K83-E83</f>
        <v>0.57404432825362761</v>
      </c>
      <c r="L85" s="144">
        <f>L83-F83</f>
        <v>0.58012855500831573</v>
      </c>
      <c r="M85" s="144">
        <f>M83-G83</f>
        <v>5.8725375122203882E-3</v>
      </c>
      <c r="N85" s="335"/>
      <c r="O85" s="144">
        <f>O83-I83</f>
        <v>-4.1303365300199291E-3</v>
      </c>
      <c r="P85" s="144">
        <f>P83-J83</f>
        <v>-2.3323217047607869E-2</v>
      </c>
      <c r="Q85" s="144">
        <f>Q83-K83</f>
        <v>-2.3780870866493165E-2</v>
      </c>
      <c r="R85" s="144">
        <f>R83-L83</f>
        <v>-3.5104876565609011E-2</v>
      </c>
      <c r="S85" s="144">
        <f>S83-M83</f>
        <v>-2.1987762162368751E-2</v>
      </c>
      <c r="T85" s="335"/>
      <c r="U85" s="144">
        <f>U83-O83</f>
        <v>-3.7424508968620929E-3</v>
      </c>
      <c r="V85" s="144">
        <f>V83-P83</f>
        <v>-4.6270797115097739E-3</v>
      </c>
      <c r="W85" s="144">
        <f>W83-Q83</f>
        <v>1.60507194252546E-3</v>
      </c>
      <c r="X85" s="144">
        <f>X83-R83</f>
        <v>7.5812635043012166E-3</v>
      </c>
      <c r="Y85" s="144">
        <f>Y83-S83</f>
        <v>4.7133442160074424E-4</v>
      </c>
      <c r="Z85" s="335"/>
      <c r="AA85" s="144">
        <f>AA83-U83</f>
        <v>5.3337187605005942E-3</v>
      </c>
      <c r="AB85" s="144">
        <f>AB83-V83</f>
        <v>7.0818187036528757E-3</v>
      </c>
      <c r="AC85" s="144">
        <f>AC83-W83</f>
        <v>6.9260448706519595E-3</v>
      </c>
      <c r="AD85" s="144">
        <f>AD83-X83</f>
        <v>1.2076379976863616E-2</v>
      </c>
      <c r="AE85" s="144">
        <f>AE83-Y83</f>
        <v>7.8138352144471179E-3</v>
      </c>
      <c r="AF85" s="335"/>
      <c r="AG85" s="144">
        <f>AG83-AA83</f>
        <v>2.2795549412832461E-2</v>
      </c>
      <c r="AH85" s="144">
        <f>AH83-AB83</f>
        <v>2.8800267292937831E-2</v>
      </c>
      <c r="AI85" s="144">
        <f>AI83-AC83</f>
        <v>1.042442691231027E-2</v>
      </c>
      <c r="AJ85" s="144">
        <f>AJ83-AD83</f>
        <v>-1.3491115902837247E-3</v>
      </c>
      <c r="AK85" s="144">
        <f>AK83-AE83</f>
        <v>1.5241902462444612E-2</v>
      </c>
      <c r="AL85" s="335"/>
      <c r="AM85" s="144">
        <f>AM84-AG83</f>
        <v>-8.2699167933451001E-3</v>
      </c>
      <c r="AN85" s="144">
        <f>AN84-AH83</f>
        <v>-1.2571708699609108E-3</v>
      </c>
      <c r="AO85" s="144">
        <f>AO84-AI83</f>
        <v>1.5998546217768084E-3</v>
      </c>
      <c r="AP85" s="144">
        <f>AP84-AJ83</f>
        <v>5.760058631436582E-3</v>
      </c>
      <c r="AQ85" s="144">
        <f>AQ84-AK83</f>
        <v>-4.9650744991025508E-4</v>
      </c>
      <c r="AR85" s="335"/>
      <c r="AS85" s="144">
        <f>AS84-AM84</f>
        <v>-4.1468466789746916E-3</v>
      </c>
      <c r="AT85" s="144">
        <f>AT84-AN84</f>
        <v>8.4756501510419024E-4</v>
      </c>
      <c r="AU85" s="144">
        <f>AU84-AO84</f>
        <v>1.1056786886319836E-2</v>
      </c>
      <c r="AV85" s="144">
        <f>AV84-AP84</f>
        <v>8.9195854048770284E-3</v>
      </c>
      <c r="AW85" s="144">
        <f>AW84-AQ84</f>
        <v>4.2469532305251523E-3</v>
      </c>
      <c r="AX85" s="335"/>
      <c r="AY85" s="144">
        <f>AY84-AS84</f>
        <v>2.0318427463203559E-2</v>
      </c>
      <c r="AZ85" s="144">
        <f>AZ84-AT84</f>
        <v>1.2693074374099833E-2</v>
      </c>
      <c r="BA85" s="144">
        <f>BA84-AU84</f>
        <v>1.9427392497666784E-2</v>
      </c>
      <c r="BB85" s="144">
        <f>BB84-AV84</f>
        <v>1.0469334668649521E-2</v>
      </c>
      <c r="BC85" s="144">
        <f>BC83-AW83</f>
        <v>1.9027991077190554E-2</v>
      </c>
      <c r="CH85" s="138"/>
      <c r="CI85" s="138"/>
      <c r="CJ85" s="138"/>
      <c r="CK85" s="138"/>
      <c r="CL85" s="138"/>
      <c r="CM85" s="330"/>
      <c r="CN85" s="330"/>
    </row>
    <row r="86" spans="1:92" ht="12.75" customHeight="1" outlineLevel="1" x14ac:dyDescent="0.2">
      <c r="A86" s="423"/>
      <c r="B86" s="120" t="s">
        <v>19</v>
      </c>
      <c r="C86" s="143"/>
      <c r="D86" s="143"/>
      <c r="E86" s="143"/>
      <c r="F86" s="143"/>
      <c r="G86" s="143"/>
      <c r="H86" s="143"/>
      <c r="I86" s="143"/>
      <c r="J86" s="143"/>
      <c r="K86" s="143"/>
      <c r="L86" s="143"/>
      <c r="M86" s="143"/>
      <c r="N86" s="143"/>
      <c r="O86" s="143"/>
      <c r="P86" s="143"/>
      <c r="Q86" s="143"/>
      <c r="R86" s="143"/>
      <c r="S86" s="143">
        <f>+S85+M85</f>
        <v>-1.6115224650148363E-2</v>
      </c>
      <c r="T86" s="143"/>
      <c r="U86" s="143">
        <f>+U85+O85</f>
        <v>-7.8727874268820219E-3</v>
      </c>
      <c r="V86" s="143">
        <f>+V85+P85</f>
        <v>-2.7950296759117643E-2</v>
      </c>
      <c r="W86" s="143">
        <f>+W85+Q85</f>
        <v>-2.2175798923967704E-2</v>
      </c>
      <c r="X86" s="143">
        <f>+X85+R85</f>
        <v>-2.7523613061307795E-2</v>
      </c>
      <c r="Y86" s="143">
        <f>+Y85+S85</f>
        <v>-2.1516427740768007E-2</v>
      </c>
      <c r="Z86" s="143"/>
      <c r="AA86" s="143">
        <f>+AA85+U85</f>
        <v>1.5912678636385014E-3</v>
      </c>
      <c r="AB86" s="143">
        <f>+AB85+V85</f>
        <v>2.4547389921431018E-3</v>
      </c>
      <c r="AC86" s="143">
        <f>+AC85+W85</f>
        <v>8.5311168131774195E-3</v>
      </c>
      <c r="AD86" s="143">
        <f>+AD85+X85</f>
        <v>1.9657643481164833E-2</v>
      </c>
      <c r="AE86" s="143">
        <f>+AE85+Y85</f>
        <v>8.2851696360478622E-3</v>
      </c>
      <c r="AF86" s="144"/>
      <c r="AG86" s="143">
        <f>+AG85+AA85</f>
        <v>2.8129268173333055E-2</v>
      </c>
      <c r="AH86" s="143">
        <f>+AH85+AB85</f>
        <v>3.5882085996590707E-2</v>
      </c>
      <c r="AI86" s="143">
        <f>+AI85+AC85</f>
        <v>1.7350471782962229E-2</v>
      </c>
      <c r="AJ86" s="143">
        <f>+AJ85+AD85</f>
        <v>1.0727268386579891E-2</v>
      </c>
      <c r="AK86" s="143">
        <f>+AK85+AE85</f>
        <v>2.305573767689173E-2</v>
      </c>
      <c r="AL86" s="143"/>
      <c r="AM86" s="143">
        <f>+AM85+AG85</f>
        <v>1.4525632619487361E-2</v>
      </c>
      <c r="AN86" s="143">
        <f>+AN85+AH85</f>
        <v>2.754309642297692E-2</v>
      </c>
      <c r="AO86" s="143">
        <f>+AO85+AI85</f>
        <v>1.2024281534087078E-2</v>
      </c>
      <c r="AP86" s="143">
        <f>+AP85+AJ85</f>
        <v>4.4109470411528573E-3</v>
      </c>
      <c r="AQ86" s="143">
        <f>+AQ85+AK85</f>
        <v>1.4745395012534357E-2</v>
      </c>
      <c r="AR86" s="143"/>
      <c r="AS86" s="143">
        <f>+AS85+AM85</f>
        <v>-1.2416763472319792E-2</v>
      </c>
      <c r="AT86" s="143">
        <f>+AT85+AN85</f>
        <v>-4.0960585485672052E-4</v>
      </c>
      <c r="AU86" s="143">
        <f>+AU85+AO85</f>
        <v>1.2656641508096644E-2</v>
      </c>
      <c r="AV86" s="143">
        <f>+AV85+AP85</f>
        <v>1.467964403631361E-2</v>
      </c>
      <c r="AW86" s="143">
        <f>+AW85+AQ85</f>
        <v>3.7504457806148972E-3</v>
      </c>
      <c r="AX86" s="143"/>
      <c r="AY86" s="143">
        <f>+AY85+AS85</f>
        <v>1.6171580784228867E-2</v>
      </c>
      <c r="AZ86" s="143">
        <f>+AZ85+AT85</f>
        <v>1.3540639389204023E-2</v>
      </c>
      <c r="BA86" s="143">
        <f>+BA85+AU85</f>
        <v>3.048417938398662E-2</v>
      </c>
      <c r="BB86" s="143">
        <f>+BB85+AV85</f>
        <v>1.938892007352655E-2</v>
      </c>
      <c r="BC86" s="143">
        <f>+BC85+AW85</f>
        <v>2.3274944307715706E-2</v>
      </c>
      <c r="CH86" s="138"/>
      <c r="CI86" s="138"/>
      <c r="CJ86" s="138"/>
      <c r="CK86" s="138"/>
      <c r="CL86" s="138"/>
      <c r="CM86" s="330"/>
      <c r="CN86" s="330"/>
    </row>
    <row r="87" spans="1:92" ht="12.75" customHeight="1" outlineLevel="1" x14ac:dyDescent="0.2">
      <c r="A87" s="423"/>
      <c r="B87" s="411" t="s">
        <v>179</v>
      </c>
      <c r="C87" s="143"/>
      <c r="D87" s="143"/>
      <c r="E87" s="143"/>
      <c r="F87" s="143"/>
      <c r="G87" s="144">
        <f>+G13/G8</f>
        <v>0.33603040650641119</v>
      </c>
      <c r="H87" s="144"/>
      <c r="I87" s="144">
        <f>+I13/I8</f>
        <v>0.32811680831410428</v>
      </c>
      <c r="J87" s="144">
        <f>+J13/J8</f>
        <v>0.33767842823448713</v>
      </c>
      <c r="K87" s="144">
        <f>+K13/K8</f>
        <v>0.3410283553447192</v>
      </c>
      <c r="L87" s="144">
        <f>+L13/L8</f>
        <v>0.341576452205195</v>
      </c>
      <c r="M87" s="144">
        <f>+M13/M8</f>
        <v>0.3369463692544592</v>
      </c>
      <c r="N87" s="144"/>
      <c r="O87" s="144">
        <f>+O13/O8</f>
        <v>0.34595787741962203</v>
      </c>
      <c r="P87" s="144">
        <f>+P13/P8</f>
        <v>0.33037884927066458</v>
      </c>
      <c r="Q87" s="144">
        <f>+Q13/Q8</f>
        <v>0.33384035858231226</v>
      </c>
      <c r="R87" s="144">
        <f>+R13/R8</f>
        <v>0.31445089145909355</v>
      </c>
      <c r="S87" s="144">
        <f>+S13/S8</f>
        <v>0.33069522797768619</v>
      </c>
      <c r="T87" s="144"/>
      <c r="U87" s="144">
        <f>+U13/U8</f>
        <v>0.34347112524361467</v>
      </c>
      <c r="V87" s="144">
        <f>+V13/V8</f>
        <v>0.32275264296054051</v>
      </c>
      <c r="W87" s="144">
        <f>+W13/W8</f>
        <v>0.33284792779823363</v>
      </c>
      <c r="X87" s="144">
        <f>+X13/X8</f>
        <v>0.32731810429643288</v>
      </c>
      <c r="Y87" s="144">
        <f>+Y13/Y8</f>
        <v>0.3314760735411843</v>
      </c>
      <c r="Z87" s="144"/>
      <c r="AA87" s="144">
        <f>+AA13/AA8</f>
        <v>0.35050998855396021</v>
      </c>
      <c r="AB87" s="144">
        <f>+AB13/AB8</f>
        <v>0.34369744176239614</v>
      </c>
      <c r="AC87" s="144">
        <f>+AC13/AC8</f>
        <v>0.35183192176313693</v>
      </c>
      <c r="AD87" s="144">
        <f>+AD13/AD8</f>
        <v>0.37162218009709852</v>
      </c>
      <c r="AE87" s="144">
        <f>+AE13/AE8</f>
        <v>0.35533656615904524</v>
      </c>
      <c r="AF87" s="144"/>
      <c r="AG87" s="144">
        <f>+AG13/AG8</f>
        <v>0.39597690159167964</v>
      </c>
      <c r="AH87" s="144">
        <f>+AH13/AH8</f>
        <v>0.3697984518882193</v>
      </c>
      <c r="AI87" s="144">
        <f>+AI13/AI8</f>
        <v>0.3689628507446811</v>
      </c>
      <c r="AJ87" s="144">
        <f>+AJ13/AJ8</f>
        <v>0.36668711037478363</v>
      </c>
      <c r="AK87" s="144">
        <f>+AK13/AK8</f>
        <v>0.37520390625827021</v>
      </c>
      <c r="AL87" s="144"/>
      <c r="AM87" s="144">
        <f>+AM13/AM8</f>
        <v>0.38653078062080315</v>
      </c>
      <c r="AN87" s="144">
        <f>+AN13/AN8</f>
        <v>0.3683604683249892</v>
      </c>
      <c r="AO87" s="144">
        <v>0.37</v>
      </c>
      <c r="AP87" s="144">
        <f>+AP13/AP8</f>
        <v>0.37193262726594822</v>
      </c>
      <c r="AQ87" s="144">
        <f>+AQ13/AQ8</f>
        <v>0.37380107565144011</v>
      </c>
      <c r="AR87" s="144"/>
      <c r="AS87" s="144">
        <f>+AS13/AS8</f>
        <v>0.37864497872934905</v>
      </c>
      <c r="AT87" s="144">
        <f>+AT13/AT8</f>
        <v>0.37435917540592639</v>
      </c>
      <c r="AU87" s="144">
        <f>+AU13/AU8</f>
        <v>0.37599824918106861</v>
      </c>
      <c r="AV87" s="144">
        <f>+AV13/AV8</f>
        <v>0.38062502694561223</v>
      </c>
      <c r="AW87" s="144">
        <f>+AW13/AW8</f>
        <v>0.37736859393284111</v>
      </c>
      <c r="AX87" s="144"/>
      <c r="AY87" s="144">
        <f>+AY13/AY8</f>
        <v>0.39627620672842512</v>
      </c>
      <c r="AZ87" s="144">
        <f>+AZ13/AZ8</f>
        <v>0.37757411827405496</v>
      </c>
      <c r="BA87" s="144">
        <f>+BA13/BA8</f>
        <v>0.37987363230081678</v>
      </c>
      <c r="BB87" s="144">
        <f>+BB13/BB8</f>
        <v>0.37460885113991954</v>
      </c>
      <c r="BC87" s="144">
        <f>+BC13/BC8</f>
        <v>0.38197773943789948</v>
      </c>
      <c r="CH87" s="138"/>
      <c r="CI87" s="138"/>
      <c r="CJ87" s="138"/>
      <c r="CK87" s="138"/>
      <c r="CL87" s="138"/>
      <c r="CM87" s="330"/>
      <c r="CN87" s="330"/>
    </row>
    <row r="88" spans="1:92" ht="12.75" customHeight="1" outlineLevel="1" x14ac:dyDescent="0.2">
      <c r="A88" s="423"/>
      <c r="B88" s="442" t="s">
        <v>347</v>
      </c>
      <c r="C88" s="143"/>
      <c r="D88" s="143"/>
      <c r="E88" s="143"/>
      <c r="F88" s="143"/>
      <c r="G88" s="144">
        <f>+G13/G9</f>
        <v>0.37110026435532961</v>
      </c>
      <c r="H88" s="144"/>
      <c r="I88" s="144">
        <f>+I13/I9</f>
        <v>0.37078638100304689</v>
      </c>
      <c r="J88" s="144">
        <f>+J13/J9</f>
        <v>0.37041674580884532</v>
      </c>
      <c r="K88" s="144">
        <f>+K13/K9</f>
        <v>0.37028105702683545</v>
      </c>
      <c r="L88" s="144">
        <f>+L13/L9</f>
        <v>0.37151455608281814</v>
      </c>
      <c r="M88" s="144">
        <f>+M13/M9</f>
        <v>0.37073277159193507</v>
      </c>
      <c r="N88" s="144"/>
      <c r="O88" s="144">
        <f>+O13/O9</f>
        <v>0.37664125416085042</v>
      </c>
      <c r="P88" s="144">
        <f>+P13/P9</f>
        <v>0.35705642126417569</v>
      </c>
      <c r="Q88" s="144">
        <f>+Q13/Q9</f>
        <v>0.35911408656630583</v>
      </c>
      <c r="R88" s="144">
        <f>+R13/R9</f>
        <v>0.34393298837148883</v>
      </c>
      <c r="S88" s="144">
        <f>+S13/S9</f>
        <v>0.35872215630346832</v>
      </c>
      <c r="T88" s="144"/>
      <c r="U88" s="144">
        <f>+U13/U9</f>
        <v>0.37692718991087187</v>
      </c>
      <c r="V88" s="144">
        <f>+V13/V9</f>
        <v>0.35122284701894935</v>
      </c>
      <c r="W88" s="144">
        <f>+W13/W9</f>
        <v>0.36480926314767387</v>
      </c>
      <c r="X88" s="144">
        <f>+X13/X9</f>
        <v>0.35719540185731158</v>
      </c>
      <c r="Y88" s="144">
        <f>+Y13/Y9</f>
        <v>0.36235287979812542</v>
      </c>
      <c r="Z88" s="144"/>
      <c r="AA88" s="144">
        <f>+AA13/AA9</f>
        <v>0.3794404227663874</v>
      </c>
      <c r="AB88" s="144">
        <f>+AB13/AB9</f>
        <v>0.37139665596907745</v>
      </c>
      <c r="AC88" s="144">
        <f>+AC13/AC9</f>
        <v>0.38678601013568048</v>
      </c>
      <c r="AD88" s="144">
        <f>+AD13/AD9</f>
        <v>0.40463558571850106</v>
      </c>
      <c r="AE88" s="144">
        <f>+AE13/AE9</f>
        <v>0.38659216152650366</v>
      </c>
      <c r="AF88" s="144"/>
      <c r="AG88" s="144">
        <f>+AG13/AG9</f>
        <v>0.42619042253521128</v>
      </c>
      <c r="AH88" s="144">
        <f>+AH13/AH9</f>
        <v>0.40395430076738059</v>
      </c>
      <c r="AI88" s="144">
        <f>+AI13/AI9</f>
        <v>0.39668067746322166</v>
      </c>
      <c r="AJ88" s="144">
        <f>+AJ13/AJ9</f>
        <v>0.39265330723425068</v>
      </c>
      <c r="AK88" s="144">
        <f>+AK13/AK9</f>
        <v>0.40474410044874237</v>
      </c>
      <c r="AL88" s="144"/>
      <c r="AM88" s="144">
        <f>+AM13/AM9</f>
        <v>0.42068448774918271</v>
      </c>
      <c r="AN88" s="144">
        <f>+AN13/AN9</f>
        <v>0.39154082094430387</v>
      </c>
      <c r="AO88" s="144">
        <f>+AO13/AO9</f>
        <v>0.38748478171565154</v>
      </c>
      <c r="AP88" s="144">
        <f>+AP13/AP9</f>
        <v>0.39277312031207745</v>
      </c>
      <c r="AQ88" s="144">
        <f>+AQ13/AQ9</f>
        <v>0.39795122053296555</v>
      </c>
      <c r="AR88" s="144"/>
      <c r="AS88" s="144">
        <f>+AS13/AS9</f>
        <v>0.40113351770649835</v>
      </c>
      <c r="AT88" s="144">
        <f>+AT13/AT9</f>
        <v>0.39194114637062905</v>
      </c>
      <c r="AU88" s="144">
        <f>+AU13/AU9</f>
        <v>0.3907031268339633</v>
      </c>
      <c r="AV88" s="144">
        <f>+AV13/AV9</f>
        <v>0.39606460678628852</v>
      </c>
      <c r="AW88" s="144">
        <f>+AW13/AW9</f>
        <v>0.3949278021968185</v>
      </c>
      <c r="AX88" s="144"/>
      <c r="AY88" s="144">
        <f>+AY13/AY9</f>
        <v>0.41182049792018643</v>
      </c>
      <c r="AZ88" s="144">
        <f>+AZ13/AZ9</f>
        <v>0.39061772822803681</v>
      </c>
      <c r="BA88" s="144">
        <f>+BA13/BA9</f>
        <v>0.39170506912442399</v>
      </c>
      <c r="BB88" s="144">
        <f>+BB13/BB9</f>
        <v>0.38922433813283791</v>
      </c>
      <c r="BC88" s="144">
        <f>+BC13/BC9</f>
        <v>0.39572138860212019</v>
      </c>
      <c r="CH88" s="138"/>
      <c r="CI88" s="138"/>
      <c r="CJ88" s="138"/>
      <c r="CK88" s="138"/>
      <c r="CL88" s="138"/>
      <c r="CM88" s="330"/>
      <c r="CN88" s="330"/>
    </row>
    <row r="89" spans="1:92" ht="12.75" customHeight="1" outlineLevel="1" x14ac:dyDescent="0.2">
      <c r="A89" s="423"/>
      <c r="B89" s="120" t="s">
        <v>0</v>
      </c>
      <c r="C89" s="143"/>
      <c r="D89" s="143"/>
      <c r="E89" s="143"/>
      <c r="F89" s="143"/>
      <c r="G89" s="143"/>
      <c r="H89" s="143"/>
      <c r="I89" s="143"/>
      <c r="J89" s="143"/>
      <c r="K89" s="143"/>
      <c r="L89" s="143"/>
      <c r="M89" s="144">
        <f>M88-G88</f>
        <v>-3.6749276339453907E-4</v>
      </c>
      <c r="N89" s="335"/>
      <c r="O89" s="144">
        <f>O88-I88</f>
        <v>5.8548731578035307E-3</v>
      </c>
      <c r="P89" s="144">
        <f>P88-J88</f>
        <v>-1.3360324544669622E-2</v>
      </c>
      <c r="Q89" s="144">
        <f>Q88-K88</f>
        <v>-1.1166970460529613E-2</v>
      </c>
      <c r="R89" s="144">
        <f>R88-L88</f>
        <v>-2.7581567711329302E-2</v>
      </c>
      <c r="S89" s="144">
        <f>S88-M88</f>
        <v>-1.2010615288466753E-2</v>
      </c>
      <c r="T89" s="335"/>
      <c r="U89" s="144">
        <f>U88-O88</f>
        <v>2.8593575002144878E-4</v>
      </c>
      <c r="V89" s="144">
        <f>V88-P88</f>
        <v>-5.8335742452263473E-3</v>
      </c>
      <c r="W89" s="144">
        <f>W88-Q88</f>
        <v>5.6951765813680333E-3</v>
      </c>
      <c r="X89" s="144">
        <f>X88-R88</f>
        <v>1.3262413485822744E-2</v>
      </c>
      <c r="Y89" s="144">
        <f>Y88-S88</f>
        <v>3.6307234946570954E-3</v>
      </c>
      <c r="Z89" s="335"/>
      <c r="AA89" s="144">
        <f>AA88-U88</f>
        <v>2.5132328555155237E-3</v>
      </c>
      <c r="AB89" s="144">
        <f>AB88-V88</f>
        <v>2.0173808950128103E-2</v>
      </c>
      <c r="AC89" s="144">
        <f>AC88-W88</f>
        <v>2.1976746988006612E-2</v>
      </c>
      <c r="AD89" s="144">
        <f>AD88-X88</f>
        <v>4.7440183861189478E-2</v>
      </c>
      <c r="AE89" s="144">
        <f>AE88-Y88</f>
        <v>2.4239281728378248E-2</v>
      </c>
      <c r="AF89" s="335"/>
      <c r="AG89" s="144">
        <f>AG88-AA88</f>
        <v>4.674999976882388E-2</v>
      </c>
      <c r="AH89" s="144">
        <f>AH88-AB88</f>
        <v>3.2557644798303143E-2</v>
      </c>
      <c r="AI89" s="144">
        <f>AI88-AC88</f>
        <v>9.8946673275411845E-3</v>
      </c>
      <c r="AJ89" s="144">
        <f>AJ88-AD88</f>
        <v>-1.1982278484250375E-2</v>
      </c>
      <c r="AK89" s="144">
        <f>AK88-AE88</f>
        <v>1.8151938922238708E-2</v>
      </c>
      <c r="AL89" s="335"/>
      <c r="AM89" s="144">
        <f>AM88-AG88</f>
        <v>-5.5059347860285657E-3</v>
      </c>
      <c r="AN89" s="144">
        <f>AN88-AH88</f>
        <v>-1.2413479823076723E-2</v>
      </c>
      <c r="AO89" s="144">
        <f>AO88-AI88</f>
        <v>-9.1958957475701264E-3</v>
      </c>
      <c r="AP89" s="144">
        <f>AP88-AJ88</f>
        <v>1.198130778267692E-4</v>
      </c>
      <c r="AQ89" s="144">
        <f>AQ88-AK88</f>
        <v>-6.7928799157768172E-3</v>
      </c>
      <c r="AR89" s="335"/>
      <c r="AS89" s="144">
        <f>AS88-AM88</f>
        <v>-1.9550970042684357E-2</v>
      </c>
      <c r="AT89" s="144">
        <f>AT88-AN88</f>
        <v>4.0032542632517654E-4</v>
      </c>
      <c r="AU89" s="144">
        <f>AU88-AO88</f>
        <v>3.2183451183117606E-3</v>
      </c>
      <c r="AV89" s="144">
        <f>AV88-AP88</f>
        <v>3.2914864742110694E-3</v>
      </c>
      <c r="AW89" s="144">
        <f>AW88-AQ88</f>
        <v>-3.0234183361470546E-3</v>
      </c>
      <c r="AX89" s="335"/>
      <c r="AY89" s="144">
        <f>AY88-AS88</f>
        <v>1.068698021368808E-2</v>
      </c>
      <c r="AZ89" s="144">
        <f>AZ88-AT88</f>
        <v>-1.3234181425922364E-3</v>
      </c>
      <c r="BA89" s="144">
        <f>BA88-AU88</f>
        <v>1.0019422904606889E-3</v>
      </c>
      <c r="BB89" s="144">
        <f>BB88-AV88</f>
        <v>-6.8402686534506096E-3</v>
      </c>
      <c r="BC89" s="144">
        <f>BC88-AW88</f>
        <v>7.9358640530169389E-4</v>
      </c>
      <c r="CH89" s="138"/>
      <c r="CI89" s="138"/>
      <c r="CJ89" s="138"/>
      <c r="CK89" s="138"/>
      <c r="CL89" s="138"/>
      <c r="CM89" s="330"/>
      <c r="CN89" s="330"/>
    </row>
    <row r="90" spans="1:92" ht="12.75" customHeight="1" outlineLevel="1" x14ac:dyDescent="0.2">
      <c r="A90" s="423"/>
      <c r="B90" s="120" t="s">
        <v>19</v>
      </c>
      <c r="C90" s="143"/>
      <c r="D90" s="143"/>
      <c r="E90" s="143"/>
      <c r="F90" s="143"/>
      <c r="G90" s="143"/>
      <c r="H90" s="143"/>
      <c r="I90" s="143"/>
      <c r="J90" s="143"/>
      <c r="K90" s="143"/>
      <c r="L90" s="143"/>
      <c r="M90" s="143"/>
      <c r="N90" s="143"/>
      <c r="O90" s="143"/>
      <c r="P90" s="143"/>
      <c r="Q90" s="143"/>
      <c r="R90" s="143"/>
      <c r="S90" s="143">
        <f>+S89+M89</f>
        <v>-1.2378108051861292E-2</v>
      </c>
      <c r="T90" s="143"/>
      <c r="U90" s="143">
        <f>+U89+O89</f>
        <v>6.1408089078249795E-3</v>
      </c>
      <c r="V90" s="143">
        <f>+V89+P89</f>
        <v>-1.9193898789895969E-2</v>
      </c>
      <c r="W90" s="143">
        <f>+W89+Q89</f>
        <v>-5.4717938791615794E-3</v>
      </c>
      <c r="X90" s="143">
        <f>+X89+R89</f>
        <v>-1.4319154225506558E-2</v>
      </c>
      <c r="Y90" s="143">
        <f>+Y89+S89</f>
        <v>-8.3798917938096573E-3</v>
      </c>
      <c r="Z90" s="143"/>
      <c r="AA90" s="143">
        <f>+AA89+U89</f>
        <v>2.7991686055369724E-3</v>
      </c>
      <c r="AB90" s="143">
        <f>+AB89+V89</f>
        <v>1.4340234704901755E-2</v>
      </c>
      <c r="AC90" s="143">
        <f>+AC89+W89</f>
        <v>2.7671923569374646E-2</v>
      </c>
      <c r="AD90" s="143">
        <f>+AD89+X89</f>
        <v>6.0702597347012222E-2</v>
      </c>
      <c r="AE90" s="143">
        <f>+AE89+Y89</f>
        <v>2.7870005223035343E-2</v>
      </c>
      <c r="AF90" s="144"/>
      <c r="AG90" s="143">
        <f>+AG89+AA89</f>
        <v>4.9263232624339404E-2</v>
      </c>
      <c r="AH90" s="143">
        <f>+AH89+AB89</f>
        <v>5.2731453748431245E-2</v>
      </c>
      <c r="AI90" s="143">
        <f>+AI89+AC89</f>
        <v>3.1871414315547797E-2</v>
      </c>
      <c r="AJ90" s="143">
        <f>+AJ89+AD89</f>
        <v>3.5457905376939103E-2</v>
      </c>
      <c r="AK90" s="143">
        <f>+AK89+AE89</f>
        <v>4.2391220650616956E-2</v>
      </c>
      <c r="AL90" s="143"/>
      <c r="AM90" s="143">
        <f>+AM89+AG89</f>
        <v>4.1244064982795314E-2</v>
      </c>
      <c r="AN90" s="143">
        <f>+AN89+AH89</f>
        <v>2.014416497522642E-2</v>
      </c>
      <c r="AO90" s="143">
        <f>+AO89+AI89</f>
        <v>6.987715799710581E-4</v>
      </c>
      <c r="AP90" s="143">
        <f>+AP89+AJ89</f>
        <v>-1.1862465406423606E-2</v>
      </c>
      <c r="AQ90" s="143">
        <f>+AQ89+AK89</f>
        <v>1.1359059006461891E-2</v>
      </c>
      <c r="AR90" s="143"/>
      <c r="AS90" s="143">
        <f>+AS89+AM89</f>
        <v>-2.5056904828712923E-2</v>
      </c>
      <c r="AT90" s="143">
        <f>+AT89+AN89</f>
        <v>-1.2013154396751546E-2</v>
      </c>
      <c r="AU90" s="143">
        <f>+AU89+AO89</f>
        <v>-5.9775506292583658E-3</v>
      </c>
      <c r="AV90" s="143">
        <f>+AV89+AP89</f>
        <v>3.4112995520378386E-3</v>
      </c>
      <c r="AW90" s="143">
        <f>+AW89+AQ89</f>
        <v>-9.8162982519238717E-3</v>
      </c>
      <c r="AX90" s="143"/>
      <c r="AY90" s="143">
        <f>+AY89+AS89</f>
        <v>-8.8639898289962771E-3</v>
      </c>
      <c r="AZ90" s="143">
        <f>+AZ89+AT89</f>
        <v>-9.2309271626705991E-4</v>
      </c>
      <c r="BA90" s="143">
        <f>+BA89+AU89</f>
        <v>4.2202874087724496E-3</v>
      </c>
      <c r="BB90" s="143">
        <f>+BB89+AV89</f>
        <v>-3.5487821792395402E-3</v>
      </c>
      <c r="BC90" s="143">
        <f>+BC89+AW89</f>
        <v>-2.2298319308453607E-3</v>
      </c>
      <c r="CH90" s="138"/>
      <c r="CI90" s="138"/>
      <c r="CJ90" s="138"/>
      <c r="CK90" s="138"/>
      <c r="CL90" s="138"/>
      <c r="CM90" s="330"/>
      <c r="CN90" s="330"/>
    </row>
    <row r="91" spans="1:92" ht="4.5" customHeight="1" outlineLevel="1" x14ac:dyDescent="0.2">
      <c r="A91" s="423"/>
      <c r="B91" s="120"/>
      <c r="C91" s="143"/>
      <c r="D91" s="143"/>
      <c r="E91" s="143"/>
      <c r="F91" s="143"/>
      <c r="G91" s="143"/>
      <c r="H91" s="143"/>
      <c r="I91" s="143"/>
      <c r="J91" s="143"/>
      <c r="K91" s="143"/>
      <c r="L91" s="143"/>
      <c r="M91" s="143"/>
      <c r="N91" s="143"/>
      <c r="O91" s="143"/>
      <c r="P91" s="143"/>
      <c r="Q91" s="143"/>
      <c r="R91" s="143"/>
      <c r="S91" s="143"/>
      <c r="T91" s="143"/>
      <c r="U91" s="143"/>
      <c r="V91" s="143"/>
      <c r="W91" s="143"/>
      <c r="X91" s="143"/>
      <c r="Y91" s="143"/>
      <c r="Z91" s="143"/>
      <c r="AA91" s="143"/>
      <c r="AB91" s="143"/>
      <c r="AC91" s="143"/>
      <c r="AD91" s="143"/>
      <c r="AE91" s="143"/>
      <c r="AF91" s="144"/>
      <c r="AG91" s="143"/>
      <c r="AH91" s="143"/>
      <c r="AI91" s="143"/>
      <c r="AJ91" s="143"/>
      <c r="AK91" s="143"/>
      <c r="AL91" s="143"/>
      <c r="AM91" s="143"/>
      <c r="AN91" s="143"/>
      <c r="AO91" s="143"/>
      <c r="AP91" s="143"/>
      <c r="AQ91" s="143"/>
      <c r="AR91" s="143"/>
      <c r="AS91" s="143"/>
      <c r="AT91" s="143"/>
      <c r="AU91" s="143"/>
      <c r="AV91" s="143"/>
      <c r="AW91" s="143"/>
      <c r="AX91" s="143"/>
      <c r="AY91" s="143"/>
      <c r="AZ91" s="143"/>
      <c r="BA91" s="143"/>
      <c r="BB91" s="143"/>
      <c r="BC91" s="143"/>
      <c r="CH91" s="138"/>
      <c r="CI91" s="138"/>
      <c r="CJ91" s="138"/>
      <c r="CK91" s="138"/>
      <c r="CL91" s="138"/>
      <c r="CM91" s="330"/>
      <c r="CN91" s="330"/>
    </row>
    <row r="92" spans="1:92" ht="12.75" customHeight="1" outlineLevel="1" x14ac:dyDescent="0.2">
      <c r="A92" s="423"/>
      <c r="B92" s="411" t="s">
        <v>353</v>
      </c>
      <c r="C92" s="143"/>
      <c r="D92" s="143"/>
      <c r="E92" s="143"/>
      <c r="F92" s="143"/>
      <c r="G92" s="143"/>
      <c r="H92" s="143"/>
      <c r="I92" s="143"/>
      <c r="J92" s="143"/>
      <c r="K92" s="143"/>
      <c r="L92" s="143"/>
      <c r="M92" s="143"/>
      <c r="N92" s="143"/>
      <c r="O92" s="143"/>
      <c r="P92" s="143"/>
      <c r="Q92" s="143"/>
      <c r="R92" s="143"/>
      <c r="S92" s="143"/>
      <c r="T92" s="143"/>
      <c r="U92" s="143"/>
      <c r="V92" s="143"/>
      <c r="W92" s="143"/>
      <c r="X92" s="143"/>
      <c r="Y92" s="143"/>
      <c r="Z92" s="143"/>
      <c r="AA92" s="143"/>
      <c r="AB92" s="143"/>
      <c r="AC92" s="143"/>
      <c r="AD92" s="143"/>
      <c r="AE92" s="143"/>
      <c r="AF92" s="144"/>
      <c r="AG92" s="143"/>
      <c r="AH92" s="143"/>
      <c r="AI92" s="143"/>
      <c r="AJ92" s="143"/>
      <c r="AK92" s="143"/>
      <c r="AL92" s="143"/>
      <c r="AM92" s="143"/>
      <c r="AN92" s="143"/>
      <c r="AO92" s="143"/>
      <c r="AP92" s="143"/>
      <c r="AQ92" s="143"/>
      <c r="AR92" s="143"/>
      <c r="AS92" s="143"/>
      <c r="AT92" s="143"/>
      <c r="AU92" s="143"/>
      <c r="AV92" s="143"/>
      <c r="AW92" s="143"/>
      <c r="AX92" s="143"/>
      <c r="AY92" s="143"/>
      <c r="AZ92" s="143"/>
      <c r="BA92" s="143"/>
      <c r="BB92" s="143"/>
      <c r="BC92" s="143"/>
      <c r="CH92" s="138"/>
      <c r="CI92" s="138"/>
      <c r="CJ92" s="138"/>
      <c r="CK92" s="138"/>
      <c r="CL92" s="138"/>
      <c r="CM92" s="330"/>
      <c r="CN92" s="330"/>
    </row>
    <row r="93" spans="1:92" ht="12.75" customHeight="1" outlineLevel="1" x14ac:dyDescent="0.2">
      <c r="A93" s="423"/>
      <c r="B93" s="120" t="str">
        <f>B11</f>
        <v>Gross Profit</v>
      </c>
      <c r="C93" s="143"/>
      <c r="D93" s="143"/>
      <c r="E93" s="143"/>
      <c r="F93" s="143"/>
      <c r="G93" s="143"/>
      <c r="H93" s="143"/>
      <c r="I93" s="472">
        <f>I11-C11</f>
        <v>38.964999999999975</v>
      </c>
      <c r="J93" s="472">
        <f>J11-D11</f>
        <v>46.702000000000112</v>
      </c>
      <c r="K93" s="472">
        <f>K11-E11</f>
        <v>27.19300000000004</v>
      </c>
      <c r="L93" s="472">
        <f>L11-F11</f>
        <v>-1.6990000000001828</v>
      </c>
      <c r="M93" s="501">
        <f>M11-G11</f>
        <v>111.1609999999996</v>
      </c>
      <c r="N93" s="143"/>
      <c r="O93" s="472">
        <f>O11-I11</f>
        <v>-19.510999999999967</v>
      </c>
      <c r="P93" s="472">
        <f>P11-J11</f>
        <v>-29.818000000000211</v>
      </c>
      <c r="Q93" s="472">
        <f>Q11-K11</f>
        <v>-8.4530000000001451</v>
      </c>
      <c r="R93" s="472">
        <f>R11-L11</f>
        <v>12.200999999999965</v>
      </c>
      <c r="S93" s="501">
        <f>S11-M11</f>
        <v>-45.581000000000358</v>
      </c>
      <c r="T93" s="143"/>
      <c r="U93" s="472">
        <f>U11-O11</f>
        <v>16.306000000000097</v>
      </c>
      <c r="V93" s="472">
        <f>V11-P11</f>
        <v>1.9270000000001346</v>
      </c>
      <c r="W93" s="472">
        <f>W11-Q11</f>
        <v>1.0840000000001169</v>
      </c>
      <c r="X93" s="472">
        <f>X11-R11</f>
        <v>4.4780000000000655</v>
      </c>
      <c r="Y93" s="501">
        <f>Y11-S11</f>
        <v>23.795000000000528</v>
      </c>
      <c r="Z93" s="143"/>
      <c r="AA93" s="472">
        <f>AA11-U11</f>
        <v>19.545999999999992</v>
      </c>
      <c r="AB93" s="472">
        <f>AB11-V11</f>
        <v>28.755999999999972</v>
      </c>
      <c r="AC93" s="472">
        <f>AC11-W11</f>
        <v>42.206999999999937</v>
      </c>
      <c r="AD93" s="472">
        <f>AD11-X11</f>
        <v>95.030000000000143</v>
      </c>
      <c r="AE93" s="501">
        <f>AE11-Y11</f>
        <v>185.53899999999976</v>
      </c>
      <c r="AF93" s="143"/>
      <c r="AG93" s="472">
        <f>AG11-AA11</f>
        <v>94.499999999999943</v>
      </c>
      <c r="AH93" s="472">
        <f>AH11-AB11</f>
        <v>95.553999999999974</v>
      </c>
      <c r="AI93" s="472">
        <f>AI11-AC11</f>
        <v>53.331999999999994</v>
      </c>
      <c r="AJ93" s="472">
        <f>AJ11-AD11</f>
        <v>13.547999999999888</v>
      </c>
      <c r="AK93" s="501">
        <f>AK11-AE11</f>
        <v>256.93399999999997</v>
      </c>
      <c r="AL93" s="143"/>
      <c r="AM93" s="472">
        <f>AM11-AG11+(AM84-AM83)*AM9</f>
        <v>-1.3830795000000595</v>
      </c>
      <c r="AN93" s="472">
        <f>AN11-AH11+(AN84-AN83)*AN9</f>
        <v>9.4058019999999889</v>
      </c>
      <c r="AO93" s="472">
        <f>AO11-AI11+(AO84-AO83)*AO9</f>
        <v>13.76741249999996</v>
      </c>
      <c r="AP93" s="472">
        <f>AP11-AJ11+(AP84-AP83)*AP9</f>
        <v>9.8545104999999928</v>
      </c>
      <c r="AQ93" s="501">
        <f>AQ11-AK11+(AQ84-AQ83)*AQ9</f>
        <v>31.644645499999882</v>
      </c>
      <c r="AR93" s="143"/>
      <c r="AS93" s="472">
        <f>AS11-AM11+(AS84-AS83)*AS9</f>
        <v>9.8703189999999701</v>
      </c>
      <c r="AT93" s="472">
        <f>AT11-AN11+(AT84-AT83)*AT9</f>
        <v>12.634040999999989</v>
      </c>
      <c r="AU93" s="472">
        <f>AU11-AO11+(AU84-AU83)*AU9</f>
        <v>17.489127999999933</v>
      </c>
      <c r="AV93" s="472">
        <f>AV11-AP11+(AV84-AV83)*AV9</f>
        <v>-3.5194505000000547</v>
      </c>
      <c r="AW93" s="501">
        <f>AW11-AQ11</f>
        <v>23.906999999999925</v>
      </c>
      <c r="AX93" s="143"/>
      <c r="AY93" s="472">
        <f>AY11-AS11+(AY84-AY83)*AY9</f>
        <v>-17.647038500000008</v>
      </c>
      <c r="AZ93" s="472">
        <f>AZ11-AT11+(AZ84-AZ83)*AZ9</f>
        <v>-21.26600000000002</v>
      </c>
      <c r="BA93" s="472">
        <f>BA11-AU11+(BA84-BA83)*BA9</f>
        <v>-15.129999999999995</v>
      </c>
      <c r="BB93" s="472">
        <f>BB11-AV11</f>
        <v>-16.202999999999975</v>
      </c>
      <c r="BC93" s="501">
        <f>BC11-AW11</f>
        <v>-73.087999999999738</v>
      </c>
      <c r="CH93" s="138"/>
      <c r="CI93" s="138"/>
      <c r="CJ93" s="138"/>
      <c r="CK93" s="138"/>
      <c r="CL93" s="138"/>
      <c r="CM93" s="330"/>
      <c r="CN93" s="330"/>
    </row>
    <row r="94" spans="1:92" ht="12.75" customHeight="1" outlineLevel="1" x14ac:dyDescent="0.2">
      <c r="A94" s="423"/>
      <c r="B94" s="120" t="str">
        <f>B13</f>
        <v>SG&amp;A</v>
      </c>
      <c r="C94" s="143"/>
      <c r="D94" s="143"/>
      <c r="E94" s="143"/>
      <c r="F94" s="143"/>
      <c r="G94" s="143"/>
      <c r="H94" s="143"/>
      <c r="I94" s="472">
        <f>I13-C13</f>
        <v>19.925000000000011</v>
      </c>
      <c r="J94" s="472">
        <f>J13-D13</f>
        <v>28.782999999999987</v>
      </c>
      <c r="K94" s="472">
        <f>K13-E13</f>
        <v>15.021000000000015</v>
      </c>
      <c r="L94" s="472">
        <f>L13-F13</f>
        <v>7.2999999999979082E-2</v>
      </c>
      <c r="M94" s="501">
        <f>M13-G13</f>
        <v>63.802000000000021</v>
      </c>
      <c r="N94" s="143"/>
      <c r="O94" s="472">
        <f>O13-I13</f>
        <v>-8.6190000000000282</v>
      </c>
      <c r="P94" s="472">
        <f>P13-J13</f>
        <v>-18.222999999999985</v>
      </c>
      <c r="Q94" s="472">
        <f>Q13-K13</f>
        <v>-3.3919999999999959</v>
      </c>
      <c r="R94" s="472">
        <f>R13-L13</f>
        <v>5.1630000000000109</v>
      </c>
      <c r="S94" s="501">
        <f>S13-M13</f>
        <v>-25.071000000000026</v>
      </c>
      <c r="T94" s="143"/>
      <c r="U94" s="472">
        <f>U13-O13</f>
        <v>12.13300000000001</v>
      </c>
      <c r="V94" s="472">
        <f>V13-P13</f>
        <v>-0.26099999999999568</v>
      </c>
      <c r="W94" s="472">
        <f>W13-Q13</f>
        <v>3.004999999999967</v>
      </c>
      <c r="X94" s="472">
        <f>X13-R13</f>
        <v>7.2399999999999807</v>
      </c>
      <c r="Y94" s="501">
        <f>Y13-S13</f>
        <v>22.116999999999962</v>
      </c>
      <c r="Z94" s="143"/>
      <c r="AA94" s="472">
        <f>AA13-U13</f>
        <v>12.450999999999993</v>
      </c>
      <c r="AB94" s="472">
        <f>AB13-V13</f>
        <v>27.080999999999989</v>
      </c>
      <c r="AC94" s="472">
        <f>AC13-W13</f>
        <v>37.709000000000003</v>
      </c>
      <c r="AD94" s="472">
        <f>AD13-X13</f>
        <v>88.29000000000002</v>
      </c>
      <c r="AE94" s="501">
        <f>AE13-Y13</f>
        <v>165.53099999999995</v>
      </c>
      <c r="AF94" s="143"/>
      <c r="AG94" s="472">
        <f>AG13-AA13</f>
        <v>83.716000000000008</v>
      </c>
      <c r="AH94" s="472">
        <f>AH13-AB13</f>
        <v>72.69</v>
      </c>
      <c r="AI94" s="472">
        <f>AI13-AC13</f>
        <v>38.649000000000001</v>
      </c>
      <c r="AJ94" s="472">
        <f>AJ13-AD13</f>
        <v>1.9590000000000032</v>
      </c>
      <c r="AK94" s="501">
        <f>AK13-AE13</f>
        <v>197.01400000000012</v>
      </c>
      <c r="AL94" s="143"/>
      <c r="AM94" s="472">
        <f>AM13-AG13</f>
        <v>-0.70999999999997954</v>
      </c>
      <c r="AN94" s="472">
        <f>AN13-AH13</f>
        <v>-1.8279999999999745</v>
      </c>
      <c r="AO94" s="472">
        <f>AO13-AI13</f>
        <v>2.6920000000000073</v>
      </c>
      <c r="AP94" s="472">
        <f>AP13-AJ13</f>
        <v>4.0889999999999986</v>
      </c>
      <c r="AQ94" s="501">
        <f>AQ13-AK13</f>
        <v>4.2429999999999382</v>
      </c>
      <c r="AR94" s="143"/>
      <c r="AS94" s="472">
        <f>AS13-AM13</f>
        <v>-6.5190000000000623</v>
      </c>
      <c r="AT94" s="472">
        <f>AT13-AN13</f>
        <v>6.1430000000000291</v>
      </c>
      <c r="AU94" s="472">
        <f>AU13-AO13</f>
        <v>6.9050000000000296</v>
      </c>
      <c r="AV94" s="472">
        <f>AV13-AP13</f>
        <v>-6.625</v>
      </c>
      <c r="AW94" s="501">
        <f>AW13-AQ13</f>
        <v>-9.6000000000003638E-2</v>
      </c>
      <c r="AX94" s="143"/>
      <c r="AY94" s="472">
        <f>AY13-AS13</f>
        <v>-16.369999999999948</v>
      </c>
      <c r="AZ94" s="472">
        <f>AZ13-AT13</f>
        <v>-22.920000000000073</v>
      </c>
      <c r="BA94" s="472">
        <f>BA13-AU13</f>
        <v>-19.797000000000025</v>
      </c>
      <c r="BB94" s="472">
        <f>BB13-AV13</f>
        <v>-22.284999999999997</v>
      </c>
      <c r="BC94" s="501">
        <f>BC13-AW13</f>
        <v>-81.371999999999957</v>
      </c>
      <c r="CH94" s="138"/>
      <c r="CI94" s="138"/>
      <c r="CJ94" s="138"/>
      <c r="CK94" s="138"/>
      <c r="CL94" s="138"/>
      <c r="CM94" s="330"/>
      <c r="CN94" s="330"/>
    </row>
    <row r="95" spans="1:92" ht="12.75" customHeight="1" outlineLevel="1" x14ac:dyDescent="0.2">
      <c r="A95" s="423"/>
      <c r="B95" s="120" t="str">
        <f>B18</f>
        <v>Operating Income / Loss</v>
      </c>
      <c r="C95" s="143"/>
      <c r="D95" s="143"/>
      <c r="E95" s="143"/>
      <c r="F95" s="143"/>
      <c r="G95" s="143"/>
      <c r="H95" s="143"/>
      <c r="I95" s="472">
        <f>I18-C18</f>
        <v>19.039999999999964</v>
      </c>
      <c r="J95" s="472">
        <f>J18-D18</f>
        <v>17.919000000000125</v>
      </c>
      <c r="K95" s="472">
        <f>K18-E18</f>
        <v>12.172000000000025</v>
      </c>
      <c r="L95" s="472">
        <f>L18-F18</f>
        <v>-1.7720000000001619</v>
      </c>
      <c r="M95" s="501">
        <f>M18-G18</f>
        <v>47.358999999999583</v>
      </c>
      <c r="N95" s="143"/>
      <c r="O95" s="472">
        <f>O18-I18</f>
        <v>-10.891999999999939</v>
      </c>
      <c r="P95" s="472">
        <f>P18-J18</f>
        <v>-11.595000000000226</v>
      </c>
      <c r="Q95" s="472">
        <f>Q18-K18</f>
        <v>-5.0610000000001492</v>
      </c>
      <c r="R95" s="472">
        <f>R18-L18</f>
        <v>7.0379999999999541</v>
      </c>
      <c r="S95" s="501">
        <f>S18-M18</f>
        <v>-20.510000000000332</v>
      </c>
      <c r="T95" s="143"/>
      <c r="U95" s="472">
        <f>U18-O18</f>
        <v>4.1730000000000871</v>
      </c>
      <c r="V95" s="472">
        <f>V18-P18</f>
        <v>2.1880000000001303</v>
      </c>
      <c r="W95" s="472">
        <f>W18-Q18</f>
        <v>-1.9209999999998502</v>
      </c>
      <c r="X95" s="472">
        <f>X18-R18</f>
        <v>-2.7619999999999152</v>
      </c>
      <c r="Y95" s="501">
        <f>Y18-S18</f>
        <v>1.6780000000005657</v>
      </c>
      <c r="Z95" s="143"/>
      <c r="AA95" s="472">
        <f>AA18-U18</f>
        <v>7.0949999999999989</v>
      </c>
      <c r="AB95" s="472">
        <f>AB18-V18</f>
        <v>1.6749999999999829</v>
      </c>
      <c r="AC95" s="472">
        <f>AC18-W18</f>
        <v>4.4979999999999336</v>
      </c>
      <c r="AD95" s="472">
        <f>AD18-X18</f>
        <v>6.7400000000001228</v>
      </c>
      <c r="AE95" s="501">
        <f>AE18-Y18</f>
        <v>20.007999999999811</v>
      </c>
      <c r="AF95" s="143"/>
      <c r="AG95" s="472">
        <f>AG18-AA18</f>
        <v>10.783999999999935</v>
      </c>
      <c r="AH95" s="472">
        <f>AH18-AB18</f>
        <v>22.863999999999976</v>
      </c>
      <c r="AI95" s="472">
        <f>AI18-AC18</f>
        <v>14.682999999999993</v>
      </c>
      <c r="AJ95" s="472">
        <f>AJ18-AD18</f>
        <v>11.588999999999885</v>
      </c>
      <c r="AK95" s="501">
        <f>AK18-AE18</f>
        <v>59.919999999999845</v>
      </c>
      <c r="AL95" s="143"/>
      <c r="AM95" s="472">
        <f>AM18-AG18+(AM84-AM83)*AM9</f>
        <v>-0.67307950000005157</v>
      </c>
      <c r="AN95" s="472">
        <f>AN18-AH18+(AN84-AN83)*AN9</f>
        <v>11.233801999999992</v>
      </c>
      <c r="AO95" s="472">
        <f>AO18-AI18+(AO84-AO83)*AO9</f>
        <v>11.075412499999938</v>
      </c>
      <c r="AP95" s="472">
        <f>AP18-AJ18+(AP84-AP83)*AP9</f>
        <v>5.76551049999998</v>
      </c>
      <c r="AQ95" s="501">
        <f>AQ18-AK18+(AQ84-AQ83)*AQ9</f>
        <v>27.401645499999944</v>
      </c>
      <c r="AR95" s="143"/>
      <c r="AS95" s="472">
        <f>AS18-AM18</f>
        <v>13.288000000000011</v>
      </c>
      <c r="AT95" s="472">
        <f>AT18-AN18</f>
        <v>3.2019999999999982</v>
      </c>
      <c r="AU95" s="472">
        <f>AU18-AO18</f>
        <v>7.5169999999999533</v>
      </c>
      <c r="AV95" s="472">
        <f>AV18-AP18</f>
        <v>-4.0000000000048885E-3</v>
      </c>
      <c r="AW95" s="501">
        <f>AW18-AQ18</f>
        <v>24.002999999999929</v>
      </c>
      <c r="AX95" s="143"/>
      <c r="AY95" s="472">
        <f>AY18-AS18</f>
        <v>-4.1189999999999998</v>
      </c>
      <c r="AZ95" s="472">
        <f>AZ18-AT18</f>
        <v>1.6539999999999964</v>
      </c>
      <c r="BA95" s="472">
        <f>BA18-AU18</f>
        <v>5.1670000000000584</v>
      </c>
      <c r="BB95" s="472">
        <f>BB18-AV18</f>
        <v>6.0820000000000221</v>
      </c>
      <c r="BC95" s="501">
        <f>BC18-AW18</f>
        <v>8.2840000000002192</v>
      </c>
      <c r="CH95" s="138"/>
      <c r="CI95" s="138"/>
      <c r="CJ95" s="138"/>
      <c r="CK95" s="138"/>
      <c r="CL95" s="138"/>
      <c r="CM95" s="330"/>
      <c r="CN95" s="330"/>
    </row>
    <row r="96" spans="1:92" ht="12.75" customHeight="1" outlineLevel="1" x14ac:dyDescent="0.2">
      <c r="A96" s="423"/>
      <c r="B96" s="473" t="str">
        <f>B93</f>
        <v>Gross Profit</v>
      </c>
      <c r="C96" s="474"/>
      <c r="D96" s="474"/>
      <c r="E96" s="474"/>
      <c r="F96" s="474"/>
      <c r="G96" s="474"/>
      <c r="H96" s="474"/>
      <c r="I96" s="475">
        <f t="shared" ref="I96:M98" si="99">+I93+C93</f>
        <v>38.964999999999975</v>
      </c>
      <c r="J96" s="475">
        <f t="shared" si="99"/>
        <v>46.702000000000112</v>
      </c>
      <c r="K96" s="475">
        <f t="shared" si="99"/>
        <v>27.19300000000004</v>
      </c>
      <c r="L96" s="475">
        <f t="shared" si="99"/>
        <v>-1.6990000000001828</v>
      </c>
      <c r="M96" s="502">
        <f t="shared" si="99"/>
        <v>111.1609999999996</v>
      </c>
      <c r="N96" s="474"/>
      <c r="O96" s="475">
        <f t="shared" ref="O96:S98" si="100">+O93+I93</f>
        <v>19.454000000000008</v>
      </c>
      <c r="P96" s="475">
        <f t="shared" si="100"/>
        <v>16.883999999999901</v>
      </c>
      <c r="Q96" s="475">
        <f t="shared" si="100"/>
        <v>18.739999999999895</v>
      </c>
      <c r="R96" s="475">
        <f t="shared" si="100"/>
        <v>10.501999999999782</v>
      </c>
      <c r="S96" s="502">
        <f t="shared" si="100"/>
        <v>65.579999999999245</v>
      </c>
      <c r="T96" s="474"/>
      <c r="U96" s="475">
        <f t="shared" ref="U96:Y98" si="101">+U93+O93</f>
        <v>-3.2049999999998704</v>
      </c>
      <c r="V96" s="475">
        <f t="shared" si="101"/>
        <v>-27.891000000000076</v>
      </c>
      <c r="W96" s="475">
        <f t="shared" si="101"/>
        <v>-7.3690000000000282</v>
      </c>
      <c r="X96" s="475">
        <f t="shared" si="101"/>
        <v>16.67900000000003</v>
      </c>
      <c r="Y96" s="502">
        <f t="shared" si="101"/>
        <v>-21.785999999999831</v>
      </c>
      <c r="Z96" s="474"/>
      <c r="AA96" s="475">
        <f t="shared" ref="AA96:AE98" si="102">+AA93+U93</f>
        <v>35.852000000000089</v>
      </c>
      <c r="AB96" s="475">
        <f t="shared" si="102"/>
        <v>30.683000000000106</v>
      </c>
      <c r="AC96" s="475">
        <f t="shared" si="102"/>
        <v>43.291000000000054</v>
      </c>
      <c r="AD96" s="475">
        <f t="shared" si="102"/>
        <v>99.508000000000209</v>
      </c>
      <c r="AE96" s="502">
        <f t="shared" si="102"/>
        <v>209.33400000000029</v>
      </c>
      <c r="AF96" s="474"/>
      <c r="AG96" s="475">
        <f t="shared" ref="AG96:AK98" si="103">+AG93+AA93</f>
        <v>114.04599999999994</v>
      </c>
      <c r="AH96" s="475">
        <f t="shared" si="103"/>
        <v>124.30999999999995</v>
      </c>
      <c r="AI96" s="475">
        <f t="shared" si="103"/>
        <v>95.53899999999993</v>
      </c>
      <c r="AJ96" s="475">
        <f t="shared" si="103"/>
        <v>108.57800000000003</v>
      </c>
      <c r="AK96" s="502">
        <f t="shared" si="103"/>
        <v>442.47299999999973</v>
      </c>
      <c r="AL96" s="474"/>
      <c r="AM96" s="475">
        <f t="shared" ref="AM96:AQ98" si="104">+AM93+AG93</f>
        <v>93.116920499999878</v>
      </c>
      <c r="AN96" s="475">
        <f t="shared" si="104"/>
        <v>104.95980199999997</v>
      </c>
      <c r="AO96" s="475">
        <f t="shared" si="104"/>
        <v>67.099412499999957</v>
      </c>
      <c r="AP96" s="475">
        <f t="shared" si="104"/>
        <v>23.402510499999881</v>
      </c>
      <c r="AQ96" s="502">
        <f t="shared" si="104"/>
        <v>288.57864549999988</v>
      </c>
      <c r="AR96" s="474"/>
      <c r="AS96" s="475">
        <f t="shared" ref="AS96:AW98" si="105">+AS93+AM93</f>
        <v>8.4872394999999106</v>
      </c>
      <c r="AT96" s="475">
        <f t="shared" si="105"/>
        <v>22.039842999999976</v>
      </c>
      <c r="AU96" s="475">
        <f t="shared" si="105"/>
        <v>31.256540499999893</v>
      </c>
      <c r="AV96" s="475">
        <f t="shared" si="105"/>
        <v>6.3350599999999382</v>
      </c>
      <c r="AW96" s="502">
        <f t="shared" si="105"/>
        <v>55.551645499999807</v>
      </c>
      <c r="AX96" s="474"/>
      <c r="AY96" s="475">
        <f t="shared" ref="AY96:BC98" si="106">+AY93+AS93</f>
        <v>-7.7767195000000378</v>
      </c>
      <c r="AZ96" s="475">
        <f t="shared" si="106"/>
        <v>-8.6319590000000304</v>
      </c>
      <c r="BA96" s="475">
        <f t="shared" si="106"/>
        <v>2.3591279999999379</v>
      </c>
      <c r="BB96" s="475">
        <f t="shared" si="106"/>
        <v>-19.722450500000029</v>
      </c>
      <c r="BC96" s="502">
        <f t="shared" si="106"/>
        <v>-49.180999999999813</v>
      </c>
      <c r="CH96" s="138"/>
      <c r="CI96" s="138"/>
      <c r="CJ96" s="138"/>
      <c r="CK96" s="138"/>
      <c r="CL96" s="138"/>
      <c r="CM96" s="330"/>
      <c r="CN96" s="330"/>
    </row>
    <row r="97" spans="1:92" ht="12.75" customHeight="1" outlineLevel="1" x14ac:dyDescent="0.2">
      <c r="A97" s="423"/>
      <c r="B97" s="473" t="str">
        <f>B94</f>
        <v>SG&amp;A</v>
      </c>
      <c r="C97" s="474"/>
      <c r="D97" s="474"/>
      <c r="E97" s="474"/>
      <c r="F97" s="474"/>
      <c r="G97" s="474"/>
      <c r="H97" s="474"/>
      <c r="I97" s="475">
        <f t="shared" si="99"/>
        <v>19.925000000000011</v>
      </c>
      <c r="J97" s="475">
        <f t="shared" si="99"/>
        <v>28.782999999999987</v>
      </c>
      <c r="K97" s="475">
        <f t="shared" si="99"/>
        <v>15.021000000000015</v>
      </c>
      <c r="L97" s="475">
        <f t="shared" si="99"/>
        <v>7.2999999999979082E-2</v>
      </c>
      <c r="M97" s="502">
        <f t="shared" si="99"/>
        <v>63.802000000000021</v>
      </c>
      <c r="N97" s="474"/>
      <c r="O97" s="475">
        <f t="shared" si="100"/>
        <v>11.305999999999983</v>
      </c>
      <c r="P97" s="475">
        <f t="shared" si="100"/>
        <v>10.560000000000002</v>
      </c>
      <c r="Q97" s="475">
        <f t="shared" si="100"/>
        <v>11.629000000000019</v>
      </c>
      <c r="R97" s="475">
        <f t="shared" si="100"/>
        <v>5.23599999999999</v>
      </c>
      <c r="S97" s="502">
        <f t="shared" si="100"/>
        <v>38.730999999999995</v>
      </c>
      <c r="T97" s="474"/>
      <c r="U97" s="475">
        <f t="shared" si="101"/>
        <v>3.5139999999999816</v>
      </c>
      <c r="V97" s="475">
        <f t="shared" si="101"/>
        <v>-18.48399999999998</v>
      </c>
      <c r="W97" s="475">
        <f t="shared" si="101"/>
        <v>-0.38700000000002888</v>
      </c>
      <c r="X97" s="475">
        <f t="shared" si="101"/>
        <v>12.402999999999992</v>
      </c>
      <c r="Y97" s="502">
        <f t="shared" si="101"/>
        <v>-2.9540000000000646</v>
      </c>
      <c r="Z97" s="474"/>
      <c r="AA97" s="475">
        <f t="shared" si="102"/>
        <v>24.584000000000003</v>
      </c>
      <c r="AB97" s="475">
        <f t="shared" si="102"/>
        <v>26.819999999999993</v>
      </c>
      <c r="AC97" s="475">
        <f t="shared" si="102"/>
        <v>40.71399999999997</v>
      </c>
      <c r="AD97" s="475">
        <f t="shared" si="102"/>
        <v>95.53</v>
      </c>
      <c r="AE97" s="502">
        <f t="shared" si="102"/>
        <v>187.64799999999991</v>
      </c>
      <c r="AF97" s="474"/>
      <c r="AG97" s="475">
        <f t="shared" si="103"/>
        <v>96.167000000000002</v>
      </c>
      <c r="AH97" s="475">
        <f t="shared" si="103"/>
        <v>99.770999999999987</v>
      </c>
      <c r="AI97" s="475">
        <f t="shared" si="103"/>
        <v>76.358000000000004</v>
      </c>
      <c r="AJ97" s="475">
        <f t="shared" si="103"/>
        <v>90.249000000000024</v>
      </c>
      <c r="AK97" s="502">
        <f t="shared" si="103"/>
        <v>362.54500000000007</v>
      </c>
      <c r="AL97" s="474"/>
      <c r="AM97" s="475">
        <f t="shared" si="104"/>
        <v>83.006000000000029</v>
      </c>
      <c r="AN97" s="475">
        <f t="shared" si="104"/>
        <v>70.862000000000023</v>
      </c>
      <c r="AO97" s="475">
        <f t="shared" si="104"/>
        <v>41.341000000000008</v>
      </c>
      <c r="AP97" s="475">
        <f t="shared" si="104"/>
        <v>6.0480000000000018</v>
      </c>
      <c r="AQ97" s="502">
        <f t="shared" si="104"/>
        <v>201.25700000000006</v>
      </c>
      <c r="AR97" s="474"/>
      <c r="AS97" s="475">
        <f t="shared" si="105"/>
        <v>-7.2290000000000418</v>
      </c>
      <c r="AT97" s="475">
        <f t="shared" si="105"/>
        <v>4.3150000000000546</v>
      </c>
      <c r="AU97" s="475">
        <f t="shared" si="105"/>
        <v>9.5970000000000368</v>
      </c>
      <c r="AV97" s="475">
        <f t="shared" si="105"/>
        <v>-2.5360000000000014</v>
      </c>
      <c r="AW97" s="502">
        <f t="shared" si="105"/>
        <v>4.1469999999999345</v>
      </c>
      <c r="AX97" s="474"/>
      <c r="AY97" s="475">
        <f t="shared" si="106"/>
        <v>-22.88900000000001</v>
      </c>
      <c r="AZ97" s="475">
        <f t="shared" si="106"/>
        <v>-16.777000000000044</v>
      </c>
      <c r="BA97" s="475">
        <f t="shared" si="106"/>
        <v>-12.891999999999996</v>
      </c>
      <c r="BB97" s="475">
        <f t="shared" si="106"/>
        <v>-28.909999999999997</v>
      </c>
      <c r="BC97" s="502">
        <f t="shared" si="106"/>
        <v>-81.467999999999961</v>
      </c>
      <c r="CH97" s="138"/>
      <c r="CI97" s="138"/>
      <c r="CJ97" s="138"/>
      <c r="CK97" s="138"/>
      <c r="CL97" s="138"/>
      <c r="CM97" s="330"/>
      <c r="CN97" s="330"/>
    </row>
    <row r="98" spans="1:92" ht="12.75" customHeight="1" outlineLevel="1" x14ac:dyDescent="0.2">
      <c r="A98" s="423"/>
      <c r="B98" s="473" t="str">
        <f>B95</f>
        <v>Operating Income / Loss</v>
      </c>
      <c r="C98" s="474"/>
      <c r="D98" s="474"/>
      <c r="E98" s="474"/>
      <c r="F98" s="474"/>
      <c r="G98" s="474"/>
      <c r="H98" s="474"/>
      <c r="I98" s="475">
        <f t="shared" si="99"/>
        <v>19.039999999999964</v>
      </c>
      <c r="J98" s="475">
        <f t="shared" si="99"/>
        <v>17.919000000000125</v>
      </c>
      <c r="K98" s="475">
        <f t="shared" si="99"/>
        <v>12.172000000000025</v>
      </c>
      <c r="L98" s="475">
        <f t="shared" si="99"/>
        <v>-1.7720000000001619</v>
      </c>
      <c r="M98" s="502">
        <f t="shared" si="99"/>
        <v>47.358999999999583</v>
      </c>
      <c r="N98" s="474"/>
      <c r="O98" s="475">
        <f t="shared" si="100"/>
        <v>8.1480000000000246</v>
      </c>
      <c r="P98" s="475">
        <f t="shared" si="100"/>
        <v>6.3239999999998986</v>
      </c>
      <c r="Q98" s="475">
        <f t="shared" si="100"/>
        <v>7.1109999999998763</v>
      </c>
      <c r="R98" s="475">
        <f t="shared" si="100"/>
        <v>5.2659999999997922</v>
      </c>
      <c r="S98" s="502">
        <f t="shared" si="100"/>
        <v>26.848999999999251</v>
      </c>
      <c r="T98" s="474"/>
      <c r="U98" s="475">
        <f t="shared" si="101"/>
        <v>-6.718999999999852</v>
      </c>
      <c r="V98" s="475">
        <f t="shared" si="101"/>
        <v>-9.407000000000096</v>
      </c>
      <c r="W98" s="475">
        <f t="shared" si="101"/>
        <v>-6.9819999999999993</v>
      </c>
      <c r="X98" s="475">
        <f t="shared" si="101"/>
        <v>4.2760000000000389</v>
      </c>
      <c r="Y98" s="502">
        <f t="shared" si="101"/>
        <v>-18.831999999999766</v>
      </c>
      <c r="Z98" s="474"/>
      <c r="AA98" s="475">
        <f t="shared" si="102"/>
        <v>11.268000000000086</v>
      </c>
      <c r="AB98" s="475">
        <f t="shared" si="102"/>
        <v>3.8630000000001132</v>
      </c>
      <c r="AC98" s="475">
        <f t="shared" si="102"/>
        <v>2.5770000000000834</v>
      </c>
      <c r="AD98" s="475">
        <f t="shared" si="102"/>
        <v>3.9780000000002076</v>
      </c>
      <c r="AE98" s="502">
        <f t="shared" si="102"/>
        <v>21.686000000000377</v>
      </c>
      <c r="AF98" s="474"/>
      <c r="AG98" s="475">
        <f t="shared" si="103"/>
        <v>17.878999999999934</v>
      </c>
      <c r="AH98" s="475">
        <f t="shared" si="103"/>
        <v>24.538999999999959</v>
      </c>
      <c r="AI98" s="475">
        <f t="shared" si="103"/>
        <v>19.180999999999926</v>
      </c>
      <c r="AJ98" s="475">
        <f t="shared" si="103"/>
        <v>18.329000000000008</v>
      </c>
      <c r="AK98" s="502">
        <f t="shared" si="103"/>
        <v>79.927999999999656</v>
      </c>
      <c r="AL98" s="474"/>
      <c r="AM98" s="475">
        <f t="shared" si="104"/>
        <v>10.110920499999883</v>
      </c>
      <c r="AN98" s="475">
        <f t="shared" si="104"/>
        <v>34.097801999999966</v>
      </c>
      <c r="AO98" s="475">
        <f t="shared" si="104"/>
        <v>25.758412499999931</v>
      </c>
      <c r="AP98" s="475">
        <f t="shared" si="104"/>
        <v>17.354510499999865</v>
      </c>
      <c r="AQ98" s="502">
        <f t="shared" si="104"/>
        <v>87.321645499999789</v>
      </c>
      <c r="AR98" s="474"/>
      <c r="AS98" s="475">
        <f t="shared" si="105"/>
        <v>12.614920499999959</v>
      </c>
      <c r="AT98" s="475">
        <f t="shared" si="105"/>
        <v>14.43580199999999</v>
      </c>
      <c r="AU98" s="475">
        <f t="shared" si="105"/>
        <v>18.592412499999892</v>
      </c>
      <c r="AV98" s="475">
        <f t="shared" si="105"/>
        <v>5.7615104999999751</v>
      </c>
      <c r="AW98" s="502">
        <f t="shared" si="105"/>
        <v>51.404645499999873</v>
      </c>
      <c r="AX98" s="474"/>
      <c r="AY98" s="475">
        <f t="shared" si="106"/>
        <v>9.1690000000000111</v>
      </c>
      <c r="AZ98" s="475">
        <f t="shared" si="106"/>
        <v>4.8559999999999945</v>
      </c>
      <c r="BA98" s="475">
        <f t="shared" si="106"/>
        <v>12.684000000000012</v>
      </c>
      <c r="BB98" s="475">
        <f t="shared" si="106"/>
        <v>6.0780000000000172</v>
      </c>
      <c r="BC98" s="502">
        <f t="shared" si="106"/>
        <v>32.287000000000148</v>
      </c>
      <c r="CH98" s="138"/>
      <c r="CI98" s="138"/>
      <c r="CJ98" s="138"/>
      <c r="CK98" s="138"/>
      <c r="CL98" s="138"/>
      <c r="CM98" s="330"/>
      <c r="CN98" s="330"/>
    </row>
    <row r="99" spans="1:92" ht="12.75" customHeight="1" outlineLevel="1" x14ac:dyDescent="0.2">
      <c r="A99" s="423"/>
      <c r="B99" s="476" t="s">
        <v>192</v>
      </c>
      <c r="C99" s="389"/>
      <c r="D99" s="389"/>
      <c r="E99" s="389"/>
      <c r="F99" s="389"/>
      <c r="G99" s="389"/>
      <c r="H99" s="389"/>
      <c r="I99" s="507"/>
      <c r="J99" s="507"/>
      <c r="K99" s="507"/>
      <c r="L99" s="507"/>
      <c r="M99" s="508"/>
      <c r="N99" s="507"/>
      <c r="O99" s="507">
        <f>(O9-I9)-(O10-I10)+((O84-O83)*O9)</f>
        <v>3.7239999999999043</v>
      </c>
      <c r="P99" s="507">
        <f>(P9-J9)-(P10-J10)+((P84-P83)*P9)</f>
        <v>-18.549000000000035</v>
      </c>
      <c r="Q99" s="507">
        <f>(Q9-K9)-(Q10-K10)+((Q84-Q83)*Q9)</f>
        <v>-3.9710000000000321</v>
      </c>
      <c r="R99" s="507">
        <f>(R9-L9)-(R10-L10)+((R84-R83)*R9)</f>
        <v>4.4260000000002435</v>
      </c>
      <c r="S99" s="508">
        <f>(S9-M9)-(S10-M10)+((S84-S83)*S9)</f>
        <v>-14.369999999999891</v>
      </c>
      <c r="T99" s="507"/>
      <c r="U99" s="507">
        <f>(U9-O9)-(U10-O10)+((U84-U83)*U9)</f>
        <v>9.1470000000000766</v>
      </c>
      <c r="V99" s="507">
        <f>(V9-P9)-(V10-P10)+((V84-V83)*V9)</f>
        <v>-2.5740000000000123</v>
      </c>
      <c r="W99" s="507">
        <f>(W9-Q9)-(W10-Q10)+((W84-W83)*W9)</f>
        <v>-8.9999999999999432</v>
      </c>
      <c r="X99" s="507">
        <f>(X9-R9)-(X10-R10)+((X84-X83)*X9)</f>
        <v>5.6769999999999072</v>
      </c>
      <c r="Y99" s="508">
        <f>(Y9-S9)-(Y10-S10)+((Y84-Y83)*Y9)</f>
        <v>3.2500000000002274</v>
      </c>
      <c r="Z99" s="507"/>
      <c r="AA99" s="507">
        <f>(AA9-U9)-(AA10-U10)+((AA84-AA83)*AA9)</f>
        <v>24.506000000000029</v>
      </c>
      <c r="AB99" s="507">
        <f>(AB9-V9)-(AB10-V10)+((AB84-AB83)*AB9)</f>
        <v>29.109000000000037</v>
      </c>
      <c r="AC99" s="507">
        <f>(AC9-W9)-(AC10-W10)+((AC84-AC83)*AC9)</f>
        <v>33.66799999999995</v>
      </c>
      <c r="AD99" s="507">
        <f>(AD9-X9)-(AD10-X10)+((AD84-AD83)*AD9)</f>
        <v>82.341000000000065</v>
      </c>
      <c r="AE99" s="508">
        <f>(AE9-Y9)-(AE10-Y10)+((AE84-AE83)*AE9)</f>
        <v>169.6239999999998</v>
      </c>
      <c r="AF99" s="507"/>
      <c r="AG99" s="507">
        <f>(AG9-AA9)-(AG10-AA10)+((AG84-AG83)*AG9)</f>
        <v>87.20999999999998</v>
      </c>
      <c r="AH99" s="507">
        <f>(AH9-AB9)-(AH10-AB10)+((AH84-AH83)*AH9)</f>
        <v>76.492999999999938</v>
      </c>
      <c r="AI99" s="507">
        <f>(AI9-AC9)-(AI10-AC10)+((AI84-AI83)*AI9)</f>
        <v>60.725999999999999</v>
      </c>
      <c r="AJ99" s="507">
        <f>(AJ9-AD9)-(AJ10-AD10)+((AJ84-AJ83)*AJ9)</f>
        <v>23.945999999999913</v>
      </c>
      <c r="AK99" s="508">
        <f>(AK9-AE9)-(AK10-AE10)+((AK84-AK83)*AK9)</f>
        <v>248.37499999999977</v>
      </c>
      <c r="AL99" s="507"/>
      <c r="AM99" s="507">
        <f>(AM9-AG9)-(AM10-AG10)+((AM84-AM83)*AM9)</f>
        <v>-10.030079499999994</v>
      </c>
      <c r="AN99" s="507">
        <f>(AN9-AH9)-(AN10-AH10)+((AN84-AN83)*AN9)</f>
        <v>28.865802000000027</v>
      </c>
      <c r="AO99" s="507">
        <f>(AO9-AI9)-(AO10-AI10)+((AO84-AO83)*AO9)</f>
        <v>27.788412499999918</v>
      </c>
      <c r="AP99" s="507">
        <f>(AP9-AJ9)-(AP10-AJ10)+((AP84-AP83)*AP9)</f>
        <v>19.680510500000015</v>
      </c>
      <c r="AQ99" s="508">
        <f>(AQ9-AK9)-(AQ10-AK10)+((AQ84-AQ83)*AQ9)</f>
        <v>66.304645499999737</v>
      </c>
      <c r="AR99" s="507"/>
      <c r="AS99" s="507">
        <f>(AS9-AM9)-(AS10-AM10)</f>
        <v>25.271999999999935</v>
      </c>
      <c r="AT99" s="507">
        <f>(AT9-AN9)-(AT10-AN10)</f>
        <v>20.072000000000003</v>
      </c>
      <c r="AU99" s="507">
        <f>(AU9-AO9)-(AU10-AO10)</f>
        <v>22.35899999999998</v>
      </c>
      <c r="AV99" s="507">
        <f>(AV9-AP9)-(AV10-AP10)</f>
        <v>5.3299999999999272</v>
      </c>
      <c r="AW99" s="508">
        <f>(AW9-AQ9)-(AW10-AQ10)</f>
        <v>73.033000000000129</v>
      </c>
      <c r="AX99" s="507"/>
      <c r="AY99" s="507">
        <f>(AY9-AS9)-(AY10-AS10)</f>
        <v>-4.3299999999999841</v>
      </c>
      <c r="AZ99" s="507">
        <f>(AZ9-AT9)-(AZ10-AT10)</f>
        <v>-10.247000000000014</v>
      </c>
      <c r="BA99" s="507">
        <f>(BA9-AU9)-(BA10-AU10)</f>
        <v>-8.0739999999999554</v>
      </c>
      <c r="BB99" s="507">
        <f>(BB9-AV9)-(BB10-AV10)</f>
        <v>-13.372999999999934</v>
      </c>
      <c r="BC99" s="508">
        <f>(BC9-AW9)-(BC10-AW10)</f>
        <v>-36.023999999999887</v>
      </c>
      <c r="CH99" s="138"/>
      <c r="CI99" s="138"/>
      <c r="CJ99" s="138"/>
      <c r="CK99" s="138"/>
      <c r="CL99" s="138"/>
      <c r="CM99" s="330"/>
      <c r="CN99" s="330"/>
    </row>
    <row r="100" spans="1:92" ht="12.75" customHeight="1" outlineLevel="1" x14ac:dyDescent="0.2">
      <c r="A100" s="423"/>
      <c r="B100" s="509" t="s">
        <v>231</v>
      </c>
      <c r="C100" s="389"/>
      <c r="D100" s="389"/>
      <c r="E100" s="389"/>
      <c r="F100" s="389"/>
      <c r="G100" s="389"/>
      <c r="H100" s="389"/>
      <c r="I100" s="507"/>
      <c r="J100" s="507"/>
      <c r="K100" s="507"/>
      <c r="L100" s="507"/>
      <c r="M100" s="508"/>
      <c r="N100" s="507"/>
      <c r="O100" s="507">
        <f>+O99+I99</f>
        <v>3.7239999999999043</v>
      </c>
      <c r="P100" s="507">
        <f>+P99+J99</f>
        <v>-18.549000000000035</v>
      </c>
      <c r="Q100" s="507">
        <f>+Q99+K99</f>
        <v>-3.9710000000000321</v>
      </c>
      <c r="R100" s="507">
        <f>+R99+L99</f>
        <v>4.4260000000002435</v>
      </c>
      <c r="S100" s="508">
        <f>+S99+M99</f>
        <v>-14.369999999999891</v>
      </c>
      <c r="T100" s="507"/>
      <c r="U100" s="507">
        <f>+U99+O99</f>
        <v>12.870999999999981</v>
      </c>
      <c r="V100" s="507">
        <f>+V99+P99</f>
        <v>-21.123000000000047</v>
      </c>
      <c r="W100" s="507">
        <f>+W99+Q99</f>
        <v>-12.970999999999975</v>
      </c>
      <c r="X100" s="507">
        <f>+X99+R99</f>
        <v>10.103000000000151</v>
      </c>
      <c r="Y100" s="508">
        <f>+Y99+S99</f>
        <v>-11.119999999999663</v>
      </c>
      <c r="Z100" s="507"/>
      <c r="AA100" s="507">
        <f>+AA99+U99</f>
        <v>33.653000000000105</v>
      </c>
      <c r="AB100" s="507">
        <f>+AB99+V99</f>
        <v>26.535000000000025</v>
      </c>
      <c r="AC100" s="507">
        <f>+AC99+W99</f>
        <v>24.668000000000006</v>
      </c>
      <c r="AD100" s="507">
        <f>+AD99+X99</f>
        <v>88.017999999999972</v>
      </c>
      <c r="AE100" s="508">
        <f>+AE99+Y99</f>
        <v>172.87400000000002</v>
      </c>
      <c r="AF100" s="507"/>
      <c r="AG100" s="507">
        <f>+AG99+AA99</f>
        <v>111.71600000000001</v>
      </c>
      <c r="AH100" s="507">
        <f>+AH99+AB99</f>
        <v>105.60199999999998</v>
      </c>
      <c r="AI100" s="507">
        <f>+AI99+AC99</f>
        <v>94.393999999999949</v>
      </c>
      <c r="AJ100" s="507">
        <f>+AJ99+AD99</f>
        <v>106.28699999999998</v>
      </c>
      <c r="AK100" s="508">
        <f>+AK99+AE99</f>
        <v>417.99899999999957</v>
      </c>
      <c r="AL100" s="507"/>
      <c r="AM100" s="507">
        <f>+AM99+AG99</f>
        <v>77.17992049999998</v>
      </c>
      <c r="AN100" s="507">
        <f>+AN99+AH99</f>
        <v>105.35880199999997</v>
      </c>
      <c r="AO100" s="507">
        <f>+AO99+AI99</f>
        <v>88.514412499999921</v>
      </c>
      <c r="AP100" s="507">
        <f>+AP99+AJ99</f>
        <v>43.626510499999924</v>
      </c>
      <c r="AQ100" s="508">
        <f>+AQ99+AK99</f>
        <v>314.67964549999954</v>
      </c>
      <c r="AR100" s="507"/>
      <c r="AS100" s="507">
        <f>+AS99+AM99</f>
        <v>15.24192049999994</v>
      </c>
      <c r="AT100" s="507">
        <f>+AT99+AN99</f>
        <v>48.937802000000033</v>
      </c>
      <c r="AU100" s="507">
        <f>+AU99+AO99</f>
        <v>50.147412499999902</v>
      </c>
      <c r="AV100" s="507">
        <f>+AV99+AP99</f>
        <v>25.010510499999942</v>
      </c>
      <c r="AW100" s="508">
        <f>+AW99+AQ99</f>
        <v>139.33764549999987</v>
      </c>
      <c r="AX100" s="507"/>
      <c r="AY100" s="507">
        <f>+AY99+AS99</f>
        <v>20.94199999999995</v>
      </c>
      <c r="AZ100" s="507">
        <f>+AZ99+AT99</f>
        <v>9.8249999999999886</v>
      </c>
      <c r="BA100" s="507">
        <f>+BA99+AU99</f>
        <v>14.285000000000025</v>
      </c>
      <c r="BB100" s="507">
        <f>+BB99+AV99</f>
        <v>-8.0430000000000064</v>
      </c>
      <c r="BC100" s="508">
        <f>+BC99+AW99</f>
        <v>37.009000000000242</v>
      </c>
      <c r="CH100" s="138"/>
      <c r="CI100" s="138"/>
      <c r="CJ100" s="138"/>
      <c r="CK100" s="138"/>
      <c r="CL100" s="138"/>
      <c r="CM100" s="330"/>
      <c r="CN100" s="330"/>
    </row>
    <row r="101" spans="1:92" ht="12.75" customHeight="1" outlineLevel="1" x14ac:dyDescent="0.2">
      <c r="BE101"/>
      <c r="BF101"/>
      <c r="BG101"/>
      <c r="BH101"/>
      <c r="BI101"/>
      <c r="BJ101"/>
      <c r="BK101"/>
      <c r="BL101"/>
      <c r="BM101"/>
      <c r="BN101"/>
      <c r="BO101"/>
      <c r="BP101"/>
      <c r="BQ101"/>
      <c r="BR101"/>
      <c r="BS101"/>
      <c r="BT101"/>
      <c r="BU101"/>
      <c r="BV101"/>
      <c r="BW101"/>
      <c r="BX101"/>
      <c r="BY101"/>
      <c r="BZ101"/>
      <c r="CA101"/>
      <c r="CB101"/>
      <c r="CC101"/>
      <c r="CD101"/>
      <c r="CE101"/>
      <c r="CF101"/>
      <c r="CG101"/>
    </row>
    <row r="102" spans="1:92" ht="12.75" customHeight="1" outlineLevel="1" x14ac:dyDescent="0.2">
      <c r="B102" s="411" t="s">
        <v>341</v>
      </c>
      <c r="BB102" s="754"/>
      <c r="BD102" s="811"/>
      <c r="BE102" s="335">
        <f t="shared" ref="BE102:BI103" si="107">BE41</f>
        <v>0.5990163085684701</v>
      </c>
      <c r="BF102" s="335">
        <f t="shared" si="107"/>
        <v>0.59163735834310283</v>
      </c>
      <c r="BG102" s="335">
        <f t="shared" si="107"/>
        <v>0.56926135174722747</v>
      </c>
      <c r="BH102" s="335">
        <f t="shared" si="107"/>
        <v>0.57424849699398794</v>
      </c>
      <c r="BI102" s="335">
        <f t="shared" si="107"/>
        <v>0.5828266666666666</v>
      </c>
      <c r="BJ102" s="410"/>
      <c r="BK102" s="335">
        <f t="shared" ref="BK102:BO103" si="108">BK41</f>
        <v>0.58215077605321508</v>
      </c>
      <c r="BL102" s="335">
        <f t="shared" si="108"/>
        <v>0.58217662442164542</v>
      </c>
      <c r="BM102" s="335">
        <f t="shared" si="108"/>
        <v>0.58513165709760451</v>
      </c>
      <c r="BN102" s="335">
        <f t="shared" si="108"/>
        <v>0.57552703941338224</v>
      </c>
      <c r="BO102" s="335">
        <f t="shared" si="108"/>
        <v>0.58110271676589786</v>
      </c>
      <c r="BP102" s="410"/>
      <c r="BQ102" s="335">
        <f t="shared" ref="BQ102:BU103" si="109">BQ41</f>
        <v>0.56999999999999995</v>
      </c>
      <c r="BR102" s="335">
        <f t="shared" si="109"/>
        <v>0.57999999999999996</v>
      </c>
      <c r="BS102" s="335">
        <f t="shared" si="109"/>
        <v>0.57999999999999996</v>
      </c>
      <c r="BT102" s="335">
        <f t="shared" si="109"/>
        <v>0.57999999999999996</v>
      </c>
      <c r="BU102" s="335">
        <f t="shared" si="109"/>
        <v>0.57776639715022193</v>
      </c>
      <c r="BV102" s="410"/>
      <c r="BW102" s="335">
        <f t="shared" ref="BW102:CA103" si="110">BW41</f>
        <v>0.57299999999999995</v>
      </c>
      <c r="BX102" s="335">
        <f t="shared" si="110"/>
        <v>0.58299999999999996</v>
      </c>
      <c r="BY102" s="335">
        <f t="shared" si="110"/>
        <v>0.58299999999999996</v>
      </c>
      <c r="BZ102" s="335">
        <f t="shared" si="110"/>
        <v>0.58299999999999996</v>
      </c>
      <c r="CA102" s="335">
        <f t="shared" si="110"/>
        <v>0.58077740026974845</v>
      </c>
      <c r="CB102" s="410"/>
      <c r="CC102" s="335">
        <f t="shared" ref="CC102:CG103" si="111">CC41</f>
        <v>0.57599999999999996</v>
      </c>
      <c r="CD102" s="335">
        <f t="shared" si="111"/>
        <v>0.58599999999999997</v>
      </c>
      <c r="CE102" s="335">
        <f t="shared" si="111"/>
        <v>0.58599999999999997</v>
      </c>
      <c r="CF102" s="335">
        <f t="shared" si="111"/>
        <v>0.58599999999999997</v>
      </c>
      <c r="CG102" s="335">
        <f t="shared" si="111"/>
        <v>0.58376837365008982</v>
      </c>
    </row>
    <row r="103" spans="1:92" ht="12.75" customHeight="1" outlineLevel="1" x14ac:dyDescent="0.2">
      <c r="B103" s="442" t="s">
        <v>346</v>
      </c>
      <c r="BB103" s="754"/>
      <c r="BD103" s="811"/>
      <c r="BE103" s="144">
        <f t="shared" si="107"/>
        <v>0.61338634857521535</v>
      </c>
      <c r="BF103" s="144">
        <f t="shared" si="107"/>
        <v>0.60180860578356365</v>
      </c>
      <c r="BG103" s="144">
        <f t="shared" si="107"/>
        <v>0.57833758503401367</v>
      </c>
      <c r="BH103" s="144">
        <f t="shared" si="107"/>
        <v>0.58235951630931815</v>
      </c>
      <c r="BI103" s="144">
        <f t="shared" si="107"/>
        <v>0.59299454649049033</v>
      </c>
      <c r="BJ103" s="410"/>
      <c r="BK103" s="144">
        <f t="shared" si="108"/>
        <v>0.58940397350993379</v>
      </c>
      <c r="BL103" s="144">
        <f t="shared" si="108"/>
        <v>0.58791264601320459</v>
      </c>
      <c r="BM103" s="144">
        <f t="shared" si="108"/>
        <v>0.59062749800159886</v>
      </c>
      <c r="BN103" s="144">
        <f t="shared" si="108"/>
        <v>0.58101230683816041</v>
      </c>
      <c r="BO103" s="144">
        <f t="shared" si="108"/>
        <v>0.58705046880133449</v>
      </c>
      <c r="BP103" s="410"/>
      <c r="BQ103" s="144">
        <f t="shared" si="109"/>
        <v>0.57673464825912479</v>
      </c>
      <c r="BR103" s="144">
        <f t="shared" si="109"/>
        <v>0.58535623840878015</v>
      </c>
      <c r="BS103" s="144">
        <f t="shared" si="109"/>
        <v>0.5850817820165316</v>
      </c>
      <c r="BT103" s="144">
        <f t="shared" si="109"/>
        <v>0.58518313632672325</v>
      </c>
      <c r="BU103" s="144">
        <f t="shared" si="109"/>
        <v>0.58331753363366989</v>
      </c>
      <c r="BV103" s="410"/>
      <c r="BW103" s="144">
        <f t="shared" si="110"/>
        <v>0.57954631039867555</v>
      </c>
      <c r="BX103" s="144">
        <f t="shared" si="110"/>
        <v>0.58814457323349256</v>
      </c>
      <c r="BY103" s="144">
        <f t="shared" si="110"/>
        <v>0.58790205795194628</v>
      </c>
      <c r="BZ103" s="144">
        <f t="shared" si="110"/>
        <v>0.58803735759895315</v>
      </c>
      <c r="CA103" s="144">
        <f t="shared" si="110"/>
        <v>0.58614658054521629</v>
      </c>
      <c r="CB103" s="410"/>
      <c r="CC103" s="144">
        <f t="shared" si="111"/>
        <v>0.5823597422250254</v>
      </c>
      <c r="CD103" s="144">
        <f t="shared" si="111"/>
        <v>0.59104639426251571</v>
      </c>
      <c r="CE103" s="144">
        <f t="shared" si="111"/>
        <v>0.59079500783019456</v>
      </c>
      <c r="CF103" s="144">
        <f t="shared" si="111"/>
        <v>0.59089266695770948</v>
      </c>
      <c r="CG103" s="144">
        <f t="shared" si="111"/>
        <v>0.58900584058648009</v>
      </c>
    </row>
    <row r="104" spans="1:92" ht="12.75" customHeight="1" outlineLevel="1" x14ac:dyDescent="0.2">
      <c r="B104" s="487" t="s">
        <v>201</v>
      </c>
      <c r="BB104" s="754"/>
      <c r="BD104" s="811"/>
      <c r="BE104" s="144">
        <f>BE103+0.0045</f>
        <v>0.61788634857521529</v>
      </c>
      <c r="BF104" s="144">
        <f>BF103+0.0045</f>
        <v>0.6063086057835636</v>
      </c>
      <c r="BG104" s="144">
        <f>BG103+0.0045</f>
        <v>0.58283758503401362</v>
      </c>
      <c r="BH104" s="144">
        <f>BH103+0.0045</f>
        <v>0.5868595163093181</v>
      </c>
      <c r="BI104" s="144">
        <f>BI103+0.0045</f>
        <v>0.59749454649049027</v>
      </c>
      <c r="BJ104" s="410"/>
      <c r="BK104" s="144">
        <f>BK103+0.0045</f>
        <v>0.59390397350993374</v>
      </c>
      <c r="BL104" s="144">
        <f>BL103+0.0045</f>
        <v>0.59241264601320454</v>
      </c>
      <c r="BM104" s="144">
        <f>BM103+0.0045</f>
        <v>0.59512749800159881</v>
      </c>
      <c r="BN104" s="144">
        <f>BN103+0.0045</f>
        <v>0.58551230683816036</v>
      </c>
      <c r="BO104" s="144">
        <f>BO103+0.0045</f>
        <v>0.59155046880133444</v>
      </c>
      <c r="BP104" s="410"/>
      <c r="BQ104" s="144">
        <f>BQ103+0.0045</f>
        <v>0.58123464825912474</v>
      </c>
      <c r="BR104" s="144">
        <f>BR103+0.0045</f>
        <v>0.5898562384087801</v>
      </c>
      <c r="BS104" s="144">
        <f>BS103+0.0045</f>
        <v>0.58958178201653155</v>
      </c>
      <c r="BT104" s="144">
        <f>BT103+0.0045</f>
        <v>0.5896831363267232</v>
      </c>
      <c r="BU104" s="144">
        <f>BU103+0.0045</f>
        <v>0.58781753363366984</v>
      </c>
      <c r="BV104" s="410"/>
      <c r="BW104" s="144">
        <f>BW103+0.0045</f>
        <v>0.58404631039867549</v>
      </c>
      <c r="BX104" s="144">
        <f>BX103+0.0045</f>
        <v>0.59264457323349251</v>
      </c>
      <c r="BY104" s="144">
        <f>BY103+0.0045</f>
        <v>0.59240205795194623</v>
      </c>
      <c r="BZ104" s="144">
        <f>BZ103+0.0045</f>
        <v>0.5925373575989531</v>
      </c>
      <c r="CA104" s="144">
        <f>CA103+0.0045</f>
        <v>0.59064658054521624</v>
      </c>
      <c r="CB104" s="410"/>
      <c r="CC104" s="144">
        <f>CC103+0.0045</f>
        <v>0.58685974222502535</v>
      </c>
      <c r="CD104" s="144">
        <f>CD103+0.0045</f>
        <v>0.59554639426251565</v>
      </c>
      <c r="CE104" s="144">
        <f>CE103+0.0045</f>
        <v>0.59529500783019451</v>
      </c>
      <c r="CF104" s="144">
        <f>CF103+0.0045</f>
        <v>0.59539266695770943</v>
      </c>
      <c r="CG104" s="144">
        <f>CG103+0.0045</f>
        <v>0.59350584058648004</v>
      </c>
    </row>
    <row r="105" spans="1:92" ht="12.75" customHeight="1" outlineLevel="1" x14ac:dyDescent="0.2">
      <c r="B105" s="411" t="s">
        <v>179</v>
      </c>
      <c r="BB105" s="754"/>
      <c r="BD105" s="811"/>
      <c r="BE105" s="144">
        <f>+BE13/BE8</f>
        <v>0.37962723272068338</v>
      </c>
      <c r="BF105" s="144">
        <f>+BF13/BF8</f>
        <v>0.36459554513481829</v>
      </c>
      <c r="BG105" s="144">
        <f>+BG13/BG8</f>
        <v>0.36440677966101698</v>
      </c>
      <c r="BH105" s="144">
        <f>+BH13/BH8</f>
        <v>0.36743486973947892</v>
      </c>
      <c r="BI105" s="144">
        <f>+BI13/BI8</f>
        <v>0.36840000000000001</v>
      </c>
      <c r="BJ105" s="406"/>
      <c r="BK105" s="144">
        <f>+BK13/BK8</f>
        <v>0.41818181818181815</v>
      </c>
      <c r="BL105" s="144">
        <f>+BL13/BL8</f>
        <v>0.38593844296922147</v>
      </c>
      <c r="BM105" s="144">
        <f>+BM13/BM8</f>
        <v>0.37556919421896656</v>
      </c>
      <c r="BN105" s="144">
        <f>+BN13/BN8</f>
        <v>0.35838680109990834</v>
      </c>
      <c r="BO105" s="144">
        <f>+BO13/BO8</f>
        <v>0.38307399809876419</v>
      </c>
      <c r="BP105" s="406"/>
      <c r="BQ105" s="144">
        <f>+BQ13/BQ8</f>
        <v>0.42395999242559729</v>
      </c>
      <c r="BR105" s="144">
        <f>+BR13/BR8</f>
        <v>0.40113321459836382</v>
      </c>
      <c r="BS105" s="144">
        <f>+BS13/BS8</f>
        <v>0.37652001567102672</v>
      </c>
      <c r="BT105" s="144">
        <f>+BT13/BT8</f>
        <v>0.36280138001726742</v>
      </c>
      <c r="BU105" s="144">
        <f>+BU13/BU8</f>
        <v>0.38949849028495426</v>
      </c>
      <c r="BV105" s="406"/>
      <c r="BW105" s="443">
        <f>+BQ105-0.003</f>
        <v>0.42095999242559728</v>
      </c>
      <c r="BX105" s="443">
        <f>+BR105-0.003</f>
        <v>0.39813321459836382</v>
      </c>
      <c r="BY105" s="443">
        <f>+BS105-0.003</f>
        <v>0.37352001567102672</v>
      </c>
      <c r="BZ105" s="443">
        <f>+BT105-0.003</f>
        <v>0.35980138001726741</v>
      </c>
      <c r="CA105" s="144">
        <f>CA46</f>
        <v>0.37518211810614199</v>
      </c>
      <c r="CB105" s="406"/>
      <c r="CC105" s="443">
        <f>+BW105-0.003</f>
        <v>0.41795999242559728</v>
      </c>
      <c r="CD105" s="443">
        <f>+BX105-0.003</f>
        <v>0.39513321459836381</v>
      </c>
      <c r="CE105" s="443">
        <f>+BY105-0.003</f>
        <v>0.37052001567102671</v>
      </c>
      <c r="CF105" s="443">
        <f>+BZ105-0.003</f>
        <v>0.35680138001726741</v>
      </c>
      <c r="CG105" s="144">
        <f>CG46</f>
        <v>0.36921622053824177</v>
      </c>
    </row>
    <row r="106" spans="1:92" ht="12.75" customHeight="1" outlineLevel="1" x14ac:dyDescent="0.2">
      <c r="B106" s="120" t="s">
        <v>525</v>
      </c>
      <c r="BB106" s="754"/>
      <c r="BD106" s="811"/>
      <c r="BE106" s="443">
        <v>0.37</v>
      </c>
      <c r="BF106" s="443">
        <v>0.35</v>
      </c>
      <c r="BG106" s="443">
        <v>0.35649999999999998</v>
      </c>
      <c r="BH106" s="443">
        <v>0.36199999999999999</v>
      </c>
      <c r="BI106" s="144"/>
      <c r="BJ106" s="406"/>
      <c r="BK106" s="443">
        <f>+BE105-0.003</f>
        <v>0.37662723272068338</v>
      </c>
      <c r="BL106" s="443">
        <f>+BF105-0.003</f>
        <v>0.36159554513481829</v>
      </c>
      <c r="BM106" s="443">
        <f>+BG105-0.003</f>
        <v>0.36140677966101697</v>
      </c>
      <c r="BN106" s="443">
        <f>+BH105-0.003</f>
        <v>0.36443486973947892</v>
      </c>
      <c r="BO106" s="144"/>
      <c r="BP106" s="406"/>
      <c r="BQ106" s="443">
        <f>+BK105-0.003</f>
        <v>0.41518181818181815</v>
      </c>
      <c r="BR106" s="443">
        <f>+BL105-0.003</f>
        <v>0.38293844296922147</v>
      </c>
      <c r="BS106" s="443">
        <f>+BM105-0.003</f>
        <v>0.37256919421896656</v>
      </c>
      <c r="BT106" s="443">
        <f>+BN105-0.003</f>
        <v>0.35538680109990833</v>
      </c>
      <c r="BU106" s="144"/>
      <c r="BV106" s="406"/>
      <c r="BW106" s="144"/>
      <c r="BX106" s="144"/>
      <c r="BY106" s="144"/>
      <c r="BZ106" s="144"/>
      <c r="CA106" s="144"/>
      <c r="CB106" s="406"/>
      <c r="CC106" s="144"/>
      <c r="CD106" s="144"/>
      <c r="CE106" s="144"/>
      <c r="CF106" s="144"/>
      <c r="CG106" s="144"/>
    </row>
    <row r="107" spans="1:92" ht="12.75" customHeight="1" outlineLevel="1" x14ac:dyDescent="0.2">
      <c r="B107" s="120" t="s">
        <v>0</v>
      </c>
      <c r="BB107" s="754"/>
      <c r="BD107" s="811"/>
      <c r="BE107" s="144">
        <f>BE105-AY79</f>
        <v>0.37962723272068338</v>
      </c>
      <c r="BF107" s="144">
        <f>BF105-AZ79</f>
        <v>0.36459554513481829</v>
      </c>
      <c r="BG107" s="144">
        <f>BG105-BA79</f>
        <v>0.36440677966101698</v>
      </c>
      <c r="BH107" s="144">
        <f>BH105-BB79</f>
        <v>0.36743486973947892</v>
      </c>
      <c r="BI107" s="144">
        <f>BI105-BC79</f>
        <v>0.36840000000000001</v>
      </c>
      <c r="BJ107" s="410"/>
      <c r="BK107" s="144">
        <f>BK105-BE105</f>
        <v>3.8554585461134772E-2</v>
      </c>
      <c r="BL107" s="144">
        <f>BL105-BF105</f>
        <v>2.1342897834403185E-2</v>
      </c>
      <c r="BM107" s="144">
        <f>BM105-BG105</f>
        <v>1.1162414557949585E-2</v>
      </c>
      <c r="BN107" s="144">
        <f>BN105-BH105</f>
        <v>-9.0480686395705834E-3</v>
      </c>
      <c r="BO107" s="144">
        <f>BO105-BI105</f>
        <v>1.4673998098764185E-2</v>
      </c>
      <c r="BP107" s="410"/>
      <c r="BQ107" s="144">
        <f>BQ105-BK105</f>
        <v>5.7781742437791328E-3</v>
      </c>
      <c r="BR107" s="144">
        <f>BR105-BL105</f>
        <v>1.5194771629142345E-2</v>
      </c>
      <c r="BS107" s="144">
        <f>BS105-BM105</f>
        <v>9.5082145206015767E-4</v>
      </c>
      <c r="BT107" s="144">
        <f>BT105-BN105</f>
        <v>4.4145789173590799E-3</v>
      </c>
      <c r="BU107" s="144">
        <f>BU105-BO105</f>
        <v>6.4244921861900672E-3</v>
      </c>
      <c r="BV107" s="410"/>
      <c r="BW107" s="144">
        <f>BW105-BQ105</f>
        <v>-3.0000000000000027E-3</v>
      </c>
      <c r="BX107" s="144">
        <f>BX105-BR105</f>
        <v>-3.0000000000000027E-3</v>
      </c>
      <c r="BY107" s="144">
        <f>BY105-BS105</f>
        <v>-3.0000000000000027E-3</v>
      </c>
      <c r="BZ107" s="144">
        <f>BZ105-BT105</f>
        <v>-3.0000000000000027E-3</v>
      </c>
      <c r="CA107" s="144">
        <f>CA105-BU105</f>
        <v>-1.4316372178812264E-2</v>
      </c>
      <c r="CB107" s="410"/>
      <c r="CC107" s="144">
        <f>CC105-BW105</f>
        <v>-3.0000000000000027E-3</v>
      </c>
      <c r="CD107" s="144">
        <f>CD105-BX105</f>
        <v>-3.0000000000000027E-3</v>
      </c>
      <c r="CE107" s="144">
        <f>CE105-BY105</f>
        <v>-3.0000000000000027E-3</v>
      </c>
      <c r="CF107" s="144">
        <f>CF105-BZ105</f>
        <v>-3.0000000000000027E-3</v>
      </c>
      <c r="CG107" s="144">
        <f>CG105-CA105</f>
        <v>-5.9658975679002246E-3</v>
      </c>
    </row>
    <row r="108" spans="1:92" ht="12.75" customHeight="1" outlineLevel="1" x14ac:dyDescent="0.2">
      <c r="B108" s="120" t="s">
        <v>19</v>
      </c>
      <c r="BB108" s="754"/>
      <c r="BD108" s="811"/>
      <c r="BE108" s="143">
        <f>+BE107+AY81</f>
        <v>0.37962723272068338</v>
      </c>
      <c r="BF108" s="143">
        <f>+BF107+AZ81</f>
        <v>0.36459554513481829</v>
      </c>
      <c r="BG108" s="143">
        <f>+BG107+BA81</f>
        <v>0.36440677966101698</v>
      </c>
      <c r="BH108" s="143">
        <f>+BH107+BB81</f>
        <v>0.36743486973947892</v>
      </c>
      <c r="BI108" s="143">
        <f>+BI107+BC81</f>
        <v>0.36840000000000001</v>
      </c>
      <c r="BJ108" s="138"/>
      <c r="BK108" s="143">
        <f>+BK107+BE107</f>
        <v>0.41818181818181815</v>
      </c>
      <c r="BL108" s="143">
        <f>+BL107+BF107</f>
        <v>0.38593844296922147</v>
      </c>
      <c r="BM108" s="143">
        <f>+BM107+BG107</f>
        <v>0.37556919421896656</v>
      </c>
      <c r="BN108" s="143">
        <f>+BN107+BH107</f>
        <v>0.35838680109990834</v>
      </c>
      <c r="BO108" s="143">
        <f>+BO107+BI107</f>
        <v>0.38307399809876419</v>
      </c>
      <c r="BP108" s="138"/>
      <c r="BQ108" s="143">
        <f>+BQ107+BK107</f>
        <v>4.4332759704913904E-2</v>
      </c>
      <c r="BR108" s="143">
        <f>+BR107+BL107</f>
        <v>3.653766946354553E-2</v>
      </c>
      <c r="BS108" s="143">
        <f>+BS107+BM107</f>
        <v>1.2113236010009742E-2</v>
      </c>
      <c r="BT108" s="143">
        <f>+BT107+BN107</f>
        <v>-4.6334897222115035E-3</v>
      </c>
      <c r="BU108" s="143">
        <f>+BU107+BO107</f>
        <v>2.1098490284954252E-2</v>
      </c>
      <c r="BV108" s="138"/>
      <c r="BW108" s="143">
        <f>+BW107+BQ107</f>
        <v>2.7781742437791301E-3</v>
      </c>
      <c r="BX108" s="143">
        <f>+BX107+BR107</f>
        <v>1.2194771629142342E-2</v>
      </c>
      <c r="BY108" s="143">
        <f>+BY107+BS107</f>
        <v>-2.049178547939845E-3</v>
      </c>
      <c r="BZ108" s="143">
        <f>+BZ107+BT107</f>
        <v>1.4145789173590773E-3</v>
      </c>
      <c r="CA108" s="143">
        <f>+CA107+BU107</f>
        <v>-7.8918799926221972E-3</v>
      </c>
      <c r="CB108" s="138"/>
      <c r="CC108" s="143">
        <f>+CC107+BW107</f>
        <v>-6.0000000000000053E-3</v>
      </c>
      <c r="CD108" s="143">
        <f>+CD107+BX107</f>
        <v>-6.0000000000000053E-3</v>
      </c>
      <c r="CE108" s="143">
        <f>+CE107+BY107</f>
        <v>-6.0000000000000053E-3</v>
      </c>
      <c r="CF108" s="143">
        <f>+CF107+BZ107</f>
        <v>-6.0000000000000053E-3</v>
      </c>
      <c r="CG108" s="143">
        <f>+CG107+CA107</f>
        <v>-2.0282269746712489E-2</v>
      </c>
    </row>
    <row r="109" spans="1:92" ht="12.75" customHeight="1" outlineLevel="1" x14ac:dyDescent="0.2">
      <c r="B109" s="411" t="s">
        <v>20</v>
      </c>
      <c r="BB109" s="754"/>
      <c r="BD109" s="811"/>
      <c r="BE109" s="443">
        <f>+'Pro Forma P&amp;L'!BE154</f>
        <v>0</v>
      </c>
      <c r="BF109" s="443">
        <f>+'Pro Forma P&amp;L'!BF154</f>
        <v>0</v>
      </c>
      <c r="BG109" s="443">
        <f>+'Pro Forma P&amp;L'!BG154</f>
        <v>0</v>
      </c>
      <c r="BH109" s="443">
        <f>+'Pro Forma P&amp;L'!BH154</f>
        <v>0</v>
      </c>
      <c r="BI109" s="143">
        <f>BI49</f>
        <v>0.24551999999999999</v>
      </c>
      <c r="BJ109" s="138"/>
      <c r="BK109" s="443">
        <v>0</v>
      </c>
      <c r="BL109" s="443">
        <v>0</v>
      </c>
      <c r="BM109" s="443">
        <v>0</v>
      </c>
      <c r="BN109" s="443">
        <v>0</v>
      </c>
      <c r="BO109" s="143">
        <f>BO49</f>
        <v>0.22987441837194178</v>
      </c>
      <c r="BP109" s="138"/>
      <c r="BQ109" s="443">
        <v>0</v>
      </c>
      <c r="BR109" s="443">
        <v>0</v>
      </c>
      <c r="BS109" s="443">
        <v>0</v>
      </c>
      <c r="BT109" s="443">
        <v>0</v>
      </c>
      <c r="BU109" s="143">
        <f>BU49</f>
        <v>0.21803353112362744</v>
      </c>
      <c r="BV109" s="138"/>
      <c r="BW109" s="443">
        <v>0</v>
      </c>
      <c r="BX109" s="443">
        <v>0</v>
      </c>
      <c r="BY109" s="443">
        <v>0</v>
      </c>
      <c r="BZ109" s="443">
        <v>0</v>
      </c>
      <c r="CA109" s="143">
        <f>CA49</f>
        <v>0.2359056196608133</v>
      </c>
      <c r="CB109" s="138"/>
      <c r="CC109" s="443">
        <v>0</v>
      </c>
      <c r="CD109" s="443">
        <v>0</v>
      </c>
      <c r="CE109" s="443">
        <v>0</v>
      </c>
      <c r="CF109" s="443">
        <v>0</v>
      </c>
      <c r="CG109" s="143">
        <f>CG49</f>
        <v>0.24564304420236074</v>
      </c>
    </row>
    <row r="110" spans="1:92" ht="12.75" customHeight="1" outlineLevel="1" x14ac:dyDescent="0.2">
      <c r="B110" s="411"/>
      <c r="BB110" s="754"/>
      <c r="BD110" s="811"/>
      <c r="BE110" s="443"/>
      <c r="BF110" s="443"/>
      <c r="BG110" s="443"/>
      <c r="BH110" s="443"/>
      <c r="BI110" s="143"/>
      <c r="BJ110" s="138"/>
      <c r="BK110" s="443"/>
      <c r="BL110" s="443"/>
      <c r="BM110" s="443"/>
      <c r="BN110" s="443"/>
      <c r="BO110" s="143"/>
      <c r="BP110" s="138"/>
      <c r="BQ110" s="443"/>
      <c r="BR110" s="443"/>
      <c r="BS110" s="443"/>
      <c r="BT110" s="443"/>
      <c r="BU110" s="143"/>
      <c r="BV110" s="138"/>
      <c r="BW110" s="443"/>
      <c r="BX110" s="443"/>
      <c r="BY110" s="443"/>
      <c r="BZ110" s="443"/>
      <c r="CA110" s="143"/>
      <c r="CB110" s="138"/>
      <c r="CC110" s="443"/>
      <c r="CD110" s="443"/>
      <c r="CE110" s="443"/>
      <c r="CF110" s="443"/>
      <c r="CG110" s="143"/>
    </row>
    <row r="111" spans="1:92" ht="12.75" customHeight="1" outlineLevel="1" x14ac:dyDescent="0.2">
      <c r="B111" s="411" t="s">
        <v>353</v>
      </c>
      <c r="BB111" s="754"/>
      <c r="BD111" s="811"/>
      <c r="BE111" s="443"/>
      <c r="BF111" s="443"/>
      <c r="BG111" s="443"/>
      <c r="BH111" s="443"/>
      <c r="BI111" s="143"/>
      <c r="BJ111" s="138"/>
      <c r="BK111" s="443"/>
      <c r="BL111" s="443"/>
      <c r="BM111" s="443"/>
      <c r="BN111" s="443"/>
      <c r="BO111" s="143"/>
      <c r="BP111" s="138"/>
      <c r="BQ111" s="443"/>
      <c r="BR111" s="443"/>
      <c r="BS111" s="443"/>
      <c r="BT111" s="443"/>
      <c r="BU111" s="143"/>
      <c r="BV111" s="138"/>
      <c r="BW111" s="443"/>
      <c r="BX111" s="443"/>
      <c r="BY111" s="443"/>
      <c r="BZ111" s="443"/>
      <c r="CA111" s="143"/>
      <c r="CB111" s="138"/>
      <c r="CC111" s="443"/>
      <c r="CD111" s="443"/>
      <c r="CE111" s="443"/>
      <c r="CF111" s="443"/>
      <c r="CG111" s="143"/>
    </row>
    <row r="112" spans="1:92" ht="12.75" customHeight="1" outlineLevel="1" x14ac:dyDescent="0.2">
      <c r="B112" s="120" t="s">
        <v>181</v>
      </c>
      <c r="BB112" s="754"/>
      <c r="BD112" s="811"/>
      <c r="BE112" s="472">
        <f>BE11-AY11</f>
        <v>84.846000000000004</v>
      </c>
      <c r="BF112" s="472">
        <f>BF11-AZ11</f>
        <v>199.43200000000002</v>
      </c>
      <c r="BG112" s="472">
        <f>BG11-BA11</f>
        <v>165.70000000000005</v>
      </c>
      <c r="BH112" s="472">
        <f>BH11-BB11</f>
        <v>193</v>
      </c>
      <c r="BI112" s="501">
        <f>BI11-BC11</f>
        <v>642.97799999999984</v>
      </c>
      <c r="BJ112" s="138"/>
      <c r="BK112" s="472">
        <f>BK11-BE11</f>
        <v>62.300000000000011</v>
      </c>
      <c r="BL112" s="472">
        <f>BL11-BF11</f>
        <v>-26.800000000000068</v>
      </c>
      <c r="BM112" s="472">
        <f>BM11-BG11</f>
        <v>47.000000000000114</v>
      </c>
      <c r="BN112" s="472">
        <f>BN11-BH11</f>
        <v>54.799999999999955</v>
      </c>
      <c r="BO112" s="501">
        <f>BO11-BI11</f>
        <v>137.30000000000018</v>
      </c>
      <c r="BP112" s="138"/>
      <c r="BQ112" s="472">
        <f>BQ11-BK11</f>
        <v>16.724899999999934</v>
      </c>
      <c r="BR112" s="472">
        <f>BR11-BL11</f>
        <v>36.037120000000073</v>
      </c>
      <c r="BS112" s="472">
        <f>BS11-BM11</f>
        <v>36.606159999999932</v>
      </c>
      <c r="BT112" s="472">
        <f>BT11-BN11</f>
        <v>46.572720000000004</v>
      </c>
      <c r="BU112" s="501">
        <f>BU11-BO11</f>
        <v>135.94090000000006</v>
      </c>
      <c r="BV112" s="138"/>
      <c r="BW112" s="472">
        <f>BW11-BQ11</f>
        <v>21.25386858000013</v>
      </c>
      <c r="BX112" s="472">
        <f>BX11-BR11</f>
        <v>31.672556340000028</v>
      </c>
      <c r="BY112" s="472">
        <f>BY11-BS11</f>
        <v>29.532267120000029</v>
      </c>
      <c r="BZ112" s="472">
        <f>BZ11-BT11</f>
        <v>26.510972200000083</v>
      </c>
      <c r="CA112" s="501">
        <f>CA11-BU11</f>
        <v>108.96966424000038</v>
      </c>
      <c r="CB112" s="138"/>
      <c r="CC112" s="472">
        <f>CC11-BW11</f>
        <v>22.381320232799908</v>
      </c>
      <c r="CD112" s="472">
        <f>CD11-BX11</f>
        <v>19.238130806599997</v>
      </c>
      <c r="CE112" s="472">
        <f>CE11-BY11</f>
        <v>21.453941355199959</v>
      </c>
      <c r="CF112" s="472">
        <f>CF11-BZ11</f>
        <v>27.966385549199913</v>
      </c>
      <c r="CG112" s="501">
        <f>CG11-CA11</f>
        <v>91.039777943799436</v>
      </c>
    </row>
    <row r="113" spans="1:98 16384:16384" ht="12.75" customHeight="1" outlineLevel="1" x14ac:dyDescent="0.2">
      <c r="B113" s="120" t="s">
        <v>179</v>
      </c>
      <c r="BB113" s="754"/>
      <c r="BD113" s="811"/>
      <c r="BE113" s="472">
        <f>BE13-AY13</f>
        <v>33.216000000000008</v>
      </c>
      <c r="BF113" s="472">
        <f>BF13-AZ13</f>
        <v>109.65100000000001</v>
      </c>
      <c r="BG113" s="472">
        <f>BG13-BA13</f>
        <v>101.80000000000001</v>
      </c>
      <c r="BH113" s="472">
        <f>BH13-BB13</f>
        <v>115.29999999999998</v>
      </c>
      <c r="BI113" s="501">
        <f>BI13-BC13</f>
        <v>359.96699999999998</v>
      </c>
      <c r="BJ113" s="138"/>
      <c r="BK113" s="472">
        <f>BK13-BE13</f>
        <v>83.899999999999977</v>
      </c>
      <c r="BL113" s="472">
        <f>BL13-BF13</f>
        <v>10.5</v>
      </c>
      <c r="BM113" s="472">
        <f>BM13-BG13</f>
        <v>31.100000000000023</v>
      </c>
      <c r="BN113" s="472">
        <f>BN13-BH13</f>
        <v>24.300000000000011</v>
      </c>
      <c r="BO113" s="501">
        <f>BO13-BI13</f>
        <v>149.79999999999995</v>
      </c>
      <c r="BP113" s="138"/>
      <c r="BQ113" s="472">
        <f>BQ13-BK13</f>
        <v>25.803650000000061</v>
      </c>
      <c r="BR113" s="472">
        <f>BR13-BL13</f>
        <v>41.526880000000006</v>
      </c>
      <c r="BS113" s="472">
        <f>BS13-BM13</f>
        <v>28.089540000000056</v>
      </c>
      <c r="BT113" s="472">
        <f>BT13-BN13</f>
        <v>30.89591999999999</v>
      </c>
      <c r="BU113" s="501">
        <f>BU13-BO13</f>
        <v>126.31599000000006</v>
      </c>
      <c r="BV113" s="138"/>
      <c r="BW113" s="472">
        <f>BW13-BQ13</f>
        <v>-35.102611400000001</v>
      </c>
      <c r="BX113" s="472">
        <f>BX13-BR13</f>
        <v>-7.7810001599999055</v>
      </c>
      <c r="BY113" s="472">
        <f>BY13-BS13</f>
        <v>15.209947839999927</v>
      </c>
      <c r="BZ113" s="472">
        <f>BZ13-BT13</f>
        <v>28.862933600000076</v>
      </c>
      <c r="CA113" s="501">
        <f>CA13-BU13</f>
        <v>1.1892698800002108</v>
      </c>
      <c r="CB113" s="138"/>
      <c r="CC113" s="472">
        <f>CC13-BW13</f>
        <v>6.2916457597499971</v>
      </c>
      <c r="CD113" s="472">
        <f>CD13-BX13</f>
        <v>3.2379696445499349</v>
      </c>
      <c r="CE113" s="472">
        <f>CE13-BY13</f>
        <v>4.625376801199991</v>
      </c>
      <c r="CF113" s="472">
        <f>CF13-BZ13</f>
        <v>8.6839044482999839</v>
      </c>
      <c r="CG113" s="501">
        <f>CG13-CA13</f>
        <v>22.838896653799793</v>
      </c>
    </row>
    <row r="114" spans="1:98 16384:16384" ht="12.75" customHeight="1" outlineLevel="1" x14ac:dyDescent="0.2">
      <c r="B114" s="120" t="s">
        <v>241</v>
      </c>
      <c r="BB114" s="754"/>
      <c r="BD114" s="811"/>
      <c r="BE114" s="472">
        <f>BE18-AY18</f>
        <v>51.629999999999995</v>
      </c>
      <c r="BF114" s="472">
        <f>BF18-AZ18</f>
        <v>89.781000000000006</v>
      </c>
      <c r="BG114" s="472">
        <f>BG18-BA18</f>
        <v>63.400000000000006</v>
      </c>
      <c r="BH114" s="472">
        <f>BH18-BB18</f>
        <v>77.699999999999989</v>
      </c>
      <c r="BI114" s="501">
        <f>BI18-BC18</f>
        <v>283.01099999999985</v>
      </c>
      <c r="BJ114" s="138"/>
      <c r="BK114" s="472">
        <f>BK18-BE18</f>
        <v>-21.599999999999994</v>
      </c>
      <c r="BL114" s="472">
        <f>BL18-BF18</f>
        <v>-37.300000000000011</v>
      </c>
      <c r="BM114" s="472">
        <f>BM18-BG18</f>
        <v>15.900000000000006</v>
      </c>
      <c r="BN114" s="472">
        <f>BN18-BH18</f>
        <v>30.5</v>
      </c>
      <c r="BO114" s="501">
        <f>BO18-BI18</f>
        <v>-12.499999999999773</v>
      </c>
      <c r="BP114" s="138"/>
      <c r="BQ114" s="472">
        <f>BQ18-BK18</f>
        <v>-9.0787500000000989</v>
      </c>
      <c r="BR114" s="472">
        <f>BR18-BL18</f>
        <v>-5.4897599999999613</v>
      </c>
      <c r="BS114" s="472">
        <f>BS18-BM18</f>
        <v>8.5166199999999606</v>
      </c>
      <c r="BT114" s="472">
        <f>BT18-BN18</f>
        <v>15.676799999999986</v>
      </c>
      <c r="BU114" s="501">
        <f>BU18-BO18</f>
        <v>9.6249099999999999</v>
      </c>
      <c r="BV114" s="138"/>
      <c r="BW114" s="472">
        <f>BW18-BQ18</f>
        <v>56.356479980000131</v>
      </c>
      <c r="BX114" s="472">
        <f>BX18-BR18</f>
        <v>39.453556499999934</v>
      </c>
      <c r="BY114" s="472">
        <f>BY18-BS18</f>
        <v>14.322319280000102</v>
      </c>
      <c r="BZ114" s="472">
        <f>BZ18-BT18</f>
        <v>-2.3519613999999933</v>
      </c>
      <c r="CA114" s="501">
        <f>CA18-BU18</f>
        <v>107.78039436000017</v>
      </c>
      <c r="CB114" s="138"/>
      <c r="CC114" s="472">
        <f>CC18-BW18</f>
        <v>16.089674473049911</v>
      </c>
      <c r="CD114" s="472">
        <f>CD18-BX18</f>
        <v>16.000161162050063</v>
      </c>
      <c r="CE114" s="472">
        <f>CE18-BY18</f>
        <v>16.828564553999968</v>
      </c>
      <c r="CF114" s="472">
        <f>CF18-BZ18</f>
        <v>19.282481100899929</v>
      </c>
      <c r="CG114" s="501">
        <f>CG18-CA18</f>
        <v>68.200881289999643</v>
      </c>
    </row>
    <row r="115" spans="1:98 16384:16384" ht="12.75" customHeight="1" outlineLevel="1" x14ac:dyDescent="0.2">
      <c r="B115" s="699" t="s">
        <v>181</v>
      </c>
      <c r="BB115" s="754"/>
      <c r="BD115" s="811"/>
      <c r="BE115" s="718">
        <f t="shared" ref="BE115:BI117" si="112">AY86+BE112</f>
        <v>84.862171580784235</v>
      </c>
      <c r="BF115" s="718">
        <f t="shared" si="112"/>
        <v>199.44554063938921</v>
      </c>
      <c r="BG115" s="718">
        <f t="shared" si="112"/>
        <v>165.73048417938404</v>
      </c>
      <c r="BH115" s="718">
        <f t="shared" si="112"/>
        <v>193.01938892007354</v>
      </c>
      <c r="BI115" s="719">
        <f t="shared" si="112"/>
        <v>643.00127494430751</v>
      </c>
      <c r="BJ115" s="138"/>
      <c r="BK115" s="718">
        <f t="shared" ref="BK115:BO117" si="113">BE112+BK112</f>
        <v>147.14600000000002</v>
      </c>
      <c r="BL115" s="718">
        <f t="shared" si="113"/>
        <v>172.63199999999995</v>
      </c>
      <c r="BM115" s="718">
        <f t="shared" si="113"/>
        <v>212.70000000000016</v>
      </c>
      <c r="BN115" s="718">
        <f t="shared" si="113"/>
        <v>247.79999999999995</v>
      </c>
      <c r="BO115" s="719">
        <f t="shared" si="113"/>
        <v>780.27800000000002</v>
      </c>
      <c r="BP115" s="138"/>
      <c r="BQ115" s="718">
        <f t="shared" ref="BQ115:BU117" si="114">BK112+BQ112</f>
        <v>79.024899999999946</v>
      </c>
      <c r="BR115" s="718">
        <f t="shared" si="114"/>
        <v>9.2371200000000044</v>
      </c>
      <c r="BS115" s="718">
        <f t="shared" si="114"/>
        <v>83.606160000000045</v>
      </c>
      <c r="BT115" s="718">
        <f t="shared" si="114"/>
        <v>101.37271999999996</v>
      </c>
      <c r="BU115" s="719">
        <f t="shared" si="114"/>
        <v>273.24090000000024</v>
      </c>
      <c r="BV115" s="138"/>
      <c r="BW115" s="718">
        <f t="shared" ref="BW115:CA117" si="115">BQ112+BW112</f>
        <v>37.978768580000065</v>
      </c>
      <c r="BX115" s="718">
        <f t="shared" si="115"/>
        <v>67.709676340000101</v>
      </c>
      <c r="BY115" s="718">
        <f t="shared" si="115"/>
        <v>66.13842711999996</v>
      </c>
      <c r="BZ115" s="718">
        <f t="shared" si="115"/>
        <v>73.083692200000087</v>
      </c>
      <c r="CA115" s="719">
        <f t="shared" si="115"/>
        <v>244.91056424000044</v>
      </c>
      <c r="CB115" s="138"/>
      <c r="CC115" s="718">
        <f t="shared" ref="CC115:CG117" si="116">BW112+CC112</f>
        <v>43.635188812800038</v>
      </c>
      <c r="CD115" s="718">
        <f t="shared" si="116"/>
        <v>50.910687146600026</v>
      </c>
      <c r="CE115" s="718">
        <f t="shared" si="116"/>
        <v>50.986208475199987</v>
      </c>
      <c r="CF115" s="718">
        <f t="shared" si="116"/>
        <v>54.477357749199996</v>
      </c>
      <c r="CG115" s="719">
        <f t="shared" si="116"/>
        <v>200.00944218379982</v>
      </c>
    </row>
    <row r="116" spans="1:98 16384:16384" ht="12.75" customHeight="1" outlineLevel="1" x14ac:dyDescent="0.2">
      <c r="B116" s="699" t="s">
        <v>179</v>
      </c>
      <c r="BB116" s="754"/>
      <c r="BD116" s="811"/>
      <c r="BE116" s="718">
        <f t="shared" si="112"/>
        <v>33.612276206728431</v>
      </c>
      <c r="BF116" s="718">
        <f t="shared" si="112"/>
        <v>110.02857411827407</v>
      </c>
      <c r="BG116" s="718">
        <f t="shared" si="112"/>
        <v>102.17987363230083</v>
      </c>
      <c r="BH116" s="718">
        <f t="shared" si="112"/>
        <v>115.67460885113991</v>
      </c>
      <c r="BI116" s="719">
        <f t="shared" si="112"/>
        <v>360.34897773943788</v>
      </c>
      <c r="BJ116" s="138"/>
      <c r="BK116" s="718">
        <f t="shared" si="113"/>
        <v>117.11599999999999</v>
      </c>
      <c r="BL116" s="718">
        <f t="shared" si="113"/>
        <v>120.15100000000001</v>
      </c>
      <c r="BM116" s="718">
        <f t="shared" si="113"/>
        <v>132.90000000000003</v>
      </c>
      <c r="BN116" s="718">
        <f t="shared" si="113"/>
        <v>139.6</v>
      </c>
      <c r="BO116" s="719">
        <f t="shared" si="113"/>
        <v>509.76699999999994</v>
      </c>
      <c r="BP116" s="138"/>
      <c r="BQ116" s="718">
        <f t="shared" si="114"/>
        <v>109.70365000000004</v>
      </c>
      <c r="BR116" s="718">
        <f t="shared" si="114"/>
        <v>52.026880000000006</v>
      </c>
      <c r="BS116" s="718">
        <f t="shared" si="114"/>
        <v>59.189540000000079</v>
      </c>
      <c r="BT116" s="718">
        <f t="shared" si="114"/>
        <v>55.195920000000001</v>
      </c>
      <c r="BU116" s="719">
        <f t="shared" si="114"/>
        <v>276.11599000000001</v>
      </c>
      <c r="BV116" s="138"/>
      <c r="BW116" s="718">
        <f t="shared" si="115"/>
        <v>-9.2989613999999392</v>
      </c>
      <c r="BX116" s="718">
        <f t="shared" si="115"/>
        <v>33.7458798400001</v>
      </c>
      <c r="BY116" s="718">
        <f t="shared" si="115"/>
        <v>43.299487839999983</v>
      </c>
      <c r="BZ116" s="718">
        <f t="shared" si="115"/>
        <v>59.758853600000066</v>
      </c>
      <c r="CA116" s="719">
        <f t="shared" si="115"/>
        <v>127.50525988000027</v>
      </c>
      <c r="CB116" s="138"/>
      <c r="CC116" s="718">
        <f t="shared" si="116"/>
        <v>-28.810965640250004</v>
      </c>
      <c r="CD116" s="718">
        <f t="shared" si="116"/>
        <v>-4.5430305154499706</v>
      </c>
      <c r="CE116" s="718">
        <f t="shared" si="116"/>
        <v>19.835324641199918</v>
      </c>
      <c r="CF116" s="718">
        <f t="shared" si="116"/>
        <v>37.54683804830006</v>
      </c>
      <c r="CG116" s="719">
        <f t="shared" si="116"/>
        <v>24.028166533800004</v>
      </c>
    </row>
    <row r="117" spans="1:98 16384:16384" ht="12.75" customHeight="1" outlineLevel="1" x14ac:dyDescent="0.2">
      <c r="B117" s="699" t="s">
        <v>241</v>
      </c>
      <c r="BB117" s="754"/>
      <c r="BD117" s="811"/>
      <c r="BE117" s="718">
        <f t="shared" si="112"/>
        <v>52.041820497920185</v>
      </c>
      <c r="BF117" s="718">
        <f t="shared" si="112"/>
        <v>90.171617728228043</v>
      </c>
      <c r="BG117" s="718">
        <f t="shared" si="112"/>
        <v>63.791705069124433</v>
      </c>
      <c r="BH117" s="718">
        <f t="shared" si="112"/>
        <v>78.089224338132823</v>
      </c>
      <c r="BI117" s="719">
        <f t="shared" si="112"/>
        <v>283.40672138860197</v>
      </c>
      <c r="BJ117" s="138"/>
      <c r="BK117" s="718">
        <f t="shared" si="113"/>
        <v>30.03</v>
      </c>
      <c r="BL117" s="718">
        <f t="shared" si="113"/>
        <v>52.480999999999995</v>
      </c>
      <c r="BM117" s="718">
        <f t="shared" si="113"/>
        <v>79.300000000000011</v>
      </c>
      <c r="BN117" s="718">
        <f t="shared" si="113"/>
        <v>108.19999999999999</v>
      </c>
      <c r="BO117" s="719">
        <f t="shared" si="113"/>
        <v>270.51100000000008</v>
      </c>
      <c r="BP117" s="138"/>
      <c r="BQ117" s="718">
        <f t="shared" si="114"/>
        <v>-30.678750000000093</v>
      </c>
      <c r="BR117" s="718">
        <f t="shared" si="114"/>
        <v>-42.789759999999973</v>
      </c>
      <c r="BS117" s="718">
        <f t="shared" si="114"/>
        <v>24.416619999999966</v>
      </c>
      <c r="BT117" s="718">
        <f t="shared" si="114"/>
        <v>46.176799999999986</v>
      </c>
      <c r="BU117" s="719">
        <f t="shared" si="114"/>
        <v>-2.8750899999997728</v>
      </c>
      <c r="BV117" s="138"/>
      <c r="BW117" s="718">
        <f t="shared" si="115"/>
        <v>47.277729980000032</v>
      </c>
      <c r="BX117" s="718">
        <f t="shared" si="115"/>
        <v>33.963796499999972</v>
      </c>
      <c r="BY117" s="718">
        <f t="shared" si="115"/>
        <v>22.838939280000062</v>
      </c>
      <c r="BZ117" s="718">
        <f t="shared" si="115"/>
        <v>13.324838599999993</v>
      </c>
      <c r="CA117" s="719">
        <f t="shared" si="115"/>
        <v>117.40530436000017</v>
      </c>
      <c r="CB117" s="138"/>
      <c r="CC117" s="718">
        <f t="shared" si="116"/>
        <v>72.446154453050042</v>
      </c>
      <c r="CD117" s="718">
        <f t="shared" si="116"/>
        <v>55.453717662049996</v>
      </c>
      <c r="CE117" s="718">
        <f t="shared" si="116"/>
        <v>31.150883834000069</v>
      </c>
      <c r="CF117" s="718">
        <f t="shared" si="116"/>
        <v>16.930519700899936</v>
      </c>
      <c r="CG117" s="719">
        <f t="shared" si="116"/>
        <v>175.98127564999982</v>
      </c>
    </row>
    <row r="118" spans="1:98 16384:16384" ht="12.75" customHeight="1" outlineLevel="1" x14ac:dyDescent="0.2">
      <c r="B118" s="476" t="s">
        <v>192</v>
      </c>
      <c r="BB118" s="754"/>
      <c r="BD118" s="811"/>
      <c r="BE118" s="507">
        <f>(BE9-AY9)-(BE10-AY10)</f>
        <v>91.519000000000005</v>
      </c>
      <c r="BF118" s="507">
        <f>(BF9-AZ9)-(BF10-AZ10)</f>
        <v>205.43999999999994</v>
      </c>
      <c r="BG118" s="507">
        <f>(BG9-BA9)-(BG10-BA10)</f>
        <v>170.30000000000007</v>
      </c>
      <c r="BH118" s="507">
        <f>(BH9-BB9)-(BH10-BB10)</f>
        <v>204.30000000000007</v>
      </c>
      <c r="BI118" s="508">
        <f>(BI9-BC9)-(BI10-BC10)</f>
        <v>671.55899999999997</v>
      </c>
      <c r="BJ118" s="138"/>
      <c r="BK118" s="507">
        <f>(BK9-BE9)-(BK10-BE10)</f>
        <v>69.300000000000011</v>
      </c>
      <c r="BL118" s="507">
        <f>(BL9-BF9)-(BL10-BF10)</f>
        <v>-19.200000000000045</v>
      </c>
      <c r="BM118" s="507">
        <f>(BM9-BG9)-(BM10-BG10)</f>
        <v>52.600000000000023</v>
      </c>
      <c r="BN118" s="507">
        <f>(BN9-BH9)-(BN10-BH10)</f>
        <v>58.399999999999977</v>
      </c>
      <c r="BO118" s="508">
        <f>(BO9-BI9)-(BO10-BI10)</f>
        <v>161.09999999999991</v>
      </c>
      <c r="BP118" s="138"/>
      <c r="BQ118" s="507">
        <f>(BQ9-BK9)-(BQ10-BK10)</f>
        <v>16.724899999999934</v>
      </c>
      <c r="BR118" s="507">
        <f>(BR9-BL9)-(BR10-BL10)</f>
        <v>36.037120000000073</v>
      </c>
      <c r="BS118" s="507">
        <f>(BS9-BM9)-(BS10-BM10)</f>
        <v>36.606159999999932</v>
      </c>
      <c r="BT118" s="507">
        <f>(BT9-BN9)-(BT10-BN10)</f>
        <v>46.572720000000004</v>
      </c>
      <c r="BU118" s="508">
        <f>(BU9-BO9)-(BU10-BO10)</f>
        <v>135.94090000000051</v>
      </c>
      <c r="BV118" s="138"/>
      <c r="BW118" s="507">
        <f>(BW9-BQ9)-(BW10-BQ10)</f>
        <v>21.25386858000013</v>
      </c>
      <c r="BX118" s="507">
        <f>(BX9-BR9)-(BX10-BR10)</f>
        <v>31.672556340000028</v>
      </c>
      <c r="BY118" s="507">
        <f>(BY9-BS9)-(BY10-BS10)</f>
        <v>29.532267120000029</v>
      </c>
      <c r="BZ118" s="507">
        <f>(BZ9-BT9)-(BZ10-BT10)</f>
        <v>26.510972200000083</v>
      </c>
      <c r="CA118" s="508">
        <f>(CA9-BU9)-(CA10-BU10)</f>
        <v>108.96966423999993</v>
      </c>
      <c r="CB118" s="138"/>
      <c r="CC118" s="507">
        <f>(CC9-BW9)-(CC10-BW10)</f>
        <v>22.381320232799908</v>
      </c>
      <c r="CD118" s="507">
        <f>(CD9-BX9)-(CD10-BX10)</f>
        <v>19.238130806599997</v>
      </c>
      <c r="CE118" s="507">
        <f>(CE9-BY9)-(CE10-BY10)</f>
        <v>21.453941355199959</v>
      </c>
      <c r="CF118" s="507">
        <f>(CF9-BZ9)-(CF10-BZ10)</f>
        <v>27.966385549199913</v>
      </c>
      <c r="CG118" s="508">
        <f>(CG9-CA9)-(CG10-CA10)</f>
        <v>91.039777943800345</v>
      </c>
    </row>
    <row r="119" spans="1:98 16384:16384" ht="12.75" customHeight="1" outlineLevel="1" x14ac:dyDescent="0.2">
      <c r="B119" s="509" t="s">
        <v>231</v>
      </c>
      <c r="BB119" s="754"/>
      <c r="BD119" s="811"/>
      <c r="BE119" s="507">
        <f>AY92+BE118</f>
        <v>91.519000000000005</v>
      </c>
      <c r="BF119" s="507">
        <f>AZ92+BF118</f>
        <v>205.43999999999994</v>
      </c>
      <c r="BG119" s="507">
        <f>BA92+BG118</f>
        <v>170.30000000000007</v>
      </c>
      <c r="BH119" s="507">
        <f>BB92+BH118</f>
        <v>204.30000000000007</v>
      </c>
      <c r="BI119" s="508">
        <f>BC92+BI118</f>
        <v>671.55899999999997</v>
      </c>
      <c r="BJ119" s="138"/>
      <c r="BK119" s="507">
        <f>BE118+BK118</f>
        <v>160.81900000000002</v>
      </c>
      <c r="BL119" s="507">
        <f>BF118+BL118</f>
        <v>186.2399999999999</v>
      </c>
      <c r="BM119" s="507">
        <f>BG118+BM118</f>
        <v>222.90000000000009</v>
      </c>
      <c r="BN119" s="507">
        <f>BH118+BN118</f>
        <v>262.70000000000005</v>
      </c>
      <c r="BO119" s="508">
        <f>BI118+BO118</f>
        <v>832.65899999999988</v>
      </c>
      <c r="BP119" s="138"/>
      <c r="BQ119" s="507">
        <f>BK118+BQ118</f>
        <v>86.024899999999946</v>
      </c>
      <c r="BR119" s="507">
        <f>BL118+BR118</f>
        <v>16.837120000000027</v>
      </c>
      <c r="BS119" s="507">
        <f>BM118+BS118</f>
        <v>89.206159999999954</v>
      </c>
      <c r="BT119" s="507">
        <f>BN118+BT118</f>
        <v>104.97271999999998</v>
      </c>
      <c r="BU119" s="508">
        <f>BO118+BU118</f>
        <v>297.04090000000042</v>
      </c>
      <c r="BV119" s="138"/>
      <c r="BW119" s="507">
        <f>BQ118+BW118</f>
        <v>37.978768580000065</v>
      </c>
      <c r="BX119" s="507">
        <f>BR118+BX118</f>
        <v>67.709676340000101</v>
      </c>
      <c r="BY119" s="507">
        <f>BS118+BY118</f>
        <v>66.13842711999996</v>
      </c>
      <c r="BZ119" s="507">
        <f>BT118+BZ118</f>
        <v>73.083692200000087</v>
      </c>
      <c r="CA119" s="508">
        <f>BU118+CA118</f>
        <v>244.91056424000044</v>
      </c>
      <c r="CB119" s="138"/>
      <c r="CC119" s="507">
        <f>BW118+CC118</f>
        <v>43.635188812800038</v>
      </c>
      <c r="CD119" s="507">
        <f>BX118+CD118</f>
        <v>50.910687146600026</v>
      </c>
      <c r="CE119" s="507">
        <f>BY118+CE118</f>
        <v>50.986208475199987</v>
      </c>
      <c r="CF119" s="507">
        <f>BZ118+CF118</f>
        <v>54.477357749199996</v>
      </c>
      <c r="CG119" s="508">
        <f>CA118+CG118</f>
        <v>200.00944218380027</v>
      </c>
    </row>
    <row r="120" spans="1:98 16384:16384" x14ac:dyDescent="0.2">
      <c r="A120" s="418"/>
      <c r="B120" s="419"/>
      <c r="C120" s="46"/>
      <c r="D120" s="46"/>
      <c r="E120" s="46"/>
      <c r="F120" s="46"/>
      <c r="G120" s="46"/>
      <c r="H120" s="46"/>
      <c r="I120" s="46"/>
      <c r="J120" s="46"/>
      <c r="K120" s="46"/>
      <c r="L120" s="46"/>
      <c r="M120" s="46"/>
      <c r="N120" s="46"/>
      <c r="O120" s="46"/>
      <c r="P120" s="46"/>
      <c r="Q120" s="46"/>
      <c r="R120" s="46"/>
      <c r="S120" s="46"/>
      <c r="T120" s="46"/>
      <c r="U120" s="46"/>
      <c r="V120" s="46"/>
      <c r="W120" s="46"/>
      <c r="X120" s="46"/>
      <c r="Y120" s="46"/>
      <c r="Z120" s="46"/>
      <c r="AA120" s="46"/>
      <c r="AB120" s="46"/>
      <c r="AC120" s="46"/>
      <c r="AD120" s="46"/>
      <c r="AE120" s="46"/>
      <c r="AF120" s="46"/>
      <c r="AG120" s="46"/>
      <c r="AH120" s="46"/>
      <c r="AI120" s="46"/>
      <c r="AJ120" s="46"/>
      <c r="AK120" s="46"/>
      <c r="AL120" s="46"/>
      <c r="AM120" s="46"/>
      <c r="AN120" s="46"/>
      <c r="AO120" s="46"/>
      <c r="AP120" s="46"/>
      <c r="AQ120" s="46"/>
      <c r="AR120" s="46"/>
      <c r="AS120" s="46"/>
      <c r="AT120" s="46"/>
      <c r="AU120" s="46"/>
      <c r="AV120" s="46"/>
      <c r="AW120" s="46"/>
      <c r="AX120" s="46"/>
      <c r="AY120" s="46"/>
      <c r="AZ120" s="46"/>
      <c r="BA120" s="46"/>
      <c r="BB120" s="46"/>
      <c r="BC120" s="46"/>
      <c r="CH120" s="46"/>
      <c r="CI120" s="46"/>
      <c r="CJ120" s="46"/>
      <c r="CK120" s="46"/>
      <c r="CL120" s="46"/>
      <c r="CM120" s="419"/>
      <c r="CN120" s="419"/>
    </row>
    <row r="121" spans="1:98 16384:16384" x14ac:dyDescent="0.2">
      <c r="A121" s="24"/>
      <c r="B121" s="44" t="s">
        <v>622</v>
      </c>
      <c r="C121" s="122"/>
      <c r="D121" s="134"/>
      <c r="E121" s="134"/>
      <c r="F121" s="134"/>
      <c r="G121" s="134"/>
      <c r="H121" s="145"/>
      <c r="I121" s="134"/>
      <c r="J121" s="134"/>
      <c r="K121" s="134"/>
      <c r="L121" s="134"/>
      <c r="M121" s="134"/>
      <c r="N121" s="145"/>
      <c r="O121" s="122"/>
      <c r="P121" s="122"/>
      <c r="Q121" s="122"/>
      <c r="R121" s="122"/>
      <c r="S121" s="122"/>
      <c r="T121" s="145"/>
      <c r="U121" s="122"/>
      <c r="V121" s="122"/>
      <c r="W121" s="122"/>
      <c r="X121" s="122"/>
      <c r="Y121" s="124"/>
      <c r="Z121" s="145"/>
      <c r="AA121" s="122"/>
      <c r="AB121" s="135"/>
      <c r="AC121" s="135"/>
      <c r="AD121" s="122"/>
      <c r="AE121" s="122"/>
      <c r="AF121" s="145"/>
      <c r="AG121" s="135"/>
      <c r="AH121" s="135"/>
      <c r="AI121" s="135"/>
      <c r="AJ121" s="122"/>
      <c r="AK121" s="122"/>
      <c r="AL121" s="145"/>
      <c r="AM121" s="122"/>
      <c r="AN121" s="122"/>
      <c r="AO121" s="122"/>
      <c r="AP121" s="122"/>
      <c r="AQ121" s="122"/>
      <c r="AR121" s="145"/>
      <c r="AS121" s="122"/>
      <c r="AT121" s="122"/>
      <c r="AU121" s="122"/>
      <c r="AV121" s="122"/>
      <c r="AW121" s="122"/>
      <c r="AX121" s="145"/>
      <c r="AY121" s="122"/>
      <c r="AZ121" s="122"/>
      <c r="BA121" s="122"/>
      <c r="BB121" s="122"/>
      <c r="BC121" s="122"/>
      <c r="CH121" s="166"/>
      <c r="CI121" s="166"/>
      <c r="CJ121" s="166"/>
      <c r="CK121" s="166"/>
      <c r="CL121" s="166"/>
      <c r="CM121" s="24"/>
      <c r="CN121" s="24"/>
    </row>
    <row r="122" spans="1:98 16384:16384" ht="12.75" customHeight="1" x14ac:dyDescent="0.2">
      <c r="A122" s="300"/>
      <c r="B122" s="320" t="s">
        <v>184</v>
      </c>
      <c r="C122" s="321">
        <f>162.8-11</f>
        <v>151.80000000000001</v>
      </c>
      <c r="D122" s="178">
        <f>+C123</f>
        <v>152.20000000000002</v>
      </c>
      <c r="E122" s="178">
        <f>+D123</f>
        <v>152</v>
      </c>
      <c r="F122" s="178">
        <f>+E123</f>
        <v>151.4</v>
      </c>
      <c r="G122" s="178">
        <f>+C122</f>
        <v>151.80000000000001</v>
      </c>
      <c r="H122" s="238"/>
      <c r="I122" s="178">
        <f>+G123</f>
        <v>150.80000000000001</v>
      </c>
      <c r="J122" s="178">
        <f>+I123</f>
        <v>148.80000000000001</v>
      </c>
      <c r="K122" s="178">
        <f>+J123</f>
        <v>148.80000000000001</v>
      </c>
      <c r="L122" s="178">
        <f>+K123</f>
        <v>148.9</v>
      </c>
      <c r="M122" s="178">
        <f>+I122</f>
        <v>150.80000000000001</v>
      </c>
      <c r="N122" s="238"/>
      <c r="O122" s="178">
        <f>+M123</f>
        <v>148.60000000000002</v>
      </c>
      <c r="P122" s="178">
        <f>+O123</f>
        <v>148.5</v>
      </c>
      <c r="Q122" s="178">
        <f>+P123</f>
        <v>148.60000000000002</v>
      </c>
      <c r="R122" s="178">
        <f>+Q123</f>
        <v>148.5</v>
      </c>
      <c r="S122" s="178">
        <f>+O122</f>
        <v>148.60000000000002</v>
      </c>
      <c r="T122" s="238"/>
      <c r="U122" s="178">
        <f>+S123</f>
        <v>147</v>
      </c>
      <c r="V122" s="178">
        <f>+U123</f>
        <v>146.30000000000001</v>
      </c>
      <c r="W122" s="178">
        <f>+V123</f>
        <v>143.20000000000002</v>
      </c>
      <c r="X122" s="178">
        <f>+W123</f>
        <v>142.10000000000002</v>
      </c>
      <c r="Y122" s="178">
        <f>+U122</f>
        <v>147</v>
      </c>
      <c r="Z122" s="238"/>
      <c r="AA122" s="178">
        <f>+Y123</f>
        <v>141.80000000000001</v>
      </c>
      <c r="AB122" s="178">
        <f>+AA123</f>
        <v>140.9</v>
      </c>
      <c r="AC122" s="178">
        <f>+AB123</f>
        <v>141.30000000000001</v>
      </c>
      <c r="AD122" s="178">
        <f>+AC123</f>
        <v>141.4</v>
      </c>
      <c r="AE122" s="178">
        <f>+AA122</f>
        <v>141.80000000000001</v>
      </c>
      <c r="AF122" s="238"/>
      <c r="AG122" s="178">
        <f>+AE123</f>
        <v>141.70000000000002</v>
      </c>
      <c r="AH122" s="178">
        <f>+AG123</f>
        <v>141.69999999999999</v>
      </c>
      <c r="AI122" s="178">
        <f>+AH123</f>
        <v>141.80000000000001</v>
      </c>
      <c r="AJ122" s="178">
        <f>+AI123</f>
        <v>142</v>
      </c>
      <c r="AK122" s="178">
        <f>+AG122</f>
        <v>141.70000000000002</v>
      </c>
      <c r="AL122" s="238"/>
      <c r="AM122" s="178">
        <f>+AK123</f>
        <v>142.30000000000001</v>
      </c>
      <c r="AN122" s="178">
        <f>+AM123</f>
        <v>143.10000000000002</v>
      </c>
      <c r="AO122" s="178">
        <f>+AN123</f>
        <v>142.20000000000002</v>
      </c>
      <c r="AP122" s="178">
        <f>+AO123</f>
        <v>142.20000000000002</v>
      </c>
      <c r="AQ122" s="178">
        <f>+AM122</f>
        <v>142.30000000000001</v>
      </c>
      <c r="AR122" s="238"/>
      <c r="AS122" s="178">
        <f>+AQ123</f>
        <v>142.30000000000001</v>
      </c>
      <c r="AT122" s="178">
        <f>+AS123</f>
        <v>141.80000000000001</v>
      </c>
      <c r="AU122" s="178">
        <f>+AT123</f>
        <v>141.80000000000001</v>
      </c>
      <c r="AV122" s="178">
        <f>+AU123</f>
        <v>141.70000000000002</v>
      </c>
      <c r="AW122" s="178">
        <f>+AS122</f>
        <v>142.30000000000001</v>
      </c>
      <c r="AX122" s="238"/>
      <c r="AY122" s="178">
        <f>+AW123</f>
        <v>140.9</v>
      </c>
      <c r="AZ122" s="178">
        <f>+AY123</f>
        <v>139.9</v>
      </c>
      <c r="BA122" s="178">
        <f>+AZ123</f>
        <v>139.80000000000001</v>
      </c>
      <c r="BB122" s="178">
        <f>+BA123</f>
        <v>139.80000000000001</v>
      </c>
      <c r="BC122" s="178">
        <f>+AY122</f>
        <v>140.9</v>
      </c>
      <c r="BE122" s="178">
        <f>+BC123</f>
        <v>140.1</v>
      </c>
      <c r="BF122" s="178">
        <f>+BE123</f>
        <v>234.230941</v>
      </c>
      <c r="BG122" s="178">
        <f>+BF123</f>
        <v>233</v>
      </c>
      <c r="BH122" s="178">
        <f>+BG123</f>
        <v>231.6</v>
      </c>
      <c r="BI122" s="178">
        <f>+BE122</f>
        <v>140.1</v>
      </c>
      <c r="BJ122" s="1104"/>
      <c r="BK122" s="178">
        <f>+BI123</f>
        <v>230.1</v>
      </c>
      <c r="BL122" s="178">
        <f>+BK123</f>
        <v>230.1</v>
      </c>
      <c r="BM122" s="178">
        <f>+BL123</f>
        <v>229.4</v>
      </c>
      <c r="BN122" s="178">
        <f>+BM123</f>
        <v>229.5</v>
      </c>
      <c r="BO122" s="178">
        <f>+BK122</f>
        <v>230.1</v>
      </c>
      <c r="BP122" s="1104"/>
      <c r="BQ122" s="178">
        <f>+BO123</f>
        <v>226.07453416149067</v>
      </c>
      <c r="BR122" s="178">
        <f>+BQ123</f>
        <v>224.12745372219598</v>
      </c>
      <c r="BS122" s="178">
        <f>+BR123</f>
        <v>222.22547736097849</v>
      </c>
      <c r="BT122" s="178">
        <f>+BS123</f>
        <v>220.47981027645824</v>
      </c>
      <c r="BU122" s="178">
        <f>+BQ122</f>
        <v>226.07453416149067</v>
      </c>
      <c r="BV122" s="1104"/>
      <c r="BW122" s="178">
        <f>+BU123</f>
        <v>218.6884882378753</v>
      </c>
      <c r="BX122" s="178">
        <f>+BW123</f>
        <v>216.53508271680352</v>
      </c>
      <c r="BY122" s="178">
        <f>+BX123</f>
        <v>214.73492609344979</v>
      </c>
      <c r="BZ122" s="178">
        <f>+BY123</f>
        <v>212.78342803033172</v>
      </c>
      <c r="CA122" s="178">
        <f>+BW122</f>
        <v>218.6884882378753</v>
      </c>
      <c r="CB122" s="1104"/>
      <c r="CC122" s="178">
        <f>+CA123</f>
        <v>210.75996860698118</v>
      </c>
      <c r="CD122" s="178">
        <f>+CC123</f>
        <v>208.76835320037139</v>
      </c>
      <c r="CE122" s="178">
        <f>+CD123</f>
        <v>207.12600933234563</v>
      </c>
      <c r="CF122" s="178">
        <f>+CE123</f>
        <v>205.33365175577151</v>
      </c>
      <c r="CG122" s="178">
        <f>+CC122</f>
        <v>210.75996860698118</v>
      </c>
      <c r="CI122" s="178"/>
      <c r="CJ122" s="178"/>
      <c r="CK122" s="178"/>
      <c r="CL122" s="178"/>
      <c r="CM122" s="300"/>
      <c r="CN122" s="300"/>
    </row>
    <row r="123" spans="1:98 16384:16384" ht="12.75" customHeight="1" x14ac:dyDescent="0.2">
      <c r="A123" s="325"/>
      <c r="B123" s="322" t="s">
        <v>185</v>
      </c>
      <c r="C123" s="323">
        <f>+C36</f>
        <v>152.20000000000002</v>
      </c>
      <c r="D123" s="323">
        <f>+D36</f>
        <v>152</v>
      </c>
      <c r="E123" s="323">
        <f>+E36</f>
        <v>151.4</v>
      </c>
      <c r="F123" s="323">
        <f>+F36</f>
        <v>150.80000000000001</v>
      </c>
      <c r="G123" s="323">
        <f>+F123</f>
        <v>150.80000000000001</v>
      </c>
      <c r="H123" s="324"/>
      <c r="I123" s="323">
        <f>+I36</f>
        <v>148.80000000000001</v>
      </c>
      <c r="J123" s="323">
        <f>+J36</f>
        <v>148.80000000000001</v>
      </c>
      <c r="K123" s="323">
        <f>+K36</f>
        <v>148.9</v>
      </c>
      <c r="L123" s="323">
        <f>+L36</f>
        <v>148.60000000000002</v>
      </c>
      <c r="M123" s="323">
        <f>+L123</f>
        <v>148.60000000000002</v>
      </c>
      <c r="N123" s="324"/>
      <c r="O123" s="323">
        <f>+O36</f>
        <v>148.5</v>
      </c>
      <c r="P123" s="323">
        <f>+P36</f>
        <v>148.60000000000002</v>
      </c>
      <c r="Q123" s="323">
        <f>+Q36</f>
        <v>148.5</v>
      </c>
      <c r="R123" s="323">
        <f>+R36</f>
        <v>147</v>
      </c>
      <c r="S123" s="323">
        <f>+R123</f>
        <v>147</v>
      </c>
      <c r="T123" s="324"/>
      <c r="U123" s="323">
        <f>+U36</f>
        <v>146.30000000000001</v>
      </c>
      <c r="V123" s="323">
        <f>+V36</f>
        <v>143.20000000000002</v>
      </c>
      <c r="W123" s="323">
        <f>+W36</f>
        <v>142.10000000000002</v>
      </c>
      <c r="X123" s="323">
        <f>+X36</f>
        <v>141.80000000000001</v>
      </c>
      <c r="Y123" s="323">
        <f>+X123</f>
        <v>141.80000000000001</v>
      </c>
      <c r="Z123" s="324"/>
      <c r="AA123" s="323">
        <f>+AA36</f>
        <v>140.9</v>
      </c>
      <c r="AB123" s="323">
        <f>+AB36</f>
        <v>141.30000000000001</v>
      </c>
      <c r="AC123" s="323">
        <f>+AC36</f>
        <v>141.4</v>
      </c>
      <c r="AD123" s="323">
        <f>+AD36</f>
        <v>141.70000000000002</v>
      </c>
      <c r="AE123" s="323">
        <f>+AD123</f>
        <v>141.70000000000002</v>
      </c>
      <c r="AF123" s="324"/>
      <c r="AG123" s="323">
        <f>+AG36</f>
        <v>141.69999999999999</v>
      </c>
      <c r="AH123" s="323">
        <f>+AH36</f>
        <v>141.80000000000001</v>
      </c>
      <c r="AI123" s="323">
        <f>+AI36</f>
        <v>142</v>
      </c>
      <c r="AJ123" s="323">
        <f>+AJ36</f>
        <v>142.30000000000001</v>
      </c>
      <c r="AK123" s="323">
        <f>+AJ123</f>
        <v>142.30000000000001</v>
      </c>
      <c r="AL123" s="324"/>
      <c r="AM123" s="323">
        <f>+AM36</f>
        <v>143.10000000000002</v>
      </c>
      <c r="AN123" s="323">
        <f>+AN36</f>
        <v>142.20000000000002</v>
      </c>
      <c r="AO123" s="323">
        <f>+AO36</f>
        <v>142.20000000000002</v>
      </c>
      <c r="AP123" s="323">
        <f>+AP36</f>
        <v>142.30000000000001</v>
      </c>
      <c r="AQ123" s="323">
        <f>+AP123</f>
        <v>142.30000000000001</v>
      </c>
      <c r="AR123" s="324"/>
      <c r="AS123" s="323">
        <f>+AS36</f>
        <v>141.80000000000001</v>
      </c>
      <c r="AT123" s="323">
        <f>+AT36</f>
        <v>141.80000000000001</v>
      </c>
      <c r="AU123" s="323">
        <f>+AU36</f>
        <v>141.70000000000002</v>
      </c>
      <c r="AV123" s="323">
        <f>+AV36</f>
        <v>140.9</v>
      </c>
      <c r="AW123" s="323">
        <f>+AV123</f>
        <v>140.9</v>
      </c>
      <c r="AX123" s="324"/>
      <c r="AY123" s="323">
        <f>+AY36</f>
        <v>139.9</v>
      </c>
      <c r="AZ123" s="323">
        <f>+AZ36</f>
        <v>139.80000000000001</v>
      </c>
      <c r="BA123" s="323">
        <f>+BA36</f>
        <v>139.80000000000001</v>
      </c>
      <c r="BB123" s="323">
        <f>+BB36</f>
        <v>140.1</v>
      </c>
      <c r="BC123" s="323">
        <f>+BB123</f>
        <v>140.1</v>
      </c>
      <c r="BE123" s="323">
        <f>+BE36</f>
        <v>234.230941</v>
      </c>
      <c r="BF123" s="323">
        <f>+BF36</f>
        <v>233</v>
      </c>
      <c r="BG123" s="323">
        <f>+BG36</f>
        <v>231.6</v>
      </c>
      <c r="BH123" s="323">
        <f>+BH36</f>
        <v>230.1</v>
      </c>
      <c r="BI123" s="178">
        <f>+BH123</f>
        <v>230.1</v>
      </c>
      <c r="BJ123" s="1104"/>
      <c r="BK123" s="323">
        <f>+BK36</f>
        <v>230.1</v>
      </c>
      <c r="BL123" s="323">
        <f>+BL36</f>
        <v>229.4</v>
      </c>
      <c r="BM123" s="1468">
        <f>+BM36</f>
        <v>229.5</v>
      </c>
      <c r="BN123" s="323">
        <f>+BN122+(CashFlow!BN44+CashFlow!BN50)/CashFlow!BN148</f>
        <v>226.07453416149067</v>
      </c>
      <c r="BO123" s="178">
        <f>+BN123</f>
        <v>226.07453416149067</v>
      </c>
      <c r="BP123" s="1104"/>
      <c r="BQ123" s="323">
        <f>+BQ122+(CashFlow!BQ44+CashFlow!BQ50)/CashFlow!BQ148</f>
        <v>224.12745372219598</v>
      </c>
      <c r="BR123" s="323">
        <f>+BR122+(CashFlow!BR44+CashFlow!BR50)/CashFlow!BR148</f>
        <v>222.22547736097849</v>
      </c>
      <c r="BS123" s="323">
        <f>+BS122+(CashFlow!BS44+CashFlow!BS50)/CashFlow!BS148</f>
        <v>220.47981027645824</v>
      </c>
      <c r="BT123" s="323">
        <f>+BT122+(CashFlow!BT44+CashFlow!BT50)/CashFlow!BT148</f>
        <v>218.6884882378753</v>
      </c>
      <c r="BU123" s="178">
        <f>+BT123</f>
        <v>218.6884882378753</v>
      </c>
      <c r="BV123" s="1104"/>
      <c r="BW123" s="323">
        <f>+BW122+(CashFlow!BW44+CashFlow!BW50)/CashFlow!BW148</f>
        <v>216.53508271680352</v>
      </c>
      <c r="BX123" s="323">
        <f>+BX122+(CashFlow!BX44+CashFlow!BX50)/CashFlow!BX148</f>
        <v>214.73492609344979</v>
      </c>
      <c r="BY123" s="323">
        <f>+BY122+(CashFlow!BY44+CashFlow!BY50)/CashFlow!BY148</f>
        <v>212.78342803033172</v>
      </c>
      <c r="BZ123" s="323">
        <f>+BZ122+(CashFlow!BZ44+CashFlow!BZ50)/CashFlow!BZ148</f>
        <v>210.75996860698118</v>
      </c>
      <c r="CA123" s="178">
        <f>+BZ123</f>
        <v>210.75996860698118</v>
      </c>
      <c r="CB123" s="1104"/>
      <c r="CC123" s="323">
        <f>+CC122+(CashFlow!CC44+CashFlow!CC50)/CashFlow!CC148</f>
        <v>208.76835320037139</v>
      </c>
      <c r="CD123" s="323">
        <f>+CD122+(CashFlow!CD44+CashFlow!CD50)/CashFlow!CD148</f>
        <v>207.12600933234563</v>
      </c>
      <c r="CE123" s="323">
        <f>+CE122+(CashFlow!CE44+CashFlow!CE50)/CashFlow!CE148</f>
        <v>205.33365175577151</v>
      </c>
      <c r="CF123" s="323">
        <f>+CF122+(CashFlow!CF44+CashFlow!CF50)/CashFlow!CF148</f>
        <v>203.47025691607774</v>
      </c>
      <c r="CG123" s="178">
        <f>+CF123</f>
        <v>203.47025691607774</v>
      </c>
      <c r="CI123" s="323"/>
      <c r="CJ123" s="323"/>
      <c r="CK123" s="323"/>
      <c r="CL123" s="323"/>
      <c r="CM123" s="325"/>
      <c r="CN123" s="325"/>
      <c r="XFD123" s="323"/>
    </row>
    <row r="124" spans="1:98 16384:16384" x14ac:dyDescent="0.2">
      <c r="BB124" s="754"/>
    </row>
    <row r="125" spans="1:98 16384:16384" s="1102" customFormat="1" x14ac:dyDescent="0.2">
      <c r="B125" s="44" t="s">
        <v>623</v>
      </c>
      <c r="BJ125" s="24"/>
      <c r="BP125" s="24"/>
      <c r="BV125" s="24"/>
      <c r="CB125" s="24"/>
      <c r="CO125"/>
      <c r="CP125"/>
      <c r="CQ125"/>
      <c r="CR125"/>
      <c r="CS125"/>
      <c r="CT125"/>
    </row>
    <row r="126" spans="1:98 16384:16384" x14ac:dyDescent="0.2">
      <c r="B126" s="283" t="s">
        <v>398</v>
      </c>
      <c r="AK126" s="274"/>
      <c r="AL126" s="274"/>
      <c r="AM126" s="274">
        <f t="shared" ref="AM126:AQ128" si="117">+AM50</f>
        <v>0.14848159500822311</v>
      </c>
      <c r="AN126" s="274">
        <f t="shared" si="117"/>
        <v>0.18102653053179329</v>
      </c>
      <c r="AO126" s="274">
        <f t="shared" si="117"/>
        <v>0.17004678857642844</v>
      </c>
      <c r="AP126" s="274">
        <f t="shared" si="117"/>
        <v>0.16270244593701652</v>
      </c>
      <c r="AQ126" s="274">
        <f t="shared" si="117"/>
        <v>0.1656523551479783</v>
      </c>
      <c r="AR126" s="274"/>
      <c r="AS126" s="274">
        <f t="shared" ref="AS126:AW128" si="118">+AS50</f>
        <v>0.16708212690073057</v>
      </c>
      <c r="AT126" s="274">
        <f t="shared" si="118"/>
        <v>0.18421379332875951</v>
      </c>
      <c r="AU126" s="274">
        <f t="shared" si="118"/>
        <v>0.17964672992206024</v>
      </c>
      <c r="AV126" s="274">
        <f t="shared" si="118"/>
        <v>0.17052991414954083</v>
      </c>
      <c r="AW126" s="274">
        <f t="shared" si="118"/>
        <v>0.17546071675414521</v>
      </c>
      <c r="AX126" s="274"/>
      <c r="AY126" s="274">
        <f t="shared" ref="AY126:BC128" si="119">+AY50</f>
        <v>0.17959227206240858</v>
      </c>
      <c r="AZ126" s="274">
        <f t="shared" si="119"/>
        <v>0.2043234585376057</v>
      </c>
      <c r="BA126" s="274">
        <f t="shared" si="119"/>
        <v>0.20403760209585453</v>
      </c>
      <c r="BB126" s="274">
        <f t="shared" si="119"/>
        <v>0.19177469825659368</v>
      </c>
      <c r="BC126" s="274">
        <f t="shared" si="119"/>
        <v>0.19484872076179197</v>
      </c>
    </row>
    <row r="127" spans="1:98 16384:16384" x14ac:dyDescent="0.2">
      <c r="B127" s="283" t="s">
        <v>399</v>
      </c>
      <c r="AK127" s="274"/>
      <c r="AL127" s="274"/>
      <c r="AM127" s="274">
        <f t="shared" si="117"/>
        <v>0.16160137010535955</v>
      </c>
      <c r="AN127" s="274">
        <f t="shared" si="117"/>
        <v>0.19241824916614989</v>
      </c>
      <c r="AO127" s="274">
        <f t="shared" si="117"/>
        <v>0.17883407401874743</v>
      </c>
      <c r="AP127" s="274">
        <f t="shared" si="117"/>
        <v>0.17181914865294695</v>
      </c>
      <c r="AQ127" s="274">
        <f t="shared" si="117"/>
        <v>0.17635464745630747</v>
      </c>
      <c r="AR127" s="274"/>
      <c r="AS127" s="274">
        <f t="shared" si="118"/>
        <v>0.17700549346906913</v>
      </c>
      <c r="AT127" s="274">
        <f t="shared" si="118"/>
        <v>0.19286548875492887</v>
      </c>
      <c r="AU127" s="274">
        <f t="shared" si="118"/>
        <v>0.18667251578675551</v>
      </c>
      <c r="AV127" s="274">
        <f t="shared" si="118"/>
        <v>0.17744724758361299</v>
      </c>
      <c r="AW127" s="274">
        <f t="shared" si="118"/>
        <v>0.18362501902297973</v>
      </c>
      <c r="AX127" s="274"/>
      <c r="AY127" s="274">
        <f t="shared" si="119"/>
        <v>0.18663694071858469</v>
      </c>
      <c r="AZ127" s="274">
        <f t="shared" si="119"/>
        <v>0.21138198127162078</v>
      </c>
      <c r="BA127" s="274">
        <f t="shared" si="119"/>
        <v>0.21039249960273321</v>
      </c>
      <c r="BB127" s="274">
        <f t="shared" si="119"/>
        <v>0.19925685090571299</v>
      </c>
      <c r="BC127" s="274">
        <f t="shared" si="119"/>
        <v>0.20185942369486862</v>
      </c>
    </row>
    <row r="128" spans="1:98 16384:16384" x14ac:dyDescent="0.2">
      <c r="B128" s="283" t="s">
        <v>384</v>
      </c>
      <c r="AK128" s="274"/>
      <c r="AL128" s="274"/>
      <c r="AM128" s="274">
        <f t="shared" si="117"/>
        <v>0.16610137010535952</v>
      </c>
      <c r="AN128" s="274">
        <f t="shared" si="117"/>
        <v>0.19691824916614986</v>
      </c>
      <c r="AO128" s="274">
        <f t="shared" si="117"/>
        <v>0.18333407401874735</v>
      </c>
      <c r="AP128" s="274">
        <f t="shared" si="117"/>
        <v>0.17631914865294696</v>
      </c>
      <c r="AQ128" s="274">
        <f t="shared" si="117"/>
        <v>0.18085464745630742</v>
      </c>
      <c r="AR128" s="274"/>
      <c r="AS128" s="274">
        <f t="shared" si="118"/>
        <v>0.18150549346906908</v>
      </c>
      <c r="AT128" s="274">
        <f t="shared" si="118"/>
        <v>0.19736548875492876</v>
      </c>
      <c r="AU128" s="274">
        <f t="shared" si="118"/>
        <v>0.19117251578675543</v>
      </c>
      <c r="AV128" s="274">
        <f t="shared" si="118"/>
        <v>0.18194724758361291</v>
      </c>
      <c r="AW128" s="274">
        <f t="shared" si="118"/>
        <v>0.18812501902297962</v>
      </c>
      <c r="AX128" s="274"/>
      <c r="AY128" s="274">
        <f t="shared" si="119"/>
        <v>0.19113694071858467</v>
      </c>
      <c r="AZ128" s="274">
        <f t="shared" si="119"/>
        <v>0.21588198127162073</v>
      </c>
      <c r="BA128" s="274">
        <f t="shared" si="119"/>
        <v>0.21489249960273316</v>
      </c>
      <c r="BB128" s="274">
        <f t="shared" si="119"/>
        <v>0.20375685090571294</v>
      </c>
      <c r="BC128" s="274">
        <f t="shared" si="119"/>
        <v>0.20635942369486859</v>
      </c>
    </row>
    <row r="129" spans="1:92" x14ac:dyDescent="0.2">
      <c r="B129" s="407" t="s">
        <v>383</v>
      </c>
      <c r="AS129" s="274">
        <f>+((-0.02*AS34)/(1-AS26))/AS9</f>
        <v>-5.4146207956567733E-3</v>
      </c>
      <c r="AT129" s="558">
        <v>-2E-3</v>
      </c>
      <c r="AU129" s="274">
        <f>+((-0.01*AU34)/(1-AU26))/AU9</f>
        <v>-2.7409058628273227E-3</v>
      </c>
      <c r="AV129" s="274">
        <f>+((-0.025*AV34)/(1-AV26))/AV9</f>
        <v>-6.6854946391080783E-3</v>
      </c>
      <c r="AW129" s="274">
        <f>+AVERAGE(AS129:AV129)</f>
        <v>-4.2102553243980436E-3</v>
      </c>
      <c r="AX129" s="274"/>
      <c r="AY129" s="274">
        <f>+((0.035*AY34)/(1-AY26))/AY9</f>
        <v>1.0267425571212609E-2</v>
      </c>
      <c r="AZ129" s="558">
        <v>8.9999999999999993E-3</v>
      </c>
      <c r="BA129" s="558">
        <v>7.6E-3</v>
      </c>
      <c r="BB129" s="558">
        <v>4.3619206644199904E-3</v>
      </c>
      <c r="BC129" s="274">
        <f>+AVERAGE(AY129:BB129)</f>
        <v>7.8073365589081496E-3</v>
      </c>
    </row>
    <row r="130" spans="1:92" x14ac:dyDescent="0.2">
      <c r="B130" s="407" t="s">
        <v>400</v>
      </c>
      <c r="AS130" s="274"/>
      <c r="AT130" s="558"/>
      <c r="AU130" s="274"/>
      <c r="AV130" s="274"/>
      <c r="AW130" s="274"/>
      <c r="AX130" s="274"/>
      <c r="AY130" s="274"/>
      <c r="AZ130" s="558"/>
      <c r="BA130" s="558"/>
      <c r="BB130" s="274"/>
      <c r="BC130" s="274"/>
    </row>
    <row r="131" spans="1:92" x14ac:dyDescent="0.2">
      <c r="B131" s="283" t="s">
        <v>385</v>
      </c>
      <c r="AS131" s="274">
        <f>+AS128-AS129</f>
        <v>0.18692011426472585</v>
      </c>
      <c r="AT131" s="274">
        <f>+AT128-AT129</f>
        <v>0.19936548875492877</v>
      </c>
      <c r="AU131" s="274">
        <f>+AU128-AU129</f>
        <v>0.19391342164958275</v>
      </c>
      <c r="AV131" s="274">
        <f>+AV128-AV129</f>
        <v>0.188632742222721</v>
      </c>
      <c r="AW131" s="274">
        <f>+AW128-AW129</f>
        <v>0.19233527434737765</v>
      </c>
      <c r="AX131" s="274"/>
      <c r="AY131" s="274">
        <f>+AY128-AY129</f>
        <v>0.18086951514737207</v>
      </c>
      <c r="AZ131" s="274">
        <f>+AZ128-AZ129</f>
        <v>0.20688198127162072</v>
      </c>
      <c r="BA131" s="274">
        <f>+BA128-BA129</f>
        <v>0.20729249960273316</v>
      </c>
      <c r="BB131" s="274">
        <f>+BB128-BB129</f>
        <v>0.19939493024129296</v>
      </c>
      <c r="BC131" s="274">
        <f>+BC128-BC129</f>
        <v>0.19855208713596045</v>
      </c>
    </row>
    <row r="132" spans="1:92" x14ac:dyDescent="0.2">
      <c r="A132" s="21"/>
      <c r="B132" s="583" t="s">
        <v>386</v>
      </c>
      <c r="C132" s="21"/>
      <c r="D132" s="21"/>
      <c r="E132" s="21"/>
      <c r="F132" s="21"/>
      <c r="G132" s="21"/>
      <c r="H132" s="21"/>
      <c r="I132" s="21"/>
      <c r="J132" s="21"/>
      <c r="K132" s="21"/>
      <c r="L132" s="21"/>
      <c r="M132" s="21"/>
      <c r="N132" s="21"/>
      <c r="O132" s="21"/>
      <c r="P132" s="21"/>
      <c r="Q132" s="21"/>
      <c r="R132" s="21"/>
      <c r="S132" s="21"/>
      <c r="T132" s="21"/>
      <c r="U132" s="21"/>
      <c r="V132" s="21"/>
      <c r="W132" s="21"/>
      <c r="X132" s="21"/>
      <c r="Y132" s="21"/>
      <c r="Z132" s="21"/>
      <c r="AA132" s="21"/>
      <c r="AB132" s="21"/>
      <c r="AC132" s="21"/>
      <c r="AD132" s="21"/>
      <c r="AE132" s="21"/>
      <c r="AF132" s="21"/>
      <c r="AG132" s="21"/>
      <c r="AH132" s="21"/>
      <c r="AI132" s="21"/>
      <c r="AJ132" s="21"/>
      <c r="AK132" s="21"/>
      <c r="AL132" s="21"/>
      <c r="AM132" s="21"/>
      <c r="AN132" s="21"/>
      <c r="AO132" s="21"/>
      <c r="AP132" s="21"/>
      <c r="AQ132" s="21"/>
      <c r="AR132" s="21"/>
      <c r="AS132" s="584">
        <f>+AS131-AM127</f>
        <v>2.5318744159366302E-2</v>
      </c>
      <c r="AT132" s="584">
        <f>+AT131-AN127</f>
        <v>6.9472395887788807E-3</v>
      </c>
      <c r="AU132" s="584">
        <f>+AU131-AO127</f>
        <v>1.5079347630835321E-2</v>
      </c>
      <c r="AV132" s="584">
        <f>+AV131-AP127</f>
        <v>1.6813593569774049E-2</v>
      </c>
      <c r="AW132" s="584">
        <f>+AW131-AQ127</f>
        <v>1.5980626891070188E-2</v>
      </c>
      <c r="AX132" s="584"/>
      <c r="AY132" s="584">
        <f>+AY131-AS127</f>
        <v>3.8640216783029369E-3</v>
      </c>
      <c r="AZ132" s="584">
        <f>+AZ131-AT127</f>
        <v>1.4016492516691847E-2</v>
      </c>
      <c r="BA132" s="584">
        <f>+BA131-AU127</f>
        <v>2.0619983815977655E-2</v>
      </c>
      <c r="BB132" s="584">
        <f>+BB131-AV127</f>
        <v>2.1947682657679962E-2</v>
      </c>
      <c r="BC132" s="584">
        <f>+BC131-AW127</f>
        <v>1.4927068112980724E-2</v>
      </c>
      <c r="CH132" s="21"/>
      <c r="CI132" s="21"/>
      <c r="CJ132" s="21"/>
      <c r="CK132" s="21"/>
      <c r="CL132" s="21"/>
      <c r="CM132" s="21"/>
      <c r="CN132" s="21"/>
    </row>
    <row r="133" spans="1:92" x14ac:dyDescent="0.2">
      <c r="B133" s="283" t="s">
        <v>387</v>
      </c>
      <c r="AY133" s="274">
        <f>+AY51-AS51</f>
        <v>9.6314472495155623E-3</v>
      </c>
      <c r="AZ133" s="274">
        <f>+AZ51-AT51</f>
        <v>1.8516492516691907E-2</v>
      </c>
      <c r="BA133" s="274">
        <f>+BA51-AU51</f>
        <v>2.3719983815977702E-2</v>
      </c>
      <c r="BB133" s="274">
        <f>+BB51-AV51</f>
        <v>2.1809603322099996E-2</v>
      </c>
      <c r="BC133" s="274">
        <f>+BC51-AW51</f>
        <v>1.8234404671888887E-2</v>
      </c>
    </row>
    <row r="134" spans="1:92" x14ac:dyDescent="0.2">
      <c r="B134" s="811"/>
      <c r="BB134" s="754"/>
      <c r="BD134" s="811"/>
    </row>
    <row r="135" spans="1:92" x14ac:dyDescent="0.2">
      <c r="B135" s="1064" t="s">
        <v>500</v>
      </c>
      <c r="C135" s="1065"/>
      <c r="D135" s="1065"/>
      <c r="E135" s="1065"/>
      <c r="F135" s="1065"/>
      <c r="G135" s="1065"/>
      <c r="H135" s="1065"/>
      <c r="I135" s="1065"/>
      <c r="J135" s="1065"/>
      <c r="K135" s="1065"/>
      <c r="L135" s="1065"/>
      <c r="M135" s="1065"/>
      <c r="N135" s="1065"/>
      <c r="O135" s="1065"/>
      <c r="P135" s="1065"/>
      <c r="Q135" s="1065"/>
      <c r="R135" s="1065"/>
      <c r="S135" s="1065"/>
      <c r="T135" s="1065"/>
      <c r="U135" s="1065"/>
      <c r="V135" s="1065"/>
      <c r="W135" s="1065"/>
      <c r="X135" s="1065"/>
      <c r="Y135" s="1065"/>
      <c r="Z135" s="1065"/>
      <c r="AA135" s="1065"/>
      <c r="AB135" s="1065"/>
      <c r="AC135" s="1065"/>
      <c r="AD135" s="1065"/>
      <c r="AE135" s="1065"/>
      <c r="AF135" s="1065"/>
      <c r="AG135" s="1065"/>
      <c r="AH135" s="1065"/>
      <c r="AI135" s="1065"/>
      <c r="AJ135" s="1065"/>
      <c r="AK135" s="1065"/>
      <c r="AL135" s="1065"/>
      <c r="AM135" s="1066"/>
      <c r="AN135" s="1066"/>
      <c r="AO135" s="1066"/>
      <c r="AP135" s="1066"/>
      <c r="AQ135" s="1067"/>
      <c r="AR135" s="1065"/>
      <c r="AS135" s="1066"/>
      <c r="AT135" s="1066"/>
      <c r="AU135" s="1066"/>
      <c r="AV135" s="1066"/>
      <c r="AW135" s="1067"/>
      <c r="AX135" s="1065"/>
      <c r="AY135" s="1066"/>
      <c r="AZ135" s="1066"/>
      <c r="BA135" s="1066"/>
      <c r="BB135" s="1066"/>
      <c r="BC135" s="1067"/>
      <c r="BD135" s="1065"/>
      <c r="BE135" s="1066"/>
      <c r="BF135" s="1066"/>
      <c r="BG135" s="1066"/>
      <c r="BH135" s="1066"/>
      <c r="BI135" s="1067"/>
      <c r="BJ135" s="1068"/>
      <c r="BK135" s="1066"/>
      <c r="BL135" s="1066"/>
      <c r="BM135" s="1066"/>
      <c r="BN135" s="1066"/>
      <c r="BO135" s="1067"/>
      <c r="BP135" s="1068"/>
      <c r="BQ135" s="1066"/>
      <c r="BR135" s="1066"/>
      <c r="BS135" s="1066"/>
      <c r="BT135" s="1066"/>
      <c r="BU135" s="1067"/>
      <c r="BV135" s="1068"/>
      <c r="BW135" s="1066"/>
      <c r="BX135" s="1066"/>
      <c r="BY135" s="1066"/>
      <c r="BZ135" s="1066"/>
      <c r="CA135" s="1067"/>
      <c r="CB135" s="1068"/>
      <c r="CC135" s="1066"/>
      <c r="CD135" s="1066"/>
      <c r="CE135" s="1066"/>
      <c r="CF135" s="1066"/>
      <c r="CG135" s="1067"/>
    </row>
    <row r="136" spans="1:92" x14ac:dyDescent="0.2">
      <c r="B136" s="326" t="s">
        <v>296</v>
      </c>
      <c r="C136" s="329">
        <v>0.33599999999999997</v>
      </c>
      <c r="D136" s="329">
        <v>0.33599999999999997</v>
      </c>
      <c r="E136" s="329">
        <v>0.33599999999999997</v>
      </c>
      <c r="F136" s="329">
        <v>0.33599999999999997</v>
      </c>
      <c r="G136" s="756">
        <v>0.33599999999999997</v>
      </c>
      <c r="H136" s="257"/>
      <c r="I136" s="329">
        <v>0.41299999999999998</v>
      </c>
      <c r="J136" s="329">
        <v>0.41299999999999998</v>
      </c>
      <c r="K136" s="329">
        <v>0.41299999999999998</v>
      </c>
      <c r="L136" s="329">
        <v>0.41299999999999998</v>
      </c>
      <c r="M136" s="756">
        <v>0.41299999999999998</v>
      </c>
      <c r="N136" s="257"/>
      <c r="O136" s="329">
        <v>0.36699999999999999</v>
      </c>
      <c r="P136" s="329">
        <v>0.36699999999999999</v>
      </c>
      <c r="Q136" s="329">
        <v>0.36699999999999999</v>
      </c>
      <c r="R136" s="329">
        <v>0.36699999999999999</v>
      </c>
      <c r="S136" s="756">
        <v>0.36699999999999999</v>
      </c>
      <c r="T136" s="257"/>
      <c r="U136" s="329">
        <v>0.312</v>
      </c>
      <c r="V136" s="329">
        <v>0.312</v>
      </c>
      <c r="W136" s="329">
        <v>0.312</v>
      </c>
      <c r="X136" s="329">
        <v>0.312</v>
      </c>
      <c r="Y136" s="756">
        <v>0.312</v>
      </c>
      <c r="Z136" s="257"/>
      <c r="AA136" s="329">
        <v>0.312</v>
      </c>
      <c r="AB136" s="329">
        <v>0.35899999999999999</v>
      </c>
      <c r="AC136" s="329">
        <v>0.312</v>
      </c>
      <c r="AD136" s="329">
        <v>0.312</v>
      </c>
      <c r="AE136" s="756">
        <v>0.312</v>
      </c>
      <c r="AG136" s="1295">
        <f>AM136</f>
        <v>0.22975517890772126</v>
      </c>
      <c r="AH136" s="1296">
        <f>AN136</f>
        <v>0.23037759864234192</v>
      </c>
      <c r="AI136" s="1296">
        <f>AO136</f>
        <v>0.1676486341724692</v>
      </c>
      <c r="AJ136" s="1296">
        <f>AP136</f>
        <v>0.20220772704465628</v>
      </c>
      <c r="AK136" s="1297">
        <f>AQ136</f>
        <v>0.20806658130601796</v>
      </c>
      <c r="AM136" s="329">
        <f>AS136</f>
        <v>0.22975517890772126</v>
      </c>
      <c r="AN136" s="688">
        <f>AT136</f>
        <v>0.23037759864234192</v>
      </c>
      <c r="AO136" s="688">
        <f>AU136</f>
        <v>0.1676486341724692</v>
      </c>
      <c r="AP136" s="688">
        <f>AV136</f>
        <v>0.20220772704465628</v>
      </c>
      <c r="AQ136" s="694">
        <f>AW136</f>
        <v>0.20806658130601796</v>
      </c>
      <c r="AS136" s="329">
        <f>AY136</f>
        <v>0.22975517890772126</v>
      </c>
      <c r="AT136" s="688">
        <f>AZ136</f>
        <v>0.23037759864234192</v>
      </c>
      <c r="AU136" s="688">
        <f>BA136</f>
        <v>0.1676486341724692</v>
      </c>
      <c r="AV136" s="688">
        <f>BB136</f>
        <v>0.20220772704465628</v>
      </c>
      <c r="AW136" s="694">
        <f>BC136</f>
        <v>0.20806658130601796</v>
      </c>
      <c r="AY136" s="329">
        <f>BE136</f>
        <v>0.22975517890772126</v>
      </c>
      <c r="AZ136" s="688">
        <f>BF136</f>
        <v>0.23037759864234192</v>
      </c>
      <c r="BA136" s="688">
        <f>BG136</f>
        <v>0.1676486341724692</v>
      </c>
      <c r="BB136" s="688">
        <f>BH136</f>
        <v>0.20220772704465628</v>
      </c>
      <c r="BC136" s="694">
        <f>BI136</f>
        <v>0.20806658130601796</v>
      </c>
      <c r="BD136" s="811"/>
      <c r="BE136" s="688">
        <f>BE26</f>
        <v>0.22975517890772126</v>
      </c>
      <c r="BF136" s="688">
        <f>BF26</f>
        <v>0.23037759864234192</v>
      </c>
      <c r="BG136" s="688">
        <f>BG26</f>
        <v>0.1676486341724692</v>
      </c>
      <c r="BH136" s="688">
        <f>BH26</f>
        <v>0.20220772704465628</v>
      </c>
      <c r="BI136" s="694">
        <f>BI26</f>
        <v>0.20806658130601796</v>
      </c>
      <c r="BJ136" s="274"/>
      <c r="BK136" s="688">
        <f>BK26</f>
        <v>0.19203413940256045</v>
      </c>
      <c r="BL136" s="688">
        <f>BL26</f>
        <v>0.1616499442586399</v>
      </c>
      <c r="BM136" s="688">
        <f>BM26</f>
        <v>0.18389662027833001</v>
      </c>
      <c r="BN136" s="688">
        <f>BN26</f>
        <v>0.16468516072214884</v>
      </c>
      <c r="BO136" s="694">
        <f>BO26</f>
        <v>0.17426165976212746</v>
      </c>
      <c r="BP136" s="274"/>
      <c r="BQ136" s="688">
        <f>BQ26</f>
        <v>0.22</v>
      </c>
      <c r="BR136" s="688">
        <f>BR26</f>
        <v>0.22</v>
      </c>
      <c r="BS136" s="688">
        <f>BS26</f>
        <v>0.22</v>
      </c>
      <c r="BT136" s="688">
        <f>BT26</f>
        <v>0.22</v>
      </c>
      <c r="BU136" s="694">
        <f>BU26</f>
        <v>0.21999999999999997</v>
      </c>
      <c r="BV136" s="274"/>
      <c r="BW136" s="688">
        <f>BW26</f>
        <v>0.22</v>
      </c>
      <c r="BX136" s="688">
        <f>BX26</f>
        <v>0.22</v>
      </c>
      <c r="BY136" s="688">
        <f>BY26</f>
        <v>0.22</v>
      </c>
      <c r="BZ136" s="688">
        <f>BZ26</f>
        <v>0.22</v>
      </c>
      <c r="CA136" s="694">
        <f>CA26</f>
        <v>0.21999999999999997</v>
      </c>
      <c r="CB136" s="274"/>
      <c r="CC136" s="688">
        <f>CC26</f>
        <v>0.22</v>
      </c>
      <c r="CD136" s="688">
        <f>CD26</f>
        <v>0.22</v>
      </c>
      <c r="CE136" s="688">
        <f>CE26</f>
        <v>0.22</v>
      </c>
      <c r="CF136" s="688">
        <f>CF26</f>
        <v>0.22</v>
      </c>
      <c r="CG136" s="694">
        <f>CG26</f>
        <v>0.22000000000000003</v>
      </c>
    </row>
    <row r="137" spans="1:92" x14ac:dyDescent="0.2">
      <c r="B137" s="328" t="s">
        <v>298</v>
      </c>
      <c r="C137" s="329">
        <v>0.35</v>
      </c>
      <c r="D137" s="329">
        <v>0.35</v>
      </c>
      <c r="E137" s="329">
        <v>0.35</v>
      </c>
      <c r="F137" s="329">
        <v>0.35</v>
      </c>
      <c r="G137" s="695">
        <v>0.35</v>
      </c>
      <c r="H137" s="329"/>
      <c r="I137" s="329">
        <v>0.35</v>
      </c>
      <c r="J137" s="329">
        <v>0.35</v>
      </c>
      <c r="K137" s="329">
        <v>0.35</v>
      </c>
      <c r="L137" s="329">
        <v>0.35</v>
      </c>
      <c r="M137" s="695">
        <v>0.35</v>
      </c>
      <c r="N137" s="329"/>
      <c r="O137" s="329">
        <v>0.35</v>
      </c>
      <c r="P137" s="329">
        <v>0.35</v>
      </c>
      <c r="Q137" s="329">
        <v>0.35</v>
      </c>
      <c r="R137" s="329">
        <v>0.35</v>
      </c>
      <c r="S137" s="695">
        <v>0.35</v>
      </c>
      <c r="T137" s="149"/>
      <c r="U137" s="329">
        <v>0.35</v>
      </c>
      <c r="V137" s="329">
        <v>0.35</v>
      </c>
      <c r="W137" s="329">
        <v>0.35</v>
      </c>
      <c r="X137" s="329">
        <v>0.35</v>
      </c>
      <c r="Y137" s="695">
        <v>0.35</v>
      </c>
      <c r="Z137" s="147"/>
      <c r="AA137" s="329">
        <v>0.35</v>
      </c>
      <c r="AB137" s="329">
        <v>0.35</v>
      </c>
      <c r="AC137" s="329">
        <v>0.35</v>
      </c>
      <c r="AD137" s="329">
        <v>0.35</v>
      </c>
      <c r="AE137" s="695">
        <v>0.35</v>
      </c>
      <c r="AM137" s="688"/>
      <c r="AN137" s="688"/>
      <c r="AO137" s="688"/>
      <c r="AP137" s="688"/>
      <c r="AQ137" s="695"/>
      <c r="AS137" s="688"/>
      <c r="AT137" s="688"/>
      <c r="AU137" s="688"/>
      <c r="AV137" s="688"/>
      <c r="AW137" s="695"/>
      <c r="AY137" s="688"/>
      <c r="AZ137" s="688"/>
      <c r="BA137" s="688"/>
      <c r="BB137" s="688"/>
      <c r="BC137" s="695"/>
      <c r="BD137" s="811"/>
      <c r="BE137" s="688"/>
      <c r="BF137" s="688"/>
      <c r="BG137" s="688"/>
      <c r="BH137" s="688"/>
      <c r="BI137" s="695"/>
      <c r="BJ137" s="147"/>
      <c r="BK137" s="688"/>
      <c r="BL137" s="688"/>
      <c r="BM137" s="688"/>
      <c r="BN137" s="688"/>
      <c r="BO137" s="695"/>
      <c r="BP137" s="147"/>
      <c r="BQ137" s="688"/>
      <c r="BR137" s="688"/>
      <c r="BS137" s="688"/>
      <c r="BT137" s="688"/>
      <c r="BU137" s="695"/>
      <c r="BV137" s="147"/>
      <c r="BW137" s="688"/>
      <c r="BX137" s="688"/>
      <c r="BY137" s="688"/>
      <c r="BZ137" s="688"/>
      <c r="CA137" s="695"/>
      <c r="CB137" s="147"/>
      <c r="CC137" s="688"/>
      <c r="CD137" s="688"/>
      <c r="CE137" s="688"/>
      <c r="CF137" s="688"/>
      <c r="CG137" s="695"/>
    </row>
    <row r="138" spans="1:92" x14ac:dyDescent="0.2">
      <c r="B138" s="328" t="s">
        <v>297</v>
      </c>
      <c r="C138" s="329">
        <v>0.01</v>
      </c>
      <c r="D138" s="329">
        <v>0.01</v>
      </c>
      <c r="E138" s="329">
        <v>0.01</v>
      </c>
      <c r="F138" s="329">
        <v>0.01</v>
      </c>
      <c r="G138" s="695">
        <v>0.01</v>
      </c>
      <c r="H138" s="329"/>
      <c r="I138" s="329">
        <v>0.01</v>
      </c>
      <c r="J138" s="329">
        <v>0.01</v>
      </c>
      <c r="K138" s="329">
        <v>0.01</v>
      </c>
      <c r="L138" s="329">
        <v>0.01</v>
      </c>
      <c r="M138" s="695">
        <v>0.01</v>
      </c>
      <c r="N138" s="329"/>
      <c r="O138" s="329">
        <v>0.01</v>
      </c>
      <c r="P138" s="329">
        <v>0.01</v>
      </c>
      <c r="Q138" s="329">
        <v>0.01</v>
      </c>
      <c r="R138" s="329">
        <v>0.01</v>
      </c>
      <c r="S138" s="695">
        <v>0.01</v>
      </c>
      <c r="T138" s="149"/>
      <c r="U138" s="329">
        <v>8.9999999999999993E-3</v>
      </c>
      <c r="V138" s="329">
        <v>8.9999999999999993E-3</v>
      </c>
      <c r="W138" s="329">
        <v>8.9999999999999993E-3</v>
      </c>
      <c r="X138" s="329">
        <v>8.9999999999999993E-3</v>
      </c>
      <c r="Y138" s="695">
        <v>8.9999999999999993E-3</v>
      </c>
      <c r="Z138" s="147"/>
      <c r="AA138" s="329">
        <v>8.9999999999999993E-3</v>
      </c>
      <c r="AB138" s="329">
        <v>8.9999999999999993E-3</v>
      </c>
      <c r="AC138" s="329">
        <v>8.9999999999999993E-3</v>
      </c>
      <c r="AD138" s="329">
        <v>8.9999999999999993E-3</v>
      </c>
      <c r="AE138" s="695">
        <v>8.9999999999999993E-3</v>
      </c>
      <c r="AM138" s="688"/>
      <c r="AN138" s="688"/>
      <c r="AO138" s="688"/>
      <c r="AP138" s="688"/>
      <c r="AQ138" s="695"/>
      <c r="AS138" s="688"/>
      <c r="AT138" s="688"/>
      <c r="AU138" s="688"/>
      <c r="AV138" s="688"/>
      <c r="AW138" s="695"/>
      <c r="AY138" s="688"/>
      <c r="AZ138" s="688"/>
      <c r="BA138" s="688"/>
      <c r="BB138" s="688"/>
      <c r="BC138" s="695"/>
      <c r="BD138" s="811"/>
      <c r="BE138" s="688"/>
      <c r="BF138" s="688"/>
      <c r="BG138" s="688"/>
      <c r="BH138" s="688"/>
      <c r="BI138" s="695"/>
      <c r="BJ138" s="147"/>
      <c r="BK138" s="688"/>
      <c r="BL138" s="688"/>
      <c r="BM138" s="688"/>
      <c r="BN138" s="688"/>
      <c r="BO138" s="695"/>
      <c r="BP138" s="147"/>
      <c r="BQ138" s="688"/>
      <c r="BR138" s="688"/>
      <c r="BS138" s="688"/>
      <c r="BT138" s="688"/>
      <c r="BU138" s="695"/>
      <c r="BV138" s="147"/>
      <c r="BW138" s="688"/>
      <c r="BX138" s="688"/>
      <c r="BY138" s="688"/>
      <c r="BZ138" s="688"/>
      <c r="CA138" s="695"/>
      <c r="CB138" s="147"/>
      <c r="CC138" s="688"/>
      <c r="CD138" s="688"/>
      <c r="CE138" s="688"/>
      <c r="CF138" s="688"/>
      <c r="CG138" s="695"/>
    </row>
    <row r="139" spans="1:92" x14ac:dyDescent="0.2">
      <c r="B139" s="328" t="s">
        <v>299</v>
      </c>
      <c r="C139" s="329">
        <v>-2.4E-2</v>
      </c>
      <c r="D139" s="329">
        <v>-2.4E-2</v>
      </c>
      <c r="E139" s="329">
        <v>-2.4E-2</v>
      </c>
      <c r="F139" s="329">
        <v>-2.4E-2</v>
      </c>
      <c r="G139" s="695">
        <v>-2.4E-2</v>
      </c>
      <c r="H139" s="329"/>
      <c r="I139" s="329">
        <v>5.2999999999999999E-2</v>
      </c>
      <c r="J139" s="329">
        <v>5.2999999999999999E-2</v>
      </c>
      <c r="K139" s="329">
        <v>5.2999999999999999E-2</v>
      </c>
      <c r="L139" s="329">
        <v>5.2999999999999999E-2</v>
      </c>
      <c r="M139" s="695">
        <v>5.2999999999999999E-2</v>
      </c>
      <c r="N139" s="329"/>
      <c r="O139" s="329">
        <v>7.0000000000000001E-3</v>
      </c>
      <c r="P139" s="329">
        <v>7.0000000000000001E-3</v>
      </c>
      <c r="Q139" s="329">
        <v>7.0000000000000001E-3</v>
      </c>
      <c r="R139" s="329">
        <v>7.0000000000000001E-3</v>
      </c>
      <c r="S139" s="695">
        <v>7.0000000000000001E-3</v>
      </c>
      <c r="T139" s="147"/>
      <c r="U139" s="329">
        <v>-4.7E-2</v>
      </c>
      <c r="V139" s="329">
        <v>-4.7E-2</v>
      </c>
      <c r="W139" s="329">
        <v>-4.7E-2</v>
      </c>
      <c r="X139" s="329">
        <v>-4.7E-2</v>
      </c>
      <c r="Y139" s="695">
        <v>-4.7E-2</v>
      </c>
      <c r="Z139" s="147"/>
      <c r="AA139" s="329">
        <v>-4.7E-2</v>
      </c>
      <c r="AB139" s="329">
        <v>0</v>
      </c>
      <c r="AC139" s="329">
        <v>-4.7E-2</v>
      </c>
      <c r="AD139" s="329">
        <v>-4.7E-2</v>
      </c>
      <c r="AE139" s="695">
        <v>-4.7E-2</v>
      </c>
      <c r="AM139" s="688"/>
      <c r="AN139" s="688"/>
      <c r="AO139" s="688"/>
      <c r="AP139" s="688"/>
      <c r="AQ139" s="695"/>
      <c r="AS139" s="688"/>
      <c r="AT139" s="688"/>
      <c r="AU139" s="688"/>
      <c r="AV139" s="688"/>
      <c r="AW139" s="695"/>
      <c r="AY139" s="688"/>
      <c r="AZ139" s="688"/>
      <c r="BA139" s="688"/>
      <c r="BB139" s="688"/>
      <c r="BC139" s="695"/>
      <c r="BD139" s="811"/>
      <c r="BE139" s="688"/>
      <c r="BF139" s="688"/>
      <c r="BG139" s="688"/>
      <c r="BH139" s="688"/>
      <c r="BI139" s="695"/>
      <c r="BJ139" s="147"/>
      <c r="BK139" s="688"/>
      <c r="BL139" s="688"/>
      <c r="BM139" s="688"/>
      <c r="BN139" s="688"/>
      <c r="BO139" s="695"/>
      <c r="BP139" s="147"/>
      <c r="BQ139" s="688"/>
      <c r="BR139" s="688"/>
      <c r="BS139" s="688"/>
      <c r="BT139" s="688"/>
      <c r="BU139" s="695"/>
      <c r="BV139" s="147"/>
      <c r="BW139" s="688"/>
      <c r="BX139" s="688"/>
      <c r="BY139" s="688"/>
      <c r="BZ139" s="688"/>
      <c r="CA139" s="695"/>
      <c r="CB139" s="147"/>
      <c r="CC139" s="688"/>
      <c r="CD139" s="688"/>
      <c r="CE139" s="688"/>
      <c r="CF139" s="688"/>
      <c r="CG139" s="695"/>
    </row>
    <row r="140" spans="1:92" x14ac:dyDescent="0.2">
      <c r="B140" s="281" t="s">
        <v>191</v>
      </c>
      <c r="C140" s="1213" t="s">
        <v>401</v>
      </c>
      <c r="D140" s="1213" t="s">
        <v>401</v>
      </c>
      <c r="E140" s="1213" t="s">
        <v>401</v>
      </c>
      <c r="F140" s="1213" t="s">
        <v>401</v>
      </c>
      <c r="G140" s="1213" t="s">
        <v>401</v>
      </c>
      <c r="H140" s="1213"/>
      <c r="I140" s="1213" t="s">
        <v>401</v>
      </c>
      <c r="J140" s="1213" t="s">
        <v>401</v>
      </c>
      <c r="K140" s="1213" t="s">
        <v>401</v>
      </c>
      <c r="L140" s="1213" t="s">
        <v>401</v>
      </c>
      <c r="M140" s="1213" t="s">
        <v>401</v>
      </c>
      <c r="N140" s="1213"/>
      <c r="O140" s="1213" t="s">
        <v>401</v>
      </c>
      <c r="P140" s="1213" t="s">
        <v>401</v>
      </c>
      <c r="Q140" s="1213" t="s">
        <v>401</v>
      </c>
      <c r="R140" s="1213" t="s">
        <v>401</v>
      </c>
      <c r="S140" s="1213" t="s">
        <v>401</v>
      </c>
      <c r="T140" s="1213"/>
      <c r="U140" s="1213" t="s">
        <v>401</v>
      </c>
      <c r="V140" s="1213" t="s">
        <v>401</v>
      </c>
      <c r="W140" s="1213" t="s">
        <v>401</v>
      </c>
      <c r="X140" s="1213" t="s">
        <v>401</v>
      </c>
      <c r="Y140" s="1213" t="s">
        <v>401</v>
      </c>
      <c r="Z140" s="1213"/>
      <c r="AA140" s="1213" t="s">
        <v>401</v>
      </c>
      <c r="AB140" s="1213" t="s">
        <v>401</v>
      </c>
      <c r="AC140" s="1213" t="s">
        <v>401</v>
      </c>
      <c r="AD140" s="1213" t="s">
        <v>401</v>
      </c>
      <c r="AE140" s="1213" t="s">
        <v>401</v>
      </c>
      <c r="AF140" s="1213"/>
      <c r="AG140" s="1213" t="s">
        <v>401</v>
      </c>
      <c r="AH140" s="1213" t="s">
        <v>401</v>
      </c>
      <c r="AI140" s="1213" t="s">
        <v>401</v>
      </c>
      <c r="AJ140" s="1213" t="s">
        <v>401</v>
      </c>
      <c r="AK140" s="1213" t="s">
        <v>401</v>
      </c>
      <c r="AM140" s="128" t="s">
        <v>401</v>
      </c>
      <c r="AN140" s="128" t="s">
        <v>401</v>
      </c>
      <c r="AO140" s="128" t="s">
        <v>401</v>
      </c>
      <c r="AP140" s="128" t="s">
        <v>401</v>
      </c>
      <c r="AQ140" s="696" t="s">
        <v>401</v>
      </c>
      <c r="AS140" s="128" t="s">
        <v>401</v>
      </c>
      <c r="AT140" s="128" t="s">
        <v>401</v>
      </c>
      <c r="AU140" s="128" t="s">
        <v>401</v>
      </c>
      <c r="AV140" s="128" t="s">
        <v>401</v>
      </c>
      <c r="AW140" s="696" t="s">
        <v>401</v>
      </c>
      <c r="AY140" s="128" t="s">
        <v>401</v>
      </c>
      <c r="AZ140" s="128" t="s">
        <v>401</v>
      </c>
      <c r="BA140" s="128" t="s">
        <v>401</v>
      </c>
      <c r="BB140" s="128" t="s">
        <v>401</v>
      </c>
      <c r="BC140" s="696" t="s">
        <v>401</v>
      </c>
      <c r="BD140" s="811"/>
      <c r="BE140" s="128">
        <v>0</v>
      </c>
      <c r="BF140" s="128">
        <v>0</v>
      </c>
      <c r="BG140" s="128">
        <v>0</v>
      </c>
      <c r="BH140" s="128">
        <v>0</v>
      </c>
      <c r="BI140" s="696">
        <v>0</v>
      </c>
      <c r="BJ140" s="239"/>
      <c r="BK140" s="128">
        <v>0</v>
      </c>
      <c r="BL140" s="128">
        <v>0</v>
      </c>
      <c r="BM140" s="128">
        <v>0</v>
      </c>
      <c r="BN140" s="128">
        <v>0</v>
      </c>
      <c r="BO140" s="696">
        <v>0</v>
      </c>
      <c r="BP140" s="239"/>
      <c r="BQ140" s="128">
        <v>0</v>
      </c>
      <c r="BR140" s="128">
        <v>0</v>
      </c>
      <c r="BS140" s="128">
        <v>0</v>
      </c>
      <c r="BT140" s="128">
        <v>0</v>
      </c>
      <c r="BU140" s="696">
        <v>0</v>
      </c>
      <c r="BV140" s="239"/>
      <c r="BW140" s="128">
        <v>0</v>
      </c>
      <c r="BX140" s="128">
        <v>0</v>
      </c>
      <c r="BY140" s="128">
        <v>0</v>
      </c>
      <c r="BZ140" s="128">
        <v>0</v>
      </c>
      <c r="CA140" s="696">
        <v>0</v>
      </c>
      <c r="CB140" s="239"/>
      <c r="CC140" s="128">
        <v>0</v>
      </c>
      <c r="CD140" s="128">
        <v>0</v>
      </c>
      <c r="CE140" s="128">
        <v>0</v>
      </c>
      <c r="CF140" s="128">
        <v>0</v>
      </c>
      <c r="CG140" s="696">
        <v>0</v>
      </c>
    </row>
    <row r="141" spans="1:92" x14ac:dyDescent="0.2">
      <c r="B141" s="308" t="s">
        <v>293</v>
      </c>
      <c r="C141" s="1213" t="s">
        <v>401</v>
      </c>
      <c r="D141" s="1213" t="s">
        <v>401</v>
      </c>
      <c r="E141" s="1213" t="s">
        <v>401</v>
      </c>
      <c r="F141" s="1213" t="s">
        <v>401</v>
      </c>
      <c r="G141" s="1213" t="s">
        <v>401</v>
      </c>
      <c r="H141" s="1213"/>
      <c r="I141" s="1213" t="s">
        <v>401</v>
      </c>
      <c r="J141" s="1213" t="s">
        <v>401</v>
      </c>
      <c r="K141" s="1213" t="s">
        <v>401</v>
      </c>
      <c r="L141" s="1213" t="s">
        <v>401</v>
      </c>
      <c r="M141" s="1213" t="s">
        <v>401</v>
      </c>
      <c r="N141" s="1213"/>
      <c r="O141" s="1213" t="s">
        <v>401</v>
      </c>
      <c r="P141" s="1213" t="s">
        <v>401</v>
      </c>
      <c r="Q141" s="1213" t="s">
        <v>401</v>
      </c>
      <c r="R141" s="1213" t="s">
        <v>401</v>
      </c>
      <c r="S141" s="1213" t="s">
        <v>401</v>
      </c>
      <c r="T141" s="1213"/>
      <c r="U141" s="1213" t="s">
        <v>401</v>
      </c>
      <c r="V141" s="1213" t="s">
        <v>401</v>
      </c>
      <c r="W141" s="1213" t="s">
        <v>401</v>
      </c>
      <c r="X141" s="1213" t="s">
        <v>401</v>
      </c>
      <c r="Y141" s="1213" t="s">
        <v>401</v>
      </c>
      <c r="Z141" s="1213"/>
      <c r="AA141" s="1213" t="s">
        <v>401</v>
      </c>
      <c r="AB141" s="1213" t="s">
        <v>401</v>
      </c>
      <c r="AC141" s="1213" t="s">
        <v>401</v>
      </c>
      <c r="AD141" s="1213" t="s">
        <v>401</v>
      </c>
      <c r="AE141" s="1213" t="s">
        <v>401</v>
      </c>
      <c r="AF141" s="1213"/>
      <c r="AG141" s="1213" t="s">
        <v>401</v>
      </c>
      <c r="AH141" s="1213" t="s">
        <v>401</v>
      </c>
      <c r="AI141" s="1213" t="s">
        <v>401</v>
      </c>
      <c r="AJ141" s="1213" t="s">
        <v>401</v>
      </c>
      <c r="AK141" s="1213" t="s">
        <v>401</v>
      </c>
      <c r="AM141" s="288">
        <f>AM75+AM30</f>
        <v>72.629000000000005</v>
      </c>
      <c r="AN141" s="288">
        <f>AN75+AN30</f>
        <v>88.690999999999988</v>
      </c>
      <c r="AO141" s="288">
        <f>AO75+AO30</f>
        <v>80.866</v>
      </c>
      <c r="AP141" s="288">
        <f>AP75+AP30</f>
        <v>76.030999999999992</v>
      </c>
      <c r="AQ141" s="289">
        <f>AQ75+AQ30</f>
        <v>318.21699999999987</v>
      </c>
      <c r="AS141" s="288">
        <f>AS75+AS30</f>
        <v>72.92</v>
      </c>
      <c r="AT141" s="288">
        <f>AT75+AT30</f>
        <v>90.013999999999996</v>
      </c>
      <c r="AU141" s="288">
        <f>AU75+AU30</f>
        <v>75.265999999999991</v>
      </c>
      <c r="AV141" s="288">
        <f>AV75+AV30</f>
        <v>84.712999999999994</v>
      </c>
      <c r="AW141" s="289">
        <f>AW75+AW30</f>
        <v>322.91299999999984</v>
      </c>
      <c r="AY141" s="288">
        <f>AY75+AY30</f>
        <v>63.954000000000001</v>
      </c>
      <c r="AZ141" s="288">
        <f>AZ75+AZ30</f>
        <v>44.064</v>
      </c>
      <c r="BA141" s="288">
        <f>BA75+BA30</f>
        <v>84.4</v>
      </c>
      <c r="BB141" s="288">
        <f>BB75+BB30</f>
        <v>58.603000000000002</v>
      </c>
      <c r="BC141" s="289">
        <f>BC75+BC30</f>
        <v>250.52100000000002</v>
      </c>
      <c r="BD141" s="811"/>
      <c r="BE141" s="288">
        <f>BE75+BE30</f>
        <v>125.3</v>
      </c>
      <c r="BF141" s="288">
        <f>BF75+BF30</f>
        <v>105.9</v>
      </c>
      <c r="BG141" s="288">
        <f>BG75+BG30</f>
        <v>92.3</v>
      </c>
      <c r="BH141" s="288">
        <f>BH75+BH30</f>
        <v>107.9</v>
      </c>
      <c r="BI141" s="289">
        <f>BI75+BI30</f>
        <v>431.39999999999986</v>
      </c>
      <c r="BJ141" s="464"/>
      <c r="BK141" s="288">
        <f>BK75+BK30</f>
        <v>59.699999999999996</v>
      </c>
      <c r="BL141" s="288">
        <f>BL75+BL30</f>
        <v>-1050.3</v>
      </c>
      <c r="BM141" s="288">
        <f>BM75+BM30</f>
        <v>90.5</v>
      </c>
      <c r="BN141" s="288">
        <f>BN75+BN30</f>
        <v>-673.19999999999993</v>
      </c>
      <c r="BO141" s="289">
        <f>BO75+BO30</f>
        <v>-1573.3</v>
      </c>
      <c r="BP141" s="464"/>
      <c r="BQ141" s="288">
        <f>BQ75+BQ30</f>
        <v>63.783640999999932</v>
      </c>
      <c r="BR141" s="288">
        <f>BR75+BR30</f>
        <v>93.611384199179412</v>
      </c>
      <c r="BS141" s="288">
        <f>BS75+BS30</f>
        <v>98.91583815510856</v>
      </c>
      <c r="BT141" s="288">
        <f>BT75+BT30</f>
        <v>152.37028443859003</v>
      </c>
      <c r="BU141" s="289">
        <f>BU75+BU30</f>
        <v>408.68114779287816</v>
      </c>
      <c r="BV141" s="464"/>
      <c r="BW141" s="288">
        <f>BW75+BW30</f>
        <v>107.80188761103405</v>
      </c>
      <c r="BX141" s="288">
        <f>BX75+BX30</f>
        <v>124.71789824698436</v>
      </c>
      <c r="BY141" s="288">
        <f>BY75+BY30</f>
        <v>107.73766899382596</v>
      </c>
      <c r="BZ141" s="288">
        <f>BZ75+BZ30</f>
        <v>150.79058017731924</v>
      </c>
      <c r="CA141" s="289">
        <f>CA75+CA30</f>
        <v>491.04803502916383</v>
      </c>
      <c r="CB141" s="464"/>
      <c r="CC141" s="288">
        <f>CC75+CC30</f>
        <v>122.63634511365812</v>
      </c>
      <c r="CD141" s="288">
        <f>CD75+CD30</f>
        <v>141.37020507299977</v>
      </c>
      <c r="CE141" s="288">
        <f>CE75+CE30</f>
        <v>125.83162541352057</v>
      </c>
      <c r="CF141" s="288">
        <f>CF75+CF30</f>
        <v>168.90489779109282</v>
      </c>
      <c r="CG141" s="289">
        <f>CG75+CG30</f>
        <v>558.7430733912712</v>
      </c>
    </row>
    <row r="142" spans="1:92" x14ac:dyDescent="0.2">
      <c r="B142" s="726" t="s">
        <v>499</v>
      </c>
      <c r="C142" s="1213" t="s">
        <v>401</v>
      </c>
      <c r="D142" s="1213" t="s">
        <v>401</v>
      </c>
      <c r="E142" s="1213" t="s">
        <v>401</v>
      </c>
      <c r="F142" s="1213" t="s">
        <v>401</v>
      </c>
      <c r="G142" s="1213" t="s">
        <v>401</v>
      </c>
      <c r="H142" s="1213"/>
      <c r="I142" s="1213" t="s">
        <v>401</v>
      </c>
      <c r="J142" s="1213" t="s">
        <v>401</v>
      </c>
      <c r="K142" s="1213" t="s">
        <v>401</v>
      </c>
      <c r="L142" s="1213" t="s">
        <v>401</v>
      </c>
      <c r="M142" s="1213" t="s">
        <v>401</v>
      </c>
      <c r="N142" s="1213"/>
      <c r="O142" s="1213" t="s">
        <v>401</v>
      </c>
      <c r="P142" s="1213" t="s">
        <v>401</v>
      </c>
      <c r="Q142" s="1213" t="s">
        <v>401</v>
      </c>
      <c r="R142" s="1213" t="s">
        <v>401</v>
      </c>
      <c r="S142" s="1213" t="s">
        <v>401</v>
      </c>
      <c r="T142" s="1213"/>
      <c r="U142" s="1213" t="s">
        <v>401</v>
      </c>
      <c r="V142" s="1213" t="s">
        <v>401</v>
      </c>
      <c r="W142" s="1213" t="s">
        <v>401</v>
      </c>
      <c r="X142" s="1213" t="s">
        <v>401</v>
      </c>
      <c r="Y142" s="1213" t="s">
        <v>401</v>
      </c>
      <c r="Z142" s="1213"/>
      <c r="AA142" s="1213" t="s">
        <v>401</v>
      </c>
      <c r="AB142" s="1213" t="s">
        <v>401</v>
      </c>
      <c r="AC142" s="1213" t="s">
        <v>401</v>
      </c>
      <c r="AD142" s="1213" t="s">
        <v>401</v>
      </c>
      <c r="AE142" s="1213" t="s">
        <v>401</v>
      </c>
      <c r="AF142" s="1213"/>
      <c r="AG142" s="1213" t="s">
        <v>401</v>
      </c>
      <c r="AH142" s="1213" t="s">
        <v>401</v>
      </c>
      <c r="AI142" s="1213" t="s">
        <v>401</v>
      </c>
      <c r="AJ142" s="1213" t="s">
        <v>401</v>
      </c>
      <c r="AK142" s="1213" t="s">
        <v>401</v>
      </c>
      <c r="AL142" s="686"/>
      <c r="AM142" s="686" t="s">
        <v>401</v>
      </c>
      <c r="AN142" s="686" t="s">
        <v>401</v>
      </c>
      <c r="AO142" s="686" t="s">
        <v>401</v>
      </c>
      <c r="AP142" s="686" t="s">
        <v>401</v>
      </c>
      <c r="AQ142" s="727" t="s">
        <v>401</v>
      </c>
      <c r="AS142" s="686" t="s">
        <v>401</v>
      </c>
      <c r="AT142" s="686" t="s">
        <v>401</v>
      </c>
      <c r="AU142" s="686" t="s">
        <v>401</v>
      </c>
      <c r="AV142" s="686" t="s">
        <v>401</v>
      </c>
      <c r="AW142" s="727" t="s">
        <v>401</v>
      </c>
      <c r="AY142" s="686" t="s">
        <v>401</v>
      </c>
      <c r="AZ142" s="686" t="s">
        <v>401</v>
      </c>
      <c r="BA142" s="686" t="s">
        <v>401</v>
      </c>
      <c r="BB142" s="686" t="s">
        <v>401</v>
      </c>
      <c r="BC142" s="727" t="s">
        <v>401</v>
      </c>
      <c r="BD142" s="811"/>
      <c r="BE142" s="686">
        <f>CashFlow!BE16+CashFlow!BE14+CashFlow!BE44+CashFlow!BE50+CashFlow!BE51</f>
        <v>-416.6</v>
      </c>
      <c r="BF142" s="686">
        <f>CashFlow!BF16+CashFlow!BF14+CashFlow!BF44+CashFlow!BF50+CashFlow!BF51</f>
        <v>-145.6</v>
      </c>
      <c r="BG142" s="686">
        <f>CashFlow!BG16+CashFlow!BG14+CashFlow!BG44+CashFlow!BG50+CashFlow!BG51</f>
        <v>-76.30000000000004</v>
      </c>
      <c r="BH142" s="686">
        <f>CashFlow!BH16+CashFlow!BH14+CashFlow!BH44+CashFlow!BH50+CashFlow!BH51</f>
        <v>-93.099999999999923</v>
      </c>
      <c r="BI142" s="727">
        <f>CashFlow!BI16+CashFlow!BI14+CashFlow!BI44+CashFlow!BI50+CashFlow!BI51</f>
        <v>-731.6</v>
      </c>
      <c r="BJ142" s="685"/>
      <c r="BK142" s="686">
        <f>CashFlow!BK16+CashFlow!BK14+CashFlow!BK44+CashFlow!BK50+CashFlow!BK51</f>
        <v>-37.70000000000001</v>
      </c>
      <c r="BL142" s="686">
        <f>CashFlow!BL16+CashFlow!BL14+CashFlow!BL44+CashFlow!BL50+CashFlow!BL51</f>
        <v>-46.5</v>
      </c>
      <c r="BM142" s="686">
        <f>CashFlow!BM16+CashFlow!BM14+CashFlow!BM44+CashFlow!BM50+CashFlow!BM51</f>
        <v>26.499999999999993</v>
      </c>
      <c r="BN142" s="686">
        <f>CashFlow!BN16+CashFlow!BN14+CashFlow!BN44+CashFlow!BN50+CashFlow!BN51</f>
        <v>-213.39999999999995</v>
      </c>
      <c r="BO142" s="727">
        <f>CashFlow!BO16+CashFlow!BO14+CashFlow!BO44+CashFlow!BO50+CashFlow!BO51</f>
        <v>-271.09999999999997</v>
      </c>
      <c r="BP142" s="685"/>
      <c r="BQ142" s="686">
        <f>CashFlow!BQ16+CashFlow!BQ14+CashFlow!BQ44+CashFlow!BQ50+CashFlow!BQ51</f>
        <v>-104.64859510768243</v>
      </c>
      <c r="BR142" s="686">
        <f>CashFlow!BR16+CashFlow!BR14+CashFlow!BR44+CashFlow!BR50+CashFlow!BR51</f>
        <v>-101.0617752730498</v>
      </c>
      <c r="BS142" s="686">
        <f>CashFlow!BS16+CashFlow!BS14+CashFlow!BS44+CashFlow!BS50+CashFlow!BS51</f>
        <v>-101.75979675298106</v>
      </c>
      <c r="BT142" s="686">
        <f>CashFlow!BT16+CashFlow!BT14+CashFlow!BT44+CashFlow!BT50+CashFlow!BT51</f>
        <v>-101.70653128474029</v>
      </c>
      <c r="BU142" s="727">
        <f>CashFlow!BU16+CashFlow!BU14+CashFlow!BU44+CashFlow!BU50+CashFlow!BU51</f>
        <v>-409.17669841845361</v>
      </c>
      <c r="BV142" s="685"/>
      <c r="BW142" s="686">
        <f>CashFlow!BW16+CashFlow!BW14+CashFlow!BW44+CashFlow!BW50+CashFlow!BW51</f>
        <v>-126.86669960672238</v>
      </c>
      <c r="BX142" s="686">
        <f>CashFlow!BX16+CashFlow!BX14+CashFlow!BX44+CashFlow!BX50+CashFlow!BX51</f>
        <v>-121.81366399902983</v>
      </c>
      <c r="BY142" s="686">
        <f>CashFlow!BY16+CashFlow!BY14+CashFlow!BY44+CashFlow!BY50+CashFlow!BY51</f>
        <v>-122.51423260086898</v>
      </c>
      <c r="BZ142" s="686">
        <f>CashFlow!BZ16+CashFlow!BZ14+CashFlow!BZ44+CashFlow!BZ50+CashFlow!BZ51</f>
        <v>-122.54409778596475</v>
      </c>
      <c r="CA142" s="727">
        <f>CashFlow!CA16+CashFlow!CA14+CashFlow!CA44+CashFlow!CA50+CashFlow!CA51</f>
        <v>-493.73869399258598</v>
      </c>
      <c r="CB142" s="685"/>
      <c r="CC142" s="686">
        <f>CashFlow!CC16+CashFlow!CC14+CashFlow!CC44+CashFlow!CC50+CashFlow!CC51</f>
        <v>-122.59568838224951</v>
      </c>
      <c r="CD142" s="686">
        <f>CashFlow!CD16+CashFlow!CD14+CashFlow!CD44+CashFlow!CD50+CashFlow!CD51</f>
        <v>-116.37979881746588</v>
      </c>
      <c r="CE142" s="686">
        <f>CashFlow!CE16+CashFlow!CE14+CashFlow!CE44+CashFlow!CE50+CashFlow!CE51</f>
        <v>-117.46237567467367</v>
      </c>
      <c r="CF142" s="686">
        <f>CashFlow!CF16+CashFlow!CF14+CashFlow!CF44+CashFlow!CF50+CashFlow!CF51</f>
        <v>-117.6863751256101</v>
      </c>
      <c r="CG142" s="727">
        <f>CashFlow!CG16+CashFlow!CG14+CashFlow!CG44+CashFlow!CG50+CashFlow!CG51</f>
        <v>-474.12423799999908</v>
      </c>
    </row>
    <row r="143" spans="1:92" x14ac:dyDescent="0.2">
      <c r="B143" s="726" t="s">
        <v>184</v>
      </c>
      <c r="C143" s="1213" t="s">
        <v>401</v>
      </c>
      <c r="D143" s="1213" t="s">
        <v>401</v>
      </c>
      <c r="E143" s="1213" t="s">
        <v>401</v>
      </c>
      <c r="F143" s="1213" t="s">
        <v>401</v>
      </c>
      <c r="G143" s="1213" t="s">
        <v>401</v>
      </c>
      <c r="H143" s="1213"/>
      <c r="I143" s="1213" t="s">
        <v>401</v>
      </c>
      <c r="J143" s="1213" t="s">
        <v>401</v>
      </c>
      <c r="K143" s="1213" t="s">
        <v>401</v>
      </c>
      <c r="L143" s="1213" t="s">
        <v>401</v>
      </c>
      <c r="M143" s="1213" t="s">
        <v>401</v>
      </c>
      <c r="N143" s="1213"/>
      <c r="O143" s="1213" t="s">
        <v>401</v>
      </c>
      <c r="P143" s="1213" t="s">
        <v>401</v>
      </c>
      <c r="Q143" s="1213" t="s">
        <v>401</v>
      </c>
      <c r="R143" s="1213" t="s">
        <v>401</v>
      </c>
      <c r="S143" s="1213" t="s">
        <v>401</v>
      </c>
      <c r="T143" s="1213"/>
      <c r="U143" s="1213" t="s">
        <v>401</v>
      </c>
      <c r="V143" s="1213" t="s">
        <v>401</v>
      </c>
      <c r="W143" s="1213" t="s">
        <v>401</v>
      </c>
      <c r="X143" s="1213" t="s">
        <v>401</v>
      </c>
      <c r="Y143" s="1213" t="s">
        <v>401</v>
      </c>
      <c r="Z143" s="1213"/>
      <c r="AA143" s="1213" t="s">
        <v>401</v>
      </c>
      <c r="AB143" s="1213" t="s">
        <v>401</v>
      </c>
      <c r="AC143" s="1213" t="s">
        <v>401</v>
      </c>
      <c r="AD143" s="1213" t="s">
        <v>401</v>
      </c>
      <c r="AE143" s="1213" t="s">
        <v>401</v>
      </c>
      <c r="AF143" s="1213"/>
      <c r="AG143" s="1213" t="s">
        <v>401</v>
      </c>
      <c r="AH143" s="1213" t="s">
        <v>401</v>
      </c>
      <c r="AI143" s="1213" t="s">
        <v>401</v>
      </c>
      <c r="AJ143" s="1213" t="s">
        <v>401</v>
      </c>
      <c r="AK143" s="1213" t="s">
        <v>401</v>
      </c>
      <c r="AL143" s="479"/>
      <c r="AM143" s="479" t="s">
        <v>401</v>
      </c>
      <c r="AN143" s="686" t="s">
        <v>401</v>
      </c>
      <c r="AO143" s="686" t="s">
        <v>401</v>
      </c>
      <c r="AP143" s="686" t="s">
        <v>401</v>
      </c>
      <c r="AQ143" s="727" t="s">
        <v>401</v>
      </c>
      <c r="AS143" s="479" t="s">
        <v>401</v>
      </c>
      <c r="AT143" s="686" t="s">
        <v>401</v>
      </c>
      <c r="AU143" s="686" t="s">
        <v>401</v>
      </c>
      <c r="AV143" s="686" t="s">
        <v>401</v>
      </c>
      <c r="AW143" s="727" t="s">
        <v>401</v>
      </c>
      <c r="AY143" s="479" t="s">
        <v>401</v>
      </c>
      <c r="AZ143" s="686" t="s">
        <v>401</v>
      </c>
      <c r="BA143" s="686" t="s">
        <v>401</v>
      </c>
      <c r="BB143" s="686" t="s">
        <v>401</v>
      </c>
      <c r="BC143" s="727" t="s">
        <v>401</v>
      </c>
      <c r="BD143" s="811"/>
      <c r="BE143" s="479">
        <f>+BC123</f>
        <v>140.1</v>
      </c>
      <c r="BF143" s="686">
        <f>BE144</f>
        <v>234.230941</v>
      </c>
      <c r="BG143" s="686">
        <f>BF144</f>
        <v>233</v>
      </c>
      <c r="BH143" s="686">
        <f>BG144</f>
        <v>231.6</v>
      </c>
      <c r="BI143" s="727">
        <f>BE143</f>
        <v>140.1</v>
      </c>
      <c r="BJ143" s="685"/>
      <c r="BK143" s="686">
        <f>BI144</f>
        <v>230.1</v>
      </c>
      <c r="BL143" s="686">
        <f>BK144</f>
        <v>230.1</v>
      </c>
      <c r="BM143" s="686">
        <f>BL144</f>
        <v>229.4</v>
      </c>
      <c r="BN143" s="686">
        <f>BM144</f>
        <v>229.5</v>
      </c>
      <c r="BO143" s="727">
        <f>BK143</f>
        <v>230.1</v>
      </c>
      <c r="BP143" s="685"/>
      <c r="BQ143" s="686">
        <f>BO144</f>
        <v>226.07453416149067</v>
      </c>
      <c r="BR143" s="686">
        <f>BQ144</f>
        <v>224.12745372219598</v>
      </c>
      <c r="BS143" s="686">
        <f>BR144</f>
        <v>222.22547736097849</v>
      </c>
      <c r="BT143" s="686">
        <f>BS144</f>
        <v>220.47981027645824</v>
      </c>
      <c r="BU143" s="727">
        <f>BQ143</f>
        <v>226.07453416149067</v>
      </c>
      <c r="BV143" s="685"/>
      <c r="BW143" s="686">
        <f>BU144</f>
        <v>218.6884882378753</v>
      </c>
      <c r="BX143" s="686">
        <f>BW144</f>
        <v>216.53508271680352</v>
      </c>
      <c r="BY143" s="686">
        <f>BX144</f>
        <v>214.73492609344979</v>
      </c>
      <c r="BZ143" s="686">
        <f>BY144</f>
        <v>212.78342803033172</v>
      </c>
      <c r="CA143" s="727">
        <f>BW143</f>
        <v>218.6884882378753</v>
      </c>
      <c r="CB143" s="685"/>
      <c r="CC143" s="686">
        <f>CA144</f>
        <v>210.75996860698118</v>
      </c>
      <c r="CD143" s="686">
        <f>CC144</f>
        <v>208.76835320037139</v>
      </c>
      <c r="CE143" s="686">
        <f>CD144</f>
        <v>207.12600933234563</v>
      </c>
      <c r="CF143" s="686">
        <f>CE144</f>
        <v>205.33365175577151</v>
      </c>
      <c r="CG143" s="727">
        <f>CC143</f>
        <v>210.75996860698118</v>
      </c>
    </row>
    <row r="144" spans="1:92" x14ac:dyDescent="0.2">
      <c r="B144" s="689" t="s">
        <v>185</v>
      </c>
      <c r="C144" s="1214" t="s">
        <v>401</v>
      </c>
      <c r="D144" s="1214" t="s">
        <v>401</v>
      </c>
      <c r="E144" s="1214" t="s">
        <v>401</v>
      </c>
      <c r="F144" s="1214" t="s">
        <v>401</v>
      </c>
      <c r="G144" s="1214" t="s">
        <v>401</v>
      </c>
      <c r="H144" s="1214"/>
      <c r="I144" s="1214" t="s">
        <v>401</v>
      </c>
      <c r="J144" s="1214" t="s">
        <v>401</v>
      </c>
      <c r="K144" s="1214" t="s">
        <v>401</v>
      </c>
      <c r="L144" s="1214" t="s">
        <v>401</v>
      </c>
      <c r="M144" s="1214" t="s">
        <v>401</v>
      </c>
      <c r="N144" s="1214"/>
      <c r="O144" s="1214" t="s">
        <v>401</v>
      </c>
      <c r="P144" s="1214" t="s">
        <v>401</v>
      </c>
      <c r="Q144" s="1214" t="s">
        <v>401</v>
      </c>
      <c r="R144" s="1214" t="s">
        <v>401</v>
      </c>
      <c r="S144" s="1214" t="s">
        <v>401</v>
      </c>
      <c r="T144" s="1214"/>
      <c r="U144" s="1214" t="s">
        <v>401</v>
      </c>
      <c r="V144" s="1214" t="s">
        <v>401</v>
      </c>
      <c r="W144" s="1214" t="s">
        <v>401</v>
      </c>
      <c r="X144" s="1214" t="s">
        <v>401</v>
      </c>
      <c r="Y144" s="1214" t="s">
        <v>401</v>
      </c>
      <c r="Z144" s="1214"/>
      <c r="AA144" s="1214" t="s">
        <v>401</v>
      </c>
      <c r="AB144" s="1214" t="s">
        <v>401</v>
      </c>
      <c r="AC144" s="1214" t="s">
        <v>401</v>
      </c>
      <c r="AD144" s="1214" t="s">
        <v>401</v>
      </c>
      <c r="AE144" s="1214" t="s">
        <v>401</v>
      </c>
      <c r="AF144" s="1214"/>
      <c r="AG144" s="1214" t="s">
        <v>401</v>
      </c>
      <c r="AH144" s="1214" t="s">
        <v>401</v>
      </c>
      <c r="AI144" s="1214" t="s">
        <v>401</v>
      </c>
      <c r="AJ144" s="1214" t="s">
        <v>401</v>
      </c>
      <c r="AK144" s="1214" t="s">
        <v>401</v>
      </c>
      <c r="AL144" s="690"/>
      <c r="AM144" s="690" t="s">
        <v>401</v>
      </c>
      <c r="AN144" s="690" t="s">
        <v>401</v>
      </c>
      <c r="AO144" s="690" t="s">
        <v>401</v>
      </c>
      <c r="AP144" s="690" t="s">
        <v>401</v>
      </c>
      <c r="AQ144" s="697" t="s">
        <v>401</v>
      </c>
      <c r="AS144" s="690" t="s">
        <v>401</v>
      </c>
      <c r="AT144" s="690" t="s">
        <v>401</v>
      </c>
      <c r="AU144" s="690" t="s">
        <v>401</v>
      </c>
      <c r="AV144" s="690" t="s">
        <v>401</v>
      </c>
      <c r="AW144" s="697" t="s">
        <v>401</v>
      </c>
      <c r="AY144" s="690" t="s">
        <v>401</v>
      </c>
      <c r="AZ144" s="690" t="s">
        <v>401</v>
      </c>
      <c r="BA144" s="690" t="s">
        <v>401</v>
      </c>
      <c r="BB144" s="690" t="s">
        <v>401</v>
      </c>
      <c r="BC144" s="697" t="s">
        <v>401</v>
      </c>
      <c r="BD144" s="811"/>
      <c r="BE144" s="690">
        <f>BE123</f>
        <v>234.230941</v>
      </c>
      <c r="BF144" s="690">
        <f>BF123</f>
        <v>233</v>
      </c>
      <c r="BG144" s="1344">
        <f>BG123</f>
        <v>231.6</v>
      </c>
      <c r="BH144" s="1344">
        <f>BH123</f>
        <v>230.1</v>
      </c>
      <c r="BI144" s="697">
        <f>BH144</f>
        <v>230.1</v>
      </c>
      <c r="BJ144" s="685"/>
      <c r="BK144" s="690">
        <f>BK123</f>
        <v>230.1</v>
      </c>
      <c r="BL144" s="690">
        <f>BL123</f>
        <v>229.4</v>
      </c>
      <c r="BM144" s="1469">
        <f>BM123</f>
        <v>229.5</v>
      </c>
      <c r="BN144" s="1344">
        <f>BN123</f>
        <v>226.07453416149067</v>
      </c>
      <c r="BO144" s="697">
        <f>BN144</f>
        <v>226.07453416149067</v>
      </c>
      <c r="BP144" s="685"/>
      <c r="BQ144" s="690">
        <f>BQ143+(CashFlow!BQ44+CashFlow!BQ50)/CashFlow!BQ148</f>
        <v>224.12745372219598</v>
      </c>
      <c r="BR144" s="690">
        <f>BR143+(CashFlow!BR44+CashFlow!BR50)/CashFlow!BR148</f>
        <v>222.22547736097849</v>
      </c>
      <c r="BS144" s="690">
        <f>BS143+(CashFlow!BS44+CashFlow!BS50)/CashFlow!BS148</f>
        <v>220.47981027645824</v>
      </c>
      <c r="BT144" s="690">
        <f>BT143+(CashFlow!BT44+CashFlow!BT50)/CashFlow!BT148</f>
        <v>218.6884882378753</v>
      </c>
      <c r="BU144" s="697">
        <f>BT144</f>
        <v>218.6884882378753</v>
      </c>
      <c r="BV144" s="685"/>
      <c r="BW144" s="690">
        <f>BW143+(CashFlow!BW44+CashFlow!BW50)/CashFlow!BW148</f>
        <v>216.53508271680352</v>
      </c>
      <c r="BX144" s="690">
        <f>BX143+(CashFlow!BX44+CashFlow!BX50)/CashFlow!BX148</f>
        <v>214.73492609344979</v>
      </c>
      <c r="BY144" s="690">
        <f>BY143+(CashFlow!BY44+CashFlow!BY50)/CashFlow!BY148</f>
        <v>212.78342803033172</v>
      </c>
      <c r="BZ144" s="690">
        <f>BZ143+(CashFlow!BZ44+CashFlow!BZ50)/CashFlow!BZ148</f>
        <v>210.75996860698118</v>
      </c>
      <c r="CA144" s="697">
        <f>BZ144</f>
        <v>210.75996860698118</v>
      </c>
      <c r="CB144" s="685"/>
      <c r="CC144" s="690">
        <f>CC143+(CashFlow!CC44+CashFlow!CC50)/CashFlow!CC148</f>
        <v>208.76835320037139</v>
      </c>
      <c r="CD144" s="690">
        <f>CD143+(CashFlow!CD44+CashFlow!CD50)/CashFlow!CD148</f>
        <v>207.12600933234563</v>
      </c>
      <c r="CE144" s="690">
        <f>CE143+(CashFlow!CE44+CashFlow!CE50)/CashFlow!CE148</f>
        <v>205.33365175577151</v>
      </c>
      <c r="CF144" s="690">
        <f>CF143+(CashFlow!CF44+CashFlow!CF50)/CashFlow!CF148</f>
        <v>203.47025691607774</v>
      </c>
      <c r="CG144" s="697">
        <f>CF144</f>
        <v>203.47025691607774</v>
      </c>
    </row>
    <row r="145" spans="2:98" x14ac:dyDescent="0.2">
      <c r="B145" s="811"/>
      <c r="AZ145" s="379"/>
      <c r="BD145" s="811"/>
      <c r="BE145" s="809"/>
      <c r="BF145" s="809"/>
      <c r="BG145" s="809"/>
      <c r="BH145" s="809"/>
      <c r="BI145" s="809"/>
      <c r="BJ145" s="810"/>
      <c r="BK145" s="809"/>
      <c r="BL145" s="809"/>
      <c r="BM145" s="809"/>
      <c r="BN145" s="809"/>
      <c r="BO145" s="809"/>
      <c r="BP145" s="810"/>
      <c r="BQ145" s="809"/>
      <c r="BR145" s="809"/>
      <c r="BS145" s="809"/>
      <c r="BT145" s="809"/>
      <c r="BU145" s="809"/>
      <c r="BV145" s="810"/>
      <c r="BW145" s="809"/>
      <c r="BX145" s="809"/>
      <c r="BY145" s="809"/>
      <c r="BZ145" s="809"/>
      <c r="CA145" s="809"/>
      <c r="CB145" s="810"/>
      <c r="CC145" s="809"/>
      <c r="CD145" s="809"/>
      <c r="CE145" s="809"/>
      <c r="CF145" s="809"/>
      <c r="CG145" s="809"/>
    </row>
    <row r="146" spans="2:98" x14ac:dyDescent="0.2">
      <c r="B146" s="811"/>
      <c r="BA146" s="811"/>
      <c r="BD146" s="811"/>
    </row>
    <row r="147" spans="2:98" ht="12.75" customHeight="1" outlineLevel="1" x14ac:dyDescent="0.2">
      <c r="BE147"/>
      <c r="BF147"/>
      <c r="BG147"/>
      <c r="BH147"/>
      <c r="BI147"/>
      <c r="BJ147"/>
      <c r="BK147"/>
      <c r="BL147"/>
      <c r="BM147"/>
      <c r="BN147"/>
      <c r="BO147"/>
      <c r="BP147"/>
      <c r="BQ147"/>
      <c r="BR147"/>
      <c r="BS147"/>
      <c r="BT147"/>
      <c r="BU147"/>
      <c r="BV147"/>
      <c r="BW147"/>
      <c r="BX147"/>
      <c r="BY147"/>
      <c r="BZ147"/>
      <c r="CA147"/>
      <c r="CB147"/>
      <c r="CC147"/>
      <c r="CD147"/>
      <c r="CE147"/>
      <c r="CF147"/>
      <c r="CG147"/>
    </row>
    <row r="148" spans="2:98" x14ac:dyDescent="0.2">
      <c r="B148" s="811"/>
      <c r="BD148" s="811"/>
    </row>
    <row r="149" spans="2:98" x14ac:dyDescent="0.2">
      <c r="B149" s="379" t="s">
        <v>661</v>
      </c>
      <c r="BO149" s="1312"/>
    </row>
    <row r="150" spans="2:98" x14ac:dyDescent="0.2">
      <c r="B150" s="691" t="s">
        <v>534</v>
      </c>
      <c r="C150" s="692"/>
      <c r="D150" s="692"/>
      <c r="E150" s="692"/>
      <c r="F150" s="692"/>
      <c r="G150" s="693"/>
      <c r="H150" s="715"/>
      <c r="I150" s="692"/>
      <c r="J150" s="692"/>
      <c r="K150" s="692"/>
      <c r="L150" s="692"/>
      <c r="M150" s="693"/>
      <c r="N150" s="715"/>
      <c r="O150" s="692"/>
      <c r="P150" s="692"/>
      <c r="Q150" s="692"/>
      <c r="R150" s="692"/>
      <c r="S150" s="693"/>
      <c r="T150" s="715"/>
      <c r="U150" s="692"/>
      <c r="V150" s="692"/>
      <c r="W150" s="692"/>
      <c r="X150" s="692"/>
      <c r="Y150" s="693"/>
      <c r="Z150" s="106"/>
      <c r="AA150" s="692"/>
      <c r="AB150" s="692"/>
      <c r="AC150" s="692"/>
      <c r="AD150" s="692"/>
      <c r="AE150" s="693"/>
      <c r="AF150" s="106"/>
      <c r="AG150" s="692"/>
      <c r="AH150" s="692"/>
      <c r="AI150" s="692"/>
      <c r="AJ150" s="692"/>
      <c r="AK150" s="693"/>
      <c r="AL150" s="106"/>
      <c r="AM150" s="692"/>
      <c r="AN150" s="692"/>
      <c r="AO150" s="692"/>
      <c r="AP150" s="692"/>
      <c r="AQ150" s="693"/>
      <c r="AR150" s="106"/>
      <c r="AS150" s="692"/>
      <c r="AT150" s="692"/>
      <c r="AU150" s="692"/>
      <c r="AV150" s="692"/>
      <c r="AW150" s="693"/>
      <c r="AX150" s="106"/>
      <c r="AY150" s="692"/>
      <c r="AZ150" s="692"/>
      <c r="BA150" s="692"/>
      <c r="BB150" s="692"/>
      <c r="BC150" s="693"/>
      <c r="BD150" s="106"/>
      <c r="BE150" s="692"/>
      <c r="BF150" s="692"/>
      <c r="BG150" s="692"/>
      <c r="BH150" s="692"/>
      <c r="BI150" s="693"/>
      <c r="BJ150" s="106"/>
      <c r="BK150" s="692"/>
      <c r="BL150" s="692"/>
      <c r="BM150" s="692"/>
      <c r="BN150" s="692"/>
      <c r="BO150" s="775"/>
      <c r="BP150" s="106"/>
      <c r="BQ150" s="692"/>
      <c r="BR150" s="692"/>
      <c r="BS150" s="692"/>
      <c r="BT150" s="692"/>
      <c r="BU150" s="775"/>
      <c r="BV150" s="106"/>
      <c r="BW150" s="692"/>
      <c r="BX150" s="692"/>
      <c r="BY150" s="692"/>
      <c r="BZ150" s="692"/>
      <c r="CA150" s="775"/>
      <c r="CB150" s="106"/>
      <c r="CC150" s="692"/>
      <c r="CD150" s="692"/>
      <c r="CE150" s="692"/>
      <c r="CF150" s="692"/>
      <c r="CG150" s="775"/>
    </row>
    <row r="151" spans="2:98" x14ac:dyDescent="0.2">
      <c r="B151" s="283" t="s">
        <v>539</v>
      </c>
      <c r="C151" s="1298"/>
      <c r="D151" s="1298"/>
      <c r="E151" s="1298"/>
      <c r="F151" s="1298"/>
      <c r="G151" s="1298"/>
      <c r="H151" s="1298"/>
      <c r="I151" s="1298"/>
      <c r="J151" s="1298"/>
      <c r="K151" s="1298"/>
      <c r="L151" s="1298"/>
      <c r="M151" s="1298"/>
      <c r="N151" s="1298"/>
      <c r="O151" s="1298"/>
      <c r="P151" s="1298"/>
      <c r="Q151" s="1298"/>
      <c r="R151" s="1298"/>
      <c r="S151" s="1298"/>
      <c r="T151" s="1298"/>
      <c r="U151" s="1298"/>
      <c r="V151" s="1298"/>
      <c r="W151" s="1298"/>
      <c r="X151" s="1298"/>
      <c r="Y151" s="1298"/>
      <c r="Z151" s="1298"/>
      <c r="AA151" s="1298"/>
      <c r="AB151" s="1298"/>
      <c r="AC151" s="1298"/>
      <c r="AD151" s="1298"/>
      <c r="AE151" s="1298"/>
      <c r="AF151" s="1298"/>
      <c r="AG151" s="1298"/>
      <c r="AH151" s="1298"/>
      <c r="AI151" s="1298"/>
      <c r="AJ151" s="1298"/>
      <c r="AK151" s="1199"/>
      <c r="AL151" s="716"/>
      <c r="AM151" s="1059">
        <f>+'Pro Forma P&amp;L'!AM51</f>
        <v>163.35538708201659</v>
      </c>
      <c r="AN151" s="1059">
        <f>+'Pro Forma P&amp;L'!AN51</f>
        <v>203.5750975470155</v>
      </c>
      <c r="AO151" s="1059">
        <f>+'Pro Forma P&amp;L'!AO51</f>
        <v>174.26310627539158</v>
      </c>
      <c r="AP151" s="1059">
        <f>+'Pro Forma P&amp;L'!AP51</f>
        <v>192.1224978382553</v>
      </c>
      <c r="AQ151" s="1301">
        <f>+'Pro Forma P&amp;L'!AQ51</f>
        <v>733.31608874267909</v>
      </c>
      <c r="AR151" s="1061"/>
      <c r="AS151" s="1059">
        <f>+'Pro Forma P&amp;L'!AS51</f>
        <v>179.4845063209541</v>
      </c>
      <c r="AT151" s="1059">
        <f>+'Pro Forma P&amp;L'!AT51</f>
        <v>211.56592657873853</v>
      </c>
      <c r="AU151" s="1059">
        <f>+'Pro Forma P&amp;L'!AU51</f>
        <v>191.48476601544394</v>
      </c>
      <c r="AV151" s="1059">
        <f>+'Pro Forma P&amp;L'!AV51</f>
        <v>190.83876929711238</v>
      </c>
      <c r="AW151" s="1301">
        <f>+'Pro Forma P&amp;L'!AW51</f>
        <v>773.37396821224934</v>
      </c>
      <c r="AX151" s="1061"/>
      <c r="AY151" s="1059">
        <f>+'Pro Forma P&amp;L'!AY51</f>
        <v>174.42990915026371</v>
      </c>
      <c r="AZ151" s="1059">
        <f>+'Pro Forma P&amp;L'!AZ51</f>
        <v>229.42118365506502</v>
      </c>
      <c r="BA151" s="1059">
        <f>+'Pro Forma P&amp;L'!BA51</f>
        <v>208.49082086487834</v>
      </c>
      <c r="BB151" s="1059">
        <f>+'Pro Forma P&amp;L'!BB51</f>
        <v>202.76833636081921</v>
      </c>
      <c r="BC151" s="1301">
        <f>+'Pro Forma P&amp;L'!BC51</f>
        <v>815.11025003102645</v>
      </c>
      <c r="BD151" s="1061"/>
      <c r="BE151" s="1166">
        <v>205.71370422971114</v>
      </c>
      <c r="BF151" s="178">
        <f>+BF18</f>
        <v>232.4</v>
      </c>
      <c r="BG151" s="178">
        <f>+BG18</f>
        <v>195.8</v>
      </c>
      <c r="BH151" s="178">
        <f>+BH18</f>
        <v>206.4</v>
      </c>
      <c r="BI151" s="1301">
        <f>+SUM(BE151:BH151)</f>
        <v>840.31370422971111</v>
      </c>
      <c r="BJ151" s="716"/>
      <c r="BK151" s="178">
        <f>+BK18</f>
        <v>147.9</v>
      </c>
      <c r="BL151" s="178">
        <f>+BL18</f>
        <v>195.1</v>
      </c>
      <c r="BM151" s="178">
        <f>+BM18</f>
        <v>211.70000000000002</v>
      </c>
      <c r="BN151" s="178">
        <f>+BN18</f>
        <v>236.9</v>
      </c>
      <c r="BO151" s="774">
        <f>+BO18</f>
        <v>791.60000000000014</v>
      </c>
      <c r="BP151" s="716"/>
      <c r="BQ151" s="178">
        <f>+BQ18</f>
        <v>138.82124999999991</v>
      </c>
      <c r="BR151" s="178">
        <f>+BR18</f>
        <v>189.61024000000003</v>
      </c>
      <c r="BS151" s="178">
        <f>+BS18</f>
        <v>220.21661999999998</v>
      </c>
      <c r="BT151" s="178">
        <f>+BT18</f>
        <v>252.57679999999999</v>
      </c>
      <c r="BU151" s="774">
        <f>+BU18</f>
        <v>801.22491000000014</v>
      </c>
      <c r="BV151" s="716"/>
      <c r="BW151" s="178">
        <f>+BW18</f>
        <v>195.17772998000004</v>
      </c>
      <c r="BX151" s="178">
        <f>+BX18</f>
        <v>229.06379649999997</v>
      </c>
      <c r="BY151" s="178">
        <f>+BY18</f>
        <v>234.53893928000008</v>
      </c>
      <c r="BZ151" s="178">
        <f>+BZ18</f>
        <v>250.2248386</v>
      </c>
      <c r="CA151" s="774">
        <f>+CA18</f>
        <v>909.00530436000031</v>
      </c>
      <c r="CB151" s="716"/>
      <c r="CC151" s="178">
        <f>+CC18</f>
        <v>211.26740445304995</v>
      </c>
      <c r="CD151" s="178">
        <f>+CD18</f>
        <v>245.06395766205003</v>
      </c>
      <c r="CE151" s="178">
        <f>+CE18</f>
        <v>251.36750383400005</v>
      </c>
      <c r="CF151" s="178">
        <f>+CF18</f>
        <v>269.50731970089993</v>
      </c>
      <c r="CG151" s="774">
        <f>+CG18</f>
        <v>977.20618564999995</v>
      </c>
    </row>
    <row r="152" spans="2:98" x14ac:dyDescent="0.2">
      <c r="B152" s="283" t="s">
        <v>398</v>
      </c>
      <c r="C152" s="138"/>
      <c r="D152" s="138"/>
      <c r="E152" s="138"/>
      <c r="F152" s="138"/>
      <c r="G152" s="138"/>
      <c r="H152" s="24"/>
      <c r="I152" s="138"/>
      <c r="J152" s="138"/>
      <c r="K152" s="138"/>
      <c r="L152" s="138"/>
      <c r="M152" s="138"/>
      <c r="N152" s="24"/>
      <c r="O152" s="138"/>
      <c r="P152" s="138"/>
      <c r="Q152" s="138"/>
      <c r="R152" s="138"/>
      <c r="S152" s="138"/>
      <c r="T152" s="24"/>
      <c r="U152" s="138"/>
      <c r="V152" s="138"/>
      <c r="W152" s="138"/>
      <c r="X152" s="138"/>
      <c r="Y152" s="138"/>
      <c r="Z152" s="24"/>
      <c r="AA152" s="138"/>
      <c r="AB152" s="138"/>
      <c r="AC152" s="138"/>
      <c r="AD152" s="138"/>
      <c r="AE152" s="138"/>
      <c r="AF152" s="24"/>
      <c r="AG152" s="138"/>
      <c r="AH152" s="138"/>
      <c r="AI152" s="138"/>
      <c r="AJ152" s="138"/>
      <c r="AK152" s="532"/>
      <c r="AL152" s="24"/>
      <c r="AM152" s="1188">
        <f>'Pro Forma P&amp;L'!AM116</f>
        <v>0.16363413027320048</v>
      </c>
      <c r="AN152" s="1188">
        <f>'Pro Forma P&amp;L'!AN116</f>
        <v>0.19518534929335735</v>
      </c>
      <c r="AO152" s="1188">
        <f>'Pro Forma P&amp;L'!AO116</f>
        <v>0.17754791931565861</v>
      </c>
      <c r="AP152" s="1188">
        <f>'Pro Forma P&amp;L'!AP116</f>
        <v>0.18276758287644673</v>
      </c>
      <c r="AQ152" s="1229">
        <f>'Pro Forma P&amp;L'!AQ116</f>
        <v>0.18000063908951286</v>
      </c>
      <c r="AR152" s="1090"/>
      <c r="AS152" s="1188">
        <f>'Pro Forma P&amp;L'!AS116</f>
        <v>0.17746176132452215</v>
      </c>
      <c r="AT152" s="1188">
        <f>'Pro Forma P&amp;L'!AT116</f>
        <v>0.19898256591291119</v>
      </c>
      <c r="AU152" s="1188">
        <f>'Pro Forma P&amp;L'!AU116</f>
        <v>0.19198204413953474</v>
      </c>
      <c r="AV152" s="1188">
        <f>'Pro Forma P&amp;L'!AV116</f>
        <v>0.18870919413778445</v>
      </c>
      <c r="AW152" s="1229">
        <f>'Pro Forma P&amp;L'!AW116</f>
        <v>0.18939779455206726</v>
      </c>
      <c r="AX152" s="1090"/>
      <c r="AY152" s="1188">
        <f>'Pro Forma P&amp;L'!AY116</f>
        <v>0.19103610461623957</v>
      </c>
      <c r="AZ152" s="1188">
        <f>'Pro Forma P&amp;L'!AZ116</f>
        <v>0.22864197181511908</v>
      </c>
      <c r="BA152" s="1188">
        <f>'Pro Forma P&amp;L'!BA116</f>
        <v>0.21870431224680409</v>
      </c>
      <c r="BB152" s="1188">
        <f>'Pro Forma P&amp;L'!BB116</f>
        <v>0.20801019323022074</v>
      </c>
      <c r="BC152" s="1229">
        <f>'Pro Forma P&amp;L'!BC116</f>
        <v>0.21201536657207284</v>
      </c>
      <c r="BD152" s="1090"/>
      <c r="BE152" s="1440">
        <v>0.21844929832187654</v>
      </c>
      <c r="BF152" s="138">
        <f t="shared" ref="BF152:BI154" si="120">+BF50</f>
        <v>0.22704181320828448</v>
      </c>
      <c r="BG152" s="138">
        <f t="shared" si="120"/>
        <v>0.20485457208621052</v>
      </c>
      <c r="BH152" s="138">
        <f t="shared" si="120"/>
        <v>0.20681362725450902</v>
      </c>
      <c r="BI152" s="414">
        <f t="shared" si="120"/>
        <v>0.21442666666666665</v>
      </c>
      <c r="BK152" s="138">
        <f t="shared" ref="BK152:BO154" si="121">+BK50</f>
        <v>0.1639689578713969</v>
      </c>
      <c r="BL152" s="138">
        <f t="shared" si="121"/>
        <v>0.19623818145242405</v>
      </c>
      <c r="BM152" s="138">
        <f t="shared" si="121"/>
        <v>0.20956246287863789</v>
      </c>
      <c r="BN152" s="138">
        <f t="shared" si="121"/>
        <v>0.21714023831347387</v>
      </c>
      <c r="BO152" s="414">
        <f t="shared" si="121"/>
        <v>0.19802871866713367</v>
      </c>
      <c r="BQ152" s="138">
        <f t="shared" ref="BQ152:BU154" si="122">+BQ50</f>
        <v>0.14604000757440261</v>
      </c>
      <c r="BR152" s="138">
        <f t="shared" si="122"/>
        <v>0.17886678540163614</v>
      </c>
      <c r="BS152" s="138">
        <f t="shared" si="122"/>
        <v>0.20347998432897324</v>
      </c>
      <c r="BT152" s="138">
        <f t="shared" si="122"/>
        <v>0.21719861998273257</v>
      </c>
      <c r="BU152" s="414">
        <f t="shared" si="122"/>
        <v>0.18826790686526765</v>
      </c>
      <c r="BW152" s="138">
        <f t="shared" ref="BW152:CA154" si="123">+BW50</f>
        <v>0.19861668654383063</v>
      </c>
      <c r="BX152" s="138">
        <f t="shared" si="123"/>
        <v>0.20656178592022953</v>
      </c>
      <c r="BY152" s="138">
        <f t="shared" si="123"/>
        <v>0.20804657177367755</v>
      </c>
      <c r="BZ152" s="138">
        <f t="shared" si="123"/>
        <v>0.20810909373078276</v>
      </c>
      <c r="CA152" s="414">
        <f t="shared" si="123"/>
        <v>0.20559528216360645</v>
      </c>
      <c r="CC152" s="138">
        <f t="shared" ref="CC152:CG154" si="124">+CC50</f>
        <v>0.20785366464812421</v>
      </c>
      <c r="CD152" s="138">
        <f t="shared" si="124"/>
        <v>0.21570852753607106</v>
      </c>
      <c r="CE152" s="138">
        <f t="shared" si="124"/>
        <v>0.21703700246057286</v>
      </c>
      <c r="CF152" s="138">
        <f t="shared" si="124"/>
        <v>0.21665583716291834</v>
      </c>
      <c r="CG152" s="414">
        <f t="shared" si="124"/>
        <v>0.21455215311184805</v>
      </c>
    </row>
    <row r="153" spans="2:98" x14ac:dyDescent="0.2">
      <c r="B153" s="283" t="s">
        <v>399</v>
      </c>
      <c r="C153" s="138"/>
      <c r="D153" s="138"/>
      <c r="E153" s="138"/>
      <c r="F153" s="138"/>
      <c r="G153" s="138"/>
      <c r="H153" s="24"/>
      <c r="I153" s="138"/>
      <c r="J153" s="138"/>
      <c r="K153" s="138"/>
      <c r="L153" s="138"/>
      <c r="M153" s="138"/>
      <c r="N153" s="24"/>
      <c r="O153" s="138"/>
      <c r="P153" s="138"/>
      <c r="Q153" s="138"/>
      <c r="R153" s="138"/>
      <c r="S153" s="138"/>
      <c r="T153" s="24"/>
      <c r="U153" s="138"/>
      <c r="V153" s="138"/>
      <c r="W153" s="138"/>
      <c r="X153" s="138"/>
      <c r="Y153" s="138"/>
      <c r="Z153" s="24"/>
      <c r="AA153" s="138"/>
      <c r="AB153" s="138"/>
      <c r="AC153" s="138"/>
      <c r="AD153" s="138"/>
      <c r="AE153" s="138"/>
      <c r="AF153" s="24"/>
      <c r="AG153" s="138"/>
      <c r="AH153" s="138"/>
      <c r="AI153" s="138"/>
      <c r="AJ153" s="138"/>
      <c r="AK153" s="532"/>
      <c r="AL153" s="24"/>
      <c r="AM153" s="1188">
        <f>'Pro Forma P&amp;L'!AM117</f>
        <v>0.17399305334635731</v>
      </c>
      <c r="AN153" s="1188">
        <f>'Pro Forma P&amp;L'!AN117</f>
        <v>0.20399747558242609</v>
      </c>
      <c r="AO153" s="1188">
        <f>'Pro Forma P&amp;L'!AO117</f>
        <v>0.18403421799346426</v>
      </c>
      <c r="AP153" s="1188">
        <f>'Pro Forma P&amp;L'!AP117</f>
        <v>0.18999535533845754</v>
      </c>
      <c r="AQ153" s="1229">
        <f>'Pro Forma P&amp;L'!AQ117</f>
        <v>0.18827632112911319</v>
      </c>
      <c r="AR153" s="1090"/>
      <c r="AS153" s="1188">
        <f>'Pro Forma P&amp;L'!AS117</f>
        <v>0.18494668434382597</v>
      </c>
      <c r="AT153" s="1188">
        <f>'Pro Forma P&amp;L'!AT117</f>
        <v>0.2056211101262205</v>
      </c>
      <c r="AU153" s="1188">
        <f>'Pro Forma P&amp;L'!AU117</f>
        <v>0.19725369338751683</v>
      </c>
      <c r="AV153" s="1188">
        <f>'Pro Forma P&amp;L'!AV117</f>
        <v>0.19408879448814362</v>
      </c>
      <c r="AW153" s="1229">
        <f>'Pro Forma P&amp;L'!AW117</f>
        <v>0.19562316533678037</v>
      </c>
      <c r="AX153" s="1090"/>
      <c r="AY153" s="1188">
        <f>'Pro Forma P&amp;L'!AY117</f>
        <v>0.19636373877098245</v>
      </c>
      <c r="AZ153" s="1188">
        <f>'Pro Forma P&amp;L'!AZ117</f>
        <v>0.23407936297833387</v>
      </c>
      <c r="BA153" s="1188">
        <f>'Pro Forma P&amp;L'!BA117</f>
        <v>0.22329529920196886</v>
      </c>
      <c r="BB153" s="1188">
        <f>'Pro Forma P&amp;L'!BB117</f>
        <v>0.21353026154256444</v>
      </c>
      <c r="BC153" s="1229">
        <f>'Pro Forma P&amp;L'!BC117</f>
        <v>0.21726424021937427</v>
      </c>
      <c r="BD153" s="1090"/>
      <c r="BE153" s="1440">
        <v>0.22273029907937542</v>
      </c>
      <c r="BF153" s="138">
        <f t="shared" si="120"/>
        <v>0.23094504620888404</v>
      </c>
      <c r="BG153" s="138">
        <f t="shared" si="120"/>
        <v>0.20812074829931976</v>
      </c>
      <c r="BH153" s="138">
        <f t="shared" si="120"/>
        <v>0.209734783050503</v>
      </c>
      <c r="BI153" s="414">
        <f t="shared" si="120"/>
        <v>0.21442666666666665</v>
      </c>
      <c r="BK153" s="138">
        <f t="shared" si="121"/>
        <v>0.16601189808059266</v>
      </c>
      <c r="BL153" s="138">
        <f t="shared" si="121"/>
        <v>0.19817166074149314</v>
      </c>
      <c r="BM153" s="138">
        <f t="shared" si="121"/>
        <v>0.21153077537969628</v>
      </c>
      <c r="BN153" s="138">
        <f t="shared" si="121"/>
        <v>0.21920977144443415</v>
      </c>
      <c r="BO153" s="414">
        <f t="shared" si="121"/>
        <v>0.20005559908008799</v>
      </c>
      <c r="BQ153" s="138">
        <f t="shared" si="122"/>
        <v>0.14776549543891759</v>
      </c>
      <c r="BR153" s="138">
        <f t="shared" si="122"/>
        <v>0.18051860117064183</v>
      </c>
      <c r="BS153" s="138">
        <f t="shared" si="122"/>
        <v>0.20526281351015793</v>
      </c>
      <c r="BT153" s="138">
        <f t="shared" si="122"/>
        <v>0.21913960284022682</v>
      </c>
      <c r="BU153" s="414">
        <f t="shared" si="122"/>
        <v>0.19007677088300395</v>
      </c>
      <c r="BW153" s="138">
        <f t="shared" si="123"/>
        <v>0.2008858078011995</v>
      </c>
      <c r="BX153" s="138">
        <f t="shared" si="123"/>
        <v>0.20838455133173492</v>
      </c>
      <c r="BY153" s="138">
        <f t="shared" si="123"/>
        <v>0.20979589656190797</v>
      </c>
      <c r="BZ153" s="138">
        <f t="shared" si="123"/>
        <v>0.20990724111451523</v>
      </c>
      <c r="CA153" s="414">
        <f t="shared" si="123"/>
        <v>0.20749597274352466</v>
      </c>
      <c r="CC153" s="138">
        <f t="shared" si="124"/>
        <v>0.21014862250869534</v>
      </c>
      <c r="CD153" s="138">
        <f t="shared" si="124"/>
        <v>0.21756612186326174</v>
      </c>
      <c r="CE153" s="138">
        <f t="shared" si="124"/>
        <v>0.21881293100364524</v>
      </c>
      <c r="CF153" s="138">
        <f t="shared" si="124"/>
        <v>0.21846475329889431</v>
      </c>
      <c r="CG153" s="414">
        <f t="shared" si="124"/>
        <v>0.21647707720636264</v>
      </c>
      <c r="CH153" s="1433"/>
    </row>
    <row r="154" spans="2:98" x14ac:dyDescent="0.2">
      <c r="B154" s="283" t="s">
        <v>384</v>
      </c>
      <c r="C154" s="138"/>
      <c r="D154" s="138"/>
      <c r="E154" s="138"/>
      <c r="F154" s="138"/>
      <c r="G154" s="138"/>
      <c r="H154" s="24"/>
      <c r="I154" s="138"/>
      <c r="J154" s="138"/>
      <c r="K154" s="138"/>
      <c r="L154" s="138"/>
      <c r="M154" s="138"/>
      <c r="N154" s="24"/>
      <c r="O154" s="138"/>
      <c r="P154" s="138"/>
      <c r="Q154" s="138"/>
      <c r="R154" s="138"/>
      <c r="S154" s="138"/>
      <c r="T154" s="24"/>
      <c r="U154" s="138"/>
      <c r="V154" s="138"/>
      <c r="W154" s="138"/>
      <c r="X154" s="138"/>
      <c r="Y154" s="138"/>
      <c r="Z154" s="24"/>
      <c r="AA154" s="138"/>
      <c r="AB154" s="138"/>
      <c r="AC154" s="138"/>
      <c r="AD154" s="138"/>
      <c r="AE154" s="138"/>
      <c r="AF154" s="24"/>
      <c r="AG154" s="138"/>
      <c r="AH154" s="138"/>
      <c r="AI154" s="138"/>
      <c r="AJ154" s="138"/>
      <c r="AK154" s="532"/>
      <c r="AL154" s="24"/>
      <c r="AM154" s="1188">
        <f>'Pro Forma P&amp;L'!AM118</f>
        <v>0.17849305334635723</v>
      </c>
      <c r="AN154" s="1188">
        <f>'Pro Forma P&amp;L'!AN118</f>
        <v>0.20849747558242604</v>
      </c>
      <c r="AO154" s="1188">
        <f>'Pro Forma P&amp;L'!AO118</f>
        <v>0.18853421799346426</v>
      </c>
      <c r="AP154" s="1188">
        <f>'Pro Forma P&amp;L'!AP118</f>
        <v>0.19449535533845752</v>
      </c>
      <c r="AQ154" s="1229">
        <f>'Pro Forma P&amp;L'!AQ118</f>
        <v>0.19277632112911314</v>
      </c>
      <c r="AR154" s="1090"/>
      <c r="AS154" s="1188">
        <f>'Pro Forma P&amp;L'!AS118</f>
        <v>0.18944668434382594</v>
      </c>
      <c r="AT154" s="1188">
        <f>'Pro Forma P&amp;L'!AT118</f>
        <v>0.21012111012622048</v>
      </c>
      <c r="AU154" s="1188">
        <f>'Pro Forma P&amp;L'!AU118</f>
        <v>0.20175369338751681</v>
      </c>
      <c r="AV154" s="1188">
        <f>'Pro Forma P&amp;L'!AV118</f>
        <v>0.19858879448814359</v>
      </c>
      <c r="AW154" s="1229">
        <f>'Pro Forma P&amp;L'!AW118</f>
        <v>0.20012316533678032</v>
      </c>
      <c r="AX154" s="1090"/>
      <c r="AY154" s="1188">
        <f>'Pro Forma P&amp;L'!AY118</f>
        <v>0.2008637387709824</v>
      </c>
      <c r="AZ154" s="1188">
        <f>'Pro Forma P&amp;L'!AZ118</f>
        <v>0.23857936297833382</v>
      </c>
      <c r="BA154" s="1188">
        <f>'Pro Forma P&amp;L'!BA118</f>
        <v>0.22779529920196884</v>
      </c>
      <c r="BB154" s="1188">
        <f>'Pro Forma P&amp;L'!BB118</f>
        <v>0.21803026154256444</v>
      </c>
      <c r="BC154" s="1229">
        <f>'Pro Forma P&amp;L'!BC118</f>
        <v>0.22176424021937424</v>
      </c>
      <c r="BD154" s="1090"/>
      <c r="BE154" s="1440">
        <v>0.22723029907937542</v>
      </c>
      <c r="BF154" s="138">
        <f t="shared" si="120"/>
        <v>0.23544504620888396</v>
      </c>
      <c r="BG154" s="138">
        <f t="shared" si="120"/>
        <v>0.21262074829931976</v>
      </c>
      <c r="BH154" s="138">
        <f t="shared" si="120"/>
        <v>0.21423478305050292</v>
      </c>
      <c r="BI154" s="414">
        <f t="shared" si="120"/>
        <v>0.22266751227717929</v>
      </c>
      <c r="BK154" s="138">
        <f t="shared" si="121"/>
        <v>0.17051189808059264</v>
      </c>
      <c r="BL154" s="138">
        <f t="shared" si="121"/>
        <v>0.20267166074149312</v>
      </c>
      <c r="BM154" s="138">
        <f t="shared" si="121"/>
        <v>0.21603077537969617</v>
      </c>
      <c r="BN154" s="138">
        <f t="shared" si="121"/>
        <v>0.22370977144443416</v>
      </c>
      <c r="BO154" s="414">
        <f t="shared" si="121"/>
        <v>0.20455559908008791</v>
      </c>
      <c r="BQ154" s="138">
        <f t="shared" si="122"/>
        <v>0.15226549543891754</v>
      </c>
      <c r="BR154" s="138">
        <f t="shared" si="122"/>
        <v>0.18501860117064173</v>
      </c>
      <c r="BS154" s="138">
        <f t="shared" si="122"/>
        <v>0.20976281351015791</v>
      </c>
      <c r="BT154" s="138">
        <f t="shared" si="122"/>
        <v>0.22363960284022677</v>
      </c>
      <c r="BU154" s="414">
        <f t="shared" si="122"/>
        <v>0.19457677088300385</v>
      </c>
      <c r="BW154" s="138">
        <f t="shared" si="123"/>
        <v>0.20538580780119942</v>
      </c>
      <c r="BX154" s="138">
        <f t="shared" si="123"/>
        <v>0.21288455133173489</v>
      </c>
      <c r="BY154" s="138">
        <f t="shared" si="123"/>
        <v>0.21429589656190795</v>
      </c>
      <c r="BZ154" s="138">
        <f t="shared" si="123"/>
        <v>0.21440724111451515</v>
      </c>
      <c r="CA154" s="414">
        <f t="shared" si="123"/>
        <v>0.21199597274352466</v>
      </c>
      <c r="CC154" s="138">
        <f t="shared" si="124"/>
        <v>0.21464862250869532</v>
      </c>
      <c r="CD154" s="138">
        <f t="shared" si="124"/>
        <v>0.22206612186326169</v>
      </c>
      <c r="CE154" s="138">
        <f t="shared" si="124"/>
        <v>0.22331293100364513</v>
      </c>
      <c r="CF154" s="138">
        <f t="shared" si="124"/>
        <v>0.22296475329889431</v>
      </c>
      <c r="CG154" s="414">
        <f t="shared" si="124"/>
        <v>0.22097707720636262</v>
      </c>
      <c r="CH154" s="1433">
        <f>+(CA154-BI154)/3</f>
        <v>-3.5571798445515426E-3</v>
      </c>
    </row>
    <row r="155" spans="2:98" s="1431" customFormat="1" x14ac:dyDescent="0.2">
      <c r="B155" s="283" t="s">
        <v>708</v>
      </c>
      <c r="C155" s="138"/>
      <c r="D155" s="138"/>
      <c r="E155" s="138"/>
      <c r="F155" s="138"/>
      <c r="G155" s="138"/>
      <c r="H155" s="24"/>
      <c r="I155" s="138"/>
      <c r="J155" s="138"/>
      <c r="K155" s="138"/>
      <c r="L155" s="138"/>
      <c r="M155" s="138"/>
      <c r="N155" s="24"/>
      <c r="O155" s="138"/>
      <c r="P155" s="138"/>
      <c r="Q155" s="138"/>
      <c r="R155" s="138"/>
      <c r="S155" s="138"/>
      <c r="T155" s="24"/>
      <c r="U155" s="138"/>
      <c r="V155" s="138"/>
      <c r="W155" s="138"/>
      <c r="X155" s="138"/>
      <c r="Y155" s="138"/>
      <c r="Z155" s="24"/>
      <c r="AA155" s="138"/>
      <c r="AB155" s="138"/>
      <c r="AC155" s="138"/>
      <c r="AD155" s="138"/>
      <c r="AE155" s="138"/>
      <c r="AF155" s="24"/>
      <c r="AG155" s="138"/>
      <c r="AH155" s="138"/>
      <c r="AI155" s="138"/>
      <c r="AJ155" s="138"/>
      <c r="AK155" s="532"/>
      <c r="AL155" s="24"/>
      <c r="AM155" s="138"/>
      <c r="AN155" s="138"/>
      <c r="AO155" s="138"/>
      <c r="AP155" s="138"/>
      <c r="AQ155" s="1229"/>
      <c r="AR155" s="1090"/>
      <c r="AS155" s="138">
        <f t="shared" ref="AS155" si="125">+AS154-AM154</f>
        <v>1.0953630997468711E-2</v>
      </c>
      <c r="AT155" s="138">
        <f t="shared" ref="AT155" si="126">+AT154-AN154</f>
        <v>1.6236345437944388E-3</v>
      </c>
      <c r="AU155" s="138">
        <f t="shared" ref="AU155" si="127">+AU154-AO154</f>
        <v>1.3219475394052549E-2</v>
      </c>
      <c r="AV155" s="138">
        <f t="shared" ref="AV155" si="128">+AV154-AP154</f>
        <v>4.0934391496860734E-3</v>
      </c>
      <c r="AW155" s="414">
        <f>+AW154-AQ154</f>
        <v>7.3468442076671803E-3</v>
      </c>
      <c r="AX155" s="1090"/>
      <c r="AY155" s="138">
        <f t="shared" ref="AY155" si="129">+AY154-AS154</f>
        <v>1.1417054427156459E-2</v>
      </c>
      <c r="AZ155" s="138">
        <f t="shared" ref="AZ155" si="130">+AZ154-AT154</f>
        <v>2.8458252852113342E-2</v>
      </c>
      <c r="BA155" s="138">
        <f t="shared" ref="BA155" si="131">+BA154-AU154</f>
        <v>2.6041605814452029E-2</v>
      </c>
      <c r="BB155" s="138">
        <f t="shared" ref="BB155" si="132">+BB154-AV154</f>
        <v>1.9441467054420847E-2</v>
      </c>
      <c r="BC155" s="414">
        <f>+BC154-AW154</f>
        <v>2.1641074882593925E-2</v>
      </c>
      <c r="BD155" s="1090"/>
      <c r="BE155" s="138">
        <f t="shared" ref="BE155" si="133">+BE154-AY154</f>
        <v>2.6366560308393017E-2</v>
      </c>
      <c r="BF155" s="138">
        <f t="shared" ref="BF155" si="134">+BF154-AZ154</f>
        <v>-3.134316769449863E-3</v>
      </c>
      <c r="BG155" s="138">
        <f t="shared" ref="BG155" si="135">+BG154-BA154</f>
        <v>-1.5174550902649075E-2</v>
      </c>
      <c r="BH155" s="138">
        <f t="shared" ref="BH155" si="136">+BH154-BB154</f>
        <v>-3.7954784920615214E-3</v>
      </c>
      <c r="BI155" s="414">
        <f>+BI154-BC154</f>
        <v>9.0327205780504904E-4</v>
      </c>
      <c r="BJ155" s="24"/>
      <c r="BK155" s="138">
        <f t="shared" ref="BK155" si="137">+BK154-BE154</f>
        <v>-5.6718400998782781E-2</v>
      </c>
      <c r="BL155" s="138">
        <f t="shared" ref="BL155" si="138">+BL154-BF154</f>
        <v>-3.2773385467390836E-2</v>
      </c>
      <c r="BM155" s="138">
        <f t="shared" ref="BM155" si="139">+BM154-BG154</f>
        <v>3.4100270803764099E-3</v>
      </c>
      <c r="BN155" s="138">
        <f t="shared" ref="BN155" si="140">+BN154-BH154</f>
        <v>9.4749883939312385E-3</v>
      </c>
      <c r="BO155" s="414">
        <f>+BO154-BI154</f>
        <v>-1.8111913197091378E-2</v>
      </c>
      <c r="BP155" s="24"/>
      <c r="BQ155" s="138">
        <f>+BQ154-BK154</f>
        <v>-1.8246402641675097E-2</v>
      </c>
      <c r="BR155" s="138">
        <f>+BR154-BL154</f>
        <v>-1.7653059570851393E-2</v>
      </c>
      <c r="BS155" s="138">
        <f t="shared" ref="BS155" si="141">+BS154-BM154</f>
        <v>-6.2679618695382633E-3</v>
      </c>
      <c r="BT155" s="138">
        <f>+BT154-BN154</f>
        <v>-7.0168604207387908E-5</v>
      </c>
      <c r="BU155" s="414">
        <f>+BU154-BO154</f>
        <v>-9.9788281970840664E-3</v>
      </c>
      <c r="BV155" s="24"/>
      <c r="BW155" s="138"/>
      <c r="BX155" s="138"/>
      <c r="BY155" s="138"/>
      <c r="BZ155" s="138"/>
      <c r="CA155" s="414">
        <f>+CA154-BU154</f>
        <v>1.7419201860520817E-2</v>
      </c>
      <c r="CB155" s="24"/>
      <c r="CC155" s="138"/>
      <c r="CD155" s="138"/>
      <c r="CE155" s="138"/>
      <c r="CF155" s="138"/>
      <c r="CG155" s="414">
        <f>+CG154-CA154</f>
        <v>8.9811044628379522E-3</v>
      </c>
      <c r="CH155" s="1433"/>
      <c r="CI155" s="563">
        <f>+AVERAGE(BU155,BO155,CA155,)</f>
        <v>-2.667884883413657E-3</v>
      </c>
      <c r="CO155"/>
      <c r="CP155"/>
      <c r="CQ155"/>
      <c r="CR155"/>
      <c r="CS155"/>
      <c r="CT155"/>
    </row>
    <row r="156" spans="2:98" x14ac:dyDescent="0.2">
      <c r="B156" s="407" t="s">
        <v>665</v>
      </c>
      <c r="C156" s="138"/>
      <c r="D156" s="138"/>
      <c r="E156" s="138"/>
      <c r="F156" s="138"/>
      <c r="G156" s="138"/>
      <c r="H156" s="24"/>
      <c r="I156" s="138"/>
      <c r="J156" s="138"/>
      <c r="K156" s="138"/>
      <c r="L156" s="138"/>
      <c r="M156" s="138"/>
      <c r="N156" s="24"/>
      <c r="O156" s="138"/>
      <c r="P156" s="138"/>
      <c r="Q156" s="138"/>
      <c r="R156" s="138"/>
      <c r="S156" s="138"/>
      <c r="T156" s="24"/>
      <c r="U156" s="138"/>
      <c r="V156" s="138"/>
      <c r="W156" s="138"/>
      <c r="X156" s="138"/>
      <c r="Y156" s="138"/>
      <c r="Z156" s="24"/>
      <c r="AA156" s="138"/>
      <c r="AB156" s="138"/>
      <c r="AC156" s="138"/>
      <c r="AD156" s="138"/>
      <c r="AE156" s="138"/>
      <c r="AF156" s="24"/>
      <c r="AG156" s="138"/>
      <c r="AH156" s="138"/>
      <c r="AI156" s="138"/>
      <c r="AJ156" s="138"/>
      <c r="AK156" s="532"/>
      <c r="AL156" s="24"/>
      <c r="AM156" s="138"/>
      <c r="AN156" s="138"/>
      <c r="AO156" s="138"/>
      <c r="AP156" s="588">
        <v>-3.5</v>
      </c>
      <c r="AQ156" s="414"/>
      <c r="AR156" s="24"/>
      <c r="AS156" s="588">
        <v>-6</v>
      </c>
      <c r="AT156" s="588">
        <v>-3</v>
      </c>
      <c r="AU156" s="588">
        <v>3.5</v>
      </c>
      <c r="AV156" s="588">
        <v>1</v>
      </c>
      <c r="AW156" s="776">
        <f>SUM(AS156:AV156)</f>
        <v>-4.5</v>
      </c>
      <c r="AX156" s="24"/>
      <c r="AY156" s="588">
        <v>1</v>
      </c>
      <c r="AZ156" s="588">
        <v>-1.8</v>
      </c>
      <c r="BA156" s="588">
        <v>0.2</v>
      </c>
      <c r="BB156" s="588">
        <v>0.2</v>
      </c>
      <c r="BC156" s="776">
        <f t="shared" ref="BC156:BC164" si="142">SUM(AY156:BB156)</f>
        <v>-0.40000000000000008</v>
      </c>
      <c r="BD156" s="24"/>
      <c r="BE156" s="1272">
        <v>-8</v>
      </c>
      <c r="BF156" s="588">
        <f>-0.008*RevBuild!BF65</f>
        <v>-8.1760000000000002</v>
      </c>
      <c r="BG156" s="588">
        <f>-0.005*RevBuild!BG65</f>
        <v>-4.7789999999999999</v>
      </c>
      <c r="BH156" s="588">
        <f>-0.002*RevBuild!BH65</f>
        <v>-1.9959999999999998</v>
      </c>
      <c r="BI156" s="1263">
        <f>+SUM(BE156:BH156)</f>
        <v>-22.951000000000001</v>
      </c>
      <c r="BK156" s="588">
        <v>-8.5</v>
      </c>
      <c r="BL156" s="588">
        <v>-6</v>
      </c>
      <c r="BM156" s="588">
        <v>-6</v>
      </c>
      <c r="BN156" s="588">
        <f>+BO156-BK156-BL156-BM156</f>
        <v>-4.8549084253115353</v>
      </c>
      <c r="BO156" s="1263">
        <f>-(0.09*'P&amp;L'!BO34)/(1-'P&amp;L'!BO26)</f>
        <v>-25.354908425311535</v>
      </c>
      <c r="BQ156" s="588">
        <v>8</v>
      </c>
      <c r="BR156" s="588">
        <v>7</v>
      </c>
      <c r="BS156" s="588">
        <v>6</v>
      </c>
      <c r="BT156" s="588">
        <v>5</v>
      </c>
      <c r="BU156" s="776">
        <f t="shared" ref="BU156:BU162" si="143">SUM(BQ156:BT156)</f>
        <v>26</v>
      </c>
      <c r="BW156" s="588">
        <v>0</v>
      </c>
      <c r="BX156" s="588">
        <v>0</v>
      </c>
      <c r="BY156" s="588">
        <v>0</v>
      </c>
      <c r="BZ156" s="588">
        <v>0</v>
      </c>
      <c r="CA156" s="776">
        <f t="shared" ref="CA156:CA166" si="144">SUM(BW156:BZ156)</f>
        <v>0</v>
      </c>
      <c r="CC156" s="588">
        <v>0</v>
      </c>
      <c r="CD156" s="588">
        <v>0</v>
      </c>
      <c r="CE156" s="588">
        <v>0</v>
      </c>
      <c r="CF156" s="588">
        <v>0</v>
      </c>
      <c r="CG156" s="776">
        <f t="shared" ref="CG156" si="145">SUM(CC156:CF156)</f>
        <v>0</v>
      </c>
      <c r="CH156" s="1432">
        <f>+AVERAGE(CA156/CA$9,BU156/BU$9,BO156/BO$9)</f>
        <v>-7.9906639154980925E-5</v>
      </c>
      <c r="CI156" s="563"/>
      <c r="CJ156" s="563"/>
    </row>
    <row r="157" spans="2:98" s="1431" customFormat="1" x14ac:dyDescent="0.2">
      <c r="B157" s="407"/>
      <c r="C157" s="138"/>
      <c r="D157" s="138"/>
      <c r="E157" s="138"/>
      <c r="F157" s="138"/>
      <c r="G157" s="138"/>
      <c r="H157" s="24"/>
      <c r="I157" s="138"/>
      <c r="J157" s="138"/>
      <c r="K157" s="138"/>
      <c r="L157" s="138"/>
      <c r="M157" s="138"/>
      <c r="N157" s="24"/>
      <c r="O157" s="138"/>
      <c r="P157" s="138"/>
      <c r="Q157" s="138"/>
      <c r="R157" s="138"/>
      <c r="S157" s="138"/>
      <c r="T157" s="24"/>
      <c r="U157" s="138"/>
      <c r="V157" s="138"/>
      <c r="W157" s="138"/>
      <c r="X157" s="138"/>
      <c r="Y157" s="138"/>
      <c r="Z157" s="24"/>
      <c r="AA157" s="138"/>
      <c r="AB157" s="138"/>
      <c r="AC157" s="138"/>
      <c r="AD157" s="138"/>
      <c r="AE157" s="138"/>
      <c r="AF157" s="24"/>
      <c r="AG157" s="138"/>
      <c r="AH157" s="138"/>
      <c r="AI157" s="138"/>
      <c r="AJ157" s="138"/>
      <c r="AK157" s="532"/>
      <c r="AL157" s="24"/>
      <c r="AM157" s="138"/>
      <c r="AN157" s="138"/>
      <c r="AO157" s="138"/>
      <c r="AP157" s="588"/>
      <c r="AQ157" s="414"/>
      <c r="AR157" s="24"/>
      <c r="AS157" s="588"/>
      <c r="AT157" s="588"/>
      <c r="AU157" s="588"/>
      <c r="AV157" s="588"/>
      <c r="AW157" s="776"/>
      <c r="AX157" s="24"/>
      <c r="AY157" s="588"/>
      <c r="AZ157" s="588"/>
      <c r="BA157" s="588"/>
      <c r="BB157" s="588"/>
      <c r="BC157" s="776"/>
      <c r="BD157" s="24"/>
      <c r="BE157" s="1434">
        <f>+BE156/BE$9</f>
        <v>-1.0603048376408217E-2</v>
      </c>
      <c r="BF157" s="1434">
        <f>+BF156/BF$9</f>
        <v>-8.1248136738547166E-3</v>
      </c>
      <c r="BG157" s="1434">
        <f>+BG156/BG$9</f>
        <v>-5.0797193877551022E-3</v>
      </c>
      <c r="BH157" s="1434">
        <f>+BH156/BH$9</f>
        <v>-2.0282491616705617E-3</v>
      </c>
      <c r="BI157" s="756">
        <f>+BI156/BI$9</f>
        <v>-6.2270396396885263E-3</v>
      </c>
      <c r="BJ157" s="24"/>
      <c r="BK157" s="1434">
        <f>+BK156/BK$9</f>
        <v>-9.5409136827926816E-3</v>
      </c>
      <c r="BL157" s="1434">
        <f>+BL156/BL$9</f>
        <v>-6.0944641950228546E-3</v>
      </c>
      <c r="BM157" s="1434">
        <f>+BM156/BM$9</f>
        <v>-5.9952038369304557E-3</v>
      </c>
      <c r="BN157" s="1434">
        <f>+BN156/BN$9</f>
        <v>-4.4923738551971267E-3</v>
      </c>
      <c r="BO157" s="756">
        <f>+BO156/BO$9</f>
        <v>-6.407770837097611E-3</v>
      </c>
      <c r="BP157" s="24"/>
      <c r="BQ157" s="1434">
        <f>+BQ156/BQ$9</f>
        <v>8.5154395563455994E-3</v>
      </c>
      <c r="BR157" s="1434">
        <f>+BR156/BR$9</f>
        <v>6.6643563564630923E-3</v>
      </c>
      <c r="BS157" s="1434">
        <f>+BS156/BS$9</f>
        <v>5.592570084224105E-3</v>
      </c>
      <c r="BT157" s="1434">
        <f>+BT156/BT$9</f>
        <v>4.3380786129253914E-3</v>
      </c>
      <c r="BU157" s="756">
        <f>+BU156/BU$9</f>
        <v>6.1680509196326682E-3</v>
      </c>
      <c r="BV157" s="24"/>
      <c r="BW157" s="1434">
        <f>+BW156/BW$9</f>
        <v>0</v>
      </c>
      <c r="BX157" s="1434">
        <f>+BX156/BX$9</f>
        <v>0</v>
      </c>
      <c r="BY157" s="1434">
        <f>+BY156/BY$9</f>
        <v>0</v>
      </c>
      <c r="BZ157" s="1434">
        <f>+BZ156/BZ$9</f>
        <v>0</v>
      </c>
      <c r="CA157" s="756">
        <f>+CA156/CA$9</f>
        <v>0</v>
      </c>
      <c r="CB157" s="24"/>
      <c r="CC157" s="1434">
        <f>+CC156/CC$9</f>
        <v>0</v>
      </c>
      <c r="CD157" s="1434">
        <f>+CD156/CD$9</f>
        <v>0</v>
      </c>
      <c r="CE157" s="1434">
        <f>+CE156/CE$9</f>
        <v>0</v>
      </c>
      <c r="CF157" s="1434">
        <f>+CF156/CF$9</f>
        <v>0</v>
      </c>
      <c r="CG157" s="756">
        <f>+CG156/CG$9</f>
        <v>0</v>
      </c>
      <c r="CH157" s="1432"/>
      <c r="CI157" s="563">
        <f>+AVERAGE(BU157,BO157,CA157,)</f>
        <v>-5.9929979366235694E-5</v>
      </c>
      <c r="CJ157" s="563"/>
      <c r="CO157"/>
      <c r="CP157"/>
      <c r="CQ157"/>
      <c r="CR157"/>
      <c r="CS157"/>
      <c r="CT157"/>
    </row>
    <row r="158" spans="2:98" x14ac:dyDescent="0.2">
      <c r="B158" s="1122" t="s">
        <v>660</v>
      </c>
      <c r="C158" s="138"/>
      <c r="D158" s="138"/>
      <c r="E158" s="138"/>
      <c r="F158" s="138"/>
      <c r="G158" s="138"/>
      <c r="H158" s="24"/>
      <c r="I158" s="138"/>
      <c r="J158" s="138"/>
      <c r="K158" s="138"/>
      <c r="L158" s="138"/>
      <c r="M158" s="138"/>
      <c r="N158" s="24"/>
      <c r="O158" s="138"/>
      <c r="P158" s="138"/>
      <c r="Q158" s="138"/>
      <c r="R158" s="138"/>
      <c r="S158" s="138"/>
      <c r="T158" s="24"/>
      <c r="U158" s="138"/>
      <c r="V158" s="138"/>
      <c r="W158" s="138"/>
      <c r="X158" s="138"/>
      <c r="Y158" s="138"/>
      <c r="Z158" s="24"/>
      <c r="AA158" s="138"/>
      <c r="AB158" s="138"/>
      <c r="AC158" s="138"/>
      <c r="AD158" s="138"/>
      <c r="AE158" s="138"/>
      <c r="AF158" s="24"/>
      <c r="AG158" s="138"/>
      <c r="AH158" s="138"/>
      <c r="AI158" s="138"/>
      <c r="AJ158" s="138"/>
      <c r="AK158" s="532"/>
      <c r="AL158" s="24"/>
      <c r="AM158" s="138"/>
      <c r="AN158" s="138"/>
      <c r="AO158" s="138"/>
      <c r="AP158" s="138"/>
      <c r="AQ158" s="414"/>
      <c r="AR158" s="24"/>
      <c r="AS158" s="588">
        <v>-0.58857469510868687</v>
      </c>
      <c r="AT158" s="588">
        <v>-0.27552599999999999</v>
      </c>
      <c r="AU158" s="588">
        <v>-0.32813028627423574</v>
      </c>
      <c r="AV158" s="588">
        <v>-0.81978872363671074</v>
      </c>
      <c r="AW158" s="776">
        <f>SUM(AS158:AV158)</f>
        <v>-2.0120197050196333</v>
      </c>
      <c r="AX158" s="24"/>
      <c r="AY158" s="588">
        <v>1.2525129780066551</v>
      </c>
      <c r="AZ158" s="588">
        <v>1.2686849999999998</v>
      </c>
      <c r="BA158" s="588">
        <v>0.96697079999999958</v>
      </c>
      <c r="BB158" s="588">
        <v>0.53484998802985018</v>
      </c>
      <c r="BC158" s="776">
        <f t="shared" si="142"/>
        <v>4.0230187660365049</v>
      </c>
      <c r="BD158" s="24"/>
      <c r="BE158" s="588">
        <v>0</v>
      </c>
      <c r="BF158" s="588">
        <v>0</v>
      </c>
      <c r="BG158" s="588">
        <v>0</v>
      </c>
      <c r="BH158" s="588">
        <v>0</v>
      </c>
      <c r="BI158" s="776">
        <f t="shared" ref="BI158:BI164" si="146">SUM(BE158:BH158)</f>
        <v>0</v>
      </c>
      <c r="BK158" s="588">
        <f>-52*0.6</f>
        <v>-31.2</v>
      </c>
      <c r="BL158" s="588">
        <f>-40*0.6</f>
        <v>-24</v>
      </c>
      <c r="BM158" s="588">
        <f>10*0.6</f>
        <v>6</v>
      </c>
      <c r="BN158" s="588">
        <f>20*0.6</f>
        <v>12</v>
      </c>
      <c r="BO158" s="776">
        <f t="shared" ref="BO158:BO162" si="147">SUM(BK158:BN158)</f>
        <v>-37.200000000000003</v>
      </c>
      <c r="BQ158" s="1470">
        <f>RevBuild!BQ42*RevBuild!BK36*0.6</f>
        <v>-21</v>
      </c>
      <c r="BR158" s="1470">
        <f>RevBuild!BR42*RevBuild!BL36*0.6</f>
        <v>-6</v>
      </c>
      <c r="BS158" s="1470">
        <f>RevBuild!BS42*RevBuild!BM36*0.6</f>
        <v>0</v>
      </c>
      <c r="BT158" s="1470">
        <f>RevBuild!BT42*RevBuild!BN36*0.6</f>
        <v>0</v>
      </c>
      <c r="BU158" s="776">
        <f t="shared" si="143"/>
        <v>-27</v>
      </c>
      <c r="BW158" s="588">
        <v>0</v>
      </c>
      <c r="BX158" s="588">
        <v>0</v>
      </c>
      <c r="BY158" s="588">
        <v>0</v>
      </c>
      <c r="BZ158" s="588">
        <v>0</v>
      </c>
      <c r="CA158" s="776">
        <f t="shared" si="144"/>
        <v>0</v>
      </c>
      <c r="CC158" s="588">
        <v>0</v>
      </c>
      <c r="CD158" s="588">
        <v>0</v>
      </c>
      <c r="CE158" s="588">
        <v>0</v>
      </c>
      <c r="CF158" s="588">
        <v>0</v>
      </c>
      <c r="CG158" s="776">
        <f t="shared" ref="CG158" si="148">SUM(CC158:CF158)</f>
        <v>0</v>
      </c>
      <c r="CH158" s="1432">
        <f>+AVERAGE(CA158/CA$9,BU158/BU$9,BO158/BO$9)</f>
        <v>-5.2688608813333919E-3</v>
      </c>
      <c r="CI158" s="563"/>
    </row>
    <row r="159" spans="2:98" s="1431" customFormat="1" x14ac:dyDescent="0.2">
      <c r="B159" s="1122"/>
      <c r="C159" s="138"/>
      <c r="D159" s="138"/>
      <c r="E159" s="138"/>
      <c r="F159" s="138"/>
      <c r="G159" s="138"/>
      <c r="H159" s="24"/>
      <c r="I159" s="138"/>
      <c r="J159" s="138"/>
      <c r="K159" s="138"/>
      <c r="L159" s="138"/>
      <c r="M159" s="138"/>
      <c r="N159" s="24"/>
      <c r="O159" s="138"/>
      <c r="P159" s="138"/>
      <c r="Q159" s="138"/>
      <c r="R159" s="138"/>
      <c r="S159" s="138"/>
      <c r="T159" s="24"/>
      <c r="U159" s="138"/>
      <c r="V159" s="138"/>
      <c r="W159" s="138"/>
      <c r="X159" s="138"/>
      <c r="Y159" s="138"/>
      <c r="Z159" s="24"/>
      <c r="AA159" s="138"/>
      <c r="AB159" s="138"/>
      <c r="AC159" s="138"/>
      <c r="AD159" s="138"/>
      <c r="AE159" s="138"/>
      <c r="AF159" s="24"/>
      <c r="AG159" s="138"/>
      <c r="AH159" s="138"/>
      <c r="AI159" s="138"/>
      <c r="AJ159" s="138"/>
      <c r="AK159" s="532"/>
      <c r="AL159" s="24"/>
      <c r="AM159" s="138"/>
      <c r="AN159" s="138"/>
      <c r="AO159" s="138"/>
      <c r="AP159" s="138"/>
      <c r="AQ159" s="414"/>
      <c r="AR159" s="24"/>
      <c r="AS159" s="588"/>
      <c r="AT159" s="588"/>
      <c r="AU159" s="588"/>
      <c r="AV159" s="588"/>
      <c r="AW159" s="776"/>
      <c r="AX159" s="24"/>
      <c r="AY159" s="588"/>
      <c r="AZ159" s="588"/>
      <c r="BA159" s="588"/>
      <c r="BB159" s="588"/>
      <c r="BC159" s="776"/>
      <c r="BD159" s="24"/>
      <c r="BE159" s="1434">
        <f>+BE158/BE$9</f>
        <v>0</v>
      </c>
      <c r="BF159" s="1434">
        <f>+BF158/BF$9</f>
        <v>0</v>
      </c>
      <c r="BG159" s="1434">
        <f>+BG158/BG$9</f>
        <v>0</v>
      </c>
      <c r="BH159" s="1434">
        <f>+BH158/BH$9</f>
        <v>0</v>
      </c>
      <c r="BI159" s="756">
        <f>+BI158/BI$9</f>
        <v>0</v>
      </c>
      <c r="BJ159" s="24"/>
      <c r="BK159" s="1434">
        <f>+BK158/BK$9</f>
        <v>-3.5020765518015487E-2</v>
      </c>
      <c r="BL159" s="1434">
        <f>+BL158/BL$9</f>
        <v>-2.4377856780091418E-2</v>
      </c>
      <c r="BM159" s="1434">
        <f>+BM158/BM$9</f>
        <v>5.9952038369304557E-3</v>
      </c>
      <c r="BN159" s="1434">
        <f>+BN158/BN$9</f>
        <v>1.1103914129730729E-2</v>
      </c>
      <c r="BO159" s="756">
        <f>+BO158/BO$9</f>
        <v>-9.4012989966893289E-3</v>
      </c>
      <c r="BP159" s="24"/>
      <c r="BQ159" s="1434">
        <f>+BQ158/BQ$9</f>
        <v>-2.2353028835407199E-2</v>
      </c>
      <c r="BR159" s="1434">
        <f>+BR158/BR$9</f>
        <v>-5.7123054483969368E-3</v>
      </c>
      <c r="BS159" s="1434">
        <f>+BS158/BS$9</f>
        <v>0</v>
      </c>
      <c r="BT159" s="1434">
        <f>+BT158/BT$9</f>
        <v>0</v>
      </c>
      <c r="BU159" s="756">
        <f>+BU158/BU$9</f>
        <v>-6.4052836473108476E-3</v>
      </c>
      <c r="BV159" s="24"/>
      <c r="BW159" s="1434">
        <f>+BW158/BW$9</f>
        <v>0</v>
      </c>
      <c r="BX159" s="1434">
        <f>+BX158/BX$9</f>
        <v>0</v>
      </c>
      <c r="BY159" s="1434">
        <f>+BY158/BY$9</f>
        <v>0</v>
      </c>
      <c r="BZ159" s="1434">
        <f>+BZ158/BZ$9</f>
        <v>0</v>
      </c>
      <c r="CA159" s="756">
        <f>+CA158/CA$9</f>
        <v>0</v>
      </c>
      <c r="CB159" s="24"/>
      <c r="CC159" s="1434">
        <f>+CC158/CC$9</f>
        <v>0</v>
      </c>
      <c r="CD159" s="1434">
        <f>+CD158/CD$9</f>
        <v>0</v>
      </c>
      <c r="CE159" s="1434">
        <f>+CE158/CE$9</f>
        <v>0</v>
      </c>
      <c r="CF159" s="1434">
        <f>+CF158/CF$9</f>
        <v>0</v>
      </c>
      <c r="CG159" s="756">
        <f>+CG158/CG$9</f>
        <v>0</v>
      </c>
      <c r="CH159" s="1432"/>
      <c r="CI159" s="563">
        <f>+AVERAGE(BU159,BO159,CA159,)</f>
        <v>-3.9516456610000439E-3</v>
      </c>
      <c r="CO159"/>
      <c r="CP159"/>
      <c r="CQ159"/>
      <c r="CR159"/>
      <c r="CS159"/>
      <c r="CT159"/>
    </row>
    <row r="160" spans="2:98" x14ac:dyDescent="0.2">
      <c r="B160" s="407" t="s">
        <v>532</v>
      </c>
      <c r="C160" s="24"/>
      <c r="D160" s="24"/>
      <c r="E160" s="24"/>
      <c r="F160" s="24"/>
      <c r="G160" s="24"/>
      <c r="H160" s="24"/>
      <c r="I160" s="24"/>
      <c r="J160" s="24"/>
      <c r="K160" s="24"/>
      <c r="L160" s="24"/>
      <c r="M160" s="24"/>
      <c r="N160" s="24"/>
      <c r="O160" s="24"/>
      <c r="P160" s="24"/>
      <c r="Q160" s="24"/>
      <c r="R160" s="24"/>
      <c r="S160" s="24"/>
      <c r="T160" s="24"/>
      <c r="U160" s="24"/>
      <c r="V160" s="24"/>
      <c r="W160" s="24"/>
      <c r="X160" s="24"/>
      <c r="Y160" s="24"/>
      <c r="Z160" s="24"/>
      <c r="AA160" s="24"/>
      <c r="AB160" s="24"/>
      <c r="AC160" s="24"/>
      <c r="AD160" s="24"/>
      <c r="AE160" s="24"/>
      <c r="AF160" s="24"/>
      <c r="AG160" s="24"/>
      <c r="AH160" s="24"/>
      <c r="AI160" s="24"/>
      <c r="AJ160" s="24"/>
      <c r="AK160" s="19"/>
      <c r="AL160" s="24"/>
      <c r="AM160" s="24"/>
      <c r="AN160" s="24"/>
      <c r="AO160" s="24"/>
      <c r="AP160" s="24"/>
      <c r="AQ160" s="764"/>
      <c r="AR160" s="24"/>
      <c r="AS160" s="274"/>
      <c r="AT160" s="274"/>
      <c r="AU160" s="274"/>
      <c r="AV160" s="274"/>
      <c r="AW160" s="694"/>
      <c r="AX160" s="274"/>
      <c r="AY160" s="588">
        <v>0</v>
      </c>
      <c r="AZ160" s="588">
        <v>0</v>
      </c>
      <c r="BA160" s="588">
        <v>0</v>
      </c>
      <c r="BB160" s="588">
        <v>0</v>
      </c>
      <c r="BC160" s="776">
        <f t="shared" si="142"/>
        <v>0</v>
      </c>
      <c r="BD160" s="274"/>
      <c r="BE160" s="588">
        <v>-0.8250900000000001</v>
      </c>
      <c r="BF160" s="588">
        <v>-2</v>
      </c>
      <c r="BG160" s="1262">
        <v>-4.5</v>
      </c>
      <c r="BH160" s="1262">
        <v>-3</v>
      </c>
      <c r="BI160" s="776">
        <f t="shared" si="146"/>
        <v>-10.325089999999999</v>
      </c>
      <c r="BJ160" s="1298"/>
      <c r="BK160" s="588">
        <v>-1</v>
      </c>
      <c r="BL160" s="588">
        <v>-1</v>
      </c>
      <c r="BM160" s="588">
        <v>-1</v>
      </c>
      <c r="BN160" s="588">
        <v>-1</v>
      </c>
      <c r="BO160" s="776">
        <f t="shared" si="147"/>
        <v>-4</v>
      </c>
      <c r="BP160" s="1298"/>
      <c r="BQ160" s="588">
        <v>0</v>
      </c>
      <c r="BR160" s="588">
        <v>0</v>
      </c>
      <c r="BS160" s="588">
        <v>0</v>
      </c>
      <c r="BT160" s="588">
        <v>0</v>
      </c>
      <c r="BU160" s="776">
        <f t="shared" si="143"/>
        <v>0</v>
      </c>
      <c r="BV160" s="1298"/>
      <c r="BW160" s="588">
        <v>0</v>
      </c>
      <c r="BX160" s="588">
        <v>0</v>
      </c>
      <c r="BY160" s="588">
        <v>0</v>
      </c>
      <c r="BZ160" s="588">
        <v>0</v>
      </c>
      <c r="CA160" s="776">
        <f t="shared" si="144"/>
        <v>0</v>
      </c>
      <c r="CB160" s="1298"/>
      <c r="CC160" s="588">
        <v>0</v>
      </c>
      <c r="CD160" s="588">
        <v>0</v>
      </c>
      <c r="CE160" s="588">
        <v>0</v>
      </c>
      <c r="CF160" s="588">
        <v>0</v>
      </c>
      <c r="CG160" s="776">
        <f t="shared" ref="CG160" si="149">SUM(CC160:CF160)</f>
        <v>0</v>
      </c>
      <c r="CH160" s="1432">
        <f>+AVERAGE(CA160/CA$9,BU160/BU$9,BO160/BO$9)</f>
        <v>-3.3696412174513717E-4</v>
      </c>
      <c r="CI160" s="563"/>
    </row>
    <row r="161" spans="2:98" s="1431" customFormat="1" x14ac:dyDescent="0.2">
      <c r="B161" s="407"/>
      <c r="C161" s="24"/>
      <c r="D161" s="24"/>
      <c r="E161" s="24"/>
      <c r="F161" s="24"/>
      <c r="G161" s="24"/>
      <c r="H161" s="24"/>
      <c r="I161" s="24"/>
      <c r="J161" s="24"/>
      <c r="K161" s="24"/>
      <c r="L161" s="24"/>
      <c r="M161" s="24"/>
      <c r="N161" s="24"/>
      <c r="O161" s="24"/>
      <c r="P161" s="24"/>
      <c r="Q161" s="24"/>
      <c r="R161" s="24"/>
      <c r="S161" s="24"/>
      <c r="T161" s="24"/>
      <c r="U161" s="24"/>
      <c r="V161" s="24"/>
      <c r="W161" s="24"/>
      <c r="X161" s="24"/>
      <c r="Y161" s="24"/>
      <c r="Z161" s="24"/>
      <c r="AA161" s="24"/>
      <c r="AB161" s="24"/>
      <c r="AC161" s="24"/>
      <c r="AD161" s="24"/>
      <c r="AE161" s="24"/>
      <c r="AF161" s="24"/>
      <c r="AG161" s="24"/>
      <c r="AH161" s="24"/>
      <c r="AI161" s="24"/>
      <c r="AJ161" s="24"/>
      <c r="AK161" s="19"/>
      <c r="AL161" s="24"/>
      <c r="AM161" s="24"/>
      <c r="AN161" s="24"/>
      <c r="AO161" s="24"/>
      <c r="AP161" s="24"/>
      <c r="AQ161" s="764"/>
      <c r="AR161" s="24"/>
      <c r="AS161" s="274"/>
      <c r="AT161" s="274"/>
      <c r="AU161" s="274"/>
      <c r="AV161" s="274"/>
      <c r="AW161" s="694"/>
      <c r="AX161" s="274"/>
      <c r="AY161" s="588"/>
      <c r="AZ161" s="588"/>
      <c r="BA161" s="588"/>
      <c r="BB161" s="588"/>
      <c r="BC161" s="776"/>
      <c r="BD161" s="274"/>
      <c r="BE161" s="1434">
        <f>+BE160/BE$9</f>
        <v>-1.0935586481113321E-3</v>
      </c>
      <c r="BF161" s="1434">
        <f>+BF160/BF$9</f>
        <v>-1.987478883036868E-3</v>
      </c>
      <c r="BG161" s="1434">
        <f>+BG160/BG$9</f>
        <v>-4.7831632653061226E-3</v>
      </c>
      <c r="BH161" s="1434">
        <f>+BH160/BH$9</f>
        <v>-3.0484706838735899E-3</v>
      </c>
      <c r="BI161" s="756">
        <f>+BI160/BI$9</f>
        <v>-2.8013918658599452E-3</v>
      </c>
      <c r="BK161" s="1434">
        <f>+BK160/BK$9</f>
        <v>-1.1224604332697272E-3</v>
      </c>
      <c r="BL161" s="1434">
        <f>+BL160/BL$9</f>
        <v>-1.015744032503809E-3</v>
      </c>
      <c r="BM161" s="1434">
        <f>+BM160/BM$9</f>
        <v>-9.9920063948840928E-4</v>
      </c>
      <c r="BN161" s="1434">
        <f>+BN160/BN$9</f>
        <v>-9.2532617747756083E-4</v>
      </c>
      <c r="BO161" s="756">
        <f>+BO160/BO$9</f>
        <v>-1.0108923652354116E-3</v>
      </c>
      <c r="BQ161" s="1434">
        <f>+BQ160/BQ$9</f>
        <v>0</v>
      </c>
      <c r="BR161" s="1434">
        <f>+BR160/BR$9</f>
        <v>0</v>
      </c>
      <c r="BS161" s="1434">
        <f>+BS160/BS$9</f>
        <v>0</v>
      </c>
      <c r="BT161" s="1434">
        <f>+BT160/BT$9</f>
        <v>0</v>
      </c>
      <c r="BU161" s="756">
        <f>+BU160/BU$9</f>
        <v>0</v>
      </c>
      <c r="BW161" s="1434">
        <f>+BW160/BW$9</f>
        <v>0</v>
      </c>
      <c r="BX161" s="1434">
        <f>+BX160/BX$9</f>
        <v>0</v>
      </c>
      <c r="BY161" s="1434">
        <f>+BY160/BY$9</f>
        <v>0</v>
      </c>
      <c r="BZ161" s="1434">
        <f>+BZ160/BZ$9</f>
        <v>0</v>
      </c>
      <c r="CA161" s="756">
        <f>+CA160/CA$9</f>
        <v>0</v>
      </c>
      <c r="CC161" s="1434">
        <f>+CC160/CC$9</f>
        <v>0</v>
      </c>
      <c r="CD161" s="1434">
        <f>+CD160/CD$9</f>
        <v>0</v>
      </c>
      <c r="CE161" s="1434">
        <f>+CE160/CE$9</f>
        <v>0</v>
      </c>
      <c r="CF161" s="1434">
        <f>+CF160/CF$9</f>
        <v>0</v>
      </c>
      <c r="CG161" s="756">
        <f>+CG160/CG$9</f>
        <v>0</v>
      </c>
      <c r="CH161" s="1432"/>
      <c r="CI161" s="563">
        <f>+AVERAGE(BU161,BO161,CA161,)</f>
        <v>-2.5272309130885289E-4</v>
      </c>
      <c r="CO161"/>
      <c r="CP161"/>
      <c r="CQ161"/>
      <c r="CR161"/>
      <c r="CS161"/>
      <c r="CT161"/>
    </row>
    <row r="162" spans="2:98" x14ac:dyDescent="0.2">
      <c r="B162" s="407" t="s">
        <v>632</v>
      </c>
      <c r="C162" s="1298"/>
      <c r="D162" s="1298"/>
      <c r="E162" s="1298"/>
      <c r="F162" s="1298"/>
      <c r="G162" s="1298"/>
      <c r="H162" s="24"/>
      <c r="I162" s="1298"/>
      <c r="J162" s="1298"/>
      <c r="K162" s="1298"/>
      <c r="L162" s="1298"/>
      <c r="M162" s="1298"/>
      <c r="N162" s="24"/>
      <c r="O162" s="1298"/>
      <c r="P162" s="1298"/>
      <c r="Q162" s="1298"/>
      <c r="R162" s="1298"/>
      <c r="S162" s="1298"/>
      <c r="T162" s="24"/>
      <c r="U162" s="1298"/>
      <c r="V162" s="1298"/>
      <c r="W162" s="1298"/>
      <c r="X162" s="1298"/>
      <c r="Y162" s="1298"/>
      <c r="Z162" s="24"/>
      <c r="AA162" s="1298"/>
      <c r="AB162" s="1298"/>
      <c r="AC162" s="1298"/>
      <c r="AD162" s="1298"/>
      <c r="AE162" s="1298"/>
      <c r="AF162" s="24"/>
      <c r="AG162" s="1298"/>
      <c r="AH162" s="1298"/>
      <c r="AI162" s="1298"/>
      <c r="AJ162" s="1298"/>
      <c r="AK162" s="36"/>
      <c r="AL162" s="24"/>
      <c r="AM162" s="1298"/>
      <c r="AN162" s="1298"/>
      <c r="AO162" s="1298"/>
      <c r="AP162" s="1298"/>
      <c r="AQ162" s="740"/>
      <c r="AR162" s="24"/>
      <c r="AS162" s="1298"/>
      <c r="AT162" s="1298"/>
      <c r="AU162" s="1298"/>
      <c r="AV162" s="1298"/>
      <c r="AW162" s="740"/>
      <c r="AX162" s="24"/>
      <c r="AY162" s="588">
        <v>0</v>
      </c>
      <c r="AZ162" s="588">
        <v>0</v>
      </c>
      <c r="BA162" s="588">
        <v>0</v>
      </c>
      <c r="BB162" s="588">
        <v>0</v>
      </c>
      <c r="BC162" s="776">
        <f t="shared" si="142"/>
        <v>0</v>
      </c>
      <c r="BD162" s="24"/>
      <c r="BE162" s="1192">
        <f>+RevBuild!BE101</f>
        <v>0</v>
      </c>
      <c r="BF162" s="1192">
        <f>+RevBuild!BF101</f>
        <v>1.5159817351598179</v>
      </c>
      <c r="BG162" s="1192">
        <f>+RevBuild!BG101</f>
        <v>1.365697147241403</v>
      </c>
      <c r="BH162" s="1192">
        <f>+RevBuild!BH101</f>
        <v>1.3787575150300606</v>
      </c>
      <c r="BI162" s="776">
        <f t="shared" si="146"/>
        <v>4.2604363974312811</v>
      </c>
      <c r="BK162" s="1192">
        <f>+RevBuild!BK101-BE162</f>
        <v>1.8446507760532151</v>
      </c>
      <c r="BL162" s="1192">
        <f>+RevBuild!BL101-BF162</f>
        <v>0.69169780617995213</v>
      </c>
      <c r="BM162" s="1192">
        <f>+RevBuild!BM101-BG162</f>
        <v>0.99188056014327497</v>
      </c>
      <c r="BN162" s="1192">
        <f>+RevBuild!BN101-BH162</f>
        <v>1.0640701659965206</v>
      </c>
      <c r="BO162" s="776">
        <f t="shared" si="147"/>
        <v>4.5922993083729633</v>
      </c>
      <c r="BQ162" s="1192">
        <f>+RevBuild!BQ101-BK162-BE162</f>
        <v>0.49909922394678308</v>
      </c>
      <c r="BR162" s="1192">
        <f>+RevBuild!BR101-BL162-BF162</f>
        <v>0.79232045866022993</v>
      </c>
      <c r="BS162" s="1192">
        <f>+RevBuild!BS101-BM162-BG162</f>
        <v>1.111172292615322</v>
      </c>
      <c r="BT162" s="1192">
        <f>+RevBuild!BT101-BN162-BH162</f>
        <v>1.3071723189734188</v>
      </c>
      <c r="BU162" s="776">
        <f t="shared" si="143"/>
        <v>3.7097642941957538</v>
      </c>
      <c r="BW162" s="1192">
        <f>+RevBuild!BW101-BQ162-BK162-BE162</f>
        <v>2.5462500000000006</v>
      </c>
      <c r="BX162" s="1192">
        <f>+RevBuild!BX101-BR162-BL162-BF162</f>
        <v>2.25</v>
      </c>
      <c r="BY162" s="1192">
        <f>+RevBuild!BY101-BS162-BM162-BG162</f>
        <v>1.8412499999999987</v>
      </c>
      <c r="BZ162" s="1192">
        <f>+RevBuild!BZ101-BT162-BN162-BH162</f>
        <v>1.6199999999999992</v>
      </c>
      <c r="CA162" s="776">
        <f t="shared" si="144"/>
        <v>8.2574999999999985</v>
      </c>
      <c r="CC162" s="1192">
        <f>+RevBuild!CC101-BW162-BQ162-BK162</f>
        <v>0.16499999999999915</v>
      </c>
      <c r="CD162" s="1192">
        <f>+RevBuild!CD101-BX162-BR162-BL162</f>
        <v>1.6809817351598171</v>
      </c>
      <c r="CE162" s="1192">
        <f>+RevBuild!CE101-BY162-BS162-BM162</f>
        <v>1.5306971472414039</v>
      </c>
      <c r="CF162" s="1192">
        <f>+RevBuild!CF101-BZ162-BT162-BN162</f>
        <v>1.5437575150300615</v>
      </c>
      <c r="CG162" s="776">
        <f t="shared" ref="CG162" si="150">SUM(CC162:CF162)</f>
        <v>4.9204363974312813</v>
      </c>
      <c r="CH162" s="1432">
        <f>+AVERAGE(CA162/CA$9,BU162/BU$9,BO162/BO$9)</f>
        <v>1.308524289279307E-3</v>
      </c>
      <c r="CI162" s="563"/>
    </row>
    <row r="163" spans="2:98" s="1431" customFormat="1" x14ac:dyDescent="0.2">
      <c r="B163" s="407"/>
      <c r="H163" s="24"/>
      <c r="N163" s="24"/>
      <c r="T163" s="24"/>
      <c r="Z163" s="24"/>
      <c r="AF163" s="24"/>
      <c r="AK163" s="36"/>
      <c r="AL163" s="24"/>
      <c r="AQ163" s="740"/>
      <c r="AR163" s="24"/>
      <c r="AW163" s="740"/>
      <c r="AX163" s="24"/>
      <c r="AY163" s="588"/>
      <c r="AZ163" s="588"/>
      <c r="BA163" s="588"/>
      <c r="BB163" s="588"/>
      <c r="BC163" s="776"/>
      <c r="BD163" s="24"/>
      <c r="BE163" s="1434">
        <f>+BE162/BE$9</f>
        <v>0</v>
      </c>
      <c r="BF163" s="1434">
        <f>+BF162/BF$9</f>
        <v>1.5064908428498638E-3</v>
      </c>
      <c r="BG163" s="1434">
        <f>+BG162/BG$9</f>
        <v>1.4516338724929879E-3</v>
      </c>
      <c r="BH163" s="1434">
        <f>+BH162/BH$9</f>
        <v>1.4010339549131801E-3</v>
      </c>
      <c r="BI163" s="756">
        <f>+BI162/BI$9</f>
        <v>1.1559368362675424E-3</v>
      </c>
      <c r="BJ163" s="24"/>
      <c r="BK163" s="1434">
        <f>+BK162/BK$9</f>
        <v>2.0705475093200304E-3</v>
      </c>
      <c r="BL163" s="1434">
        <f>+BL162/BL$9</f>
        <v>7.0258791892326275E-4</v>
      </c>
      <c r="BM163" s="1434">
        <f>+BM162/BM$9</f>
        <v>9.9108768999128208E-4</v>
      </c>
      <c r="BN163" s="1434">
        <f>+BN162/BN$9</f>
        <v>9.8461197926947392E-4</v>
      </c>
      <c r="BO163" s="756">
        <f>+BO162/BO$9</f>
        <v>1.1605800774275225E-3</v>
      </c>
      <c r="BP163" s="24"/>
      <c r="BQ163" s="1434">
        <f>+BQ162/BQ$9</f>
        <v>5.3125615926722844E-4</v>
      </c>
      <c r="BR163" s="1434">
        <f>+BR162/BR$9</f>
        <v>7.5432941214686523E-4</v>
      </c>
      <c r="BS163" s="1434">
        <f>+BS162/BS$9</f>
        <v>1.0357181536831939E-3</v>
      </c>
      <c r="BT163" s="1434">
        <f>+BT162/BT$9</f>
        <v>1.1341232560693353E-3</v>
      </c>
      <c r="BU163" s="756">
        <f>+BU162/BU$9</f>
        <v>8.8007750255517526E-4</v>
      </c>
      <c r="BV163" s="24"/>
      <c r="BW163" s="1434">
        <f>+BW162/BW$9</f>
        <v>2.6207164524672901E-3</v>
      </c>
      <c r="BX163" s="1434">
        <f>+BX162/BX$9</f>
        <v>2.0468762312529105E-3</v>
      </c>
      <c r="BY163" s="1434">
        <f>+BY162/BY$9</f>
        <v>1.6470045261160295E-3</v>
      </c>
      <c r="BZ163" s="1434">
        <f>+BZ162/BZ$9</f>
        <v>1.3589767207287729E-3</v>
      </c>
      <c r="CA163" s="756">
        <f>+CA162/CA$9</f>
        <v>1.884915287855223E-3</v>
      </c>
      <c r="CB163" s="24"/>
      <c r="CC163" s="1434">
        <f>+CC162/CC$9</f>
        <v>1.6412623046940629E-4</v>
      </c>
      <c r="CD163" s="1434">
        <f>+CD162/CD$9</f>
        <v>1.4923641996594308E-3</v>
      </c>
      <c r="CE163" s="1434">
        <f>+CE162/CE$9</f>
        <v>1.3324567581655172E-3</v>
      </c>
      <c r="CF163" s="1434">
        <f>+CF162/CF$9</f>
        <v>1.2513819849072929E-3</v>
      </c>
      <c r="CG163" s="756">
        <f>+CG162/CG$9</f>
        <v>1.0900071095919473E-3</v>
      </c>
      <c r="CH163" s="1432"/>
      <c r="CI163" s="563">
        <f>+AVERAGE(BU163,BO163,CA163,)</f>
        <v>9.8139321695948022E-4</v>
      </c>
      <c r="CO163"/>
      <c r="CP163"/>
      <c r="CQ163"/>
      <c r="CR163"/>
      <c r="CS163"/>
      <c r="CT163"/>
    </row>
    <row r="164" spans="2:98" x14ac:dyDescent="0.2">
      <c r="B164" s="407" t="s">
        <v>633</v>
      </c>
      <c r="C164" s="1298"/>
      <c r="D164" s="1298"/>
      <c r="E164" s="1298"/>
      <c r="F164" s="1298"/>
      <c r="G164" s="1298"/>
      <c r="H164" s="24"/>
      <c r="I164" s="1298"/>
      <c r="J164" s="1298"/>
      <c r="K164" s="1298"/>
      <c r="L164" s="1298"/>
      <c r="M164" s="1298"/>
      <c r="N164" s="24"/>
      <c r="O164" s="1298"/>
      <c r="P164" s="1298"/>
      <c r="Q164" s="1298"/>
      <c r="R164" s="1298"/>
      <c r="S164" s="1298"/>
      <c r="T164" s="24"/>
      <c r="U164" s="1298"/>
      <c r="V164" s="1298"/>
      <c r="W164" s="1298"/>
      <c r="X164" s="1298"/>
      <c r="Y164" s="1298"/>
      <c r="Z164" s="24"/>
      <c r="AA164" s="1298"/>
      <c r="AB164" s="1298"/>
      <c r="AC164" s="1298"/>
      <c r="AD164" s="1298"/>
      <c r="AE164" s="1298"/>
      <c r="AF164" s="24"/>
      <c r="AG164" s="1298"/>
      <c r="AH164" s="1298"/>
      <c r="AI164" s="1298"/>
      <c r="AJ164" s="1298"/>
      <c r="AK164" s="36"/>
      <c r="AL164" s="24"/>
      <c r="AM164" s="1298"/>
      <c r="AN164" s="1298"/>
      <c r="AO164" s="1298"/>
      <c r="AP164" s="1298"/>
      <c r="AQ164" s="764"/>
      <c r="AR164" s="24"/>
      <c r="AS164" s="1298"/>
      <c r="AT164" s="1298"/>
      <c r="AU164" s="1298"/>
      <c r="AV164" s="1298"/>
      <c r="AW164" s="694"/>
      <c r="AX164" s="24"/>
      <c r="AY164" s="588">
        <v>0</v>
      </c>
      <c r="AZ164" s="588">
        <v>0</v>
      </c>
      <c r="BA164" s="588">
        <v>0</v>
      </c>
      <c r="BB164" s="588">
        <v>0</v>
      </c>
      <c r="BC164" s="776">
        <f t="shared" si="142"/>
        <v>0</v>
      </c>
      <c r="BD164" s="24"/>
      <c r="BE164" s="1192">
        <f>+RevBuild!BE102-AY164-AS164-AM164</f>
        <v>0</v>
      </c>
      <c r="BF164" s="1192">
        <f>+RevBuild!BF102-AZ164-AT164-AN164</f>
        <v>0</v>
      </c>
      <c r="BG164" s="1192">
        <f>+RevBuild!BG102-BA164-AU164-AO164</f>
        <v>0</v>
      </c>
      <c r="BH164" s="1192">
        <f>+RevBuild!BH102-BB164-AV164-AP164</f>
        <v>5</v>
      </c>
      <c r="BI164" s="776">
        <f t="shared" si="146"/>
        <v>5</v>
      </c>
      <c r="BK164" s="1192">
        <f>+RevBuild!BK102-BE164-AY164-AS164</f>
        <v>5</v>
      </c>
      <c r="BL164" s="1192">
        <f>+RevBuild!BL102-BF164-AZ164-AT164</f>
        <v>10</v>
      </c>
      <c r="BM164" s="1192">
        <f>+RevBuild!BM102-BG164-BA164-AU164</f>
        <v>10</v>
      </c>
      <c r="BN164" s="1192">
        <f>+RevBuild!BN102-BH164-BB164-AV164</f>
        <v>5</v>
      </c>
      <c r="BO164" s="776">
        <f>SUM(BK164:BN164)</f>
        <v>30</v>
      </c>
      <c r="BQ164" s="1192">
        <f>+RevBuild!BQ102-BK164-BE164-AY164</f>
        <v>15</v>
      </c>
      <c r="BR164" s="1192">
        <f>+RevBuild!BR102-BL164-BF164-AZ164</f>
        <v>10</v>
      </c>
      <c r="BS164" s="1192">
        <f>+RevBuild!BS102-BM164-BG164-BA164</f>
        <v>10</v>
      </c>
      <c r="BT164" s="1192">
        <f>+RevBuild!BT102-BN164-BH164-BB164</f>
        <v>10</v>
      </c>
      <c r="BU164" s="776">
        <f>SUM(BQ164:BT164)</f>
        <v>45</v>
      </c>
      <c r="BW164" s="1192">
        <f>+RevBuild!BW102-BQ164-BK164-BE164</f>
        <v>15</v>
      </c>
      <c r="BX164" s="1192">
        <f>+RevBuild!BX102-BR164-BL164-BF164</f>
        <v>15</v>
      </c>
      <c r="BY164" s="1192">
        <f>+RevBuild!BY102-BS164-BM164-BG164</f>
        <v>15</v>
      </c>
      <c r="BZ164" s="1192">
        <f>+RevBuild!BZ102-BT164-BN164-BH164</f>
        <v>15</v>
      </c>
      <c r="CA164" s="776">
        <f>SUM(BW164:BZ164)</f>
        <v>60</v>
      </c>
      <c r="CC164" s="1192">
        <f>+RevBuild!CC102-BW164-BQ164-BK164</f>
        <v>5</v>
      </c>
      <c r="CD164" s="1192">
        <f>+RevBuild!CD102-BX164-BR164-BL164</f>
        <v>5</v>
      </c>
      <c r="CE164" s="1192">
        <f>+RevBuild!CE102-BY164-BS164-BM164</f>
        <v>5</v>
      </c>
      <c r="CF164" s="1192">
        <f>+RevBuild!CF102-BZ164-BT164-BN164</f>
        <v>10</v>
      </c>
      <c r="CG164" s="776">
        <f>SUM(CC164:CF164)</f>
        <v>25</v>
      </c>
      <c r="CH164" s="1432">
        <f>+AVERAGE(CA164/CA$9,BU164/BU$9,BO164/BO$9)</f>
        <v>1.0651063124913292E-2</v>
      </c>
      <c r="CI164" s="563"/>
    </row>
    <row r="165" spans="2:98" s="1431" customFormat="1" x14ac:dyDescent="0.2">
      <c r="B165" s="407"/>
      <c r="H165" s="24"/>
      <c r="N165" s="24"/>
      <c r="T165" s="24"/>
      <c r="Z165" s="24"/>
      <c r="AF165" s="24"/>
      <c r="AK165" s="36"/>
      <c r="AL165" s="24"/>
      <c r="AQ165" s="764"/>
      <c r="AR165" s="24"/>
      <c r="AW165" s="694"/>
      <c r="AX165" s="24"/>
      <c r="AY165" s="588"/>
      <c r="AZ165" s="588"/>
      <c r="BA165" s="588"/>
      <c r="BB165" s="588"/>
      <c r="BC165" s="776"/>
      <c r="BD165" s="24"/>
      <c r="BE165" s="1434">
        <f>+BE164/BE$9</f>
        <v>0</v>
      </c>
      <c r="BF165" s="1434">
        <f>+BF164/BF$9</f>
        <v>0</v>
      </c>
      <c r="BG165" s="1434">
        <f>+BG164/BG$9</f>
        <v>0</v>
      </c>
      <c r="BH165" s="1434">
        <f>+BH164/BH$9</f>
        <v>5.0807844731226501E-3</v>
      </c>
      <c r="BI165" s="756">
        <f>+BI164/BI$9</f>
        <v>1.3565944054046721E-3</v>
      </c>
      <c r="BJ165" s="24"/>
      <c r="BK165" s="1434">
        <f>+BK164/BK$9</f>
        <v>5.6123021663486367E-3</v>
      </c>
      <c r="BL165" s="1434">
        <f>+BL164/BL$9</f>
        <v>1.015744032503809E-2</v>
      </c>
      <c r="BM165" s="1434">
        <f>+BM164/BM$9</f>
        <v>9.9920063948840936E-3</v>
      </c>
      <c r="BN165" s="1434">
        <f>+BN164/BN$9</f>
        <v>4.6266308873878044E-3</v>
      </c>
      <c r="BO165" s="756">
        <f>+BO164/BO$9</f>
        <v>7.5816927392655872E-3</v>
      </c>
      <c r="BP165" s="24"/>
      <c r="BQ165" s="1434">
        <f>+BQ164/BQ$9</f>
        <v>1.5966449168147996E-2</v>
      </c>
      <c r="BR165" s="1434">
        <f>+BR164/BR$9</f>
        <v>9.5205090806615607E-3</v>
      </c>
      <c r="BS165" s="1434">
        <f>+BS164/BS$9</f>
        <v>9.3209501403735077E-3</v>
      </c>
      <c r="BT165" s="1434">
        <f>+BT164/BT$9</f>
        <v>8.6761572258507828E-3</v>
      </c>
      <c r="BU165" s="756">
        <f>+BU164/BU$9</f>
        <v>1.067547274551808E-2</v>
      </c>
      <c r="BV165" s="24"/>
      <c r="BW165" s="1434">
        <f>+BW164/BW$9</f>
        <v>1.5438683077863268E-2</v>
      </c>
      <c r="BX165" s="1434">
        <f>+BX164/BX$9</f>
        <v>1.364584154168607E-2</v>
      </c>
      <c r="BY165" s="1434">
        <f>+BY164/BY$9</f>
        <v>1.3417552147584772E-2</v>
      </c>
      <c r="BZ165" s="1434">
        <f>+BZ164/BZ$9</f>
        <v>1.2583117784525682E-2</v>
      </c>
      <c r="CA165" s="756">
        <f>+CA164/CA$9</f>
        <v>1.3696023889956209E-2</v>
      </c>
      <c r="CB165" s="24"/>
      <c r="CC165" s="1434">
        <f>+CC164/CC$9</f>
        <v>4.9735221354365805E-3</v>
      </c>
      <c r="CD165" s="1434">
        <f>+CD164/CD$9</f>
        <v>4.4389661364094071E-3</v>
      </c>
      <c r="CE165" s="1434">
        <f>+CE164/CE$9</f>
        <v>4.3524506482776415E-3</v>
      </c>
      <c r="CF165" s="1434">
        <f>+CF164/CF$9</f>
        <v>8.1060786601769175E-3</v>
      </c>
      <c r="CG165" s="756">
        <f>+CG164/CG$9</f>
        <v>5.5381627845092493E-3</v>
      </c>
      <c r="CH165" s="1432"/>
      <c r="CI165" s="563">
        <f>+AVERAGE(BU165,BO165,CA165,)</f>
        <v>7.9882973436849695E-3</v>
      </c>
      <c r="CO165"/>
      <c r="CP165"/>
      <c r="CQ165"/>
      <c r="CR165"/>
      <c r="CS165"/>
      <c r="CT165"/>
    </row>
    <row r="166" spans="2:98" x14ac:dyDescent="0.2">
      <c r="B166" s="407" t="s">
        <v>404</v>
      </c>
      <c r="C166" s="1298"/>
      <c r="D166" s="1298"/>
      <c r="E166" s="1298"/>
      <c r="F166" s="1298"/>
      <c r="G166" s="1298"/>
      <c r="H166" s="24"/>
      <c r="I166" s="1298"/>
      <c r="J166" s="1298"/>
      <c r="K166" s="1298"/>
      <c r="L166" s="1298"/>
      <c r="M166" s="1298"/>
      <c r="N166" s="24"/>
      <c r="O166" s="1298"/>
      <c r="P166" s="1298"/>
      <c r="Q166" s="1298"/>
      <c r="R166" s="1298"/>
      <c r="S166" s="1298"/>
      <c r="T166" s="24"/>
      <c r="U166" s="1298"/>
      <c r="V166" s="1298"/>
      <c r="W166" s="1298"/>
      <c r="X166" s="1298"/>
      <c r="Y166" s="1298"/>
      <c r="Z166" s="24"/>
      <c r="AA166" s="1298"/>
      <c r="AB166" s="1298"/>
      <c r="AC166" s="1298"/>
      <c r="AD166" s="1298"/>
      <c r="AE166" s="1298"/>
      <c r="AF166" s="24"/>
      <c r="AG166" s="1298"/>
      <c r="AH166" s="1298"/>
      <c r="AI166" s="1298"/>
      <c r="AJ166" s="1298"/>
      <c r="AK166" s="36"/>
      <c r="AL166" s="24"/>
      <c r="AM166" s="178">
        <f>+AM151-AM156-AM158-AM160-AM162-AM164</f>
        <v>163.35538708201659</v>
      </c>
      <c r="AN166" s="178">
        <f>+AN151-AN156-AN158-AN160-AN162-AN164</f>
        <v>203.5750975470155</v>
      </c>
      <c r="AO166" s="178">
        <f>+AO151-AO156-AO158-AO160-AO162-AO164</f>
        <v>174.26310627539158</v>
      </c>
      <c r="AP166" s="178">
        <f>+AP151-AP156-AP158-AP160-AP162-AP164</f>
        <v>195.6224978382553</v>
      </c>
      <c r="AQ166" s="645">
        <f>SUM(AM166:AP166)</f>
        <v>736.81608874267897</v>
      </c>
      <c r="AR166" s="24"/>
      <c r="AS166" s="178">
        <f>+AS151-AS156-AS158-AS160-AS162-AS164</f>
        <v>186.07308101606279</v>
      </c>
      <c r="AT166" s="178">
        <f>+AT151-AT156-AT158-AT160-AT162-AT164</f>
        <v>214.84145257873854</v>
      </c>
      <c r="AU166" s="178">
        <f>+AU151-AU156-AU158-AU160-AU162-AU164</f>
        <v>188.31289630171818</v>
      </c>
      <c r="AV166" s="178">
        <f>+AV151-AV156-AV158-AV160-AV162-AV164</f>
        <v>190.6585580207491</v>
      </c>
      <c r="AW166" s="645">
        <f>SUM(AS166:AV166)</f>
        <v>779.88598791726861</v>
      </c>
      <c r="AX166" s="24"/>
      <c r="AY166" s="178">
        <f>+AY151-AY156-AY158-AY160-AY162-AY164</f>
        <v>172.17739617225706</v>
      </c>
      <c r="AZ166" s="178">
        <f>+AZ151-AZ156-AZ158-AZ160-AZ162-AZ164</f>
        <v>229.95249865506503</v>
      </c>
      <c r="BA166" s="178">
        <f>+BA151-BA156-BA158-BA160-BA162-BA164</f>
        <v>207.32385006487834</v>
      </c>
      <c r="BB166" s="178">
        <f>+BB151-BB156-BB158-BB160-BB162-BB164</f>
        <v>202.03348637278935</v>
      </c>
      <c r="BC166" s="645">
        <f>SUM(AY166:BB166)</f>
        <v>811.48723126498976</v>
      </c>
      <c r="BD166" s="24"/>
      <c r="BE166" s="178">
        <f>+BE151-BE156-BE158-BE160-BE162-BE164</f>
        <v>214.53879422971113</v>
      </c>
      <c r="BF166" s="178">
        <f>+BF151-BF156-BF158-BF160-BF162-BF164</f>
        <v>241.06001826484018</v>
      </c>
      <c r="BG166" s="178">
        <f>+BG151-BG156-BG158-BG160-BG162-BG164</f>
        <v>203.7133028527586</v>
      </c>
      <c r="BH166" s="178">
        <f>+BH151-BH156-BH158-BH160-BH162-BH164</f>
        <v>205.01724248496996</v>
      </c>
      <c r="BI166" s="645">
        <f>SUM(BE166:BH166)</f>
        <v>864.32935783227992</v>
      </c>
      <c r="BK166" s="178">
        <f>+BK151-BK156-BK158-BK160-BK162-BK164</f>
        <v>181.75534922394678</v>
      </c>
      <c r="BL166" s="178">
        <f>+BL151-BL156-BL158-BL160-BL162-BL164</f>
        <v>215.40830219382005</v>
      </c>
      <c r="BM166" s="178">
        <f>+BM151-BM156-BM158-BM160-BM162-BM164</f>
        <v>201.70811943985674</v>
      </c>
      <c r="BN166" s="178">
        <f>+BN151-BN156-BN158-BN160-BN162-BN164</f>
        <v>224.69083825931503</v>
      </c>
      <c r="BO166" s="645">
        <f>SUM(BK166:BN166)</f>
        <v>823.56260911693857</v>
      </c>
      <c r="BQ166" s="178">
        <f>+BQ151-BQ156-BQ158-BQ160-BQ162-BQ164</f>
        <v>136.32215077605312</v>
      </c>
      <c r="BR166" s="178">
        <f>+BR151-BR156-BR158-BR160-BR162-BR164</f>
        <v>177.81791954133979</v>
      </c>
      <c r="BS166" s="178">
        <f>+BS151-BS156-BS158-BS160-BS162-BS164</f>
        <v>203.10544770738466</v>
      </c>
      <c r="BT166" s="178">
        <f>+BT151-BT156-BT158-BT160-BT162-BT164</f>
        <v>236.26962768102658</v>
      </c>
      <c r="BU166" s="645">
        <f>SUM(BQ166:BT166)</f>
        <v>753.51514570580412</v>
      </c>
      <c r="BW166" s="178">
        <f>+BW151-BW156-BW158-BW160-BW162-BW164</f>
        <v>177.63147998000005</v>
      </c>
      <c r="BX166" s="178">
        <f>+BX151-BX156-BX158-BX160-BX162-BX164</f>
        <v>211.81379649999997</v>
      </c>
      <c r="BY166" s="178">
        <f>+BY151-BY156-BY158-BY160-BY162-BY164</f>
        <v>217.69768928000008</v>
      </c>
      <c r="BZ166" s="178">
        <f>+BZ151-BZ156-BZ158-BZ160-BZ162-BZ164</f>
        <v>233.60483859999999</v>
      </c>
      <c r="CA166" s="645">
        <f t="shared" si="144"/>
        <v>840.74780436000015</v>
      </c>
      <c r="CC166" s="178">
        <f>+CC151-CC156-CC158-CC160-CC162-CC164</f>
        <v>206.10240445304996</v>
      </c>
      <c r="CD166" s="178">
        <f>+CD151-CD156-CD158-CD160-CD162-CD164</f>
        <v>238.38297592689023</v>
      </c>
      <c r="CE166" s="178">
        <f>+CE151-CE156-CE158-CE160-CE162-CE164</f>
        <v>244.83680668675865</v>
      </c>
      <c r="CF166" s="178">
        <f>+CF151-CF156-CF158-CF160-CF162-CF164</f>
        <v>257.96356218586988</v>
      </c>
      <c r="CG166" s="645">
        <f t="shared" ref="CG166" si="151">SUM(CC166:CF166)</f>
        <v>947.28574925256862</v>
      </c>
      <c r="CH166" s="563"/>
      <c r="CI166" s="563"/>
    </row>
    <row r="167" spans="2:98" x14ac:dyDescent="0.2">
      <c r="B167" s="407" t="s">
        <v>403</v>
      </c>
      <c r="C167" s="1298"/>
      <c r="D167" s="1298"/>
      <c r="E167" s="1298"/>
      <c r="F167" s="1298"/>
      <c r="G167" s="1298"/>
      <c r="H167" s="24"/>
      <c r="I167" s="1298"/>
      <c r="J167" s="1298"/>
      <c r="K167" s="1298"/>
      <c r="L167" s="1298"/>
      <c r="M167" s="1298"/>
      <c r="N167" s="24"/>
      <c r="O167" s="1298"/>
      <c r="P167" s="1298"/>
      <c r="Q167" s="1298"/>
      <c r="R167" s="1298"/>
      <c r="S167" s="1298"/>
      <c r="T167" s="24"/>
      <c r="U167" s="1298"/>
      <c r="V167" s="1298"/>
      <c r="W167" s="1298"/>
      <c r="X167" s="1298"/>
      <c r="Y167" s="1298"/>
      <c r="Z167" s="24"/>
      <c r="AA167" s="1298"/>
      <c r="AB167" s="1298"/>
      <c r="AC167" s="1298"/>
      <c r="AD167" s="1298"/>
      <c r="AE167" s="1298"/>
      <c r="AF167" s="24"/>
      <c r="AG167" s="1298"/>
      <c r="AH167" s="1298"/>
      <c r="AI167" s="1298"/>
      <c r="AJ167" s="1298"/>
      <c r="AK167" s="36"/>
      <c r="AL167" s="24"/>
      <c r="AM167" s="1299">
        <f>+AM166/'Pro Forma P&amp;L'!AM16</f>
        <v>0.17399305334635731</v>
      </c>
      <c r="AN167" s="1299">
        <f>+AN166/'Pro Forma P&amp;L'!AN16</f>
        <v>0.20399747558242609</v>
      </c>
      <c r="AO167" s="1299">
        <f>+AO166/'Pro Forma P&amp;L'!AO16</f>
        <v>0.18403421799346426</v>
      </c>
      <c r="AP167" s="1299">
        <f>+AP166/'Pro Forma P&amp;L'!AP16</f>
        <v>0.1934566040270127</v>
      </c>
      <c r="AQ167" s="1300">
        <f>+AQ166/'Pro Forma P&amp;L'!AQ16</f>
        <v>0.18917493379296696</v>
      </c>
      <c r="AR167" s="24"/>
      <c r="AS167" s="1299">
        <f>+AS166/'Pro Forma P&amp;L'!AS16</f>
        <v>0.19173576641775719</v>
      </c>
      <c r="AT167" s="1299">
        <f>+AT166/'Pro Forma P&amp;L'!AT16</f>
        <v>0.20880459672663315</v>
      </c>
      <c r="AU167" s="1299">
        <f>+AU166/'Pro Forma P&amp;L'!AU16</f>
        <v>0.19398626366453853</v>
      </c>
      <c r="AV167" s="1299">
        <f>+AV166/'Pro Forma P&amp;L'!AV16</f>
        <v>0.1939055141750744</v>
      </c>
      <c r="AW167" s="1300">
        <f>+AW166/'Pro Forma P&amp;L'!AW16</f>
        <v>0.19727036573373211</v>
      </c>
      <c r="AX167" s="1299"/>
      <c r="AY167" s="1299">
        <f>+AY166/'Pro Forma P&amp;L'!AY16</f>
        <v>0.19382798173168644</v>
      </c>
      <c r="AZ167" s="1299">
        <f>+AZ166/'Pro Forma P&amp;L'!AZ16</f>
        <v>0.23462146582498217</v>
      </c>
      <c r="BA167" s="1299">
        <f>+BA166/'Pro Forma P&amp;L'!BA16</f>
        <v>0.22204546435137446</v>
      </c>
      <c r="BB167" s="1299">
        <f>+BB166/'Pro Forma P&amp;L'!BB16</f>
        <v>0.21275640940689697</v>
      </c>
      <c r="BC167" s="1300">
        <f>+BC166/'Pro Forma P&amp;L'!BC16</f>
        <v>0.21629853966601534</v>
      </c>
      <c r="BD167" s="1299"/>
      <c r="BE167" s="1299">
        <f>+BE166/'Pro Forma P&amp;L'!BE16</f>
        <v>0.23228539868959627</v>
      </c>
      <c r="BF167" s="274">
        <f>+BF166/BF9</f>
        <v>0.23955084792292575</v>
      </c>
      <c r="BG167" s="274">
        <f>+BG166/BG9</f>
        <v>0.21653199707988799</v>
      </c>
      <c r="BH167" s="274">
        <f>+BH166/BH9</f>
        <v>0.20832968446801134</v>
      </c>
      <c r="BI167" s="694">
        <f>+BI166/RevBuild!BI63</f>
        <v>0.22422158291799316</v>
      </c>
      <c r="BJ167" s="274"/>
      <c r="BK167" s="274">
        <f>+BK166/BK9</f>
        <v>0.2040131880390019</v>
      </c>
      <c r="BL167" s="274">
        <f>+BL166/BL9</f>
        <v>0.21879969750514988</v>
      </c>
      <c r="BM167" s="274">
        <f>+BM166/BM9</f>
        <v>0.20154688193430931</v>
      </c>
      <c r="BN167" s="274">
        <f>+BN166/BN9</f>
        <v>0.20791231448072084</v>
      </c>
      <c r="BO167" s="694">
        <f>+BO166/BO9</f>
        <v>0.20813328846241722</v>
      </c>
      <c r="BP167" s="274"/>
      <c r="BQ167" s="274">
        <f>+BQ166/BQ9</f>
        <v>0.14510537939056395</v>
      </c>
      <c r="BR167" s="274">
        <f>+BR166/BR9</f>
        <v>0.16929171176976723</v>
      </c>
      <c r="BS167" s="274">
        <f>+BS166/BS9</f>
        <v>0.18931357513187713</v>
      </c>
      <c r="BT167" s="274">
        <f>+BT166/BT9</f>
        <v>0.2049912437453813</v>
      </c>
      <c r="BU167" s="694">
        <f>+BU166/BU9</f>
        <v>0.17875845336260882</v>
      </c>
      <c r="BW167" s="274">
        <f>+BW166/BW9</f>
        <v>0.18282640827086896</v>
      </c>
      <c r="BX167" s="274">
        <f>+BX166/BX9</f>
        <v>0.19269183355879593</v>
      </c>
      <c r="BY167" s="274">
        <f>+BY166/BY9</f>
        <v>0.19473133988820715</v>
      </c>
      <c r="BZ167" s="274">
        <f>+BZ166/BZ9</f>
        <v>0.19596514660926076</v>
      </c>
      <c r="CA167" s="694">
        <f>+CA166/CA9</f>
        <v>0.19191503356571318</v>
      </c>
      <c r="CC167" s="274">
        <f>+CC166/CC9</f>
        <v>0.20501097414278935</v>
      </c>
      <c r="CD167" s="274">
        <f>+CD166/CD9</f>
        <v>0.21163479152719292</v>
      </c>
      <c r="CE167" s="274">
        <f>+CE166/CE9</f>
        <v>0.21312802359720207</v>
      </c>
      <c r="CF167" s="274">
        <f>+CF166/CF9</f>
        <v>0.20910729265381012</v>
      </c>
      <c r="CG167" s="694">
        <f>+CG166/CG9</f>
        <v>0.20984890731226144</v>
      </c>
      <c r="CH167" s="1433">
        <f>+(CA167-BI167)/3</f>
        <v>-1.0768849784093324E-2</v>
      </c>
      <c r="CI167" s="563"/>
    </row>
    <row r="168" spans="2:98" x14ac:dyDescent="0.2">
      <c r="B168" s="1193" t="s">
        <v>386</v>
      </c>
      <c r="C168" s="546"/>
      <c r="D168" s="546"/>
      <c r="E168" s="546"/>
      <c r="F168" s="546"/>
      <c r="G168" s="546"/>
      <c r="H168" s="788"/>
      <c r="I168" s="546"/>
      <c r="J168" s="546"/>
      <c r="K168" s="546"/>
      <c r="L168" s="546"/>
      <c r="M168" s="546"/>
      <c r="N168" s="788"/>
      <c r="O168" s="546"/>
      <c r="P168" s="546"/>
      <c r="Q168" s="546"/>
      <c r="R168" s="546"/>
      <c r="S168" s="546"/>
      <c r="T168" s="788"/>
      <c r="U168" s="546"/>
      <c r="V168" s="546"/>
      <c r="W168" s="546"/>
      <c r="X168" s="546"/>
      <c r="Y168" s="546"/>
      <c r="Z168" s="788"/>
      <c r="AA168" s="546"/>
      <c r="AB168" s="546"/>
      <c r="AC168" s="546"/>
      <c r="AD168" s="546"/>
      <c r="AE168" s="546"/>
      <c r="AF168" s="788"/>
      <c r="AG168" s="546"/>
      <c r="AH168" s="546"/>
      <c r="AI168" s="546"/>
      <c r="AJ168" s="546"/>
      <c r="AK168" s="546"/>
      <c r="AL168" s="788"/>
      <c r="AM168" s="1194"/>
      <c r="AN168" s="1194"/>
      <c r="AO168" s="1194"/>
      <c r="AP168" s="1194"/>
      <c r="AQ168" s="1195"/>
      <c r="AR168" s="788"/>
      <c r="AS168" s="1194">
        <f>+AS167-AM152</f>
        <v>2.8101636144556713E-2</v>
      </c>
      <c r="AT168" s="1194">
        <f t="shared" ref="AT168:AW168" si="152">+AT167-AN152</f>
        <v>1.3619247433275805E-2</v>
      </c>
      <c r="AU168" s="1194">
        <f t="shared" si="152"/>
        <v>1.6438344348879919E-2</v>
      </c>
      <c r="AV168" s="1194">
        <f t="shared" si="152"/>
        <v>1.1137931298627668E-2</v>
      </c>
      <c r="AW168" s="1195">
        <f t="shared" si="152"/>
        <v>1.7269726644219247E-2</v>
      </c>
      <c r="AX168" s="788"/>
      <c r="AY168" s="1194">
        <f t="shared" ref="AY168" si="153">+AY167-AS152</f>
        <v>1.6366220407164289E-2</v>
      </c>
      <c r="AZ168" s="1194">
        <f t="shared" ref="AZ168" si="154">+AZ167-AT152</f>
        <v>3.5638899912070976E-2</v>
      </c>
      <c r="BA168" s="1194">
        <f t="shared" ref="BA168" si="155">+BA167-AU152</f>
        <v>3.006342021183972E-2</v>
      </c>
      <c r="BB168" s="1194">
        <f t="shared" ref="BB168" si="156">+BB167-AV152</f>
        <v>2.4047215269112521E-2</v>
      </c>
      <c r="BC168" s="1195">
        <f t="shared" ref="BC168" si="157">+BC167-AW152</f>
        <v>2.6900745113948077E-2</v>
      </c>
      <c r="BD168" s="788"/>
      <c r="BE168" s="1194">
        <f t="shared" ref="BE168" si="158">+BE167-AY152</f>
        <v>4.1249294073356702E-2</v>
      </c>
      <c r="BF168" s="1194">
        <f t="shared" ref="BF168" si="159">+BF167-AZ152</f>
        <v>1.0908876107806664E-2</v>
      </c>
      <c r="BG168" s="1194">
        <f t="shared" ref="BG168" si="160">+BG167-BA152</f>
        <v>-2.1723151669161E-3</v>
      </c>
      <c r="BH168" s="1194">
        <f t="shared" ref="BH168" si="161">+BH167-BB152</f>
        <v>3.1949123779059785E-4</v>
      </c>
      <c r="BI168" s="1195">
        <f t="shared" ref="BI168" si="162">+BI167-BC152</f>
        <v>1.2206216345920312E-2</v>
      </c>
      <c r="BJ168" s="788"/>
      <c r="BK168" s="1194">
        <f t="shared" ref="BK168" si="163">+BK167-BE152</f>
        <v>-1.4436110282874642E-2</v>
      </c>
      <c r="BL168" s="1194">
        <f t="shared" ref="BL168" si="164">+BL167-BF152</f>
        <v>-8.2421157031346004E-3</v>
      </c>
      <c r="BM168" s="1194">
        <f t="shared" ref="BM168" si="165">+BM167-BG152</f>
        <v>-3.3076901519012158E-3</v>
      </c>
      <c r="BN168" s="1194">
        <f t="shared" ref="BN168" si="166">+BN167-BH152</f>
        <v>1.0986872262118141E-3</v>
      </c>
      <c r="BO168" s="1195">
        <f t="shared" ref="BO168" si="167">+BO167-BI152</f>
        <v>-6.2933782042494391E-3</v>
      </c>
      <c r="BP168" s="788"/>
      <c r="BQ168" s="1194">
        <f t="shared" ref="BQ168" si="168">+BQ167-BK152</f>
        <v>-1.8863578480832949E-2</v>
      </c>
      <c r="BR168" s="1194">
        <f t="shared" ref="BR168" si="169">+BR167-BL152</f>
        <v>-2.6946469682656821E-2</v>
      </c>
      <c r="BS168" s="1194">
        <f t="shared" ref="BS168" si="170">+BS167-BM152</f>
        <v>-2.0248887746760758E-2</v>
      </c>
      <c r="BT168" s="1194">
        <f t="shared" ref="BT168" si="171">+BT167-BN152</f>
        <v>-1.2148994568092569E-2</v>
      </c>
      <c r="BU168" s="1195">
        <f t="shared" ref="BU168" si="172">+BU167-BO152</f>
        <v>-1.9270265304524858E-2</v>
      </c>
      <c r="BV168" s="788"/>
      <c r="BW168" s="1194">
        <f t="shared" ref="BW168" si="173">+BW167-BQ152</f>
        <v>3.6786400696466354E-2</v>
      </c>
      <c r="BX168" s="1194">
        <f t="shared" ref="BX168" si="174">+BX167-BR152</f>
        <v>1.3825048157159792E-2</v>
      </c>
      <c r="BY168" s="1194">
        <f t="shared" ref="BY168" si="175">+BY167-BS152</f>
        <v>-8.7486444407660902E-3</v>
      </c>
      <c r="BZ168" s="1194">
        <f t="shared" ref="BZ168" si="176">+BZ167-BT152</f>
        <v>-2.1233473373471812E-2</v>
      </c>
      <c r="CA168" s="1195">
        <f t="shared" ref="CA168" si="177">+CA167-BU152</f>
        <v>3.6471267004455354E-3</v>
      </c>
      <c r="CB168" s="788"/>
      <c r="CC168" s="1194">
        <f t="shared" ref="CC168" si="178">+CC167-BW152</f>
        <v>6.3942875989587145E-3</v>
      </c>
      <c r="CD168" s="1194">
        <f t="shared" ref="CD168" si="179">+CD167-BX152</f>
        <v>5.0730056069633878E-3</v>
      </c>
      <c r="CE168" s="1194">
        <f t="shared" ref="CE168" si="180">+CE167-BY152</f>
        <v>5.0814518235245132E-3</v>
      </c>
      <c r="CF168" s="1194">
        <f t="shared" ref="CF168" si="181">+CF167-BZ152</f>
        <v>9.9819892302735469E-4</v>
      </c>
      <c r="CG168" s="1195">
        <f t="shared" ref="CG168" si="182">+CG167-CA152</f>
        <v>4.2536251486549881E-3</v>
      </c>
      <c r="CH168" s="1432">
        <f>+AVERAGE(CA168,BU168,BO168)</f>
        <v>-7.3055056027762537E-3</v>
      </c>
      <c r="CI168" s="563">
        <f>+AVERAGE(BU168,BO168,CA168,)</f>
        <v>-5.4791292020821905E-3</v>
      </c>
    </row>
    <row r="169" spans="2:98" x14ac:dyDescent="0.2">
      <c r="B169" s="1210" t="s">
        <v>651</v>
      </c>
      <c r="C169" s="1245"/>
      <c r="D169" s="1245"/>
      <c r="E169" s="1245"/>
      <c r="F169" s="1245"/>
      <c r="G169" s="1245"/>
      <c r="H169" s="1245"/>
      <c r="I169" s="1245"/>
      <c r="J169" s="1245"/>
      <c r="K169" s="1245"/>
      <c r="L169" s="1245"/>
      <c r="M169" s="1245"/>
      <c r="N169" s="1245"/>
      <c r="O169" s="1245"/>
      <c r="P169" s="1245"/>
      <c r="Q169" s="1245"/>
      <c r="R169" s="1245"/>
      <c r="S169" s="1245"/>
      <c r="T169" s="1245"/>
      <c r="U169" s="1245"/>
      <c r="V169" s="1245"/>
      <c r="W169" s="1245"/>
      <c r="X169" s="1245"/>
      <c r="Y169" s="1245"/>
      <c r="Z169" s="1245"/>
      <c r="AA169" s="1245"/>
      <c r="AB169" s="1245"/>
      <c r="AC169" s="1245"/>
      <c r="AD169" s="1245"/>
      <c r="AE169" s="1245"/>
      <c r="AF169" s="1245"/>
      <c r="AG169" s="1245"/>
      <c r="AH169" s="1245"/>
      <c r="AI169" s="1245"/>
      <c r="AJ169" s="1245"/>
      <c r="AK169" s="1245"/>
      <c r="AL169" s="1245"/>
      <c r="AM169" s="1246"/>
      <c r="AN169" s="1246"/>
      <c r="AO169" s="1246"/>
      <c r="AP169" s="1246"/>
      <c r="AQ169" s="1247"/>
      <c r="AR169" s="1245"/>
      <c r="AS169" s="1246">
        <f>+AS168+AM168</f>
        <v>2.8101636144556713E-2</v>
      </c>
      <c r="AT169" s="1246">
        <f>+AT168+AN168</f>
        <v>1.3619247433275805E-2</v>
      </c>
      <c r="AU169" s="1246">
        <f>+AU168+AO168</f>
        <v>1.6438344348879919E-2</v>
      </c>
      <c r="AV169" s="1246">
        <f>+AV168+AP168</f>
        <v>1.1137931298627668E-2</v>
      </c>
      <c r="AW169" s="1247">
        <f>+AW168+AQ168</f>
        <v>1.7269726644219247E-2</v>
      </c>
      <c r="AX169" s="1246"/>
      <c r="AY169" s="1246">
        <f>+AY168+AS168</f>
        <v>4.4467856551721002E-2</v>
      </c>
      <c r="AZ169" s="1246">
        <f>+AZ168+AT168</f>
        <v>4.9258147345346781E-2</v>
      </c>
      <c r="BA169" s="1246">
        <f>+BA168+AU168</f>
        <v>4.6501764560719638E-2</v>
      </c>
      <c r="BB169" s="1246">
        <f>+BB168+AV168</f>
        <v>3.5185146567740189E-2</v>
      </c>
      <c r="BC169" s="1247">
        <f>+BC168+AW168</f>
        <v>4.4170471758167323E-2</v>
      </c>
      <c r="BD169" s="1246"/>
      <c r="BE169" s="1246">
        <f>+BE168+AY168</f>
        <v>5.7615514480520991E-2</v>
      </c>
      <c r="BF169" s="1246">
        <f>+BF168+AZ168</f>
        <v>4.654777601987764E-2</v>
      </c>
      <c r="BG169" s="1246">
        <f>+BG168+BA168</f>
        <v>2.789110504492362E-2</v>
      </c>
      <c r="BH169" s="1246">
        <f>+BH168+BB168</f>
        <v>2.4366706506903119E-2</v>
      </c>
      <c r="BI169" s="1247">
        <f>+BI168+BC168</f>
        <v>3.9106961459868389E-2</v>
      </c>
      <c r="BJ169" s="1246"/>
      <c r="BK169" s="1246">
        <f>+BK168+BE168</f>
        <v>2.6813183790482059E-2</v>
      </c>
      <c r="BL169" s="1246">
        <f>+BL168+BF168</f>
        <v>2.6667604046720639E-3</v>
      </c>
      <c r="BM169" s="1246">
        <f>+BM168+BG168</f>
        <v>-5.4800053188173159E-3</v>
      </c>
      <c r="BN169" s="1246">
        <f>+BN168+BH168</f>
        <v>1.418178464002412E-3</v>
      </c>
      <c r="BO169" s="1247">
        <f>+BO168+BI168</f>
        <v>5.9128381416708731E-3</v>
      </c>
      <c r="BP169" s="1246"/>
      <c r="BQ169" s="1246">
        <f>+BQ168+BK168</f>
        <v>-3.3299688763707591E-2</v>
      </c>
      <c r="BR169" s="1246">
        <f>+BR168+BL168</f>
        <v>-3.5188585385791421E-2</v>
      </c>
      <c r="BS169" s="1246">
        <f>+BS168+BM168</f>
        <v>-2.3556577898661973E-2</v>
      </c>
      <c r="BT169" s="1246">
        <f>+BT168+BN168</f>
        <v>-1.1050307341880755E-2</v>
      </c>
      <c r="BU169" s="1247">
        <f>+BU168+BO168</f>
        <v>-2.5563643508774297E-2</v>
      </c>
      <c r="BV169" s="1245"/>
      <c r="BW169" s="1246">
        <f>+BW168+BQ168</f>
        <v>1.7922822215633405E-2</v>
      </c>
      <c r="BX169" s="1246">
        <f>+BX168+BR168</f>
        <v>-1.3121421525497029E-2</v>
      </c>
      <c r="BY169" s="1246">
        <f>+BY168+BS168</f>
        <v>-2.8997532187526848E-2</v>
      </c>
      <c r="BZ169" s="1246">
        <f>+BZ168+BT168</f>
        <v>-3.3382467941564381E-2</v>
      </c>
      <c r="CA169" s="1247">
        <f>+CA168+BU168</f>
        <v>-1.5623138604079323E-2</v>
      </c>
      <c r="CB169" s="1245"/>
      <c r="CC169" s="1246">
        <f>+CC168+BW168</f>
        <v>4.3180688295425068E-2</v>
      </c>
      <c r="CD169" s="1246">
        <f>+CD168+BX168</f>
        <v>1.8898053764123179E-2</v>
      </c>
      <c r="CE169" s="1246">
        <f>+CE168+BY168</f>
        <v>-3.667192617241577E-3</v>
      </c>
      <c r="CF169" s="1246">
        <f>+CF168+BZ168</f>
        <v>-2.0235274450444457E-2</v>
      </c>
      <c r="CG169" s="1247">
        <f>+CG168+CA168</f>
        <v>7.9007518491005235E-3</v>
      </c>
    </row>
    <row r="170" spans="2:98" x14ac:dyDescent="0.2">
      <c r="B170" s="1306" t="s">
        <v>662</v>
      </c>
      <c r="C170" s="1302"/>
      <c r="D170" s="1302"/>
      <c r="E170" s="1302"/>
      <c r="F170" s="1302"/>
      <c r="G170" s="1302"/>
      <c r="H170" s="1302"/>
      <c r="I170" s="1302"/>
      <c r="J170" s="1302"/>
      <c r="K170" s="1302"/>
      <c r="L170" s="1302"/>
      <c r="M170" s="1302"/>
      <c r="N170" s="1302"/>
      <c r="O170" s="1302"/>
      <c r="P170" s="1302"/>
      <c r="Q170" s="1302"/>
      <c r="R170" s="1302"/>
      <c r="S170" s="1302"/>
      <c r="T170" s="1302"/>
      <c r="U170" s="1302"/>
      <c r="V170" s="1302"/>
      <c r="W170" s="1302"/>
      <c r="X170" s="1302"/>
      <c r="Y170" s="1302"/>
      <c r="Z170" s="1302"/>
      <c r="AA170" s="1302"/>
      <c r="AB170" s="1302"/>
      <c r="AC170" s="1302"/>
      <c r="AD170" s="1302"/>
      <c r="AE170" s="1302"/>
      <c r="AF170" s="1302"/>
      <c r="AG170" s="1302"/>
      <c r="AH170" s="1302"/>
      <c r="AI170" s="1302"/>
      <c r="AJ170" s="1302"/>
      <c r="AK170" s="1302"/>
      <c r="AL170" s="1302"/>
      <c r="AM170" s="1302"/>
      <c r="AN170" s="1302"/>
      <c r="AO170" s="1302"/>
      <c r="AP170" s="1302"/>
      <c r="AQ170" s="1305"/>
      <c r="AR170" s="1302"/>
      <c r="AS170" s="1304">
        <f>+((AS166-AM151)/(RevBuild!AS133*RevBuild!AM127))</f>
        <v>0.65324791962461726</v>
      </c>
      <c r="AT170" s="1304">
        <f>+((AT166-AN151)/(RevBuild!AT133*RevBuild!AN127))</f>
        <v>0.4544563332783757</v>
      </c>
      <c r="AU170" s="1304">
        <f>+((AU166-AO151)/(RevBuild!AU133*RevBuild!AO127))</f>
        <v>0.46365542734270848</v>
      </c>
      <c r="AV170" s="1304">
        <f>+((AV166-AP151)/(RevBuild!AV133*RevBuild!AP127))</f>
        <v>-4.2494597981966101E-2</v>
      </c>
      <c r="AW170" s="1313">
        <f>+((AW166-AQ151)/(RevBuild!AW133*RevBuild!AQ127))</f>
        <v>0.37459816698986265</v>
      </c>
      <c r="AX170" s="1303"/>
      <c r="AY170" s="1304">
        <f>+((AY166-AS151)/(RevBuild!AY72*RevBuild!AS63))</f>
        <v>-0.40810856774543069</v>
      </c>
      <c r="AZ170" s="1304">
        <f>+((AZ166-AT151)/(RevBuild!AZ72*RevBuild!AT63))</f>
        <v>0.24488544570294773</v>
      </c>
      <c r="BA170" s="1304">
        <f>+((BA166-AU151)/(RevBuild!BA72*RevBuild!AU63))</f>
        <v>0.2827354443098507</v>
      </c>
      <c r="BB170" s="1304">
        <f>+((BB166-AV151)/(RevBuild!BB72*RevBuild!AV63))</f>
        <v>0.28796424297584461</v>
      </c>
      <c r="BC170" s="1313">
        <f>+((BC166-AW151)/(RevBuild!BC72*RevBuild!AW63))</f>
        <v>0.20285594183451422</v>
      </c>
      <c r="BD170" s="1314"/>
      <c r="BE170" s="1304">
        <f>+((BE166-AY151)/(RevBuild!BE72*RevBuild!AY63))</f>
        <v>0.82360290762798283</v>
      </c>
      <c r="BF170" s="1304">
        <f>+((BF166-AZ151)/(RevBuild!BF72*RevBuild!AZ63))</f>
        <v>0.49489259711858458</v>
      </c>
      <c r="BG170" s="1304">
        <f>+((BG166-BA151)/(RevBuild!BG72*RevBuild!BA63))</f>
        <v>-0.2755232477952308</v>
      </c>
      <c r="BH170" s="1304">
        <f>+((BH166-BB151)/(RevBuild!BH72*RevBuild!BB63))</f>
        <v>4.8272218686158448E-2</v>
      </c>
      <c r="BI170" s="1313">
        <f>+((BI166-BC151)/(RevBuild!BI72*RevBuild!BC63))</f>
        <v>0.36151976055862117</v>
      </c>
      <c r="BJ170" s="1315"/>
      <c r="BK170" s="1304">
        <f>+((BK166-BE151)/(RevBuild!BK72*RevBuild!BE63))</f>
        <v>-2.5664533170970496</v>
      </c>
      <c r="BL170" s="1304">
        <f>+((BL166-BF151)/(RevBuild!BL72*RevBuild!BF63))</f>
        <v>-1.3652007268168018</v>
      </c>
      <c r="BM170" s="1304">
        <f>+((BM166-BG151)/(RevBuild!BM72*RevBuild!BG63))</f>
        <v>0.41339804079716275</v>
      </c>
      <c r="BN170" s="1304">
        <f>+((BN166-BH151)/(RevBuild!BN72*RevBuild!BH63))</f>
        <v>0.6517057325141371</v>
      </c>
      <c r="BO170" s="1313">
        <f>+(BO166-BI151)/(RevBuild!BO72*RevBuild!BI63)</f>
        <v>-0.26116782112612147</v>
      </c>
      <c r="BP170" s="1315"/>
      <c r="BQ170" s="1304">
        <f>+((BQ166-BK151)/(RevBuild!BQ72*RevBuild!BK63))</f>
        <v>-0.36623696656270788</v>
      </c>
      <c r="BR170" s="1304">
        <f>+((BR166-BL151)/(RevBuild!BR72*RevBuild!BL63))</f>
        <v>-0.47102972086836209</v>
      </c>
      <c r="BS170" s="1304">
        <f>+((BS166-BM151)/(RevBuild!BS72*RevBuild!BM63))</f>
        <v>-0.18462262185545977</v>
      </c>
      <c r="BT170" s="1304">
        <f>+((BT166-BN151)/(RevBuild!BT72*RevBuild!BN63))</f>
        <v>-1.4582500207583707E-2</v>
      </c>
      <c r="BU170" s="1313">
        <f>+(BU166-BO151)/(RevBuild!BU72*RevBuild!BO63)</f>
        <v>-0.24091682403671502</v>
      </c>
      <c r="BV170" s="1315"/>
      <c r="BW170" s="1304">
        <f>+((BW166-BQ151)/(RevBuild!BW72*RevBuild!BQ63))</f>
        <v>1.2084594142509602</v>
      </c>
      <c r="BX170" s="1304">
        <f>+((BX166-BR151)/(RevBuild!BX72*RevBuild!BR63))</f>
        <v>0.4543207887218797</v>
      </c>
      <c r="BY170" s="1304">
        <f>+((BY166-BS151)/(RevBuild!BY72*RevBuild!BS63))</f>
        <v>-5.5868672404949679E-2</v>
      </c>
      <c r="BZ170" s="1304">
        <f>+((BZ166-BT151)/(RevBuild!BZ72*RevBuild!BT63))</f>
        <v>-0.48043174624076324</v>
      </c>
      <c r="CA170" s="1313">
        <f>+(CA166-BU151)/(RevBuild!CA72*RevBuild!BU63)</f>
        <v>0.23871746571164126</v>
      </c>
      <c r="CB170" s="1315"/>
      <c r="CC170" s="1304">
        <f>+((CC166-BW151)/(RevBuild!CC72*RevBuild!BW63))</f>
        <v>0.32380626044811789</v>
      </c>
      <c r="CD170" s="1304">
        <f>+((CD166-BX151)/(RevBuild!CD72*RevBuild!BX63))</f>
        <v>0.34321716616166115</v>
      </c>
      <c r="CE170" s="1304">
        <f>+((CE166-BY151)/(RevBuild!CE72*RevBuild!BY63))</f>
        <v>0.33391850370335135</v>
      </c>
      <c r="CF170" s="1304">
        <f>+((CF166-BZ151)/(RevBuild!CF72*RevBuild!BZ63))</f>
        <v>0.1861670274661498</v>
      </c>
      <c r="CG170" s="1313">
        <f>+(CG166-CA151)/(RevBuild!CG72*RevBuild!CA63)</f>
        <v>0.28717748132510068</v>
      </c>
    </row>
    <row r="171" spans="2:98" x14ac:dyDescent="0.2">
      <c r="B171" s="1307"/>
      <c r="AY171" s="36"/>
      <c r="BK171" s="521"/>
    </row>
    <row r="172" spans="2:98" x14ac:dyDescent="0.2">
      <c r="BO172" s="379" t="s">
        <v>715</v>
      </c>
    </row>
    <row r="173" spans="2:98" x14ac:dyDescent="0.2">
      <c r="BO173" s="379">
        <v>0.02</v>
      </c>
    </row>
    <row r="175" spans="2:98" x14ac:dyDescent="0.2">
      <c r="BO175" s="379">
        <v>0.1</v>
      </c>
    </row>
    <row r="177" spans="67:67" x14ac:dyDescent="0.2">
      <c r="BO177" s="811">
        <v>2.7</v>
      </c>
    </row>
    <row r="178" spans="67:67" x14ac:dyDescent="0.2">
      <c r="BO178" s="811">
        <v>2.85</v>
      </c>
    </row>
  </sheetData>
  <mergeCells count="14">
    <mergeCell ref="C5:G5"/>
    <mergeCell ref="I5:M5"/>
    <mergeCell ref="O5:S5"/>
    <mergeCell ref="U5:Y5"/>
    <mergeCell ref="AS5:AW5"/>
    <mergeCell ref="AY5:BC5"/>
    <mergeCell ref="BQ5:BU5"/>
    <mergeCell ref="BW5:CA5"/>
    <mergeCell ref="CC5:CG5"/>
    <mergeCell ref="AA5:AE5"/>
    <mergeCell ref="AG5:AK5"/>
    <mergeCell ref="AM5:AQ5"/>
    <mergeCell ref="BK5:BO5"/>
    <mergeCell ref="BE5:BI5"/>
  </mergeCells>
  <phoneticPr fontId="12" type="noConversion"/>
  <printOptions horizontalCentered="1" verticalCentered="1"/>
  <pageMargins left="0" right="0" top="0" bottom="0" header="0" footer="0"/>
  <pageSetup paperSize="5" scale="49" orientation="landscape" r:id="rId1"/>
  <headerFooter alignWithMargins="0"/>
  <ignoredErrors>
    <ignoredError sqref="BU157:BU165 CA157:CA163 BU29 CA29 CG29 BW162:BZ163 BL61 BI29 BO29 CA165"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4101" r:id="rId4" name="Drop Down 5">
              <controlPr defaultSize="0" autoLine="0" autoPict="0">
                <anchor moveWithCells="1">
                  <from>
                    <xdr:col>0</xdr:col>
                    <xdr:colOff>9525</xdr:colOff>
                    <xdr:row>0</xdr:row>
                    <xdr:rowOff>19050</xdr:rowOff>
                  </from>
                  <to>
                    <xdr:col>0</xdr:col>
                    <xdr:colOff>38100</xdr:colOff>
                    <xdr:row>0</xdr:row>
                    <xdr:rowOff>28575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enableFormatConditionsCalculation="0">
    <tabColor theme="0"/>
    <pageSetUpPr fitToPage="1"/>
  </sheetPr>
  <dimension ref="A1:XFD352"/>
  <sheetViews>
    <sheetView showGridLines="0" zoomScaleNormal="100" workbookViewId="0">
      <pane xSplit="2" ySplit="5" topLeftCell="AK6" activePane="bottomRight" state="frozen"/>
      <selection activeCell="BG17" sqref="BG17"/>
      <selection pane="topRight" activeCell="BG17" sqref="BG17"/>
      <selection pane="bottomLeft" activeCell="BG17" sqref="BG17"/>
      <selection pane="bottomRight" sqref="A1:XFD1048576"/>
    </sheetView>
  </sheetViews>
  <sheetFormatPr defaultRowHeight="12.75" outlineLevelRow="1" outlineLevelCol="1" x14ac:dyDescent="0.2"/>
  <cols>
    <col min="1" max="1" width="2.42578125" customWidth="1"/>
    <col min="2" max="2" width="29.140625" customWidth="1"/>
    <col min="3" max="6" width="7.7109375" hidden="1" customWidth="1" outlineLevel="1"/>
    <col min="7" max="7" width="7.7109375" hidden="1" customWidth="1" outlineLevel="1" collapsed="1"/>
    <col min="8" max="8" width="1.42578125" style="24" hidden="1" customWidth="1" outlineLevel="1"/>
    <col min="9" max="12" width="7.7109375" hidden="1" customWidth="1" outlineLevel="1"/>
    <col min="13" max="13" width="7.7109375" hidden="1" customWidth="1" outlineLevel="1" collapsed="1"/>
    <col min="14" max="14" width="1.5703125" style="24" hidden="1" customWidth="1" outlineLevel="1"/>
    <col min="15" max="18" width="7.7109375" hidden="1" customWidth="1" outlineLevel="1"/>
    <col min="19" max="19" width="7.7109375" hidden="1" customWidth="1" outlineLevel="1" collapsed="1"/>
    <col min="20" max="20" width="1.42578125" style="24" hidden="1" customWidth="1" outlineLevel="1"/>
    <col min="21" max="24" width="7.7109375" hidden="1" customWidth="1" outlineLevel="1"/>
    <col min="25" max="25" width="8.140625" hidden="1" customWidth="1" outlineLevel="1" collapsed="1"/>
    <col min="26" max="26" width="1.42578125" style="24" hidden="1" customWidth="1" outlineLevel="1"/>
    <col min="27" max="30" width="7.7109375" hidden="1" customWidth="1" outlineLevel="1"/>
    <col min="31" max="31" width="8.140625" hidden="1" customWidth="1" outlineLevel="1" collapsed="1"/>
    <col min="32" max="32" width="1.5703125" style="24" hidden="1" customWidth="1" outlineLevel="1"/>
    <col min="33" max="36" width="7.7109375" hidden="1" customWidth="1" outlineLevel="1"/>
    <col min="37" max="37" width="8.140625" bestFit="1" customWidth="1" collapsed="1"/>
    <col min="38" max="38" width="1.42578125" style="24" customWidth="1"/>
    <col min="39" max="39" width="7.7109375" hidden="1" customWidth="1" outlineLevel="1"/>
    <col min="40" max="40" width="8.140625" hidden="1" customWidth="1" outlineLevel="1"/>
    <col min="41" max="41" width="7.7109375" hidden="1" customWidth="1" outlineLevel="1"/>
    <col min="42" max="42" width="8.140625" hidden="1" customWidth="1" outlineLevel="1"/>
    <col min="43" max="43" width="8.7109375" bestFit="1" customWidth="1" collapsed="1"/>
    <col min="44" max="44" width="1.42578125" style="19" customWidth="1"/>
    <col min="45" max="46" width="8.140625" hidden="1" customWidth="1" outlineLevel="1"/>
    <col min="47" max="47" width="7.7109375" hidden="1" customWidth="1" outlineLevel="1"/>
    <col min="48" max="48" width="8.140625" hidden="1" customWidth="1" outlineLevel="1"/>
    <col min="49" max="49" width="8.140625" bestFit="1" customWidth="1" collapsed="1"/>
    <col min="50" max="50" width="1" style="24" customWidth="1"/>
    <col min="51" max="51" width="7.7109375" hidden="1" customWidth="1" outlineLevel="1"/>
    <col min="52" max="52" width="8.140625" hidden="1" customWidth="1" outlineLevel="1"/>
    <col min="53" max="54" width="7.7109375" hidden="1" customWidth="1" outlineLevel="1"/>
    <col min="55" max="55" width="8.85546875" bestFit="1" customWidth="1" collapsed="1"/>
    <col min="56" max="56" width="1" style="24" customWidth="1"/>
    <col min="57" max="57" width="7.7109375" hidden="1" customWidth="1" outlineLevel="1"/>
    <col min="58" max="58" width="8.140625" hidden="1" customWidth="1" outlineLevel="1"/>
    <col min="59" max="59" width="7.7109375" hidden="1" customWidth="1" outlineLevel="1"/>
    <col min="60" max="60" width="8.140625" hidden="1" customWidth="1" outlineLevel="1"/>
    <col min="61" max="61" width="8.42578125" customWidth="1" collapsed="1"/>
    <col min="62" max="62" width="1" style="24" customWidth="1"/>
    <col min="63" max="63" width="7.7109375" customWidth="1" outlineLevel="1"/>
    <col min="64" max="66" width="7.85546875" customWidth="1" outlineLevel="1"/>
    <col min="67" max="67" width="8.28515625" customWidth="1"/>
    <col min="68" max="68" width="1" style="24" customWidth="1"/>
    <col min="69" max="72" width="7.85546875" customWidth="1" outlineLevel="1"/>
    <col min="73" max="73" width="9" bestFit="1" customWidth="1"/>
    <col min="74" max="74" width="1" style="24" customWidth="1"/>
    <col min="75" max="78" width="7.85546875" hidden="1" customWidth="1" outlineLevel="1"/>
    <col min="79" max="79" width="9" bestFit="1" customWidth="1" collapsed="1"/>
    <col min="80" max="80" width="1" style="24" customWidth="1"/>
    <col min="81" max="84" width="7.85546875" hidden="1" customWidth="1" outlineLevel="1"/>
    <col min="85" max="85" width="8.140625" bestFit="1" customWidth="1" collapsed="1"/>
    <col min="86" max="86" width="1" style="62" customWidth="1"/>
    <col min="87" max="90" width="7.85546875" hidden="1" customWidth="1" outlineLevel="1"/>
    <col min="91" max="91" width="8.140625" customWidth="1" collapsed="1"/>
    <col min="92" max="92" width="9.140625" style="62"/>
    <col min="95" max="98" width="7.7109375" hidden="1" customWidth="1" outlineLevel="1"/>
    <col min="99" max="99" width="8.42578125" hidden="1" customWidth="1" outlineLevel="1"/>
    <col min="100" max="100" width="1" hidden="1" customWidth="1" outlineLevel="1"/>
    <col min="101" max="101" width="9.140625" collapsed="1"/>
  </cols>
  <sheetData>
    <row r="1" spans="1:100" ht="11.25" customHeight="1" x14ac:dyDescent="0.2">
      <c r="A1" s="79"/>
      <c r="B1" s="91" t="s">
        <v>490</v>
      </c>
      <c r="C1" s="166"/>
      <c r="D1" s="166"/>
      <c r="E1" s="166"/>
      <c r="F1" s="166"/>
      <c r="G1" s="399"/>
      <c r="H1" s="399"/>
      <c r="I1" s="166"/>
      <c r="J1" s="166"/>
      <c r="K1" s="166"/>
      <c r="L1" s="166"/>
      <c r="M1" s="399"/>
      <c r="N1" s="399"/>
      <c r="O1" s="166"/>
      <c r="P1" s="166"/>
      <c r="Q1" s="166"/>
      <c r="R1" s="166"/>
      <c r="S1" s="399"/>
      <c r="T1" s="399"/>
      <c r="U1" s="166"/>
      <c r="V1" s="166"/>
      <c r="W1" s="166"/>
      <c r="X1" s="166"/>
      <c r="Y1" s="399"/>
      <c r="Z1" s="399"/>
      <c r="AA1" s="79"/>
      <c r="AB1" s="399"/>
      <c r="AC1" s="399"/>
      <c r="AD1" s="429"/>
      <c r="AE1" s="399"/>
      <c r="AF1" s="399"/>
      <c r="AG1" s="399"/>
      <c r="AH1" s="399"/>
      <c r="AI1" s="399"/>
      <c r="AJ1" s="399"/>
      <c r="AK1" s="79"/>
      <c r="AL1" s="79"/>
      <c r="AM1" s="79"/>
      <c r="AN1" s="79"/>
      <c r="AO1" s="79"/>
      <c r="AP1" s="166"/>
      <c r="AQ1" s="399"/>
      <c r="AR1" s="134"/>
      <c r="AS1" s="166"/>
      <c r="AT1" s="166"/>
      <c r="AU1" s="166"/>
      <c r="AV1" s="166"/>
      <c r="AW1" s="166"/>
      <c r="AX1" s="166"/>
      <c r="AY1" s="166"/>
      <c r="AZ1" s="166"/>
      <c r="BA1" s="166"/>
      <c r="BB1" s="1092"/>
      <c r="BC1" s="1092"/>
      <c r="BD1" s="166"/>
      <c r="BE1" s="170"/>
      <c r="BF1" s="346"/>
      <c r="BG1" s="1092"/>
      <c r="BH1" s="1092"/>
      <c r="BI1" s="166"/>
      <c r="BJ1" s="166"/>
      <c r="BK1" s="166"/>
      <c r="BL1" s="166"/>
      <c r="BM1" s="166"/>
      <c r="BN1" s="166"/>
      <c r="BO1" s="166"/>
      <c r="BP1" s="166"/>
      <c r="BQ1" s="166"/>
      <c r="BR1" s="166"/>
      <c r="BS1" s="166"/>
      <c r="BT1" s="166"/>
      <c r="BU1" s="166"/>
      <c r="BV1" s="166"/>
      <c r="BW1" s="166"/>
      <c r="BX1" s="166"/>
      <c r="BY1" s="166"/>
      <c r="BZ1" s="166"/>
      <c r="CA1" s="166"/>
      <c r="CB1" s="166"/>
      <c r="CC1" s="166"/>
      <c r="CD1" s="166"/>
      <c r="CE1" s="166"/>
      <c r="CF1" s="166"/>
      <c r="CG1" s="166"/>
      <c r="CH1" s="651"/>
      <c r="CI1" s="166"/>
      <c r="CJ1" s="166"/>
      <c r="CK1" s="166"/>
      <c r="CL1" s="166"/>
      <c r="CM1" s="166"/>
    </row>
    <row r="2" spans="1:100" x14ac:dyDescent="0.2">
      <c r="A2" s="79"/>
      <c r="B2" s="490" t="s">
        <v>21</v>
      </c>
      <c r="C2" s="134"/>
      <c r="D2" s="134"/>
      <c r="E2" s="134"/>
      <c r="F2" s="134"/>
      <c r="G2" s="491"/>
      <c r="H2" s="399"/>
      <c r="I2" s="166"/>
      <c r="J2" s="166"/>
      <c r="K2" s="166"/>
      <c r="L2" s="166"/>
      <c r="M2" s="399"/>
      <c r="N2" s="399"/>
      <c r="O2" s="166"/>
      <c r="P2" s="166"/>
      <c r="Q2" s="166"/>
      <c r="R2" s="166"/>
      <c r="S2" s="399"/>
      <c r="T2" s="399"/>
      <c r="U2" s="166"/>
      <c r="V2" s="170"/>
      <c r="W2" s="166"/>
      <c r="X2" s="166"/>
      <c r="Y2" s="399"/>
      <c r="Z2" s="399"/>
      <c r="AA2" s="400"/>
      <c r="AB2" s="401"/>
      <c r="AC2" s="399"/>
      <c r="AD2" s="444"/>
      <c r="AE2" s="399"/>
      <c r="AF2" s="399"/>
      <c r="AG2" s="402"/>
      <c r="AH2" s="399"/>
      <c r="AI2" s="399"/>
      <c r="AJ2" s="511"/>
      <c r="AK2" s="399"/>
      <c r="AL2" s="399"/>
      <c r="AM2" s="166"/>
      <c r="AN2" s="166"/>
      <c r="AO2" s="166"/>
      <c r="AP2" s="166"/>
      <c r="AQ2" s="399"/>
      <c r="AR2" s="134"/>
      <c r="AS2" s="346"/>
      <c r="AT2" s="166"/>
      <c r="AU2" s="534"/>
      <c r="AV2" s="166"/>
      <c r="AW2" s="165"/>
      <c r="AX2" s="166"/>
      <c r="AY2" s="346"/>
      <c r="BD2"/>
      <c r="BG2" s="1092"/>
      <c r="BH2" s="1092"/>
      <c r="BI2" s="1107"/>
      <c r="BJ2" s="166"/>
      <c r="BK2" s="346"/>
      <c r="BL2" s="166"/>
      <c r="BM2" s="166"/>
      <c r="BP2" s="166"/>
      <c r="BQ2" s="166"/>
      <c r="BR2" s="166"/>
      <c r="BS2" s="166"/>
      <c r="BT2" s="166"/>
      <c r="BU2" s="166"/>
      <c r="BV2" s="166"/>
      <c r="BW2" s="166"/>
      <c r="BX2" s="166"/>
      <c r="BY2" s="166"/>
      <c r="BZ2" s="166"/>
      <c r="CA2" s="166"/>
      <c r="CB2" s="166"/>
      <c r="CC2" s="166"/>
      <c r="CD2" s="166"/>
      <c r="CE2" s="166"/>
      <c r="CF2" s="166"/>
      <c r="CG2" s="166"/>
      <c r="CH2" s="651"/>
      <c r="CI2" s="166"/>
      <c r="CJ2" s="166"/>
      <c r="CK2" s="166"/>
      <c r="CL2" s="166"/>
      <c r="CM2" s="166"/>
    </row>
    <row r="3" spans="1:100" ht="11.25" customHeight="1" x14ac:dyDescent="0.2">
      <c r="A3" s="79"/>
      <c r="B3" s="489" t="s">
        <v>334</v>
      </c>
      <c r="H3"/>
      <c r="N3"/>
      <c r="T3"/>
      <c r="Z3"/>
      <c r="AF3"/>
      <c r="AL3"/>
      <c r="AR3"/>
      <c r="AX3"/>
      <c r="AY3" s="1070"/>
      <c r="AZ3" s="1070"/>
      <c r="BA3" s="1070"/>
      <c r="BB3" s="1070"/>
      <c r="BD3"/>
      <c r="BE3" s="424"/>
      <c r="BF3" s="1070"/>
      <c r="BI3" s="1285"/>
      <c r="BJ3" s="166"/>
      <c r="BK3" s="166"/>
      <c r="BL3" s="166"/>
      <c r="BM3" s="166"/>
      <c r="BN3" s="166"/>
      <c r="BO3" s="166"/>
      <c r="BP3" s="166"/>
      <c r="BQ3" s="166"/>
      <c r="BR3" s="166"/>
      <c r="BS3" s="166"/>
      <c r="BT3" s="166"/>
      <c r="BU3" s="166"/>
      <c r="BV3" s="166"/>
      <c r="BW3" s="166"/>
      <c r="BX3" s="166"/>
      <c r="BY3" s="166"/>
      <c r="BZ3" s="166"/>
      <c r="CA3" s="166"/>
      <c r="CB3" s="166"/>
      <c r="CC3" s="166"/>
      <c r="CD3" s="166"/>
      <c r="CE3" s="166"/>
      <c r="CF3" s="166"/>
      <c r="CG3" s="166"/>
      <c r="CH3" s="651"/>
      <c r="CI3" s="166"/>
      <c r="CJ3" s="166"/>
      <c r="CK3" s="166"/>
      <c r="CL3" s="166"/>
      <c r="CM3" s="166"/>
    </row>
    <row r="4" spans="1:100" s="757" customFormat="1" ht="11.25" customHeight="1" x14ac:dyDescent="0.2">
      <c r="A4" s="760"/>
      <c r="B4" s="489" t="s">
        <v>332</v>
      </c>
      <c r="C4" s="1712" t="s">
        <v>68</v>
      </c>
      <c r="D4" s="1712"/>
      <c r="E4" s="1712"/>
      <c r="F4" s="1712"/>
      <c r="G4" s="1712"/>
      <c r="H4" s="29"/>
      <c r="I4" s="1712" t="s">
        <v>69</v>
      </c>
      <c r="J4" s="1712"/>
      <c r="K4" s="1712"/>
      <c r="L4" s="1712"/>
      <c r="M4" s="1712"/>
      <c r="N4" s="29"/>
      <c r="O4" s="1712" t="s">
        <v>70</v>
      </c>
      <c r="P4" s="1712"/>
      <c r="Q4" s="1712"/>
      <c r="R4" s="1712"/>
      <c r="S4" s="1712"/>
      <c r="T4" s="29"/>
      <c r="U4" s="1712" t="s">
        <v>142</v>
      </c>
      <c r="V4" s="1712"/>
      <c r="W4" s="1712"/>
      <c r="X4" s="1712"/>
      <c r="Y4" s="1712"/>
      <c r="Z4" s="29"/>
      <c r="AA4" s="1712" t="s">
        <v>186</v>
      </c>
      <c r="AB4" s="1712"/>
      <c r="AC4" s="1712"/>
      <c r="AD4" s="1712"/>
      <c r="AE4" s="1712"/>
      <c r="AG4" s="1712" t="s">
        <v>187</v>
      </c>
      <c r="AH4" s="1712"/>
      <c r="AI4" s="1712"/>
      <c r="AJ4" s="1712"/>
      <c r="AK4" s="1712"/>
      <c r="AM4" s="1712" t="s">
        <v>188</v>
      </c>
      <c r="AN4" s="1712"/>
      <c r="AO4" s="1712"/>
      <c r="AP4" s="1712"/>
      <c r="AQ4" s="1712"/>
      <c r="AR4" s="29"/>
      <c r="AS4" s="1712" t="s">
        <v>376</v>
      </c>
      <c r="AT4" s="1712"/>
      <c r="AU4" s="1712"/>
      <c r="AV4" s="1712"/>
      <c r="AW4" s="1712"/>
      <c r="AX4" s="29"/>
      <c r="AY4" s="1712" t="s">
        <v>529</v>
      </c>
      <c r="AZ4" s="1712"/>
      <c r="BA4" s="1712"/>
      <c r="BB4" s="1712"/>
      <c r="BC4" s="1712"/>
      <c r="BD4" s="29"/>
      <c r="BE4" s="1712" t="s">
        <v>580</v>
      </c>
      <c r="BF4" s="1712"/>
      <c r="BG4" s="1712"/>
      <c r="BH4" s="1712"/>
      <c r="BI4" s="1712"/>
      <c r="BJ4" s="29"/>
      <c r="BK4" s="1712" t="s">
        <v>581</v>
      </c>
      <c r="BL4" s="1712"/>
      <c r="BM4" s="1712"/>
      <c r="BN4" s="1712"/>
      <c r="BO4" s="1712"/>
      <c r="BP4" s="29"/>
      <c r="BQ4" s="1712" t="s">
        <v>393</v>
      </c>
      <c r="BR4" s="1712"/>
      <c r="BS4" s="1712"/>
      <c r="BT4" s="1712"/>
      <c r="BU4" s="1712"/>
      <c r="BV4" s="29"/>
      <c r="BW4" s="1712" t="s">
        <v>394</v>
      </c>
      <c r="BX4" s="1712"/>
      <c r="BY4" s="1712"/>
      <c r="BZ4" s="1712"/>
      <c r="CA4" s="1712"/>
      <c r="CB4" s="29"/>
      <c r="CC4" s="1712" t="s">
        <v>395</v>
      </c>
      <c r="CD4" s="1712"/>
      <c r="CE4" s="1712"/>
      <c r="CF4" s="1712"/>
      <c r="CG4" s="1712"/>
      <c r="CH4" s="4"/>
      <c r="CI4" s="1712" t="s">
        <v>495</v>
      </c>
      <c r="CJ4" s="1712"/>
      <c r="CK4" s="1712"/>
      <c r="CL4" s="1712"/>
      <c r="CM4" s="1712"/>
      <c r="CN4" s="761"/>
      <c r="CQ4"/>
      <c r="CR4"/>
      <c r="CS4"/>
      <c r="CT4"/>
      <c r="CU4"/>
      <c r="CV4"/>
    </row>
    <row r="5" spans="1:100" ht="11.25" customHeight="1" x14ac:dyDescent="0.2">
      <c r="A5" s="79"/>
      <c r="B5" s="31"/>
      <c r="C5" s="512">
        <v>39172</v>
      </c>
      <c r="D5" s="512">
        <v>39263</v>
      </c>
      <c r="E5" s="512">
        <v>39355</v>
      </c>
      <c r="F5" s="512">
        <v>39447</v>
      </c>
      <c r="G5" s="513" t="s">
        <v>68</v>
      </c>
      <c r="H5" s="650"/>
      <c r="I5" s="512">
        <v>39538</v>
      </c>
      <c r="J5" s="512">
        <v>39629</v>
      </c>
      <c r="K5" s="512">
        <v>39721</v>
      </c>
      <c r="L5" s="512">
        <v>39813</v>
      </c>
      <c r="M5" s="513" t="s">
        <v>69</v>
      </c>
      <c r="N5" s="650"/>
      <c r="O5" s="512">
        <v>39903</v>
      </c>
      <c r="P5" s="512">
        <v>39994</v>
      </c>
      <c r="Q5" s="512">
        <v>40086</v>
      </c>
      <c r="R5" s="512">
        <v>40178</v>
      </c>
      <c r="S5" s="513" t="s">
        <v>70</v>
      </c>
      <c r="T5" s="650"/>
      <c r="U5" s="512">
        <v>40268</v>
      </c>
      <c r="V5" s="512">
        <v>40359</v>
      </c>
      <c r="W5" s="512">
        <v>40451</v>
      </c>
      <c r="X5" s="512">
        <v>40543</v>
      </c>
      <c r="Y5" s="513" t="s">
        <v>142</v>
      </c>
      <c r="Z5" s="650"/>
      <c r="AA5" s="512">
        <v>40633</v>
      </c>
      <c r="AB5" s="512">
        <v>40724</v>
      </c>
      <c r="AC5" s="512">
        <v>40816</v>
      </c>
      <c r="AD5" s="512">
        <v>40908</v>
      </c>
      <c r="AE5" s="513" t="s">
        <v>186</v>
      </c>
      <c r="AF5" s="165"/>
      <c r="AG5" s="512">
        <v>40999</v>
      </c>
      <c r="AH5" s="512">
        <v>41090</v>
      </c>
      <c r="AI5" s="512">
        <v>41182</v>
      </c>
      <c r="AJ5" s="512">
        <v>41274</v>
      </c>
      <c r="AK5" s="513" t="s">
        <v>187</v>
      </c>
      <c r="AL5" s="165"/>
      <c r="AM5" s="512">
        <v>41364</v>
      </c>
      <c r="AN5" s="512">
        <v>41455</v>
      </c>
      <c r="AO5" s="512">
        <v>41547</v>
      </c>
      <c r="AP5" s="512">
        <v>41639</v>
      </c>
      <c r="AQ5" s="513" t="s">
        <v>188</v>
      </c>
      <c r="AR5" s="650"/>
      <c r="AS5" s="512">
        <v>41729</v>
      </c>
      <c r="AT5" s="512">
        <v>41820</v>
      </c>
      <c r="AU5" s="512">
        <v>41912</v>
      </c>
      <c r="AV5" s="512">
        <v>42004</v>
      </c>
      <c r="AW5" s="513" t="s">
        <v>376</v>
      </c>
      <c r="AX5" s="650"/>
      <c r="AY5" s="512">
        <v>42094</v>
      </c>
      <c r="AZ5" s="512">
        <v>42185</v>
      </c>
      <c r="BA5" s="512">
        <v>42277</v>
      </c>
      <c r="BB5" s="512">
        <v>42369</v>
      </c>
      <c r="BC5" s="513" t="s">
        <v>529</v>
      </c>
      <c r="BD5" s="650"/>
      <c r="BE5" s="512">
        <v>42460</v>
      </c>
      <c r="BF5" s="512">
        <v>42551</v>
      </c>
      <c r="BG5" s="512">
        <v>42643</v>
      </c>
      <c r="BH5" s="512">
        <v>42735</v>
      </c>
      <c r="BI5" s="522" t="s">
        <v>580</v>
      </c>
      <c r="BJ5" s="650"/>
      <c r="BK5" s="512">
        <v>42825</v>
      </c>
      <c r="BL5" s="512">
        <v>42916</v>
      </c>
      <c r="BM5" s="512">
        <v>43008</v>
      </c>
      <c r="BN5" s="512">
        <v>43100</v>
      </c>
      <c r="BO5" s="522" t="s">
        <v>581</v>
      </c>
      <c r="BP5" s="650"/>
      <c r="BQ5" s="515">
        <v>43190</v>
      </c>
      <c r="BR5" s="515">
        <v>43281</v>
      </c>
      <c r="BS5" s="515">
        <v>43373</v>
      </c>
      <c r="BT5" s="515">
        <v>43465</v>
      </c>
      <c r="BU5" s="514" t="s">
        <v>393</v>
      </c>
      <c r="BV5" s="650"/>
      <c r="BW5" s="515">
        <v>43555</v>
      </c>
      <c r="BX5" s="515">
        <v>43646</v>
      </c>
      <c r="BY5" s="515">
        <v>43738</v>
      </c>
      <c r="BZ5" s="515">
        <v>43830</v>
      </c>
      <c r="CA5" s="514" t="s">
        <v>394</v>
      </c>
      <c r="CB5" s="650"/>
      <c r="CC5" s="515">
        <v>43921</v>
      </c>
      <c r="CD5" s="515">
        <v>44012</v>
      </c>
      <c r="CE5" s="515">
        <v>44104</v>
      </c>
      <c r="CF5" s="515">
        <v>44196</v>
      </c>
      <c r="CG5" s="514" t="s">
        <v>395</v>
      </c>
      <c r="CH5" s="652"/>
      <c r="CI5" s="515">
        <f>+CC5+365.25</f>
        <v>44286.25</v>
      </c>
      <c r="CJ5" s="515">
        <f>+CD5+365.25</f>
        <v>44377.25</v>
      </c>
      <c r="CK5" s="515">
        <f>+CE5+365.25</f>
        <v>44469.25</v>
      </c>
      <c r="CL5" s="515">
        <f>+CF5+365.25</f>
        <v>44561.25</v>
      </c>
      <c r="CM5" s="514"/>
    </row>
    <row r="6" spans="1:100" s="1017" customFormat="1" x14ac:dyDescent="0.2">
      <c r="A6" s="1033" t="s">
        <v>587</v>
      </c>
      <c r="B6" s="791" t="s">
        <v>490</v>
      </c>
      <c r="C6" s="790"/>
      <c r="D6" s="790"/>
      <c r="E6" s="790"/>
      <c r="F6" s="790"/>
      <c r="G6" s="790"/>
      <c r="H6" s="790"/>
      <c r="I6" s="790"/>
      <c r="J6" s="790"/>
      <c r="K6" s="790"/>
      <c r="L6" s="790"/>
      <c r="M6" s="790"/>
      <c r="N6" s="790"/>
      <c r="O6" s="790"/>
      <c r="P6" s="790"/>
      <c r="Q6" s="790"/>
      <c r="R6" s="790"/>
      <c r="S6" s="790"/>
      <c r="T6" s="790"/>
      <c r="U6" s="790"/>
      <c r="V6" s="790"/>
      <c r="W6" s="790"/>
      <c r="X6" s="790"/>
      <c r="Y6" s="790"/>
      <c r="Z6" s="790"/>
      <c r="AA6" s="790"/>
      <c r="AB6" s="790"/>
      <c r="AC6" s="790"/>
      <c r="AD6" s="790"/>
      <c r="AE6" s="790"/>
      <c r="AF6" s="790"/>
      <c r="AG6" s="790"/>
      <c r="AH6" s="790"/>
      <c r="AI6" s="790"/>
      <c r="AJ6" s="790"/>
      <c r="AK6" s="790"/>
      <c r="AL6" s="790"/>
      <c r="AM6" s="790"/>
      <c r="AN6" s="790"/>
      <c r="AO6" s="790"/>
      <c r="AP6" s="790"/>
      <c r="AQ6" s="790"/>
      <c r="AR6" s="790"/>
      <c r="AS6" s="790"/>
      <c r="AT6" s="790"/>
      <c r="AU6" s="790"/>
      <c r="AV6" s="790"/>
      <c r="AW6" s="790"/>
      <c r="AX6" s="790"/>
      <c r="AY6" s="790"/>
      <c r="AZ6" s="790"/>
      <c r="BA6" s="790"/>
      <c r="BB6" s="790"/>
      <c r="BC6" s="790"/>
      <c r="BD6" s="790"/>
      <c r="BE6" s="790"/>
      <c r="BF6" s="790"/>
      <c r="BG6" s="790"/>
      <c r="BH6" s="790"/>
      <c r="BI6" s="790"/>
      <c r="BJ6" s="790"/>
      <c r="BK6" s="790"/>
      <c r="BL6" s="790"/>
      <c r="BM6" s="790"/>
      <c r="BN6" s="790"/>
      <c r="BO6" s="790"/>
      <c r="BP6" s="790"/>
      <c r="BQ6" s="790"/>
      <c r="BR6" s="790"/>
      <c r="BS6" s="790"/>
      <c r="BT6" s="790"/>
      <c r="BU6" s="790"/>
      <c r="BV6" s="790"/>
      <c r="BW6" s="790"/>
      <c r="BX6" s="790"/>
      <c r="BY6" s="790"/>
      <c r="BZ6" s="790"/>
      <c r="CA6" s="790"/>
      <c r="CB6" s="790"/>
      <c r="CC6" s="790"/>
      <c r="CD6" s="790"/>
      <c r="CE6" s="790"/>
      <c r="CF6" s="790"/>
      <c r="CG6" s="790"/>
      <c r="CH6" s="790"/>
      <c r="CI6" s="790"/>
      <c r="CJ6" s="790"/>
      <c r="CK6" s="790"/>
      <c r="CL6" s="790"/>
      <c r="CM6" s="789"/>
      <c r="CN6" s="62"/>
      <c r="CQ6"/>
      <c r="CR6"/>
      <c r="CS6"/>
      <c r="CT6"/>
      <c r="CU6"/>
      <c r="CV6"/>
    </row>
    <row r="7" spans="1:100" s="1017" customFormat="1" ht="12.75" customHeight="1" x14ac:dyDescent="0.2">
      <c r="A7" s="79"/>
      <c r="B7" s="937" t="s">
        <v>602</v>
      </c>
      <c r="C7" s="938"/>
      <c r="D7" s="939"/>
      <c r="E7" s="939"/>
      <c r="F7" s="939"/>
      <c r="G7" s="940"/>
      <c r="H7" s="941"/>
      <c r="I7" s="938"/>
      <c r="J7" s="939"/>
      <c r="K7" s="939"/>
      <c r="L7" s="939"/>
      <c r="M7" s="940"/>
      <c r="N7" s="941"/>
      <c r="O7" s="938"/>
      <c r="P7" s="939"/>
      <c r="Q7" s="939"/>
      <c r="R7" s="939"/>
      <c r="S7" s="940"/>
      <c r="T7" s="941"/>
      <c r="U7" s="938"/>
      <c r="V7" s="939"/>
      <c r="W7" s="939"/>
      <c r="X7" s="939"/>
      <c r="Y7" s="940"/>
      <c r="Z7" s="941"/>
      <c r="AA7" s="938"/>
      <c r="AB7" s="939"/>
      <c r="AC7" s="939"/>
      <c r="AD7" s="939"/>
      <c r="AE7" s="940"/>
      <c r="AF7" s="941"/>
      <c r="AG7" s="938"/>
      <c r="AH7" s="939"/>
      <c r="AI7" s="939"/>
      <c r="AJ7" s="939"/>
      <c r="AK7" s="940"/>
      <c r="AL7" s="941"/>
      <c r="AM7" s="938"/>
      <c r="AN7" s="939"/>
      <c r="AO7" s="939"/>
      <c r="AP7" s="939"/>
      <c r="AQ7" s="940"/>
      <c r="AR7" s="941"/>
      <c r="AS7" s="938"/>
      <c r="AT7" s="939"/>
      <c r="AU7" s="939"/>
      <c r="AV7" s="939"/>
      <c r="AW7" s="940"/>
      <c r="AX7" s="941"/>
      <c r="AY7" s="938"/>
      <c r="AZ7" s="939"/>
      <c r="BA7" s="939"/>
      <c r="BB7" s="939"/>
      <c r="BC7" s="940"/>
      <c r="BD7" s="941"/>
      <c r="BE7" s="938"/>
      <c r="BF7" s="939"/>
      <c r="BG7" s="939"/>
      <c r="BH7" s="939"/>
      <c r="BI7" s="940"/>
      <c r="BJ7" s="941"/>
      <c r="BK7" s="938"/>
      <c r="BL7" s="939"/>
      <c r="BM7" s="939"/>
      <c r="BN7" s="939"/>
      <c r="BO7" s="1558"/>
      <c r="BP7" s="941"/>
      <c r="BQ7" s="938"/>
      <c r="BR7" s="939"/>
      <c r="BS7" s="939"/>
      <c r="BT7" s="939"/>
      <c r="BU7" s="940"/>
      <c r="BV7" s="941"/>
      <c r="BW7" s="938"/>
      <c r="BX7" s="939"/>
      <c r="BY7" s="939"/>
      <c r="BZ7" s="939"/>
      <c r="CA7" s="940"/>
      <c r="CB7" s="941"/>
      <c r="CC7" s="938"/>
      <c r="CD7" s="939"/>
      <c r="CE7" s="939"/>
      <c r="CF7" s="939"/>
      <c r="CG7" s="940"/>
      <c r="CH7" s="941"/>
      <c r="CI7" s="938"/>
      <c r="CJ7" s="939"/>
      <c r="CK7" s="939"/>
      <c r="CL7" s="939"/>
      <c r="CM7" s="940"/>
      <c r="CN7" s="796"/>
      <c r="CO7" s="379"/>
      <c r="CQ7"/>
      <c r="CR7"/>
      <c r="CS7"/>
      <c r="CT7"/>
      <c r="CU7"/>
      <c r="CV7"/>
    </row>
    <row r="8" spans="1:100" s="1017" customFormat="1" ht="11.25" customHeight="1" x14ac:dyDescent="0.2">
      <c r="A8" s="27"/>
      <c r="B8" s="950" t="s">
        <v>766</v>
      </c>
      <c r="C8" s="944"/>
      <c r="D8" s="945"/>
      <c r="E8" s="945"/>
      <c r="F8" s="945"/>
      <c r="G8" s="946"/>
      <c r="H8" s="945"/>
      <c r="I8" s="944"/>
      <c r="J8" s="945"/>
      <c r="K8" s="945"/>
      <c r="L8" s="945"/>
      <c r="M8" s="946"/>
      <c r="N8" s="1021"/>
      <c r="O8" s="944"/>
      <c r="P8" s="945"/>
      <c r="Q8" s="945"/>
      <c r="R8" s="945"/>
      <c r="S8" s="946"/>
      <c r="T8" s="947"/>
      <c r="U8" s="944"/>
      <c r="V8" s="945"/>
      <c r="W8" s="945"/>
      <c r="X8" s="945"/>
      <c r="Y8" s="946"/>
      <c r="Z8" s="947"/>
      <c r="AA8" s="944"/>
      <c r="AB8" s="945"/>
      <c r="AC8" s="945"/>
      <c r="AD8" s="945"/>
      <c r="AE8" s="946"/>
      <c r="AF8" s="948"/>
      <c r="AG8" s="944"/>
      <c r="AH8" s="945"/>
      <c r="AI8" s="945"/>
      <c r="AJ8" s="945"/>
      <c r="AK8" s="946"/>
      <c r="AL8" s="948"/>
      <c r="AM8" s="944"/>
      <c r="AN8" s="945"/>
      <c r="AO8" s="945"/>
      <c r="AP8" s="945"/>
      <c r="AQ8" s="946"/>
      <c r="AR8" s="948"/>
      <c r="AS8" s="1024"/>
      <c r="AT8" s="1025"/>
      <c r="AU8" s="1025"/>
      <c r="AV8" s="1025"/>
      <c r="AW8" s="946"/>
      <c r="AX8" s="948"/>
      <c r="AY8" s="1024">
        <f>+BE8/(1+BE9)</f>
        <v>477.8095238095238</v>
      </c>
      <c r="AZ8" s="1025">
        <f>+BF8/(1+BF9)</f>
        <v>544.19512195121956</v>
      </c>
      <c r="BA8" s="1025">
        <f>+BG8/(1+BG9)</f>
        <v>510.5835806132543</v>
      </c>
      <c r="BB8" s="1025">
        <f>+BH8/(1+BH9)</f>
        <v>536.19691119691117</v>
      </c>
      <c r="BC8" s="946">
        <f>+SUM(AY8:BB8)</f>
        <v>2068.7851375709088</v>
      </c>
      <c r="BD8" s="948"/>
      <c r="BE8" s="944">
        <v>501.7</v>
      </c>
      <c r="BF8" s="945">
        <v>557.79999999999995</v>
      </c>
      <c r="BG8" s="945">
        <v>516.20000000000005</v>
      </c>
      <c r="BH8" s="945">
        <v>555.5</v>
      </c>
      <c r="BI8" s="946">
        <f>+SUM(BE8:BH8)</f>
        <v>2131.1999999999998</v>
      </c>
      <c r="BJ8" s="949"/>
      <c r="BK8" s="1437">
        <v>467.9</v>
      </c>
      <c r="BL8" s="945">
        <v>523.1</v>
      </c>
      <c r="BM8" s="945">
        <v>549.4</v>
      </c>
      <c r="BN8" s="945">
        <v>619.9</v>
      </c>
      <c r="BO8" s="946">
        <f>+SUM(BK8:BN8)</f>
        <v>2160.3000000000002</v>
      </c>
      <c r="BP8" s="949"/>
      <c r="BQ8" s="1024">
        <f>+BQ63-BQ15</f>
        <v>476.52825625771698</v>
      </c>
      <c r="BR8" s="1025">
        <f>+BR63-BR15</f>
        <v>553.76823098019304</v>
      </c>
      <c r="BS8" s="1025">
        <f>+BS63-BS15</f>
        <v>597.4639808153479</v>
      </c>
      <c r="BT8" s="1025">
        <f>+BT63-BT15</f>
        <v>665.74135948922003</v>
      </c>
      <c r="BU8" s="946">
        <f>+SUM(BQ8:BT8)</f>
        <v>2293.5018275424782</v>
      </c>
      <c r="BV8" s="949"/>
      <c r="BW8" s="1024">
        <f t="shared" ref="BW8:BZ8" si="0">+BW63-BW15</f>
        <v>494.75546394544858</v>
      </c>
      <c r="BX8" s="1025">
        <f t="shared" si="0"/>
        <v>587.74233790959897</v>
      </c>
      <c r="BY8" s="1025">
        <f t="shared" si="0"/>
        <v>628.28898023980832</v>
      </c>
      <c r="BZ8" s="1025">
        <f t="shared" si="0"/>
        <v>690.62548027389676</v>
      </c>
      <c r="CA8" s="946">
        <f t="shared" ref="CA8" si="1">+SUM(BW8:BZ8)</f>
        <v>2401.4122623687526</v>
      </c>
      <c r="CB8" s="949"/>
      <c r="CC8" s="1024">
        <f t="shared" ref="CC8:CF8" si="2">+CC63-CC15</f>
        <v>514.18886936381205</v>
      </c>
      <c r="CD8" s="1025">
        <f t="shared" si="2"/>
        <v>599.54995674688689</v>
      </c>
      <c r="CE8" s="1025">
        <f t="shared" si="2"/>
        <v>644.43895364700245</v>
      </c>
      <c r="CF8" s="1025">
        <f t="shared" si="2"/>
        <v>717.15075488211357</v>
      </c>
      <c r="CG8" s="946">
        <f t="shared" ref="CG8" si="3">+SUM(CC8:CF8)</f>
        <v>2475.3285346398152</v>
      </c>
      <c r="CH8" s="949"/>
      <c r="CI8" s="1024">
        <f t="shared" ref="CI8:CL8" si="4">+CI63-CI15</f>
        <v>536.57793266872613</v>
      </c>
      <c r="CJ8" s="1025">
        <f t="shared" si="4"/>
        <v>643.72658772979344</v>
      </c>
      <c r="CK8" s="1025">
        <f t="shared" si="4"/>
        <v>684.96266808741257</v>
      </c>
      <c r="CL8" s="1025">
        <f t="shared" si="4"/>
        <v>747.28482699957692</v>
      </c>
      <c r="CM8" s="946">
        <f t="shared" ref="CM8" si="5">+SUM(CI8:CL8)</f>
        <v>2612.5520154855089</v>
      </c>
      <c r="CN8" s="62"/>
      <c r="CP8" s="379"/>
      <c r="CQ8"/>
      <c r="CR8"/>
      <c r="CS8"/>
      <c r="CT8"/>
      <c r="CU8"/>
      <c r="CV8"/>
    </row>
    <row r="9" spans="1:100" s="31" customFormat="1" outlineLevel="1" x14ac:dyDescent="0.2">
      <c r="B9" s="934" t="s">
        <v>540</v>
      </c>
      <c r="C9" s="1022"/>
      <c r="D9" s="405"/>
      <c r="E9" s="405"/>
      <c r="F9" s="405"/>
      <c r="G9" s="742"/>
      <c r="H9" s="254"/>
      <c r="I9" s="1022"/>
      <c r="J9" s="405"/>
      <c r="K9" s="405"/>
      <c r="L9" s="405"/>
      <c r="M9" s="742"/>
      <c r="N9" s="254"/>
      <c r="O9" s="1022"/>
      <c r="P9" s="405"/>
      <c r="Q9" s="405"/>
      <c r="R9" s="405"/>
      <c r="S9" s="742"/>
      <c r="T9" s="254"/>
      <c r="U9" s="1022"/>
      <c r="V9" s="405"/>
      <c r="W9" s="405"/>
      <c r="X9" s="405"/>
      <c r="Y9" s="742"/>
      <c r="Z9" s="254"/>
      <c r="AA9" s="1022"/>
      <c r="AB9" s="1039"/>
      <c r="AC9" s="1039"/>
      <c r="AD9" s="1039"/>
      <c r="AE9" s="742"/>
      <c r="AF9" s="254"/>
      <c r="AG9" s="1038"/>
      <c r="AH9" s="1039"/>
      <c r="AI9" s="1039"/>
      <c r="AJ9" s="1039"/>
      <c r="AK9" s="742"/>
      <c r="AL9" s="254"/>
      <c r="AM9" s="1038"/>
      <c r="AN9" s="1039"/>
      <c r="AO9" s="1039"/>
      <c r="AP9" s="1039"/>
      <c r="AQ9" s="742"/>
      <c r="AR9" s="254"/>
      <c r="AS9" s="1038"/>
      <c r="AT9" s="1039"/>
      <c r="AU9" s="1039"/>
      <c r="AV9" s="1039"/>
      <c r="AW9" s="742"/>
      <c r="AX9" s="254"/>
      <c r="AY9" s="1038"/>
      <c r="AZ9" s="1039"/>
      <c r="BA9" s="1039"/>
      <c r="BB9" s="1039"/>
      <c r="BC9" s="742"/>
      <c r="BD9" s="254"/>
      <c r="BE9" s="1038">
        <v>0.05</v>
      </c>
      <c r="BF9" s="1039">
        <v>2.5000000000000001E-2</v>
      </c>
      <c r="BG9" s="1039">
        <v>1.0999999999999999E-2</v>
      </c>
      <c r="BH9" s="1039">
        <v>3.5999999999999997E-2</v>
      </c>
      <c r="BI9" s="742">
        <f>IF(ISERROR(BI8/BC8-1),"NM",BI8/BC8-1)</f>
        <v>3.0169813817580104E-2</v>
      </c>
      <c r="BJ9" s="254"/>
      <c r="BK9" s="1022">
        <f t="shared" ref="BK9:BL9" si="6">+BK8/BE8-1</f>
        <v>-6.7370938808052672E-2</v>
      </c>
      <c r="BL9" s="405">
        <f t="shared" si="6"/>
        <v>-6.2208676945141539E-2</v>
      </c>
      <c r="BM9" s="405">
        <f>+BM8/BG8-1</f>
        <v>6.4316156528477109E-2</v>
      </c>
      <c r="BN9" s="405">
        <f>+BN8/BH8-1</f>
        <v>0.11593159315931589</v>
      </c>
      <c r="BO9" s="742">
        <f>IF(ISERROR(BO8/BI8-1),"NM",BO8/BI8-1)</f>
        <v>1.3654279279279535E-2</v>
      </c>
      <c r="BP9" s="254"/>
      <c r="BQ9" s="1022">
        <f>+BQ8/BK8-1</f>
        <v>1.8440385248380098E-2</v>
      </c>
      <c r="BR9" s="405">
        <f>+BR8/BL8-1</f>
        <v>5.86278550567636E-2</v>
      </c>
      <c r="BS9" s="405">
        <f>+BS8/BM8-1</f>
        <v>8.7484493657349782E-2</v>
      </c>
      <c r="BT9" s="405">
        <f>+BT8/BN8-1</f>
        <v>7.3949603950992149E-2</v>
      </c>
      <c r="BU9" s="742">
        <f>IF(ISERROR(BU8/BO8-1),"NM",BU8/BO8-1)</f>
        <v>6.1658949008229325E-2</v>
      </c>
      <c r="BV9" s="254"/>
      <c r="BW9" s="1022">
        <f t="shared" ref="BW9:BZ9" si="7">+BW8/BQ8-1</f>
        <v>3.8250003957527978E-2</v>
      </c>
      <c r="BX9" s="405">
        <f t="shared" si="7"/>
        <v>6.1350769200447575E-2</v>
      </c>
      <c r="BY9" s="405">
        <f t="shared" si="7"/>
        <v>5.1593067388588265E-2</v>
      </c>
      <c r="BZ9" s="405">
        <f t="shared" si="7"/>
        <v>3.7378060458447049E-2</v>
      </c>
      <c r="CA9" s="742">
        <f t="shared" ref="CA9" si="8">IF(ISERROR(CA8/BU8-1),"NM",CA8/BU8-1)</f>
        <v>4.7050511811408624E-2</v>
      </c>
      <c r="CB9" s="254"/>
      <c r="CC9" s="1022">
        <f t="shared" ref="CC9:CF9" si="9">+CC8/BW8-1</f>
        <v>3.927880909771253E-2</v>
      </c>
      <c r="CD9" s="405">
        <f t="shared" si="9"/>
        <v>2.0089787778916346E-2</v>
      </c>
      <c r="CE9" s="405">
        <f t="shared" si="9"/>
        <v>2.5704689904046951E-2</v>
      </c>
      <c r="CF9" s="405">
        <f t="shared" si="9"/>
        <v>3.8407610732371422E-2</v>
      </c>
      <c r="CG9" s="742">
        <f t="shared" ref="CG9" si="10">IF(ISERROR(CG8/CA8-1),"NM",CG8/CA8-1)</f>
        <v>3.0780334318003089E-2</v>
      </c>
      <c r="CH9" s="254"/>
      <c r="CI9" s="1022">
        <f t="shared" ref="CI9:CL9" si="11">+CI8/CC8-1</f>
        <v>4.3542489226994219E-2</v>
      </c>
      <c r="CJ9" s="405">
        <f t="shared" si="11"/>
        <v>7.3682985855933802E-2</v>
      </c>
      <c r="CK9" s="405">
        <f t="shared" si="11"/>
        <v>6.2882161624586264E-2</v>
      </c>
      <c r="CL9" s="405">
        <f t="shared" si="11"/>
        <v>4.2019159726627953E-2</v>
      </c>
      <c r="CM9" s="742">
        <f t="shared" ref="CM9" si="12">IF(ISERROR(CM8/CG8-1),"NM",CM8/CG8-1)</f>
        <v>5.5436471937112541E-2</v>
      </c>
      <c r="CN9" s="65"/>
      <c r="CQ9"/>
      <c r="CR9"/>
      <c r="CS9"/>
      <c r="CT9"/>
      <c r="CU9"/>
      <c r="CV9"/>
    </row>
    <row r="10" spans="1:100" s="31" customFormat="1" outlineLevel="1" x14ac:dyDescent="0.2">
      <c r="B10" s="934" t="s">
        <v>588</v>
      </c>
      <c r="C10" s="1023"/>
      <c r="D10" s="797"/>
      <c r="E10" s="797"/>
      <c r="F10" s="1026"/>
      <c r="G10" s="742"/>
      <c r="H10" s="723"/>
      <c r="I10" s="1023"/>
      <c r="J10" s="797"/>
      <c r="K10" s="797"/>
      <c r="L10" s="1026"/>
      <c r="M10" s="742"/>
      <c r="N10" s="723"/>
      <c r="O10" s="1023"/>
      <c r="P10" s="797"/>
      <c r="Q10" s="797"/>
      <c r="R10" s="1026"/>
      <c r="S10" s="742"/>
      <c r="T10" s="723"/>
      <c r="U10" s="1023"/>
      <c r="V10" s="797"/>
      <c r="W10" s="797"/>
      <c r="X10" s="1026"/>
      <c r="Y10" s="742"/>
      <c r="Z10" s="723"/>
      <c r="AA10" s="1023"/>
      <c r="AB10" s="797"/>
      <c r="AC10" s="797"/>
      <c r="AD10" s="1026"/>
      <c r="AE10" s="742"/>
      <c r="AF10" s="254"/>
      <c r="AG10" s="1023"/>
      <c r="AH10" s="797"/>
      <c r="AI10" s="797"/>
      <c r="AJ10" s="1026"/>
      <c r="AK10" s="742"/>
      <c r="AL10" s="254"/>
      <c r="AM10" s="1023"/>
      <c r="AN10" s="797"/>
      <c r="AO10" s="797"/>
      <c r="AP10" s="1026"/>
      <c r="AQ10" s="742"/>
      <c r="AR10" s="254"/>
      <c r="AS10" s="1023"/>
      <c r="AT10" s="797"/>
      <c r="AU10" s="797"/>
      <c r="AV10" s="1026"/>
      <c r="AW10" s="1015"/>
      <c r="AX10" s="254"/>
      <c r="AY10" s="1023"/>
      <c r="AZ10" s="797"/>
      <c r="BA10" s="797"/>
      <c r="BB10" s="1026"/>
      <c r="BC10" s="1015"/>
      <c r="BD10" s="254"/>
      <c r="BE10" s="1023">
        <v>7.2999999999999995E-2</v>
      </c>
      <c r="BF10" s="797">
        <v>3.1E-2</v>
      </c>
      <c r="BG10" s="797">
        <v>8.9999999999999993E-3</v>
      </c>
      <c r="BH10" s="1026">
        <v>4.5999999999999999E-2</v>
      </c>
      <c r="BI10" s="742">
        <f>+SUMPRODUCT(BE10:BH10,AY$8:BB$8)/BC$8</f>
        <v>3.9158466816075321E-2</v>
      </c>
      <c r="BJ10" s="254"/>
      <c r="BK10" s="1023">
        <v>-6.0999999999999999E-2</v>
      </c>
      <c r="BL10" s="797">
        <v>-4.3999999999999997E-2</v>
      </c>
      <c r="BM10" s="797">
        <v>4.3999999999999997E-2</v>
      </c>
      <c r="BN10" s="1026">
        <v>5.8000000000000003E-2</v>
      </c>
      <c r="BO10" s="742">
        <f>+SUMPRODUCT(BK10:BN10,BE$8:BH$8)/BI$8</f>
        <v>-1.0092905405405055E-4</v>
      </c>
      <c r="BP10" s="254"/>
      <c r="BQ10" s="1022">
        <f>+BQ9+BQ11</f>
        <v>7.6760061979775362E-2</v>
      </c>
      <c r="BR10" s="405">
        <f>+BR9+BR11</f>
        <v>9.8418611786067783E-2</v>
      </c>
      <c r="BS10" s="405">
        <f>+BS9+BS11</f>
        <v>0.11296410996430428</v>
      </c>
      <c r="BT10" s="405">
        <f>+BT9+BT11</f>
        <v>0.10046575089278911</v>
      </c>
      <c r="BU10" s="742">
        <f>+SUMPRODUCT(BQ10:BT10,BK$8:BN$8)/BO$8</f>
        <v>9.8014169244298316E-2</v>
      </c>
      <c r="BV10" s="254"/>
      <c r="BW10" s="1022">
        <f t="shared" ref="BW10:BZ10" si="13">+BW9+BW11</f>
        <v>3.8250003957528061E-2</v>
      </c>
      <c r="BX10" s="405">
        <f t="shared" si="13"/>
        <v>6.13507692004477E-2</v>
      </c>
      <c r="BY10" s="405">
        <f t="shared" si="13"/>
        <v>5.1593067388588265E-2</v>
      </c>
      <c r="BZ10" s="405">
        <f t="shared" si="13"/>
        <v>3.7378060458447285E-2</v>
      </c>
      <c r="CA10" s="742">
        <f t="shared" ref="CA10:CA13" si="14">+SUMPRODUCT(BW10:BZ10,BQ$8:BT$8)/BU$8</f>
        <v>4.7050511811408811E-2</v>
      </c>
      <c r="CB10" s="254"/>
      <c r="CC10" s="1022">
        <f t="shared" ref="CC10:CF10" si="15">+CC9+CC11</f>
        <v>3.927880909771244E-2</v>
      </c>
      <c r="CD10" s="405">
        <f t="shared" si="15"/>
        <v>2.0089787778916346E-2</v>
      </c>
      <c r="CE10" s="405">
        <f t="shared" si="15"/>
        <v>2.5704689904046986E-2</v>
      </c>
      <c r="CF10" s="405">
        <f t="shared" si="15"/>
        <v>3.8407610732371297E-2</v>
      </c>
      <c r="CG10" s="742">
        <f t="shared" ref="CG10:CG13" si="16">+SUMPRODUCT(CC10:CF10,BW$8:BZ$8)/CA$8</f>
        <v>3.0780334318003099E-2</v>
      </c>
      <c r="CH10" s="254"/>
      <c r="CI10" s="1022">
        <f t="shared" ref="CI10:CL10" si="17">+CI9+CI11</f>
        <v>4.3542489226994115E-2</v>
      </c>
      <c r="CJ10" s="405">
        <f t="shared" si="17"/>
        <v>7.3682985855933802E-2</v>
      </c>
      <c r="CK10" s="405">
        <f t="shared" si="17"/>
        <v>6.2882161624586264E-2</v>
      </c>
      <c r="CL10" s="405">
        <f t="shared" si="17"/>
        <v>4.2019159726627953E-2</v>
      </c>
      <c r="CM10" s="742">
        <f t="shared" ref="CM10:CM13" si="18">+SUMPRODUCT(CI10:CL10,CC$8:CF$8)/CG$8</f>
        <v>5.5436471937112562E-2</v>
      </c>
      <c r="CN10" s="65"/>
      <c r="CQ10"/>
      <c r="CR10"/>
      <c r="CS10"/>
      <c r="CT10"/>
      <c r="CU10"/>
      <c r="CV10"/>
    </row>
    <row r="11" spans="1:100" s="31" customFormat="1" outlineLevel="1" x14ac:dyDescent="0.2">
      <c r="B11" s="934" t="s">
        <v>586</v>
      </c>
      <c r="C11" s="1022"/>
      <c r="D11" s="405"/>
      <c r="E11" s="405"/>
      <c r="F11" s="405"/>
      <c r="G11" s="742"/>
      <c r="H11" s="254"/>
      <c r="I11" s="1022"/>
      <c r="J11" s="405"/>
      <c r="K11" s="405"/>
      <c r="L11" s="405"/>
      <c r="M11" s="742"/>
      <c r="N11" s="254"/>
      <c r="O11" s="1022"/>
      <c r="P11" s="405"/>
      <c r="Q11" s="405"/>
      <c r="R11" s="405"/>
      <c r="S11" s="742"/>
      <c r="T11" s="254"/>
      <c r="U11" s="1022"/>
      <c r="V11" s="405"/>
      <c r="W11" s="405"/>
      <c r="X11" s="405"/>
      <c r="Y11" s="742"/>
      <c r="Z11" s="254"/>
      <c r="AA11" s="1022"/>
      <c r="AB11" s="405"/>
      <c r="AC11" s="405"/>
      <c r="AD11" s="405"/>
      <c r="AE11" s="742"/>
      <c r="AF11" s="254"/>
      <c r="AG11" s="1022"/>
      <c r="AH11" s="405"/>
      <c r="AI11" s="405"/>
      <c r="AJ11" s="405"/>
      <c r="AK11" s="742"/>
      <c r="AL11" s="254"/>
      <c r="AM11" s="1022"/>
      <c r="AN11" s="405"/>
      <c r="AO11" s="405"/>
      <c r="AP11" s="405"/>
      <c r="AQ11" s="742"/>
      <c r="AR11" s="254"/>
      <c r="AS11" s="1022"/>
      <c r="AT11" s="405"/>
      <c r="AU11" s="405"/>
      <c r="AV11" s="405"/>
      <c r="AW11" s="742"/>
      <c r="AX11" s="254"/>
      <c r="AY11" s="1022"/>
      <c r="AZ11" s="405"/>
      <c r="BA11" s="405"/>
      <c r="BB11" s="405"/>
      <c r="BC11" s="742"/>
      <c r="BD11" s="254"/>
      <c r="BE11" s="1022">
        <f>BE9-BE10</f>
        <v>-2.2999999999999993E-2</v>
      </c>
      <c r="BF11" s="405">
        <f>BF9-BF10</f>
        <v>-5.9999999999999984E-3</v>
      </c>
      <c r="BG11" s="405">
        <f>BG9-BG10</f>
        <v>2E-3</v>
      </c>
      <c r="BH11" s="405">
        <f>BH9-BH10</f>
        <v>-1.0000000000000002E-2</v>
      </c>
      <c r="BI11" s="742">
        <f>+SUMPRODUCT(BE11:BH11,AY$8:BB$8)/BC$8</f>
        <v>-8.9886529984951561E-3</v>
      </c>
      <c r="BJ11" s="254"/>
      <c r="BK11" s="1022">
        <f>BK9-BK10</f>
        <v>-6.370938808052673E-3</v>
      </c>
      <c r="BL11" s="407">
        <f>BL9-BL10</f>
        <v>-1.8208676945141541E-2</v>
      </c>
      <c r="BM11" s="407">
        <f>BM9-BM10</f>
        <v>2.0316156528477111E-2</v>
      </c>
      <c r="BN11" s="407">
        <f>BN9-BN10</f>
        <v>5.793159315931589E-2</v>
      </c>
      <c r="BO11" s="742">
        <f>+SUMPRODUCT(BK11:BN11,BE$8:BH$8)/BI$8</f>
        <v>1.3755208333333281E-2</v>
      </c>
      <c r="BP11" s="254"/>
      <c r="BQ11" s="1022">
        <f>+BQ69</f>
        <v>5.8319676731395272E-2</v>
      </c>
      <c r="BR11" s="405">
        <f>+BR69</f>
        <v>3.9790756729304183E-2</v>
      </c>
      <c r="BS11" s="405">
        <f t="shared" ref="BS11:BT11" si="19">+BS69</f>
        <v>2.5479616306954493E-2</v>
      </c>
      <c r="BT11" s="405">
        <f t="shared" si="19"/>
        <v>2.6516146941796971E-2</v>
      </c>
      <c r="BU11" s="742">
        <f>+SUMPRODUCT(BQ11:BT11,BK$8:BN$8)/BO$8</f>
        <v>3.635522023606888E-2</v>
      </c>
      <c r="BV11" s="254"/>
      <c r="BW11" s="1022">
        <f t="shared" ref="BW11:BZ11" si="20">+BW69</f>
        <v>8.3266726846886741E-17</v>
      </c>
      <c r="BX11" s="405">
        <f t="shared" si="20"/>
        <v>1.2490009027033011E-16</v>
      </c>
      <c r="BY11" s="405">
        <f t="shared" si="20"/>
        <v>0</v>
      </c>
      <c r="BZ11" s="405">
        <f t="shared" si="20"/>
        <v>2.3592239273284576E-16</v>
      </c>
      <c r="CA11" s="742">
        <f t="shared" si="14"/>
        <v>1.1593971343974926E-16</v>
      </c>
      <c r="CB11" s="254"/>
      <c r="CC11" s="1022">
        <f t="shared" ref="CC11:CF11" si="21">+CC69</f>
        <v>-9.0205620750793969E-17</v>
      </c>
      <c r="CD11" s="405">
        <f t="shared" si="21"/>
        <v>0</v>
      </c>
      <c r="CE11" s="405">
        <f t="shared" si="21"/>
        <v>3.4694469519536142E-17</v>
      </c>
      <c r="CF11" s="405">
        <f t="shared" si="21"/>
        <v>-1.2490009027033011E-16</v>
      </c>
      <c r="CG11" s="742">
        <f t="shared" si="16"/>
        <v>-4.5427749915896769E-17</v>
      </c>
      <c r="CH11" s="254"/>
      <c r="CI11" s="1022">
        <f t="shared" ref="CI11:CL11" si="22">+CI69</f>
        <v>-1.0408340855860843E-16</v>
      </c>
      <c r="CJ11" s="405">
        <f t="shared" si="22"/>
        <v>0</v>
      </c>
      <c r="CK11" s="405">
        <f t="shared" si="22"/>
        <v>0</v>
      </c>
      <c r="CL11" s="405">
        <f t="shared" si="22"/>
        <v>0</v>
      </c>
      <c r="CM11" s="742">
        <f t="shared" si="18"/>
        <v>-2.1620778582455948E-17</v>
      </c>
      <c r="CN11" s="65"/>
      <c r="CQ11"/>
      <c r="CR11"/>
      <c r="CS11"/>
      <c r="CT11"/>
      <c r="CU11"/>
      <c r="CV11"/>
    </row>
    <row r="12" spans="1:100" s="31" customFormat="1" outlineLevel="1" x14ac:dyDescent="0.2">
      <c r="B12" s="934" t="s">
        <v>541</v>
      </c>
      <c r="C12" s="1023"/>
      <c r="D12" s="797"/>
      <c r="E12" s="797"/>
      <c r="F12" s="1026"/>
      <c r="G12" s="1015"/>
      <c r="H12" s="254"/>
      <c r="I12" s="1023"/>
      <c r="J12" s="797"/>
      <c r="K12" s="797"/>
      <c r="L12" s="1026"/>
      <c r="M12" s="1015"/>
      <c r="N12" s="254"/>
      <c r="O12" s="1023"/>
      <c r="P12" s="797"/>
      <c r="Q12" s="797"/>
      <c r="R12" s="1026"/>
      <c r="S12" s="1015"/>
      <c r="T12" s="254"/>
      <c r="U12" s="1023"/>
      <c r="V12" s="797"/>
      <c r="W12" s="797"/>
      <c r="X12" s="1026"/>
      <c r="Y12" s="1015"/>
      <c r="Z12" s="254"/>
      <c r="AA12" s="1023"/>
      <c r="AB12" s="797"/>
      <c r="AC12" s="797"/>
      <c r="AD12" s="1026"/>
      <c r="AE12" s="1015"/>
      <c r="AF12" s="254"/>
      <c r="AG12" s="1023"/>
      <c r="AH12" s="797"/>
      <c r="AI12" s="797"/>
      <c r="AJ12" s="1026"/>
      <c r="AK12" s="1015"/>
      <c r="AL12" s="254"/>
      <c r="AM12" s="1023"/>
      <c r="AN12" s="797"/>
      <c r="AO12" s="797"/>
      <c r="AP12" s="1026"/>
      <c r="AQ12" s="1015"/>
      <c r="AR12" s="254"/>
      <c r="AS12" s="1023"/>
      <c r="AT12" s="797"/>
      <c r="AU12" s="797"/>
      <c r="AV12" s="1026"/>
      <c r="AW12" s="1015"/>
      <c r="AX12" s="254"/>
      <c r="AY12" s="1023"/>
      <c r="AZ12" s="797"/>
      <c r="BA12" s="797"/>
      <c r="BB12" s="1026"/>
      <c r="BC12" s="1015"/>
      <c r="BD12" s="254"/>
      <c r="BE12" s="1023">
        <f>3.2%-1.3%</f>
        <v>1.9E-2</v>
      </c>
      <c r="BF12" s="797">
        <f>2.9%-1%</f>
        <v>1.8999999999999996E-2</v>
      </c>
      <c r="BG12" s="797">
        <f>1.6%-0.5%</f>
        <v>1.0999999999999999E-2</v>
      </c>
      <c r="BH12" s="1026">
        <f>4.9%-0.2%</f>
        <v>4.7E-2</v>
      </c>
      <c r="BI12" s="742">
        <f>+SUMPRODUCT(BE12:BH12,AY$8:BB$8)/BC$8</f>
        <v>2.4282735587244079E-2</v>
      </c>
      <c r="BJ12" s="254"/>
      <c r="BK12" s="1023">
        <f>4.4%-0.1%</f>
        <v>4.3000000000000003E-2</v>
      </c>
      <c r="BL12" s="797">
        <v>4.1000000000000002E-2</v>
      </c>
      <c r="BM12" s="797">
        <v>2.8000000000000001E-2</v>
      </c>
      <c r="BN12" s="1026">
        <v>-1E-3</v>
      </c>
      <c r="BO12" s="742">
        <f>+SUMPRODUCT(BK12:BN12,BE$8:BH$8)/BI$8</f>
        <v>2.7374718468468468E-2</v>
      </c>
      <c r="BP12" s="254"/>
      <c r="BQ12" s="1040">
        <f>+(BQ42*BK36)/BK8</f>
        <v>-7.480230818550973E-2</v>
      </c>
      <c r="BR12" s="1256">
        <f>+(BR42*BL36)/BL8</f>
        <v>-1.9116803670426303E-2</v>
      </c>
      <c r="BS12" s="800">
        <v>0</v>
      </c>
      <c r="BT12" s="800">
        <v>0</v>
      </c>
      <c r="BU12" s="742">
        <f>+SUMPRODUCT(BQ12:BT12,BK$8:BN$8)/BO$8</f>
        <v>-2.0830440216636575E-2</v>
      </c>
      <c r="BV12" s="254"/>
      <c r="BW12" s="1040">
        <v>0</v>
      </c>
      <c r="BX12" s="800">
        <v>0</v>
      </c>
      <c r="BY12" s="800">
        <v>0</v>
      </c>
      <c r="BZ12" s="800">
        <v>0</v>
      </c>
      <c r="CA12" s="742">
        <f t="shared" si="14"/>
        <v>0</v>
      </c>
      <c r="CB12" s="254"/>
      <c r="CC12" s="1040">
        <v>0</v>
      </c>
      <c r="CD12" s="800">
        <v>0</v>
      </c>
      <c r="CE12" s="800">
        <v>0</v>
      </c>
      <c r="CF12" s="800">
        <v>0</v>
      </c>
      <c r="CG12" s="742">
        <f t="shared" si="16"/>
        <v>0</v>
      </c>
      <c r="CH12" s="254"/>
      <c r="CI12" s="1040">
        <v>0</v>
      </c>
      <c r="CJ12" s="800">
        <v>0</v>
      </c>
      <c r="CK12" s="800">
        <v>0</v>
      </c>
      <c r="CL12" s="800">
        <v>0</v>
      </c>
      <c r="CM12" s="742">
        <f t="shared" si="18"/>
        <v>0</v>
      </c>
      <c r="CN12" s="65"/>
      <c r="CQ12"/>
      <c r="CR12"/>
      <c r="CS12"/>
      <c r="CT12"/>
      <c r="CU12"/>
      <c r="CV12"/>
    </row>
    <row r="13" spans="1:100" s="31" customFormat="1" x14ac:dyDescent="0.2">
      <c r="B13" s="1034" t="s">
        <v>767</v>
      </c>
      <c r="C13" s="1035"/>
      <c r="D13" s="1036"/>
      <c r="E13" s="1036"/>
      <c r="F13" s="1036"/>
      <c r="G13" s="1037"/>
      <c r="H13" s="1043"/>
      <c r="I13" s="1035"/>
      <c r="J13" s="1036"/>
      <c r="K13" s="1036"/>
      <c r="L13" s="1036"/>
      <c r="M13" s="1037"/>
      <c r="N13" s="1043"/>
      <c r="O13" s="1035"/>
      <c r="P13" s="1036"/>
      <c r="Q13" s="1036"/>
      <c r="R13" s="1036"/>
      <c r="S13" s="1037"/>
      <c r="T13" s="1043"/>
      <c r="U13" s="1035"/>
      <c r="V13" s="1036"/>
      <c r="W13" s="1036"/>
      <c r="X13" s="1036"/>
      <c r="Y13" s="1037"/>
      <c r="Z13" s="1043"/>
      <c r="AA13" s="1035"/>
      <c r="AB13" s="1036"/>
      <c r="AC13" s="1036"/>
      <c r="AD13" s="1036"/>
      <c r="AE13" s="1037"/>
      <c r="AF13" s="1043"/>
      <c r="AG13" s="1035"/>
      <c r="AH13" s="1036"/>
      <c r="AI13" s="1036"/>
      <c r="AJ13" s="1036"/>
      <c r="AK13" s="1037"/>
      <c r="AL13" s="1043"/>
      <c r="AM13" s="1035"/>
      <c r="AN13" s="1036"/>
      <c r="AO13" s="1036"/>
      <c r="AP13" s="1036"/>
      <c r="AQ13" s="1037"/>
      <c r="AR13" s="1043"/>
      <c r="AS13" s="1035"/>
      <c r="AT13" s="1036"/>
      <c r="AU13" s="1036"/>
      <c r="AV13" s="1036"/>
      <c r="AW13" s="1037"/>
      <c r="AX13" s="1043"/>
      <c r="AY13" s="1035"/>
      <c r="AZ13" s="1036"/>
      <c r="BA13" s="1036"/>
      <c r="BB13" s="1036"/>
      <c r="BC13" s="1037"/>
      <c r="BD13" s="1043"/>
      <c r="BE13" s="1035">
        <f>+BE10-BE12</f>
        <v>5.3999999999999992E-2</v>
      </c>
      <c r="BF13" s="1036">
        <f>+BF10-BF12</f>
        <v>1.2000000000000004E-2</v>
      </c>
      <c r="BG13" s="1036">
        <f>+BG10-BG12</f>
        <v>-2E-3</v>
      </c>
      <c r="BH13" s="1036">
        <f>+BH10-BH12+30/BB8</f>
        <v>5.4949594959495952E-2</v>
      </c>
      <c r="BI13" s="1037">
        <f>+SUMPRODUCT(BE13:BH13,AY$8:BB$8)/BC$8</f>
        <v>2.9376995499912042E-2</v>
      </c>
      <c r="BJ13" s="1043"/>
      <c r="BK13" s="1035">
        <f>+BK10-BK12+(22+30)/BE8</f>
        <v>-3.5240183376521184E-4</v>
      </c>
      <c r="BL13" s="1036">
        <f>+BL10-BL12+(20+30)/BF8</f>
        <v>4.6378630333453047E-3</v>
      </c>
      <c r="BM13" s="1036">
        <f>+BM10-BM12-3/BG8</f>
        <v>1.0188299108872527E-2</v>
      </c>
      <c r="BN13" s="1036">
        <f>+BN10-BN12-21/BH8</f>
        <v>2.1196219621962199E-2</v>
      </c>
      <c r="BO13" s="1037">
        <f>+SUMPRODUCT(BK13:BN13,BE$8:BH$8)/BI$8</f>
        <v>9.1234515765765811E-3</v>
      </c>
      <c r="BP13" s="1043"/>
      <c r="BQ13" s="1035">
        <f>+BQ10-BQ12</f>
        <v>0.15156237016528509</v>
      </c>
      <c r="BR13" s="1036">
        <f>+BR10-BR12</f>
        <v>0.11753541545649408</v>
      </c>
      <c r="BS13" s="1036">
        <f>+BS10-BS12</f>
        <v>0.11296410996430428</v>
      </c>
      <c r="BT13" s="1036">
        <f>+BT10-BT12</f>
        <v>0.10046575089278911</v>
      </c>
      <c r="BU13" s="1037">
        <f>+SUMPRODUCT(BQ13:BT13,BK$8:BN$8)/BO$8</f>
        <v>0.11884460946093489</v>
      </c>
      <c r="BV13" s="1043"/>
      <c r="BW13" s="1035">
        <f t="shared" ref="BW13:BZ13" si="23">+BW10-BW12</f>
        <v>3.8250003957528061E-2</v>
      </c>
      <c r="BX13" s="1036">
        <f t="shared" si="23"/>
        <v>6.13507692004477E-2</v>
      </c>
      <c r="BY13" s="1036">
        <f t="shared" si="23"/>
        <v>5.1593067388588265E-2</v>
      </c>
      <c r="BZ13" s="1036">
        <f t="shared" si="23"/>
        <v>3.7378060458447285E-2</v>
      </c>
      <c r="CA13" s="1037">
        <f t="shared" si="14"/>
        <v>4.7050511811408811E-2</v>
      </c>
      <c r="CB13" s="1043"/>
      <c r="CC13" s="1035">
        <f t="shared" ref="CC13:CF13" si="24">+CC10-CC12</f>
        <v>3.927880909771244E-2</v>
      </c>
      <c r="CD13" s="1036">
        <f t="shared" si="24"/>
        <v>2.0089787778916346E-2</v>
      </c>
      <c r="CE13" s="1036">
        <f t="shared" si="24"/>
        <v>2.5704689904046986E-2</v>
      </c>
      <c r="CF13" s="1036">
        <f t="shared" si="24"/>
        <v>3.8407610732371297E-2</v>
      </c>
      <c r="CG13" s="1037">
        <f t="shared" si="16"/>
        <v>3.0780334318003099E-2</v>
      </c>
      <c r="CH13" s="1043"/>
      <c r="CI13" s="1035">
        <f t="shared" ref="CI13:CL13" si="25">+CI10-CI12</f>
        <v>4.3542489226994115E-2</v>
      </c>
      <c r="CJ13" s="1036">
        <f t="shared" si="25"/>
        <v>7.3682985855933802E-2</v>
      </c>
      <c r="CK13" s="1036">
        <f t="shared" si="25"/>
        <v>6.2882161624586264E-2</v>
      </c>
      <c r="CL13" s="1036">
        <f t="shared" si="25"/>
        <v>4.2019159726627953E-2</v>
      </c>
      <c r="CM13" s="1037">
        <f t="shared" si="18"/>
        <v>5.5436471937112562E-2</v>
      </c>
      <c r="CN13" s="65"/>
      <c r="CP13" s="379"/>
      <c r="CQ13"/>
      <c r="CR13"/>
      <c r="CS13"/>
      <c r="CT13"/>
      <c r="CU13"/>
      <c r="CV13"/>
    </row>
    <row r="14" spans="1:100" s="31" customFormat="1" x14ac:dyDescent="0.2">
      <c r="B14" s="934"/>
      <c r="C14" s="1023"/>
      <c r="D14" s="797"/>
      <c r="E14" s="797"/>
      <c r="F14" s="1026"/>
      <c r="G14" s="742"/>
      <c r="H14" s="723"/>
      <c r="I14" s="1023"/>
      <c r="J14" s="797"/>
      <c r="K14" s="797"/>
      <c r="L14" s="1026"/>
      <c r="M14" s="742"/>
      <c r="N14" s="723"/>
      <c r="O14" s="1023"/>
      <c r="P14" s="797"/>
      <c r="Q14" s="797"/>
      <c r="R14" s="1026"/>
      <c r="S14" s="742"/>
      <c r="T14" s="723"/>
      <c r="U14" s="1023"/>
      <c r="V14" s="797"/>
      <c r="W14" s="797"/>
      <c r="X14" s="1026"/>
      <c r="Y14" s="742"/>
      <c r="Z14" s="723"/>
      <c r="AA14" s="1023"/>
      <c r="AB14" s="797"/>
      <c r="AC14" s="797"/>
      <c r="AD14" s="1026"/>
      <c r="AE14" s="742"/>
      <c r="AF14" s="254"/>
      <c r="AG14" s="1023"/>
      <c r="AH14" s="797"/>
      <c r="AI14" s="797"/>
      <c r="AJ14" s="1026"/>
      <c r="AK14" s="742"/>
      <c r="AL14" s="254"/>
      <c r="AM14" s="1023"/>
      <c r="AN14" s="797"/>
      <c r="AO14" s="797"/>
      <c r="AP14" s="1026"/>
      <c r="AQ14" s="742"/>
      <c r="AR14" s="254"/>
      <c r="AS14" s="1023"/>
      <c r="AT14" s="797"/>
      <c r="AU14" s="797"/>
      <c r="AV14" s="1026"/>
      <c r="AW14" s="1015"/>
      <c r="AX14" s="254"/>
      <c r="AY14" s="1023"/>
      <c r="AZ14" s="797"/>
      <c r="BA14" s="797"/>
      <c r="BB14" s="1026"/>
      <c r="BC14" s="1015"/>
      <c r="BD14" s="254"/>
      <c r="BE14" s="1023"/>
      <c r="BF14" s="797"/>
      <c r="BG14" s="797"/>
      <c r="BH14" s="1026"/>
      <c r="BI14" s="742"/>
      <c r="BJ14" s="254"/>
      <c r="BK14" s="1040"/>
      <c r="BL14" s="797"/>
      <c r="BM14" s="797"/>
      <c r="BN14" s="1041"/>
      <c r="BO14" s="742"/>
      <c r="BP14" s="254"/>
      <c r="BQ14" s="1040"/>
      <c r="BR14" s="800"/>
      <c r="BS14" s="800"/>
      <c r="BT14" s="1041"/>
      <c r="BU14" s="742"/>
      <c r="BV14" s="254"/>
      <c r="BW14" s="1040"/>
      <c r="BX14" s="800"/>
      <c r="BY14" s="800"/>
      <c r="BZ14" s="1041"/>
      <c r="CA14" s="742"/>
      <c r="CB14" s="254"/>
      <c r="CC14" s="1040"/>
      <c r="CD14" s="800"/>
      <c r="CE14" s="800"/>
      <c r="CF14" s="1041"/>
      <c r="CG14" s="742"/>
      <c r="CH14" s="254"/>
      <c r="CI14" s="1040"/>
      <c r="CJ14" s="800"/>
      <c r="CK14" s="800"/>
      <c r="CL14" s="1041"/>
      <c r="CM14" s="742"/>
      <c r="CN14" s="65"/>
      <c r="CP14" s="379"/>
      <c r="CQ14"/>
      <c r="CR14"/>
      <c r="CS14"/>
      <c r="CT14"/>
      <c r="CU14"/>
      <c r="CV14"/>
    </row>
    <row r="15" spans="1:100" s="1017" customFormat="1" ht="11.25" customHeight="1" x14ac:dyDescent="0.2">
      <c r="A15" s="27"/>
      <c r="B15" s="950" t="s">
        <v>603</v>
      </c>
      <c r="C15" s="944"/>
      <c r="D15" s="945"/>
      <c r="E15" s="945"/>
      <c r="F15" s="945"/>
      <c r="G15" s="946"/>
      <c r="H15" s="945"/>
      <c r="I15" s="944"/>
      <c r="J15" s="945"/>
      <c r="K15" s="945"/>
      <c r="L15" s="945"/>
      <c r="M15" s="946"/>
      <c r="N15" s="1021"/>
      <c r="O15" s="944"/>
      <c r="P15" s="945"/>
      <c r="Q15" s="945"/>
      <c r="R15" s="945"/>
      <c r="S15" s="946"/>
      <c r="T15" s="947"/>
      <c r="U15" s="944"/>
      <c r="V15" s="945"/>
      <c r="W15" s="945"/>
      <c r="X15" s="945"/>
      <c r="Y15" s="946"/>
      <c r="Z15" s="947"/>
      <c r="AA15" s="944"/>
      <c r="AB15" s="945"/>
      <c r="AC15" s="945"/>
      <c r="AD15" s="945"/>
      <c r="AE15" s="946"/>
      <c r="AF15" s="948"/>
      <c r="AG15" s="944"/>
      <c r="AH15" s="945"/>
      <c r="AI15" s="945"/>
      <c r="AJ15" s="945"/>
      <c r="AK15" s="946"/>
      <c r="AL15" s="948"/>
      <c r="AM15" s="944"/>
      <c r="AN15" s="945"/>
      <c r="AO15" s="945"/>
      <c r="AP15" s="945"/>
      <c r="AQ15" s="946"/>
      <c r="AR15" s="948"/>
      <c r="AS15" s="1024"/>
      <c r="AT15" s="1025"/>
      <c r="AU15" s="1025"/>
      <c r="AV15" s="1025"/>
      <c r="AW15" s="946"/>
      <c r="AX15" s="948"/>
      <c r="AY15" s="1024">
        <f>+BE15/(1+BE16)</f>
        <v>402.2373540856031</v>
      </c>
      <c r="AZ15" s="1025">
        <f>+BF15/(1+BF16)</f>
        <v>434.30515063168127</v>
      </c>
      <c r="BA15" s="1025">
        <f>+BG15/(1+BG16)</f>
        <v>421.73479561316054</v>
      </c>
      <c r="BB15" s="1025">
        <f>+BH15/(1+BH16)</f>
        <v>412.25868725868725</v>
      </c>
      <c r="BC15" s="946">
        <f>+SUM(AY15:BB15)</f>
        <v>1670.5359875891322</v>
      </c>
      <c r="BD15" s="948"/>
      <c r="BE15" s="944">
        <v>413.5</v>
      </c>
      <c r="BF15" s="945">
        <v>446.9</v>
      </c>
      <c r="BG15" s="945">
        <v>423</v>
      </c>
      <c r="BH15" s="945">
        <v>427.1</v>
      </c>
      <c r="BI15" s="946">
        <f>+SUM(BE15:BH15)</f>
        <v>1710.5</v>
      </c>
      <c r="BJ15" s="949"/>
      <c r="BK15" s="1437">
        <v>421.5</v>
      </c>
      <c r="BL15" s="945">
        <v>459.9</v>
      </c>
      <c r="BM15" s="945">
        <v>450.4</v>
      </c>
      <c r="BN15" s="945">
        <v>460.8</v>
      </c>
      <c r="BO15" s="946">
        <f>+SUM(BK15:BN15)</f>
        <v>1792.6</v>
      </c>
      <c r="BP15" s="949"/>
      <c r="BQ15" s="1024">
        <f>+BK15*(1+BQ16)</f>
        <v>462.94174374228305</v>
      </c>
      <c r="BR15" s="1025">
        <f>+BL15*(1+BR16)</f>
        <v>496.59576901980694</v>
      </c>
      <c r="BS15" s="1025">
        <f>+BM15*(1+BS16)</f>
        <v>475.38801918465225</v>
      </c>
      <c r="BT15" s="1025">
        <f>+BN15*(1+BT16)</f>
        <v>486.84264051078003</v>
      </c>
      <c r="BU15" s="946">
        <f>+SUM(BQ15:BT15)</f>
        <v>1921.7681724575223</v>
      </c>
      <c r="BV15" s="949"/>
      <c r="BW15" s="1024">
        <f t="shared" ref="BW15:BZ15" si="26">+BQ15*(1+BW16)</f>
        <v>476.82999605455154</v>
      </c>
      <c r="BX15" s="1025">
        <f t="shared" si="26"/>
        <v>511.49364209040118</v>
      </c>
      <c r="BY15" s="1025">
        <f t="shared" si="26"/>
        <v>489.64965976019181</v>
      </c>
      <c r="BZ15" s="1025">
        <f t="shared" si="26"/>
        <v>501.44791972610346</v>
      </c>
      <c r="CA15" s="946">
        <f t="shared" ref="CA15" si="27">+SUM(BW15:BZ15)</f>
        <v>1979.4212176312481</v>
      </c>
      <c r="CB15" s="949"/>
      <c r="CC15" s="1024">
        <f t="shared" ref="CC15:CF15" si="28">+BW15*(1+CC16)</f>
        <v>491.13489593618812</v>
      </c>
      <c r="CD15" s="1025">
        <f t="shared" si="28"/>
        <v>526.83845135311321</v>
      </c>
      <c r="CE15" s="1025">
        <f t="shared" si="28"/>
        <v>504.33914955299758</v>
      </c>
      <c r="CF15" s="1025">
        <f t="shared" si="28"/>
        <v>516.49135731788658</v>
      </c>
      <c r="CG15" s="946">
        <f t="shared" ref="CG15" si="29">+SUM(CC15:CF15)</f>
        <v>2038.8038541601854</v>
      </c>
      <c r="CH15" s="949"/>
      <c r="CI15" s="1024">
        <f t="shared" ref="CI15:CL15" si="30">+CC15*(1+CI16)</f>
        <v>505.86894281427379</v>
      </c>
      <c r="CJ15" s="1025">
        <f t="shared" si="30"/>
        <v>542.64360489370665</v>
      </c>
      <c r="CK15" s="1025">
        <f t="shared" si="30"/>
        <v>519.46932403958749</v>
      </c>
      <c r="CL15" s="1025">
        <f t="shared" si="30"/>
        <v>531.98609803742318</v>
      </c>
      <c r="CM15" s="946">
        <f t="shared" ref="CM15" si="31">+SUM(CI15:CL15)</f>
        <v>2099.9679697849911</v>
      </c>
      <c r="CN15" s="62"/>
      <c r="CP15" s="379"/>
      <c r="CQ15"/>
      <c r="CR15"/>
      <c r="CS15"/>
      <c r="CT15"/>
      <c r="CU15"/>
      <c r="CV15"/>
    </row>
    <row r="16" spans="1:100" s="31" customFormat="1" outlineLevel="1" x14ac:dyDescent="0.2">
      <c r="B16" s="934" t="s">
        <v>540</v>
      </c>
      <c r="C16" s="1022"/>
      <c r="D16" s="405"/>
      <c r="E16" s="405"/>
      <c r="F16" s="405"/>
      <c r="G16" s="742"/>
      <c r="H16" s="254"/>
      <c r="I16" s="1022"/>
      <c r="J16" s="405"/>
      <c r="K16" s="405"/>
      <c r="L16" s="405"/>
      <c r="M16" s="742"/>
      <c r="N16" s="254"/>
      <c r="O16" s="1022"/>
      <c r="P16" s="405"/>
      <c r="Q16" s="405"/>
      <c r="R16" s="405"/>
      <c r="S16" s="742"/>
      <c r="T16" s="254"/>
      <c r="U16" s="1022"/>
      <c r="V16" s="405"/>
      <c r="W16" s="405"/>
      <c r="X16" s="405"/>
      <c r="Y16" s="742"/>
      <c r="Z16" s="254"/>
      <c r="AA16" s="1022"/>
      <c r="AB16" s="1039"/>
      <c r="AC16" s="1039"/>
      <c r="AD16" s="1039"/>
      <c r="AE16" s="742"/>
      <c r="AF16" s="254"/>
      <c r="AG16" s="1038"/>
      <c r="AH16" s="1039"/>
      <c r="AI16" s="1039"/>
      <c r="AJ16" s="1039"/>
      <c r="AK16" s="742"/>
      <c r="AL16" s="254"/>
      <c r="AM16" s="1038"/>
      <c r="AN16" s="1039"/>
      <c r="AO16" s="1039"/>
      <c r="AP16" s="1039"/>
      <c r="AQ16" s="742"/>
      <c r="AR16" s="254"/>
      <c r="AS16" s="1038"/>
      <c r="AT16" s="1039"/>
      <c r="AU16" s="1039"/>
      <c r="AV16" s="1039"/>
      <c r="AW16" s="742"/>
      <c r="AX16" s="254"/>
      <c r="AY16" s="1038"/>
      <c r="AZ16" s="1039"/>
      <c r="BA16" s="1039"/>
      <c r="BB16" s="1039"/>
      <c r="BC16" s="742"/>
      <c r="BD16" s="254"/>
      <c r="BE16" s="1038">
        <v>2.8000000000000001E-2</v>
      </c>
      <c r="BF16" s="1039">
        <v>2.9000000000000001E-2</v>
      </c>
      <c r="BG16" s="1039">
        <v>3.0000000000000001E-3</v>
      </c>
      <c r="BH16" s="1039">
        <v>3.5999999999999997E-2</v>
      </c>
      <c r="BI16" s="742">
        <f>+SUMPRODUCT(BE16:BH16,AY$15:BB$15)/BC$15</f>
        <v>2.3922868293632354E-2</v>
      </c>
      <c r="BJ16" s="254"/>
      <c r="BK16" s="1022">
        <f t="shared" ref="BK16" si="32">+BK15/BE15-1</f>
        <v>1.9347037484885199E-2</v>
      </c>
      <c r="BL16" s="405">
        <f t="shared" ref="BL16" si="33">+BL15/BF15-1</f>
        <v>2.9089281718505333E-2</v>
      </c>
      <c r="BM16" s="405">
        <f>+BM15/BG15-1</f>
        <v>6.4775413711583907E-2</v>
      </c>
      <c r="BN16" s="405">
        <f>+BN15/BH15-1</f>
        <v>7.890423788339973E-2</v>
      </c>
      <c r="BO16" s="742">
        <f>+SUMPRODUCT(BK16:BN16,BE$15:BH$15)/BI$15</f>
        <v>4.7997661502484697E-2</v>
      </c>
      <c r="BP16" s="254"/>
      <c r="BQ16" s="1022">
        <f>+BQ17+BQ18</f>
        <v>9.8319676731395272E-2</v>
      </c>
      <c r="BR16" s="405">
        <f>+BR17+BR18</f>
        <v>7.9790756729304191E-2</v>
      </c>
      <c r="BS16" s="405">
        <f>+BS17+BS18</f>
        <v>5.5479616306954492E-2</v>
      </c>
      <c r="BT16" s="405">
        <f>+BT17+BT18</f>
        <v>5.651614694179697E-2</v>
      </c>
      <c r="BU16" s="742">
        <f>+SUMPRODUCT(BQ16:BT16,BK$15:BN$15)/BO$15</f>
        <v>7.2056327377843607E-2</v>
      </c>
      <c r="BV16" s="254"/>
      <c r="BW16" s="1022">
        <f t="shared" ref="BW16:BZ16" si="34">+BW17+BW18</f>
        <v>0.03</v>
      </c>
      <c r="BX16" s="405">
        <f t="shared" si="34"/>
        <v>0.03</v>
      </c>
      <c r="BY16" s="405">
        <f t="shared" si="34"/>
        <v>0.03</v>
      </c>
      <c r="BZ16" s="405">
        <f t="shared" si="34"/>
        <v>0.03</v>
      </c>
      <c r="CA16" s="742">
        <f t="shared" ref="CA16:CA20" si="35">+SUMPRODUCT(BW16:BZ16,BQ$15:BT$15)/BU$15</f>
        <v>0.03</v>
      </c>
      <c r="CB16" s="254"/>
      <c r="CC16" s="1022">
        <f t="shared" ref="CC16:CF16" si="36">+CC17+CC18</f>
        <v>0.03</v>
      </c>
      <c r="CD16" s="405">
        <f t="shared" si="36"/>
        <v>0.03</v>
      </c>
      <c r="CE16" s="405">
        <f t="shared" si="36"/>
        <v>0.03</v>
      </c>
      <c r="CF16" s="405">
        <f t="shared" si="36"/>
        <v>0.03</v>
      </c>
      <c r="CG16" s="742">
        <f t="shared" ref="CG16:CG20" si="37">+SUMPRODUCT(CC16:CF16,BW$15:BZ$15)/CA$15</f>
        <v>0.03</v>
      </c>
      <c r="CH16" s="254"/>
      <c r="CI16" s="1022">
        <f t="shared" ref="CI16:CL16" si="38">+CI17+CI18</f>
        <v>0.03</v>
      </c>
      <c r="CJ16" s="405">
        <f t="shared" si="38"/>
        <v>0.03</v>
      </c>
      <c r="CK16" s="405">
        <f t="shared" si="38"/>
        <v>0.03</v>
      </c>
      <c r="CL16" s="405">
        <f t="shared" si="38"/>
        <v>0.03</v>
      </c>
      <c r="CM16" s="742">
        <f t="shared" ref="CM16:CM20" si="39">+SUMPRODUCT(CI16:CL16,CC$15:CF$15)/CG$15</f>
        <v>0.03</v>
      </c>
      <c r="CN16" s="65"/>
      <c r="CQ16"/>
      <c r="CR16"/>
      <c r="CS16"/>
      <c r="CT16"/>
      <c r="CU16"/>
      <c r="CV16"/>
    </row>
    <row r="17" spans="1:100" s="31" customFormat="1" outlineLevel="1" x14ac:dyDescent="0.2">
      <c r="B17" s="934" t="s">
        <v>588</v>
      </c>
      <c r="C17" s="1023"/>
      <c r="D17" s="797"/>
      <c r="E17" s="797"/>
      <c r="F17" s="1026"/>
      <c r="G17" s="742"/>
      <c r="H17" s="723"/>
      <c r="I17" s="1023"/>
      <c r="J17" s="797"/>
      <c r="K17" s="797"/>
      <c r="L17" s="1026"/>
      <c r="M17" s="742"/>
      <c r="N17" s="723"/>
      <c r="O17" s="1023"/>
      <c r="P17" s="797"/>
      <c r="Q17" s="797"/>
      <c r="R17" s="1026"/>
      <c r="S17" s="742"/>
      <c r="T17" s="723"/>
      <c r="U17" s="1023"/>
      <c r="V17" s="797"/>
      <c r="W17" s="797"/>
      <c r="X17" s="1026"/>
      <c r="Y17" s="742"/>
      <c r="Z17" s="723"/>
      <c r="AA17" s="1023"/>
      <c r="AB17" s="797"/>
      <c r="AC17" s="797"/>
      <c r="AD17" s="1026"/>
      <c r="AE17" s="742"/>
      <c r="AF17" s="254"/>
      <c r="AG17" s="1023"/>
      <c r="AH17" s="797"/>
      <c r="AI17" s="797"/>
      <c r="AJ17" s="1026"/>
      <c r="AK17" s="742"/>
      <c r="AL17" s="254"/>
      <c r="AM17" s="1023"/>
      <c r="AN17" s="797"/>
      <c r="AO17" s="797"/>
      <c r="AP17" s="1026"/>
      <c r="AQ17" s="742"/>
      <c r="AR17" s="254"/>
      <c r="AS17" s="1023"/>
      <c r="AT17" s="797"/>
      <c r="AU17" s="797"/>
      <c r="AV17" s="1026"/>
      <c r="AW17" s="1015"/>
      <c r="AX17" s="254"/>
      <c r="AY17" s="1023"/>
      <c r="AZ17" s="797"/>
      <c r="BA17" s="797"/>
      <c r="BB17" s="1026"/>
      <c r="BC17" s="1015"/>
      <c r="BD17" s="254"/>
      <c r="BE17" s="1023">
        <v>5.5E-2</v>
      </c>
      <c r="BF17" s="797">
        <v>3.5999999999999997E-2</v>
      </c>
      <c r="BG17" s="797">
        <v>-1E-3</v>
      </c>
      <c r="BH17" s="1026">
        <v>3.9E-2</v>
      </c>
      <c r="BI17" s="742">
        <f>+SUMPRODUCT(BE17:BH17,AY$15:BB$15)/BC$15</f>
        <v>3.1974404802862344E-2</v>
      </c>
      <c r="BJ17" s="254"/>
      <c r="BK17" s="1023">
        <v>2.3E-2</v>
      </c>
      <c r="BL17" s="797">
        <v>3.1E-2</v>
      </c>
      <c r="BM17" s="797">
        <v>4.1000000000000002E-2</v>
      </c>
      <c r="BN17" s="1026">
        <v>4.5999999999999999E-2</v>
      </c>
      <c r="BO17" s="742">
        <f>+SUMPRODUCT(BK17:BN17,BE$15:BH$15)/BI$15</f>
        <v>3.5284419760304005E-2</v>
      </c>
      <c r="BP17" s="254"/>
      <c r="BQ17" s="1040">
        <v>0.04</v>
      </c>
      <c r="BR17" s="800">
        <v>0.04</v>
      </c>
      <c r="BS17" s="800">
        <v>0.03</v>
      </c>
      <c r="BT17" s="800">
        <v>0.03</v>
      </c>
      <c r="BU17" s="742">
        <f>+SUMPRODUCT(BQ17:BT17,BK$15:BN$15)/BO$15</f>
        <v>3.4916880508758227E-2</v>
      </c>
      <c r="BV17" s="254"/>
      <c r="BW17" s="1040">
        <v>0.03</v>
      </c>
      <c r="BX17" s="800">
        <f>+BW17</f>
        <v>0.03</v>
      </c>
      <c r="BY17" s="800">
        <f>+BX17</f>
        <v>0.03</v>
      </c>
      <c r="BZ17" s="800">
        <f>+BY17</f>
        <v>0.03</v>
      </c>
      <c r="CA17" s="742">
        <f t="shared" si="35"/>
        <v>0.03</v>
      </c>
      <c r="CB17" s="254"/>
      <c r="CC17" s="1040">
        <f>+BZ17</f>
        <v>0.03</v>
      </c>
      <c r="CD17" s="800">
        <f t="shared" ref="CD17:CL17" si="40">+CC17</f>
        <v>0.03</v>
      </c>
      <c r="CE17" s="800">
        <f t="shared" si="40"/>
        <v>0.03</v>
      </c>
      <c r="CF17" s="800">
        <f t="shared" si="40"/>
        <v>0.03</v>
      </c>
      <c r="CG17" s="742">
        <f t="shared" si="37"/>
        <v>0.03</v>
      </c>
      <c r="CH17" s="254"/>
      <c r="CI17" s="1040">
        <f t="shared" ref="CI17" si="41">+CF17</f>
        <v>0.03</v>
      </c>
      <c r="CJ17" s="800">
        <f t="shared" si="40"/>
        <v>0.03</v>
      </c>
      <c r="CK17" s="800">
        <f t="shared" si="40"/>
        <v>0.03</v>
      </c>
      <c r="CL17" s="800">
        <f t="shared" si="40"/>
        <v>0.03</v>
      </c>
      <c r="CM17" s="742">
        <f t="shared" si="39"/>
        <v>0.03</v>
      </c>
      <c r="CN17" s="65"/>
      <c r="CQ17"/>
      <c r="CR17"/>
      <c r="CS17"/>
      <c r="CT17"/>
      <c r="CU17"/>
      <c r="CV17"/>
    </row>
    <row r="18" spans="1:100" s="31" customFormat="1" outlineLevel="1" x14ac:dyDescent="0.2">
      <c r="B18" s="934" t="s">
        <v>586</v>
      </c>
      <c r="C18" s="1022"/>
      <c r="D18" s="405"/>
      <c r="E18" s="405"/>
      <c r="F18" s="405"/>
      <c r="G18" s="742"/>
      <c r="H18" s="254"/>
      <c r="I18" s="1022"/>
      <c r="J18" s="405"/>
      <c r="K18" s="405"/>
      <c r="L18" s="405"/>
      <c r="M18" s="742"/>
      <c r="N18" s="254"/>
      <c r="O18" s="1022"/>
      <c r="P18" s="405"/>
      <c r="Q18" s="405"/>
      <c r="R18" s="405"/>
      <c r="S18" s="742"/>
      <c r="T18" s="254"/>
      <c r="U18" s="1022"/>
      <c r="V18" s="405"/>
      <c r="W18" s="405"/>
      <c r="X18" s="405"/>
      <c r="Y18" s="742"/>
      <c r="Z18" s="254"/>
      <c r="AA18" s="1022"/>
      <c r="AB18" s="405"/>
      <c r="AC18" s="405"/>
      <c r="AD18" s="405"/>
      <c r="AE18" s="742"/>
      <c r="AF18" s="254"/>
      <c r="AG18" s="1022"/>
      <c r="AH18" s="405"/>
      <c r="AI18" s="405"/>
      <c r="AJ18" s="405"/>
      <c r="AK18" s="742"/>
      <c r="AL18" s="254"/>
      <c r="AM18" s="1022"/>
      <c r="AN18" s="405"/>
      <c r="AO18" s="405"/>
      <c r="AP18" s="405"/>
      <c r="AQ18" s="742"/>
      <c r="AR18" s="254"/>
      <c r="AS18" s="1022"/>
      <c r="AT18" s="405"/>
      <c r="AU18" s="405"/>
      <c r="AV18" s="405"/>
      <c r="AW18" s="742"/>
      <c r="AX18" s="254"/>
      <c r="AY18" s="1022"/>
      <c r="AZ18" s="405"/>
      <c r="BA18" s="405"/>
      <c r="BB18" s="405"/>
      <c r="BC18" s="742"/>
      <c r="BD18" s="254"/>
      <c r="BE18" s="1022">
        <f>BE16-BE17</f>
        <v>-2.7E-2</v>
      </c>
      <c r="BF18" s="405">
        <f>BF16-BF17</f>
        <v>-6.9999999999999958E-3</v>
      </c>
      <c r="BG18" s="405">
        <f>BG16-BG17</f>
        <v>4.0000000000000001E-3</v>
      </c>
      <c r="BH18" s="405">
        <f>BH16-BH17</f>
        <v>-3.0000000000000027E-3</v>
      </c>
      <c r="BI18" s="742">
        <f>+SUMPRODUCT(BE18:BH18,AY$15:BB$15)/BC$15</f>
        <v>-8.0515365092299878E-3</v>
      </c>
      <c r="BJ18" s="254"/>
      <c r="BK18" s="1022">
        <f>BK16-BK17</f>
        <v>-3.6529625151148007E-3</v>
      </c>
      <c r="BL18" s="407">
        <f>BL16-BL17</f>
        <v>-1.9107182814946666E-3</v>
      </c>
      <c r="BM18" s="407">
        <f>BM16-BM17</f>
        <v>2.3775413711583905E-2</v>
      </c>
      <c r="BN18" s="407">
        <f>BN16-BN17</f>
        <v>3.2904237883399731E-2</v>
      </c>
      <c r="BO18" s="742">
        <f>+SUMPRODUCT(BK18:BN18,BE$15:BH$15)/BI$15</f>
        <v>1.2713241742180695E-2</v>
      </c>
      <c r="BP18" s="254"/>
      <c r="BQ18" s="1022">
        <f>+BQ69</f>
        <v>5.8319676731395272E-2</v>
      </c>
      <c r="BR18" s="405">
        <f>+BR69</f>
        <v>3.9790756729304183E-2</v>
      </c>
      <c r="BS18" s="405">
        <f>+BS69</f>
        <v>2.5479616306954493E-2</v>
      </c>
      <c r="BT18" s="405">
        <f>+BT69</f>
        <v>2.6516146941796971E-2</v>
      </c>
      <c r="BU18" s="742">
        <f>+SUMPRODUCT(BQ18:BT18,BK$15:BN$15)/BO$15</f>
        <v>3.713944686908538E-2</v>
      </c>
      <c r="BV18" s="254"/>
      <c r="BW18" s="1040">
        <v>0</v>
      </c>
      <c r="BX18" s="800">
        <v>0</v>
      </c>
      <c r="BY18" s="1256">
        <v>0</v>
      </c>
      <c r="BZ18" s="1256">
        <v>0</v>
      </c>
      <c r="CA18" s="742">
        <f t="shared" si="35"/>
        <v>0</v>
      </c>
      <c r="CB18" s="254"/>
      <c r="CC18" s="1040">
        <v>0</v>
      </c>
      <c r="CD18" s="800">
        <v>0</v>
      </c>
      <c r="CE18" s="1256">
        <v>0</v>
      </c>
      <c r="CF18" s="1256">
        <v>0</v>
      </c>
      <c r="CG18" s="742">
        <f t="shared" si="37"/>
        <v>0</v>
      </c>
      <c r="CH18" s="254"/>
      <c r="CI18" s="1040">
        <v>0</v>
      </c>
      <c r="CJ18" s="800">
        <v>0</v>
      </c>
      <c r="CK18" s="1256">
        <v>0</v>
      </c>
      <c r="CL18" s="1256">
        <v>0</v>
      </c>
      <c r="CM18" s="742">
        <f t="shared" si="39"/>
        <v>0</v>
      </c>
      <c r="CN18" s="65"/>
      <c r="CQ18"/>
      <c r="CR18"/>
      <c r="CS18"/>
      <c r="CT18"/>
      <c r="CU18"/>
      <c r="CV18"/>
    </row>
    <row r="19" spans="1:100" s="31" customFormat="1" outlineLevel="1" x14ac:dyDescent="0.2">
      <c r="B19" s="934" t="s">
        <v>541</v>
      </c>
      <c r="C19" s="1023"/>
      <c r="D19" s="797"/>
      <c r="E19" s="797"/>
      <c r="F19" s="1026"/>
      <c r="G19" s="1015"/>
      <c r="H19" s="254"/>
      <c r="I19" s="1023"/>
      <c r="J19" s="797"/>
      <c r="K19" s="797"/>
      <c r="L19" s="1026"/>
      <c r="M19" s="1015"/>
      <c r="N19" s="254"/>
      <c r="O19" s="1023"/>
      <c r="P19" s="797"/>
      <c r="Q19" s="797"/>
      <c r="R19" s="1026"/>
      <c r="S19" s="1015"/>
      <c r="T19" s="254"/>
      <c r="U19" s="1023"/>
      <c r="V19" s="797"/>
      <c r="W19" s="797"/>
      <c r="X19" s="1026"/>
      <c r="Y19" s="1015"/>
      <c r="Z19" s="254"/>
      <c r="AA19" s="1023"/>
      <c r="AB19" s="797"/>
      <c r="AC19" s="797"/>
      <c r="AD19" s="1026"/>
      <c r="AE19" s="1015"/>
      <c r="AF19" s="254"/>
      <c r="AG19" s="1023"/>
      <c r="AH19" s="797"/>
      <c r="AI19" s="797"/>
      <c r="AJ19" s="1026"/>
      <c r="AK19" s="1015"/>
      <c r="AL19" s="254"/>
      <c r="AM19" s="1023"/>
      <c r="AN19" s="797"/>
      <c r="AO19" s="797"/>
      <c r="AP19" s="1026"/>
      <c r="AQ19" s="1015"/>
      <c r="AR19" s="254"/>
      <c r="AS19" s="1023"/>
      <c r="AT19" s="797"/>
      <c r="AU19" s="797"/>
      <c r="AV19" s="1026"/>
      <c r="AW19" s="1015"/>
      <c r="AX19" s="254"/>
      <c r="AY19" s="1023"/>
      <c r="AZ19" s="797"/>
      <c r="BA19" s="797"/>
      <c r="BB19" s="1026"/>
      <c r="BC19" s="1015"/>
      <c r="BD19" s="254"/>
      <c r="BE19" s="1023">
        <v>-2E-3</v>
      </c>
      <c r="BF19" s="797">
        <v>-3.0000000000000001E-3</v>
      </c>
      <c r="BG19" s="797">
        <v>-3.0000000000000001E-3</v>
      </c>
      <c r="BH19" s="1026">
        <v>-2E-3</v>
      </c>
      <c r="BI19" s="742">
        <f>+SUMPRODUCT(BE19:BH19,AY$15:BB$15)/BC$15</f>
        <v>-2.5124343040823999E-3</v>
      </c>
      <c r="BJ19" s="254"/>
      <c r="BK19" s="1023">
        <v>-1E-3</v>
      </c>
      <c r="BL19" s="797">
        <v>7.0000000000000001E-3</v>
      </c>
      <c r="BM19" s="797">
        <v>8.0000000000000002E-3</v>
      </c>
      <c r="BN19" s="1026">
        <v>7.0000000000000001E-3</v>
      </c>
      <c r="BO19" s="742">
        <f>+SUMPRODUCT(BK19:BN19,BE$15:BH$15)/BI$15</f>
        <v>5.313358667056416E-3</v>
      </c>
      <c r="BP19" s="254"/>
      <c r="BQ19" s="1040">
        <v>0</v>
      </c>
      <c r="BR19" s="800">
        <v>0</v>
      </c>
      <c r="BS19" s="800">
        <v>0</v>
      </c>
      <c r="BT19" s="800">
        <v>0</v>
      </c>
      <c r="BU19" s="742">
        <f>+SUMPRODUCT(BQ19:BT19,BK$15:BN$15)/BO$15</f>
        <v>0</v>
      </c>
      <c r="BV19" s="254"/>
      <c r="BW19" s="1040">
        <v>0</v>
      </c>
      <c r="BX19" s="800">
        <v>0</v>
      </c>
      <c r="BY19" s="800">
        <v>0</v>
      </c>
      <c r="BZ19" s="800">
        <v>0</v>
      </c>
      <c r="CA19" s="742">
        <f t="shared" si="35"/>
        <v>0</v>
      </c>
      <c r="CB19" s="254"/>
      <c r="CC19" s="1040">
        <v>0</v>
      </c>
      <c r="CD19" s="800">
        <v>0</v>
      </c>
      <c r="CE19" s="800">
        <v>0</v>
      </c>
      <c r="CF19" s="800">
        <v>0</v>
      </c>
      <c r="CG19" s="742">
        <f t="shared" si="37"/>
        <v>0</v>
      </c>
      <c r="CH19" s="254"/>
      <c r="CI19" s="1040">
        <v>0</v>
      </c>
      <c r="CJ19" s="800">
        <v>0</v>
      </c>
      <c r="CK19" s="800">
        <v>0</v>
      </c>
      <c r="CL19" s="800">
        <v>0</v>
      </c>
      <c r="CM19" s="742">
        <f t="shared" si="39"/>
        <v>0</v>
      </c>
      <c r="CN19" s="65"/>
      <c r="CQ19"/>
      <c r="CR19"/>
      <c r="CS19"/>
      <c r="CT19"/>
      <c r="CU19"/>
      <c r="CV19"/>
    </row>
    <row r="20" spans="1:100" s="31" customFormat="1" x14ac:dyDescent="0.2">
      <c r="B20" s="1034" t="s">
        <v>589</v>
      </c>
      <c r="C20" s="1035"/>
      <c r="D20" s="1036"/>
      <c r="E20" s="1036"/>
      <c r="F20" s="1036"/>
      <c r="G20" s="1037"/>
      <c r="H20" s="1043"/>
      <c r="I20" s="1035"/>
      <c r="J20" s="1036"/>
      <c r="K20" s="1036"/>
      <c r="L20" s="1036"/>
      <c r="M20" s="1037"/>
      <c r="N20" s="1043"/>
      <c r="O20" s="1035"/>
      <c r="P20" s="1036"/>
      <c r="Q20" s="1036"/>
      <c r="R20" s="1036"/>
      <c r="S20" s="1037"/>
      <c r="T20" s="1043"/>
      <c r="U20" s="1035"/>
      <c r="V20" s="1036"/>
      <c r="W20" s="1036"/>
      <c r="X20" s="1036"/>
      <c r="Y20" s="1037"/>
      <c r="Z20" s="1043"/>
      <c r="AA20" s="1035"/>
      <c r="AB20" s="1036"/>
      <c r="AC20" s="1036"/>
      <c r="AD20" s="1036"/>
      <c r="AE20" s="1037"/>
      <c r="AF20" s="1043"/>
      <c r="AG20" s="1035"/>
      <c r="AH20" s="1036"/>
      <c r="AI20" s="1036"/>
      <c r="AJ20" s="1036"/>
      <c r="AK20" s="1037"/>
      <c r="AL20" s="1043"/>
      <c r="AM20" s="1035"/>
      <c r="AN20" s="1036"/>
      <c r="AO20" s="1036"/>
      <c r="AP20" s="1036"/>
      <c r="AQ20" s="1037"/>
      <c r="AR20" s="1043"/>
      <c r="AS20" s="1035"/>
      <c r="AT20" s="1036"/>
      <c r="AU20" s="1036"/>
      <c r="AV20" s="1036"/>
      <c r="AW20" s="1037"/>
      <c r="AX20" s="1043"/>
      <c r="AY20" s="1035"/>
      <c r="AZ20" s="1036"/>
      <c r="BA20" s="1036"/>
      <c r="BB20" s="1036"/>
      <c r="BC20" s="1037"/>
      <c r="BD20" s="1043"/>
      <c r="BE20" s="1035">
        <f>+BE17-BE19</f>
        <v>5.7000000000000002E-2</v>
      </c>
      <c r="BF20" s="1036">
        <f>+BF17-BF19</f>
        <v>3.9E-2</v>
      </c>
      <c r="BG20" s="1036">
        <f>+BG17-BG19</f>
        <v>2E-3</v>
      </c>
      <c r="BH20" s="1036">
        <f>+BH17-BH19</f>
        <v>4.1000000000000002E-2</v>
      </c>
      <c r="BI20" s="1037">
        <f>+SUMPRODUCT(BE20:BH20,AY$15:BB$15)/BC$15</f>
        <v>3.448683910694475E-2</v>
      </c>
      <c r="BJ20" s="1043"/>
      <c r="BK20" s="1035">
        <f>+BK17-BK19</f>
        <v>2.4E-2</v>
      </c>
      <c r="BL20" s="1036">
        <f>+BL17-BL19</f>
        <v>2.4E-2</v>
      </c>
      <c r="BM20" s="1036">
        <f>+BM17-BM19</f>
        <v>3.3000000000000002E-2</v>
      </c>
      <c r="BN20" s="1036">
        <f>+BN17-BN19</f>
        <v>3.9E-2</v>
      </c>
      <c r="BO20" s="1037">
        <f>+SUMPRODUCT(BK20:BN20,BE$15:BH$15)/BI$15</f>
        <v>2.997106109324759E-2</v>
      </c>
      <c r="BP20" s="1043"/>
      <c r="BQ20" s="1035">
        <f>+BQ17-BQ19</f>
        <v>0.04</v>
      </c>
      <c r="BR20" s="1036">
        <f>+BR17-BR19</f>
        <v>0.04</v>
      </c>
      <c r="BS20" s="1036">
        <f>+BS17-BS19</f>
        <v>0.03</v>
      </c>
      <c r="BT20" s="1036">
        <f>+BT17-BT19</f>
        <v>0.03</v>
      </c>
      <c r="BU20" s="1037">
        <f>+SUMPRODUCT(BQ20:BT20,BK$15:BN$15)/BO$15</f>
        <v>3.4916880508758227E-2</v>
      </c>
      <c r="BV20" s="1043"/>
      <c r="BW20" s="1035">
        <f t="shared" ref="BW20:BZ20" si="42">+BW17-BW19</f>
        <v>0.03</v>
      </c>
      <c r="BX20" s="1036">
        <f t="shared" si="42"/>
        <v>0.03</v>
      </c>
      <c r="BY20" s="1036">
        <f t="shared" si="42"/>
        <v>0.03</v>
      </c>
      <c r="BZ20" s="1036">
        <f t="shared" si="42"/>
        <v>0.03</v>
      </c>
      <c r="CA20" s="1037">
        <f t="shared" si="35"/>
        <v>0.03</v>
      </c>
      <c r="CB20" s="1043"/>
      <c r="CC20" s="1035">
        <f t="shared" ref="CC20:CF20" si="43">+CC17-CC19</f>
        <v>0.03</v>
      </c>
      <c r="CD20" s="1036">
        <f t="shared" si="43"/>
        <v>0.03</v>
      </c>
      <c r="CE20" s="1036">
        <f t="shared" si="43"/>
        <v>0.03</v>
      </c>
      <c r="CF20" s="1036">
        <f t="shared" si="43"/>
        <v>0.03</v>
      </c>
      <c r="CG20" s="1037">
        <f t="shared" si="37"/>
        <v>0.03</v>
      </c>
      <c r="CH20" s="1043"/>
      <c r="CI20" s="1035">
        <f t="shared" ref="CI20:CL20" si="44">+CI17-CI19</f>
        <v>0.03</v>
      </c>
      <c r="CJ20" s="1036">
        <f t="shared" si="44"/>
        <v>0.03</v>
      </c>
      <c r="CK20" s="1036">
        <f t="shared" si="44"/>
        <v>0.03</v>
      </c>
      <c r="CL20" s="1036">
        <f t="shared" si="44"/>
        <v>0.03</v>
      </c>
      <c r="CM20" s="1037">
        <f t="shared" si="39"/>
        <v>0.03</v>
      </c>
      <c r="CN20" s="65"/>
      <c r="CP20" s="379"/>
      <c r="CQ20"/>
      <c r="CR20"/>
      <c r="CS20"/>
      <c r="CT20"/>
      <c r="CU20"/>
      <c r="CV20"/>
    </row>
    <row r="21" spans="1:100" s="31" customFormat="1" outlineLevel="1" x14ac:dyDescent="0.2">
      <c r="B21" s="1601" t="s">
        <v>764</v>
      </c>
      <c r="C21" s="1602"/>
      <c r="D21" s="1603"/>
      <c r="E21" s="1603"/>
      <c r="F21" s="1603"/>
      <c r="G21" s="1604"/>
      <c r="H21" s="1605"/>
      <c r="I21" s="1602"/>
      <c r="J21" s="1603"/>
      <c r="K21" s="1603"/>
      <c r="L21" s="1603"/>
      <c r="M21" s="1604"/>
      <c r="N21" s="1605"/>
      <c r="O21" s="1602"/>
      <c r="P21" s="1603"/>
      <c r="Q21" s="1603"/>
      <c r="R21" s="1603"/>
      <c r="S21" s="1604"/>
      <c r="T21" s="1605"/>
      <c r="U21" s="1602"/>
      <c r="V21" s="1603"/>
      <c r="W21" s="1603"/>
      <c r="X21" s="1603"/>
      <c r="Y21" s="1604"/>
      <c r="Z21" s="1605"/>
      <c r="AA21" s="1602"/>
      <c r="AB21" s="1603"/>
      <c r="AC21" s="1603"/>
      <c r="AD21" s="1603"/>
      <c r="AE21" s="1604"/>
      <c r="AF21" s="1605"/>
      <c r="AG21" s="1602"/>
      <c r="AH21" s="1603"/>
      <c r="AI21" s="1603"/>
      <c r="AJ21" s="1603"/>
      <c r="AK21" s="1604"/>
      <c r="AL21" s="1605"/>
      <c r="AM21" s="1602"/>
      <c r="AN21" s="1603"/>
      <c r="AO21" s="1603"/>
      <c r="AP21" s="1603"/>
      <c r="AQ21" s="1604"/>
      <c r="AR21" s="1605"/>
      <c r="AS21" s="1602"/>
      <c r="AT21" s="1603"/>
      <c r="AU21" s="1603"/>
      <c r="AV21" s="1603"/>
      <c r="AW21" s="1604"/>
      <c r="AX21" s="1605"/>
      <c r="AY21" s="1602"/>
      <c r="AZ21" s="1603"/>
      <c r="BA21" s="1603"/>
      <c r="BB21" s="1603"/>
      <c r="BC21" s="1604"/>
      <c r="BD21" s="1605"/>
      <c r="BE21" s="1602"/>
      <c r="BF21" s="1603"/>
      <c r="BG21" s="1603"/>
      <c r="BH21" s="1606"/>
      <c r="BI21" s="1604"/>
      <c r="BJ21" s="1605"/>
      <c r="BK21" s="1602"/>
      <c r="BL21" s="1603"/>
      <c r="BM21" s="1603"/>
      <c r="BN21" s="1603"/>
      <c r="BO21" s="1604"/>
      <c r="BP21" s="1605"/>
      <c r="BQ21" s="1602"/>
      <c r="BR21" s="1603"/>
      <c r="BS21" s="1603"/>
      <c r="BT21" s="1603"/>
      <c r="BU21" s="1604"/>
      <c r="BV21" s="1605"/>
      <c r="BW21" s="1602"/>
      <c r="BX21" s="1603"/>
      <c r="BY21" s="1603"/>
      <c r="BZ21" s="1603"/>
      <c r="CA21" s="1604"/>
      <c r="CB21" s="1605"/>
      <c r="CC21" s="1602"/>
      <c r="CD21" s="1603"/>
      <c r="CE21" s="1603"/>
      <c r="CF21" s="1603"/>
      <c r="CG21" s="1604"/>
      <c r="CH21" s="1605"/>
      <c r="CI21" s="1602"/>
      <c r="CJ21" s="1603"/>
      <c r="CK21" s="1603"/>
      <c r="CL21" s="1603"/>
      <c r="CM21" s="1604"/>
      <c r="CN21" s="65"/>
      <c r="CP21" s="379"/>
      <c r="CQ21" s="1560"/>
      <c r="CR21" s="1560"/>
      <c r="CS21" s="1560"/>
      <c r="CT21" s="1560"/>
      <c r="CU21" s="1560"/>
      <c r="CV21" s="1560"/>
    </row>
    <row r="22" spans="1:100" s="1560" customFormat="1" ht="11.25" customHeight="1" outlineLevel="1" x14ac:dyDescent="0.2">
      <c r="A22" s="27"/>
      <c r="B22" s="1561" t="s">
        <v>766</v>
      </c>
      <c r="C22" s="1566"/>
      <c r="D22" s="1567"/>
      <c r="E22" s="1567"/>
      <c r="F22" s="1567"/>
      <c r="G22" s="1568"/>
      <c r="H22" s="1567"/>
      <c r="I22" s="1566"/>
      <c r="J22" s="1567"/>
      <c r="K22" s="1567"/>
      <c r="L22" s="1567"/>
      <c r="M22" s="1568"/>
      <c r="N22" s="1569"/>
      <c r="O22" s="1566"/>
      <c r="P22" s="1567"/>
      <c r="Q22" s="1567"/>
      <c r="R22" s="1567"/>
      <c r="S22" s="1568"/>
      <c r="T22" s="1570"/>
      <c r="U22" s="1566"/>
      <c r="V22" s="1567"/>
      <c r="W22" s="1567"/>
      <c r="X22" s="1567"/>
      <c r="Y22" s="1568"/>
      <c r="Z22" s="1570"/>
      <c r="AA22" s="1566"/>
      <c r="AB22" s="1567"/>
      <c r="AC22" s="1567"/>
      <c r="AD22" s="1567"/>
      <c r="AE22" s="1568"/>
      <c r="AF22" s="1571"/>
      <c r="AG22" s="1566"/>
      <c r="AH22" s="1567"/>
      <c r="AI22" s="1567"/>
      <c r="AJ22" s="1567"/>
      <c r="AK22" s="1568"/>
      <c r="AL22" s="1571"/>
      <c r="AM22" s="1566"/>
      <c r="AN22" s="1567"/>
      <c r="AO22" s="1567"/>
      <c r="AP22" s="1567"/>
      <c r="AQ22" s="1568"/>
      <c r="AR22" s="1571"/>
      <c r="AS22" s="1572">
        <f>+AY22/(1+AY23)</f>
        <v>449.88962472406183</v>
      </c>
      <c r="AT22" s="1573">
        <f>+AZ22/(1+AZ23)</f>
        <v>473.44368843302527</v>
      </c>
      <c r="AU22" s="1573">
        <f>+BA22/(1+BA23)</f>
        <v>439.26738452249168</v>
      </c>
      <c r="AV22" s="1573">
        <f>+BB22/(1+BB23)</f>
        <v>461.68272779872706</v>
      </c>
      <c r="AW22" s="1568">
        <f>+SUM(AS22:AV22)</f>
        <v>1824.2834254783058</v>
      </c>
      <c r="AX22" s="1571"/>
      <c r="AY22" s="1566">
        <v>407.6</v>
      </c>
      <c r="AZ22" s="1567">
        <v>466.2</v>
      </c>
      <c r="BA22" s="1567">
        <v>436.5</v>
      </c>
      <c r="BB22" s="1567">
        <v>462.8</v>
      </c>
      <c r="BC22" s="1568">
        <f>+SUM(AY22:BB22)</f>
        <v>1773.1</v>
      </c>
      <c r="BD22" s="1574"/>
      <c r="BE22" s="1566">
        <v>437.4</v>
      </c>
      <c r="BF22" s="1567">
        <f>478+1.6</f>
        <v>479.6</v>
      </c>
      <c r="BG22" s="1567">
        <v>443.6</v>
      </c>
      <c r="BH22" s="1567">
        <v>484.6</v>
      </c>
      <c r="BI22" s="1568">
        <f>+SUM(BE22:BH22)</f>
        <v>1845.1999999999998</v>
      </c>
      <c r="BJ22" s="1574"/>
      <c r="BK22" s="1575">
        <v>390.7</v>
      </c>
      <c r="BL22" s="1567">
        <v>440.1</v>
      </c>
      <c r="BM22" s="1567"/>
      <c r="BN22" s="1573"/>
      <c r="BO22" s="1568"/>
      <c r="BP22" s="1574"/>
      <c r="BQ22" s="1572"/>
      <c r="BR22" s="1573"/>
      <c r="BS22" s="1573"/>
      <c r="BT22" s="1573"/>
      <c r="BU22" s="1568"/>
      <c r="BV22" s="1574"/>
      <c r="BW22" s="1572"/>
      <c r="BX22" s="1573"/>
      <c r="BY22" s="1573"/>
      <c r="BZ22" s="1573"/>
      <c r="CA22" s="1568"/>
      <c r="CB22" s="1574"/>
      <c r="CC22" s="1572"/>
      <c r="CD22" s="1573"/>
      <c r="CE22" s="1573"/>
      <c r="CF22" s="1573"/>
      <c r="CG22" s="1568"/>
      <c r="CH22" s="1574"/>
      <c r="CI22" s="1572"/>
      <c r="CJ22" s="1573"/>
      <c r="CK22" s="1573"/>
      <c r="CL22" s="1573"/>
      <c r="CM22" s="1568"/>
      <c r="CN22" s="62"/>
      <c r="CP22" s="379"/>
    </row>
    <row r="23" spans="1:100" s="31" customFormat="1" outlineLevel="1" x14ac:dyDescent="0.2">
      <c r="B23" s="1576" t="s">
        <v>540</v>
      </c>
      <c r="C23" s="1577"/>
      <c r="D23" s="1590"/>
      <c r="E23" s="1590"/>
      <c r="F23" s="1590"/>
      <c r="G23" s="1579"/>
      <c r="H23" s="1580"/>
      <c r="I23" s="1577"/>
      <c r="J23" s="1590"/>
      <c r="K23" s="1590"/>
      <c r="L23" s="1590"/>
      <c r="M23" s="1579"/>
      <c r="N23" s="1580"/>
      <c r="O23" s="1577"/>
      <c r="P23" s="1590"/>
      <c r="Q23" s="1590"/>
      <c r="R23" s="1590"/>
      <c r="S23" s="1579"/>
      <c r="T23" s="1580"/>
      <c r="U23" s="1577"/>
      <c r="V23" s="1590"/>
      <c r="W23" s="1590"/>
      <c r="X23" s="1590"/>
      <c r="Y23" s="1579"/>
      <c r="Z23" s="1580"/>
      <c r="AA23" s="1577"/>
      <c r="AB23" s="1589"/>
      <c r="AC23" s="1589"/>
      <c r="AD23" s="1589"/>
      <c r="AE23" s="1579"/>
      <c r="AF23" s="1580"/>
      <c r="AG23" s="1582"/>
      <c r="AH23" s="1589"/>
      <c r="AI23" s="1589"/>
      <c r="AJ23" s="1589"/>
      <c r="AK23" s="1579"/>
      <c r="AL23" s="1580"/>
      <c r="AM23" s="1582"/>
      <c r="AN23" s="1589"/>
      <c r="AO23" s="1589"/>
      <c r="AP23" s="1589"/>
      <c r="AQ23" s="1579"/>
      <c r="AR23" s="1580"/>
      <c r="AS23" s="1582"/>
      <c r="AT23" s="1589"/>
      <c r="AU23" s="1589"/>
      <c r="AV23" s="1589"/>
      <c r="AW23" s="1579"/>
      <c r="AX23" s="1580"/>
      <c r="AY23" s="1582">
        <v>-9.4E-2</v>
      </c>
      <c r="AZ23" s="1589">
        <v>-1.5299999999999999E-2</v>
      </c>
      <c r="BA23" s="1589">
        <v>-6.3E-3</v>
      </c>
      <c r="BB23" s="1589">
        <v>2.4199999999999998E-3</v>
      </c>
      <c r="BC23" s="1579">
        <f>IF(ISERROR(BC22/AW22-1),"NM",BC22/AW22-1)</f>
        <v>-2.8056728885143656E-2</v>
      </c>
      <c r="BD23" s="1580"/>
      <c r="BE23" s="1577">
        <f>+BE22/AY22-1</f>
        <v>7.3110893032384494E-2</v>
      </c>
      <c r="BF23" s="1590">
        <f>+BF22/AZ22-1</f>
        <v>2.8743028743028809E-2</v>
      </c>
      <c r="BG23" s="1590">
        <f>+BG22/BA22-1</f>
        <v>1.6265750286368785E-2</v>
      </c>
      <c r="BH23" s="1590">
        <f>+BH22/BB22-1</f>
        <v>4.7104580812445951E-2</v>
      </c>
      <c r="BI23" s="1579">
        <f>IF(ISERROR(BI22/BC22-1),"NM",BI22/BC22-1)</f>
        <v>4.0663245163837347E-2</v>
      </c>
      <c r="BJ23" s="1580"/>
      <c r="BK23" s="1583">
        <v>-9.4E-2</v>
      </c>
      <c r="BL23" s="1589">
        <v>-6.9000000000000006E-2</v>
      </c>
      <c r="BM23" s="1590"/>
      <c r="BN23" s="1590"/>
      <c r="BO23" s="1579"/>
      <c r="BP23" s="1580"/>
      <c r="BQ23" s="1577"/>
      <c r="BR23" s="1590"/>
      <c r="BS23" s="1590"/>
      <c r="BT23" s="1590"/>
      <c r="BU23" s="1579"/>
      <c r="BV23" s="1580"/>
      <c r="BW23" s="1577"/>
      <c r="BX23" s="1590"/>
      <c r="BY23" s="1590"/>
      <c r="BZ23" s="1590"/>
      <c r="CA23" s="1579"/>
      <c r="CB23" s="1580"/>
      <c r="CC23" s="1577"/>
      <c r="CD23" s="1590"/>
      <c r="CE23" s="1590"/>
      <c r="CF23" s="1590"/>
      <c r="CG23" s="1579"/>
      <c r="CH23" s="1580"/>
      <c r="CI23" s="1577"/>
      <c r="CJ23" s="1590"/>
      <c r="CK23" s="1590"/>
      <c r="CL23" s="1590"/>
      <c r="CM23" s="1579"/>
      <c r="CN23" s="65"/>
      <c r="CQ23" s="1560"/>
      <c r="CR23" s="1560"/>
      <c r="CS23" s="1560"/>
      <c r="CT23" s="1560"/>
      <c r="CU23" s="1560"/>
      <c r="CV23" s="1560"/>
    </row>
    <row r="24" spans="1:100" s="31" customFormat="1" outlineLevel="1" x14ac:dyDescent="0.2">
      <c r="B24" s="1576" t="s">
        <v>588</v>
      </c>
      <c r="C24" s="1584"/>
      <c r="D24" s="1597"/>
      <c r="E24" s="1597"/>
      <c r="F24" s="1586"/>
      <c r="G24" s="1579"/>
      <c r="H24" s="1587"/>
      <c r="I24" s="1584"/>
      <c r="J24" s="1597"/>
      <c r="K24" s="1597"/>
      <c r="L24" s="1586"/>
      <c r="M24" s="1579"/>
      <c r="N24" s="1587"/>
      <c r="O24" s="1584"/>
      <c r="P24" s="1597"/>
      <c r="Q24" s="1597"/>
      <c r="R24" s="1586"/>
      <c r="S24" s="1579"/>
      <c r="T24" s="1587"/>
      <c r="U24" s="1584"/>
      <c r="V24" s="1597"/>
      <c r="W24" s="1597"/>
      <c r="X24" s="1586"/>
      <c r="Y24" s="1579"/>
      <c r="Z24" s="1587"/>
      <c r="AA24" s="1584"/>
      <c r="AB24" s="1597"/>
      <c r="AC24" s="1597"/>
      <c r="AD24" s="1586"/>
      <c r="AE24" s="1579"/>
      <c r="AF24" s="1580"/>
      <c r="AG24" s="1584"/>
      <c r="AH24" s="1597"/>
      <c r="AI24" s="1597"/>
      <c r="AJ24" s="1586"/>
      <c r="AK24" s="1579"/>
      <c r="AL24" s="1580"/>
      <c r="AM24" s="1584"/>
      <c r="AN24" s="1597"/>
      <c r="AO24" s="1597"/>
      <c r="AP24" s="1586"/>
      <c r="AQ24" s="1579"/>
      <c r="AR24" s="1580"/>
      <c r="AS24" s="1584"/>
      <c r="AT24" s="1597"/>
      <c r="AU24" s="1597"/>
      <c r="AV24" s="1586"/>
      <c r="AW24" s="1588"/>
      <c r="AX24" s="1580"/>
      <c r="AY24" s="1584">
        <v>8.0000000000000002E-3</v>
      </c>
      <c r="AZ24" s="1597">
        <v>0.104</v>
      </c>
      <c r="BA24" s="1597">
        <v>0.10299999999999999</v>
      </c>
      <c r="BB24" s="1586">
        <v>7.6999999999999999E-2</v>
      </c>
      <c r="BC24" s="1579">
        <f>+SUMPRODUCT(AY24:BB24,AS$22:AV$22)/AW$22</f>
        <v>7.3251430876816279E-2</v>
      </c>
      <c r="BD24" s="1580"/>
      <c r="BE24" s="1584">
        <v>9.6000000000000002E-2</v>
      </c>
      <c r="BF24" s="1597">
        <v>3.3000000000000002E-2</v>
      </c>
      <c r="BG24" s="1597">
        <v>8.9999999999999993E-3</v>
      </c>
      <c r="BH24" s="1597">
        <v>5.1999999999999998E-2</v>
      </c>
      <c r="BI24" s="1579">
        <f>+SUMPRODUCT(BE24:BH24,AY$22:BB$22)/BC$22</f>
        <v>4.6533359652585871E-2</v>
      </c>
      <c r="BJ24" s="1580"/>
      <c r="BK24" s="1584">
        <v>-8.1000000000000003E-2</v>
      </c>
      <c r="BL24" s="1597">
        <v>-5.6000000000000001E-2</v>
      </c>
      <c r="BM24" s="1597"/>
      <c r="BN24" s="1590"/>
      <c r="BO24" s="1579"/>
      <c r="BP24" s="1580"/>
      <c r="BQ24" s="1577"/>
      <c r="BR24" s="1590"/>
      <c r="BS24" s="1590"/>
      <c r="BT24" s="1590"/>
      <c r="BU24" s="1579"/>
      <c r="BV24" s="1580"/>
      <c r="BW24" s="1577"/>
      <c r="BX24" s="1590"/>
      <c r="BY24" s="1590"/>
      <c r="BZ24" s="1590"/>
      <c r="CA24" s="1579"/>
      <c r="CB24" s="1580"/>
      <c r="CC24" s="1577"/>
      <c r="CD24" s="1590"/>
      <c r="CE24" s="1590"/>
      <c r="CF24" s="1590"/>
      <c r="CG24" s="1579"/>
      <c r="CH24" s="1580"/>
      <c r="CI24" s="1577"/>
      <c r="CJ24" s="1590"/>
      <c r="CK24" s="1590"/>
      <c r="CL24" s="1590"/>
      <c r="CM24" s="1579"/>
      <c r="CN24" s="65"/>
      <c r="CQ24" s="1560"/>
      <c r="CR24" s="1560"/>
      <c r="CS24" s="1560"/>
      <c r="CT24" s="1560"/>
      <c r="CU24" s="1560"/>
      <c r="CV24" s="1560"/>
    </row>
    <row r="25" spans="1:100" s="31" customFormat="1" outlineLevel="1" x14ac:dyDescent="0.2">
      <c r="B25" s="1576" t="s">
        <v>586</v>
      </c>
      <c r="C25" s="1577"/>
      <c r="D25" s="1578"/>
      <c r="E25" s="1578"/>
      <c r="F25" s="1578"/>
      <c r="G25" s="1579"/>
      <c r="H25" s="1580"/>
      <c r="I25" s="1577"/>
      <c r="J25" s="1578"/>
      <c r="K25" s="1578"/>
      <c r="L25" s="1578"/>
      <c r="M25" s="1579"/>
      <c r="N25" s="1580"/>
      <c r="O25" s="1577"/>
      <c r="P25" s="1578"/>
      <c r="Q25" s="1578"/>
      <c r="R25" s="1578"/>
      <c r="S25" s="1579"/>
      <c r="T25" s="1580"/>
      <c r="U25" s="1577"/>
      <c r="V25" s="1578"/>
      <c r="W25" s="1578"/>
      <c r="X25" s="1578"/>
      <c r="Y25" s="1579"/>
      <c r="Z25" s="1580"/>
      <c r="AA25" s="1577"/>
      <c r="AB25" s="1578"/>
      <c r="AC25" s="1578"/>
      <c r="AD25" s="1578"/>
      <c r="AE25" s="1579"/>
      <c r="AF25" s="1580"/>
      <c r="AG25" s="1577"/>
      <c r="AH25" s="1578"/>
      <c r="AI25" s="1578"/>
      <c r="AJ25" s="1578"/>
      <c r="AK25" s="1579"/>
      <c r="AL25" s="1580"/>
      <c r="AM25" s="1577"/>
      <c r="AN25" s="1578"/>
      <c r="AO25" s="1578"/>
      <c r="AP25" s="1578"/>
      <c r="AQ25" s="1579"/>
      <c r="AR25" s="1580"/>
      <c r="AS25" s="1577"/>
      <c r="AT25" s="1578"/>
      <c r="AU25" s="1578"/>
      <c r="AV25" s="1578"/>
      <c r="AW25" s="1579"/>
      <c r="AX25" s="1580"/>
      <c r="AY25" s="1577">
        <f>AY23-AY24</f>
        <v>-0.10200000000000001</v>
      </c>
      <c r="AZ25" s="1578">
        <f>AZ23-AZ24</f>
        <v>-0.11929999999999999</v>
      </c>
      <c r="BA25" s="1578">
        <f>BA23-BA24</f>
        <v>-0.10929999999999999</v>
      </c>
      <c r="BB25" s="1578">
        <f>BB23-BB24</f>
        <v>-7.4579999999999994E-2</v>
      </c>
      <c r="BC25" s="1579">
        <f>+SUMPRODUCT(AY25:BB25,AS$22:AV$22)/AW$22</f>
        <v>-0.10130815976195987</v>
      </c>
      <c r="BD25" s="1580"/>
      <c r="BE25" s="1582">
        <v>-2.3E-2</v>
      </c>
      <c r="BF25" s="1589">
        <v>-4.0000000000000001E-3</v>
      </c>
      <c r="BG25" s="1589">
        <v>7.0000000000000001E-3</v>
      </c>
      <c r="BH25" s="1589">
        <v>5.0000000000000001E-3</v>
      </c>
      <c r="BI25" s="1579">
        <f>+SUMPRODUCT(BE25:BH25,AY$22:BB$22)/BC$22</f>
        <v>-3.3106423777564723E-3</v>
      </c>
      <c r="BJ25" s="1580"/>
      <c r="BK25" s="1577">
        <f>BK23-BK24</f>
        <v>-1.2999999999999998E-2</v>
      </c>
      <c r="BL25" s="1590">
        <f>BL23-BL24</f>
        <v>-1.3000000000000005E-2</v>
      </c>
      <c r="BM25" s="1590"/>
      <c r="BN25" s="1578"/>
      <c r="BO25" s="1579"/>
      <c r="BP25" s="1580"/>
      <c r="BQ25" s="1577"/>
      <c r="BR25" s="1578"/>
      <c r="BS25" s="1578"/>
      <c r="BT25" s="1578"/>
      <c r="BU25" s="1579"/>
      <c r="BV25" s="1580"/>
      <c r="BW25" s="1577"/>
      <c r="BX25" s="1578"/>
      <c r="BY25" s="1578"/>
      <c r="BZ25" s="1578"/>
      <c r="CA25" s="1579"/>
      <c r="CB25" s="1580"/>
      <c r="CC25" s="1577"/>
      <c r="CD25" s="1578"/>
      <c r="CE25" s="1578"/>
      <c r="CF25" s="1578"/>
      <c r="CG25" s="1579"/>
      <c r="CH25" s="1580"/>
      <c r="CI25" s="1577"/>
      <c r="CJ25" s="1578"/>
      <c r="CK25" s="1578"/>
      <c r="CL25" s="1578"/>
      <c r="CM25" s="1579"/>
      <c r="CN25" s="65"/>
      <c r="CQ25" s="1560"/>
      <c r="CR25" s="1560"/>
      <c r="CS25" s="1560"/>
      <c r="CT25" s="1560"/>
      <c r="CU25" s="1560"/>
      <c r="CV25" s="1560"/>
    </row>
    <row r="26" spans="1:100" s="31" customFormat="1" outlineLevel="1" x14ac:dyDescent="0.2">
      <c r="B26" s="1576" t="s">
        <v>541</v>
      </c>
      <c r="C26" s="1584"/>
      <c r="D26" s="1585"/>
      <c r="E26" s="1585"/>
      <c r="F26" s="1586"/>
      <c r="G26" s="1588"/>
      <c r="H26" s="1580"/>
      <c r="I26" s="1584"/>
      <c r="J26" s="1585"/>
      <c r="K26" s="1585"/>
      <c r="L26" s="1586"/>
      <c r="M26" s="1588"/>
      <c r="N26" s="1580"/>
      <c r="O26" s="1584"/>
      <c r="P26" s="1585"/>
      <c r="Q26" s="1585"/>
      <c r="R26" s="1586"/>
      <c r="S26" s="1588"/>
      <c r="T26" s="1580"/>
      <c r="U26" s="1584"/>
      <c r="V26" s="1585"/>
      <c r="W26" s="1585"/>
      <c r="X26" s="1586"/>
      <c r="Y26" s="1588"/>
      <c r="Z26" s="1580"/>
      <c r="AA26" s="1584"/>
      <c r="AB26" s="1585"/>
      <c r="AC26" s="1585"/>
      <c r="AD26" s="1586"/>
      <c r="AE26" s="1588"/>
      <c r="AF26" s="1580"/>
      <c r="AG26" s="1584"/>
      <c r="AH26" s="1585"/>
      <c r="AI26" s="1585"/>
      <c r="AJ26" s="1586"/>
      <c r="AK26" s="1588"/>
      <c r="AL26" s="1580"/>
      <c r="AM26" s="1584"/>
      <c r="AN26" s="1585"/>
      <c r="AO26" s="1585"/>
      <c r="AP26" s="1586"/>
      <c r="AQ26" s="1588"/>
      <c r="AR26" s="1580"/>
      <c r="AS26" s="1584"/>
      <c r="AT26" s="1585"/>
      <c r="AU26" s="1585"/>
      <c r="AV26" s="1586"/>
      <c r="AW26" s="1588"/>
      <c r="AX26" s="1580"/>
      <c r="AY26" s="1584">
        <v>0</v>
      </c>
      <c r="AZ26" s="1585">
        <v>0</v>
      </c>
      <c r="BA26" s="1585">
        <v>2.5999999999999999E-2</v>
      </c>
      <c r="BB26" s="1586">
        <v>2.1999999999999999E-2</v>
      </c>
      <c r="BC26" s="1579">
        <f>+SUMPRODUCT(AY26:BB26,AS$22:AV$22)/AW$22</f>
        <v>1.1828190569400852E-2</v>
      </c>
      <c r="BD26" s="1580"/>
      <c r="BE26" s="1577">
        <f>-(BE27-BE25-BE23)</f>
        <v>-1.7889106967615503E-2</v>
      </c>
      <c r="BF26" s="1590">
        <f>-(BF27-BF25-BF23)</f>
        <v>1.6743028743028809E-2</v>
      </c>
      <c r="BG26" s="1590">
        <f>-(BG27-BG25-BG23)</f>
        <v>2.1265750286368786E-2</v>
      </c>
      <c r="BH26" s="1590">
        <f>-(BH27-BH25-BH23)</f>
        <v>-1.2895419187554054E-2</v>
      </c>
      <c r="BI26" s="1579">
        <f>+SUMPRODUCT(BE26:BH26,AY$22:BB$22)/BC$22</f>
        <v>2.1592126783598845E-3</v>
      </c>
      <c r="BJ26" s="1580"/>
      <c r="BK26" s="1583">
        <f>4.6%</f>
        <v>4.5999999999999999E-2</v>
      </c>
      <c r="BL26" s="1589">
        <v>4.3999999999999997E-2</v>
      </c>
      <c r="BM26" s="1589"/>
      <c r="BN26" s="1578"/>
      <c r="BO26" s="1579"/>
      <c r="BP26" s="1580"/>
      <c r="BQ26" s="1591"/>
      <c r="BR26" s="1592"/>
      <c r="BS26" s="1592"/>
      <c r="BT26" s="1592"/>
      <c r="BU26" s="1579"/>
      <c r="BV26" s="1580"/>
      <c r="BW26" s="1591"/>
      <c r="BX26" s="1592"/>
      <c r="BY26" s="1592"/>
      <c r="BZ26" s="1592"/>
      <c r="CA26" s="1579"/>
      <c r="CB26" s="1580"/>
      <c r="CC26" s="1591"/>
      <c r="CD26" s="1592"/>
      <c r="CE26" s="1592"/>
      <c r="CF26" s="1592"/>
      <c r="CG26" s="1579"/>
      <c r="CH26" s="1580"/>
      <c r="CI26" s="1591"/>
      <c r="CJ26" s="1592"/>
      <c r="CK26" s="1592"/>
      <c r="CL26" s="1592"/>
      <c r="CM26" s="1579"/>
      <c r="CN26" s="65"/>
      <c r="CQ26" s="1560"/>
      <c r="CR26" s="1560"/>
      <c r="CS26" s="1560"/>
      <c r="CT26" s="1560"/>
      <c r="CU26" s="1560"/>
      <c r="CV26" s="1560"/>
    </row>
    <row r="27" spans="1:100" s="31" customFormat="1" outlineLevel="1" x14ac:dyDescent="0.2">
      <c r="B27" s="1593" t="s">
        <v>589</v>
      </c>
      <c r="C27" s="1562"/>
      <c r="D27" s="1563"/>
      <c r="E27" s="1563"/>
      <c r="F27" s="1563"/>
      <c r="G27" s="1564"/>
      <c r="H27" s="1565"/>
      <c r="I27" s="1562"/>
      <c r="J27" s="1563"/>
      <c r="K27" s="1563"/>
      <c r="L27" s="1563"/>
      <c r="M27" s="1564"/>
      <c r="N27" s="1565"/>
      <c r="O27" s="1562"/>
      <c r="P27" s="1563"/>
      <c r="Q27" s="1563"/>
      <c r="R27" s="1563"/>
      <c r="S27" s="1564"/>
      <c r="T27" s="1565"/>
      <c r="U27" s="1562"/>
      <c r="V27" s="1563"/>
      <c r="W27" s="1563"/>
      <c r="X27" s="1563"/>
      <c r="Y27" s="1564"/>
      <c r="Z27" s="1565"/>
      <c r="AA27" s="1562"/>
      <c r="AB27" s="1563"/>
      <c r="AC27" s="1563"/>
      <c r="AD27" s="1563"/>
      <c r="AE27" s="1564"/>
      <c r="AF27" s="1565"/>
      <c r="AG27" s="1562"/>
      <c r="AH27" s="1563"/>
      <c r="AI27" s="1563"/>
      <c r="AJ27" s="1563"/>
      <c r="AK27" s="1564"/>
      <c r="AL27" s="1565"/>
      <c r="AM27" s="1562"/>
      <c r="AN27" s="1563"/>
      <c r="AO27" s="1563"/>
      <c r="AP27" s="1563"/>
      <c r="AQ27" s="1564"/>
      <c r="AR27" s="1565"/>
      <c r="AS27" s="1562"/>
      <c r="AT27" s="1563"/>
      <c r="AU27" s="1563"/>
      <c r="AV27" s="1563"/>
      <c r="AW27" s="1564"/>
      <c r="AX27" s="1565"/>
      <c r="AY27" s="1562">
        <f>+AY24-AY26</f>
        <v>8.0000000000000002E-3</v>
      </c>
      <c r="AZ27" s="1563">
        <f>+AZ24-AZ26</f>
        <v>0.104</v>
      </c>
      <c r="BA27" s="1563">
        <f>+BA24-BA26</f>
        <v>7.6999999999999999E-2</v>
      </c>
      <c r="BB27" s="1563">
        <f>+BB24-BB26</f>
        <v>5.5E-2</v>
      </c>
      <c r="BC27" s="1564">
        <f>+SUMPRODUCT(AY27:BB27,AS$22:AV$22)/AW$22</f>
        <v>6.1423240307415423E-2</v>
      </c>
      <c r="BD27" s="1565"/>
      <c r="BE27" s="1594">
        <v>6.8000000000000005E-2</v>
      </c>
      <c r="BF27" s="1595">
        <v>8.0000000000000002E-3</v>
      </c>
      <c r="BG27" s="1595">
        <v>2E-3</v>
      </c>
      <c r="BH27" s="1595">
        <f>0+6.5%</f>
        <v>6.5000000000000002E-2</v>
      </c>
      <c r="BI27" s="1564">
        <f>+SUMPRODUCT(BE27:BH27,AY$22:BB$22)/BC$22</f>
        <v>3.5193390107720941E-2</v>
      </c>
      <c r="BJ27" s="1565"/>
      <c r="BK27" s="1562">
        <f>+BK24-BK26+40/BE22</f>
        <v>-3.5550525834476446E-2</v>
      </c>
      <c r="BL27" s="1563">
        <f>+BL24-BL26+19/BF22</f>
        <v>-6.0383653044203511E-2</v>
      </c>
      <c r="BM27" s="1563"/>
      <c r="BN27" s="1563"/>
      <c r="BO27" s="1564"/>
      <c r="BP27" s="1565"/>
      <c r="BQ27" s="1562"/>
      <c r="BR27" s="1563"/>
      <c r="BS27" s="1563"/>
      <c r="BT27" s="1563"/>
      <c r="BU27" s="1564"/>
      <c r="BV27" s="1565"/>
      <c r="BW27" s="1562"/>
      <c r="BX27" s="1563"/>
      <c r="BY27" s="1563"/>
      <c r="BZ27" s="1563"/>
      <c r="CA27" s="1564"/>
      <c r="CB27" s="1565"/>
      <c r="CC27" s="1562"/>
      <c r="CD27" s="1563"/>
      <c r="CE27" s="1563"/>
      <c r="CF27" s="1563"/>
      <c r="CG27" s="1564"/>
      <c r="CH27" s="1565"/>
      <c r="CI27" s="1562"/>
      <c r="CJ27" s="1563"/>
      <c r="CK27" s="1563"/>
      <c r="CL27" s="1563"/>
      <c r="CM27" s="1564"/>
      <c r="CN27" s="65"/>
      <c r="CP27" s="379"/>
      <c r="CQ27" s="1560"/>
      <c r="CR27" s="1560"/>
      <c r="CS27" s="1560"/>
      <c r="CT27" s="1560"/>
      <c r="CU27" s="1560"/>
      <c r="CV27" s="1560"/>
    </row>
    <row r="28" spans="1:100" s="31" customFormat="1" outlineLevel="1" x14ac:dyDescent="0.2">
      <c r="B28" s="1576"/>
      <c r="C28" s="1584"/>
      <c r="D28" s="1585"/>
      <c r="E28" s="1585"/>
      <c r="F28" s="1586"/>
      <c r="G28" s="1579"/>
      <c r="H28" s="1587"/>
      <c r="I28" s="1584"/>
      <c r="J28" s="1585"/>
      <c r="K28" s="1585"/>
      <c r="L28" s="1586"/>
      <c r="M28" s="1579"/>
      <c r="N28" s="1587"/>
      <c r="O28" s="1584"/>
      <c r="P28" s="1585"/>
      <c r="Q28" s="1585"/>
      <c r="R28" s="1586"/>
      <c r="S28" s="1579"/>
      <c r="T28" s="1587"/>
      <c r="U28" s="1584"/>
      <c r="V28" s="1585"/>
      <c r="W28" s="1585"/>
      <c r="X28" s="1586"/>
      <c r="Y28" s="1579"/>
      <c r="Z28" s="1587"/>
      <c r="AA28" s="1584"/>
      <c r="AB28" s="1585"/>
      <c r="AC28" s="1585"/>
      <c r="AD28" s="1586"/>
      <c r="AE28" s="1579"/>
      <c r="AF28" s="1580"/>
      <c r="AG28" s="1584"/>
      <c r="AH28" s="1585"/>
      <c r="AI28" s="1585"/>
      <c r="AJ28" s="1586"/>
      <c r="AK28" s="1579"/>
      <c r="AL28" s="1580"/>
      <c r="AM28" s="1584"/>
      <c r="AN28" s="1585"/>
      <c r="AO28" s="1585"/>
      <c r="AP28" s="1586"/>
      <c r="AQ28" s="1579"/>
      <c r="AR28" s="1580"/>
      <c r="AS28" s="1584"/>
      <c r="AT28" s="1585"/>
      <c r="AU28" s="1585"/>
      <c r="AV28" s="1586"/>
      <c r="AW28" s="1588"/>
      <c r="AX28" s="1580"/>
      <c r="AY28" s="1584"/>
      <c r="AZ28" s="1585"/>
      <c r="BA28" s="1585"/>
      <c r="BB28" s="1586"/>
      <c r="BC28" s="1579"/>
      <c r="BD28" s="1580"/>
      <c r="BE28" s="1591"/>
      <c r="BF28" s="1585"/>
      <c r="BG28" s="1585"/>
      <c r="BH28" s="1585"/>
      <c r="BI28" s="1600"/>
      <c r="BJ28" s="1580"/>
      <c r="BK28" s="1591"/>
      <c r="BL28" s="1585"/>
      <c r="BM28" s="1585"/>
      <c r="BN28" s="1596"/>
      <c r="BO28" s="1579"/>
      <c r="BP28" s="1580"/>
      <c r="BQ28" s="1591"/>
      <c r="BR28" s="1592"/>
      <c r="BS28" s="1592"/>
      <c r="BT28" s="1596"/>
      <c r="BU28" s="1579"/>
      <c r="BV28" s="1580"/>
      <c r="BW28" s="1591"/>
      <c r="BX28" s="1592"/>
      <c r="BY28" s="1592"/>
      <c r="BZ28" s="1596"/>
      <c r="CA28" s="1579"/>
      <c r="CB28" s="1580"/>
      <c r="CC28" s="1591"/>
      <c r="CD28" s="1592"/>
      <c r="CE28" s="1592"/>
      <c r="CF28" s="1596"/>
      <c r="CG28" s="1579"/>
      <c r="CH28" s="1580"/>
      <c r="CI28" s="1591"/>
      <c r="CJ28" s="1592"/>
      <c r="CK28" s="1592"/>
      <c r="CL28" s="1596"/>
      <c r="CM28" s="1579"/>
      <c r="CN28" s="65"/>
      <c r="CP28" s="379"/>
      <c r="CQ28" s="1560"/>
      <c r="CR28" s="1560"/>
      <c r="CS28" s="1560"/>
      <c r="CT28" s="1560"/>
      <c r="CU28" s="1560"/>
      <c r="CV28" s="1560"/>
    </row>
    <row r="29" spans="1:100" s="1560" customFormat="1" ht="11.25" customHeight="1" outlineLevel="1" x14ac:dyDescent="0.2">
      <c r="A29" s="27"/>
      <c r="B29" s="1561" t="s">
        <v>765</v>
      </c>
      <c r="C29" s="1566"/>
      <c r="D29" s="1567"/>
      <c r="E29" s="1567"/>
      <c r="F29" s="1567"/>
      <c r="G29" s="1568"/>
      <c r="H29" s="1567"/>
      <c r="I29" s="1566"/>
      <c r="J29" s="1567"/>
      <c r="K29" s="1567"/>
      <c r="L29" s="1567"/>
      <c r="M29" s="1568"/>
      <c r="N29" s="1569"/>
      <c r="O29" s="1566"/>
      <c r="P29" s="1567"/>
      <c r="Q29" s="1567"/>
      <c r="R29" s="1567"/>
      <c r="S29" s="1568"/>
      <c r="T29" s="1570"/>
      <c r="U29" s="1566"/>
      <c r="V29" s="1567"/>
      <c r="W29" s="1567"/>
      <c r="X29" s="1567"/>
      <c r="Y29" s="1568"/>
      <c r="Z29" s="1570"/>
      <c r="AA29" s="1566"/>
      <c r="AB29" s="1567"/>
      <c r="AC29" s="1567"/>
      <c r="AD29" s="1567"/>
      <c r="AE29" s="1568"/>
      <c r="AF29" s="1571"/>
      <c r="AG29" s="1566"/>
      <c r="AH29" s="1567"/>
      <c r="AI29" s="1567"/>
      <c r="AJ29" s="1567"/>
      <c r="AK29" s="1568"/>
      <c r="AL29" s="1571"/>
      <c r="AM29" s="1566"/>
      <c r="AN29" s="1567"/>
      <c r="AO29" s="1567"/>
      <c r="AP29" s="1567"/>
      <c r="AQ29" s="1568"/>
      <c r="AR29" s="1571"/>
      <c r="AS29" s="1572">
        <f>+AY29/(1+AY30)</f>
        <v>520.57556792769333</v>
      </c>
      <c r="AT29" s="1573">
        <f>+AZ29/(1+AZ30)</f>
        <v>555.47148601323011</v>
      </c>
      <c r="AU29" s="1573">
        <f>+BA29/(1+BA30)</f>
        <v>531.48617302162495</v>
      </c>
      <c r="AV29" s="1573">
        <f>+BB29/(1+BB30)</f>
        <v>521.56770308783507</v>
      </c>
      <c r="AW29" s="1568">
        <f>+SUM(AS29:AV29)</f>
        <v>2129.1009300503833</v>
      </c>
      <c r="AX29" s="1571"/>
      <c r="AY29" s="1566">
        <v>480.7</v>
      </c>
      <c r="AZ29" s="1567">
        <v>513.9</v>
      </c>
      <c r="BA29" s="1567">
        <v>497.2</v>
      </c>
      <c r="BB29" s="1567">
        <v>486.8</v>
      </c>
      <c r="BC29" s="1568">
        <f>+SUM(AY29:BB29)</f>
        <v>1978.6</v>
      </c>
      <c r="BD29" s="1574"/>
      <c r="BE29" s="1566">
        <v>486.2</v>
      </c>
      <c r="BF29" s="1567">
        <v>526.70000000000005</v>
      </c>
      <c r="BG29" s="1567">
        <v>497.2</v>
      </c>
      <c r="BH29" s="1567">
        <v>499.5</v>
      </c>
      <c r="BI29" s="1568">
        <f>+SUM(BE29:BH29)</f>
        <v>2009.6000000000001</v>
      </c>
      <c r="BJ29" s="1574"/>
      <c r="BK29" s="1575">
        <v>500.2</v>
      </c>
      <c r="BL29" s="1567">
        <v>544.4</v>
      </c>
      <c r="BM29" s="1567"/>
      <c r="BN29" s="1573"/>
      <c r="BO29" s="1568"/>
      <c r="BP29" s="1574"/>
      <c r="BQ29" s="1572"/>
      <c r="BR29" s="1573"/>
      <c r="BS29" s="1573"/>
      <c r="BT29" s="1573"/>
      <c r="BU29" s="1568"/>
      <c r="BV29" s="1574"/>
      <c r="BW29" s="1572"/>
      <c r="BX29" s="1573"/>
      <c r="BY29" s="1573"/>
      <c r="BZ29" s="1573"/>
      <c r="CA29" s="1568"/>
      <c r="CB29" s="1574"/>
      <c r="CC29" s="1572"/>
      <c r="CD29" s="1573"/>
      <c r="CE29" s="1573"/>
      <c r="CF29" s="1573"/>
      <c r="CG29" s="1568"/>
      <c r="CH29" s="1574"/>
      <c r="CI29" s="1572"/>
      <c r="CJ29" s="1573"/>
      <c r="CK29" s="1573"/>
      <c r="CL29" s="1573"/>
      <c r="CM29" s="1568"/>
      <c r="CN29" s="62"/>
      <c r="CP29" s="379"/>
    </row>
    <row r="30" spans="1:100" s="31" customFormat="1" outlineLevel="1" x14ac:dyDescent="0.2">
      <c r="B30" s="1576" t="s">
        <v>540</v>
      </c>
      <c r="C30" s="1577"/>
      <c r="D30" s="1578"/>
      <c r="E30" s="1578"/>
      <c r="F30" s="1578"/>
      <c r="G30" s="1579"/>
      <c r="H30" s="1580"/>
      <c r="I30" s="1577"/>
      <c r="J30" s="1578"/>
      <c r="K30" s="1578"/>
      <c r="L30" s="1578"/>
      <c r="M30" s="1579"/>
      <c r="N30" s="1580"/>
      <c r="O30" s="1577"/>
      <c r="P30" s="1578"/>
      <c r="Q30" s="1578"/>
      <c r="R30" s="1578"/>
      <c r="S30" s="1579"/>
      <c r="T30" s="1580"/>
      <c r="U30" s="1577"/>
      <c r="V30" s="1578"/>
      <c r="W30" s="1578"/>
      <c r="X30" s="1578"/>
      <c r="Y30" s="1579"/>
      <c r="Z30" s="1580"/>
      <c r="AA30" s="1577"/>
      <c r="AB30" s="1581"/>
      <c r="AC30" s="1581"/>
      <c r="AD30" s="1581"/>
      <c r="AE30" s="1579"/>
      <c r="AF30" s="1580"/>
      <c r="AG30" s="1582"/>
      <c r="AH30" s="1581"/>
      <c r="AI30" s="1581"/>
      <c r="AJ30" s="1581"/>
      <c r="AK30" s="1579"/>
      <c r="AL30" s="1580"/>
      <c r="AM30" s="1582"/>
      <c r="AN30" s="1581"/>
      <c r="AO30" s="1581"/>
      <c r="AP30" s="1581"/>
      <c r="AQ30" s="1579"/>
      <c r="AR30" s="1580"/>
      <c r="AS30" s="1582"/>
      <c r="AT30" s="1581"/>
      <c r="AU30" s="1581"/>
      <c r="AV30" s="1581"/>
      <c r="AW30" s="1579"/>
      <c r="AX30" s="1580"/>
      <c r="AY30" s="1582">
        <v>-7.6599E-2</v>
      </c>
      <c r="AZ30" s="1581">
        <v>-7.4840000000000004E-2</v>
      </c>
      <c r="BA30" s="1581">
        <v>-6.4509999999999998E-2</v>
      </c>
      <c r="BB30" s="1581">
        <v>-6.6659999999999997E-2</v>
      </c>
      <c r="BC30" s="1579">
        <f>+SUMPRODUCT(AY30:BB30,AS$29:AV$29)/AW$29</f>
        <v>-7.0687550752618455E-2</v>
      </c>
      <c r="BD30" s="1580"/>
      <c r="BE30" s="1577">
        <f>+BE29/AY29-1</f>
        <v>1.1441647597254079E-2</v>
      </c>
      <c r="BF30" s="1590">
        <f>+BF29/AZ29-1</f>
        <v>2.4907569566063659E-2</v>
      </c>
      <c r="BG30" s="1590">
        <f>+BG29/BA29-1</f>
        <v>0</v>
      </c>
      <c r="BH30" s="1590">
        <f>+BH29/BB29-1</f>
        <v>2.6088742810189025E-2</v>
      </c>
      <c r="BI30" s="1579">
        <f>+SUMPRODUCT(BE30:BH30,AY$15:BB$15)/BC$15</f>
        <v>1.566865656638193E-2</v>
      </c>
      <c r="BJ30" s="1580"/>
      <c r="BK30" s="1583">
        <v>1.4999999999999999E-2</v>
      </c>
      <c r="BL30" s="1589">
        <v>0.02</v>
      </c>
      <c r="BM30" s="1578"/>
      <c r="BN30" s="1578"/>
      <c r="BO30" s="1579"/>
      <c r="BP30" s="1580"/>
      <c r="BQ30" s="1577"/>
      <c r="BR30" s="1578"/>
      <c r="BS30" s="1578"/>
      <c r="BT30" s="1578"/>
      <c r="BU30" s="1579"/>
      <c r="BV30" s="1580"/>
      <c r="BW30" s="1577"/>
      <c r="BX30" s="1578"/>
      <c r="BY30" s="1578"/>
      <c r="BZ30" s="1578"/>
      <c r="CA30" s="1579"/>
      <c r="CB30" s="1580"/>
      <c r="CC30" s="1577"/>
      <c r="CD30" s="1578"/>
      <c r="CE30" s="1578"/>
      <c r="CF30" s="1578"/>
      <c r="CG30" s="1579"/>
      <c r="CH30" s="1580"/>
      <c r="CI30" s="1577"/>
      <c r="CJ30" s="1578"/>
      <c r="CK30" s="1578"/>
      <c r="CL30" s="1578"/>
      <c r="CM30" s="1579"/>
      <c r="CN30" s="65"/>
      <c r="CQ30" s="1560"/>
      <c r="CR30" s="1560"/>
      <c r="CS30" s="1560"/>
      <c r="CT30" s="1560"/>
      <c r="CU30" s="1560"/>
      <c r="CV30" s="1560"/>
    </row>
    <row r="31" spans="1:100" s="31" customFormat="1" outlineLevel="1" x14ac:dyDescent="0.2">
      <c r="B31" s="1576" t="s">
        <v>588</v>
      </c>
      <c r="C31" s="1584"/>
      <c r="D31" s="1585"/>
      <c r="E31" s="1585"/>
      <c r="F31" s="1586"/>
      <c r="G31" s="1579"/>
      <c r="H31" s="1587"/>
      <c r="I31" s="1584"/>
      <c r="J31" s="1585"/>
      <c r="K31" s="1585"/>
      <c r="L31" s="1586"/>
      <c r="M31" s="1579"/>
      <c r="N31" s="1587"/>
      <c r="O31" s="1584"/>
      <c r="P31" s="1585"/>
      <c r="Q31" s="1585"/>
      <c r="R31" s="1586"/>
      <c r="S31" s="1579"/>
      <c r="T31" s="1587"/>
      <c r="U31" s="1584"/>
      <c r="V31" s="1585"/>
      <c r="W31" s="1585"/>
      <c r="X31" s="1586"/>
      <c r="Y31" s="1579"/>
      <c r="Z31" s="1587"/>
      <c r="AA31" s="1584"/>
      <c r="AB31" s="1585"/>
      <c r="AC31" s="1585"/>
      <c r="AD31" s="1586"/>
      <c r="AE31" s="1579"/>
      <c r="AF31" s="1580"/>
      <c r="AG31" s="1584"/>
      <c r="AH31" s="1585"/>
      <c r="AI31" s="1585"/>
      <c r="AJ31" s="1586"/>
      <c r="AK31" s="1579"/>
      <c r="AL31" s="1580"/>
      <c r="AM31" s="1584"/>
      <c r="AN31" s="1585"/>
      <c r="AO31" s="1585"/>
      <c r="AP31" s="1586"/>
      <c r="AQ31" s="1579"/>
      <c r="AR31" s="1580"/>
      <c r="AS31" s="1584"/>
      <c r="AT31" s="1585"/>
      <c r="AU31" s="1585"/>
      <c r="AV31" s="1586"/>
      <c r="AW31" s="1588"/>
      <c r="AX31" s="1580"/>
      <c r="AY31" s="1584">
        <v>2.1999999999999999E-2</v>
      </c>
      <c r="AZ31" s="1585">
        <v>3.6999999999999998E-2</v>
      </c>
      <c r="BA31" s="1585">
        <v>3.1E-2</v>
      </c>
      <c r="BB31" s="1586">
        <v>1.7000000000000001E-2</v>
      </c>
      <c r="BC31" s="1579">
        <f t="shared" ref="BC31:BC34" si="45">+SUMPRODUCT(AY31:BB31,AS$29:AV$29)/AW$29</f>
        <v>2.6935233075918694E-2</v>
      </c>
      <c r="BD31" s="1580"/>
      <c r="BE31" s="1584">
        <v>3.9E-2</v>
      </c>
      <c r="BF31" s="1597">
        <v>3.4000000000000002E-2</v>
      </c>
      <c r="BG31" s="1597">
        <v>0</v>
      </c>
      <c r="BH31" s="1597">
        <v>3.4000000000000002E-2</v>
      </c>
      <c r="BI31" s="1579">
        <f>+SUMPRODUCT(BE31:BH31,AY$15:BB$15)/BC$15</f>
        <v>2.6620454529560567E-2</v>
      </c>
      <c r="BJ31" s="1580"/>
      <c r="BK31" s="1584">
        <v>2.8000000000000001E-2</v>
      </c>
      <c r="BL31" s="1597">
        <v>0.03</v>
      </c>
      <c r="BM31" s="1597"/>
      <c r="BN31" s="1592"/>
      <c r="BO31" s="1579"/>
      <c r="BP31" s="1580"/>
      <c r="BQ31" s="1591"/>
      <c r="BR31" s="1592"/>
      <c r="BS31" s="1592"/>
      <c r="BT31" s="1592"/>
      <c r="BU31" s="1579"/>
      <c r="BV31" s="1580"/>
      <c r="BW31" s="1591"/>
      <c r="BX31" s="1592"/>
      <c r="BY31" s="1592"/>
      <c r="BZ31" s="1592"/>
      <c r="CA31" s="1579"/>
      <c r="CB31" s="1580"/>
      <c r="CC31" s="1591"/>
      <c r="CD31" s="1592"/>
      <c r="CE31" s="1592"/>
      <c r="CF31" s="1592"/>
      <c r="CG31" s="1579"/>
      <c r="CH31" s="1580"/>
      <c r="CI31" s="1591"/>
      <c r="CJ31" s="1592"/>
      <c r="CK31" s="1592"/>
      <c r="CL31" s="1592"/>
      <c r="CM31" s="1579"/>
      <c r="CN31" s="65"/>
      <c r="CQ31" s="1560"/>
      <c r="CR31" s="1560"/>
      <c r="CS31" s="1560"/>
      <c r="CT31" s="1560"/>
      <c r="CU31" s="1560"/>
      <c r="CV31" s="1560"/>
    </row>
    <row r="32" spans="1:100" s="31" customFormat="1" outlineLevel="1" x14ac:dyDescent="0.2">
      <c r="B32" s="1576" t="s">
        <v>586</v>
      </c>
      <c r="C32" s="1577"/>
      <c r="D32" s="1578"/>
      <c r="E32" s="1578"/>
      <c r="F32" s="1578"/>
      <c r="G32" s="1579"/>
      <c r="H32" s="1580"/>
      <c r="I32" s="1577"/>
      <c r="J32" s="1578"/>
      <c r="K32" s="1578"/>
      <c r="L32" s="1578"/>
      <c r="M32" s="1579"/>
      <c r="N32" s="1580"/>
      <c r="O32" s="1577"/>
      <c r="P32" s="1578"/>
      <c r="Q32" s="1578"/>
      <c r="R32" s="1578"/>
      <c r="S32" s="1579"/>
      <c r="T32" s="1580"/>
      <c r="U32" s="1577"/>
      <c r="V32" s="1578"/>
      <c r="W32" s="1578"/>
      <c r="X32" s="1578"/>
      <c r="Y32" s="1579"/>
      <c r="Z32" s="1580"/>
      <c r="AA32" s="1577"/>
      <c r="AB32" s="1578"/>
      <c r="AC32" s="1578"/>
      <c r="AD32" s="1578"/>
      <c r="AE32" s="1579"/>
      <c r="AF32" s="1580"/>
      <c r="AG32" s="1577"/>
      <c r="AH32" s="1578"/>
      <c r="AI32" s="1578"/>
      <c r="AJ32" s="1578"/>
      <c r="AK32" s="1579"/>
      <c r="AL32" s="1580"/>
      <c r="AM32" s="1577"/>
      <c r="AN32" s="1578"/>
      <c r="AO32" s="1578"/>
      <c r="AP32" s="1578"/>
      <c r="AQ32" s="1579"/>
      <c r="AR32" s="1580"/>
      <c r="AS32" s="1577"/>
      <c r="AT32" s="1578"/>
      <c r="AU32" s="1578"/>
      <c r="AV32" s="1578"/>
      <c r="AW32" s="1579"/>
      <c r="AX32" s="1580"/>
      <c r="AY32" s="1577">
        <f>AY30-AY31</f>
        <v>-9.8598999999999992E-2</v>
      </c>
      <c r="AZ32" s="1578">
        <f>AZ30-AZ31</f>
        <v>-0.11183999999999999</v>
      </c>
      <c r="BA32" s="1578">
        <f>BA30-BA31</f>
        <v>-9.5509999999999998E-2</v>
      </c>
      <c r="BB32" s="1578">
        <f>BB30-BB31</f>
        <v>-8.3659999999999998E-2</v>
      </c>
      <c r="BC32" s="1579">
        <f t="shared" si="45"/>
        <v>-9.7622783828537146E-2</v>
      </c>
      <c r="BD32" s="1580"/>
      <c r="BE32" s="1577">
        <f>BE30-BE31</f>
        <v>-2.7558352402745921E-2</v>
      </c>
      <c r="BF32" s="1590">
        <f>BF30-BF31</f>
        <v>-9.0924304339363438E-3</v>
      </c>
      <c r="BG32" s="1590">
        <f>BG30-BG31</f>
        <v>0</v>
      </c>
      <c r="BH32" s="1590">
        <f>BH30-BH31</f>
        <v>-7.9112571898109774E-3</v>
      </c>
      <c r="BI32" s="1579">
        <f>+SUMPRODUCT(BE32:BH32,AY$15:BB$15)/BC$15</f>
        <v>-1.0951797963178637E-2</v>
      </c>
      <c r="BJ32" s="1580"/>
      <c r="BK32" s="1577">
        <f>BK30-BK31</f>
        <v>-1.3000000000000001E-2</v>
      </c>
      <c r="BL32" s="1590">
        <f>BL30-BL31</f>
        <v>-9.9999999999999985E-3</v>
      </c>
      <c r="BM32" s="1590"/>
      <c r="BN32" s="1598"/>
      <c r="BO32" s="1579"/>
      <c r="BP32" s="1580"/>
      <c r="BQ32" s="1591"/>
      <c r="BR32" s="1592"/>
      <c r="BS32" s="1598"/>
      <c r="BT32" s="1598"/>
      <c r="BU32" s="1579"/>
      <c r="BV32" s="1580"/>
      <c r="BW32" s="1591"/>
      <c r="BX32" s="1592"/>
      <c r="BY32" s="1598"/>
      <c r="BZ32" s="1598"/>
      <c r="CA32" s="1579"/>
      <c r="CB32" s="1580"/>
      <c r="CC32" s="1591"/>
      <c r="CD32" s="1592"/>
      <c r="CE32" s="1598"/>
      <c r="CF32" s="1598"/>
      <c r="CG32" s="1579"/>
      <c r="CH32" s="1580"/>
      <c r="CI32" s="1591"/>
      <c r="CJ32" s="1592"/>
      <c r="CK32" s="1598"/>
      <c r="CL32" s="1598"/>
      <c r="CM32" s="1579"/>
      <c r="CN32" s="65"/>
      <c r="CQ32" s="1560"/>
      <c r="CR32" s="1560"/>
      <c r="CS32" s="1560"/>
      <c r="CT32" s="1560"/>
      <c r="CU32" s="1560"/>
      <c r="CV32" s="1560"/>
    </row>
    <row r="33" spans="1:100" s="31" customFormat="1" outlineLevel="1" x14ac:dyDescent="0.2">
      <c r="B33" s="1576" t="s">
        <v>541</v>
      </c>
      <c r="C33" s="1584"/>
      <c r="D33" s="1585"/>
      <c r="E33" s="1585"/>
      <c r="F33" s="1586"/>
      <c r="G33" s="1588"/>
      <c r="H33" s="1580"/>
      <c r="I33" s="1584"/>
      <c r="J33" s="1585"/>
      <c r="K33" s="1585"/>
      <c r="L33" s="1586"/>
      <c r="M33" s="1588"/>
      <c r="N33" s="1580"/>
      <c r="O33" s="1584"/>
      <c r="P33" s="1585"/>
      <c r="Q33" s="1585"/>
      <c r="R33" s="1586"/>
      <c r="S33" s="1588"/>
      <c r="T33" s="1580"/>
      <c r="U33" s="1584"/>
      <c r="V33" s="1585"/>
      <c r="W33" s="1585"/>
      <c r="X33" s="1586"/>
      <c r="Y33" s="1588"/>
      <c r="Z33" s="1580"/>
      <c r="AA33" s="1584"/>
      <c r="AB33" s="1585"/>
      <c r="AC33" s="1585"/>
      <c r="AD33" s="1586"/>
      <c r="AE33" s="1588"/>
      <c r="AF33" s="1580"/>
      <c r="AG33" s="1584"/>
      <c r="AH33" s="1585"/>
      <c r="AI33" s="1585"/>
      <c r="AJ33" s="1586"/>
      <c r="AK33" s="1588"/>
      <c r="AL33" s="1580"/>
      <c r="AM33" s="1584"/>
      <c r="AN33" s="1585"/>
      <c r="AO33" s="1585"/>
      <c r="AP33" s="1586"/>
      <c r="AQ33" s="1588"/>
      <c r="AR33" s="1580"/>
      <c r="AS33" s="1584"/>
      <c r="AT33" s="1585"/>
      <c r="AU33" s="1585"/>
      <c r="AV33" s="1586"/>
      <c r="AW33" s="1588"/>
      <c r="AX33" s="1580"/>
      <c r="AY33" s="1584">
        <f>-0.001-0.005</f>
        <v>-6.0000000000000001E-3</v>
      </c>
      <c r="AZ33" s="1585">
        <f>-0.006-0.004</f>
        <v>-0.01</v>
      </c>
      <c r="BA33" s="1585">
        <f>-0.004-0.004</f>
        <v>-8.0000000000000002E-3</v>
      </c>
      <c r="BB33" s="1586">
        <f>-0.01+0.007</f>
        <v>-3.0000000000000001E-3</v>
      </c>
      <c r="BC33" s="1579">
        <f t="shared" si="45"/>
        <v>-6.8079256161857754E-3</v>
      </c>
      <c r="BD33" s="1580"/>
      <c r="BE33" s="1584">
        <f>0.0012-0.007</f>
        <v>-5.8000000000000005E-3</v>
      </c>
      <c r="BF33" s="1597">
        <f>0.001-0.006</f>
        <v>-5.0000000000000001E-3</v>
      </c>
      <c r="BG33" s="1597">
        <v>3.0000000000000001E-3</v>
      </c>
      <c r="BH33" s="1597">
        <v>-1E-3</v>
      </c>
      <c r="BI33" s="1579">
        <f>+SUMPRODUCT(BE33:BH33,AY$15:BB$15)/BC$15</f>
        <v>-2.1858593495755383E-3</v>
      </c>
      <c r="BJ33" s="1580"/>
      <c r="BK33" s="1584">
        <v>4.0000000000000001E-3</v>
      </c>
      <c r="BL33" s="1597">
        <v>0.01</v>
      </c>
      <c r="BM33" s="1597"/>
      <c r="BN33" s="1592"/>
      <c r="BO33" s="1579"/>
      <c r="BP33" s="1580"/>
      <c r="BQ33" s="1591"/>
      <c r="BR33" s="1592"/>
      <c r="BS33" s="1592"/>
      <c r="BT33" s="1592"/>
      <c r="BU33" s="1579"/>
      <c r="BV33" s="1580"/>
      <c r="BW33" s="1591"/>
      <c r="BX33" s="1592"/>
      <c r="BY33" s="1592"/>
      <c r="BZ33" s="1592"/>
      <c r="CA33" s="1579"/>
      <c r="CB33" s="1580"/>
      <c r="CC33" s="1591"/>
      <c r="CD33" s="1592"/>
      <c r="CE33" s="1592"/>
      <c r="CF33" s="1592"/>
      <c r="CG33" s="1579"/>
      <c r="CH33" s="1580"/>
      <c r="CI33" s="1591"/>
      <c r="CJ33" s="1592"/>
      <c r="CK33" s="1592"/>
      <c r="CL33" s="1592"/>
      <c r="CM33" s="1579"/>
      <c r="CN33" s="65"/>
      <c r="CQ33" s="1560"/>
      <c r="CR33" s="1560"/>
      <c r="CS33" s="1560"/>
      <c r="CT33" s="1560"/>
      <c r="CU33" s="1560"/>
      <c r="CV33" s="1560"/>
    </row>
    <row r="34" spans="1:100" s="31" customFormat="1" outlineLevel="1" x14ac:dyDescent="0.2">
      <c r="B34" s="1593" t="s">
        <v>589</v>
      </c>
      <c r="C34" s="1562"/>
      <c r="D34" s="1563"/>
      <c r="E34" s="1563"/>
      <c r="F34" s="1563"/>
      <c r="G34" s="1564"/>
      <c r="H34" s="1565"/>
      <c r="I34" s="1562"/>
      <c r="J34" s="1563"/>
      <c r="K34" s="1563"/>
      <c r="L34" s="1563"/>
      <c r="M34" s="1564"/>
      <c r="N34" s="1565"/>
      <c r="O34" s="1562"/>
      <c r="P34" s="1563"/>
      <c r="Q34" s="1563"/>
      <c r="R34" s="1563"/>
      <c r="S34" s="1564"/>
      <c r="T34" s="1565"/>
      <c r="U34" s="1562"/>
      <c r="V34" s="1563"/>
      <c r="W34" s="1563"/>
      <c r="X34" s="1563"/>
      <c r="Y34" s="1564"/>
      <c r="Z34" s="1565"/>
      <c r="AA34" s="1562"/>
      <c r="AB34" s="1563"/>
      <c r="AC34" s="1563"/>
      <c r="AD34" s="1563"/>
      <c r="AE34" s="1564"/>
      <c r="AF34" s="1565"/>
      <c r="AG34" s="1562"/>
      <c r="AH34" s="1563"/>
      <c r="AI34" s="1563"/>
      <c r="AJ34" s="1563"/>
      <c r="AK34" s="1564"/>
      <c r="AL34" s="1565"/>
      <c r="AM34" s="1562"/>
      <c r="AN34" s="1563"/>
      <c r="AO34" s="1563"/>
      <c r="AP34" s="1563"/>
      <c r="AQ34" s="1564"/>
      <c r="AR34" s="1565"/>
      <c r="AS34" s="1562"/>
      <c r="AT34" s="1563"/>
      <c r="AU34" s="1563"/>
      <c r="AV34" s="1563"/>
      <c r="AW34" s="1564"/>
      <c r="AX34" s="1565"/>
      <c r="AY34" s="1562">
        <f>+AY31-AY33</f>
        <v>2.7999999999999997E-2</v>
      </c>
      <c r="AZ34" s="1563">
        <f>+AZ31-AZ33</f>
        <v>4.7E-2</v>
      </c>
      <c r="BA34" s="1563">
        <f>+BA31-BA33</f>
        <v>3.9E-2</v>
      </c>
      <c r="BB34" s="1563">
        <f>+BB31-BB33</f>
        <v>0.02</v>
      </c>
      <c r="BC34" s="1564">
        <f t="shared" si="45"/>
        <v>3.3743158692104466E-2</v>
      </c>
      <c r="BD34" s="1565"/>
      <c r="BE34" s="1599">
        <f>+BE31-BE33</f>
        <v>4.48E-2</v>
      </c>
      <c r="BF34" s="1563">
        <f>+BF31-BF33</f>
        <v>3.9E-2</v>
      </c>
      <c r="BG34" s="1563">
        <f>+BG31-BG33</f>
        <v>-3.0000000000000001E-3</v>
      </c>
      <c r="BH34" s="1563">
        <f>+BH31-BH33</f>
        <v>3.5000000000000003E-2</v>
      </c>
      <c r="BI34" s="1564">
        <f>+SUMPRODUCT(BE34:BH34,AY$15:BB$15)/BC$15</f>
        <v>2.8806313879136108E-2</v>
      </c>
      <c r="BJ34" s="1565"/>
      <c r="BK34" s="1562">
        <f>+BK31-BK33</f>
        <v>2.4E-2</v>
      </c>
      <c r="BL34" s="1563">
        <f>+BL31-BL33</f>
        <v>1.9999999999999997E-2</v>
      </c>
      <c r="BM34" s="1563"/>
      <c r="BN34" s="1563"/>
      <c r="BO34" s="1564"/>
      <c r="BP34" s="1565"/>
      <c r="BQ34" s="1562"/>
      <c r="BR34" s="1563"/>
      <c r="BS34" s="1563"/>
      <c r="BT34" s="1563"/>
      <c r="BU34" s="1564"/>
      <c r="BV34" s="1565"/>
      <c r="BW34" s="1562"/>
      <c r="BX34" s="1563"/>
      <c r="BY34" s="1563"/>
      <c r="BZ34" s="1563"/>
      <c r="CA34" s="1564"/>
      <c r="CB34" s="1565"/>
      <c r="CC34" s="1562"/>
      <c r="CD34" s="1563"/>
      <c r="CE34" s="1563"/>
      <c r="CF34" s="1563"/>
      <c r="CG34" s="1564"/>
      <c r="CH34" s="1565"/>
      <c r="CI34" s="1562"/>
      <c r="CJ34" s="1563"/>
      <c r="CK34" s="1563"/>
      <c r="CL34" s="1563"/>
      <c r="CM34" s="1564"/>
      <c r="CN34" s="65"/>
      <c r="CP34" s="379"/>
      <c r="CQ34" s="1560"/>
      <c r="CR34" s="1560"/>
      <c r="CS34" s="1560"/>
      <c r="CT34" s="1560"/>
      <c r="CU34" s="1560"/>
      <c r="CV34" s="1560"/>
    </row>
    <row r="35" spans="1:100" s="1017" customFormat="1" ht="12.75" customHeight="1" x14ac:dyDescent="0.2">
      <c r="A35" s="79"/>
      <c r="B35" s="937" t="s">
        <v>604</v>
      </c>
      <c r="C35" s="938"/>
      <c r="D35" s="939"/>
      <c r="E35" s="939"/>
      <c r="F35" s="939"/>
      <c r="G35" s="940"/>
      <c r="H35" s="941"/>
      <c r="I35" s="938"/>
      <c r="J35" s="939"/>
      <c r="K35" s="939"/>
      <c r="L35" s="939"/>
      <c r="M35" s="940"/>
      <c r="N35" s="941"/>
      <c r="O35" s="938"/>
      <c r="P35" s="939"/>
      <c r="Q35" s="939"/>
      <c r="R35" s="939"/>
      <c r="S35" s="940"/>
      <c r="T35" s="941"/>
      <c r="U35" s="938"/>
      <c r="V35" s="939"/>
      <c r="W35" s="939"/>
      <c r="X35" s="939"/>
      <c r="Y35" s="940"/>
      <c r="Z35" s="941"/>
      <c r="AA35" s="938"/>
      <c r="AB35" s="939"/>
      <c r="AC35" s="939"/>
      <c r="AD35" s="939"/>
      <c r="AE35" s="940"/>
      <c r="AF35" s="941"/>
      <c r="AG35" s="938"/>
      <c r="AH35" s="939"/>
      <c r="AI35" s="939"/>
      <c r="AJ35" s="939"/>
      <c r="AK35" s="940"/>
      <c r="AL35" s="941"/>
      <c r="AM35" s="938"/>
      <c r="AN35" s="939"/>
      <c r="AO35" s="939"/>
      <c r="AP35" s="939"/>
      <c r="AQ35" s="940"/>
      <c r="AR35" s="941"/>
      <c r="AS35" s="938"/>
      <c r="AT35" s="939"/>
      <c r="AU35" s="939"/>
      <c r="AV35" s="939"/>
      <c r="AW35" s="940"/>
      <c r="AX35" s="941"/>
      <c r="AY35" s="938"/>
      <c r="AZ35" s="939"/>
      <c r="BA35" s="939"/>
      <c r="BB35" s="939"/>
      <c r="BC35" s="940"/>
      <c r="BD35" s="941"/>
      <c r="BE35" s="938"/>
      <c r="BF35" s="939"/>
      <c r="BG35" s="939"/>
      <c r="BH35" s="1106"/>
      <c r="BI35" s="940"/>
      <c r="BJ35" s="941"/>
      <c r="BK35" s="1210"/>
      <c r="BL35" s="939"/>
      <c r="BM35" s="939"/>
      <c r="BN35" s="1106"/>
      <c r="BO35" s="1286"/>
      <c r="BP35" s="941"/>
      <c r="BQ35" s="1515"/>
      <c r="BR35" s="939"/>
      <c r="BS35" s="939"/>
      <c r="BT35" s="939"/>
      <c r="BU35" s="940"/>
      <c r="BV35" s="941"/>
      <c r="BW35" s="938"/>
      <c r="BX35" s="939"/>
      <c r="BY35" s="939"/>
      <c r="BZ35" s="939"/>
      <c r="CA35" s="940"/>
      <c r="CB35" s="941"/>
      <c r="CC35" s="938"/>
      <c r="CD35" s="939"/>
      <c r="CE35" s="939"/>
      <c r="CF35" s="939"/>
      <c r="CG35" s="940"/>
      <c r="CH35" s="941"/>
      <c r="CI35" s="938"/>
      <c r="CJ35" s="939"/>
      <c r="CK35" s="939"/>
      <c r="CL35" s="939"/>
      <c r="CM35" s="940"/>
      <c r="CN35" s="62"/>
      <c r="CP35" s="379"/>
      <c r="CQ35"/>
      <c r="CR35"/>
      <c r="CS35"/>
      <c r="CT35"/>
      <c r="CU35"/>
      <c r="CV35"/>
    </row>
    <row r="36" spans="1:100" s="1017" customFormat="1" ht="11.25" customHeight="1" x14ac:dyDescent="0.2">
      <c r="A36" s="27"/>
      <c r="B36" s="950" t="s">
        <v>364</v>
      </c>
      <c r="C36" s="944"/>
      <c r="D36" s="945"/>
      <c r="E36" s="945"/>
      <c r="F36" s="945"/>
      <c r="G36" s="946"/>
      <c r="H36" s="945"/>
      <c r="I36" s="944"/>
      <c r="J36" s="945"/>
      <c r="K36" s="945"/>
      <c r="L36" s="945"/>
      <c r="M36" s="946"/>
      <c r="N36" s="1021"/>
      <c r="O36" s="944"/>
      <c r="P36" s="945"/>
      <c r="Q36" s="945"/>
      <c r="R36" s="945"/>
      <c r="S36" s="946"/>
      <c r="T36" s="947"/>
      <c r="U36" s="944"/>
      <c r="V36" s="945"/>
      <c r="W36" s="945"/>
      <c r="X36" s="945"/>
      <c r="Y36" s="946"/>
      <c r="Z36" s="947"/>
      <c r="AA36" s="944"/>
      <c r="AB36" s="945"/>
      <c r="AC36" s="945"/>
      <c r="AD36" s="945"/>
      <c r="AE36" s="946"/>
      <c r="AF36" s="948"/>
      <c r="AG36" s="944"/>
      <c r="AH36" s="945"/>
      <c r="AI36" s="945"/>
      <c r="AJ36" s="945"/>
      <c r="AK36" s="946"/>
      <c r="AL36" s="948"/>
      <c r="AM36" s="944"/>
      <c r="AN36" s="945"/>
      <c r="AO36" s="945"/>
      <c r="AP36" s="945"/>
      <c r="AQ36" s="946"/>
      <c r="AR36" s="948"/>
      <c r="AS36" s="1024">
        <f>+AY36/(1+AY37)</f>
        <v>305.05725190839695</v>
      </c>
      <c r="AT36" s="1025">
        <f>+AZ36/(1+AZ37)</f>
        <v>347.68928220255657</v>
      </c>
      <c r="AU36" s="1025">
        <f>+BA36/(1+BA37)</f>
        <v>318.32412523020253</v>
      </c>
      <c r="AV36" s="1025">
        <f>+BB36/(1+BB37)</f>
        <v>319.28044280442805</v>
      </c>
      <c r="AW36" s="946">
        <f>+SUM(AS36:AV36)</f>
        <v>1290.351102145584</v>
      </c>
      <c r="AX36" s="948"/>
      <c r="AY36" s="944">
        <v>319.7</v>
      </c>
      <c r="AZ36" s="945">
        <v>353.6</v>
      </c>
      <c r="BA36" s="945">
        <v>345.7</v>
      </c>
      <c r="BB36" s="945">
        <v>346.1</v>
      </c>
      <c r="BC36" s="946">
        <f>+SUM(AY36:BB36)</f>
        <v>1365.1</v>
      </c>
      <c r="BD36" s="949"/>
      <c r="BE36" s="942">
        <v>347.6</v>
      </c>
      <c r="BF36" s="943">
        <f>365.9+1.1</f>
        <v>367</v>
      </c>
      <c r="BG36" s="943">
        <v>335.3</v>
      </c>
      <c r="BH36" s="945">
        <v>328.7</v>
      </c>
      <c r="BI36" s="946">
        <f>+SUM(BE36:BH36)</f>
        <v>1378.6000000000001</v>
      </c>
      <c r="BJ36" s="949"/>
      <c r="BK36" s="1437">
        <v>313.60000000000002</v>
      </c>
      <c r="BL36" s="943">
        <v>331.6</v>
      </c>
      <c r="BM36" s="943">
        <v>363.3</v>
      </c>
      <c r="BN36" s="945">
        <v>364.3</v>
      </c>
      <c r="BO36" s="946">
        <f>+SUM(BK36:BN36)</f>
        <v>1372.8</v>
      </c>
      <c r="BP36" s="949"/>
      <c r="BQ36" s="1024">
        <f>+BK36*(1+BQ37)</f>
        <v>291.64800000000002</v>
      </c>
      <c r="BR36" s="1025">
        <f>+BL36*(1+BR37)</f>
        <v>334.91600000000005</v>
      </c>
      <c r="BS36" s="1025">
        <f>+BM36*(1+BS37)</f>
        <v>377.83200000000005</v>
      </c>
      <c r="BT36" s="1025">
        <f>+BN36*(1+BT37)</f>
        <v>378.87200000000001</v>
      </c>
      <c r="BU36" s="946">
        <f>+SUM(BQ36:BT36)</f>
        <v>1383.2680000000003</v>
      </c>
      <c r="BV36" s="949"/>
      <c r="BW36" s="1024">
        <f>+BQ36*(1+BW37)</f>
        <v>301.85568000000001</v>
      </c>
      <c r="BX36" s="1025">
        <f>+BR36*(1+BX37)</f>
        <v>346.63806000000005</v>
      </c>
      <c r="BY36" s="1025">
        <f>+BS36*(1+BY37)</f>
        <v>391.05612000000002</v>
      </c>
      <c r="BZ36" s="1025">
        <f>+BT36*(1+BZ37)</f>
        <v>392.13252</v>
      </c>
      <c r="CA36" s="946">
        <f>+SUM(BW36:BZ36)</f>
        <v>1431.6823800000002</v>
      </c>
      <c r="CB36" s="949"/>
      <c r="CC36" s="1024">
        <f>+BW36*(1+CC37)</f>
        <v>312.42062879999997</v>
      </c>
      <c r="CD36" s="1025">
        <f>+BX36*(1+CD37)</f>
        <v>358.77039210000004</v>
      </c>
      <c r="CE36" s="1025">
        <f>+BY36*(1+CE37)</f>
        <v>404.7430842</v>
      </c>
      <c r="CF36" s="1025">
        <f>+BZ36*(1+CF37)</f>
        <v>405.85715819999996</v>
      </c>
      <c r="CG36" s="946">
        <f>+SUM(CC36:CF36)</f>
        <v>1481.7912633000001</v>
      </c>
      <c r="CH36" s="948"/>
      <c r="CI36" s="1024">
        <f>+CC36*(1+CI37)</f>
        <v>323.35535080799997</v>
      </c>
      <c r="CJ36" s="1025">
        <f>+CD36*(1+CJ37)</f>
        <v>371.3273558235</v>
      </c>
      <c r="CK36" s="1025">
        <f>+CE36*(1+CK37)</f>
        <v>418.90909214699997</v>
      </c>
      <c r="CL36" s="1025">
        <f>+CF36*(1+CL37)</f>
        <v>420.06215873699995</v>
      </c>
      <c r="CM36" s="946">
        <f>+SUM(CI36:CL36)</f>
        <v>1533.6539575154998</v>
      </c>
      <c r="CN36" s="62"/>
      <c r="CQ36"/>
      <c r="CR36"/>
      <c r="CS36"/>
      <c r="CT36"/>
      <c r="CU36"/>
      <c r="CV36"/>
    </row>
    <row r="37" spans="1:100" s="31" customFormat="1" outlineLevel="1" x14ac:dyDescent="0.2">
      <c r="B37" s="934" t="s">
        <v>540</v>
      </c>
      <c r="C37" s="1022"/>
      <c r="D37" s="405"/>
      <c r="E37" s="405"/>
      <c r="F37" s="405"/>
      <c r="G37" s="742"/>
      <c r="H37" s="254"/>
      <c r="I37" s="1022"/>
      <c r="J37" s="405"/>
      <c r="K37" s="405"/>
      <c r="L37" s="405"/>
      <c r="M37" s="742"/>
      <c r="N37" s="254"/>
      <c r="O37" s="1022"/>
      <c r="P37" s="405"/>
      <c r="Q37" s="405"/>
      <c r="R37" s="405"/>
      <c r="S37" s="742"/>
      <c r="T37" s="254"/>
      <c r="U37" s="1022"/>
      <c r="V37" s="405"/>
      <c r="W37" s="405"/>
      <c r="X37" s="405"/>
      <c r="Y37" s="742"/>
      <c r="Z37" s="254"/>
      <c r="AA37" s="1022"/>
      <c r="AB37" s="1039"/>
      <c r="AC37" s="1039"/>
      <c r="AD37" s="1039"/>
      <c r="AE37" s="742"/>
      <c r="AF37" s="254"/>
      <c r="AG37" s="1038"/>
      <c r="AH37" s="1039"/>
      <c r="AI37" s="1039"/>
      <c r="AJ37" s="1039"/>
      <c r="AK37" s="742"/>
      <c r="AL37" s="254"/>
      <c r="AM37" s="1038"/>
      <c r="AN37" s="1039"/>
      <c r="AO37" s="1039"/>
      <c r="AP37" s="1039"/>
      <c r="AQ37" s="742"/>
      <c r="AR37" s="254"/>
      <c r="AS37" s="1038"/>
      <c r="AT37" s="1039"/>
      <c r="AU37" s="1039"/>
      <c r="AV37" s="1039"/>
      <c r="AW37" s="742"/>
      <c r="AX37" s="254"/>
      <c r="AY37" s="1038">
        <v>4.8000000000000001E-2</v>
      </c>
      <c r="AZ37" s="1039">
        <v>1.7000000000000001E-2</v>
      </c>
      <c r="BA37" s="1039">
        <v>8.5999999999999993E-2</v>
      </c>
      <c r="BB37" s="1039">
        <v>8.4000000000000005E-2</v>
      </c>
      <c r="BC37" s="742">
        <f>IF(ISERROR(BC36/AW36-1),"NM",BC36/AW36-1)</f>
        <v>5.7929115362573835E-2</v>
      </c>
      <c r="BD37" s="254"/>
      <c r="BE37" s="1022">
        <f>+BE36/AY36-1</f>
        <v>8.7269314982796553E-2</v>
      </c>
      <c r="BF37" s="407">
        <f>+BF36/AZ36-1</f>
        <v>3.789592760180982E-2</v>
      </c>
      <c r="BG37" s="407">
        <f>+BG36/BA36-1</f>
        <v>-3.0083887763957096E-2</v>
      </c>
      <c r="BH37" s="405">
        <f>+BH36/BB36-1</f>
        <v>-5.0274487142444424E-2</v>
      </c>
      <c r="BI37" s="742">
        <f>IF(ISERROR(BI36/BC36-1),"NM",BI36/BC36-1)</f>
        <v>9.8893853930117626E-3</v>
      </c>
      <c r="BJ37" s="254"/>
      <c r="BK37" s="1022">
        <f>+BK36/BE36-1</f>
        <v>-9.7813578826237091E-2</v>
      </c>
      <c r="BL37" s="407">
        <f>+BL36/BF36-1</f>
        <v>-9.6457765667574913E-2</v>
      </c>
      <c r="BM37" s="407">
        <f>+BM36/BG36-1</f>
        <v>8.3507306889352817E-2</v>
      </c>
      <c r="BN37" s="407">
        <f>+BN36/BH36-1</f>
        <v>0.10830544569516287</v>
      </c>
      <c r="BO37" s="742">
        <f>IF(ISERROR(BO36/BI36-1),"NM",BO36/BI36-1)</f>
        <v>-4.2071666908458649E-3</v>
      </c>
      <c r="BP37" s="254"/>
      <c r="BQ37" s="1022">
        <f>+BQ38+BQ39</f>
        <v>-7.0000000000000007E-2</v>
      </c>
      <c r="BR37" s="405">
        <f>+BR38+BR39</f>
        <v>0.01</v>
      </c>
      <c r="BS37" s="405">
        <f>+BS38+BS39</f>
        <v>0.04</v>
      </c>
      <c r="BT37" s="405">
        <f>+BT38+BT39</f>
        <v>0.04</v>
      </c>
      <c r="BU37" s="742">
        <f>IF(ISERROR(BU36/BO36-1),"NM",BU36/BO36-1)</f>
        <v>7.6252913752916651E-3</v>
      </c>
      <c r="BV37" s="254"/>
      <c r="BW37" s="1022">
        <f>+BW38+BW39</f>
        <v>3.5000000000000003E-2</v>
      </c>
      <c r="BX37" s="405">
        <f>+BX38+BX39</f>
        <v>3.5000000000000003E-2</v>
      </c>
      <c r="BY37" s="405">
        <f>+BY38+BY39</f>
        <v>3.5000000000000003E-2</v>
      </c>
      <c r="BZ37" s="405">
        <f>+BZ38+BZ39</f>
        <v>3.5000000000000003E-2</v>
      </c>
      <c r="CA37" s="742">
        <f>IF(ISERROR(CA36/BU36-1),"NM",CA36/BU36-1)</f>
        <v>3.499999999999992E-2</v>
      </c>
      <c r="CB37" s="52"/>
      <c r="CC37" s="1022">
        <f>+CC38+CC39</f>
        <v>3.5000000000000003E-2</v>
      </c>
      <c r="CD37" s="405">
        <f>+CD38+CD39</f>
        <v>3.5000000000000003E-2</v>
      </c>
      <c r="CE37" s="405">
        <f>+CE38+CE39</f>
        <v>3.5000000000000003E-2</v>
      </c>
      <c r="CF37" s="405">
        <f>+CF38+CF39</f>
        <v>3.5000000000000003E-2</v>
      </c>
      <c r="CG37" s="742">
        <f>IF(ISERROR(CG36/CA36-1),"NM",CG36/CA36-1)</f>
        <v>3.499999999999992E-2</v>
      </c>
      <c r="CH37" s="65"/>
      <c r="CI37" s="1022">
        <f>+CI38+CI39</f>
        <v>3.5000000000000003E-2</v>
      </c>
      <c r="CJ37" s="405">
        <f>+CJ38+CJ39</f>
        <v>3.5000000000000003E-2</v>
      </c>
      <c r="CK37" s="405">
        <f>+CK38+CK39</f>
        <v>3.5000000000000003E-2</v>
      </c>
      <c r="CL37" s="405">
        <f>+CL38+CL39</f>
        <v>3.5000000000000003E-2</v>
      </c>
      <c r="CM37" s="742">
        <f>IF(ISERROR(CM36/CG36-1),"NM",CM36/CG36-1)</f>
        <v>3.4999999999999698E-2</v>
      </c>
      <c r="CN37" s="65"/>
      <c r="CQ37"/>
      <c r="CR37"/>
      <c r="CS37"/>
      <c r="CT37"/>
      <c r="CU37"/>
      <c r="CV37"/>
    </row>
    <row r="38" spans="1:100" s="31" customFormat="1" outlineLevel="1" x14ac:dyDescent="0.2">
      <c r="B38" s="934" t="s">
        <v>588</v>
      </c>
      <c r="C38" s="1023"/>
      <c r="D38" s="797"/>
      <c r="E38" s="797"/>
      <c r="F38" s="1026"/>
      <c r="G38" s="742"/>
      <c r="H38" s="723"/>
      <c r="I38" s="1023"/>
      <c r="J38" s="797"/>
      <c r="K38" s="797"/>
      <c r="L38" s="1026"/>
      <c r="M38" s="742"/>
      <c r="N38" s="723"/>
      <c r="O38" s="1023"/>
      <c r="P38" s="797"/>
      <c r="Q38" s="797"/>
      <c r="R38" s="1026"/>
      <c r="S38" s="742"/>
      <c r="T38" s="723"/>
      <c r="U38" s="1023"/>
      <c r="V38" s="797"/>
      <c r="W38" s="797"/>
      <c r="X38" s="1026"/>
      <c r="Y38" s="742"/>
      <c r="Z38" s="723"/>
      <c r="AA38" s="1023"/>
      <c r="AB38" s="797"/>
      <c r="AC38" s="797"/>
      <c r="AD38" s="1026"/>
      <c r="AE38" s="742"/>
      <c r="AF38" s="254"/>
      <c r="AG38" s="1023"/>
      <c r="AH38" s="797"/>
      <c r="AI38" s="797"/>
      <c r="AJ38" s="1026"/>
      <c r="AK38" s="742"/>
      <c r="AL38" s="254"/>
      <c r="AM38" s="1023"/>
      <c r="AN38" s="797"/>
      <c r="AO38" s="797"/>
      <c r="AP38" s="1026"/>
      <c r="AQ38" s="742"/>
      <c r="AR38" s="254"/>
      <c r="AS38" s="1023"/>
      <c r="AT38" s="797"/>
      <c r="AU38" s="797"/>
      <c r="AV38" s="1026"/>
      <c r="AW38" s="1015"/>
      <c r="AX38" s="254"/>
      <c r="AY38" s="1023">
        <v>4.9000000000000002E-2</v>
      </c>
      <c r="AZ38" s="797">
        <v>1.9E-2</v>
      </c>
      <c r="BA38" s="797">
        <v>8.6999999999999994E-2</v>
      </c>
      <c r="BB38" s="1026">
        <v>8.5000000000000006E-2</v>
      </c>
      <c r="BC38" s="742">
        <f>+SUMPRODUCT(AY38:BB38,AS$36:AV$36)/AW$36</f>
        <v>5.919856860024262E-2</v>
      </c>
      <c r="BD38" s="254"/>
      <c r="BE38" s="1023">
        <v>8.7999999999999995E-2</v>
      </c>
      <c r="BF38" s="798">
        <v>3.7999999999999999E-2</v>
      </c>
      <c r="BG38" s="798">
        <v>-3.1E-2</v>
      </c>
      <c r="BH38" s="1026">
        <v>-5.0999999999999997E-2</v>
      </c>
      <c r="BI38" s="742">
        <f>+SUMPRODUCT(BE38:BH38,AY$36:BB$36)/BC$36</f>
        <v>9.6715258955387892E-3</v>
      </c>
      <c r="BJ38" s="254"/>
      <c r="BK38" s="1023">
        <v>-0.1</v>
      </c>
      <c r="BL38" s="798">
        <v>-9.6000000000000002E-2</v>
      </c>
      <c r="BM38" s="798">
        <v>8.4000000000000005E-2</v>
      </c>
      <c r="BN38" s="1026">
        <v>9.7000000000000003E-2</v>
      </c>
      <c r="BO38" s="742">
        <f t="shared" ref="BO38:BO43" si="46">+SUMPRODUCT(BK38:BN38,BE$36:BH$36)/BI$36</f>
        <v>-7.2123168431742378E-3</v>
      </c>
      <c r="BP38" s="254"/>
      <c r="BQ38" s="1040">
        <v>-7.0000000000000007E-2</v>
      </c>
      <c r="BR38" s="800">
        <v>0.01</v>
      </c>
      <c r="BS38" s="800">
        <v>0.04</v>
      </c>
      <c r="BT38" s="1041">
        <v>0.04</v>
      </c>
      <c r="BU38" s="742">
        <f>+SUMPRODUCT(BQ38:BT38,BK$36:BN$36)/BO$36</f>
        <v>7.625291375291372E-3</v>
      </c>
      <c r="BV38" s="254"/>
      <c r="BW38" s="1040">
        <v>3.5000000000000003E-2</v>
      </c>
      <c r="BX38" s="800">
        <f t="shared" ref="BX38:BY38" si="47">+BW38</f>
        <v>3.5000000000000003E-2</v>
      </c>
      <c r="BY38" s="800">
        <f t="shared" si="47"/>
        <v>3.5000000000000003E-2</v>
      </c>
      <c r="BZ38" s="1041">
        <f>+BY38</f>
        <v>3.5000000000000003E-2</v>
      </c>
      <c r="CA38" s="742">
        <f t="shared" ref="CA38" si="48">+SUMPRODUCT(BW38:BZ38,BQ$36:BT$36)/BU$36</f>
        <v>3.4999999999999996E-2</v>
      </c>
      <c r="CB38" s="254"/>
      <c r="CC38" s="1040">
        <v>3.5000000000000003E-2</v>
      </c>
      <c r="CD38" s="800">
        <f t="shared" ref="CD38:CE38" si="49">+CC38</f>
        <v>3.5000000000000003E-2</v>
      </c>
      <c r="CE38" s="800">
        <f t="shared" si="49"/>
        <v>3.5000000000000003E-2</v>
      </c>
      <c r="CF38" s="1041">
        <f>+CE38</f>
        <v>3.5000000000000003E-2</v>
      </c>
      <c r="CG38" s="742">
        <f t="shared" ref="CG38" si="50">+SUMPRODUCT(CC38:CF38,BW$36:BZ$36)/CA$36</f>
        <v>3.4999999999999996E-2</v>
      </c>
      <c r="CH38" s="254"/>
      <c r="CI38" s="1040">
        <v>3.5000000000000003E-2</v>
      </c>
      <c r="CJ38" s="800">
        <f t="shared" ref="CJ38" si="51">+CI38</f>
        <v>3.5000000000000003E-2</v>
      </c>
      <c r="CK38" s="800">
        <f t="shared" ref="CK38:CL38" si="52">+CJ38</f>
        <v>3.5000000000000003E-2</v>
      </c>
      <c r="CL38" s="1041">
        <f t="shared" si="52"/>
        <v>3.5000000000000003E-2</v>
      </c>
      <c r="CM38" s="742">
        <f t="shared" ref="CM38" si="53">+SUMPRODUCT(CI38:CL38,CC$36:CF$36)/CG$36</f>
        <v>3.4999999999999996E-2</v>
      </c>
      <c r="CN38" s="65"/>
      <c r="CQ38"/>
      <c r="CR38"/>
      <c r="CS38"/>
      <c r="CT38"/>
      <c r="CU38"/>
      <c r="CV38"/>
    </row>
    <row r="39" spans="1:100" s="31" customFormat="1" outlineLevel="1" x14ac:dyDescent="0.2">
      <c r="B39" s="934" t="s">
        <v>586</v>
      </c>
      <c r="C39" s="1022"/>
      <c r="D39" s="405"/>
      <c r="E39" s="405"/>
      <c r="F39" s="405"/>
      <c r="G39" s="742"/>
      <c r="H39" s="254"/>
      <c r="I39" s="1022"/>
      <c r="J39" s="405"/>
      <c r="K39" s="405"/>
      <c r="L39" s="405"/>
      <c r="M39" s="742"/>
      <c r="N39" s="254"/>
      <c r="O39" s="1022"/>
      <c r="P39" s="405"/>
      <c r="Q39" s="405"/>
      <c r="R39" s="405"/>
      <c r="S39" s="742"/>
      <c r="T39" s="254"/>
      <c r="U39" s="1022"/>
      <c r="V39" s="405"/>
      <c r="W39" s="405"/>
      <c r="X39" s="405"/>
      <c r="Y39" s="742"/>
      <c r="Z39" s="254"/>
      <c r="AA39" s="1022"/>
      <c r="AB39" s="405"/>
      <c r="AC39" s="405"/>
      <c r="AD39" s="405"/>
      <c r="AE39" s="742"/>
      <c r="AF39" s="254"/>
      <c r="AG39" s="1022"/>
      <c r="AH39" s="405"/>
      <c r="AI39" s="405"/>
      <c r="AJ39" s="405"/>
      <c r="AK39" s="742"/>
      <c r="AL39" s="254"/>
      <c r="AM39" s="1022"/>
      <c r="AN39" s="405"/>
      <c r="AO39" s="405"/>
      <c r="AP39" s="405"/>
      <c r="AQ39" s="742"/>
      <c r="AR39" s="254"/>
      <c r="AS39" s="1022"/>
      <c r="AT39" s="405"/>
      <c r="AU39" s="405"/>
      <c r="AV39" s="405"/>
      <c r="AW39" s="742"/>
      <c r="AX39" s="254"/>
      <c r="AY39" s="1022">
        <f>AY37-AY38</f>
        <v>-1.0000000000000009E-3</v>
      </c>
      <c r="AZ39" s="405">
        <f>AZ37-AZ38</f>
        <v>-1.9999999999999983E-3</v>
      </c>
      <c r="BA39" s="405">
        <f>BA37-BA38</f>
        <v>-1.0000000000000009E-3</v>
      </c>
      <c r="BB39" s="405">
        <f>BB37-BB38</f>
        <v>-1.0000000000000009E-3</v>
      </c>
      <c r="BC39" s="742">
        <f>+SUMPRODUCT(AY39:BB39,AS$36:AV$36)/AW$36</f>
        <v>-1.2694532376687417E-3</v>
      </c>
      <c r="BD39" s="254"/>
      <c r="BE39" s="1038">
        <v>0</v>
      </c>
      <c r="BF39" s="1254">
        <v>0</v>
      </c>
      <c r="BG39" s="1254">
        <v>0</v>
      </c>
      <c r="BH39" s="1026">
        <v>0</v>
      </c>
      <c r="BI39" s="742">
        <f>+SUMPRODUCT(BE39:BH39,AY$36:BB$36)/BC$36</f>
        <v>0</v>
      </c>
      <c r="BJ39" s="254"/>
      <c r="BK39" s="1023">
        <v>0</v>
      </c>
      <c r="BL39" s="1254">
        <v>0</v>
      </c>
      <c r="BM39" s="1254">
        <v>0</v>
      </c>
      <c r="BN39" s="1026">
        <v>1.0999999999999999E-2</v>
      </c>
      <c r="BO39" s="742">
        <f t="shared" si="46"/>
        <v>2.6227332076019143E-3</v>
      </c>
      <c r="BP39" s="254"/>
      <c r="BQ39" s="1040">
        <v>0</v>
      </c>
      <c r="BR39" s="800">
        <v>0</v>
      </c>
      <c r="BS39" s="800">
        <v>0</v>
      </c>
      <c r="BT39" s="800">
        <v>0</v>
      </c>
      <c r="BU39" s="742">
        <f>+SUMPRODUCT(BQ39:BT39,BK$36:BN$36)/BO$36</f>
        <v>0</v>
      </c>
      <c r="BV39" s="254"/>
      <c r="BW39" s="1040">
        <v>0</v>
      </c>
      <c r="BX39" s="800">
        <v>0</v>
      </c>
      <c r="BY39" s="800">
        <v>0</v>
      </c>
      <c r="BZ39" s="800">
        <v>0</v>
      </c>
      <c r="CA39" s="742">
        <f>+SUMPRODUCT(BW39:BZ39,BQ$36:BT$36)/BU$36</f>
        <v>0</v>
      </c>
      <c r="CB39" s="78"/>
      <c r="CC39" s="1040">
        <v>0</v>
      </c>
      <c r="CD39" s="800">
        <v>0</v>
      </c>
      <c r="CE39" s="800">
        <v>0</v>
      </c>
      <c r="CF39" s="800">
        <v>0</v>
      </c>
      <c r="CG39" s="742">
        <f>+SUMPRODUCT(CC39:CF39,BW$36:BZ$36)/CA$36</f>
        <v>0</v>
      </c>
      <c r="CH39" s="796"/>
      <c r="CI39" s="1040">
        <v>0</v>
      </c>
      <c r="CJ39" s="800">
        <v>0</v>
      </c>
      <c r="CK39" s="800">
        <v>0</v>
      </c>
      <c r="CL39" s="800">
        <v>0</v>
      </c>
      <c r="CM39" s="742">
        <f>+SUMPRODUCT(CI39:CL39,CC$36:CF$36)/CG$36</f>
        <v>0</v>
      </c>
      <c r="CN39" s="65"/>
      <c r="CQ39"/>
      <c r="CR39"/>
      <c r="CS39"/>
      <c r="CT39"/>
      <c r="CU39"/>
      <c r="CV39"/>
    </row>
    <row r="40" spans="1:100" s="31" customFormat="1" outlineLevel="1" x14ac:dyDescent="0.2">
      <c r="B40" s="934" t="s">
        <v>541</v>
      </c>
      <c r="C40" s="1023"/>
      <c r="D40" s="797"/>
      <c r="E40" s="797"/>
      <c r="F40" s="1026"/>
      <c r="G40" s="1015"/>
      <c r="H40" s="254"/>
      <c r="I40" s="1023"/>
      <c r="J40" s="797"/>
      <c r="K40" s="797"/>
      <c r="L40" s="1026"/>
      <c r="M40" s="1015"/>
      <c r="N40" s="254"/>
      <c r="O40" s="1023"/>
      <c r="P40" s="797"/>
      <c r="Q40" s="797"/>
      <c r="R40" s="1026"/>
      <c r="S40" s="1015"/>
      <c r="T40" s="254"/>
      <c r="U40" s="1023"/>
      <c r="V40" s="797"/>
      <c r="W40" s="797"/>
      <c r="X40" s="1026"/>
      <c r="Y40" s="1015"/>
      <c r="Z40" s="254"/>
      <c r="AA40" s="1023"/>
      <c r="AB40" s="797"/>
      <c r="AC40" s="797"/>
      <c r="AD40" s="1026"/>
      <c r="AE40" s="1015"/>
      <c r="AF40" s="254"/>
      <c r="AG40" s="1023"/>
      <c r="AH40" s="797"/>
      <c r="AI40" s="797"/>
      <c r="AJ40" s="1026"/>
      <c r="AK40" s="1015"/>
      <c r="AL40" s="254"/>
      <c r="AM40" s="1023"/>
      <c r="AN40" s="797"/>
      <c r="AO40" s="797"/>
      <c r="AP40" s="1026"/>
      <c r="AQ40" s="1015"/>
      <c r="AR40" s="254"/>
      <c r="AS40" s="1023"/>
      <c r="AT40" s="797"/>
      <c r="AU40" s="797"/>
      <c r="AV40" s="1026"/>
      <c r="AW40" s="1015"/>
      <c r="AX40" s="254"/>
      <c r="AY40" s="1023">
        <f>-0.006-0.003</f>
        <v>-9.0000000000000011E-3</v>
      </c>
      <c r="AZ40" s="797">
        <f>-0.004-0.002</f>
        <v>-6.0000000000000001E-3</v>
      </c>
      <c r="BA40" s="797">
        <f>0.034-0.008</f>
        <v>2.6000000000000002E-2</v>
      </c>
      <c r="BB40" s="1026">
        <f>0.027-0.009</f>
        <v>1.8000000000000002E-2</v>
      </c>
      <c r="BC40" s="742">
        <f>+SUMPRODUCT(AY40:BB40,AS$36:AV$36)/AW$36</f>
        <v>7.1235063470631984E-3</v>
      </c>
      <c r="BD40" s="254"/>
      <c r="BE40" s="1022">
        <f>-(BE41-BE39-BE37)</f>
        <v>3.0269314982796551E-2</v>
      </c>
      <c r="BF40" s="407">
        <f>-(BF41-BF39-BF37)</f>
        <v>2.589592760180982E-2</v>
      </c>
      <c r="BG40" s="407">
        <f>-(BG41-BG39-BG37)</f>
        <v>1.916112236042905E-3</v>
      </c>
      <c r="BH40" s="404">
        <f>-(BH41-BH39-BH37)</f>
        <v>1.9725512857555583E-2</v>
      </c>
      <c r="BI40" s="742">
        <f>+SUMPRODUCT(BE40:BH40,AY$36:BB$36)/BC$36</f>
        <v>1.9283056186359997E-2</v>
      </c>
      <c r="BJ40" s="254"/>
      <c r="BK40" s="1023">
        <v>1.2999999999999999E-2</v>
      </c>
      <c r="BL40" s="1254">
        <v>1.4999999999999999E-2</v>
      </c>
      <c r="BM40" s="1254">
        <v>1.2999999999999999E-2</v>
      </c>
      <c r="BN40" s="1254">
        <v>0</v>
      </c>
      <c r="BO40" s="742">
        <f t="shared" si="46"/>
        <v>1.0432830407659945E-2</v>
      </c>
      <c r="BP40" s="254"/>
      <c r="BQ40" s="1040">
        <v>0</v>
      </c>
      <c r="BR40" s="800">
        <v>0</v>
      </c>
      <c r="BS40" s="800">
        <v>0</v>
      </c>
      <c r="BT40" s="1041">
        <v>0</v>
      </c>
      <c r="BU40" s="742">
        <f>+SUMPRODUCT(BQ40:BT40,BK$36:BN$36)/BO$36</f>
        <v>0</v>
      </c>
      <c r="BV40" s="254"/>
      <c r="BW40" s="1040">
        <v>0</v>
      </c>
      <c r="BX40" s="800">
        <v>0</v>
      </c>
      <c r="BY40" s="800">
        <v>0</v>
      </c>
      <c r="BZ40" s="1041">
        <v>0</v>
      </c>
      <c r="CA40" s="742">
        <f>+SUMPRODUCT(BW40:BZ40,BQ$36:BT$36)/BU$36</f>
        <v>0</v>
      </c>
      <c r="CB40" s="52"/>
      <c r="CC40" s="1040">
        <v>0</v>
      </c>
      <c r="CD40" s="800">
        <v>0</v>
      </c>
      <c r="CE40" s="800">
        <v>0</v>
      </c>
      <c r="CF40" s="1041">
        <v>0</v>
      </c>
      <c r="CG40" s="742">
        <f>+SUMPRODUCT(CC40:CF40,BW$36:BZ$36)/CA$36</f>
        <v>0</v>
      </c>
      <c r="CH40" s="65"/>
      <c r="CI40" s="1040">
        <v>0</v>
      </c>
      <c r="CJ40" s="800">
        <v>0</v>
      </c>
      <c r="CK40" s="800">
        <v>0</v>
      </c>
      <c r="CL40" s="1041">
        <v>0</v>
      </c>
      <c r="CM40" s="742">
        <f>+SUMPRODUCT(CI40:CL40,CC$36:CF$36)/CG$36</f>
        <v>0</v>
      </c>
      <c r="CN40" s="65"/>
      <c r="CQ40"/>
      <c r="CR40"/>
      <c r="CS40"/>
      <c r="CT40"/>
      <c r="CU40"/>
      <c r="CV40"/>
    </row>
    <row r="41" spans="1:100" s="31" customFormat="1" outlineLevel="1" x14ac:dyDescent="0.2">
      <c r="B41" s="934" t="s">
        <v>605</v>
      </c>
      <c r="C41" s="1023"/>
      <c r="D41" s="797"/>
      <c r="E41" s="797"/>
      <c r="F41" s="1026"/>
      <c r="G41" s="1015"/>
      <c r="H41" s="254"/>
      <c r="I41" s="1023"/>
      <c r="J41" s="797"/>
      <c r="K41" s="797"/>
      <c r="L41" s="1026"/>
      <c r="M41" s="1015"/>
      <c r="N41" s="254"/>
      <c r="O41" s="1023"/>
      <c r="P41" s="797"/>
      <c r="Q41" s="797"/>
      <c r="R41" s="1026"/>
      <c r="S41" s="1015"/>
      <c r="T41" s="254"/>
      <c r="U41" s="1023"/>
      <c r="V41" s="797"/>
      <c r="W41" s="797"/>
      <c r="X41" s="1026"/>
      <c r="Y41" s="1015"/>
      <c r="Z41" s="254"/>
      <c r="AA41" s="1023"/>
      <c r="AB41" s="797"/>
      <c r="AC41" s="797"/>
      <c r="AD41" s="1026"/>
      <c r="AE41" s="1015"/>
      <c r="AF41" s="254"/>
      <c r="AG41" s="1023"/>
      <c r="AH41" s="797"/>
      <c r="AI41" s="797"/>
      <c r="AJ41" s="1026"/>
      <c r="AK41" s="1015"/>
      <c r="AL41" s="254"/>
      <c r="AM41" s="1023"/>
      <c r="AN41" s="797"/>
      <c r="AO41" s="797"/>
      <c r="AP41" s="1026"/>
      <c r="AQ41" s="1015"/>
      <c r="AR41" s="254"/>
      <c r="AS41" s="1023"/>
      <c r="AT41" s="797"/>
      <c r="AU41" s="797"/>
      <c r="AV41" s="1026"/>
      <c r="AW41" s="1015"/>
      <c r="AX41" s="254"/>
      <c r="AY41" s="1038">
        <v>5.8000000000000003E-2</v>
      </c>
      <c r="AZ41" s="1039">
        <v>2.5000000000000001E-2</v>
      </c>
      <c r="BA41" s="1039">
        <v>6.2E-2</v>
      </c>
      <c r="BB41" s="1026">
        <v>6.6000000000000003E-2</v>
      </c>
      <c r="BC41" s="1027">
        <v>4.7E-2</v>
      </c>
      <c r="BD41" s="254"/>
      <c r="BE41" s="1023">
        <v>5.7000000000000002E-2</v>
      </c>
      <c r="BF41" s="798">
        <v>1.2E-2</v>
      </c>
      <c r="BG41" s="798">
        <v>-3.2000000000000001E-2</v>
      </c>
      <c r="BH41" s="1026">
        <v>-7.0000000000000007E-2</v>
      </c>
      <c r="BI41" s="1027">
        <v>-8.9999999999999993E-3</v>
      </c>
      <c r="BJ41" s="254"/>
      <c r="BK41" s="1022">
        <f>+BK38-BK40</f>
        <v>-0.113</v>
      </c>
      <c r="BL41" s="407">
        <f>+BL38-BL40</f>
        <v>-0.111</v>
      </c>
      <c r="BM41" s="407">
        <f>+BM38-BM40</f>
        <v>7.1000000000000008E-2</v>
      </c>
      <c r="BN41" s="407">
        <f>+BN38-BN40</f>
        <v>9.7000000000000003E-2</v>
      </c>
      <c r="BO41" s="742">
        <f t="shared" si="46"/>
        <v>-1.7645147250834183E-2</v>
      </c>
      <c r="BP41" s="254"/>
      <c r="BQ41" s="1022">
        <f>+BQ38-BQ40</f>
        <v>-7.0000000000000007E-2</v>
      </c>
      <c r="BR41" s="407">
        <f>+BR38-BR40</f>
        <v>0.01</v>
      </c>
      <c r="BS41" s="407">
        <f>+BS38-BS40</f>
        <v>0.04</v>
      </c>
      <c r="BT41" s="407">
        <f>+BT38-BT40</f>
        <v>0.04</v>
      </c>
      <c r="BU41" s="742">
        <f t="shared" ref="BU41:BU42" si="54">+SUMPRODUCT(BQ41:BT41,BK$36:BN$36)/BO$36</f>
        <v>7.625291375291372E-3</v>
      </c>
      <c r="BV41" s="254"/>
      <c r="BW41" s="1022">
        <f>+BW38-BW40</f>
        <v>3.5000000000000003E-2</v>
      </c>
      <c r="BX41" s="407">
        <f>+BX38-BX40</f>
        <v>3.5000000000000003E-2</v>
      </c>
      <c r="BY41" s="407">
        <f>+BY38-BY40</f>
        <v>3.5000000000000003E-2</v>
      </c>
      <c r="BZ41" s="407">
        <f>+BZ38-BZ40</f>
        <v>3.5000000000000003E-2</v>
      </c>
      <c r="CA41" s="742">
        <f t="shared" ref="CA41:CA42" si="55">+SUMPRODUCT(BW41:BZ41,BQ$36:BT$36)/BU$36</f>
        <v>3.4999999999999996E-2</v>
      </c>
      <c r="CB41" s="254"/>
      <c r="CC41" s="1022">
        <f t="shared" ref="CC41:CF41" si="56">+CC38-CC40</f>
        <v>3.5000000000000003E-2</v>
      </c>
      <c r="CD41" s="407">
        <f t="shared" si="56"/>
        <v>3.5000000000000003E-2</v>
      </c>
      <c r="CE41" s="407">
        <f t="shared" si="56"/>
        <v>3.5000000000000003E-2</v>
      </c>
      <c r="CF41" s="407">
        <f t="shared" si="56"/>
        <v>3.5000000000000003E-2</v>
      </c>
      <c r="CG41" s="742">
        <f t="shared" ref="CG41" si="57">+SUMPRODUCT(CC41:CF41,BW$36:BZ$36)/CA$36</f>
        <v>3.4999999999999996E-2</v>
      </c>
      <c r="CH41" s="254"/>
      <c r="CI41" s="1022">
        <f t="shared" ref="CI41:CL41" si="58">+CI38-CI40</f>
        <v>3.5000000000000003E-2</v>
      </c>
      <c r="CJ41" s="407">
        <f t="shared" si="58"/>
        <v>3.5000000000000003E-2</v>
      </c>
      <c r="CK41" s="407">
        <f t="shared" si="58"/>
        <v>3.5000000000000003E-2</v>
      </c>
      <c r="CL41" s="407">
        <f t="shared" si="58"/>
        <v>3.5000000000000003E-2</v>
      </c>
      <c r="CM41" s="742">
        <f t="shared" ref="CM41" si="59">+SUMPRODUCT(CI41:CL41,CC$36:CF$36)/CG$36</f>
        <v>3.4999999999999996E-2</v>
      </c>
      <c r="CN41" s="65"/>
      <c r="CQ41"/>
      <c r="CR41"/>
      <c r="CS41"/>
      <c r="CT41"/>
      <c r="CU41"/>
      <c r="CV41"/>
    </row>
    <row r="42" spans="1:100" s="31" customFormat="1" x14ac:dyDescent="0.2">
      <c r="B42" s="934" t="s">
        <v>710</v>
      </c>
      <c r="C42" s="1023"/>
      <c r="D42" s="797"/>
      <c r="E42" s="797"/>
      <c r="F42" s="1026"/>
      <c r="G42" s="742"/>
      <c r="H42" s="723"/>
      <c r="I42" s="1023"/>
      <c r="J42" s="797"/>
      <c r="K42" s="797"/>
      <c r="L42" s="1026"/>
      <c r="M42" s="742"/>
      <c r="N42" s="723"/>
      <c r="O42" s="1023"/>
      <c r="P42" s="797"/>
      <c r="Q42" s="797"/>
      <c r="R42" s="1026"/>
      <c r="S42" s="742"/>
      <c r="T42" s="723"/>
      <c r="U42" s="1023"/>
      <c r="V42" s="797"/>
      <c r="W42" s="797"/>
      <c r="X42" s="1026"/>
      <c r="Y42" s="742"/>
      <c r="Z42" s="723"/>
      <c r="AA42" s="1023"/>
      <c r="AB42" s="797"/>
      <c r="AC42" s="797"/>
      <c r="AD42" s="1026"/>
      <c r="AE42" s="742"/>
      <c r="AF42" s="254"/>
      <c r="AG42" s="1023"/>
      <c r="AH42" s="797"/>
      <c r="AI42" s="797"/>
      <c r="AJ42" s="1026"/>
      <c r="AK42" s="742"/>
      <c r="AL42" s="254"/>
      <c r="AM42" s="1023"/>
      <c r="AN42" s="797"/>
      <c r="AO42" s="797"/>
      <c r="AP42" s="1026"/>
      <c r="AQ42" s="742"/>
      <c r="AR42" s="254"/>
      <c r="AS42" s="1023"/>
      <c r="AT42" s="797"/>
      <c r="AU42" s="797"/>
      <c r="AV42" s="1026"/>
      <c r="AW42" s="1015"/>
      <c r="AX42" s="254"/>
      <c r="AY42" s="1023"/>
      <c r="AZ42" s="797"/>
      <c r="BA42" s="797"/>
      <c r="BB42" s="1026"/>
      <c r="BC42" s="742"/>
      <c r="BD42" s="254"/>
      <c r="BE42" s="1040"/>
      <c r="BF42" s="1256"/>
      <c r="BG42" s="1256"/>
      <c r="BH42" s="1448">
        <f>-29.5/BB36</f>
        <v>-8.5235481074833863E-2</v>
      </c>
      <c r="BI42" s="742"/>
      <c r="BJ42" s="254"/>
      <c r="BK42" s="1023">
        <f>-42/BE36</f>
        <v>-0.12082853855005753</v>
      </c>
      <c r="BL42" s="1254">
        <f>(-14-30)/BF36</f>
        <v>-0.11989100817438691</v>
      </c>
      <c r="BM42" s="1039">
        <f>18/BG36</f>
        <v>5.3683268714583954E-2</v>
      </c>
      <c r="BN42" s="1448">
        <f>23/BH36</f>
        <v>6.9972619409796169E-2</v>
      </c>
      <c r="BO42" s="742">
        <f t="shared" si="46"/>
        <v>-3.2641810532424195E-2</v>
      </c>
      <c r="BP42" s="254"/>
      <c r="BQ42" s="1040">
        <f>-35/BK36</f>
        <v>-0.11160714285714285</v>
      </c>
      <c r="BR42" s="800">
        <f>-10/BL36</f>
        <v>-3.0156815440289503E-2</v>
      </c>
      <c r="BS42" s="800"/>
      <c r="BT42" s="1041"/>
      <c r="BU42" s="742">
        <f t="shared" si="54"/>
        <v>-3.277972027972028E-2</v>
      </c>
      <c r="BV42" s="254"/>
      <c r="BW42" s="1040"/>
      <c r="BX42" s="800"/>
      <c r="BY42" s="800"/>
      <c r="BZ42" s="1041"/>
      <c r="CA42" s="742">
        <f t="shared" si="55"/>
        <v>0</v>
      </c>
      <c r="CB42" s="52"/>
      <c r="CC42" s="1040"/>
      <c r="CD42" s="800"/>
      <c r="CE42" s="800"/>
      <c r="CF42" s="1041"/>
      <c r="CG42" s="742"/>
      <c r="CH42" s="65"/>
      <c r="CI42" s="1040"/>
      <c r="CJ42" s="800"/>
      <c r="CK42" s="800"/>
      <c r="CL42" s="1041"/>
      <c r="CM42" s="742"/>
      <c r="CN42" s="65"/>
      <c r="CQ42" s="1430"/>
      <c r="CR42" s="1430"/>
      <c r="CS42" s="1430"/>
      <c r="CT42" s="1430"/>
      <c r="CU42" s="1430"/>
      <c r="CV42" s="1430"/>
    </row>
    <row r="43" spans="1:100" s="31" customFormat="1" x14ac:dyDescent="0.2">
      <c r="B43" s="1034" t="s">
        <v>589</v>
      </c>
      <c r="C43" s="1035"/>
      <c r="D43" s="1036"/>
      <c r="E43" s="1036"/>
      <c r="F43" s="1036"/>
      <c r="G43" s="1037"/>
      <c r="H43" s="1043"/>
      <c r="I43" s="1035"/>
      <c r="J43" s="1036"/>
      <c r="K43" s="1036"/>
      <c r="L43" s="1036"/>
      <c r="M43" s="1037"/>
      <c r="N43" s="1043"/>
      <c r="O43" s="1035"/>
      <c r="P43" s="1036"/>
      <c r="Q43" s="1036"/>
      <c r="R43" s="1036"/>
      <c r="S43" s="1037"/>
      <c r="T43" s="1043"/>
      <c r="U43" s="1035"/>
      <c r="V43" s="1036"/>
      <c r="W43" s="1036"/>
      <c r="X43" s="1036"/>
      <c r="Y43" s="1037"/>
      <c r="Z43" s="1043"/>
      <c r="AA43" s="1035"/>
      <c r="AB43" s="1036"/>
      <c r="AC43" s="1036"/>
      <c r="AD43" s="1036"/>
      <c r="AE43" s="1037"/>
      <c r="AF43" s="1043"/>
      <c r="AG43" s="1035"/>
      <c r="AH43" s="1036"/>
      <c r="AI43" s="1036"/>
      <c r="AJ43" s="1036"/>
      <c r="AK43" s="1037"/>
      <c r="AL43" s="1043"/>
      <c r="AM43" s="1035"/>
      <c r="AN43" s="1036"/>
      <c r="AO43" s="1036"/>
      <c r="AP43" s="1036"/>
      <c r="AQ43" s="1037"/>
      <c r="AR43" s="1043"/>
      <c r="AS43" s="1035"/>
      <c r="AT43" s="1036"/>
      <c r="AU43" s="1036"/>
      <c r="AV43" s="1036"/>
      <c r="AW43" s="1037"/>
      <c r="AX43" s="1043"/>
      <c r="AY43" s="1035">
        <f>+AY38-AY40</f>
        <v>5.8000000000000003E-2</v>
      </c>
      <c r="AZ43" s="1036">
        <f>+AZ38-AZ40</f>
        <v>2.5000000000000001E-2</v>
      </c>
      <c r="BA43" s="1036">
        <f>+BA38-BA40</f>
        <v>6.0999999999999992E-2</v>
      </c>
      <c r="BB43" s="1036">
        <f>+BB38-BB40</f>
        <v>6.7000000000000004E-2</v>
      </c>
      <c r="BC43" s="1037">
        <f>+SUMPRODUCT(AY43:BB43,AS$36:AV$36)/AW$36</f>
        <v>5.207506225317942E-2</v>
      </c>
      <c r="BD43" s="1043"/>
      <c r="BE43" s="1035">
        <f>+BE41</f>
        <v>5.7000000000000002E-2</v>
      </c>
      <c r="BF43" s="1036">
        <f>+BF41</f>
        <v>1.2E-2</v>
      </c>
      <c r="BG43" s="1287">
        <v>0.02</v>
      </c>
      <c r="BH43" s="1255">
        <f>+BH41-BH42</f>
        <v>1.5235481074833856E-2</v>
      </c>
      <c r="BI43" s="1037">
        <f>+SUMPRODUCT(BE43:BH43,AY$36:BB$36)/BC$36</f>
        <v>2.5385026737967914E-2</v>
      </c>
      <c r="BJ43" s="1043"/>
      <c r="BK43" s="1035">
        <f>+BK41-BK42</f>
        <v>7.8285385500575233E-3</v>
      </c>
      <c r="BL43" s="1036">
        <f>+BL41-BL42</f>
        <v>8.8910081743869135E-3</v>
      </c>
      <c r="BM43" s="1036">
        <f>+BM41-BM42</f>
        <v>1.7316731285416054E-2</v>
      </c>
      <c r="BN43" s="1036">
        <f>+BN41-BN42</f>
        <v>2.7027380590203834E-2</v>
      </c>
      <c r="BO43" s="1037">
        <f t="shared" si="46"/>
        <v>1.4996663281590014E-2</v>
      </c>
      <c r="BP43" s="1043"/>
      <c r="BQ43" s="1035">
        <f>+BQ41-BQ42</f>
        <v>4.1607142857142843E-2</v>
      </c>
      <c r="BR43" s="1036">
        <f>+BR41-BR42</f>
        <v>4.0156815440289505E-2</v>
      </c>
      <c r="BS43" s="1036">
        <f>+BS41-BS42</f>
        <v>0.04</v>
      </c>
      <c r="BT43" s="1036">
        <f>+BT41-BT42</f>
        <v>0.04</v>
      </c>
      <c r="BU43" s="1037">
        <f>+SUMPRODUCT(BQ43:BT43,BK$36:BN$36)/BO$36</f>
        <v>4.0405011655011661E-2</v>
      </c>
      <c r="BV43" s="1043"/>
      <c r="BW43" s="1035">
        <f>+BW38-BW40</f>
        <v>3.5000000000000003E-2</v>
      </c>
      <c r="BX43" s="1036">
        <f>+BX38-BX40</f>
        <v>3.5000000000000003E-2</v>
      </c>
      <c r="BY43" s="1036">
        <f>+BY38-BY40</f>
        <v>3.5000000000000003E-2</v>
      </c>
      <c r="BZ43" s="1036">
        <f>+BZ38-BZ40</f>
        <v>3.5000000000000003E-2</v>
      </c>
      <c r="CA43" s="1037">
        <f>+SUMPRODUCT(BW43:BZ43,BQ$36:BT$36)/BU$36</f>
        <v>3.4999999999999996E-2</v>
      </c>
      <c r="CB43" s="1044"/>
      <c r="CC43" s="1035">
        <f>+CC38-CC40</f>
        <v>3.5000000000000003E-2</v>
      </c>
      <c r="CD43" s="1036">
        <f>+CD38-CD40</f>
        <v>3.5000000000000003E-2</v>
      </c>
      <c r="CE43" s="1036">
        <f>+CE38-CE40</f>
        <v>3.5000000000000003E-2</v>
      </c>
      <c r="CF43" s="1036">
        <f>+CF38-CF40</f>
        <v>3.5000000000000003E-2</v>
      </c>
      <c r="CG43" s="1037">
        <f>+SUMPRODUCT(CC43:CF43,BW$36:BZ$36)/CA$36</f>
        <v>3.4999999999999996E-2</v>
      </c>
      <c r="CH43" s="1044"/>
      <c r="CI43" s="1035">
        <f>+CI38-CI40</f>
        <v>3.5000000000000003E-2</v>
      </c>
      <c r="CJ43" s="1036">
        <f>+CJ38-CJ40</f>
        <v>3.5000000000000003E-2</v>
      </c>
      <c r="CK43" s="1036">
        <f>+CK38-CK40</f>
        <v>3.5000000000000003E-2</v>
      </c>
      <c r="CL43" s="1036">
        <f>+CL38-CL40</f>
        <v>3.5000000000000003E-2</v>
      </c>
      <c r="CM43" s="1037">
        <f>+SUMPRODUCT(CI43:CL43,CC$36:CF$36)/CG$36</f>
        <v>3.4999999999999996E-2</v>
      </c>
      <c r="CN43" s="65"/>
      <c r="CQ43"/>
      <c r="CR43"/>
      <c r="CS43"/>
      <c r="CT43"/>
      <c r="CU43"/>
      <c r="CV43"/>
    </row>
    <row r="44" spans="1:100" s="31" customFormat="1" x14ac:dyDescent="0.2">
      <c r="B44" s="934"/>
      <c r="C44" s="1023"/>
      <c r="D44" s="797"/>
      <c r="E44" s="797"/>
      <c r="F44" s="1026"/>
      <c r="G44" s="742"/>
      <c r="H44" s="723"/>
      <c r="I44" s="1023"/>
      <c r="J44" s="797"/>
      <c r="K44" s="797"/>
      <c r="L44" s="1026"/>
      <c r="M44" s="742"/>
      <c r="N44" s="723"/>
      <c r="O44" s="1023"/>
      <c r="P44" s="797"/>
      <c r="Q44" s="797"/>
      <c r="R44" s="1026"/>
      <c r="S44" s="742"/>
      <c r="T44" s="723"/>
      <c r="U44" s="1023"/>
      <c r="V44" s="797"/>
      <c r="W44" s="797"/>
      <c r="X44" s="1026"/>
      <c r="Y44" s="742"/>
      <c r="Z44" s="723"/>
      <c r="AA44" s="1023"/>
      <c r="AB44" s="797"/>
      <c r="AC44" s="797"/>
      <c r="AD44" s="1026"/>
      <c r="AE44" s="742"/>
      <c r="AF44" s="254"/>
      <c r="AG44" s="1023"/>
      <c r="AH44" s="797"/>
      <c r="AI44" s="797"/>
      <c r="AJ44" s="1026"/>
      <c r="AK44" s="742"/>
      <c r="AL44" s="254"/>
      <c r="AM44" s="1023"/>
      <c r="AN44" s="797"/>
      <c r="AO44" s="797"/>
      <c r="AP44" s="1026"/>
      <c r="AQ44" s="742"/>
      <c r="AR44" s="254"/>
      <c r="AS44" s="1023"/>
      <c r="AT44" s="797"/>
      <c r="AU44" s="797"/>
      <c r="AV44" s="1026"/>
      <c r="AW44" s="1015"/>
      <c r="AX44" s="254"/>
      <c r="AY44" s="1023"/>
      <c r="AZ44" s="797"/>
      <c r="BA44" s="797"/>
      <c r="BB44" s="1026"/>
      <c r="BC44" s="742"/>
      <c r="BD44" s="254"/>
      <c r="BE44" s="1040"/>
      <c r="BF44" s="1256"/>
      <c r="BG44" s="1256"/>
      <c r="BH44" s="1041"/>
      <c r="BI44" s="742"/>
      <c r="BJ44" s="254"/>
      <c r="BK44" s="1040"/>
      <c r="BL44" s="1256"/>
      <c r="BM44" s="800"/>
      <c r="BN44" s="1041"/>
      <c r="BO44" s="1447"/>
      <c r="BP44" s="254"/>
      <c r="BQ44" s="1040"/>
      <c r="BR44" s="800"/>
      <c r="BS44" s="800"/>
      <c r="BT44" s="1041"/>
      <c r="BU44" s="742"/>
      <c r="BV44" s="254"/>
      <c r="BW44" s="1040"/>
      <c r="BX44" s="800"/>
      <c r="BY44" s="800"/>
      <c r="BZ44" s="1041"/>
      <c r="CA44" s="742"/>
      <c r="CB44" s="52"/>
      <c r="CC44" s="1040"/>
      <c r="CD44" s="800"/>
      <c r="CE44" s="800"/>
      <c r="CF44" s="1041"/>
      <c r="CG44" s="742"/>
      <c r="CH44" s="65"/>
      <c r="CI44" s="1040"/>
      <c r="CJ44" s="800"/>
      <c r="CK44" s="800"/>
      <c r="CL44" s="1041"/>
      <c r="CM44" s="742"/>
      <c r="CN44" s="796"/>
      <c r="CQ44"/>
      <c r="CR44"/>
      <c r="CS44"/>
      <c r="CT44"/>
      <c r="CU44"/>
      <c r="CV44"/>
    </row>
    <row r="45" spans="1:100" s="1017" customFormat="1" ht="11.25" customHeight="1" x14ac:dyDescent="0.2">
      <c r="A45" s="27"/>
      <c r="B45" s="950" t="s">
        <v>366</v>
      </c>
      <c r="C45" s="944"/>
      <c r="D45" s="945"/>
      <c r="E45" s="945"/>
      <c r="F45" s="945"/>
      <c r="G45" s="946"/>
      <c r="H45" s="945"/>
      <c r="I45" s="944"/>
      <c r="J45" s="945"/>
      <c r="K45" s="945"/>
      <c r="L45" s="945"/>
      <c r="M45" s="946"/>
      <c r="N45" s="1021"/>
      <c r="O45" s="944"/>
      <c r="P45" s="945"/>
      <c r="Q45" s="945"/>
      <c r="R45" s="945"/>
      <c r="S45" s="946"/>
      <c r="T45" s="947"/>
      <c r="U45" s="944"/>
      <c r="V45" s="945"/>
      <c r="W45" s="945"/>
      <c r="X45" s="945"/>
      <c r="Y45" s="946"/>
      <c r="Z45" s="947"/>
      <c r="AA45" s="944"/>
      <c r="AB45" s="945"/>
      <c r="AC45" s="945"/>
      <c r="AD45" s="945"/>
      <c r="AE45" s="946"/>
      <c r="AF45" s="948"/>
      <c r="AG45" s="944"/>
      <c r="AH45" s="945"/>
      <c r="AI45" s="945"/>
      <c r="AJ45" s="945"/>
      <c r="AK45" s="946"/>
      <c r="AL45" s="948"/>
      <c r="AM45" s="944"/>
      <c r="AN45" s="945"/>
      <c r="AO45" s="945"/>
      <c r="AP45" s="945"/>
      <c r="AQ45" s="946"/>
      <c r="AR45" s="948"/>
      <c r="AS45" s="1024">
        <f>+AY45/(1+AY46)</f>
        <v>427.59856630824373</v>
      </c>
      <c r="AT45" s="1025">
        <f>+AZ45/(1+AZ46)</f>
        <v>433.93461104847796</v>
      </c>
      <c r="AU45" s="1025">
        <f>+BA45/(1+BA46)</f>
        <v>410.52009456264778</v>
      </c>
      <c r="AV45" s="1025">
        <f>+BB45/(1+BB46)</f>
        <v>419.90846681922199</v>
      </c>
      <c r="AW45" s="946">
        <f>+SUM(AS45:AV45)</f>
        <v>1691.9617387385915</v>
      </c>
      <c r="AX45" s="948"/>
      <c r="AY45" s="944">
        <v>357.9</v>
      </c>
      <c r="AZ45" s="945">
        <v>384.9</v>
      </c>
      <c r="BA45" s="945">
        <v>347.3</v>
      </c>
      <c r="BB45" s="945">
        <v>367</v>
      </c>
      <c r="BC45" s="946">
        <f>+SUM(AY45:BB45)</f>
        <v>1457.1</v>
      </c>
      <c r="BD45" s="949"/>
      <c r="BE45" s="944">
        <v>359</v>
      </c>
      <c r="BF45" s="945">
        <f>382.2+0.5</f>
        <v>382.7</v>
      </c>
      <c r="BG45" s="945">
        <v>348.8</v>
      </c>
      <c r="BH45" s="945">
        <v>391.9</v>
      </c>
      <c r="BI45" s="946">
        <f>+SUM(BE45:BH45)</f>
        <v>1482.4</v>
      </c>
      <c r="BJ45" s="949"/>
      <c r="BK45" s="1437">
        <v>364.1</v>
      </c>
      <c r="BL45" s="945">
        <v>395</v>
      </c>
      <c r="BM45" s="945">
        <v>379.6</v>
      </c>
      <c r="BN45" s="945">
        <v>437</v>
      </c>
      <c r="BO45" s="946">
        <f>+SUM(BK45:BN45)</f>
        <v>1575.7</v>
      </c>
      <c r="BP45" s="949"/>
      <c r="BQ45" s="1024">
        <f>+BK45*(1+BQ46)</f>
        <v>400.51000000000005</v>
      </c>
      <c r="BR45" s="1025">
        <f>+BL45*(1+BR46)</f>
        <v>426.6</v>
      </c>
      <c r="BS45" s="1025">
        <f>+BM45*(1+BS46)</f>
        <v>406.17200000000003</v>
      </c>
      <c r="BT45" s="1025">
        <f>+BN45*(1+BT46)</f>
        <v>471.96000000000004</v>
      </c>
      <c r="BU45" s="946">
        <f>+SUM(BQ45:BT45)</f>
        <v>1705.2420000000002</v>
      </c>
      <c r="BV45" s="949"/>
      <c r="BW45" s="1024">
        <f>+BQ45*(1+BW46)</f>
        <v>412.52530000000007</v>
      </c>
      <c r="BX45" s="1025">
        <f>+BR45*(1+BX46)</f>
        <v>452.19600000000003</v>
      </c>
      <c r="BY45" s="1025">
        <f>+BS45*(1+BY46)</f>
        <v>426.48060000000004</v>
      </c>
      <c r="BZ45" s="1025">
        <f>+BT45*(1+BZ46)</f>
        <v>486.11880000000008</v>
      </c>
      <c r="CA45" s="946">
        <f>+SUM(BW45:BZ45)</f>
        <v>1777.3207000000002</v>
      </c>
      <c r="CB45" s="949"/>
      <c r="CC45" s="1024">
        <f>+BW45*(1+CC46)</f>
        <v>422.83843250000001</v>
      </c>
      <c r="CD45" s="1025">
        <f>+BX45*(1+CD46)</f>
        <v>452.19600000000003</v>
      </c>
      <c r="CE45" s="1025">
        <f>+BY45*(1+CE46)</f>
        <v>428.61300299999999</v>
      </c>
      <c r="CF45" s="1025">
        <f>+BZ45*(1+CF46)</f>
        <v>498.27177000000006</v>
      </c>
      <c r="CG45" s="946">
        <f>+SUM(CC45:CF45)</f>
        <v>1801.9192055000001</v>
      </c>
      <c r="CH45" s="948"/>
      <c r="CI45" s="1024">
        <f>+CC45*(1+CI46)</f>
        <v>435.523585475</v>
      </c>
      <c r="CJ45" s="1025">
        <f>+CD45*(1+CJ46)</f>
        <v>483.84972000000005</v>
      </c>
      <c r="CK45" s="1025">
        <f>+CE45*(1+CK46)</f>
        <v>454.32978317999999</v>
      </c>
      <c r="CL45" s="1025">
        <f>+CF45*(1+CL46)</f>
        <v>513.21992310000007</v>
      </c>
      <c r="CM45" s="946">
        <f>+SUM(CI45:CL45)</f>
        <v>1886.9230117550001</v>
      </c>
      <c r="CN45" s="62"/>
      <c r="CQ45"/>
      <c r="CR45"/>
      <c r="CS45"/>
      <c r="CT45"/>
      <c r="CU45"/>
      <c r="CV45"/>
    </row>
    <row r="46" spans="1:100" s="31" customFormat="1" outlineLevel="1" x14ac:dyDescent="0.2">
      <c r="B46" s="934" t="s">
        <v>540</v>
      </c>
      <c r="C46" s="1022"/>
      <c r="D46" s="405"/>
      <c r="E46" s="405"/>
      <c r="F46" s="405"/>
      <c r="G46" s="742"/>
      <c r="H46" s="254"/>
      <c r="I46" s="1022"/>
      <c r="J46" s="405"/>
      <c r="K46" s="405"/>
      <c r="L46" s="405"/>
      <c r="M46" s="742"/>
      <c r="N46" s="254"/>
      <c r="O46" s="1022"/>
      <c r="P46" s="405"/>
      <c r="Q46" s="405"/>
      <c r="R46" s="405"/>
      <c r="S46" s="742"/>
      <c r="T46" s="254"/>
      <c r="U46" s="1022"/>
      <c r="V46" s="405"/>
      <c r="W46" s="405"/>
      <c r="X46" s="405"/>
      <c r="Y46" s="742"/>
      <c r="Z46" s="254"/>
      <c r="AA46" s="1022"/>
      <c r="AB46" s="1039"/>
      <c r="AC46" s="1039"/>
      <c r="AD46" s="1039"/>
      <c r="AE46" s="742"/>
      <c r="AF46" s="254"/>
      <c r="AG46" s="1038"/>
      <c r="AH46" s="1039"/>
      <c r="AI46" s="1039"/>
      <c r="AJ46" s="1039"/>
      <c r="AK46" s="742"/>
      <c r="AL46" s="254"/>
      <c r="AM46" s="1038"/>
      <c r="AN46" s="1039"/>
      <c r="AO46" s="1039"/>
      <c r="AP46" s="1039"/>
      <c r="AQ46" s="742"/>
      <c r="AR46" s="254"/>
      <c r="AS46" s="1038"/>
      <c r="AT46" s="1039"/>
      <c r="AU46" s="1039"/>
      <c r="AV46" s="1039"/>
      <c r="AW46" s="742"/>
      <c r="AX46" s="254"/>
      <c r="AY46" s="1038">
        <v>-0.16300000000000001</v>
      </c>
      <c r="AZ46" s="1039">
        <v>-0.113</v>
      </c>
      <c r="BA46" s="1039">
        <v>-0.154</v>
      </c>
      <c r="BB46" s="1039">
        <v>-0.126</v>
      </c>
      <c r="BC46" s="742">
        <f>+SUMPRODUCT(AY46:BB46,AS$45:AV$45)/AW$45</f>
        <v>-0.13881031311836164</v>
      </c>
      <c r="BD46" s="254"/>
      <c r="BE46" s="1022">
        <f>+BE45/AY45-1</f>
        <v>3.0734842134674256E-3</v>
      </c>
      <c r="BF46" s="407">
        <f>+BF45/AZ45-1</f>
        <v>-5.7157703299558493E-3</v>
      </c>
      <c r="BG46" s="407">
        <f>+BG45/BA45-1</f>
        <v>4.319032536711731E-3</v>
      </c>
      <c r="BH46" s="1254">
        <v>6.7000000000000004E-2</v>
      </c>
      <c r="BI46" s="742">
        <f>+SUMPRODUCT(BE46:BH46,AY$45:BB$45)/BC$45</f>
        <v>1.7149818131905824E-2</v>
      </c>
      <c r="BJ46" s="254"/>
      <c r="BK46" s="1022">
        <f>+BK45/BE45-1</f>
        <v>1.4206128133704699E-2</v>
      </c>
      <c r="BL46" s="407">
        <f>+BL45/BF45-1</f>
        <v>3.2140057486281792E-2</v>
      </c>
      <c r="BM46" s="407">
        <f>+BM45/BG45-1</f>
        <v>8.830275229357798E-2</v>
      </c>
      <c r="BN46" s="407">
        <f>+BN45/BH45-1</f>
        <v>0.11508037764735901</v>
      </c>
      <c r="BO46" s="742">
        <f t="shared" ref="BO46:BO52" si="60">+SUMPRODUCT(BK46:BN46,BE$45:BH$45)/BI$45</f>
        <v>6.293847814355101E-2</v>
      </c>
      <c r="BP46" s="254"/>
      <c r="BQ46" s="1022">
        <f>+BQ47+BQ48</f>
        <v>9.9999999999999992E-2</v>
      </c>
      <c r="BR46" s="405">
        <f>+BR47+BR48</f>
        <v>0.08</v>
      </c>
      <c r="BS46" s="405">
        <f>+BS47+BS48</f>
        <v>7.0000000000000007E-2</v>
      </c>
      <c r="BT46" s="405">
        <f>+BT47+BT48</f>
        <v>0.08</v>
      </c>
      <c r="BU46" s="742">
        <f t="shared" ref="BU46:BU52" si="61">+SUMPRODUCT(BQ46:BT46,BK$45:BN$45)/BO$45</f>
        <v>8.2212350066637047E-2</v>
      </c>
      <c r="BV46" s="254"/>
      <c r="BW46" s="1022">
        <f>+BW47+BW48</f>
        <v>0.03</v>
      </c>
      <c r="BX46" s="405">
        <f>+BX47+BX48</f>
        <v>0.06</v>
      </c>
      <c r="BY46" s="405">
        <f>+BY47+BY48</f>
        <v>4.9999999999999996E-2</v>
      </c>
      <c r="BZ46" s="405">
        <f>+BZ47+BZ48</f>
        <v>0.03</v>
      </c>
      <c r="CA46" s="742">
        <f>+SUMPRODUCT(BW46:BZ46,BQ$45:BT$45)/BU$45</f>
        <v>4.2268897904227075E-2</v>
      </c>
      <c r="CB46" s="52"/>
      <c r="CC46" s="1022">
        <f>+CC47+CC48</f>
        <v>2.4999999999999998E-2</v>
      </c>
      <c r="CD46" s="405">
        <f>+CD47+CD48</f>
        <v>0</v>
      </c>
      <c r="CE46" s="405">
        <f>+CE47+CE48</f>
        <v>5.0000000000000001E-3</v>
      </c>
      <c r="CF46" s="405">
        <f>+CF47+CF48</f>
        <v>2.4999999999999998E-2</v>
      </c>
      <c r="CG46" s="742">
        <f>+SUMPRODUCT(CC46:CF46,BW$45:BZ$45)/CA$45</f>
        <v>1.3840217750234945E-2</v>
      </c>
      <c r="CH46" s="65"/>
      <c r="CI46" s="1022">
        <f>+CI47+CI48</f>
        <v>0.03</v>
      </c>
      <c r="CJ46" s="405">
        <f>+CJ47+CJ48</f>
        <v>7.0000000000000007E-2</v>
      </c>
      <c r="CK46" s="405">
        <f>+CK47+CK48</f>
        <v>6.0000000000000005E-2</v>
      </c>
      <c r="CL46" s="405">
        <f>+CL47+CL48</f>
        <v>0.03</v>
      </c>
      <c r="CM46" s="742">
        <f>+SUMPRODUCT(CI46:CL46,CC$45:CF$45)/CG$45</f>
        <v>4.717403865586358E-2</v>
      </c>
      <c r="CN46" s="65"/>
      <c r="CQ46"/>
      <c r="CR46"/>
      <c r="CS46"/>
      <c r="CT46"/>
      <c r="CU46"/>
      <c r="CV46"/>
    </row>
    <row r="47" spans="1:100" s="31" customFormat="1" outlineLevel="1" x14ac:dyDescent="0.2">
      <c r="B47" s="934" t="s">
        <v>588</v>
      </c>
      <c r="C47" s="1023"/>
      <c r="D47" s="797"/>
      <c r="E47" s="797"/>
      <c r="F47" s="1026"/>
      <c r="G47" s="742"/>
      <c r="H47" s="723"/>
      <c r="I47" s="1023"/>
      <c r="J47" s="797"/>
      <c r="K47" s="797"/>
      <c r="L47" s="1026"/>
      <c r="M47" s="742"/>
      <c r="N47" s="723"/>
      <c r="O47" s="1023"/>
      <c r="P47" s="797"/>
      <c r="Q47" s="797"/>
      <c r="R47" s="1026"/>
      <c r="S47" s="742"/>
      <c r="T47" s="723"/>
      <c r="U47" s="1023"/>
      <c r="V47" s="797"/>
      <c r="W47" s="797"/>
      <c r="X47" s="1026"/>
      <c r="Y47" s="742"/>
      <c r="Z47" s="723"/>
      <c r="AA47" s="1023"/>
      <c r="AB47" s="797"/>
      <c r="AC47" s="797"/>
      <c r="AD47" s="1026"/>
      <c r="AE47" s="742"/>
      <c r="AF47" s="254"/>
      <c r="AG47" s="1023"/>
      <c r="AH47" s="797"/>
      <c r="AI47" s="797"/>
      <c r="AJ47" s="1026"/>
      <c r="AK47" s="742"/>
      <c r="AL47" s="254"/>
      <c r="AM47" s="1023"/>
      <c r="AN47" s="797"/>
      <c r="AO47" s="797"/>
      <c r="AP47" s="1026"/>
      <c r="AQ47" s="742"/>
      <c r="AR47" s="254"/>
      <c r="AS47" s="1023"/>
      <c r="AT47" s="797"/>
      <c r="AU47" s="797"/>
      <c r="AV47" s="1026"/>
      <c r="AW47" s="1015"/>
      <c r="AX47" s="254"/>
      <c r="AY47" s="1023">
        <v>7.0000000000000001E-3</v>
      </c>
      <c r="AZ47" s="797">
        <v>8.2600000000000007E-2</v>
      </c>
      <c r="BA47" s="797">
        <v>-6.0000000000000001E-3</v>
      </c>
      <c r="BB47" s="1026">
        <v>-3.0000000000000001E-3</v>
      </c>
      <c r="BC47" s="742">
        <f>+SUMPRODUCT(AY47:BB47,AS$45:AV$45)/AW$45</f>
        <v>2.0753035996609763E-2</v>
      </c>
      <c r="BD47" s="254"/>
      <c r="BE47" s="1023">
        <v>3.2000000000000001E-2</v>
      </c>
      <c r="BF47" s="798">
        <v>-4.0000000000000001E-3</v>
      </c>
      <c r="BG47" s="798">
        <v>1.6E-2</v>
      </c>
      <c r="BH47" s="798">
        <v>7.9000000000000001E-2</v>
      </c>
      <c r="BI47" s="742">
        <f>+SUMPRODUCT(BE47:BH47,AY$45:BB$45)/BC$45</f>
        <v>3.0514721021206503E-2</v>
      </c>
      <c r="BJ47" s="254"/>
      <c r="BK47" s="1023">
        <v>5.2999999999999999E-2</v>
      </c>
      <c r="BL47" s="798">
        <v>5.7000000000000002E-2</v>
      </c>
      <c r="BM47" s="798">
        <v>0.04</v>
      </c>
      <c r="BN47" s="1026">
        <v>2.5999999999999999E-2</v>
      </c>
      <c r="BO47" s="742">
        <f t="shared" si="60"/>
        <v>4.3835874257960067E-2</v>
      </c>
      <c r="BP47" s="254"/>
      <c r="BQ47" s="1040">
        <v>0.01</v>
      </c>
      <c r="BR47" s="800">
        <v>0.02</v>
      </c>
      <c r="BS47" s="800">
        <v>0.03</v>
      </c>
      <c r="BT47" s="1041">
        <v>0.04</v>
      </c>
      <c r="BU47" s="742">
        <f t="shared" si="61"/>
        <v>2.5645110109792476E-2</v>
      </c>
      <c r="BV47" s="254"/>
      <c r="BW47" s="1040">
        <v>0.03</v>
      </c>
      <c r="BX47" s="800">
        <v>0.06</v>
      </c>
      <c r="BY47" s="800">
        <f>+BX47-0.01</f>
        <v>4.9999999999999996E-2</v>
      </c>
      <c r="BZ47" s="1041">
        <v>0.03</v>
      </c>
      <c r="CA47" s="742">
        <f>+SUMPRODUCT(BW47:BZ47,BQ$45:BT$45)/BU$45</f>
        <v>4.2268897904227075E-2</v>
      </c>
      <c r="CB47" s="52"/>
      <c r="CC47" s="1040">
        <f>+BW47-0.005</f>
        <v>2.4999999999999998E-2</v>
      </c>
      <c r="CD47" s="800">
        <f>+CC47-0.025</f>
        <v>0</v>
      </c>
      <c r="CE47" s="800">
        <f>+CD47+0.005</f>
        <v>5.0000000000000001E-3</v>
      </c>
      <c r="CF47" s="1041">
        <f>+BZ47-0.005</f>
        <v>2.4999999999999998E-2</v>
      </c>
      <c r="CG47" s="742">
        <f>+SUMPRODUCT(CC47:CF47,BW$45:BZ$45)/CA$45</f>
        <v>1.3840217750234945E-2</v>
      </c>
      <c r="CH47" s="65"/>
      <c r="CI47" s="1040">
        <v>0.03</v>
      </c>
      <c r="CJ47" s="800">
        <f>+CI47+0.04</f>
        <v>7.0000000000000007E-2</v>
      </c>
      <c r="CK47" s="800">
        <f>+CJ47-0.01</f>
        <v>6.0000000000000005E-2</v>
      </c>
      <c r="CL47" s="1041">
        <f>+CI47</f>
        <v>0.03</v>
      </c>
      <c r="CM47" s="742">
        <f>+SUMPRODUCT(CI47:CL47,CC$45:CF$45)/CG$45</f>
        <v>4.717403865586358E-2</v>
      </c>
      <c r="CN47" s="65"/>
      <c r="CQ47"/>
      <c r="CR47"/>
      <c r="CS47"/>
      <c r="CT47"/>
      <c r="CU47"/>
      <c r="CV47"/>
    </row>
    <row r="48" spans="1:100" s="31" customFormat="1" outlineLevel="1" x14ac:dyDescent="0.2">
      <c r="B48" s="934" t="s">
        <v>586</v>
      </c>
      <c r="C48" s="1022"/>
      <c r="D48" s="405"/>
      <c r="E48" s="405"/>
      <c r="F48" s="405"/>
      <c r="G48" s="742"/>
      <c r="H48" s="254"/>
      <c r="I48" s="1022"/>
      <c r="J48" s="405"/>
      <c r="K48" s="405"/>
      <c r="L48" s="405"/>
      <c r="M48" s="742"/>
      <c r="N48" s="254"/>
      <c r="O48" s="1022"/>
      <c r="P48" s="405"/>
      <c r="Q48" s="405"/>
      <c r="R48" s="405"/>
      <c r="S48" s="742"/>
      <c r="T48" s="254"/>
      <c r="U48" s="1022"/>
      <c r="V48" s="405"/>
      <c r="W48" s="405"/>
      <c r="X48" s="405"/>
      <c r="Y48" s="742"/>
      <c r="Z48" s="254"/>
      <c r="AA48" s="1022"/>
      <c r="AB48" s="405"/>
      <c r="AC48" s="405"/>
      <c r="AD48" s="405"/>
      <c r="AE48" s="742"/>
      <c r="AF48" s="254"/>
      <c r="AG48" s="1022"/>
      <c r="AH48" s="405"/>
      <c r="AI48" s="405"/>
      <c r="AJ48" s="405"/>
      <c r="AK48" s="742"/>
      <c r="AL48" s="254"/>
      <c r="AM48" s="1022"/>
      <c r="AN48" s="405"/>
      <c r="AO48" s="405"/>
      <c r="AP48" s="405"/>
      <c r="AQ48" s="742"/>
      <c r="AR48" s="254"/>
      <c r="AS48" s="1022"/>
      <c r="AT48" s="405"/>
      <c r="AU48" s="405"/>
      <c r="AV48" s="405"/>
      <c r="AW48" s="742"/>
      <c r="AX48" s="254"/>
      <c r="AY48" s="1022">
        <f>AY46-AY47</f>
        <v>-0.17</v>
      </c>
      <c r="AZ48" s="405">
        <f>AZ46-AZ47</f>
        <v>-0.1956</v>
      </c>
      <c r="BA48" s="405">
        <f>BA46-BA47</f>
        <v>-0.14799999999999999</v>
      </c>
      <c r="BB48" s="405">
        <f>BB46-BB47</f>
        <v>-0.123</v>
      </c>
      <c r="BC48" s="742">
        <f>+SUMPRODUCT(AY48:BB48,AS$45:AV$45)/AW$45</f>
        <v>-0.15956334911497139</v>
      </c>
      <c r="BD48" s="254"/>
      <c r="BE48" s="1078">
        <v>-2.8000000000000001E-2</v>
      </c>
      <c r="BF48" s="1257">
        <v>-2E-3</v>
      </c>
      <c r="BG48" s="1257">
        <v>-1.0999999999999999E-2</v>
      </c>
      <c r="BH48" s="405">
        <f>BH46-BH47</f>
        <v>-1.1999999999999997E-2</v>
      </c>
      <c r="BI48" s="742">
        <f>+SUMPRODUCT(BE48:BH48,AY$45:BB$45)/BC$45</f>
        <v>-1.3050099512730767E-2</v>
      </c>
      <c r="BJ48" s="254"/>
      <c r="BK48" s="1023">
        <v>-3.5999999999999997E-2</v>
      </c>
      <c r="BL48" s="1257">
        <v>-2.4E-2</v>
      </c>
      <c r="BM48" s="1257">
        <v>4.8000000000000001E-2</v>
      </c>
      <c r="BN48" s="405">
        <f>BN46-BN47</f>
        <v>8.9080377647359016E-2</v>
      </c>
      <c r="BO48" s="742">
        <f t="shared" si="60"/>
        <v>1.99299784133837E-2</v>
      </c>
      <c r="BP48" s="254"/>
      <c r="BQ48" s="1040">
        <v>0.09</v>
      </c>
      <c r="BR48" s="800">
        <v>0.06</v>
      </c>
      <c r="BS48" s="800">
        <v>0.04</v>
      </c>
      <c r="BT48" s="800">
        <v>0.04</v>
      </c>
      <c r="BU48" s="742">
        <f t="shared" si="61"/>
        <v>5.6567239956844574E-2</v>
      </c>
      <c r="BV48" s="254"/>
      <c r="BW48" s="1040">
        <v>0</v>
      </c>
      <c r="BX48" s="800">
        <v>0</v>
      </c>
      <c r="BY48" s="800">
        <v>0</v>
      </c>
      <c r="BZ48" s="800">
        <v>0</v>
      </c>
      <c r="CA48" s="742">
        <f>+SUMPRODUCT(BW48:BZ48,BQ$45:BT$45)/BU$45</f>
        <v>0</v>
      </c>
      <c r="CB48" s="78"/>
      <c r="CC48" s="1040">
        <v>0</v>
      </c>
      <c r="CD48" s="800">
        <v>0</v>
      </c>
      <c r="CE48" s="800">
        <v>0</v>
      </c>
      <c r="CF48" s="800">
        <v>0</v>
      </c>
      <c r="CG48" s="742">
        <f>+SUMPRODUCT(CC48:CF48,BW$45:BZ$45)/CA$45</f>
        <v>0</v>
      </c>
      <c r="CH48" s="796"/>
      <c r="CI48" s="1040">
        <v>0</v>
      </c>
      <c r="CJ48" s="800">
        <v>0</v>
      </c>
      <c r="CK48" s="800">
        <v>0</v>
      </c>
      <c r="CL48" s="800">
        <v>0</v>
      </c>
      <c r="CM48" s="742">
        <f>+SUMPRODUCT(CI48:CL48,CC$45:CF$45)/CG$45</f>
        <v>0</v>
      </c>
      <c r="CN48" s="65"/>
      <c r="CQ48"/>
      <c r="CR48"/>
      <c r="CS48"/>
      <c r="CT48"/>
      <c r="CU48"/>
      <c r="CV48"/>
    </row>
    <row r="49" spans="1:100" s="31" customFormat="1" outlineLevel="1" x14ac:dyDescent="0.2">
      <c r="B49" s="934" t="s">
        <v>541</v>
      </c>
      <c r="C49" s="1023"/>
      <c r="D49" s="797"/>
      <c r="E49" s="797"/>
      <c r="F49" s="1026"/>
      <c r="G49" s="1015"/>
      <c r="H49" s="254"/>
      <c r="I49" s="1023"/>
      <c r="J49" s="797"/>
      <c r="K49" s="797"/>
      <c r="L49" s="1026"/>
      <c r="M49" s="1015"/>
      <c r="N49" s="254"/>
      <c r="O49" s="1023"/>
      <c r="P49" s="797"/>
      <c r="Q49" s="797"/>
      <c r="R49" s="1026"/>
      <c r="S49" s="1015"/>
      <c r="T49" s="254"/>
      <c r="U49" s="1023"/>
      <c r="V49" s="797"/>
      <c r="W49" s="797"/>
      <c r="X49" s="1026"/>
      <c r="Y49" s="1015"/>
      <c r="Z49" s="254"/>
      <c r="AA49" s="1023"/>
      <c r="AB49" s="797"/>
      <c r="AC49" s="797"/>
      <c r="AD49" s="1026"/>
      <c r="AE49" s="1015"/>
      <c r="AF49" s="254"/>
      <c r="AG49" s="1023"/>
      <c r="AH49" s="797"/>
      <c r="AI49" s="797"/>
      <c r="AJ49" s="1026"/>
      <c r="AK49" s="1015"/>
      <c r="AL49" s="254"/>
      <c r="AM49" s="1023"/>
      <c r="AN49" s="797"/>
      <c r="AO49" s="797"/>
      <c r="AP49" s="1026"/>
      <c r="AQ49" s="1015"/>
      <c r="AR49" s="254"/>
      <c r="AS49" s="1023"/>
      <c r="AT49" s="797"/>
      <c r="AU49" s="797"/>
      <c r="AV49" s="1026"/>
      <c r="AW49" s="1015"/>
      <c r="AX49" s="254"/>
      <c r="AY49" s="1023">
        <f>0.0048-0.0033</f>
        <v>1.4999999999999996E-3</v>
      </c>
      <c r="AZ49" s="797">
        <f>-0.003-0.003</f>
        <v>-6.0000000000000001E-3</v>
      </c>
      <c r="BA49" s="797">
        <f>-0.0015-0.0015</f>
        <v>-3.0000000000000001E-3</v>
      </c>
      <c r="BB49" s="1026">
        <f>0.0008-0.0094</f>
        <v>-8.6E-3</v>
      </c>
      <c r="BC49" s="742">
        <f>+SUMPRODUCT(AY49:BB49,AS$45:AV$45)/AW$45</f>
        <v>-4.0219484633470942E-3</v>
      </c>
      <c r="BD49" s="254"/>
      <c r="BE49" s="1022">
        <f>-(BE52-BE48-BE46)</f>
        <v>-6.592651578653258E-2</v>
      </c>
      <c r="BF49" s="407">
        <f>-(BF52-BF48-BF46)</f>
        <v>-1.071577032995585E-2</v>
      </c>
      <c r="BG49" s="407">
        <f>-(BG52-BG48-BG46)</f>
        <v>-1.8680967463288269E-2</v>
      </c>
      <c r="BH49" s="1026">
        <f>3.1%-0.4%</f>
        <v>2.7E-2</v>
      </c>
      <c r="BI49" s="742">
        <f>+SUMPRODUCT(BE49:BH49,AY$45:BB$45)/BC$45</f>
        <v>-1.6675931645048409E-2</v>
      </c>
      <c r="BJ49" s="254"/>
      <c r="BK49" s="1023">
        <v>3.1E-2</v>
      </c>
      <c r="BL49" s="1254">
        <v>3.4000000000000002E-2</v>
      </c>
      <c r="BM49" s="1254">
        <v>2.3E-2</v>
      </c>
      <c r="BN49" s="1026">
        <f>0.4%-0.1%</f>
        <v>3.0000000000000001E-3</v>
      </c>
      <c r="BO49" s="742">
        <f t="shared" si="60"/>
        <v>2.2489813815434426E-2</v>
      </c>
      <c r="BP49" s="254"/>
      <c r="BQ49" s="1040">
        <v>0</v>
      </c>
      <c r="BR49" s="800">
        <v>0</v>
      </c>
      <c r="BS49" s="800">
        <v>0</v>
      </c>
      <c r="BT49" s="1041">
        <v>0</v>
      </c>
      <c r="BU49" s="742">
        <f t="shared" si="61"/>
        <v>0</v>
      </c>
      <c r="BV49" s="254"/>
      <c r="BW49" s="1040">
        <v>0</v>
      </c>
      <c r="BX49" s="800">
        <v>0</v>
      </c>
      <c r="BY49" s="800">
        <v>0</v>
      </c>
      <c r="BZ49" s="1041">
        <v>0</v>
      </c>
      <c r="CA49" s="742">
        <f>+SUMPRODUCT(BW49:BZ49,BQ$45:BT$45)/BU$45</f>
        <v>0</v>
      </c>
      <c r="CB49" s="52"/>
      <c r="CC49" s="1040">
        <v>0</v>
      </c>
      <c r="CD49" s="800">
        <v>0</v>
      </c>
      <c r="CE49" s="800">
        <v>0</v>
      </c>
      <c r="CF49" s="1041">
        <v>0</v>
      </c>
      <c r="CG49" s="742">
        <f>+SUMPRODUCT(CC49:CF49,BW$45:BZ$45)/CA$45</f>
        <v>0</v>
      </c>
      <c r="CH49" s="65"/>
      <c r="CI49" s="1040">
        <v>0</v>
      </c>
      <c r="CJ49" s="800">
        <v>0</v>
      </c>
      <c r="CK49" s="800">
        <v>0</v>
      </c>
      <c r="CL49" s="1041">
        <v>0</v>
      </c>
      <c r="CM49" s="742">
        <f>+SUMPRODUCT(CI49:CL49,CC$45:CF$45)/CG$45</f>
        <v>0</v>
      </c>
      <c r="CN49" s="65"/>
      <c r="CQ49"/>
      <c r="CR49"/>
      <c r="CS49"/>
      <c r="CT49"/>
      <c r="CU49"/>
      <c r="CV49"/>
    </row>
    <row r="50" spans="1:100" s="31" customFormat="1" outlineLevel="1" x14ac:dyDescent="0.2">
      <c r="B50" s="934" t="s">
        <v>605</v>
      </c>
      <c r="C50" s="1023"/>
      <c r="D50" s="797"/>
      <c r="E50" s="797"/>
      <c r="F50" s="1026"/>
      <c r="G50" s="1015"/>
      <c r="H50" s="254"/>
      <c r="I50" s="1023"/>
      <c r="J50" s="797"/>
      <c r="K50" s="797"/>
      <c r="L50" s="1026"/>
      <c r="M50" s="1015"/>
      <c r="N50" s="254"/>
      <c r="O50" s="1023"/>
      <c r="P50" s="797"/>
      <c r="Q50" s="797"/>
      <c r="R50" s="1026"/>
      <c r="S50" s="1015"/>
      <c r="T50" s="254"/>
      <c r="U50" s="1023"/>
      <c r="V50" s="797"/>
      <c r="W50" s="797"/>
      <c r="X50" s="1026"/>
      <c r="Y50" s="1015"/>
      <c r="Z50" s="254"/>
      <c r="AA50" s="1023"/>
      <c r="AB50" s="797"/>
      <c r="AC50" s="797"/>
      <c r="AD50" s="1026"/>
      <c r="AE50" s="1015"/>
      <c r="AF50" s="254"/>
      <c r="AG50" s="1023"/>
      <c r="AH50" s="797"/>
      <c r="AI50" s="797"/>
      <c r="AJ50" s="1026"/>
      <c r="AK50" s="1015"/>
      <c r="AL50" s="254"/>
      <c r="AM50" s="1023"/>
      <c r="AN50" s="797"/>
      <c r="AO50" s="797"/>
      <c r="AP50" s="1026"/>
      <c r="AQ50" s="1015"/>
      <c r="AR50" s="254"/>
      <c r="AS50" s="1023"/>
      <c r="AT50" s="797"/>
      <c r="AU50" s="797"/>
      <c r="AV50" s="1026"/>
      <c r="AW50" s="1015"/>
      <c r="AX50" s="254"/>
      <c r="AY50" s="1038">
        <v>8.9999999999999993E-3</v>
      </c>
      <c r="AZ50" s="1039">
        <v>8.8999999999999996E-2</v>
      </c>
      <c r="BA50" s="1039">
        <v>-3.0000000000000001E-3</v>
      </c>
      <c r="BB50" s="1026">
        <v>6.0000000000000001E-3</v>
      </c>
      <c r="BC50" s="1027">
        <v>2.5000000000000001E-2</v>
      </c>
      <c r="BD50" s="254"/>
      <c r="BE50" s="1023">
        <v>4.1000000000000002E-2</v>
      </c>
      <c r="BF50" s="798">
        <v>3.0000000000000001E-3</v>
      </c>
      <c r="BG50" s="798">
        <v>1.2E-2</v>
      </c>
      <c r="BH50" s="407">
        <f>+BH46-BH48-BH49</f>
        <v>5.2000000000000005E-2</v>
      </c>
      <c r="BI50" s="1027">
        <v>2.9000000000000001E-2</v>
      </c>
      <c r="BJ50" s="254"/>
      <c r="BK50" s="1022">
        <f>+BK47-BK49</f>
        <v>2.1999999999999999E-2</v>
      </c>
      <c r="BL50" s="407">
        <f>+BL47-BL49</f>
        <v>2.3E-2</v>
      </c>
      <c r="BM50" s="407">
        <f>+BM47-BM49</f>
        <v>1.7000000000000001E-2</v>
      </c>
      <c r="BN50" s="404">
        <f>+BN47-BN49</f>
        <v>2.3E-2</v>
      </c>
      <c r="BO50" s="742">
        <f>+SUMPRODUCT(BK50:BN50,BE$45:BH$45)/BI$45</f>
        <v>2.1346060442525634E-2</v>
      </c>
      <c r="BP50" s="254"/>
      <c r="BQ50" s="1022">
        <f>+BQ47-BQ49</f>
        <v>0.01</v>
      </c>
      <c r="BR50" s="407">
        <f>+BR47-BR49</f>
        <v>0.02</v>
      </c>
      <c r="BS50" s="407">
        <f>+BS47-BS49</f>
        <v>0.03</v>
      </c>
      <c r="BT50" s="404">
        <f>+BT47-BT49</f>
        <v>0.04</v>
      </c>
      <c r="BU50" s="742">
        <f t="shared" si="61"/>
        <v>2.5645110109792476E-2</v>
      </c>
      <c r="BV50" s="254"/>
      <c r="BW50" s="1022">
        <f>+BW47-BW49</f>
        <v>0.03</v>
      </c>
      <c r="BX50" s="407">
        <f>+BX47-BX49</f>
        <v>0.06</v>
      </c>
      <c r="BY50" s="407">
        <f>+BY47-BY49</f>
        <v>4.9999999999999996E-2</v>
      </c>
      <c r="BZ50" s="404">
        <f>+BZ47-BZ49</f>
        <v>0.03</v>
      </c>
      <c r="CA50" s="742">
        <f t="shared" ref="CA50" si="62">+SUMPRODUCT(BW50:BZ50,BQ$54:BT$54)/BU$54</f>
        <v>4.2817636408818201E-2</v>
      </c>
      <c r="CB50" s="254"/>
      <c r="CC50" s="1022">
        <f t="shared" ref="CC50:CF50" si="63">+CC47-CC49</f>
        <v>2.4999999999999998E-2</v>
      </c>
      <c r="CD50" s="407">
        <f t="shared" si="63"/>
        <v>0</v>
      </c>
      <c r="CE50" s="407">
        <f t="shared" si="63"/>
        <v>5.0000000000000001E-3</v>
      </c>
      <c r="CF50" s="404">
        <f t="shared" si="63"/>
        <v>2.4999999999999998E-2</v>
      </c>
      <c r="CG50" s="742">
        <f t="shared" ref="CG50" si="64">+SUMPRODUCT(CC50:CF50,BW$54:BZ$54)/CA$54</f>
        <v>1.3464127232063616E-2</v>
      </c>
      <c r="CH50" s="254"/>
      <c r="CI50" s="1022">
        <f t="shared" ref="CI50:CL50" si="65">+CI47-CI49</f>
        <v>0.03</v>
      </c>
      <c r="CJ50" s="407">
        <f t="shared" si="65"/>
        <v>7.0000000000000007E-2</v>
      </c>
      <c r="CK50" s="407">
        <f t="shared" si="65"/>
        <v>6.0000000000000005E-2</v>
      </c>
      <c r="CL50" s="404">
        <f t="shared" si="65"/>
        <v>0.03</v>
      </c>
      <c r="CM50" s="742">
        <f t="shared" ref="CM50" si="66">+SUMPRODUCT(CI50:CL50,CC$54:CF$54)/CG$54</f>
        <v>4.7944690972345487E-2</v>
      </c>
      <c r="CN50" s="65"/>
      <c r="CQ50"/>
      <c r="CR50"/>
      <c r="CS50"/>
      <c r="CT50"/>
      <c r="CU50"/>
      <c r="CV50"/>
    </row>
    <row r="51" spans="1:100" s="31" customFormat="1" outlineLevel="1" x14ac:dyDescent="0.2">
      <c r="B51" s="934" t="s">
        <v>710</v>
      </c>
      <c r="C51" s="1023"/>
      <c r="D51" s="797"/>
      <c r="E51" s="797"/>
      <c r="F51" s="1026"/>
      <c r="G51" s="1015"/>
      <c r="H51" s="254"/>
      <c r="I51" s="1023"/>
      <c r="J51" s="797"/>
      <c r="K51" s="797"/>
      <c r="L51" s="1026"/>
      <c r="M51" s="1015"/>
      <c r="N51" s="254"/>
      <c r="O51" s="1023"/>
      <c r="P51" s="797"/>
      <c r="Q51" s="797"/>
      <c r="R51" s="1026"/>
      <c r="S51" s="1015"/>
      <c r="T51" s="254"/>
      <c r="U51" s="1023"/>
      <c r="V51" s="797"/>
      <c r="W51" s="797"/>
      <c r="X51" s="1026"/>
      <c r="Y51" s="1015"/>
      <c r="Z51" s="254"/>
      <c r="AA51" s="1023"/>
      <c r="AB51" s="797"/>
      <c r="AC51" s="797"/>
      <c r="AD51" s="1026"/>
      <c r="AE51" s="1015"/>
      <c r="AF51" s="254"/>
      <c r="AG51" s="1023"/>
      <c r="AH51" s="797"/>
      <c r="AI51" s="797"/>
      <c r="AJ51" s="1026"/>
      <c r="AK51" s="1015"/>
      <c r="AL51" s="254"/>
      <c r="AM51" s="1023"/>
      <c r="AN51" s="797"/>
      <c r="AO51" s="797"/>
      <c r="AP51" s="1026"/>
      <c r="AQ51" s="1015"/>
      <c r="AR51" s="254"/>
      <c r="AS51" s="1023"/>
      <c r="AT51" s="797"/>
      <c r="AU51" s="797"/>
      <c r="AV51" s="1026"/>
      <c r="AW51" s="1015"/>
      <c r="AX51" s="254"/>
      <c r="AY51" s="1038"/>
      <c r="AZ51" s="1039"/>
      <c r="BA51" s="1039"/>
      <c r="BB51" s="1026"/>
      <c r="BC51" s="1027"/>
      <c r="BD51" s="254"/>
      <c r="BE51" s="1023"/>
      <c r="BF51" s="798"/>
      <c r="BG51" s="798"/>
      <c r="BH51" s="407"/>
      <c r="BI51" s="1027"/>
      <c r="BJ51" s="254"/>
      <c r="BK51" s="1038">
        <f>-5/BE45</f>
        <v>-1.3927576601671309E-2</v>
      </c>
      <c r="BL51" s="1254">
        <f>-2/BF45</f>
        <v>-5.2260256075254774E-3</v>
      </c>
      <c r="BM51" s="1254">
        <f>-5/BG45</f>
        <v>-1.43348623853211E-2</v>
      </c>
      <c r="BN51" s="1026">
        <v>0</v>
      </c>
      <c r="BO51" s="742">
        <f>+SUMPRODUCT(BK51:BN51,BE$45:BH$45)/BI$45</f>
        <v>-8.094981111710739E-3</v>
      </c>
      <c r="BP51" s="254"/>
      <c r="BQ51" s="1040"/>
      <c r="BR51" s="1256"/>
      <c r="BS51" s="1256"/>
      <c r="BT51" s="1041"/>
      <c r="BU51" s="742">
        <f>+SUMPRODUCT(BQ51:BT51,BK$45:BN$45)/BO$45</f>
        <v>0</v>
      </c>
      <c r="BV51" s="254"/>
      <c r="BW51" s="1040"/>
      <c r="BX51" s="800"/>
      <c r="BY51" s="800"/>
      <c r="BZ51" s="1041"/>
      <c r="CA51" s="742"/>
      <c r="CB51" s="52"/>
      <c r="CC51" s="1040"/>
      <c r="CD51" s="800"/>
      <c r="CE51" s="800"/>
      <c r="CF51" s="1041"/>
      <c r="CG51" s="742"/>
      <c r="CH51" s="65"/>
      <c r="CI51" s="1040"/>
      <c r="CJ51" s="800"/>
      <c r="CK51" s="800"/>
      <c r="CL51" s="1041"/>
      <c r="CM51" s="742"/>
      <c r="CN51" s="65"/>
      <c r="CQ51" s="1500"/>
      <c r="CR51" s="1500"/>
      <c r="CS51" s="1500"/>
      <c r="CT51" s="1500"/>
      <c r="CU51" s="1500"/>
      <c r="CV51" s="1500"/>
    </row>
    <row r="52" spans="1:100" s="31" customFormat="1" x14ac:dyDescent="0.2">
      <c r="B52" s="1034" t="s">
        <v>589</v>
      </c>
      <c r="C52" s="1035"/>
      <c r="D52" s="1036"/>
      <c r="E52" s="1036"/>
      <c r="F52" s="1036"/>
      <c r="G52" s="1037"/>
      <c r="H52" s="1043"/>
      <c r="I52" s="1035"/>
      <c r="J52" s="1036"/>
      <c r="K52" s="1036"/>
      <c r="L52" s="1036"/>
      <c r="M52" s="1037"/>
      <c r="N52" s="1043"/>
      <c r="O52" s="1035"/>
      <c r="P52" s="1036"/>
      <c r="Q52" s="1036"/>
      <c r="R52" s="1036"/>
      <c r="S52" s="1037"/>
      <c r="T52" s="1043"/>
      <c r="U52" s="1035"/>
      <c r="V52" s="1036"/>
      <c r="W52" s="1036"/>
      <c r="X52" s="1036"/>
      <c r="Y52" s="1037"/>
      <c r="Z52" s="1043"/>
      <c r="AA52" s="1035"/>
      <c r="AB52" s="1036"/>
      <c r="AC52" s="1036"/>
      <c r="AD52" s="1036"/>
      <c r="AE52" s="1037"/>
      <c r="AF52" s="1043"/>
      <c r="AG52" s="1035"/>
      <c r="AH52" s="1036"/>
      <c r="AI52" s="1036"/>
      <c r="AJ52" s="1036"/>
      <c r="AK52" s="1037"/>
      <c r="AL52" s="1043"/>
      <c r="AM52" s="1035"/>
      <c r="AN52" s="1036"/>
      <c r="AO52" s="1036"/>
      <c r="AP52" s="1036"/>
      <c r="AQ52" s="1037"/>
      <c r="AR52" s="1043"/>
      <c r="AS52" s="1035"/>
      <c r="AT52" s="1036"/>
      <c r="AU52" s="1036"/>
      <c r="AV52" s="1036"/>
      <c r="AW52" s="1037"/>
      <c r="AX52" s="1043"/>
      <c r="AY52" s="1035">
        <f>+AY47-AY49</f>
        <v>5.5000000000000005E-3</v>
      </c>
      <c r="AZ52" s="1036">
        <f>+AZ47-AZ49</f>
        <v>8.8600000000000012E-2</v>
      </c>
      <c r="BA52" s="1036">
        <f>+BA47-BA49</f>
        <v>-3.0000000000000001E-3</v>
      </c>
      <c r="BB52" s="1036">
        <f>+BB47-BB49</f>
        <v>5.5999999999999999E-3</v>
      </c>
      <c r="BC52" s="1037">
        <f>+SUMPRODUCT(AY52:BB52,AS$45:AV$45)/AW$45</f>
        <v>2.4774984459956864E-2</v>
      </c>
      <c r="BD52" s="1043"/>
      <c r="BE52" s="1035">
        <f>+BE50</f>
        <v>4.1000000000000002E-2</v>
      </c>
      <c r="BF52" s="1036">
        <f>+BF50</f>
        <v>3.0000000000000001E-3</v>
      </c>
      <c r="BG52" s="1036">
        <f>+BG50</f>
        <v>1.2E-2</v>
      </c>
      <c r="BH52" s="1036">
        <f>+BH50</f>
        <v>5.2000000000000005E-2</v>
      </c>
      <c r="BI52" s="1037">
        <f>+SUMPRODUCT(BE52:BH52,AY$45:BB$45)/BC$45</f>
        <v>2.682053393727267E-2</v>
      </c>
      <c r="BJ52" s="1043"/>
      <c r="BK52" s="1035">
        <f>+BK50-BK51</f>
        <v>3.5927576601671306E-2</v>
      </c>
      <c r="BL52" s="1036">
        <f>+BL50-BL51</f>
        <v>2.8226025607525476E-2</v>
      </c>
      <c r="BM52" s="1036">
        <f>+BM50-BM51</f>
        <v>3.1334862385321099E-2</v>
      </c>
      <c r="BN52" s="1036">
        <f>+BN50-BN51</f>
        <v>2.3E-2</v>
      </c>
      <c r="BO52" s="1037">
        <f t="shared" si="60"/>
        <v>2.9441041554236373E-2</v>
      </c>
      <c r="BP52" s="1043"/>
      <c r="BQ52" s="1035">
        <f>+BQ50-BQ51</f>
        <v>0.01</v>
      </c>
      <c r="BR52" s="1036">
        <f>+BR50-BR51</f>
        <v>0.02</v>
      </c>
      <c r="BS52" s="1036">
        <f>+BS50-BS51</f>
        <v>0.03</v>
      </c>
      <c r="BT52" s="1036">
        <f>+BT50-BT51</f>
        <v>0.04</v>
      </c>
      <c r="BU52" s="1037">
        <f t="shared" si="61"/>
        <v>2.5645110109792476E-2</v>
      </c>
      <c r="BV52" s="1043"/>
      <c r="BW52" s="1035">
        <f>+BW47-BW49</f>
        <v>0.03</v>
      </c>
      <c r="BX52" s="1036">
        <f>+BX47-BX49</f>
        <v>0.06</v>
      </c>
      <c r="BY52" s="1036">
        <f>+BY47-BY49</f>
        <v>4.9999999999999996E-2</v>
      </c>
      <c r="BZ52" s="1036">
        <f>+BZ47-BZ49</f>
        <v>0.03</v>
      </c>
      <c r="CA52" s="1037">
        <f>+SUMPRODUCT(BW52:BZ52,BQ$45:BT$45)/BU$45</f>
        <v>4.2268897904227075E-2</v>
      </c>
      <c r="CB52" s="1044"/>
      <c r="CC52" s="1035">
        <f>+CC47-CC49</f>
        <v>2.4999999999999998E-2</v>
      </c>
      <c r="CD52" s="1036">
        <f>+CD47-CD49</f>
        <v>0</v>
      </c>
      <c r="CE52" s="1036">
        <f>+CE47-CE49</f>
        <v>5.0000000000000001E-3</v>
      </c>
      <c r="CF52" s="1036">
        <f>+CF47-CF49</f>
        <v>2.4999999999999998E-2</v>
      </c>
      <c r="CG52" s="1037">
        <f>+SUMPRODUCT(CC52:CF52,BW$45:BZ$45)/CA$45</f>
        <v>1.3840217750234945E-2</v>
      </c>
      <c r="CH52" s="1044"/>
      <c r="CI52" s="1035">
        <f>+CI47-CI49</f>
        <v>0.03</v>
      </c>
      <c r="CJ52" s="1036">
        <f>+CJ47-CJ49</f>
        <v>7.0000000000000007E-2</v>
      </c>
      <c r="CK52" s="1036">
        <f>+CK47-CK49</f>
        <v>6.0000000000000005E-2</v>
      </c>
      <c r="CL52" s="1036">
        <f>+CL47-CL49</f>
        <v>0.03</v>
      </c>
      <c r="CM52" s="1037">
        <f>+SUMPRODUCT(CI52:CL52,CC$45:CF$45)/CG$45</f>
        <v>4.717403865586358E-2</v>
      </c>
      <c r="CN52" s="65"/>
      <c r="CQ52"/>
      <c r="CR52"/>
      <c r="CS52"/>
      <c r="CT52"/>
      <c r="CU52"/>
      <c r="CV52"/>
    </row>
    <row r="53" spans="1:100" s="31" customFormat="1" x14ac:dyDescent="0.2">
      <c r="B53" s="934"/>
      <c r="C53" s="1023"/>
      <c r="D53" s="797"/>
      <c r="E53" s="797"/>
      <c r="F53" s="1026"/>
      <c r="G53" s="742"/>
      <c r="H53" s="723"/>
      <c r="I53" s="1023"/>
      <c r="J53" s="797"/>
      <c r="K53" s="797"/>
      <c r="L53" s="1026"/>
      <c r="M53" s="742"/>
      <c r="N53" s="723"/>
      <c r="O53" s="1023"/>
      <c r="P53" s="797"/>
      <c r="Q53" s="797"/>
      <c r="R53" s="1026"/>
      <c r="S53" s="742"/>
      <c r="T53" s="723"/>
      <c r="U53" s="1023"/>
      <c r="V53" s="797"/>
      <c r="W53" s="797"/>
      <c r="X53" s="1026"/>
      <c r="Y53" s="742"/>
      <c r="Z53" s="723"/>
      <c r="AA53" s="1023"/>
      <c r="AB53" s="797"/>
      <c r="AC53" s="797"/>
      <c r="AD53" s="1026"/>
      <c r="AE53" s="742"/>
      <c r="AF53" s="254"/>
      <c r="AG53" s="1023"/>
      <c r="AH53" s="797"/>
      <c r="AI53" s="797"/>
      <c r="AJ53" s="1026"/>
      <c r="AK53" s="742"/>
      <c r="AL53" s="254"/>
      <c r="AM53" s="1023"/>
      <c r="AN53" s="797"/>
      <c r="AO53" s="797"/>
      <c r="AP53" s="1026"/>
      <c r="AQ53" s="742"/>
      <c r="AR53" s="254"/>
      <c r="AS53" s="1023"/>
      <c r="AT53" s="797"/>
      <c r="AU53" s="797"/>
      <c r="AV53" s="1026"/>
      <c r="AW53" s="1015"/>
      <c r="AX53" s="254"/>
      <c r="AY53" s="1023"/>
      <c r="AZ53" s="797"/>
      <c r="BA53" s="797"/>
      <c r="BB53" s="1026"/>
      <c r="BC53" s="742"/>
      <c r="BD53" s="254"/>
      <c r="BE53" s="1040"/>
      <c r="BF53" s="1256"/>
      <c r="BG53" s="1256"/>
      <c r="BH53" s="1041"/>
      <c r="BI53" s="742"/>
      <c r="BJ53" s="254"/>
      <c r="BK53" s="1040"/>
      <c r="BL53" s="1256"/>
      <c r="BM53" s="800"/>
      <c r="BN53" s="1041"/>
      <c r="BO53" s="742"/>
      <c r="BP53" s="254"/>
      <c r="BQ53" s="1040"/>
      <c r="BR53" s="800"/>
      <c r="BS53" s="800"/>
      <c r="BT53" s="1041"/>
      <c r="BU53" s="742"/>
      <c r="BV53" s="254"/>
      <c r="BW53" s="1040"/>
      <c r="BX53" s="800"/>
      <c r="BY53" s="800"/>
      <c r="BZ53" s="1041"/>
      <c r="CA53" s="742"/>
      <c r="CB53" s="52"/>
      <c r="CC53" s="1040"/>
      <c r="CD53" s="800"/>
      <c r="CE53" s="800"/>
      <c r="CF53" s="1041"/>
      <c r="CG53" s="742"/>
      <c r="CH53" s="65"/>
      <c r="CI53" s="1040"/>
      <c r="CJ53" s="800"/>
      <c r="CK53" s="800"/>
      <c r="CL53" s="1041"/>
      <c r="CM53" s="742"/>
      <c r="CN53" s="65"/>
      <c r="CQ53"/>
      <c r="CR53"/>
      <c r="CS53"/>
      <c r="CT53"/>
      <c r="CU53"/>
      <c r="CV53"/>
    </row>
    <row r="54" spans="1:100" s="1017" customFormat="1" ht="11.25" customHeight="1" x14ac:dyDescent="0.2">
      <c r="A54" s="27"/>
      <c r="B54" s="950" t="s">
        <v>3</v>
      </c>
      <c r="C54" s="944"/>
      <c r="D54" s="945"/>
      <c r="E54" s="945"/>
      <c r="F54" s="945"/>
      <c r="G54" s="946"/>
      <c r="H54" s="945"/>
      <c r="I54" s="944"/>
      <c r="J54" s="945"/>
      <c r="K54" s="945"/>
      <c r="L54" s="945"/>
      <c r="M54" s="946"/>
      <c r="N54" s="1021"/>
      <c r="O54" s="944"/>
      <c r="P54" s="945"/>
      <c r="Q54" s="945"/>
      <c r="R54" s="945"/>
      <c r="S54" s="946"/>
      <c r="T54" s="947"/>
      <c r="U54" s="944"/>
      <c r="V54" s="945"/>
      <c r="W54" s="945"/>
      <c r="X54" s="945"/>
      <c r="Y54" s="946"/>
      <c r="Z54" s="947"/>
      <c r="AA54" s="944"/>
      <c r="AB54" s="945"/>
      <c r="AC54" s="945"/>
      <c r="AD54" s="945"/>
      <c r="AE54" s="946"/>
      <c r="AF54" s="948"/>
      <c r="AG54" s="944"/>
      <c r="AH54" s="945"/>
      <c r="AI54" s="945"/>
      <c r="AJ54" s="945"/>
      <c r="AK54" s="946"/>
      <c r="AL54" s="948"/>
      <c r="AM54" s="944"/>
      <c r="AN54" s="945"/>
      <c r="AO54" s="945"/>
      <c r="AP54" s="945"/>
      <c r="AQ54" s="946"/>
      <c r="AR54" s="948"/>
      <c r="AS54" s="1024">
        <f>+AY54/(1+AY55)</f>
        <v>237.81038374717832</v>
      </c>
      <c r="AT54" s="1025">
        <f>+AZ54/(1+AZ55)</f>
        <v>247.28761514841352</v>
      </c>
      <c r="AU54" s="1025">
        <f>+BA54/(1+BA55)</f>
        <v>241.90954773869345</v>
      </c>
      <c r="AV54" s="1025">
        <f>+BB54/(1+BB55)</f>
        <v>244.06604747162024</v>
      </c>
      <c r="AW54" s="946">
        <f>+SUM(AS54:AV54)</f>
        <v>971.0735941059055</v>
      </c>
      <c r="AX54" s="948"/>
      <c r="AY54" s="944">
        <v>210.7</v>
      </c>
      <c r="AZ54" s="945">
        <v>241.6</v>
      </c>
      <c r="BA54" s="945">
        <v>240.7</v>
      </c>
      <c r="BB54" s="945">
        <v>236.5</v>
      </c>
      <c r="BC54" s="946">
        <f>+SUM(AY54:BB54)</f>
        <v>929.5</v>
      </c>
      <c r="BD54" s="949"/>
      <c r="BE54" s="944">
        <v>217</v>
      </c>
      <c r="BF54" s="945">
        <v>256.60000000000002</v>
      </c>
      <c r="BG54" s="945">
        <v>256.7</v>
      </c>
      <c r="BH54" s="945">
        <v>263.5</v>
      </c>
      <c r="BI54" s="946">
        <f>+SUM(BE54:BH54)</f>
        <v>993.8</v>
      </c>
      <c r="BJ54" s="949"/>
      <c r="BK54" s="1437">
        <v>213.2</v>
      </c>
      <c r="BL54" s="945">
        <v>257.89999999999998</v>
      </c>
      <c r="BM54" s="945">
        <v>257.89999999999998</v>
      </c>
      <c r="BN54" s="945">
        <v>279.39999999999998</v>
      </c>
      <c r="BO54" s="946">
        <f>+SUM(BK54:BN54)</f>
        <v>1008.4</v>
      </c>
      <c r="BP54" s="949"/>
      <c r="BQ54" s="1024">
        <f>+BK54*(1+BQ55)</f>
        <v>247.31199999999998</v>
      </c>
      <c r="BR54" s="1025">
        <f>+BL54*(1+BR55)</f>
        <v>288.84800000000001</v>
      </c>
      <c r="BS54" s="1025">
        <f>+BM54*(1+BS55)</f>
        <v>288.84800000000001</v>
      </c>
      <c r="BT54" s="1025">
        <f>+BN54*(1+BT55)</f>
        <v>301.75200000000001</v>
      </c>
      <c r="BU54" s="946">
        <f>+SUM(BQ54:BT54)</f>
        <v>1126.76</v>
      </c>
      <c r="BV54" s="949"/>
      <c r="BW54" s="1024">
        <f>+BQ54*(1+BW55)</f>
        <v>257.20447999999999</v>
      </c>
      <c r="BX54" s="1025">
        <f>+BR54*(1+BX55)</f>
        <v>300.40192000000002</v>
      </c>
      <c r="BY54" s="1025">
        <f>+BS54*(1+BY55)</f>
        <v>300.40192000000002</v>
      </c>
      <c r="BZ54" s="1025">
        <f>+BT54*(1+BZ55)</f>
        <v>313.82208000000003</v>
      </c>
      <c r="CA54" s="946">
        <f>+SUM(BW54:BZ54)</f>
        <v>1171.8304000000001</v>
      </c>
      <c r="CB54" s="949"/>
      <c r="CC54" s="1024">
        <f>+BW54*(1+CC55)</f>
        <v>270.06470400000001</v>
      </c>
      <c r="CD54" s="1025">
        <f>+BX54*(1+CD55)</f>
        <v>315.42201600000004</v>
      </c>
      <c r="CE54" s="1025">
        <f>+BY54*(1+CE55)</f>
        <v>315.42201600000004</v>
      </c>
      <c r="CF54" s="1025">
        <f>+BZ54*(1+CF55)</f>
        <v>329.51318400000002</v>
      </c>
      <c r="CG54" s="946">
        <f>+SUM(CC54:CF54)</f>
        <v>1230.4219200000002</v>
      </c>
      <c r="CH54" s="948"/>
      <c r="CI54" s="1024">
        <f>+CC54*(1+CI55)</f>
        <v>283.56793920000001</v>
      </c>
      <c r="CJ54" s="1025">
        <f>+CD54*(1+CJ55)</f>
        <v>331.19311680000004</v>
      </c>
      <c r="CK54" s="1025">
        <f>+CE54*(1+CK55)</f>
        <v>331.19311680000004</v>
      </c>
      <c r="CL54" s="1025">
        <f>+CF54*(1+CL55)</f>
        <v>345.98884320000002</v>
      </c>
      <c r="CM54" s="946">
        <f>+SUM(CI54:CL54)</f>
        <v>1291.9430160000002</v>
      </c>
      <c r="CN54" s="62"/>
      <c r="CQ54"/>
      <c r="CR54"/>
      <c r="CS54"/>
      <c r="CT54"/>
      <c r="CU54"/>
      <c r="CV54"/>
    </row>
    <row r="55" spans="1:100" s="31" customFormat="1" outlineLevel="1" x14ac:dyDescent="0.2">
      <c r="B55" s="934" t="s">
        <v>540</v>
      </c>
      <c r="C55" s="1022"/>
      <c r="D55" s="405"/>
      <c r="E55" s="405"/>
      <c r="F55" s="405"/>
      <c r="G55" s="742"/>
      <c r="H55" s="254"/>
      <c r="I55" s="1022"/>
      <c r="J55" s="405"/>
      <c r="K55" s="405"/>
      <c r="L55" s="405"/>
      <c r="M55" s="742"/>
      <c r="N55" s="254"/>
      <c r="O55" s="1022"/>
      <c r="P55" s="405"/>
      <c r="Q55" s="405"/>
      <c r="R55" s="405"/>
      <c r="S55" s="742"/>
      <c r="T55" s="254"/>
      <c r="U55" s="1022"/>
      <c r="V55" s="405"/>
      <c r="W55" s="405"/>
      <c r="X55" s="405"/>
      <c r="Y55" s="742"/>
      <c r="Z55" s="254"/>
      <c r="AA55" s="1022"/>
      <c r="AB55" s="1039"/>
      <c r="AC55" s="1039"/>
      <c r="AD55" s="1039"/>
      <c r="AE55" s="742"/>
      <c r="AF55" s="254"/>
      <c r="AG55" s="1038"/>
      <c r="AH55" s="1039"/>
      <c r="AI55" s="1039"/>
      <c r="AJ55" s="1039"/>
      <c r="AK55" s="742"/>
      <c r="AL55" s="254"/>
      <c r="AM55" s="1038"/>
      <c r="AN55" s="1039"/>
      <c r="AO55" s="1039"/>
      <c r="AP55" s="1039"/>
      <c r="AQ55" s="742"/>
      <c r="AR55" s="254"/>
      <c r="AS55" s="1038"/>
      <c r="AT55" s="1039"/>
      <c r="AU55" s="1039"/>
      <c r="AV55" s="1039"/>
      <c r="AW55" s="742"/>
      <c r="AX55" s="254"/>
      <c r="AY55" s="1038">
        <v>-0.114</v>
      </c>
      <c r="AZ55" s="1039">
        <v>-2.3E-2</v>
      </c>
      <c r="BA55" s="1039">
        <v>-5.0000000000000001E-3</v>
      </c>
      <c r="BB55" s="1039">
        <v>-3.1E-2</v>
      </c>
      <c r="BC55" s="742">
        <f>+SUMPRODUCT(AY55:BB55,AS$54:AV$54)/AW$54</f>
        <v>-4.2811991138718482E-2</v>
      </c>
      <c r="BD55" s="254"/>
      <c r="BE55" s="1022">
        <f>+BE54/AY54-1</f>
        <v>2.9900332225913706E-2</v>
      </c>
      <c r="BF55" s="407">
        <f>+BF54/AZ54-1</f>
        <v>6.20860927152318E-2</v>
      </c>
      <c r="BG55" s="407">
        <f>+BG54/BA54-1</f>
        <v>6.6472787702534175E-2</v>
      </c>
      <c r="BH55" s="798">
        <v>0.11600000000000001</v>
      </c>
      <c r="BI55" s="742">
        <f>+SUMPRODUCT(BE55:BH55,AY$54:BB$54)/BC$54</f>
        <v>6.9643894566971482E-2</v>
      </c>
      <c r="BJ55" s="254"/>
      <c r="BK55" s="1022">
        <f>+BK54/BE54-1</f>
        <v>-1.7511520737327202E-2</v>
      </c>
      <c r="BL55" s="407">
        <f>+BL54/BF54-1</f>
        <v>5.0662509742789297E-3</v>
      </c>
      <c r="BM55" s="407">
        <f>+BM54/BG54-1</f>
        <v>4.6747175691468357E-3</v>
      </c>
      <c r="BN55" s="407">
        <f>+BN54/BH54-1</f>
        <v>6.0341555977229566E-2</v>
      </c>
      <c r="BO55" s="742">
        <f t="shared" ref="BO55:BO61" si="67">+SUMPRODUCT(BK55:BN55,BE$54:BH$54)/BI$54</f>
        <v>1.4691084725296797E-2</v>
      </c>
      <c r="BP55" s="254"/>
      <c r="BQ55" s="1022">
        <f>+BQ56+BQ57</f>
        <v>0.16</v>
      </c>
      <c r="BR55" s="405">
        <f>+BR56+BR57</f>
        <v>0.12</v>
      </c>
      <c r="BS55" s="405">
        <f>+BS56+BS57</f>
        <v>0.12</v>
      </c>
      <c r="BT55" s="405">
        <f>+BT56+BT57</f>
        <v>0.08</v>
      </c>
      <c r="BU55" s="742">
        <f>+SUMPRODUCT(BQ55:BT55,BK$54:BN$54)/BO$54</f>
        <v>0.11737405791352638</v>
      </c>
      <c r="BV55" s="254"/>
      <c r="BW55" s="1022">
        <f>+BW56+BW57</f>
        <v>0.04</v>
      </c>
      <c r="BX55" s="405">
        <f>+BX56+BX57</f>
        <v>0.04</v>
      </c>
      <c r="BY55" s="405">
        <f>+BY56+BY57</f>
        <v>0.04</v>
      </c>
      <c r="BZ55" s="405">
        <f>+BZ56+BZ57</f>
        <v>0.04</v>
      </c>
      <c r="CA55" s="742">
        <f>+SUMPRODUCT(BW55:BZ55,BQ$54:BT$54)/BU$54</f>
        <v>4.0000000000000008E-2</v>
      </c>
      <c r="CB55" s="52"/>
      <c r="CC55" s="1022">
        <f>+CC56+CC57</f>
        <v>0.05</v>
      </c>
      <c r="CD55" s="405">
        <f>+CD56+CD57</f>
        <v>0.05</v>
      </c>
      <c r="CE55" s="405">
        <f>+CE56+CE57</f>
        <v>0.05</v>
      </c>
      <c r="CF55" s="405">
        <f>+CF56+CF57</f>
        <v>0.05</v>
      </c>
      <c r="CG55" s="742">
        <f>+SUMPRODUCT(CC55:CF55,BW$54:BZ$54)/CA$54</f>
        <v>0.05</v>
      </c>
      <c r="CH55" s="65"/>
      <c r="CI55" s="1022">
        <f>+CI56+CI57</f>
        <v>0.05</v>
      </c>
      <c r="CJ55" s="405">
        <f>+CJ56+CJ57</f>
        <v>0.05</v>
      </c>
      <c r="CK55" s="405">
        <f>+CK56+CK57</f>
        <v>0.05</v>
      </c>
      <c r="CL55" s="405">
        <f>+CL56+CL57</f>
        <v>0.05</v>
      </c>
      <c r="CM55" s="742">
        <f>+SUMPRODUCT(CI55:CL55,CC$54:CF$54)/CG$54</f>
        <v>4.9999999999999996E-2</v>
      </c>
      <c r="CN55" s="65"/>
      <c r="CQ55"/>
      <c r="CR55"/>
      <c r="CS55"/>
      <c r="CT55"/>
      <c r="CU55"/>
      <c r="CV55"/>
    </row>
    <row r="56" spans="1:100" s="31" customFormat="1" outlineLevel="1" x14ac:dyDescent="0.2">
      <c r="B56" s="934" t="s">
        <v>588</v>
      </c>
      <c r="C56" s="1023"/>
      <c r="D56" s="797"/>
      <c r="E56" s="797"/>
      <c r="F56" s="1026"/>
      <c r="G56" s="742"/>
      <c r="H56" s="723"/>
      <c r="I56" s="1023"/>
      <c r="J56" s="797"/>
      <c r="K56" s="797"/>
      <c r="L56" s="1026"/>
      <c r="M56" s="742"/>
      <c r="N56" s="723"/>
      <c r="O56" s="1023"/>
      <c r="P56" s="797"/>
      <c r="Q56" s="797"/>
      <c r="R56" s="1026"/>
      <c r="S56" s="742"/>
      <c r="T56" s="723"/>
      <c r="U56" s="1023"/>
      <c r="V56" s="797"/>
      <c r="W56" s="797"/>
      <c r="X56" s="1026"/>
      <c r="Y56" s="742"/>
      <c r="Z56" s="723"/>
      <c r="AA56" s="1023"/>
      <c r="AB56" s="797"/>
      <c r="AC56" s="797"/>
      <c r="AD56" s="1026"/>
      <c r="AE56" s="742"/>
      <c r="AF56" s="254"/>
      <c r="AG56" s="1023"/>
      <c r="AH56" s="797"/>
      <c r="AI56" s="797"/>
      <c r="AJ56" s="1026"/>
      <c r="AK56" s="742"/>
      <c r="AL56" s="254"/>
      <c r="AM56" s="1023"/>
      <c r="AN56" s="797"/>
      <c r="AO56" s="797"/>
      <c r="AP56" s="1026"/>
      <c r="AQ56" s="742"/>
      <c r="AR56" s="254"/>
      <c r="AS56" s="1023"/>
      <c r="AT56" s="797"/>
      <c r="AU56" s="797"/>
      <c r="AV56" s="1026"/>
      <c r="AW56" s="1015"/>
      <c r="AX56" s="254"/>
      <c r="AY56" s="1023">
        <v>-1.2E-2</v>
      </c>
      <c r="AZ56" s="797">
        <v>0.109</v>
      </c>
      <c r="BA56" s="797">
        <v>0.151</v>
      </c>
      <c r="BB56" s="1026">
        <v>7.6999999999999999E-2</v>
      </c>
      <c r="BC56" s="742">
        <f>+SUMPRODUCT(AY56:BB56,AS$54:AV$54)/AW$54</f>
        <v>8.17878822904195E-2</v>
      </c>
      <c r="BD56" s="254"/>
      <c r="BE56" s="1023">
        <v>8.4000000000000005E-2</v>
      </c>
      <c r="BF56" s="798">
        <v>8.5999999999999993E-2</v>
      </c>
      <c r="BG56" s="798">
        <v>3.7999999999999999E-2</v>
      </c>
      <c r="BH56" s="798">
        <v>0.125</v>
      </c>
      <c r="BI56" s="742">
        <f>+SUMPRODUCT(BE56:BH56,AY$54:BB$54)/BC$54</f>
        <v>8.3039806347498649E-2</v>
      </c>
      <c r="BJ56" s="254"/>
      <c r="BK56" s="1023">
        <v>-2.4E-2</v>
      </c>
      <c r="BL56" s="798">
        <v>1.2999999999999999E-2</v>
      </c>
      <c r="BM56" s="798">
        <v>-7.0000000000000001E-3</v>
      </c>
      <c r="BN56" s="798">
        <v>3.6999999999999998E-2</v>
      </c>
      <c r="BO56" s="742">
        <f t="shared" si="67"/>
        <v>6.118333668746226E-3</v>
      </c>
      <c r="BP56" s="254"/>
      <c r="BQ56" s="1040">
        <v>7.0000000000000007E-2</v>
      </c>
      <c r="BR56" s="800">
        <v>0.06</v>
      </c>
      <c r="BS56" s="800">
        <v>0.08</v>
      </c>
      <c r="BT56" s="1041">
        <v>0.04</v>
      </c>
      <c r="BU56" s="742">
        <f>+SUMPRODUCT(BQ56:BT56,BK$54:BN$54)/BO$54</f>
        <v>6.1687822292740981E-2</v>
      </c>
      <c r="BV56" s="254"/>
      <c r="BW56" s="1040">
        <v>0.04</v>
      </c>
      <c r="BX56" s="800">
        <f t="shared" ref="BX56:BZ56" si="68">+BW56</f>
        <v>0.04</v>
      </c>
      <c r="BY56" s="800">
        <f t="shared" si="68"/>
        <v>0.04</v>
      </c>
      <c r="BZ56" s="1041">
        <f t="shared" si="68"/>
        <v>0.04</v>
      </c>
      <c r="CA56" s="742">
        <f t="shared" ref="CA56" si="69">+SUMPRODUCT(BW56:BZ56,BQ$54:BT$54)/BU$54</f>
        <v>4.0000000000000008E-2</v>
      </c>
      <c r="CB56" s="254"/>
      <c r="CC56" s="1040">
        <v>0.05</v>
      </c>
      <c r="CD56" s="800">
        <f t="shared" ref="CD56:CF56" si="70">+CC56</f>
        <v>0.05</v>
      </c>
      <c r="CE56" s="800">
        <f t="shared" si="70"/>
        <v>0.05</v>
      </c>
      <c r="CF56" s="1041">
        <f t="shared" si="70"/>
        <v>0.05</v>
      </c>
      <c r="CG56" s="742">
        <f t="shared" ref="CG56" si="71">+SUMPRODUCT(CC56:CF56,BW$54:BZ$54)/CA$54</f>
        <v>0.05</v>
      </c>
      <c r="CH56" s="254"/>
      <c r="CI56" s="1040">
        <v>0.05</v>
      </c>
      <c r="CJ56" s="800">
        <f t="shared" ref="CJ56" si="72">+CI56</f>
        <v>0.05</v>
      </c>
      <c r="CK56" s="800">
        <f t="shared" ref="CK56" si="73">+CJ56</f>
        <v>0.05</v>
      </c>
      <c r="CL56" s="1041">
        <f t="shared" ref="CL56" si="74">+CK56</f>
        <v>0.05</v>
      </c>
      <c r="CM56" s="742">
        <f t="shared" ref="CM56" si="75">+SUMPRODUCT(CI56:CL56,CC$54:CF$54)/CG$54</f>
        <v>4.9999999999999996E-2</v>
      </c>
      <c r="CN56" s="65"/>
      <c r="CQ56"/>
      <c r="CR56"/>
      <c r="CS56"/>
      <c r="CT56"/>
      <c r="CU56"/>
      <c r="CV56"/>
    </row>
    <row r="57" spans="1:100" s="31" customFormat="1" outlineLevel="1" x14ac:dyDescent="0.2">
      <c r="B57" s="934" t="s">
        <v>586</v>
      </c>
      <c r="C57" s="1022"/>
      <c r="D57" s="405"/>
      <c r="E57" s="405"/>
      <c r="F57" s="405"/>
      <c r="G57" s="742"/>
      <c r="H57" s="254"/>
      <c r="I57" s="1022"/>
      <c r="J57" s="405"/>
      <c r="K57" s="405"/>
      <c r="L57" s="405"/>
      <c r="M57" s="742"/>
      <c r="N57" s="254"/>
      <c r="O57" s="1022"/>
      <c r="P57" s="405"/>
      <c r="Q57" s="405"/>
      <c r="R57" s="405"/>
      <c r="S57" s="742"/>
      <c r="T57" s="254"/>
      <c r="U57" s="1022"/>
      <c r="V57" s="405"/>
      <c r="W57" s="405"/>
      <c r="X57" s="405"/>
      <c r="Y57" s="742"/>
      <c r="Z57" s="254"/>
      <c r="AA57" s="1022"/>
      <c r="AB57" s="405"/>
      <c r="AC57" s="405"/>
      <c r="AD57" s="405"/>
      <c r="AE57" s="742"/>
      <c r="AF57" s="254"/>
      <c r="AG57" s="1022"/>
      <c r="AH57" s="405"/>
      <c r="AI57" s="405"/>
      <c r="AJ57" s="405"/>
      <c r="AK57" s="742"/>
      <c r="AL57" s="254"/>
      <c r="AM57" s="1022"/>
      <c r="AN57" s="405"/>
      <c r="AO57" s="405"/>
      <c r="AP57" s="405"/>
      <c r="AQ57" s="742"/>
      <c r="AR57" s="254"/>
      <c r="AS57" s="1022"/>
      <c r="AT57" s="405"/>
      <c r="AU57" s="405"/>
      <c r="AV57" s="405"/>
      <c r="AW57" s="742"/>
      <c r="AX57" s="254"/>
      <c r="AY57" s="1022">
        <f>AY55-AY56</f>
        <v>-0.10200000000000001</v>
      </c>
      <c r="AZ57" s="405">
        <f>AZ55-AZ56</f>
        <v>-0.13200000000000001</v>
      </c>
      <c r="BA57" s="405">
        <f>BA55-BA56</f>
        <v>-0.156</v>
      </c>
      <c r="BB57" s="405">
        <f>BB55-BB56</f>
        <v>-0.108</v>
      </c>
      <c r="BC57" s="742">
        <f>+SUMPRODUCT(AY57:BB57,AS$54:AV$54)/AW$54</f>
        <v>-0.12459987342913798</v>
      </c>
      <c r="BD57" s="254"/>
      <c r="BE57" s="1023">
        <v>-5.6000000000000001E-2</v>
      </c>
      <c r="BF57" s="798">
        <v>-2.4E-2</v>
      </c>
      <c r="BG57" s="798">
        <v>2.8000000000000001E-2</v>
      </c>
      <c r="BH57" s="798">
        <v>-8.9999999999999993E-3</v>
      </c>
      <c r="BI57" s="742">
        <f>+SUMPRODUCT(BE57:BH57,AY$54:BB$54)/BC$54</f>
        <v>-1.3971490048413126E-2</v>
      </c>
      <c r="BJ57" s="254"/>
      <c r="BK57" s="1023">
        <v>5.0000000000000001E-3</v>
      </c>
      <c r="BL57" s="798">
        <v>-2.4E-2</v>
      </c>
      <c r="BM57" s="798">
        <v>1.2E-2</v>
      </c>
      <c r="BN57" s="405">
        <f>BN55-BN56</f>
        <v>2.3341555977229568E-2</v>
      </c>
      <c r="BO57" s="742">
        <f>+SUMPRODUCT(BK57:BN57,BE$54:BH$54)/BI$54</f>
        <v>4.1834373113302384E-3</v>
      </c>
      <c r="BP57" s="254"/>
      <c r="BQ57" s="1040">
        <v>0.09</v>
      </c>
      <c r="BR57" s="800">
        <v>0.06</v>
      </c>
      <c r="BS57" s="800">
        <v>0.04</v>
      </c>
      <c r="BT57" s="800">
        <v>0.04</v>
      </c>
      <c r="BU57" s="742">
        <f>+SUMPRODUCT(BQ57:BT57,BK$54:BN$54)/BO$54</f>
        <v>5.5686235620785403E-2</v>
      </c>
      <c r="BV57" s="254"/>
      <c r="BW57" s="1040">
        <v>0</v>
      </c>
      <c r="BX57" s="800">
        <v>0</v>
      </c>
      <c r="BY57" s="800">
        <v>0</v>
      </c>
      <c r="BZ57" s="800">
        <v>0</v>
      </c>
      <c r="CA57" s="742">
        <f>+SUMPRODUCT(BW57:BZ57,BQ$54:BT$54)/BU$54</f>
        <v>0</v>
      </c>
      <c r="CB57" s="78"/>
      <c r="CC57" s="1040">
        <v>0</v>
      </c>
      <c r="CD57" s="800">
        <v>0</v>
      </c>
      <c r="CE57" s="800">
        <v>0</v>
      </c>
      <c r="CF57" s="800">
        <v>0</v>
      </c>
      <c r="CG57" s="742">
        <f>+SUMPRODUCT(CC57:CF57,BW$54:BZ$54)/CA$54</f>
        <v>0</v>
      </c>
      <c r="CH57" s="796"/>
      <c r="CI57" s="1040">
        <v>0</v>
      </c>
      <c r="CJ57" s="800">
        <v>0</v>
      </c>
      <c r="CK57" s="800">
        <v>0</v>
      </c>
      <c r="CL57" s="800">
        <v>0</v>
      </c>
      <c r="CM57" s="742">
        <f>+SUMPRODUCT(CI57:CL57,CC$54:CF$54)/CG$54</f>
        <v>0</v>
      </c>
      <c r="CN57" s="65"/>
      <c r="CQ57"/>
      <c r="CR57"/>
      <c r="CS57"/>
      <c r="CT57"/>
      <c r="CU57"/>
      <c r="CV57"/>
    </row>
    <row r="58" spans="1:100" s="31" customFormat="1" outlineLevel="1" x14ac:dyDescent="0.2">
      <c r="B58" s="934" t="s">
        <v>541</v>
      </c>
      <c r="C58" s="1023"/>
      <c r="D58" s="797"/>
      <c r="E58" s="797"/>
      <c r="F58" s="1026"/>
      <c r="G58" s="1015"/>
      <c r="H58" s="254"/>
      <c r="I58" s="1023"/>
      <c r="J58" s="797"/>
      <c r="K58" s="797"/>
      <c r="L58" s="1026"/>
      <c r="M58" s="1015"/>
      <c r="N58" s="254"/>
      <c r="O58" s="1023"/>
      <c r="P58" s="797"/>
      <c r="Q58" s="797"/>
      <c r="R58" s="1026"/>
      <c r="S58" s="1015"/>
      <c r="T58" s="254"/>
      <c r="U58" s="1023"/>
      <c r="V58" s="797"/>
      <c r="W58" s="797"/>
      <c r="X58" s="1026"/>
      <c r="Y58" s="1015"/>
      <c r="Z58" s="254"/>
      <c r="AA58" s="1023"/>
      <c r="AB58" s="797"/>
      <c r="AC58" s="797"/>
      <c r="AD58" s="1026"/>
      <c r="AE58" s="1015"/>
      <c r="AF58" s="254"/>
      <c r="AG58" s="1023"/>
      <c r="AH58" s="797"/>
      <c r="AI58" s="797"/>
      <c r="AJ58" s="1026"/>
      <c r="AK58" s="1015"/>
      <c r="AL58" s="254"/>
      <c r="AM58" s="1023"/>
      <c r="AN58" s="797"/>
      <c r="AO58" s="797"/>
      <c r="AP58" s="1026"/>
      <c r="AQ58" s="1015"/>
      <c r="AR58" s="254"/>
      <c r="AS58" s="1023"/>
      <c r="AT58" s="797"/>
      <c r="AU58" s="797"/>
      <c r="AV58" s="1026"/>
      <c r="AW58" s="1015"/>
      <c r="AX58" s="254"/>
      <c r="AY58" s="1023">
        <v>-3.0000000000000001E-3</v>
      </c>
      <c r="AZ58" s="797">
        <v>-4.0000000000000001E-3</v>
      </c>
      <c r="BA58" s="797">
        <v>-5.4000000000000003E-3</v>
      </c>
      <c r="BB58" s="1026">
        <v>1.4999999999999999E-2</v>
      </c>
      <c r="BC58" s="742">
        <f>+SUMPRODUCT(AY58:BB58,AS$54:AV$54)/AW$54</f>
        <v>6.7152226814546842E-4</v>
      </c>
      <c r="BD58" s="254"/>
      <c r="BE58" s="1022">
        <f>-(BE61-BE57-BE55)</f>
        <v>-0.1010996677740863</v>
      </c>
      <c r="BF58" s="407">
        <f>-(BF61-BF57-BF55)</f>
        <v>-3.6913907284768205E-2</v>
      </c>
      <c r="BG58" s="407">
        <f>-(BG61-BG57-BG55)</f>
        <v>6.8472787702534177E-2</v>
      </c>
      <c r="BH58" s="407">
        <f>-(BH61+BH57-BH55)</f>
        <v>3.1E-2</v>
      </c>
      <c r="BI58" s="742">
        <f>+SUMPRODUCT(BE58:BH58,AY$54:BB$54)/BC$54</f>
        <v>-6.8931683700914521E-3</v>
      </c>
      <c r="BJ58" s="254"/>
      <c r="BK58" s="1023">
        <v>2.8000000000000001E-2</v>
      </c>
      <c r="BL58" s="1254">
        <v>3.1E-2</v>
      </c>
      <c r="BM58" s="1254">
        <v>2.1999999999999999E-2</v>
      </c>
      <c r="BN58" s="1254">
        <v>6.0000000000000001E-3</v>
      </c>
      <c r="BO58" s="742">
        <f>+SUMPRODUCT(BK58:BN58,BE$54:BH$54)/BI$54</f>
        <v>2.1391628094183941E-2</v>
      </c>
      <c r="BP58" s="254"/>
      <c r="BQ58" s="1040">
        <v>0</v>
      </c>
      <c r="BR58" s="800">
        <v>0</v>
      </c>
      <c r="BS58" s="800">
        <v>0</v>
      </c>
      <c r="BT58" s="1041">
        <v>0</v>
      </c>
      <c r="BU58" s="742">
        <f>+SUMPRODUCT(BQ58:BT58,BK$54:BN$54)/BO$54</f>
        <v>0</v>
      </c>
      <c r="BV58" s="254"/>
      <c r="BW58" s="1040">
        <v>0</v>
      </c>
      <c r="BX58" s="800">
        <v>0</v>
      </c>
      <c r="BY58" s="800">
        <v>0</v>
      </c>
      <c r="BZ58" s="1041">
        <v>0</v>
      </c>
      <c r="CA58" s="742">
        <f>+SUMPRODUCT(BW58:BZ58,BQ$54:BT$54)/BU$54</f>
        <v>0</v>
      </c>
      <c r="CB58" s="52"/>
      <c r="CC58" s="1040">
        <v>0</v>
      </c>
      <c r="CD58" s="800">
        <v>0</v>
      </c>
      <c r="CE58" s="800">
        <v>0</v>
      </c>
      <c r="CF58" s="1041">
        <v>0</v>
      </c>
      <c r="CG58" s="742">
        <f>+SUMPRODUCT(CC58:CF58,BW$54:BZ$54)/CA$54</f>
        <v>0</v>
      </c>
      <c r="CH58" s="65"/>
      <c r="CI58" s="1040">
        <v>0</v>
      </c>
      <c r="CJ58" s="800">
        <v>0</v>
      </c>
      <c r="CK58" s="800">
        <v>0</v>
      </c>
      <c r="CL58" s="1041">
        <v>0</v>
      </c>
      <c r="CM58" s="742">
        <f>+SUMPRODUCT(CI58:CL58,CC$54:CF$54)/CG$54</f>
        <v>0</v>
      </c>
      <c r="CN58" s="65"/>
      <c r="CQ58"/>
      <c r="CR58"/>
      <c r="CS58"/>
      <c r="CT58"/>
      <c r="CU58"/>
      <c r="CV58"/>
    </row>
    <row r="59" spans="1:100" s="31" customFormat="1" outlineLevel="1" x14ac:dyDescent="0.2">
      <c r="B59" s="934" t="s">
        <v>605</v>
      </c>
      <c r="C59" s="1023"/>
      <c r="D59" s="797"/>
      <c r="E59" s="797"/>
      <c r="F59" s="1026"/>
      <c r="G59" s="1015"/>
      <c r="H59" s="254"/>
      <c r="I59" s="1023"/>
      <c r="J59" s="797"/>
      <c r="K59" s="797"/>
      <c r="L59" s="1026"/>
      <c r="M59" s="1015"/>
      <c r="N59" s="254"/>
      <c r="O59" s="1023"/>
      <c r="P59" s="797"/>
      <c r="Q59" s="797"/>
      <c r="R59" s="1026"/>
      <c r="S59" s="1015"/>
      <c r="T59" s="254"/>
      <c r="U59" s="1023"/>
      <c r="V59" s="797"/>
      <c r="W59" s="797"/>
      <c r="X59" s="1026"/>
      <c r="Y59" s="1015"/>
      <c r="Z59" s="254"/>
      <c r="AA59" s="1023"/>
      <c r="AB59" s="797"/>
      <c r="AC59" s="797"/>
      <c r="AD59" s="1026"/>
      <c r="AE59" s="1015"/>
      <c r="AF59" s="254"/>
      <c r="AG59" s="1023"/>
      <c r="AH59" s="797"/>
      <c r="AI59" s="797"/>
      <c r="AJ59" s="1026"/>
      <c r="AK59" s="1015"/>
      <c r="AL59" s="254"/>
      <c r="AM59" s="1023"/>
      <c r="AN59" s="797"/>
      <c r="AO59" s="797"/>
      <c r="AP59" s="1026"/>
      <c r="AQ59" s="1015"/>
      <c r="AR59" s="254"/>
      <c r="AS59" s="1023"/>
      <c r="AT59" s="797"/>
      <c r="AU59" s="797"/>
      <c r="AV59" s="1026"/>
      <c r="AW59" s="1015"/>
      <c r="AX59" s="254"/>
      <c r="AY59" s="1023">
        <v>-8.9999999999999993E-3</v>
      </c>
      <c r="AZ59" s="797">
        <v>0.113</v>
      </c>
      <c r="BA59" s="797">
        <v>0.156</v>
      </c>
      <c r="BB59" s="1026">
        <v>6.2E-2</v>
      </c>
      <c r="BC59" s="1015">
        <v>8.1000000000000003E-2</v>
      </c>
      <c r="BD59" s="254"/>
      <c r="BE59" s="1023">
        <v>7.4999999999999997E-2</v>
      </c>
      <c r="BF59" s="798">
        <v>7.4999999999999997E-2</v>
      </c>
      <c r="BG59" s="798">
        <v>2.5999999999999999E-2</v>
      </c>
      <c r="BH59" s="798">
        <v>9.4E-2</v>
      </c>
      <c r="BI59" s="1015">
        <v>6.6000000000000003E-2</v>
      </c>
      <c r="BJ59" s="254"/>
      <c r="BK59" s="1022">
        <f>+BK56-BK58</f>
        <v>-5.2000000000000005E-2</v>
      </c>
      <c r="BL59" s="407">
        <f>+BL56-BL58</f>
        <v>-1.8000000000000002E-2</v>
      </c>
      <c r="BM59" s="407">
        <f>+BM56-BM58</f>
        <v>-2.8999999999999998E-2</v>
      </c>
      <c r="BN59" s="407">
        <f>+BN56-BN58</f>
        <v>3.1E-2</v>
      </c>
      <c r="BO59" s="742">
        <f t="shared" si="67"/>
        <v>-1.5273294425437716E-2</v>
      </c>
      <c r="BP59" s="254"/>
      <c r="BQ59" s="1022">
        <f>+BQ56-BQ58</f>
        <v>7.0000000000000007E-2</v>
      </c>
      <c r="BR59" s="407">
        <f>+BR56-BR58</f>
        <v>0.06</v>
      </c>
      <c r="BS59" s="407">
        <f>+BS56-BS58</f>
        <v>0.08</v>
      </c>
      <c r="BT59" s="404">
        <f>+BT56-BT58</f>
        <v>0.04</v>
      </c>
      <c r="BU59" s="742">
        <f t="shared" ref="BU59" si="76">+SUMPRODUCT(BQ59:BT59,BK$54:BN$54)/BO$54</f>
        <v>6.1687822292740981E-2</v>
      </c>
      <c r="BV59" s="254"/>
      <c r="BW59" s="1022">
        <f>+BW56-BW58</f>
        <v>0.04</v>
      </c>
      <c r="BX59" s="407">
        <f>+BX56-BX58</f>
        <v>0.04</v>
      </c>
      <c r="BY59" s="407">
        <f>+BY56-BY58</f>
        <v>0.04</v>
      </c>
      <c r="BZ59" s="404">
        <f>+BZ56-BZ58</f>
        <v>0.04</v>
      </c>
      <c r="CA59" s="742">
        <f t="shared" ref="CA59" si="77">+SUMPRODUCT(BW59:BZ59,BQ$54:BT$54)/BU$54</f>
        <v>4.0000000000000008E-2</v>
      </c>
      <c r="CB59" s="254"/>
      <c r="CC59" s="1022">
        <f t="shared" ref="CC59:CF59" si="78">+CC56-CC58</f>
        <v>0.05</v>
      </c>
      <c r="CD59" s="407">
        <f t="shared" si="78"/>
        <v>0.05</v>
      </c>
      <c r="CE59" s="407">
        <f t="shared" si="78"/>
        <v>0.05</v>
      </c>
      <c r="CF59" s="404">
        <f t="shared" si="78"/>
        <v>0.05</v>
      </c>
      <c r="CG59" s="742">
        <f t="shared" ref="CG59" si="79">+SUMPRODUCT(CC59:CF59,BW$54:BZ$54)/CA$54</f>
        <v>0.05</v>
      </c>
      <c r="CH59" s="254"/>
      <c r="CI59" s="1022">
        <f t="shared" ref="CI59:CL59" si="80">+CI56-CI58</f>
        <v>0.05</v>
      </c>
      <c r="CJ59" s="407">
        <f t="shared" si="80"/>
        <v>0.05</v>
      </c>
      <c r="CK59" s="407">
        <f t="shared" si="80"/>
        <v>0.05</v>
      </c>
      <c r="CL59" s="404">
        <f t="shared" si="80"/>
        <v>0.05</v>
      </c>
      <c r="CM59" s="742">
        <f t="shared" ref="CM59" si="81">+SUMPRODUCT(CI59:CL59,CC$54:CF$54)/CG$54</f>
        <v>4.9999999999999996E-2</v>
      </c>
      <c r="CN59" s="65"/>
      <c r="CQ59"/>
      <c r="CR59"/>
      <c r="CS59"/>
      <c r="CT59"/>
      <c r="CU59"/>
      <c r="CV59"/>
    </row>
    <row r="60" spans="1:100" s="31" customFormat="1" outlineLevel="1" x14ac:dyDescent="0.2">
      <c r="B60" s="934" t="s">
        <v>710</v>
      </c>
      <c r="C60" s="1023"/>
      <c r="D60" s="797"/>
      <c r="E60" s="797"/>
      <c r="F60" s="1026"/>
      <c r="G60" s="1015"/>
      <c r="H60" s="254"/>
      <c r="I60" s="1023"/>
      <c r="J60" s="797"/>
      <c r="K60" s="797"/>
      <c r="L60" s="1026"/>
      <c r="M60" s="1015"/>
      <c r="N60" s="254"/>
      <c r="O60" s="1023"/>
      <c r="P60" s="797"/>
      <c r="Q60" s="797"/>
      <c r="R60" s="1026"/>
      <c r="S60" s="1015"/>
      <c r="T60" s="254"/>
      <c r="U60" s="1023"/>
      <c r="V60" s="797"/>
      <c r="W60" s="797"/>
      <c r="X60" s="1026"/>
      <c r="Y60" s="1015"/>
      <c r="Z60" s="254"/>
      <c r="AA60" s="1023"/>
      <c r="AB60" s="797"/>
      <c r="AC60" s="797"/>
      <c r="AD60" s="1026"/>
      <c r="AE60" s="1015"/>
      <c r="AF60" s="254"/>
      <c r="AG60" s="1023"/>
      <c r="AH60" s="797"/>
      <c r="AI60" s="797"/>
      <c r="AJ60" s="1026"/>
      <c r="AK60" s="1015"/>
      <c r="AL60" s="254"/>
      <c r="AM60" s="1023"/>
      <c r="AN60" s="797"/>
      <c r="AO60" s="797"/>
      <c r="AP60" s="1026"/>
      <c r="AQ60" s="1015"/>
      <c r="AR60" s="254"/>
      <c r="AS60" s="1023"/>
      <c r="AT60" s="797"/>
      <c r="AU60" s="797"/>
      <c r="AV60" s="1026"/>
      <c r="AW60" s="1015"/>
      <c r="AX60" s="254"/>
      <c r="AY60" s="1023"/>
      <c r="AZ60" s="797"/>
      <c r="BA60" s="797"/>
      <c r="BB60" s="1026"/>
      <c r="BC60" s="1015"/>
      <c r="BD60" s="254"/>
      <c r="BE60" s="1023"/>
      <c r="BF60" s="798"/>
      <c r="BG60" s="798"/>
      <c r="BH60" s="798"/>
      <c r="BI60" s="1015"/>
      <c r="BJ60" s="254"/>
      <c r="BK60" s="1038">
        <f>-5/BE54</f>
        <v>-2.3041474654377881E-2</v>
      </c>
      <c r="BL60" s="1254">
        <f>-3/BF54</f>
        <v>-1.1691348402182384E-2</v>
      </c>
      <c r="BM60" s="1254">
        <f>-5/BG54</f>
        <v>-1.9477989871445268E-2</v>
      </c>
      <c r="BN60" s="1254">
        <f>-2/BH54</f>
        <v>-7.5901328273244783E-3</v>
      </c>
      <c r="BO60" s="742"/>
      <c r="BP60" s="254"/>
      <c r="BQ60" s="1022"/>
      <c r="BR60" s="407"/>
      <c r="BS60" s="407"/>
      <c r="BT60" s="404"/>
      <c r="BU60" s="742"/>
      <c r="BV60" s="254"/>
      <c r="BW60" s="1040"/>
      <c r="BX60" s="800"/>
      <c r="BY60" s="800"/>
      <c r="BZ60" s="1041"/>
      <c r="CA60" s="742"/>
      <c r="CB60" s="52"/>
      <c r="CC60" s="1040"/>
      <c r="CD60" s="800"/>
      <c r="CE60" s="800"/>
      <c r="CF60" s="1041"/>
      <c r="CG60" s="742"/>
      <c r="CH60" s="65"/>
      <c r="CI60" s="1040"/>
      <c r="CJ60" s="800"/>
      <c r="CK60" s="800"/>
      <c r="CL60" s="1041"/>
      <c r="CM60" s="742"/>
      <c r="CN60" s="65"/>
      <c r="CQ60" s="1500"/>
      <c r="CR60" s="1500"/>
      <c r="CS60" s="1500"/>
      <c r="CT60" s="1500"/>
      <c r="CU60" s="1500"/>
      <c r="CV60" s="1500"/>
    </row>
    <row r="61" spans="1:100" s="31" customFormat="1" x14ac:dyDescent="0.2">
      <c r="B61" s="1034" t="s">
        <v>589</v>
      </c>
      <c r="C61" s="1035"/>
      <c r="D61" s="1036"/>
      <c r="E61" s="1036"/>
      <c r="F61" s="1036"/>
      <c r="G61" s="1037"/>
      <c r="H61" s="1043"/>
      <c r="I61" s="1035"/>
      <c r="J61" s="1036"/>
      <c r="K61" s="1036"/>
      <c r="L61" s="1036"/>
      <c r="M61" s="1037"/>
      <c r="N61" s="1043"/>
      <c r="O61" s="1035"/>
      <c r="P61" s="1036"/>
      <c r="Q61" s="1036"/>
      <c r="R61" s="1036"/>
      <c r="S61" s="1037"/>
      <c r="T61" s="1043"/>
      <c r="U61" s="1035"/>
      <c r="V61" s="1036"/>
      <c r="W61" s="1036"/>
      <c r="X61" s="1036"/>
      <c r="Y61" s="1037"/>
      <c r="Z61" s="1043"/>
      <c r="AA61" s="1035"/>
      <c r="AB61" s="1036"/>
      <c r="AC61" s="1036"/>
      <c r="AD61" s="1036"/>
      <c r="AE61" s="1037"/>
      <c r="AF61" s="1043"/>
      <c r="AG61" s="1035"/>
      <c r="AH61" s="1036"/>
      <c r="AI61" s="1036"/>
      <c r="AJ61" s="1036"/>
      <c r="AK61" s="1037"/>
      <c r="AL61" s="1043"/>
      <c r="AM61" s="1035"/>
      <c r="AN61" s="1036"/>
      <c r="AO61" s="1036"/>
      <c r="AP61" s="1036"/>
      <c r="AQ61" s="1037"/>
      <c r="AR61" s="1043"/>
      <c r="AS61" s="1035"/>
      <c r="AT61" s="1036"/>
      <c r="AU61" s="1036"/>
      <c r="AV61" s="1036"/>
      <c r="AW61" s="1037"/>
      <c r="AX61" s="1043"/>
      <c r="AY61" s="1035">
        <f>+AY56-AY58</f>
        <v>-9.0000000000000011E-3</v>
      </c>
      <c r="AZ61" s="1036">
        <f>+AZ56-AZ58</f>
        <v>0.113</v>
      </c>
      <c r="BA61" s="1036">
        <f>+BA56-BA58</f>
        <v>0.15639999999999998</v>
      </c>
      <c r="BB61" s="1036">
        <f>+BB56-BB58</f>
        <v>6.2E-2</v>
      </c>
      <c r="BC61" s="1037">
        <f>+SUMPRODUCT(AY61:BB61,AS$54:AV$54)/AW$54</f>
        <v>8.1116360022274028E-2</v>
      </c>
      <c r="BD61" s="1043"/>
      <c r="BE61" s="936">
        <f>+BE59</f>
        <v>7.4999999999999997E-2</v>
      </c>
      <c r="BF61" s="935">
        <f>+BF59</f>
        <v>7.4999999999999997E-2</v>
      </c>
      <c r="BG61" s="935">
        <f>+BG59</f>
        <v>2.5999999999999999E-2</v>
      </c>
      <c r="BH61" s="935">
        <f>+BH59</f>
        <v>9.4E-2</v>
      </c>
      <c r="BI61" s="1037">
        <f>+SUMPRODUCT(BE61:BH61,AY$54:BB$54)/BC$54</f>
        <v>6.714545454545455E-2</v>
      </c>
      <c r="BJ61" s="1043"/>
      <c r="BK61" s="1035">
        <f>+BK59-BK60</f>
        <v>-2.8958525345622124E-2</v>
      </c>
      <c r="BL61" s="935">
        <f>+BL59-BL60</f>
        <v>-6.3086515978176185E-3</v>
      </c>
      <c r="BM61" s="935">
        <f>+BM59-BM60</f>
        <v>-9.5220101285547303E-3</v>
      </c>
      <c r="BN61" s="935">
        <f>+BN59-BN60</f>
        <v>3.8590132827324479E-2</v>
      </c>
      <c r="BO61" s="1037">
        <f t="shared" si="67"/>
        <v>-1.797142282149338E-4</v>
      </c>
      <c r="BP61" s="1043"/>
      <c r="BQ61" s="1035">
        <f>+BQ56-BQ58</f>
        <v>7.0000000000000007E-2</v>
      </c>
      <c r="BR61" s="1036">
        <f>+BR56-BR58</f>
        <v>0.06</v>
      </c>
      <c r="BS61" s="1036">
        <f>+BS56-BS58</f>
        <v>0.08</v>
      </c>
      <c r="BT61" s="1036">
        <f>+BT56-BT58</f>
        <v>0.04</v>
      </c>
      <c r="BU61" s="1037">
        <f>+SUMPRODUCT(BQ61:BT61,BK$54:BN$54)/BO$54</f>
        <v>6.1687822292740981E-2</v>
      </c>
      <c r="BV61" s="1043"/>
      <c r="BW61" s="1035">
        <f>+BW56-BW58</f>
        <v>0.04</v>
      </c>
      <c r="BX61" s="1036">
        <f>+BX56-BX58</f>
        <v>0.04</v>
      </c>
      <c r="BY61" s="1036">
        <f>+BY56-BY58</f>
        <v>0.04</v>
      </c>
      <c r="BZ61" s="1036">
        <f>+BZ56-BZ58</f>
        <v>0.04</v>
      </c>
      <c r="CA61" s="742">
        <f>+SUMPRODUCT(BW61:BZ61,BQ$54:BT$54)/BU$54</f>
        <v>4.0000000000000008E-2</v>
      </c>
      <c r="CB61" s="1044"/>
      <c r="CC61" s="1035">
        <f>+CC56-CC58</f>
        <v>0.05</v>
      </c>
      <c r="CD61" s="1036">
        <f>+CD56-CD58</f>
        <v>0.05</v>
      </c>
      <c r="CE61" s="1036">
        <f>+CE56-CE58</f>
        <v>0.05</v>
      </c>
      <c r="CF61" s="1036">
        <f>+CF56-CF58</f>
        <v>0.05</v>
      </c>
      <c r="CG61" s="1037">
        <f>+SUMPRODUCT(CC61:CF61,BW$54:BZ$54)/CA$54</f>
        <v>0.05</v>
      </c>
      <c r="CH61" s="1044"/>
      <c r="CI61" s="1035">
        <f>+CI56-CI58</f>
        <v>0.05</v>
      </c>
      <c r="CJ61" s="1036">
        <f>+CJ56-CJ58</f>
        <v>0.05</v>
      </c>
      <c r="CK61" s="1036">
        <f>+CK56-CK58</f>
        <v>0.05</v>
      </c>
      <c r="CL61" s="1036">
        <f>+CL56-CL58</f>
        <v>0.05</v>
      </c>
      <c r="CM61" s="1037">
        <f>+SUMPRODUCT(CI61:CL61,CC$54:CF$54)/CG$54</f>
        <v>4.9999999999999996E-2</v>
      </c>
      <c r="CN61" s="65"/>
      <c r="CQ61"/>
      <c r="CR61"/>
      <c r="CS61"/>
      <c r="CT61"/>
      <c r="CU61"/>
      <c r="CV61"/>
    </row>
    <row r="62" spans="1:100" s="1017" customFormat="1" ht="11.25" customHeight="1" x14ac:dyDescent="0.2">
      <c r="A62" s="79"/>
      <c r="B62" s="937" t="s">
        <v>509</v>
      </c>
      <c r="C62" s="938"/>
      <c r="D62" s="939"/>
      <c r="E62" s="939"/>
      <c r="F62" s="939"/>
      <c r="G62" s="940"/>
      <c r="H62" s="941"/>
      <c r="I62" s="938"/>
      <c r="J62" s="939"/>
      <c r="K62" s="939"/>
      <c r="L62" s="939"/>
      <c r="M62" s="940"/>
      <c r="N62" s="941"/>
      <c r="O62" s="938"/>
      <c r="P62" s="939"/>
      <c r="Q62" s="939"/>
      <c r="R62" s="939"/>
      <c r="S62" s="940"/>
      <c r="T62" s="941"/>
      <c r="U62" s="938"/>
      <c r="V62" s="939"/>
      <c r="W62" s="939"/>
      <c r="X62" s="939"/>
      <c r="Y62" s="940"/>
      <c r="Z62" s="941"/>
      <c r="AA62" s="938"/>
      <c r="AB62" s="939"/>
      <c r="AC62" s="939"/>
      <c r="AD62" s="939"/>
      <c r="AE62" s="940"/>
      <c r="AF62" s="941"/>
      <c r="AG62" s="938"/>
      <c r="AH62" s="939"/>
      <c r="AI62" s="939"/>
      <c r="AJ62" s="939"/>
      <c r="AK62" s="940"/>
      <c r="AL62" s="941"/>
      <c r="AM62" s="938"/>
      <c r="AN62" s="939"/>
      <c r="AO62" s="939"/>
      <c r="AP62" s="939"/>
      <c r="AQ62" s="940"/>
      <c r="AR62" s="941"/>
      <c r="AS62" s="938"/>
      <c r="AT62" s="939"/>
      <c r="AU62" s="939"/>
      <c r="AV62" s="939"/>
      <c r="AW62" s="940"/>
      <c r="AX62" s="941"/>
      <c r="AY62" s="938"/>
      <c r="AZ62" s="939"/>
      <c r="BA62" s="939"/>
      <c r="BB62" s="939"/>
      <c r="BC62" s="940"/>
      <c r="BD62" s="941"/>
      <c r="BE62" s="938"/>
      <c r="BF62" s="939"/>
      <c r="BG62" s="939"/>
      <c r="BH62" s="939"/>
      <c r="BI62" s="940"/>
      <c r="BJ62" s="941"/>
      <c r="BK62" s="938"/>
      <c r="BL62" s="939"/>
      <c r="BM62" s="939"/>
      <c r="BN62" s="939"/>
      <c r="BO62" s="940"/>
      <c r="BP62" s="941"/>
      <c r="BQ62" s="938"/>
      <c r="BR62" s="939"/>
      <c r="BS62" s="939"/>
      <c r="BT62" s="939"/>
      <c r="BU62" s="940"/>
      <c r="BV62" s="941"/>
      <c r="BW62" s="938"/>
      <c r="BX62" s="939"/>
      <c r="BY62" s="939"/>
      <c r="BZ62" s="939"/>
      <c r="CA62" s="940"/>
      <c r="CB62" s="941"/>
      <c r="CC62" s="938"/>
      <c r="CD62" s="939"/>
      <c r="CE62" s="939"/>
      <c r="CF62" s="939"/>
      <c r="CG62" s="940"/>
      <c r="CH62" s="941"/>
      <c r="CI62" s="938"/>
      <c r="CJ62" s="939"/>
      <c r="CK62" s="939"/>
      <c r="CL62" s="939"/>
      <c r="CM62" s="940"/>
      <c r="CN62" s="62"/>
      <c r="CQ62"/>
      <c r="CR62"/>
      <c r="CS62"/>
      <c r="CT62"/>
      <c r="CU62"/>
      <c r="CV62"/>
    </row>
    <row r="63" spans="1:100" s="1017" customFormat="1" ht="11.25" customHeight="1" x14ac:dyDescent="0.2">
      <c r="A63" s="27"/>
      <c r="B63" s="950" t="s">
        <v>635</v>
      </c>
      <c r="C63" s="944"/>
      <c r="D63" s="945"/>
      <c r="E63" s="945"/>
      <c r="F63" s="945"/>
      <c r="G63" s="946"/>
      <c r="H63" s="945"/>
      <c r="I63" s="944"/>
      <c r="J63" s="945"/>
      <c r="K63" s="945"/>
      <c r="L63" s="945"/>
      <c r="M63" s="946"/>
      <c r="N63" s="1021"/>
      <c r="O63" s="944"/>
      <c r="P63" s="945"/>
      <c r="Q63" s="945"/>
      <c r="R63" s="945"/>
      <c r="S63" s="946"/>
      <c r="T63" s="947"/>
      <c r="U63" s="944"/>
      <c r="V63" s="945"/>
      <c r="W63" s="945"/>
      <c r="X63" s="945"/>
      <c r="Y63" s="946"/>
      <c r="Z63" s="947"/>
      <c r="AA63" s="944"/>
      <c r="AB63" s="945"/>
      <c r="AC63" s="945"/>
      <c r="AD63" s="945"/>
      <c r="AE63" s="946"/>
      <c r="AF63" s="948"/>
      <c r="AG63" s="944"/>
      <c r="AH63" s="945"/>
      <c r="AI63" s="945"/>
      <c r="AJ63" s="945"/>
      <c r="AK63" s="946"/>
      <c r="AL63" s="948"/>
      <c r="AM63" s="944"/>
      <c r="AN63" s="945"/>
      <c r="AO63" s="945"/>
      <c r="AP63" s="945"/>
      <c r="AQ63" s="946"/>
      <c r="AR63" s="948"/>
      <c r="AS63" s="1024">
        <f>+AS54+AS45+AS36</f>
        <v>970.466201963819</v>
      </c>
      <c r="AT63" s="1025">
        <f>+AT54+AT45+AT36</f>
        <v>1028.9115083994479</v>
      </c>
      <c r="AU63" s="1025">
        <f>+AU54+AU45+AU36</f>
        <v>970.75376753154376</v>
      </c>
      <c r="AV63" s="1025">
        <f>+AV54+AV45+AV36</f>
        <v>983.25495709527024</v>
      </c>
      <c r="AW63" s="946">
        <f>+SUM(AS63:AV63)</f>
        <v>3953.3864349900809</v>
      </c>
      <c r="AX63" s="949"/>
      <c r="AY63" s="1024">
        <f>+AY54+AY45+AY36</f>
        <v>888.3</v>
      </c>
      <c r="AZ63" s="1025">
        <f>+AZ54+AZ45+AZ36</f>
        <v>980.1</v>
      </c>
      <c r="BA63" s="1025">
        <f>+BA54+BA45+BA36</f>
        <v>933.7</v>
      </c>
      <c r="BB63" s="1025">
        <f>+BB54+BB45+BB36</f>
        <v>949.6</v>
      </c>
      <c r="BC63" s="946">
        <f>+SUM(AY63:BB63)</f>
        <v>3751.7000000000003</v>
      </c>
      <c r="BD63" s="949"/>
      <c r="BE63" s="1024">
        <f>+BE54+BE45+BE36</f>
        <v>923.6</v>
      </c>
      <c r="BF63" s="1025">
        <f>+BF54+BF45+BF36</f>
        <v>1006.3</v>
      </c>
      <c r="BG63" s="1025">
        <f>+BG54+BG45+BG36</f>
        <v>940.8</v>
      </c>
      <c r="BH63" s="1025">
        <f>+BH54+BH45+BH36</f>
        <v>984.09999999999991</v>
      </c>
      <c r="BI63" s="946">
        <f>+SUM(BE63:BH63)</f>
        <v>3854.7999999999997</v>
      </c>
      <c r="BJ63" s="949"/>
      <c r="BK63" s="1024">
        <f>+BK54+BK45+BK36</f>
        <v>890.9</v>
      </c>
      <c r="BL63" s="1025">
        <f>+BL54+BL45+BL36</f>
        <v>984.5</v>
      </c>
      <c r="BM63" s="1025">
        <f>+BM54+BM45+BM36</f>
        <v>1000.8</v>
      </c>
      <c r="BN63" s="1025">
        <f>+BN54+BN45+BN36</f>
        <v>1080.7</v>
      </c>
      <c r="BO63" s="946">
        <f>+SUM(BK63:BN63)</f>
        <v>3956.8999999999996</v>
      </c>
      <c r="BP63" s="949"/>
      <c r="BQ63" s="1024">
        <f>+BQ54+BQ45+BQ36</f>
        <v>939.47</v>
      </c>
      <c r="BR63" s="1025">
        <f>+BR54+BR45+BR36</f>
        <v>1050.364</v>
      </c>
      <c r="BS63" s="1025">
        <f>+BS54+BS45+BS36</f>
        <v>1072.8520000000001</v>
      </c>
      <c r="BT63" s="1025">
        <f>+BT54+BT45+BT36</f>
        <v>1152.5840000000001</v>
      </c>
      <c r="BU63" s="946">
        <f>+SUM(BQ63:BT63)</f>
        <v>4215.2700000000004</v>
      </c>
      <c r="BV63" s="949"/>
      <c r="BW63" s="1024">
        <f>+BW54+BW45+BW36</f>
        <v>971.58546000000013</v>
      </c>
      <c r="BX63" s="1025">
        <f>+BX54+BX45+BX36</f>
        <v>1099.2359800000002</v>
      </c>
      <c r="BY63" s="1025">
        <f>+BY54+BY45+BY36</f>
        <v>1117.9386400000001</v>
      </c>
      <c r="BZ63" s="1025">
        <f>+BZ54+BZ45+BZ36</f>
        <v>1192.0734000000002</v>
      </c>
      <c r="CA63" s="946">
        <f>+SUM(BW63:BZ63)</f>
        <v>4380.8334800000002</v>
      </c>
      <c r="CB63" s="949"/>
      <c r="CC63" s="1024">
        <f>+CC54+CC45+CC36</f>
        <v>1005.3237653000001</v>
      </c>
      <c r="CD63" s="1025">
        <f>+CD54+CD45+CD36</f>
        <v>1126.3884081000001</v>
      </c>
      <c r="CE63" s="1025">
        <f>+CE54+CE45+CE36</f>
        <v>1148.7781032</v>
      </c>
      <c r="CF63" s="1025">
        <f>+CF54+CF45+CF36</f>
        <v>1233.6421122000002</v>
      </c>
      <c r="CG63" s="946">
        <f>+SUM(CC63:CF63)</f>
        <v>4514.1323888000006</v>
      </c>
      <c r="CH63" s="948"/>
      <c r="CI63" s="1024">
        <f>+CI54+CI45+CI36</f>
        <v>1042.446875483</v>
      </c>
      <c r="CJ63" s="1025">
        <f>+CJ54+CJ45+CJ36</f>
        <v>1186.3701926235001</v>
      </c>
      <c r="CK63" s="1025">
        <f>+CK54+CK45+CK36</f>
        <v>1204.4319921270001</v>
      </c>
      <c r="CL63" s="1025">
        <f>+CL54+CL45+CL36</f>
        <v>1279.2709250370001</v>
      </c>
      <c r="CM63" s="946">
        <f>+SUM(CI63:CL63)</f>
        <v>4712.5199852705</v>
      </c>
      <c r="CN63" s="62"/>
      <c r="CQ63"/>
      <c r="CR63"/>
      <c r="CS63"/>
      <c r="CT63"/>
      <c r="CU63"/>
      <c r="CV63"/>
    </row>
    <row r="64" spans="1:100" s="1265" customFormat="1" ht="11.25" customHeight="1" x14ac:dyDescent="0.2">
      <c r="A64" s="27"/>
      <c r="B64" s="962" t="s">
        <v>543</v>
      </c>
      <c r="C64" s="1042">
        <v>49.597999999999956</v>
      </c>
      <c r="D64" s="22">
        <v>45.254000000000019</v>
      </c>
      <c r="E64" s="22">
        <v>42.771000000000072</v>
      </c>
      <c r="F64" s="22">
        <v>52.311000000000149</v>
      </c>
      <c r="G64" s="957">
        <v>189.93399999999997</v>
      </c>
      <c r="H64" s="956"/>
      <c r="I64" s="955">
        <v>64.533999999999935</v>
      </c>
      <c r="J64" s="956">
        <v>52.574000000000069</v>
      </c>
      <c r="K64" s="956">
        <v>41.867000000000075</v>
      </c>
      <c r="L64" s="956">
        <v>40.94800000000015</v>
      </c>
      <c r="M64" s="957">
        <f>+SUM(I64:L64)</f>
        <v>199.92300000000023</v>
      </c>
      <c r="N64" s="956"/>
      <c r="O64" s="955">
        <v>41.299000000000092</v>
      </c>
      <c r="P64" s="956">
        <v>41.304999999999893</v>
      </c>
      <c r="Q64" s="956">
        <v>37.384999999999991</v>
      </c>
      <c r="R64" s="956">
        <v>48.722999999999843</v>
      </c>
      <c r="S64" s="957">
        <f>+SUM(O64:R64)</f>
        <v>168.71199999999982</v>
      </c>
      <c r="T64" s="955"/>
      <c r="U64" s="955">
        <v>48.458000000000084</v>
      </c>
      <c r="V64" s="956">
        <v>45.80600000000004</v>
      </c>
      <c r="W64" s="956">
        <v>47.469000000000051</v>
      </c>
      <c r="X64" s="956">
        <v>47.524000000000001</v>
      </c>
      <c r="Y64" s="957">
        <f>+SUM(U64:X64)</f>
        <v>189.25700000000018</v>
      </c>
      <c r="Z64" s="955"/>
      <c r="AA64" s="955">
        <v>43.498000000000047</v>
      </c>
      <c r="AB64" s="956">
        <v>45.452999999999975</v>
      </c>
      <c r="AC64" s="956">
        <v>56.008000000000038</v>
      </c>
      <c r="AD64" s="956">
        <v>60.213000000000079</v>
      </c>
      <c r="AE64" s="957">
        <f>+SUM(AA64:AD64)</f>
        <v>205.17200000000014</v>
      </c>
      <c r="AF64" s="958"/>
      <c r="AG64" s="955">
        <v>50.788000000000011</v>
      </c>
      <c r="AH64" s="956">
        <v>64.51400000000001</v>
      </c>
      <c r="AI64" s="956">
        <v>48.614000000000033</v>
      </c>
      <c r="AJ64" s="956">
        <v>49.815000000000055</v>
      </c>
      <c r="AK64" s="957">
        <f>+SUM(AG64:AJ64)</f>
        <v>213.73100000000011</v>
      </c>
      <c r="AL64" s="958"/>
      <c r="AM64" s="955">
        <v>59.434999999999945</v>
      </c>
      <c r="AN64" s="956">
        <v>45.053999999999974</v>
      </c>
      <c r="AO64" s="956">
        <v>34.593000000000075</v>
      </c>
      <c r="AP64" s="956">
        <v>39.989000000000033</v>
      </c>
      <c r="AQ64" s="957">
        <f>+SUM(AM64:AP64)</f>
        <v>179.07100000000003</v>
      </c>
      <c r="AR64" s="958"/>
      <c r="AS64" s="955">
        <v>40.932000000000016</v>
      </c>
      <c r="AT64" s="956">
        <v>34.326999999999998</v>
      </c>
      <c r="AU64" s="956">
        <v>26.656000000000063</v>
      </c>
      <c r="AV64" s="956">
        <v>28.030000000000086</v>
      </c>
      <c r="AW64" s="957">
        <f>+SUM(AS64:AV64)</f>
        <v>129.94500000000016</v>
      </c>
      <c r="AX64" s="958"/>
      <c r="AY64" s="955">
        <v>24.773000000000025</v>
      </c>
      <c r="AZ64" s="956">
        <v>23.307999999999993</v>
      </c>
      <c r="BA64" s="956">
        <v>19.600000000000023</v>
      </c>
      <c r="BB64" s="956">
        <v>25.200000000000045</v>
      </c>
      <c r="BC64" s="957">
        <f>+SUM(AY64:BB64)</f>
        <v>92.881000000000085</v>
      </c>
      <c r="BD64" s="954"/>
      <c r="BE64" s="1073">
        <f>772.6-754.5</f>
        <v>18.100000000000023</v>
      </c>
      <c r="BF64" s="952">
        <f>1022-1006.3</f>
        <v>15.700000000000045</v>
      </c>
      <c r="BG64" s="1283">
        <f>954.2-939.2</f>
        <v>15</v>
      </c>
      <c r="BH64" s="1283">
        <v>13.9</v>
      </c>
      <c r="BI64" s="957">
        <f>SUM(BE64:BH64)</f>
        <v>62.700000000000067</v>
      </c>
      <c r="BJ64" s="954"/>
      <c r="BK64" s="1073">
        <v>11.1</v>
      </c>
      <c r="BL64" s="952">
        <v>9.6999999999999993</v>
      </c>
      <c r="BM64" s="952">
        <v>9.4</v>
      </c>
      <c r="BN64" s="1283">
        <v>10.3</v>
      </c>
      <c r="BO64" s="957">
        <f>SUM(BK64:BN64)</f>
        <v>40.5</v>
      </c>
      <c r="BP64" s="954"/>
      <c r="BQ64" s="959">
        <f>BK64</f>
        <v>11.1</v>
      </c>
      <c r="BR64" s="960">
        <f>BL64</f>
        <v>9.6999999999999993</v>
      </c>
      <c r="BS64" s="960">
        <f>BM64</f>
        <v>9.4</v>
      </c>
      <c r="BT64" s="960">
        <f>BN64</f>
        <v>10.3</v>
      </c>
      <c r="BU64" s="957">
        <f>SUM(BQ64:BT64)</f>
        <v>40.5</v>
      </c>
      <c r="BV64" s="954"/>
      <c r="BW64" s="959">
        <f>BQ64</f>
        <v>11.1</v>
      </c>
      <c r="BX64" s="960">
        <f>BR64</f>
        <v>9.6999999999999993</v>
      </c>
      <c r="BY64" s="960">
        <f>BS64</f>
        <v>9.4</v>
      </c>
      <c r="BZ64" s="960">
        <f>BT64</f>
        <v>10.3</v>
      </c>
      <c r="CA64" s="957">
        <f>SUM(BW64:BZ64)</f>
        <v>40.5</v>
      </c>
      <c r="CB64" s="954"/>
      <c r="CC64" s="959">
        <f>BW64</f>
        <v>11.1</v>
      </c>
      <c r="CD64" s="960">
        <f>BX64</f>
        <v>9.6999999999999993</v>
      </c>
      <c r="CE64" s="960">
        <f>BY64</f>
        <v>9.4</v>
      </c>
      <c r="CF64" s="960">
        <f>BZ64</f>
        <v>10.3</v>
      </c>
      <c r="CG64" s="957">
        <f>SUM(CC64:CF64)</f>
        <v>40.5</v>
      </c>
      <c r="CH64" s="954"/>
      <c r="CI64" s="959">
        <f>CC64</f>
        <v>11.1</v>
      </c>
      <c r="CJ64" s="960">
        <f>CD64</f>
        <v>9.6999999999999993</v>
      </c>
      <c r="CK64" s="960">
        <f>CE64</f>
        <v>9.4</v>
      </c>
      <c r="CL64" s="960">
        <f>CF64</f>
        <v>10.3</v>
      </c>
      <c r="CM64" s="957">
        <f>SUM(CI64:CL64)</f>
        <v>40.5</v>
      </c>
      <c r="CN64" s="62"/>
    </row>
    <row r="65" spans="1:100 16384:16384" s="78" customFormat="1" ht="11.25" customHeight="1" x14ac:dyDescent="0.2">
      <c r="A65" s="27"/>
      <c r="B65" s="1093" t="s">
        <v>607</v>
      </c>
      <c r="C65" s="951"/>
      <c r="D65" s="952"/>
      <c r="E65" s="952"/>
      <c r="F65" s="952"/>
      <c r="G65" s="953"/>
      <c r="H65" s="952"/>
      <c r="I65" s="951"/>
      <c r="J65" s="952"/>
      <c r="K65" s="952"/>
      <c r="L65" s="952"/>
      <c r="M65" s="953"/>
      <c r="N65" s="22"/>
      <c r="O65" s="951"/>
      <c r="P65" s="952"/>
      <c r="Q65" s="952"/>
      <c r="R65" s="952"/>
      <c r="S65" s="953"/>
      <c r="T65" s="22"/>
      <c r="U65" s="951"/>
      <c r="V65" s="952"/>
      <c r="W65" s="952"/>
      <c r="X65" s="952"/>
      <c r="Y65" s="953"/>
      <c r="Z65" s="22"/>
      <c r="AA65" s="951"/>
      <c r="AB65" s="952"/>
      <c r="AC65" s="952"/>
      <c r="AD65" s="952"/>
      <c r="AE65" s="953"/>
      <c r="AF65" s="954"/>
      <c r="AG65" s="951"/>
      <c r="AH65" s="952"/>
      <c r="AI65" s="952"/>
      <c r="AJ65" s="952"/>
      <c r="AK65" s="953"/>
      <c r="AL65" s="954"/>
      <c r="AM65" s="951"/>
      <c r="AN65" s="952"/>
      <c r="AO65" s="952"/>
      <c r="AP65" s="952"/>
      <c r="AQ65" s="953"/>
      <c r="AR65" s="954"/>
      <c r="AS65" s="1042">
        <f>+AS63+RevBuild!AS64</f>
        <v>1011.398201963819</v>
      </c>
      <c r="AT65" s="22">
        <f>+AT63+RevBuild!AT64</f>
        <v>1063.2385083994479</v>
      </c>
      <c r="AU65" s="22">
        <f>+AU63+RevBuild!AU64</f>
        <v>997.40976753154382</v>
      </c>
      <c r="AV65" s="22">
        <f>+AV63+RevBuild!AV64</f>
        <v>1011.2849570952703</v>
      </c>
      <c r="AW65" s="953">
        <f>+SUM(AS65:AV65)</f>
        <v>4083.3314349900811</v>
      </c>
      <c r="AX65" s="954"/>
      <c r="AY65" s="1042">
        <f>+AY63+RevBuild!AY64</f>
        <v>913.07299999999998</v>
      </c>
      <c r="AZ65" s="22">
        <f>+AZ63+RevBuild!AZ64</f>
        <v>1003.408</v>
      </c>
      <c r="BA65" s="22">
        <f>+BA63+RevBuild!BA64</f>
        <v>953.30000000000007</v>
      </c>
      <c r="BB65" s="22">
        <f>+BB63+RevBuild!BB64</f>
        <v>974.80000000000007</v>
      </c>
      <c r="BC65" s="953">
        <f>+SUM(AY65:BB65)</f>
        <v>3844.5810000000001</v>
      </c>
      <c r="BD65" s="954"/>
      <c r="BE65" s="1042">
        <f>+BE63+RevBuild!BE64</f>
        <v>941.7</v>
      </c>
      <c r="BF65" s="22">
        <f>+BF63+RevBuild!BF64</f>
        <v>1022</v>
      </c>
      <c r="BG65" s="22">
        <f>+BG63+RevBuild!BG64</f>
        <v>955.8</v>
      </c>
      <c r="BH65" s="22">
        <f>+BH63+RevBuild!BH64</f>
        <v>997.99999999999989</v>
      </c>
      <c r="BI65" s="953">
        <f>+SUM(BE65:BH65)</f>
        <v>3917.5</v>
      </c>
      <c r="BJ65" s="954"/>
      <c r="BK65" s="1042">
        <f>+BK63+RevBuild!BK64</f>
        <v>902</v>
      </c>
      <c r="BL65" s="22">
        <f>+BL63+RevBuild!BL64</f>
        <v>994.2</v>
      </c>
      <c r="BM65" s="22">
        <f>+BM63+RevBuild!BM64</f>
        <v>1010.1999999999999</v>
      </c>
      <c r="BN65" s="22">
        <f>+BN63+RevBuild!BN64</f>
        <v>1091</v>
      </c>
      <c r="BO65" s="953">
        <f>+SUM(BK65:BN65)</f>
        <v>3997.4</v>
      </c>
      <c r="BP65" s="954"/>
      <c r="BQ65" s="1042">
        <f>+BQ63+RevBuild!BQ64</f>
        <v>950.57</v>
      </c>
      <c r="BR65" s="22">
        <f>+BR63+RevBuild!BR64</f>
        <v>1060.0640000000001</v>
      </c>
      <c r="BS65" s="22">
        <f>+BS63+RevBuild!BS64</f>
        <v>1082.2520000000002</v>
      </c>
      <c r="BT65" s="22">
        <f>+BT63+RevBuild!BT64</f>
        <v>1162.884</v>
      </c>
      <c r="BU65" s="953">
        <f>+SUM(BQ65:BT65)</f>
        <v>4255.7700000000004</v>
      </c>
      <c r="BV65" s="954"/>
      <c r="BW65" s="1042">
        <f>+BW63+RevBuild!BW64</f>
        <v>982.68546000000015</v>
      </c>
      <c r="BX65" s="22">
        <f>+BX63+RevBuild!BX64</f>
        <v>1108.9359800000002</v>
      </c>
      <c r="BY65" s="22">
        <f>+BY63+RevBuild!BY64</f>
        <v>1127.3386400000002</v>
      </c>
      <c r="BZ65" s="22">
        <f>+BZ63+RevBuild!BZ64</f>
        <v>1202.3734000000002</v>
      </c>
      <c r="CA65" s="953">
        <f>+SUM(BW65:BZ65)</f>
        <v>4421.3334800000011</v>
      </c>
      <c r="CB65" s="954"/>
      <c r="CC65" s="1042">
        <f>+CC63+RevBuild!CC64</f>
        <v>1016.4237653000001</v>
      </c>
      <c r="CD65" s="22">
        <f>+CD63+RevBuild!CD64</f>
        <v>1136.0884081000002</v>
      </c>
      <c r="CE65" s="22">
        <f>+CE63+RevBuild!CE64</f>
        <v>1158.1781032000001</v>
      </c>
      <c r="CF65" s="22">
        <f>+CF63+RevBuild!CF64</f>
        <v>1243.9421122000001</v>
      </c>
      <c r="CG65" s="953">
        <f>+SUM(CC65:CF65)</f>
        <v>4554.6323888000006</v>
      </c>
      <c r="CH65" s="954"/>
      <c r="CI65" s="1042">
        <f>+CI63+RevBuild!CI64</f>
        <v>1053.5468754829999</v>
      </c>
      <c r="CJ65" s="22">
        <f>+CJ63+RevBuild!CJ64</f>
        <v>1196.0701926235001</v>
      </c>
      <c r="CK65" s="22">
        <f>+CK63+RevBuild!CK64</f>
        <v>1213.8319921270001</v>
      </c>
      <c r="CL65" s="22">
        <f>+CL63+RevBuild!CL64</f>
        <v>1289.5709250370001</v>
      </c>
      <c r="CM65" s="953">
        <f>+SUM(CI65:CL65)</f>
        <v>4753.0199852705</v>
      </c>
      <c r="CQ65"/>
      <c r="CR65"/>
      <c r="CS65"/>
      <c r="CT65"/>
      <c r="CU65"/>
      <c r="CV65"/>
    </row>
    <row r="66" spans="1:100 16384:16384" s="78" customFormat="1" ht="11.25" customHeight="1" outlineLevel="1" x14ac:dyDescent="0.2">
      <c r="A66" s="27"/>
      <c r="B66" s="934" t="s">
        <v>540</v>
      </c>
      <c r="C66" s="951"/>
      <c r="D66" s="952"/>
      <c r="E66" s="952"/>
      <c r="F66" s="952"/>
      <c r="G66" s="953"/>
      <c r="H66" s="952"/>
      <c r="I66" s="951"/>
      <c r="J66" s="952"/>
      <c r="K66" s="952"/>
      <c r="L66" s="952"/>
      <c r="M66" s="953"/>
      <c r="N66" s="22"/>
      <c r="O66" s="951"/>
      <c r="P66" s="952"/>
      <c r="Q66" s="952"/>
      <c r="R66" s="952"/>
      <c r="S66" s="953"/>
      <c r="T66" s="22"/>
      <c r="U66" s="951"/>
      <c r="V66" s="952"/>
      <c r="W66" s="952"/>
      <c r="X66" s="952"/>
      <c r="Y66" s="953"/>
      <c r="Z66" s="22"/>
      <c r="AA66" s="951"/>
      <c r="AB66" s="952"/>
      <c r="AC66" s="952"/>
      <c r="AD66" s="952"/>
      <c r="AE66" s="953"/>
      <c r="AF66" s="954"/>
      <c r="AG66" s="951"/>
      <c r="AH66" s="952"/>
      <c r="AI66" s="952"/>
      <c r="AJ66" s="952"/>
      <c r="AK66" s="953"/>
      <c r="AL66" s="954"/>
      <c r="AM66" s="951"/>
      <c r="AN66" s="952"/>
      <c r="AO66" s="952"/>
      <c r="AP66" s="952"/>
      <c r="AQ66" s="953"/>
      <c r="AR66" s="954"/>
      <c r="AS66" s="1042"/>
      <c r="AT66" s="22"/>
      <c r="AU66" s="22"/>
      <c r="AV66" s="22"/>
      <c r="AW66" s="953"/>
      <c r="AX66" s="954"/>
      <c r="AY66" s="1022">
        <f>+AY65/AS65-1</f>
        <v>-9.7217101803129813E-2</v>
      </c>
      <c r="AZ66" s="405">
        <f>+AZ65/AT65-1</f>
        <v>-5.6271953965920662E-2</v>
      </c>
      <c r="BA66" s="405">
        <f>+BA65/AU65-1</f>
        <v>-4.4224318797989715E-2</v>
      </c>
      <c r="BB66" s="405">
        <f>+BB65/AV65-1</f>
        <v>-3.6077820439519459E-2</v>
      </c>
      <c r="BC66" s="742">
        <f>+BC65/AW65-1</f>
        <v>-5.8469521465788321E-2</v>
      </c>
      <c r="BD66" s="954"/>
      <c r="BE66" s="1022">
        <f>+BE65/AY65-1</f>
        <v>3.1352367225840672E-2</v>
      </c>
      <c r="BF66" s="405">
        <f>+BF65/AZ65-1</f>
        <v>1.8528853666703871E-2</v>
      </c>
      <c r="BG66" s="405">
        <f>+BG65/BA65-1</f>
        <v>2.6224693171088553E-3</v>
      </c>
      <c r="BH66" s="405">
        <f>+BH65/BB65-1</f>
        <v>2.3799753795650247E-2</v>
      </c>
      <c r="BI66" s="742">
        <f>+BI65/BC65-1</f>
        <v>1.8966696240760639E-2</v>
      </c>
      <c r="BJ66" s="954"/>
      <c r="BK66" s="1022">
        <f>+BK65/BE65-1</f>
        <v>-4.2157799723903655E-2</v>
      </c>
      <c r="BL66" s="405">
        <f>+BL65/BF65-1</f>
        <v>-2.7201565557729901E-2</v>
      </c>
      <c r="BM66" s="405">
        <f>+BM65/BG65-1</f>
        <v>5.691567273488185E-2</v>
      </c>
      <c r="BN66" s="405">
        <f>+BN65/BH65-1</f>
        <v>9.3186372745491131E-2</v>
      </c>
      <c r="BO66" s="742">
        <f>+BO65/BI65-1</f>
        <v>2.0395660497766421E-2</v>
      </c>
      <c r="BP66" s="954"/>
      <c r="BQ66" s="1022">
        <f>+BQ65/BK65-1</f>
        <v>5.3847006651884799E-2</v>
      </c>
      <c r="BR66" s="405">
        <f>+BR65/BL65-1</f>
        <v>6.6248239790786645E-2</v>
      </c>
      <c r="BS66" s="405">
        <f>+BS65/BM65-1</f>
        <v>7.1324490199960566E-2</v>
      </c>
      <c r="BT66" s="405">
        <f>+BT65/BN65-1</f>
        <v>6.5888175985334474E-2</v>
      </c>
      <c r="BU66" s="742">
        <f>+BU65/BO65-1</f>
        <v>6.4634512433081603E-2</v>
      </c>
      <c r="BV66" s="954"/>
      <c r="BW66" s="1022">
        <f>+BW65/BQ65-1</f>
        <v>3.3785476082771382E-2</v>
      </c>
      <c r="BX66" s="405">
        <f>+BX65/BR65-1</f>
        <v>4.610285794065283E-2</v>
      </c>
      <c r="BY66" s="405">
        <f>+BY65/BS65-1</f>
        <v>4.1660020032302958E-2</v>
      </c>
      <c r="BZ66" s="405">
        <f>+BZ65/BT65-1</f>
        <v>3.3958159197306159E-2</v>
      </c>
      <c r="CA66" s="742">
        <f>+CA65/BU65-1</f>
        <v>3.8903295995789344E-2</v>
      </c>
      <c r="CB66" s="954"/>
      <c r="CC66" s="1022">
        <f>+CC65/BW65-1</f>
        <v>3.4332761268290213E-2</v>
      </c>
      <c r="CD66" s="405">
        <f>+CD65/BX65-1</f>
        <v>2.4485117797332201E-2</v>
      </c>
      <c r="CE66" s="405">
        <f>+CE65/BY65-1</f>
        <v>2.735598879144252E-2</v>
      </c>
      <c r="CF66" s="405">
        <f>+CF65/BZ65-1</f>
        <v>3.457221541993527E-2</v>
      </c>
      <c r="CG66" s="742">
        <f>+CG65/CA65-1</f>
        <v>3.01490284329331E-2</v>
      </c>
      <c r="CH66" s="954"/>
      <c r="CI66" s="1022">
        <f>+CI65/CC65-1</f>
        <v>3.6523260720928485E-2</v>
      </c>
      <c r="CJ66" s="405">
        <f>+CJ65/CD65-1</f>
        <v>5.2796757801458316E-2</v>
      </c>
      <c r="CK66" s="405">
        <f>+CK65/CE65-1</f>
        <v>4.8052962470306104E-2</v>
      </c>
      <c r="CL66" s="405">
        <f>+CL65/CF65-1</f>
        <v>3.6680816888096324E-2</v>
      </c>
      <c r="CM66" s="742">
        <f>+CM65/CG65-1</f>
        <v>4.3557323519312297E-2</v>
      </c>
      <c r="CQ66"/>
      <c r="CR66"/>
      <c r="CS66"/>
      <c r="CT66"/>
      <c r="CU66"/>
      <c r="CV66"/>
    </row>
    <row r="67" spans="1:100 16384:16384" s="31" customFormat="1" outlineLevel="1" x14ac:dyDescent="0.2">
      <c r="B67" s="934" t="s">
        <v>608</v>
      </c>
      <c r="C67" s="1022"/>
      <c r="D67" s="405"/>
      <c r="E67" s="405"/>
      <c r="F67" s="405"/>
      <c r="G67" s="742"/>
      <c r="H67" s="254"/>
      <c r="I67" s="1022"/>
      <c r="J67" s="405"/>
      <c r="K67" s="405"/>
      <c r="L67" s="405"/>
      <c r="M67" s="742"/>
      <c r="N67" s="254"/>
      <c r="O67" s="1022"/>
      <c r="P67" s="405"/>
      <c r="Q67" s="405"/>
      <c r="R67" s="405"/>
      <c r="S67" s="742"/>
      <c r="T67" s="254"/>
      <c r="U67" s="1022"/>
      <c r="V67" s="405"/>
      <c r="W67" s="405"/>
      <c r="X67" s="405"/>
      <c r="Y67" s="742"/>
      <c r="Z67" s="254"/>
      <c r="AA67" s="1022"/>
      <c r="AB67" s="1039"/>
      <c r="AC67" s="1039"/>
      <c r="AD67" s="1039"/>
      <c r="AE67" s="742"/>
      <c r="AF67" s="254"/>
      <c r="AG67" s="1038"/>
      <c r="AH67" s="1039"/>
      <c r="AI67" s="1039"/>
      <c r="AJ67" s="1039"/>
      <c r="AK67" s="742"/>
      <c r="AL67" s="254"/>
      <c r="AM67" s="1038"/>
      <c r="AN67" s="1039"/>
      <c r="AO67" s="1039"/>
      <c r="AP67" s="1039"/>
      <c r="AQ67" s="742"/>
      <c r="AR67" s="254"/>
      <c r="AS67" s="1076"/>
      <c r="AT67" s="1039"/>
      <c r="AU67" s="1039"/>
      <c r="AV67" s="1039"/>
      <c r="AW67" s="742"/>
      <c r="AX67" s="254"/>
      <c r="AY67" s="1022">
        <f>+AY63/AS63-1</f>
        <v>-8.4666732130958211E-2</v>
      </c>
      <c r="AZ67" s="405">
        <f>+AZ63/AT63-1</f>
        <v>-4.7439947945939531E-2</v>
      </c>
      <c r="BA67" s="405">
        <f>+BA63/AU63-1</f>
        <v>-3.8170099123864265E-2</v>
      </c>
      <c r="BB67" s="405">
        <f>+BB63/AV63-1</f>
        <v>-3.4228108236233679E-2</v>
      </c>
      <c r="BC67" s="742">
        <f>+BC63/AW63-1</f>
        <v>-5.1016119548805694E-2</v>
      </c>
      <c r="BD67" s="254"/>
      <c r="BE67" s="1022">
        <f>+BE63/AY63-1</f>
        <v>3.9738826972869568E-2</v>
      </c>
      <c r="BF67" s="405">
        <f>+BF63/AZ63-1</f>
        <v>2.673196612590556E-2</v>
      </c>
      <c r="BG67" s="405">
        <f>+BG63/BA63-1</f>
        <v>7.6041555103352199E-3</v>
      </c>
      <c r="BH67" s="405">
        <f>+BH63/BB63-1</f>
        <v>3.6331086773378152E-2</v>
      </c>
      <c r="BI67" s="742">
        <f>+BI63/BC63-1</f>
        <v>2.7480875336513888E-2</v>
      </c>
      <c r="BJ67" s="254"/>
      <c r="BK67" s="1022">
        <f>+BK63/BE63-1</f>
        <v>-3.5404937202252129E-2</v>
      </c>
      <c r="BL67" s="405">
        <f>+BL63/BF63-1</f>
        <v>-2.166351982510184E-2</v>
      </c>
      <c r="BM67" s="405">
        <f>+BM63/BG63-1</f>
        <v>6.3775510204081565E-2</v>
      </c>
      <c r="BN67" s="405">
        <f>+BN63/BH63-1</f>
        <v>9.8160756020729822E-2</v>
      </c>
      <c r="BO67" s="742">
        <f>+BO63/BI63-1</f>
        <v>2.6486458441423721E-2</v>
      </c>
      <c r="BP67" s="254"/>
      <c r="BQ67" s="1022">
        <f>+BQ63/BK63-1</f>
        <v>5.4517903243910704E-2</v>
      </c>
      <c r="BR67" s="405">
        <f>+BR63/BL63-1</f>
        <v>6.6900964956830844E-2</v>
      </c>
      <c r="BS67" s="405">
        <f>+BS63/BM63-1</f>
        <v>7.1994404476418916E-2</v>
      </c>
      <c r="BT67" s="405">
        <f>+BT63/BN63-1</f>
        <v>6.6516146941796972E-2</v>
      </c>
      <c r="BU67" s="742">
        <f>+BU63/BO63-1</f>
        <v>6.5296065101468459E-2</v>
      </c>
      <c r="BV67" s="254"/>
      <c r="BW67" s="1022">
        <f>+BW63/BQ63-1</f>
        <v>3.4184657306779442E-2</v>
      </c>
      <c r="BX67" s="405">
        <f>+BX63/BR63-1</f>
        <v>4.6528612937991154E-2</v>
      </c>
      <c r="BY67" s="405">
        <f>+BY63/BS63-1</f>
        <v>4.2025032343697033E-2</v>
      </c>
      <c r="BZ67" s="405">
        <f>+BZ63/BT63-1</f>
        <v>3.4261624315451433E-2</v>
      </c>
      <c r="CA67" s="742">
        <f>+CA63/BU63-1</f>
        <v>3.9277075964291752E-2</v>
      </c>
      <c r="CB67" s="52"/>
      <c r="CC67" s="1022">
        <f>+CC63/BW63-1</f>
        <v>3.4725000207392887E-2</v>
      </c>
      <c r="CD67" s="405">
        <f>+CD63/BX63-1</f>
        <v>2.4701182088308293E-2</v>
      </c>
      <c r="CE67" s="405">
        <f>+CE63/BY63-1</f>
        <v>2.7586007045968142E-2</v>
      </c>
      <c r="CF67" s="405">
        <f>+CF63/BZ63-1</f>
        <v>3.4870933450909858E-2</v>
      </c>
      <c r="CG67" s="742">
        <f>+CG63/CA63-1</f>
        <v>3.0427750657165076E-2</v>
      </c>
      <c r="CH67" s="65"/>
      <c r="CI67" s="1022">
        <f>+CI63/CC63-1</f>
        <v>3.6926522046280219E-2</v>
      </c>
      <c r="CJ67" s="405">
        <f>+CJ63/CD63-1</f>
        <v>5.3251422060244469E-2</v>
      </c>
      <c r="CK67" s="405">
        <f>+CK63/CE63-1</f>
        <v>4.8446160987898557E-2</v>
      </c>
      <c r="CL67" s="405">
        <f>+CL63/CF63-1</f>
        <v>3.6987074602721215E-2</v>
      </c>
      <c r="CM67" s="742">
        <f>+CM63/CG63-1</f>
        <v>4.3948112147246254E-2</v>
      </c>
      <c r="CN67" s="65"/>
      <c r="CO67" s="1439"/>
      <c r="CQ67"/>
      <c r="CR67"/>
      <c r="CS67"/>
      <c r="CT67"/>
      <c r="CU67"/>
      <c r="CV67"/>
    </row>
    <row r="68" spans="1:100 16384:16384" s="31" customFormat="1" x14ac:dyDescent="0.2">
      <c r="B68" s="934" t="s">
        <v>588</v>
      </c>
      <c r="C68" s="1023"/>
      <c r="D68" s="797"/>
      <c r="E68" s="797"/>
      <c r="F68" s="1026"/>
      <c r="G68" s="742"/>
      <c r="H68" s="723"/>
      <c r="I68" s="1023"/>
      <c r="J68" s="797"/>
      <c r="K68" s="797"/>
      <c r="L68" s="1026"/>
      <c r="M68" s="742"/>
      <c r="N68" s="723"/>
      <c r="O68" s="1023"/>
      <c r="P68" s="797"/>
      <c r="Q68" s="797"/>
      <c r="R68" s="1026"/>
      <c r="S68" s="742"/>
      <c r="T68" s="723"/>
      <c r="U68" s="1023"/>
      <c r="V68" s="797"/>
      <c r="W68" s="797"/>
      <c r="X68" s="1026"/>
      <c r="Y68" s="742"/>
      <c r="Z68" s="723"/>
      <c r="AA68" s="1023"/>
      <c r="AB68" s="797"/>
      <c r="AC68" s="797"/>
      <c r="AD68" s="1026"/>
      <c r="AE68" s="742"/>
      <c r="AF68" s="254"/>
      <c r="AG68" s="1023"/>
      <c r="AH68" s="797"/>
      <c r="AI68" s="797"/>
      <c r="AJ68" s="1026"/>
      <c r="AK68" s="742"/>
      <c r="AL68" s="254"/>
      <c r="AM68" s="1023"/>
      <c r="AN68" s="797"/>
      <c r="AO68" s="797"/>
      <c r="AP68" s="1026"/>
      <c r="AQ68" s="742"/>
      <c r="AR68" s="254"/>
      <c r="AS68" s="1023"/>
      <c r="AT68" s="797"/>
      <c r="AU68" s="797"/>
      <c r="AV68" s="1026"/>
      <c r="AW68" s="1015"/>
      <c r="AX68" s="254"/>
      <c r="AY68" s="1022">
        <f>+((AY56*AS$54)+(AY47*AS$45)+(AY38*AS$36))/AS$63</f>
        <v>1.554641539517056E-2</v>
      </c>
      <c r="AZ68" s="405">
        <f>+((AZ56*AT$54)+(AZ47*AT$45)+(AZ38*AT$36))/AT$63</f>
        <v>6.7453269517407183E-2</v>
      </c>
      <c r="BA68" s="405">
        <f>+((BA56*AU$54)+(BA47*AU$45)+(BA38*AU$36))/AU$63</f>
        <v>6.3620067314534137E-2</v>
      </c>
      <c r="BB68" s="404">
        <f>+((BB56*AV$54)+(BB47*AV$45)+(BB38*AV$36))/AV$63</f>
        <v>4.5432975009049532E-2</v>
      </c>
      <c r="BC68" s="742">
        <f>+SUMPRODUCT(AY68:BB68,AS$63:AV$63)/AW$63</f>
        <v>4.8293364956173306E-2</v>
      </c>
      <c r="BD68" s="254"/>
      <c r="BE68" s="1022">
        <f>+((BE56*AY$54)+(BE47*AY$45)+(BE38*AY$36))/AY$63</f>
        <v>6.4488573680063041E-2</v>
      </c>
      <c r="BF68" s="405">
        <f>+((BF56*AZ$54)+(BF47*AZ$45)+(BF38*AZ$36))/AZ$63</f>
        <v>3.3338230792776244E-2</v>
      </c>
      <c r="BG68" s="405">
        <f>+((BG56*BA$54)+(BG47*BA$45)+(BG38*BA$36))/BA$63</f>
        <v>4.2697868694441454E-3</v>
      </c>
      <c r="BH68" s="405">
        <f>+((BH56*BB$54)+(BH47*BB$45)+(BH38*BB$36))/BB$63</f>
        <v>4.3075400168491991E-2</v>
      </c>
      <c r="BI68" s="742">
        <f t="shared" ref="BI68:BI73" si="82">+SUMPRODUCT(BE68:BH68,AY$63:BB$63)/BC$63</f>
        <v>3.5943998720579996E-2</v>
      </c>
      <c r="BJ68" s="254"/>
      <c r="BK68" s="1022">
        <f>+((BK56*BE$54)+(BK47*BE$45)+(BK38*BE$36))/BE$63</f>
        <v>-2.2673235166738852E-2</v>
      </c>
      <c r="BL68" s="405">
        <f>+((BL56*BF$54)+(BL47*BF$45)+(BL38*BF$36))/BF$63</f>
        <v>-1.0019179171221306E-2</v>
      </c>
      <c r="BM68" s="405">
        <f>+((BM56*BG$54)+(BM47*BG$45)+(BM38*BG$36))/BG$63</f>
        <v>4.2857461734693882E-2</v>
      </c>
      <c r="BN68" s="405">
        <f>+((BN56*BH$54)+(BN47*BH$45)+(BN38*BH$36))/BH$63</f>
        <v>5.2660095518748097E-2</v>
      </c>
      <c r="BO68" s="742">
        <f t="shared" ref="BO68:BO73" si="83">+SUMPRODUCT(BK68:BN68,BE$63:BH$63)/BI$63</f>
        <v>1.5855504825153056E-2</v>
      </c>
      <c r="BP68" s="254"/>
      <c r="BQ68" s="1022">
        <f>+((BQ56*BK$54)+(BQ47*BK$45)+(BQ38*BK$36))/BK$63</f>
        <v>-3.8017734874845706E-3</v>
      </c>
      <c r="BR68" s="405">
        <f>+((BR56*BL$54)+(BR47*BL$45)+(BR38*BL$36))/BL$63</f>
        <v>2.7110208227526661E-2</v>
      </c>
      <c r="BS68" s="405">
        <f>+((BS56*BM$54)+(BS47*BM$45)+(BS38*BM$36))/BM$63</f>
        <v>4.6514788169464423E-2</v>
      </c>
      <c r="BT68" s="404">
        <f>+((BT56*BN$54)+(BT47*BN$45)+(BT38*BN$36))/BN$63</f>
        <v>0.04</v>
      </c>
      <c r="BU68" s="742">
        <f t="shared" ref="BU68:BU73" si="84">+SUMPRODUCT(BQ68:BT68,BK$63:BN$63)/BO$63</f>
        <v>2.8578685334479013E-2</v>
      </c>
      <c r="BV68" s="254"/>
      <c r="BW68" s="1022">
        <f>+((BW56*BQ$54)+(BW47*BQ$45)+(BW38*BQ$36))/BQ$63</f>
        <v>3.4184657306779359E-2</v>
      </c>
      <c r="BX68" s="405">
        <f>+((BX56*BR$54)+(BX47*BR$45)+(BX38*BR$36))/BR$63</f>
        <v>4.6528612937991029E-2</v>
      </c>
      <c r="BY68" s="405">
        <f>+((BY56*BS$54)+(BY47*BS$45)+(BY38*BS$36))/BS$63</f>
        <v>4.2025032343696984E-2</v>
      </c>
      <c r="BZ68" s="404">
        <f>+((BZ56*BT$54)+(BZ47*BT$45)+(BZ38*BT$36))/BT$63</f>
        <v>3.4261624315451197E-2</v>
      </c>
      <c r="CA68" s="742">
        <f>+SUMPRODUCT(BW68:BZ68,BQ$63:BT$63)/BU$63</f>
        <v>3.9277075964291731E-2</v>
      </c>
      <c r="CB68" s="52"/>
      <c r="CC68" s="1022">
        <f>+((CC56*BW$54)+(CC47*BW$45)+(CC38*BW$36))/BW$63</f>
        <v>3.4725000207392977E-2</v>
      </c>
      <c r="CD68" s="405">
        <f>+((CD56*BX$54)+(CD47*BX$45)+(CD38*BX$36))/BX$63</f>
        <v>2.4701182088308283E-2</v>
      </c>
      <c r="CE68" s="405">
        <f>+((CE56*BY$54)+(CE47*BY$45)+(CE38*BY$36))/BY$63</f>
        <v>2.7586007045968107E-2</v>
      </c>
      <c r="CF68" s="404">
        <f>+((CF56*BZ$54)+(CF47*BZ$45)+(CF38*BZ$36))/BZ$63</f>
        <v>3.4870933450909983E-2</v>
      </c>
      <c r="CG68" s="742">
        <f>+SUMPRODUCT(CC68:CF68,BW$63:BZ$63)/CA$63</f>
        <v>3.0427750657164909E-2</v>
      </c>
      <c r="CH68" s="65"/>
      <c r="CI68" s="1022">
        <f>+((CI56*CC$54)+(CI47*CC$45)+(CI38*CC$36))/CC$63</f>
        <v>3.6926522046280323E-2</v>
      </c>
      <c r="CJ68" s="405">
        <f>+((CJ56*CD$54)+(CJ47*CD$45)+(CJ38*CD$36))/CD$63</f>
        <v>5.3251422060244483E-2</v>
      </c>
      <c r="CK68" s="405">
        <f>+((CK56*CE$54)+(CK47*CE$45)+(CK38*CE$36))/CE$63</f>
        <v>4.8446160987898605E-2</v>
      </c>
      <c r="CL68" s="404">
        <f>+((CL56*CF$54)+(CL47*CF$45)+(CL38*CF$36))/CF$63</f>
        <v>3.6987074602721229E-2</v>
      </c>
      <c r="CM68" s="742">
        <f>+SUMPRODUCT(CI68:CL68,CC$63:CF$63)/CG$63</f>
        <v>4.3948112147246463E-2</v>
      </c>
      <c r="CN68" s="65"/>
      <c r="CO68" s="1439"/>
      <c r="CQ68"/>
      <c r="CR68"/>
      <c r="CS68"/>
      <c r="CT68"/>
      <c r="CU68"/>
      <c r="CV68"/>
    </row>
    <row r="69" spans="1:100 16384:16384" s="31" customFormat="1" x14ac:dyDescent="0.2">
      <c r="B69" s="934" t="s">
        <v>586</v>
      </c>
      <c r="C69" s="1022"/>
      <c r="D69" s="405"/>
      <c r="E69" s="405"/>
      <c r="F69" s="405"/>
      <c r="G69" s="742"/>
      <c r="H69" s="254"/>
      <c r="I69" s="1022"/>
      <c r="J69" s="405"/>
      <c r="K69" s="405"/>
      <c r="L69" s="405"/>
      <c r="M69" s="742"/>
      <c r="N69" s="254"/>
      <c r="O69" s="1022"/>
      <c r="P69" s="405"/>
      <c r="Q69" s="405"/>
      <c r="R69" s="405"/>
      <c r="S69" s="742"/>
      <c r="T69" s="254"/>
      <c r="U69" s="1022"/>
      <c r="V69" s="405"/>
      <c r="W69" s="405"/>
      <c r="X69" s="405"/>
      <c r="Y69" s="742"/>
      <c r="Z69" s="254"/>
      <c r="AA69" s="1022"/>
      <c r="AB69" s="405"/>
      <c r="AC69" s="405"/>
      <c r="AD69" s="405"/>
      <c r="AE69" s="742"/>
      <c r="AF69" s="254"/>
      <c r="AG69" s="1022"/>
      <c r="AH69" s="405"/>
      <c r="AI69" s="405"/>
      <c r="AJ69" s="405"/>
      <c r="AK69" s="742"/>
      <c r="AL69" s="254"/>
      <c r="AM69" s="1022"/>
      <c r="AN69" s="405"/>
      <c r="AO69" s="405"/>
      <c r="AP69" s="405"/>
      <c r="AQ69" s="742"/>
      <c r="AR69" s="254"/>
      <c r="AS69" s="1022"/>
      <c r="AT69" s="405"/>
      <c r="AU69" s="405"/>
      <c r="AV69" s="405"/>
      <c r="AW69" s="742"/>
      <c r="AX69" s="254"/>
      <c r="AY69" s="1022">
        <f>AY67-AY68</f>
        <v>-0.10021314752612877</v>
      </c>
      <c r="AZ69" s="405">
        <f>AZ67-AZ68</f>
        <v>-0.11489321746334671</v>
      </c>
      <c r="BA69" s="405">
        <f>BA67-BA68</f>
        <v>-0.1017901664383984</v>
      </c>
      <c r="BB69" s="405">
        <f>BB67-BB68</f>
        <v>-7.9661083245283204E-2</v>
      </c>
      <c r="BC69" s="742">
        <f>+SUMPRODUCT(AY69:BB69,AS$63:AV$63)/AW$63</f>
        <v>-9.9309484504979048E-2</v>
      </c>
      <c r="BD69" s="254"/>
      <c r="BE69" s="1038">
        <v>-2.5999999999999999E-2</v>
      </c>
      <c r="BF69" s="405">
        <f>+BF67-BF68</f>
        <v>-6.6062646668706843E-3</v>
      </c>
      <c r="BG69" s="405">
        <f>+BG67-BG68</f>
        <v>3.3343686408910745E-3</v>
      </c>
      <c r="BH69" s="405">
        <f>+BH67-BH68</f>
        <v>-6.7443133951138393E-3</v>
      </c>
      <c r="BI69" s="742">
        <f t="shared" si="82"/>
        <v>-8.7591491857024976E-3</v>
      </c>
      <c r="BJ69" s="254"/>
      <c r="BK69" s="1022">
        <f>+BK67-BK68</f>
        <v>-1.2731702035513277E-2</v>
      </c>
      <c r="BL69" s="405">
        <f>+BL67-BL68</f>
        <v>-1.1644340653880534E-2</v>
      </c>
      <c r="BM69" s="405">
        <f>+BM67-BM68</f>
        <v>2.0918048469387683E-2</v>
      </c>
      <c r="BN69" s="405">
        <f>+BN67-BN68</f>
        <v>4.5500660501981725E-2</v>
      </c>
      <c r="BO69" s="742">
        <f t="shared" si="83"/>
        <v>1.0630953616270651E-2</v>
      </c>
      <c r="BP69" s="254"/>
      <c r="BQ69" s="1022">
        <f>+BQ67-BQ68</f>
        <v>5.8319676731395272E-2</v>
      </c>
      <c r="BR69" s="405">
        <f>+BR67-BR68</f>
        <v>3.9790756729304183E-2</v>
      </c>
      <c r="BS69" s="405">
        <f>+BS67-BS68</f>
        <v>2.5479616306954493E-2</v>
      </c>
      <c r="BT69" s="405">
        <f>+BT67-BT68</f>
        <v>2.6516146941796971E-2</v>
      </c>
      <c r="BU69" s="742">
        <f t="shared" si="84"/>
        <v>3.6717379766989328E-2</v>
      </c>
      <c r="BV69" s="254"/>
      <c r="BW69" s="1022">
        <f>+BW67-BW68</f>
        <v>8.3266726846886741E-17</v>
      </c>
      <c r="BX69" s="405">
        <f>+BX67-BX68</f>
        <v>1.2490009027033011E-16</v>
      </c>
      <c r="BY69" s="405">
        <f>+BY67-BY68</f>
        <v>0</v>
      </c>
      <c r="BZ69" s="405">
        <f>+BZ67-BZ68</f>
        <v>2.3592239273284576E-16</v>
      </c>
      <c r="CA69" s="742">
        <f>+SUMPRODUCT(BW69:BZ69,BQ$63:BT$63)/BU$63</f>
        <v>1.1418901408288056E-16</v>
      </c>
      <c r="CB69" s="78"/>
      <c r="CC69" s="1022">
        <f>+CC67-CC68</f>
        <v>-9.0205620750793969E-17</v>
      </c>
      <c r="CD69" s="405">
        <f>+CD67-CD68</f>
        <v>0</v>
      </c>
      <c r="CE69" s="405">
        <f>+CE67-CE68</f>
        <v>3.4694469519536142E-17</v>
      </c>
      <c r="CF69" s="405">
        <f>+CF67-CF68</f>
        <v>-1.2490009027033011E-16</v>
      </c>
      <c r="CG69" s="742">
        <f>+SUMPRODUCT(CC69:CF69,BW$63:BZ$63)/CA$63</f>
        <v>-4.5138957605485927E-17</v>
      </c>
      <c r="CH69" s="796"/>
      <c r="CI69" s="1022">
        <f>+CI67-CI68</f>
        <v>-1.0408340855860843E-16</v>
      </c>
      <c r="CJ69" s="405">
        <f>+CJ67-CJ68</f>
        <v>0</v>
      </c>
      <c r="CK69" s="405">
        <f>+CK67-CK68</f>
        <v>0</v>
      </c>
      <c r="CL69" s="405">
        <f>+CL67-CL68</f>
        <v>0</v>
      </c>
      <c r="CM69" s="742">
        <f>+SUMPRODUCT(CI69:CL69,CC$63:CF$63)/CG$63</f>
        <v>-2.3179985694928733E-17</v>
      </c>
      <c r="CN69" s="65"/>
      <c r="CQ69"/>
      <c r="CR69"/>
      <c r="CS69"/>
      <c r="CT69"/>
      <c r="CU69"/>
      <c r="CV69"/>
    </row>
    <row r="70" spans="1:100 16384:16384" s="31" customFormat="1" x14ac:dyDescent="0.2">
      <c r="B70" s="934" t="s">
        <v>541</v>
      </c>
      <c r="C70" s="1023"/>
      <c r="D70" s="797"/>
      <c r="E70" s="797"/>
      <c r="F70" s="1026"/>
      <c r="G70" s="1015"/>
      <c r="H70" s="254"/>
      <c r="I70" s="1023"/>
      <c r="J70" s="797"/>
      <c r="K70" s="797"/>
      <c r="L70" s="1026"/>
      <c r="M70" s="1015"/>
      <c r="N70" s="254"/>
      <c r="O70" s="1023"/>
      <c r="P70" s="797"/>
      <c r="Q70" s="797"/>
      <c r="R70" s="1026"/>
      <c r="S70" s="1015"/>
      <c r="T70" s="254"/>
      <c r="U70" s="1023"/>
      <c r="V70" s="797"/>
      <c r="W70" s="797"/>
      <c r="X70" s="1026"/>
      <c r="Y70" s="1015"/>
      <c r="Z70" s="254"/>
      <c r="AA70" s="1023"/>
      <c r="AB70" s="797"/>
      <c r="AC70" s="797"/>
      <c r="AD70" s="1026"/>
      <c r="AE70" s="1015"/>
      <c r="AF70" s="254"/>
      <c r="AG70" s="1023"/>
      <c r="AH70" s="797"/>
      <c r="AI70" s="797"/>
      <c r="AJ70" s="1026"/>
      <c r="AK70" s="1015"/>
      <c r="AL70" s="254"/>
      <c r="AM70" s="1023"/>
      <c r="AN70" s="797"/>
      <c r="AO70" s="797"/>
      <c r="AP70" s="1026"/>
      <c r="AQ70" s="1015"/>
      <c r="AR70" s="254"/>
      <c r="AS70" s="1023"/>
      <c r="AT70" s="797"/>
      <c r="AU70" s="797"/>
      <c r="AV70" s="1026"/>
      <c r="AW70" s="1015"/>
      <c r="AX70" s="254"/>
      <c r="AY70" s="1022">
        <f>+((AY58*AS$54)+(AY49*AS$45)+(AY40*AS$36))/AS$63</f>
        <v>-2.9032938635608317E-3</v>
      </c>
      <c r="AZ70" s="405">
        <f>+((AZ58*AT$54)+(AZ49*AT$45)+(AZ40*AT$36))/AT$63</f>
        <v>-5.5193218986672862E-3</v>
      </c>
      <c r="BA70" s="405">
        <f>+((BA58*AU$54)+(BA49*AU$45)+(BA40*AU$36))/AU$63</f>
        <v>5.9114428462127078E-3</v>
      </c>
      <c r="BB70" s="404">
        <f>+((BB58*AV$54)+(BB49*AV$45)+(BB40*AV$36))/AV$63</f>
        <v>5.8955470563135225E-3</v>
      </c>
      <c r="BC70" s="742">
        <f>+SUMPRODUCT(AY70:BB70,AS$63:AV$63)/AW$63</f>
        <v>7.6869259894905752E-4</v>
      </c>
      <c r="BD70" s="254"/>
      <c r="BE70" s="1022">
        <f>+((BE58*AY$54)+(BE49*AY$45)+(BE40*AY$36))/AY$63</f>
        <v>-3.9648429584599722E-2</v>
      </c>
      <c r="BF70" s="405">
        <f>+((BF58*AZ$54)+(BF49*AZ$45)+(BF40*AZ$36))/AZ$63</f>
        <v>-3.9650035710642306E-3</v>
      </c>
      <c r="BG70" s="405">
        <f>+((BG58*BA$54)+(BG49*BA$45)+(BG40*BA$36))/BA$63</f>
        <v>1.1412552211631136E-2</v>
      </c>
      <c r="BH70" s="404">
        <f>+((BH58*BB$54)+(BH49*BB$45)+(BH40*BB$36))/BB$63</f>
        <v>2.5344882055602345E-2</v>
      </c>
      <c r="BI70" s="742">
        <f t="shared" si="82"/>
        <v>-1.1681104565930132E-3</v>
      </c>
      <c r="BJ70" s="254"/>
      <c r="BK70" s="1022">
        <f>+((BK58*BE$54)+(BK49*BE$45)+(BK40*BE$36))/BE$63</f>
        <v>2.3520788220008658E-2</v>
      </c>
      <c r="BL70" s="405">
        <f>+((BL58*BF$54)+(BL49*BF$45)+(BL40*BF$36))/BF$63</f>
        <v>2.6305674252211069E-2</v>
      </c>
      <c r="BM70" s="405">
        <f>+((BM58*BG$54)+(BM49*BG$45)+(BM40*BG$36))/BG$63</f>
        <v>1.9163159013605442E-2</v>
      </c>
      <c r="BN70" s="404">
        <f>+((BN58*BH$54)+(BN49*BH$45)+(BN40*BH$36))/BH$63</f>
        <v>2.801239711411442E-3</v>
      </c>
      <c r="BO70" s="742">
        <f t="shared" si="83"/>
        <v>1.789472864999481E-2</v>
      </c>
      <c r="BP70" s="254"/>
      <c r="BQ70" s="1022">
        <f>+((BQ58*BK$54)+(BQ49*BK$45)+(BQ40*BK$36))/BK$63</f>
        <v>0</v>
      </c>
      <c r="BR70" s="405">
        <f>+((BR58*BL$54)+(BR49*BL$45)+(BR40*BL$36))/BL$63</f>
        <v>0</v>
      </c>
      <c r="BS70" s="405">
        <f>+((BS58*BM$54)+(BS49*BM$45)+(BS40*BM$36))/BM$63</f>
        <v>0</v>
      </c>
      <c r="BT70" s="404">
        <f>+((BT58*BN$54)+(BT49*BN$45)+(BT40*BN$36))/BN$63</f>
        <v>0</v>
      </c>
      <c r="BU70" s="742">
        <f t="shared" si="84"/>
        <v>0</v>
      </c>
      <c r="BV70" s="254"/>
      <c r="BW70" s="1022">
        <f>+((BW58*BQ$54)+(BW49*BQ$45)+(BW40*BQ$36))/BQ$63</f>
        <v>0</v>
      </c>
      <c r="BX70" s="405">
        <f>+((BX58*BR$54)+(BX49*BR$45)+(BX40*BR$36))/BR$63</f>
        <v>0</v>
      </c>
      <c r="BY70" s="405">
        <f>+((BY58*BS$54)+(BY49*BS$45)+(BY40*BS$36))/BS$63</f>
        <v>0</v>
      </c>
      <c r="BZ70" s="404">
        <f>+((BZ58*BT$54)+(BZ49*BT$45)+(BZ40*BT$36))/BT$63</f>
        <v>0</v>
      </c>
      <c r="CA70" s="742">
        <f>+SUMPRODUCT(BW70:BZ70,BQ$63:BT$63)/BU$63</f>
        <v>0</v>
      </c>
      <c r="CB70" s="52"/>
      <c r="CC70" s="1022">
        <f>+((CC58*BW$54)+(CC49*BW$45)+(CC40*BW$36))/BW$63</f>
        <v>0</v>
      </c>
      <c r="CD70" s="405">
        <f>+((CD58*BX$54)+(CD49*BX$45)+(CD40*BX$36))/BX$63</f>
        <v>0</v>
      </c>
      <c r="CE70" s="405">
        <f>+((CE58*BY$54)+(CE49*BY$45)+(CE40*BY$36))/BY$63</f>
        <v>0</v>
      </c>
      <c r="CF70" s="404">
        <f>+((CF58*BZ$54)+(CF49*BZ$45)+(CF40*BZ$36))/BZ$63</f>
        <v>0</v>
      </c>
      <c r="CG70" s="742">
        <f>+SUMPRODUCT(CC70:CF70,BW$63:BZ$63)/CA$63</f>
        <v>0</v>
      </c>
      <c r="CH70" s="65"/>
      <c r="CI70" s="1022">
        <f>+((CI58*CC$54)+(CI49*CC$45)+(CI40*CC$36))/CC$63</f>
        <v>0</v>
      </c>
      <c r="CJ70" s="405">
        <f>+((CJ58*CD$54)+(CJ49*CD$45)+(CJ40*CD$36))/CD$63</f>
        <v>0</v>
      </c>
      <c r="CK70" s="405">
        <f>+((CK58*CE$54)+(CK49*CE$45)+(CK40*CE$36))/CE$63</f>
        <v>0</v>
      </c>
      <c r="CL70" s="404">
        <f>+((CL58*CF$54)+(CL49*CF$45)+(CL40*CF$36))/CF$63</f>
        <v>0</v>
      </c>
      <c r="CM70" s="742">
        <f>+SUMPRODUCT(CI70:CL70,CC$63:CF$63)/CG$63</f>
        <v>0</v>
      </c>
      <c r="CN70" s="65"/>
      <c r="CQ70"/>
      <c r="CR70"/>
      <c r="CS70"/>
      <c r="CT70"/>
      <c r="CU70"/>
      <c r="CV70"/>
    </row>
    <row r="71" spans="1:100 16384:16384" s="31" customFormat="1" x14ac:dyDescent="0.2">
      <c r="B71" s="934" t="s">
        <v>710</v>
      </c>
      <c r="C71" s="1023"/>
      <c r="D71" s="797"/>
      <c r="E71" s="797"/>
      <c r="F71" s="1026"/>
      <c r="G71" s="1015"/>
      <c r="H71" s="254"/>
      <c r="I71" s="1023"/>
      <c r="J71" s="797"/>
      <c r="K71" s="797"/>
      <c r="L71" s="1026"/>
      <c r="M71" s="1015"/>
      <c r="N71" s="254"/>
      <c r="O71" s="1023"/>
      <c r="P71" s="797"/>
      <c r="Q71" s="797"/>
      <c r="R71" s="1026"/>
      <c r="S71" s="1015"/>
      <c r="T71" s="254"/>
      <c r="U71" s="1023"/>
      <c r="V71" s="797"/>
      <c r="W71" s="797"/>
      <c r="X71" s="1026"/>
      <c r="Y71" s="1015"/>
      <c r="Z71" s="254"/>
      <c r="AA71" s="1023"/>
      <c r="AB71" s="797"/>
      <c r="AC71" s="797"/>
      <c r="AD71" s="1026"/>
      <c r="AE71" s="1015"/>
      <c r="AF71" s="254"/>
      <c r="AG71" s="1023"/>
      <c r="AH71" s="797"/>
      <c r="AI71" s="797"/>
      <c r="AJ71" s="1026"/>
      <c r="AK71" s="1015"/>
      <c r="AL71" s="254"/>
      <c r="AM71" s="1023"/>
      <c r="AN71" s="797"/>
      <c r="AO71" s="797"/>
      <c r="AP71" s="1026"/>
      <c r="AQ71" s="1015"/>
      <c r="AR71" s="254"/>
      <c r="AS71" s="1023"/>
      <c r="AT71" s="797"/>
      <c r="AU71" s="797"/>
      <c r="AV71" s="1026"/>
      <c r="AW71" s="1015"/>
      <c r="AX71" s="254"/>
      <c r="AY71" s="1022"/>
      <c r="AZ71" s="405"/>
      <c r="BA71" s="405"/>
      <c r="BB71" s="404"/>
      <c r="BC71" s="742"/>
      <c r="BD71" s="254"/>
      <c r="BE71" s="1022"/>
      <c r="BF71" s="405"/>
      <c r="BG71" s="405"/>
      <c r="BH71" s="405">
        <f>+((BH60*BB$54)+(BH51*BB$45)+(BH42*BB$36))/BB$63</f>
        <v>-3.1065711878685766E-2</v>
      </c>
      <c r="BI71" s="742">
        <f t="shared" si="82"/>
        <v>-7.8631020603992866E-3</v>
      </c>
      <c r="BJ71" s="254"/>
      <c r="BK71" s="1022">
        <f>+((BK60*BE$54)+(BK51*BE$45)+(BK42*BE$36))/BE$63</f>
        <v>-5.6301429190125596E-2</v>
      </c>
      <c r="BL71" s="405">
        <f t="shared" ref="BL71:BM71" si="85">+((BL60*BF$54)+(BL51*BF$45)+(BL42*BF$36))/BF$63</f>
        <v>-4.8693232634403262E-2</v>
      </c>
      <c r="BM71" s="405">
        <f t="shared" si="85"/>
        <v>8.5034013605442185E-3</v>
      </c>
      <c r="BN71" s="405">
        <f>+((BN60*BH$54)+(BN51*BH$45)+(BN42*BH$36))/BH$63</f>
        <v>2.1339294787115132E-2</v>
      </c>
      <c r="BO71" s="742">
        <f t="shared" si="83"/>
        <v>-1.8678011829407492E-2</v>
      </c>
      <c r="BP71" s="254"/>
      <c r="BQ71" s="1022">
        <f>+((BQ60*BK$54)+(BQ51*BK$45)+(BQ42*BK$36))/BK$63</f>
        <v>-3.9286115164440458E-2</v>
      </c>
      <c r="BR71" s="405">
        <f t="shared" ref="BR71" si="86">+((BR60*BL$54)+(BR51*BL$45)+(BR42*BL$36))/BL$63</f>
        <v>-1.015744032503809E-2</v>
      </c>
      <c r="BS71" s="405">
        <f t="shared" ref="BS71" si="87">+((BS60*BM$54)+(BS51*BM$45)+(BS42*BM$36))/BM$63</f>
        <v>0</v>
      </c>
      <c r="BT71" s="405">
        <f>+((BT60*BN$54)+(BT51*BN$45)+(BT42*BN$36))/BN$63</f>
        <v>0</v>
      </c>
      <c r="BU71" s="742">
        <f t="shared" si="84"/>
        <v>-1.1372539108898381E-2</v>
      </c>
      <c r="BV71" s="254"/>
      <c r="BW71" s="1022"/>
      <c r="BX71" s="405"/>
      <c r="BY71" s="405"/>
      <c r="BZ71" s="404"/>
      <c r="CA71" s="742"/>
      <c r="CB71" s="52"/>
      <c r="CC71" s="1022"/>
      <c r="CD71" s="405"/>
      <c r="CE71" s="405"/>
      <c r="CF71" s="404"/>
      <c r="CG71" s="742"/>
      <c r="CH71" s="65"/>
      <c r="CI71" s="1022"/>
      <c r="CJ71" s="405"/>
      <c r="CK71" s="405"/>
      <c r="CL71" s="404"/>
      <c r="CM71" s="742"/>
      <c r="CN71" s="65"/>
      <c r="CQ71" s="1500"/>
      <c r="CR71" s="1500"/>
      <c r="CS71" s="1500"/>
      <c r="CT71" s="1500"/>
      <c r="CU71" s="1500"/>
      <c r="CV71" s="1500"/>
    </row>
    <row r="72" spans="1:100 16384:16384" s="31" customFormat="1" x14ac:dyDescent="0.2">
      <c r="B72" s="1222" t="s">
        <v>589</v>
      </c>
      <c r="C72" s="1223"/>
      <c r="D72" s="1224"/>
      <c r="E72" s="1224"/>
      <c r="F72" s="1224"/>
      <c r="G72" s="1225"/>
      <c r="H72" s="1226"/>
      <c r="I72" s="1223"/>
      <c r="J72" s="1224"/>
      <c r="K72" s="1224"/>
      <c r="L72" s="1224"/>
      <c r="M72" s="1225"/>
      <c r="N72" s="1226"/>
      <c r="O72" s="1223"/>
      <c r="P72" s="1224"/>
      <c r="Q72" s="1224"/>
      <c r="R72" s="1224"/>
      <c r="S72" s="1225"/>
      <c r="T72" s="1226"/>
      <c r="U72" s="1223"/>
      <c r="V72" s="1224"/>
      <c r="W72" s="1224"/>
      <c r="X72" s="1224"/>
      <c r="Y72" s="1225"/>
      <c r="Z72" s="1226"/>
      <c r="AA72" s="1223"/>
      <c r="AB72" s="1224"/>
      <c r="AC72" s="1224"/>
      <c r="AD72" s="1224"/>
      <c r="AE72" s="1225"/>
      <c r="AF72" s="1226"/>
      <c r="AG72" s="1223"/>
      <c r="AH72" s="1224"/>
      <c r="AI72" s="1224"/>
      <c r="AJ72" s="1224"/>
      <c r="AK72" s="1225"/>
      <c r="AL72" s="1226"/>
      <c r="AM72" s="1223"/>
      <c r="AN72" s="1224"/>
      <c r="AO72" s="1224"/>
      <c r="AP72" s="1224"/>
      <c r="AQ72" s="1225"/>
      <c r="AR72" s="1226"/>
      <c r="AS72" s="1223"/>
      <c r="AT72" s="1224"/>
      <c r="AU72" s="1224"/>
      <c r="AV72" s="1224"/>
      <c r="AW72" s="1436">
        <v>3.2000000000000001E-2</v>
      </c>
      <c r="AX72" s="1226"/>
      <c r="AY72" s="1223">
        <f>+AY68-AY70</f>
        <v>1.8449709258731392E-2</v>
      </c>
      <c r="AZ72" s="1224">
        <f>+AZ68-AZ70</f>
        <v>7.297259141607447E-2</v>
      </c>
      <c r="BA72" s="1224">
        <f>+BA68-BA70</f>
        <v>5.770862446832143E-2</v>
      </c>
      <c r="BB72" s="1224">
        <f>+BB68-BB70</f>
        <v>3.9537427952736008E-2</v>
      </c>
      <c r="BC72" s="1225">
        <f>+SUMPRODUCT(AY72:BB72,AS$63:AV$63)/AW$63</f>
        <v>4.752467235722424E-2</v>
      </c>
      <c r="BD72" s="1226"/>
      <c r="BE72" s="1223">
        <f>+((BE61*AY$54)+(BE52*AY$45)+(BE43*AY$36))/AY$63</f>
        <v>5.4823032759202965E-2</v>
      </c>
      <c r="BF72" s="1224">
        <f>+((BF61*AZ$54)+(BF52*AZ$45)+(BF43*AZ$36))/AZ$63</f>
        <v>2.3995408631772266E-2</v>
      </c>
      <c r="BG72" s="1224">
        <f>+((BG61*BA$54)+(BG52*BA$45)+(BG43*BA$36))/BA$63</f>
        <v>1.8571061368747987E-2</v>
      </c>
      <c r="BH72" s="1224">
        <f>+((BH61*BB$54)+(BH52*BB$45)+(BH43*BB$36))/BB$63</f>
        <v>4.9060657118786856E-2</v>
      </c>
      <c r="BI72" s="1225">
        <f t="shared" si="82"/>
        <v>3.6288882373324088E-2</v>
      </c>
      <c r="BJ72" s="1226"/>
      <c r="BK72" s="1223">
        <f>+((BK61*BE$54)+(BK52*BE$45)+(BK43*BE$36))/BE$63</f>
        <v>1.0107405803378077E-2</v>
      </c>
      <c r="BL72" s="1224">
        <f>+((BL61*BF$54)+(BL52*BF$45)+(BL43*BF$36))/BF$63</f>
        <v>1.2368379210970882E-2</v>
      </c>
      <c r="BM72" s="1224">
        <f>+((BM61*BG$54)+(BM52*BG$45)+(BM43*BG$36))/BG$63</f>
        <v>1.5190901360544224E-2</v>
      </c>
      <c r="BN72" s="1224">
        <f>+((BN61*BH$54)+(BN52*BH$45)+(BN43*BH$36))/BH$63</f>
        <v>2.8519561020221528E-2</v>
      </c>
      <c r="BO72" s="1225">
        <f t="shared" si="83"/>
        <v>1.6638788004565738E-2</v>
      </c>
      <c r="BP72" s="1226"/>
      <c r="BQ72" s="1223">
        <f>+((BQ61*BK$54)+(BQ52*BK$45)+(BQ43*BK$36))/BK$63</f>
        <v>3.548434167695589E-2</v>
      </c>
      <c r="BR72" s="1224">
        <f>+((BR61*BL$54)+(BR52*BL$45)+(BR43*BL$36))/BL$63</f>
        <v>3.7267648552564751E-2</v>
      </c>
      <c r="BS72" s="1224">
        <f>+((BS61*BM$54)+(BS52*BM$45)+(BS43*BM$36))/BM$63</f>
        <v>4.6514788169464423E-2</v>
      </c>
      <c r="BT72" s="1224">
        <f>+((BT61*BN$54)+(BT52*BN$45)+(BT43*BN$36))/BN$63</f>
        <v>0.04</v>
      </c>
      <c r="BU72" s="1225">
        <f t="shared" si="84"/>
        <v>3.9951224443377398E-2</v>
      </c>
      <c r="BV72" s="1226"/>
      <c r="BW72" s="1223">
        <f>+BW68-BW70</f>
        <v>3.4184657306779359E-2</v>
      </c>
      <c r="BX72" s="1224">
        <f>+BX68-BX70</f>
        <v>4.6528612937991029E-2</v>
      </c>
      <c r="BY72" s="1224">
        <f>+BY68-BY70</f>
        <v>4.2025032343696984E-2</v>
      </c>
      <c r="BZ72" s="1224">
        <f>+BZ68-BZ70</f>
        <v>3.4261624315451197E-2</v>
      </c>
      <c r="CA72" s="1225">
        <f>+SUMPRODUCT(BW72:BZ72,BQ$63:BT$63)/BU$63</f>
        <v>3.9277075964291731E-2</v>
      </c>
      <c r="CB72" s="1227"/>
      <c r="CC72" s="1223">
        <f>+CC68-CC70</f>
        <v>3.4725000207392977E-2</v>
      </c>
      <c r="CD72" s="1224">
        <f>+CD68-CD70</f>
        <v>2.4701182088308283E-2</v>
      </c>
      <c r="CE72" s="1224">
        <f>+CE68-CE70</f>
        <v>2.7586007045968107E-2</v>
      </c>
      <c r="CF72" s="1224">
        <f>+CF68-CF70</f>
        <v>3.4870933450909983E-2</v>
      </c>
      <c r="CG72" s="1225">
        <f>+SUMPRODUCT(CC72:CF72,BW$63:BZ$63)/CA$63</f>
        <v>3.0427750657164909E-2</v>
      </c>
      <c r="CH72" s="1227"/>
      <c r="CI72" s="1223">
        <f>+CI68-CI70</f>
        <v>3.6926522046280323E-2</v>
      </c>
      <c r="CJ72" s="1224">
        <f>+CJ68-CJ70</f>
        <v>5.3251422060244483E-2</v>
      </c>
      <c r="CK72" s="1224">
        <f>+CK68-CK70</f>
        <v>4.8446160987898605E-2</v>
      </c>
      <c r="CL72" s="1224">
        <f>+CL68-CL70</f>
        <v>3.6987074602721229E-2</v>
      </c>
      <c r="CM72" s="1225">
        <f>+SUMPRODUCT(CI72:CL72,CC$63:CF$63)/CG$63</f>
        <v>4.3948112147246463E-2</v>
      </c>
      <c r="CN72" s="65"/>
      <c r="CQ72"/>
      <c r="CR72"/>
      <c r="CS72"/>
      <c r="CT72"/>
      <c r="CU72"/>
      <c r="CV72"/>
    </row>
    <row r="73" spans="1:100 16384:16384" s="31" customFormat="1" x14ac:dyDescent="0.2">
      <c r="B73" s="934" t="s">
        <v>605</v>
      </c>
      <c r="C73" s="1023"/>
      <c r="D73" s="797"/>
      <c r="E73" s="797"/>
      <c r="F73" s="1026"/>
      <c r="G73" s="1015"/>
      <c r="H73" s="254"/>
      <c r="I73" s="1023"/>
      <c r="J73" s="797"/>
      <c r="K73" s="797"/>
      <c r="L73" s="1026"/>
      <c r="M73" s="1015"/>
      <c r="N73" s="254"/>
      <c r="O73" s="1023"/>
      <c r="P73" s="797"/>
      <c r="Q73" s="797"/>
      <c r="R73" s="1026"/>
      <c r="S73" s="1015"/>
      <c r="T73" s="254"/>
      <c r="U73" s="1023"/>
      <c r="V73" s="797"/>
      <c r="W73" s="797"/>
      <c r="X73" s="1026"/>
      <c r="Y73" s="1015"/>
      <c r="Z73" s="254"/>
      <c r="AA73" s="1023"/>
      <c r="AB73" s="797"/>
      <c r="AC73" s="797"/>
      <c r="AD73" s="1026"/>
      <c r="AE73" s="1015"/>
      <c r="AF73" s="254"/>
      <c r="AG73" s="1023"/>
      <c r="AH73" s="797"/>
      <c r="AI73" s="797"/>
      <c r="AJ73" s="1026"/>
      <c r="AK73" s="1015"/>
      <c r="AL73" s="254"/>
      <c r="AM73" s="1023"/>
      <c r="AN73" s="797"/>
      <c r="AO73" s="797"/>
      <c r="AP73" s="1026"/>
      <c r="AQ73" s="1015"/>
      <c r="AR73" s="254"/>
      <c r="AS73" s="1023"/>
      <c r="AT73" s="797"/>
      <c r="AU73" s="797"/>
      <c r="AV73" s="1026"/>
      <c r="AW73" s="1015"/>
      <c r="AX73" s="254"/>
      <c r="AY73" s="1023">
        <v>1.7999999999999999E-2</v>
      </c>
      <c r="AZ73" s="797">
        <v>7.2999999999999995E-2</v>
      </c>
      <c r="BA73" s="797">
        <v>5.6000000000000001E-2</v>
      </c>
      <c r="BB73" s="1026">
        <v>3.6999999999999998E-2</v>
      </c>
      <c r="BC73" s="1075">
        <v>4.4999999999999998E-2</v>
      </c>
      <c r="BD73" s="254"/>
      <c r="BE73" s="1077">
        <v>5.5E-2</v>
      </c>
      <c r="BF73" s="797">
        <v>2.4E-2</v>
      </c>
      <c r="BG73" s="797">
        <v>0</v>
      </c>
      <c r="BH73" s="797">
        <v>1.7999999999999999E-2</v>
      </c>
      <c r="BI73" s="742">
        <f t="shared" si="82"/>
        <v>2.384830876669243E-2</v>
      </c>
      <c r="BJ73" s="254"/>
      <c r="BK73" s="1077">
        <v>-4.7E-2</v>
      </c>
      <c r="BL73" s="797">
        <v>-3.5999999999999997E-2</v>
      </c>
      <c r="BM73" s="797">
        <v>2.4E-2</v>
      </c>
      <c r="BN73" s="797">
        <v>0.05</v>
      </c>
      <c r="BO73" s="742">
        <f t="shared" si="83"/>
        <v>-2.0368890733630791E-3</v>
      </c>
      <c r="BP73" s="254"/>
      <c r="BQ73" s="1022">
        <f>+((BQ59*BK$54)+(BQ50*BK$45)+(BQ41*BK$36))/BK$63</f>
        <v>-3.8017734874845706E-3</v>
      </c>
      <c r="BR73" s="405">
        <f>+((BR59*BL$54)+(BR50*BL$45)+(BR41*BL$36))/BL$63</f>
        <v>2.7110208227526661E-2</v>
      </c>
      <c r="BS73" s="405">
        <f>+((BS59*BM$54)+(BS50*BM$45)+(BS41*BM$36))/BM$63</f>
        <v>4.6514788169464423E-2</v>
      </c>
      <c r="BT73" s="404">
        <f>+((BT59*BN$54)+(BT50*BN$45)+(BT41*BN$36))/BN$63</f>
        <v>0.04</v>
      </c>
      <c r="BU73" s="742">
        <f t="shared" si="84"/>
        <v>2.8578685334479013E-2</v>
      </c>
      <c r="BV73" s="254"/>
      <c r="BW73" s="1022">
        <f>+((BW59*BQ$54)+(BW50*BQ$45)+(BW41*BQ$36))/BQ$63</f>
        <v>3.4184657306779359E-2</v>
      </c>
      <c r="BX73" s="405">
        <f>+((BX59*BR$54)+(BX50*BR$45)+(BX41*BR$36))/BR$63</f>
        <v>4.6528612937991029E-2</v>
      </c>
      <c r="BY73" s="405">
        <f>+((BY59*BS$54)+(BY50*BS$45)+(BY41*BS$36))/BS$63</f>
        <v>4.2025032343696984E-2</v>
      </c>
      <c r="BZ73" s="404">
        <f>+((BZ59*BT$54)+(BZ50*BT$45)+(BZ41*BT$36))/BT$63</f>
        <v>3.4261624315451197E-2</v>
      </c>
      <c r="CA73" s="742">
        <f t="shared" ref="CA73" si="88">+SUMPRODUCT(BW73:BZ73,BQ$63:BT$63)/BU$63</f>
        <v>3.9277075964291731E-2</v>
      </c>
      <c r="CB73" s="254"/>
      <c r="CC73" s="1022">
        <f t="shared" ref="CC73:CF73" si="89">+((CC59*BW$54)+(CC50*BW$45)+(CC41*BW$36))/BW$63</f>
        <v>3.4725000207392977E-2</v>
      </c>
      <c r="CD73" s="405">
        <f t="shared" si="89"/>
        <v>2.4701182088308283E-2</v>
      </c>
      <c r="CE73" s="405">
        <f t="shared" si="89"/>
        <v>2.7586007045968107E-2</v>
      </c>
      <c r="CF73" s="404">
        <f t="shared" si="89"/>
        <v>3.4870933450909983E-2</v>
      </c>
      <c r="CG73" s="742">
        <f t="shared" ref="CG73" si="90">+SUMPRODUCT(CC73:CF73,BW$63:BZ$63)/CA$63</f>
        <v>3.0427750657164909E-2</v>
      </c>
      <c r="CH73" s="254"/>
      <c r="CI73" s="1022">
        <f t="shared" ref="CI73:CL73" si="91">+((CI59*CC$54)+(CI50*CC$45)+(CI41*CC$36))/CC$63</f>
        <v>3.6926522046280323E-2</v>
      </c>
      <c r="CJ73" s="405">
        <f t="shared" si="91"/>
        <v>5.3251422060244483E-2</v>
      </c>
      <c r="CK73" s="405">
        <f t="shared" si="91"/>
        <v>4.8446160987898605E-2</v>
      </c>
      <c r="CL73" s="404">
        <f t="shared" si="91"/>
        <v>3.6987074602721229E-2</v>
      </c>
      <c r="CM73" s="742">
        <f t="shared" ref="CM73" si="92">+SUMPRODUCT(CI73:CL73,CC$63:CF$63)/CG$63</f>
        <v>4.3948112147246463E-2</v>
      </c>
      <c r="CN73" s="65"/>
      <c r="CQ73"/>
      <c r="CR73"/>
      <c r="CS73"/>
      <c r="CT73"/>
      <c r="CU73"/>
      <c r="CV73"/>
    </row>
    <row r="74" spans="1:100 16384:16384" s="31" customFormat="1" x14ac:dyDescent="0.2">
      <c r="B74" s="934" t="s">
        <v>639</v>
      </c>
      <c r="C74" s="1023"/>
      <c r="D74" s="797"/>
      <c r="E74" s="797"/>
      <c r="F74" s="1026"/>
      <c r="G74" s="1015"/>
      <c r="H74" s="254"/>
      <c r="I74" s="1023"/>
      <c r="J74" s="797"/>
      <c r="K74" s="797"/>
      <c r="L74" s="1026"/>
      <c r="M74" s="1015"/>
      <c r="N74" s="254"/>
      <c r="O74" s="1023"/>
      <c r="P74" s="797"/>
      <c r="Q74" s="797"/>
      <c r="R74" s="1026"/>
      <c r="S74" s="1015"/>
      <c r="T74" s="254"/>
      <c r="U74" s="1023"/>
      <c r="V74" s="797"/>
      <c r="W74" s="797"/>
      <c r="X74" s="1026"/>
      <c r="Y74" s="1015"/>
      <c r="Z74" s="254"/>
      <c r="AA74" s="1023"/>
      <c r="AB74" s="797"/>
      <c r="AC74" s="797"/>
      <c r="AD74" s="1026"/>
      <c r="AE74" s="1015"/>
      <c r="AF74" s="254"/>
      <c r="AG74" s="1023"/>
      <c r="AH74" s="797"/>
      <c r="AI74" s="797"/>
      <c r="AJ74" s="1026"/>
      <c r="AK74" s="1015"/>
      <c r="AL74" s="254"/>
      <c r="AM74" s="1023"/>
      <c r="AN74" s="797"/>
      <c r="AO74" s="797"/>
      <c r="AP74" s="1026"/>
      <c r="AQ74" s="1015"/>
      <c r="AR74" s="254"/>
      <c r="AS74" s="1023"/>
      <c r="AT74" s="797"/>
      <c r="AU74" s="797"/>
      <c r="AV74" s="1026"/>
      <c r="AW74" s="1015"/>
      <c r="AX74" s="254"/>
      <c r="AY74" s="1022">
        <f>+AY72-AY75</f>
        <v>1.8449709258731392E-2</v>
      </c>
      <c r="AZ74" s="405">
        <f>+AZ72-AZ75</f>
        <v>7.297259141607447E-2</v>
      </c>
      <c r="BA74" s="405">
        <f>+BA72-BA75</f>
        <v>5.770862446832143E-2</v>
      </c>
      <c r="BB74" s="404">
        <f>+BB72-BB75</f>
        <v>3.9537427952736008E-2</v>
      </c>
      <c r="BC74" s="742">
        <f>+BC72-BC75</f>
        <v>4.752467235722424E-2</v>
      </c>
      <c r="BD74" s="254"/>
      <c r="BE74" s="1022">
        <f>+BE72-BE75</f>
        <v>5.4823032759202965E-2</v>
      </c>
      <c r="BF74" s="405">
        <f>+BF72-BF75</f>
        <v>1.719338162772506E-2</v>
      </c>
      <c r="BG74" s="405">
        <f>+BG72-BG75</f>
        <v>1.1431009246367495E-2</v>
      </c>
      <c r="BH74" s="405">
        <f>+BH72-BH75</f>
        <v>4.2040157259196853E-2</v>
      </c>
      <c r="BI74" s="742">
        <f>+BI72-BI75</f>
        <v>3.0957965722205931E-2</v>
      </c>
      <c r="BJ74" s="254"/>
      <c r="BK74" s="1022">
        <f>+BK72-BK75</f>
        <v>-2.0731918579471719E-3</v>
      </c>
      <c r="BL74" s="405">
        <f>+BL72-BL75</f>
        <v>1.1888104938884998E-3</v>
      </c>
      <c r="BM74" s="405">
        <f>+BM72-BM75</f>
        <v>3.2329931972789171E-3</v>
      </c>
      <c r="BN74" s="404">
        <f>+BN72-BN75</f>
        <v>1.7087795955695564E-2</v>
      </c>
      <c r="BO74" s="742">
        <f>+BO72-BO75</f>
        <v>4.9650306111860554E-3</v>
      </c>
      <c r="BP74" s="254"/>
      <c r="BQ74" s="1022">
        <f>+BQ72-BQ75</f>
        <v>1.4438208553148504E-2</v>
      </c>
      <c r="BR74" s="405">
        <f>+BR72-BR75</f>
        <v>1.8222447943118333E-2</v>
      </c>
      <c r="BS74" s="405">
        <f>+BS72-BS75</f>
        <v>2.7779776179056748E-2</v>
      </c>
      <c r="BT74" s="404">
        <f>+BT72-BT75</f>
        <v>2.2650134172295736E-2</v>
      </c>
      <c r="BU74" s="742">
        <f>+BU72-BU75</f>
        <v>2.099699259521343E-2</v>
      </c>
      <c r="BV74" s="254"/>
      <c r="BW74" s="1022">
        <f>+BW72-BW75</f>
        <v>2.2517589704833668E-3</v>
      </c>
      <c r="BX74" s="405">
        <f>+BX72-BX75</f>
        <v>1.7967085696006347E-2</v>
      </c>
      <c r="BY74" s="405">
        <f>+BY72-BY75</f>
        <v>1.406218192257646E-2</v>
      </c>
      <c r="BZ74" s="404">
        <f>+BZ72-BZ75</f>
        <v>8.2331526378988454E-3</v>
      </c>
      <c r="CA74" s="742">
        <f>+CA72-CA75</f>
        <v>1.0809148642910184E-2</v>
      </c>
      <c r="CB74" s="52"/>
      <c r="CC74" s="1022">
        <f>+CC72-CC75</f>
        <v>3.847634051666441E-3</v>
      </c>
      <c r="CD74" s="405">
        <f>+CD72-CD75</f>
        <v>-2.5905009950638568E-3</v>
      </c>
      <c r="CE74" s="405">
        <f>+CE72-CE75</f>
        <v>7.5090275079856342E-4</v>
      </c>
      <c r="CF74" s="404">
        <f>+CF72-CF75</f>
        <v>9.7046978818586191E-3</v>
      </c>
      <c r="CG74" s="742">
        <f>+CG72-CG75</f>
        <v>3.0357028772524906E-3</v>
      </c>
      <c r="CH74" s="52"/>
      <c r="CI74" s="1022">
        <f>+CI72-CI75</f>
        <v>7.0853892336608416E-3</v>
      </c>
      <c r="CJ74" s="405">
        <f>+CJ72-CJ75</f>
        <v>2.661762524178804E-2</v>
      </c>
      <c r="CK74" s="405">
        <f>+CK72-CK75</f>
        <v>2.2331457098232754E-2</v>
      </c>
      <c r="CL74" s="404">
        <f>+CL72-CL75</f>
        <v>1.2668838622190474E-2</v>
      </c>
      <c r="CM74" s="742">
        <f>+CM72-CM75</f>
        <v>1.7364930781602065E-2</v>
      </c>
      <c r="CN74" s="65"/>
      <c r="CQ74" s="1234"/>
      <c r="CR74" s="1234"/>
      <c r="CS74" s="1234"/>
      <c r="CT74" s="1234"/>
      <c r="CU74" s="1234"/>
      <c r="CV74" s="1234"/>
    </row>
    <row r="75" spans="1:100 16384:16384" s="31" customFormat="1" x14ac:dyDescent="0.2">
      <c r="B75" s="1028" t="s">
        <v>637</v>
      </c>
      <c r="C75" s="1237"/>
      <c r="D75" s="1238"/>
      <c r="E75" s="1238"/>
      <c r="F75" s="1239"/>
      <c r="G75" s="1240"/>
      <c r="H75" s="1029"/>
      <c r="I75" s="1237"/>
      <c r="J75" s="1238"/>
      <c r="K75" s="1238"/>
      <c r="L75" s="1239"/>
      <c r="M75" s="1240"/>
      <c r="N75" s="1029"/>
      <c r="O75" s="1237"/>
      <c r="P75" s="1238"/>
      <c r="Q75" s="1238"/>
      <c r="R75" s="1239"/>
      <c r="S75" s="1240"/>
      <c r="T75" s="1029"/>
      <c r="U75" s="1237"/>
      <c r="V75" s="1238"/>
      <c r="W75" s="1238"/>
      <c r="X75" s="1239"/>
      <c r="Y75" s="1240"/>
      <c r="Z75" s="1029"/>
      <c r="AA75" s="1237"/>
      <c r="AB75" s="1238"/>
      <c r="AC75" s="1238"/>
      <c r="AD75" s="1239"/>
      <c r="AE75" s="1240"/>
      <c r="AF75" s="1029"/>
      <c r="AG75" s="1237"/>
      <c r="AH75" s="1238"/>
      <c r="AI75" s="1238"/>
      <c r="AJ75" s="1239"/>
      <c r="AK75" s="1240"/>
      <c r="AL75" s="1029"/>
      <c r="AM75" s="1237"/>
      <c r="AN75" s="1238"/>
      <c r="AO75" s="1238"/>
      <c r="AP75" s="1239"/>
      <c r="AQ75" s="1240"/>
      <c r="AR75" s="1029"/>
      <c r="AS75" s="1237"/>
      <c r="AT75" s="1238"/>
      <c r="AU75" s="1238"/>
      <c r="AV75" s="1239"/>
      <c r="AW75" s="1240"/>
      <c r="AX75" s="1029"/>
      <c r="AY75" s="793">
        <f>+AY125/AS63</f>
        <v>0</v>
      </c>
      <c r="AZ75" s="1046">
        <f>+AZ125/AT63</f>
        <v>0</v>
      </c>
      <c r="BA75" s="1046">
        <f>+BA125/AU63</f>
        <v>0</v>
      </c>
      <c r="BB75" s="1241">
        <f>+BB125/AV63</f>
        <v>0</v>
      </c>
      <c r="BC75" s="786">
        <f>+BC125/AW63</f>
        <v>0</v>
      </c>
      <c r="BD75" s="1029"/>
      <c r="BE75" s="793">
        <f>+BE125/AY63</f>
        <v>0</v>
      </c>
      <c r="BF75" s="1046">
        <f>+BF125/AZ63</f>
        <v>6.8020270040472066E-3</v>
      </c>
      <c r="BG75" s="1046">
        <f>+BG125/BA63</f>
        <v>7.1400521223804929E-3</v>
      </c>
      <c r="BH75" s="1046">
        <f>+BH125/BB63</f>
        <v>7.0204998595900028E-3</v>
      </c>
      <c r="BI75" s="786">
        <f>+BI125/BC63</f>
        <v>5.3309166511181592E-3</v>
      </c>
      <c r="BJ75" s="1029"/>
      <c r="BK75" s="793">
        <f>+BK125/BE63</f>
        <v>1.2180597661325249E-2</v>
      </c>
      <c r="BL75" s="1046">
        <f>+BL125/BF63</f>
        <v>1.1179568717082382E-2</v>
      </c>
      <c r="BM75" s="1046">
        <f>+BM125/BG63</f>
        <v>1.1957908163265307E-2</v>
      </c>
      <c r="BN75" s="1241">
        <f>+BN125/BH63</f>
        <v>1.1431765064525964E-2</v>
      </c>
      <c r="BO75" s="786">
        <f>+BO125/BI63</f>
        <v>1.1673757393379683E-2</v>
      </c>
      <c r="BP75" s="1029"/>
      <c r="BQ75" s="793">
        <f>+BQ125/BK63</f>
        <v>2.1046133123807386E-2</v>
      </c>
      <c r="BR75" s="1046">
        <f>+BR125/BL63</f>
        <v>1.9045200609446419E-2</v>
      </c>
      <c r="BS75" s="1046">
        <f>+BS125/BM63</f>
        <v>1.8735011990407675E-2</v>
      </c>
      <c r="BT75" s="1241">
        <f>+BT125/BN63</f>
        <v>1.7349865827704265E-2</v>
      </c>
      <c r="BU75" s="786">
        <f>+BU125/BO63</f>
        <v>1.8954231848163968E-2</v>
      </c>
      <c r="BV75" s="1029"/>
      <c r="BW75" s="793">
        <f>+BW125/BQ63</f>
        <v>3.1932898336295992E-2</v>
      </c>
      <c r="BX75" s="1046">
        <f>+BX125/BR63</f>
        <v>2.8561527241984682E-2</v>
      </c>
      <c r="BY75" s="1046">
        <f>+BY125/BS63</f>
        <v>2.7962850421120525E-2</v>
      </c>
      <c r="BZ75" s="1241">
        <f>+BZ125/BT63</f>
        <v>2.6028471677552352E-2</v>
      </c>
      <c r="CA75" s="786">
        <f>+CA125/BU63</f>
        <v>2.8467927321381547E-2</v>
      </c>
      <c r="CB75" s="787"/>
      <c r="CC75" s="793">
        <f>+CC125/BW63</f>
        <v>3.0877366155726536E-2</v>
      </c>
      <c r="CD75" s="1046">
        <f>+CD125/BX63</f>
        <v>2.729168308337214E-2</v>
      </c>
      <c r="CE75" s="1046">
        <f>+CE125/BY63</f>
        <v>2.6835104295169544E-2</v>
      </c>
      <c r="CF75" s="1241">
        <f>+CF125/BZ63</f>
        <v>2.5166235569051364E-2</v>
      </c>
      <c r="CG75" s="786">
        <f>+CG125/CA63</f>
        <v>2.7392047779912419E-2</v>
      </c>
      <c r="CH75" s="787"/>
      <c r="CI75" s="793">
        <f>+CI125/CC63</f>
        <v>2.9841132812619482E-2</v>
      </c>
      <c r="CJ75" s="1046">
        <f>+CJ125/CD63</f>
        <v>2.6633796818456443E-2</v>
      </c>
      <c r="CK75" s="1046">
        <f>+CK125/CE63</f>
        <v>2.6114703889665851E-2</v>
      </c>
      <c r="CL75" s="1241">
        <f>+CL125/CF63</f>
        <v>2.4318235980530754E-2</v>
      </c>
      <c r="CM75" s="786">
        <f>+CM125/CG63</f>
        <v>2.6583181365644398E-2</v>
      </c>
      <c r="CN75" s="65"/>
      <c r="CQ75" s="1212"/>
      <c r="CR75" s="1212"/>
      <c r="CS75" s="1212"/>
      <c r="CT75" s="1212"/>
      <c r="CU75" s="1212"/>
      <c r="CV75" s="1212"/>
    </row>
    <row r="76" spans="1:100 16384:16384" s="31" customFormat="1" outlineLevel="1" x14ac:dyDescent="0.2">
      <c r="B76" s="1243" t="s">
        <v>81</v>
      </c>
      <c r="C76" s="397"/>
      <c r="D76" s="397"/>
      <c r="E76" s="397"/>
      <c r="F76" s="397"/>
      <c r="G76" s="397"/>
      <c r="H76" s="36"/>
      <c r="I76"/>
      <c r="J76"/>
      <c r="K76"/>
      <c r="L76"/>
      <c r="M76"/>
      <c r="N76"/>
      <c r="O76"/>
      <c r="P76"/>
      <c r="Q76"/>
      <c r="R76"/>
      <c r="S76"/>
      <c r="T76"/>
      <c r="U76"/>
      <c r="V76"/>
      <c r="W76"/>
      <c r="X76"/>
      <c r="Y76"/>
      <c r="Z76"/>
      <c r="AA76"/>
      <c r="AB76"/>
      <c r="AC76"/>
      <c r="AD76"/>
      <c r="AE76"/>
      <c r="AF76"/>
      <c r="AG76"/>
      <c r="AH76"/>
      <c r="AI76"/>
      <c r="AJ76"/>
      <c r="AK76"/>
      <c r="AL76"/>
      <c r="AM76"/>
      <c r="AN76"/>
      <c r="AO76"/>
      <c r="AP76"/>
      <c r="AQ76"/>
      <c r="AR76" s="239"/>
      <c r="AS76" s="1242">
        <f>+ROUND(AS63-AS54-AS45-AS36,3)</f>
        <v>0</v>
      </c>
      <c r="AT76" s="1242">
        <f t="shared" ref="AT76:AW76" si="93">+ROUND(AT63-AT54-AT45-AT36,3)</f>
        <v>0</v>
      </c>
      <c r="AU76" s="1242">
        <f t="shared" si="93"/>
        <v>0</v>
      </c>
      <c r="AV76" s="1242">
        <f t="shared" si="93"/>
        <v>0</v>
      </c>
      <c r="AW76" s="1242">
        <f t="shared" si="93"/>
        <v>0</v>
      </c>
      <c r="AX76" s="239"/>
      <c r="AY76" s="1242">
        <f>+ROUND(AY63-AY54-AY45-AY36,3)</f>
        <v>0</v>
      </c>
      <c r="AZ76" s="1242">
        <f t="shared" ref="AZ76:BC76" si="94">+ROUND(AZ63-AZ54-AZ45-AZ36,3)</f>
        <v>0</v>
      </c>
      <c r="BA76" s="1242">
        <f t="shared" si="94"/>
        <v>0</v>
      </c>
      <c r="BB76" s="1242">
        <f t="shared" si="94"/>
        <v>0</v>
      </c>
      <c r="BC76" s="1242">
        <f t="shared" si="94"/>
        <v>0</v>
      </c>
      <c r="BD76" s="239"/>
      <c r="BE76" s="1242">
        <f>+ROUND(BE63-BE54-BE45-BE36,3)</f>
        <v>0</v>
      </c>
      <c r="BF76" s="1242">
        <f t="shared" ref="BF76:BI76" si="95">+ROUND(BF63-BF54-BF45-BF36,3)</f>
        <v>0</v>
      </c>
      <c r="BG76" s="1242">
        <f t="shared" si="95"/>
        <v>0</v>
      </c>
      <c r="BH76" s="1242">
        <f t="shared" si="95"/>
        <v>0</v>
      </c>
      <c r="BI76" s="1242">
        <f t="shared" si="95"/>
        <v>0</v>
      </c>
      <c r="BJ76" s="239"/>
      <c r="BK76" s="1242">
        <f>+ROUND(BK63-BK54-BK45-BK36,3)</f>
        <v>0</v>
      </c>
      <c r="BL76" s="1242">
        <f t="shared" ref="BL76:BO76" si="96">+ROUND(BL63-BL54-BL45-BL36,3)</f>
        <v>0</v>
      </c>
      <c r="BM76" s="1242">
        <f t="shared" si="96"/>
        <v>0</v>
      </c>
      <c r="BN76" s="1242">
        <f t="shared" si="96"/>
        <v>0</v>
      </c>
      <c r="BO76" s="1242">
        <f t="shared" si="96"/>
        <v>0</v>
      </c>
      <c r="BP76" s="239"/>
      <c r="BQ76" s="1242">
        <f>+ROUND(BQ63-BQ54-BQ45-BQ36,3)</f>
        <v>0</v>
      </c>
      <c r="BR76" s="1242">
        <f t="shared" ref="BR76:BU76" si="97">+ROUND(BR63-BR54-BR45-BR36,3)</f>
        <v>0</v>
      </c>
      <c r="BS76" s="1242">
        <f t="shared" si="97"/>
        <v>0</v>
      </c>
      <c r="BT76" s="1242">
        <f t="shared" si="97"/>
        <v>0</v>
      </c>
      <c r="BU76" s="1242">
        <f t="shared" si="97"/>
        <v>0</v>
      </c>
      <c r="BV76" s="239"/>
      <c r="BW76" s="1242">
        <f>+ROUND(BW63-BW54-BW45-BW36,3)</f>
        <v>0</v>
      </c>
      <c r="BX76" s="1242">
        <f t="shared" ref="BX76:CA76" si="98">+ROUND(BX63-BX54-BX45-BX36,3)</f>
        <v>0</v>
      </c>
      <c r="BY76" s="1242">
        <f t="shared" si="98"/>
        <v>0</v>
      </c>
      <c r="BZ76" s="1242">
        <f t="shared" si="98"/>
        <v>0</v>
      </c>
      <c r="CA76" s="1242">
        <f t="shared" si="98"/>
        <v>0</v>
      </c>
      <c r="CB76" s="239"/>
      <c r="CC76" s="1242">
        <f>+ROUND(CC63-CC54-CC45-CC36,3)</f>
        <v>0</v>
      </c>
      <c r="CD76" s="1242">
        <f t="shared" ref="CD76:CG76" si="99">+ROUND(CD63-CD54-CD45-CD36,3)</f>
        <v>0</v>
      </c>
      <c r="CE76" s="1242">
        <f t="shared" si="99"/>
        <v>0</v>
      </c>
      <c r="CF76" s="1242">
        <f t="shared" si="99"/>
        <v>0</v>
      </c>
      <c r="CG76" s="1242">
        <f t="shared" si="99"/>
        <v>0</v>
      </c>
      <c r="CH76" s="239"/>
      <c r="CI76" s="1242">
        <f>+ROUND(CI63-CI54-CI45-CI36,3)</f>
        <v>0</v>
      </c>
      <c r="CJ76" s="1242">
        <f t="shared" ref="CJ76:CM76" si="100">+ROUND(CJ63-CJ54-CJ45-CJ36,3)</f>
        <v>0</v>
      </c>
      <c r="CK76" s="1242">
        <f t="shared" si="100"/>
        <v>0</v>
      </c>
      <c r="CL76" s="1242">
        <f t="shared" si="100"/>
        <v>0</v>
      </c>
      <c r="CM76" s="1242">
        <f t="shared" si="100"/>
        <v>0</v>
      </c>
      <c r="CN76" s="65"/>
      <c r="CQ76" s="1265"/>
      <c r="CR76" s="1265"/>
      <c r="CS76" s="1265"/>
      <c r="CT76" s="1265"/>
      <c r="CU76" s="1265"/>
      <c r="CV76" s="1265"/>
    </row>
    <row r="77" spans="1:100 16384:16384" s="31" customFormat="1" outlineLevel="1" x14ac:dyDescent="0.2">
      <c r="B77" s="1243" t="s">
        <v>81</v>
      </c>
      <c r="C77" s="397"/>
      <c r="D77" s="397"/>
      <c r="E77" s="397"/>
      <c r="F77" s="397"/>
      <c r="G77" s="397"/>
      <c r="H77" s="36"/>
      <c r="I77" s="1265"/>
      <c r="J77" s="1265"/>
      <c r="K77" s="1265"/>
      <c r="L77" s="1265"/>
      <c r="M77" s="1265"/>
      <c r="N77" s="1265"/>
      <c r="O77" s="1265"/>
      <c r="P77" s="1265"/>
      <c r="Q77" s="1265"/>
      <c r="R77" s="1265"/>
      <c r="S77" s="1265"/>
      <c r="T77" s="1265"/>
      <c r="U77" s="1265"/>
      <c r="V77" s="1265"/>
      <c r="W77" s="1265"/>
      <c r="X77" s="1265"/>
      <c r="Y77" s="1265"/>
      <c r="Z77" s="1265"/>
      <c r="AA77" s="1265"/>
      <c r="AB77" s="1265"/>
      <c r="AC77" s="1265"/>
      <c r="AD77" s="1265"/>
      <c r="AE77" s="1265"/>
      <c r="AF77" s="1265"/>
      <c r="AG77" s="1265"/>
      <c r="AH77" s="1265"/>
      <c r="AI77" s="1265"/>
      <c r="AJ77" s="1265"/>
      <c r="AK77" s="1265"/>
      <c r="AL77" s="1265"/>
      <c r="AM77" s="1265"/>
      <c r="AN77" s="1265"/>
      <c r="AO77" s="1265"/>
      <c r="AP77" s="1265"/>
      <c r="AQ77" s="1265"/>
      <c r="AR77" s="239"/>
      <c r="AS77" s="1242">
        <f t="shared" ref="AS77:AV77" si="101">+ROUND(AS63-AS8-AS15,2)</f>
        <v>970.47</v>
      </c>
      <c r="AT77" s="1242">
        <f t="shared" si="101"/>
        <v>1028.9100000000001</v>
      </c>
      <c r="AU77" s="1242">
        <f t="shared" si="101"/>
        <v>970.75</v>
      </c>
      <c r="AV77" s="1242">
        <f t="shared" si="101"/>
        <v>983.25</v>
      </c>
      <c r="AW77" s="1288">
        <f>+ROUND(AW63-AW22-AW29,2)</f>
        <v>0</v>
      </c>
      <c r="AX77" s="239"/>
      <c r="AY77" s="1242">
        <f>+ROUND(AY63-AY8-AY15,2)</f>
        <v>8.25</v>
      </c>
      <c r="AZ77" s="1242">
        <f t="shared" ref="AZ77:BC77" si="102">+ROUND(AZ63-AZ8-AZ15,2)</f>
        <v>1.6</v>
      </c>
      <c r="BA77" s="1242">
        <f>+ROUND(BA63-BA8-BA15,2)</f>
        <v>1.38</v>
      </c>
      <c r="BB77" s="1242">
        <f t="shared" si="102"/>
        <v>1.1399999999999999</v>
      </c>
      <c r="BC77" s="1242">
        <f t="shared" si="102"/>
        <v>12.38</v>
      </c>
      <c r="BD77" s="239"/>
      <c r="BE77" s="1242">
        <f>+ROUND(BE63-BE8-BE15,2)</f>
        <v>8.4</v>
      </c>
      <c r="BF77" s="1242">
        <f t="shared" ref="BF77" si="103">+ROUND(BF63-BF8-BF15,2)</f>
        <v>1.6</v>
      </c>
      <c r="BG77" s="1242">
        <f>+ROUND(BG63-BG8-BG15,2)</f>
        <v>1.6</v>
      </c>
      <c r="BH77" s="1242">
        <f>+ROUND(BH63-BH8-BH15,2)</f>
        <v>1.5</v>
      </c>
      <c r="BI77" s="1242">
        <f>+ROUND(BI63-BI8-BI15,2)</f>
        <v>13.1</v>
      </c>
      <c r="BJ77" s="1242"/>
      <c r="BK77" s="1242">
        <f>+ROUND(BK63-BK8-BK15,2)</f>
        <v>1.5</v>
      </c>
      <c r="BL77" s="1242"/>
      <c r="BM77" s="1242"/>
      <c r="BN77" s="1242"/>
      <c r="BO77" s="1242"/>
      <c r="BP77" s="239"/>
      <c r="BQ77" s="1242"/>
      <c r="BR77" s="1242"/>
      <c r="BS77" s="1242"/>
      <c r="BT77" s="1242"/>
      <c r="BU77" s="1242"/>
      <c r="BV77" s="1242"/>
      <c r="BW77" s="1242"/>
      <c r="BX77" s="1242"/>
      <c r="BY77" s="1242"/>
      <c r="BZ77" s="1242"/>
      <c r="CA77" s="1242"/>
      <c r="CB77" s="1242"/>
      <c r="CC77" s="1242"/>
      <c r="CD77" s="1242"/>
      <c r="CE77" s="1242"/>
      <c r="CF77" s="1242"/>
      <c r="CG77" s="1242"/>
      <c r="CH77" s="239"/>
      <c r="CI77" s="1242"/>
      <c r="CJ77" s="1242"/>
      <c r="CK77" s="1242"/>
      <c r="CL77" s="1242"/>
      <c r="CM77" s="1242"/>
      <c r="CN77" s="65"/>
      <c r="CQ77" s="1265"/>
      <c r="CR77" s="1265"/>
      <c r="CS77" s="1265"/>
      <c r="CT77" s="1265"/>
      <c r="CU77" s="1265"/>
      <c r="CV77" s="1265"/>
      <c r="XFD77" s="1242"/>
    </row>
    <row r="78" spans="1:100 16384:16384" x14ac:dyDescent="0.2">
      <c r="H78"/>
      <c r="N78"/>
      <c r="T78"/>
      <c r="Z78"/>
      <c r="AF78"/>
      <c r="AL78"/>
      <c r="AR78"/>
      <c r="AT78" s="1234"/>
      <c r="AU78" s="1234"/>
      <c r="AV78" s="1234"/>
      <c r="AX78"/>
      <c r="BD78"/>
      <c r="BF78" s="1281"/>
      <c r="BJ78"/>
      <c r="BL78" s="521"/>
      <c r="BP78"/>
      <c r="BV78"/>
      <c r="CB78"/>
      <c r="CH78"/>
      <c r="CN78"/>
    </row>
    <row r="79" spans="1:100 16384:16384" s="1102" customFormat="1" ht="12.75" customHeight="1" x14ac:dyDescent="0.2">
      <c r="A79" s="1033" t="s">
        <v>587</v>
      </c>
      <c r="B79" s="937" t="s">
        <v>516</v>
      </c>
      <c r="C79" s="938"/>
      <c r="D79" s="939"/>
      <c r="E79" s="939"/>
      <c r="F79" s="939"/>
      <c r="G79" s="940"/>
      <c r="H79" s="941"/>
      <c r="I79" s="938"/>
      <c r="J79" s="939"/>
      <c r="K79" s="939"/>
      <c r="L79" s="939"/>
      <c r="M79" s="940"/>
      <c r="N79" s="941"/>
      <c r="O79" s="938"/>
      <c r="P79" s="939"/>
      <c r="Q79" s="939"/>
      <c r="R79" s="939"/>
      <c r="S79" s="940"/>
      <c r="T79" s="941"/>
      <c r="U79" s="938"/>
      <c r="V79" s="939"/>
      <c r="W79" s="939"/>
      <c r="X79" s="939"/>
      <c r="Y79" s="940"/>
      <c r="Z79" s="941"/>
      <c r="AA79" s="938"/>
      <c r="AB79" s="939"/>
      <c r="AC79" s="939"/>
      <c r="AD79" s="939"/>
      <c r="AE79" s="940"/>
      <c r="AF79" s="941"/>
      <c r="AG79" s="938"/>
      <c r="AH79" s="939"/>
      <c r="AI79" s="939"/>
      <c r="AJ79" s="939"/>
      <c r="AK79" s="940"/>
      <c r="AL79" s="941"/>
      <c r="AM79" s="938"/>
      <c r="AN79" s="939"/>
      <c r="AO79" s="939"/>
      <c r="AP79" s="939"/>
      <c r="AQ79" s="940"/>
      <c r="AR79" s="941"/>
      <c r="AS79" s="938"/>
      <c r="AT79" s="939"/>
      <c r="AU79" s="939"/>
      <c r="AV79" s="939"/>
      <c r="AW79" s="940"/>
      <c r="AX79" s="941"/>
      <c r="AY79" s="938"/>
      <c r="AZ79" s="939"/>
      <c r="BA79" s="939"/>
      <c r="BB79" s="939"/>
      <c r="BC79" s="940"/>
      <c r="BD79" s="941"/>
      <c r="BE79" s="938"/>
      <c r="BF79" s="939"/>
      <c r="BG79" s="1106"/>
      <c r="BH79" s="1106"/>
      <c r="BI79" s="940"/>
      <c r="BJ79" s="941"/>
      <c r="BK79" s="1210"/>
      <c r="BL79" s="1106"/>
      <c r="BM79" s="1106"/>
      <c r="BN79" s="1097"/>
      <c r="BO79" s="940"/>
      <c r="BP79" s="941"/>
      <c r="BQ79" s="1210"/>
      <c r="BR79" s="1106"/>
      <c r="BS79" s="1106"/>
      <c r="BT79" s="1097"/>
      <c r="BU79" s="940"/>
      <c r="BV79" s="941"/>
      <c r="BW79" s="1210"/>
      <c r="BX79" s="1106"/>
      <c r="BY79" s="1106"/>
      <c r="BZ79" s="1097"/>
      <c r="CA79" s="940"/>
      <c r="CB79" s="941"/>
      <c r="CC79" s="1210"/>
      <c r="CD79" s="1106"/>
      <c r="CE79" s="1106"/>
      <c r="CF79" s="1097"/>
      <c r="CG79" s="940"/>
      <c r="CH79" s="941"/>
      <c r="CI79" s="1210"/>
      <c r="CJ79" s="1106"/>
      <c r="CK79" s="1106"/>
      <c r="CL79" s="1097"/>
      <c r="CM79" s="940"/>
      <c r="CN79" s="62"/>
      <c r="CQ79"/>
      <c r="CR79"/>
      <c r="CS79"/>
      <c r="CT79"/>
      <c r="CU79"/>
      <c r="CV79"/>
    </row>
    <row r="80" spans="1:100 16384:16384" x14ac:dyDescent="0.2">
      <c r="B80" s="950" t="s">
        <v>627</v>
      </c>
      <c r="C80" s="944"/>
      <c r="D80" s="945"/>
      <c r="E80" s="945"/>
      <c r="F80" s="945"/>
      <c r="G80" s="946"/>
      <c r="H80" s="945"/>
      <c r="I80" s="1024">
        <f t="shared" ref="I80:L80" si="104">+I82+I85</f>
        <v>388.16346591954351</v>
      </c>
      <c r="J80" s="1025">
        <f t="shared" si="104"/>
        <v>416.21080414862615</v>
      </c>
      <c r="K80" s="1025">
        <f t="shared" si="104"/>
        <v>378.47606679266556</v>
      </c>
      <c r="L80" s="1025">
        <f t="shared" si="104"/>
        <v>369.88923196077667</v>
      </c>
      <c r="M80" s="946">
        <f>+SUM(I80:L80)</f>
        <v>1552.7395688216118</v>
      </c>
      <c r="N80" s="1021"/>
      <c r="O80" s="1024">
        <f t="shared" ref="O80:R80" si="105">+O82+O85</f>
        <v>358.18640148293514</v>
      </c>
      <c r="P80" s="1025">
        <f t="shared" si="105"/>
        <v>385.13304353650324</v>
      </c>
      <c r="Q80" s="1025">
        <f t="shared" si="105"/>
        <v>377.12587188731254</v>
      </c>
      <c r="R80" s="1025">
        <f t="shared" si="105"/>
        <v>405.98542627978679</v>
      </c>
      <c r="S80" s="946">
        <f>+SUM(O80:R80)</f>
        <v>1526.4307431865377</v>
      </c>
      <c r="T80" s="947"/>
      <c r="U80" s="1024">
        <f t="shared" ref="U80:X80" si="106">+U82+U85</f>
        <v>390.98268558482397</v>
      </c>
      <c r="V80" s="1025">
        <f t="shared" si="106"/>
        <v>390.59517135220096</v>
      </c>
      <c r="W80" s="1025">
        <f t="shared" si="106"/>
        <v>375.02201981917676</v>
      </c>
      <c r="X80" s="1025">
        <f t="shared" si="106"/>
        <v>425.23508543288176</v>
      </c>
      <c r="Y80" s="946">
        <f>+SUM(U80:X80)</f>
        <v>1581.8349621890836</v>
      </c>
      <c r="Z80" s="947"/>
      <c r="AA80" s="1024">
        <f t="shared" ref="AA80:AD80" si="107">+AA82+AA85</f>
        <v>424.24755914030129</v>
      </c>
      <c r="AB80" s="1025">
        <f t="shared" si="107"/>
        <v>450.44702239182629</v>
      </c>
      <c r="AC80" s="1025">
        <f t="shared" si="107"/>
        <v>433.18614200765137</v>
      </c>
      <c r="AD80" s="1025">
        <f t="shared" si="107"/>
        <v>527.91121102961392</v>
      </c>
      <c r="AE80" s="946">
        <f>+SUM(AA80:AD80)</f>
        <v>1835.7919345693929</v>
      </c>
      <c r="AF80" s="948"/>
      <c r="AG80" s="1024">
        <f t="shared" ref="AG80:AJ80" si="108">+AG82+AG85</f>
        <v>526.29025723516474</v>
      </c>
      <c r="AH80" s="1025">
        <f t="shared" si="108"/>
        <v>546.00152515216689</v>
      </c>
      <c r="AI80" s="1025">
        <f t="shared" si="108"/>
        <v>506.48986581863937</v>
      </c>
      <c r="AJ80" s="1025">
        <f t="shared" si="108"/>
        <v>552.159844646235</v>
      </c>
      <c r="AK80" s="946">
        <f>+SUM(AG80:AJ80)</f>
        <v>2130.941492852206</v>
      </c>
      <c r="AL80" s="948"/>
      <c r="AM80" s="1024">
        <f t="shared" ref="AM80:AP80" si="109">+AM82+AM85</f>
        <v>539.60314711079536</v>
      </c>
      <c r="AN80" s="1025">
        <f t="shared" si="109"/>
        <v>573.02604017181307</v>
      </c>
      <c r="AO80" s="1025">
        <f t="shared" si="109"/>
        <v>526.13501513084611</v>
      </c>
      <c r="AP80" s="1025">
        <f t="shared" si="109"/>
        <v>569.0655573220522</v>
      </c>
      <c r="AQ80" s="946">
        <f>+SUM(AM80:AP80)</f>
        <v>2207.8297597355067</v>
      </c>
      <c r="AR80" s="948"/>
      <c r="AS80" s="1024">
        <f t="shared" ref="AS80:AV80" si="110">+AS82+AS85</f>
        <v>551.99173631139251</v>
      </c>
      <c r="AT80" s="1025">
        <f t="shared" si="110"/>
        <v>596.14704432075041</v>
      </c>
      <c r="AU80" s="1025">
        <f t="shared" si="110"/>
        <v>553.4051013108367</v>
      </c>
      <c r="AV80" s="1025">
        <f t="shared" si="110"/>
        <v>560.67876451330847</v>
      </c>
      <c r="AW80" s="946">
        <f>+SUM(AS80:AV80)</f>
        <v>2262.2226464562882</v>
      </c>
      <c r="AX80" s="1183"/>
      <c r="AY80" s="1024">
        <f>+AY82+AY85</f>
        <v>522.19868901054883</v>
      </c>
      <c r="AZ80" s="1025">
        <f t="shared" ref="AZ80:BB80" si="111">+AZ82+AZ85</f>
        <v>581.62236192454156</v>
      </c>
      <c r="BA80" s="1025">
        <f t="shared" si="111"/>
        <v>546.14229152480061</v>
      </c>
      <c r="BB80" s="1025">
        <f t="shared" si="111"/>
        <v>553.88553804536969</v>
      </c>
      <c r="BC80" s="946">
        <f>+SUM(AY80:BB80)</f>
        <v>2203.8488805052607</v>
      </c>
      <c r="BD80" s="1183"/>
      <c r="BE80" s="1259">
        <f>+'P&amp;L'!BE11</f>
        <v>462.8</v>
      </c>
      <c r="BF80" s="1258">
        <f>+'P&amp;L'!BF11</f>
        <v>605.6</v>
      </c>
      <c r="BG80" s="1258">
        <f>+'P&amp;L'!BG11</f>
        <v>544.1</v>
      </c>
      <c r="BH80" s="1258">
        <f>+'P&amp;L'!BH11</f>
        <v>573.1</v>
      </c>
      <c r="BI80" s="946">
        <f>+SUM(BE80:BH80)</f>
        <v>2185.6</v>
      </c>
      <c r="BJ80" s="1183"/>
      <c r="BK80" s="1259">
        <f>+'P&amp;L'!BK11</f>
        <v>525.1</v>
      </c>
      <c r="BL80" s="1258">
        <f>+'P&amp;L'!BL11</f>
        <v>578.79999999999995</v>
      </c>
      <c r="BM80" s="1258">
        <f>+'P&amp;L'!BM11</f>
        <v>591.10000000000014</v>
      </c>
      <c r="BN80" s="1258">
        <f>+'P&amp;L'!BN11</f>
        <v>627.9</v>
      </c>
      <c r="BO80" s="946">
        <f>+SUM(BK80:BN80)</f>
        <v>2322.9</v>
      </c>
      <c r="BP80" s="1183"/>
      <c r="BQ80" s="1024">
        <f t="shared" ref="BQ80:BT80" si="112">+BQ82+BQ85</f>
        <v>541.82489999999996</v>
      </c>
      <c r="BR80" s="1025">
        <f t="shared" si="112"/>
        <v>614.83712000000003</v>
      </c>
      <c r="BS80" s="1025">
        <f t="shared" si="112"/>
        <v>627.70616000000007</v>
      </c>
      <c r="BT80" s="1025">
        <f t="shared" si="112"/>
        <v>674.47271999999998</v>
      </c>
      <c r="BU80" s="946">
        <f>+SUM(BQ80:BT80)</f>
        <v>2458.8409000000001</v>
      </c>
      <c r="BV80" s="1183"/>
      <c r="BW80" s="1024">
        <f t="shared" ref="BW80:BZ80" si="113">+BW82+BW85</f>
        <v>563.07876858000009</v>
      </c>
      <c r="BX80" s="1025">
        <f t="shared" si="113"/>
        <v>646.50967634000006</v>
      </c>
      <c r="BY80" s="1025">
        <f t="shared" si="113"/>
        <v>657.2384271200001</v>
      </c>
      <c r="BZ80" s="1025">
        <f t="shared" si="113"/>
        <v>700.98369220000006</v>
      </c>
      <c r="CA80" s="946">
        <f>+SUM(BW80:BZ80)</f>
        <v>2567.8105642400005</v>
      </c>
      <c r="CB80" s="1183"/>
      <c r="CC80" s="1024">
        <f t="shared" ref="CC80:CF80" si="114">+CC82+CC85</f>
        <v>585.4600888128</v>
      </c>
      <c r="CD80" s="1025">
        <f t="shared" si="114"/>
        <v>665.74780714660005</v>
      </c>
      <c r="CE80" s="1025">
        <f t="shared" si="114"/>
        <v>678.69236847520006</v>
      </c>
      <c r="CF80" s="1025">
        <f t="shared" si="114"/>
        <v>728.95007774920009</v>
      </c>
      <c r="CG80" s="946">
        <f>+SUM(CC80:CF80)</f>
        <v>2658.8503421838004</v>
      </c>
      <c r="CH80" s="1233"/>
      <c r="CI80" s="1024">
        <f t="shared" ref="CI80:CL80" si="115">+CI82+CI85</f>
        <v>610.00364090465689</v>
      </c>
      <c r="CJ80" s="1025">
        <f t="shared" si="115"/>
        <v>704.48534345524149</v>
      </c>
      <c r="CK80" s="1025">
        <f t="shared" si="115"/>
        <v>714.94704336280302</v>
      </c>
      <c r="CL80" s="1025">
        <f t="shared" si="115"/>
        <v>759.55727484679289</v>
      </c>
      <c r="CM80" s="946">
        <f>+SUM(CI80:CL80)</f>
        <v>2788.9933025694945</v>
      </c>
      <c r="CN80"/>
    </row>
    <row r="81" spans="1:100" x14ac:dyDescent="0.2">
      <c r="B81" s="1173" t="s">
        <v>621</v>
      </c>
      <c r="C81" s="1035"/>
      <c r="D81" s="1036"/>
      <c r="E81" s="1036"/>
      <c r="F81" s="1036"/>
      <c r="G81" s="1037"/>
      <c r="H81" s="1043"/>
      <c r="I81" s="1035">
        <f>+I80/I$128</f>
        <v>0.51794441552165293</v>
      </c>
      <c r="J81" s="1036">
        <f>+J80/J$128</f>
        <v>0.53297413341950783</v>
      </c>
      <c r="K81" s="1036">
        <f>+K80/K$128</f>
        <v>0.53323995353108611</v>
      </c>
      <c r="L81" s="1036">
        <f>+L80/L$128</f>
        <v>0.53833728754999444</v>
      </c>
      <c r="M81" s="1037">
        <f>+M80/M$128</f>
        <v>0.53044952783581822</v>
      </c>
      <c r="N81" s="1043"/>
      <c r="O81" s="1035">
        <f>+O80/O$128</f>
        <v>0.53379061063756361</v>
      </c>
      <c r="P81" s="1036">
        <f>+P80/P$128</f>
        <v>0.52571275619026425</v>
      </c>
      <c r="Q81" s="1036">
        <f>+Q80/Q$128</f>
        <v>0.5248311159521396</v>
      </c>
      <c r="R81" s="1036">
        <f>+R80/R$128</f>
        <v>0.51893271424190346</v>
      </c>
      <c r="S81" s="1037">
        <f>+S80/S$128</f>
        <v>0.52553461153582171</v>
      </c>
      <c r="T81" s="1043"/>
      <c r="U81" s="1035">
        <f>+U80/U$128</f>
        <v>0.5317571681833918</v>
      </c>
      <c r="V81" s="1036">
        <f>+V80/V$128</f>
        <v>0.52311423689201297</v>
      </c>
      <c r="W81" s="1036">
        <f>+W80/W$128</f>
        <v>0.51804935086061321</v>
      </c>
      <c r="X81" s="1036">
        <f>+X80/X$128</f>
        <v>0.52961135112279267</v>
      </c>
      <c r="Y81" s="1037">
        <f>+Y80/Y$128</f>
        <v>0.52574154900723657</v>
      </c>
      <c r="Z81" s="1043"/>
      <c r="AA81" s="1035">
        <f>+AA80/AA$128</f>
        <v>0.54088278489188113</v>
      </c>
      <c r="AB81" s="1036">
        <f>+AB80/AB$128</f>
        <v>0.52796799421709628</v>
      </c>
      <c r="AC81" s="1036">
        <f>+AC80/AC$128</f>
        <v>0.51715750988837861</v>
      </c>
      <c r="AD81" s="1036">
        <f>+AD80/AD$128</f>
        <v>0.53055317790482348</v>
      </c>
      <c r="AE81" s="1037">
        <f>+AE80/AE$128</f>
        <v>0.52901894714562125</v>
      </c>
      <c r="AF81" s="1043"/>
      <c r="AG81" s="1035">
        <f>+AG80/AG$128</f>
        <v>0.55561924514999905</v>
      </c>
      <c r="AH81" s="1036">
        <f>+AH80/AH$128</f>
        <v>0.54388746739285809</v>
      </c>
      <c r="AI81" s="1036">
        <f>+AI80/AI$128</f>
        <v>0.53765308099474329</v>
      </c>
      <c r="AJ81" s="1036">
        <f>+AJ80/AJ$128</f>
        <v>0.53893648915243031</v>
      </c>
      <c r="AK81" s="1037">
        <f>+AK80/AK$128</f>
        <v>0.54393009867628506</v>
      </c>
      <c r="AL81" s="1043"/>
      <c r="AM81" s="1035">
        <f>+AM80/AM$128</f>
        <v>0.54052390464371358</v>
      </c>
      <c r="AN81" s="1036">
        <f>+AN80/AN$128</f>
        <v>0.54941045910241526</v>
      </c>
      <c r="AO81" s="1036">
        <f>+AO80/AO$128</f>
        <v>0.53605251973398171</v>
      </c>
      <c r="AP81" s="1036">
        <f>+AP80/AP$128</f>
        <v>0.54135636159358624</v>
      </c>
      <c r="AQ81" s="1037">
        <f>+AQ80/AQ$128</f>
        <v>0.54193651803634224</v>
      </c>
      <c r="AR81" s="1043"/>
      <c r="AS81" s="1035">
        <f>+AS80/AS$128</f>
        <v>0.54577092903625612</v>
      </c>
      <c r="AT81" s="1036">
        <f>+AT80/AT$128</f>
        <v>0.56068985426248685</v>
      </c>
      <c r="AU81" s="1036">
        <f>+AU80/AU$128</f>
        <v>0.55484227177806822</v>
      </c>
      <c r="AV81" s="1036">
        <f>+AV80/AV$128</f>
        <v>0.55442213451266487</v>
      </c>
      <c r="AW81" s="1037">
        <f>+AW80/AW$128</f>
        <v>0.55401396689754223</v>
      </c>
      <c r="AX81" s="1463"/>
      <c r="AY81" s="1035">
        <f>+AY80/AY$128</f>
        <v>0.57191340562096227</v>
      </c>
      <c r="AZ81" s="1036">
        <f>+AZ80/AZ$128</f>
        <v>0.57964692520344818</v>
      </c>
      <c r="BA81" s="1036">
        <f>+BA80/BA$128</f>
        <v>0.57289656091975305</v>
      </c>
      <c r="BB81" s="1036">
        <f>+BB80/BB$128</f>
        <v>0.5682042860539287</v>
      </c>
      <c r="BC81" s="1037">
        <f>+BC80/BC$128</f>
        <v>0.57323512770449125</v>
      </c>
      <c r="BD81" s="1463"/>
      <c r="BE81" s="1035">
        <f>+BE80/BE$128</f>
        <v>0.59932659932659926</v>
      </c>
      <c r="BF81" s="1036">
        <f>+BF80/BF$128</f>
        <v>0.59256360078277892</v>
      </c>
      <c r="BG81" s="1036">
        <f>+BG80/BG$128</f>
        <v>0.56926135174722747</v>
      </c>
      <c r="BH81" s="1036">
        <f>+BH80/BH$128</f>
        <v>0.57424849699398806</v>
      </c>
      <c r="BI81" s="1037">
        <f>+BI80/BI65</f>
        <v>0.55790682833439686</v>
      </c>
      <c r="BJ81" s="1463"/>
      <c r="BK81" s="1035">
        <f>+BK80/BK$128</f>
        <v>0.58215077605321508</v>
      </c>
      <c r="BL81" s="1036">
        <f>+BL80/BL$128</f>
        <v>0.58217662442164542</v>
      </c>
      <c r="BM81" s="1036">
        <f>+BM80/BM$128</f>
        <v>0.58513165709760462</v>
      </c>
      <c r="BN81" s="1036">
        <f>+BN80/BN$128</f>
        <v>0.57552703941338224</v>
      </c>
      <c r="BO81" s="1037">
        <f>+BO80/BO65</f>
        <v>0.58110271676589786</v>
      </c>
      <c r="BP81" s="1463"/>
      <c r="BQ81" s="1035">
        <f>+BQ80/BQ65</f>
        <v>0.56999999999999995</v>
      </c>
      <c r="BR81" s="1036">
        <f>+BR80/BR65</f>
        <v>0.57999999999999996</v>
      </c>
      <c r="BS81" s="1036">
        <f>+BS80/BS65</f>
        <v>0.57999999999999996</v>
      </c>
      <c r="BT81" s="1036">
        <f>+BT80/BT65</f>
        <v>0.57999999999999996</v>
      </c>
      <c r="BU81" s="1037">
        <f>+BU80/BU65</f>
        <v>0.57776639715022193</v>
      </c>
      <c r="BV81" s="1463"/>
      <c r="BW81" s="1035">
        <f>+BW80/BW65</f>
        <v>0.57299999999999995</v>
      </c>
      <c r="BX81" s="1036">
        <f>+BX80/BX65</f>
        <v>0.58299999999999996</v>
      </c>
      <c r="BY81" s="1036">
        <f>+BY80/BY65</f>
        <v>0.58299999999999996</v>
      </c>
      <c r="BZ81" s="1036">
        <f>+BZ80/BZ65</f>
        <v>0.58299999999999996</v>
      </c>
      <c r="CA81" s="1037">
        <f>+CA80/CA65</f>
        <v>0.58077740026974845</v>
      </c>
      <c r="CB81" s="1463"/>
      <c r="CC81" s="1035">
        <f>+CC80/CC65</f>
        <v>0.57599999999999996</v>
      </c>
      <c r="CD81" s="1036">
        <f>+CD80/CD65</f>
        <v>0.58599999999999997</v>
      </c>
      <c r="CE81" s="1036">
        <f>+CE80/CE65</f>
        <v>0.58599999999999997</v>
      </c>
      <c r="CF81" s="1036">
        <f>+CF80/CF65</f>
        <v>0.58599999999999997</v>
      </c>
      <c r="CG81" s="1037">
        <f>+CG80/CG65</f>
        <v>0.58376837365008993</v>
      </c>
      <c r="CH81" s="1233"/>
      <c r="CI81" s="1035">
        <f>+CI80/CI65</f>
        <v>0.57899999999999996</v>
      </c>
      <c r="CJ81" s="1036">
        <f>+CJ80/CJ65</f>
        <v>0.58899999999999997</v>
      </c>
      <c r="CK81" s="1036">
        <f>+CK80/CK65</f>
        <v>0.58899999999999997</v>
      </c>
      <c r="CL81" s="1036">
        <f>+CL80/CL65</f>
        <v>0.58899999999999986</v>
      </c>
      <c r="CM81" s="1037">
        <f>+CM80/CM65</f>
        <v>0.58678341585192595</v>
      </c>
      <c r="CN81"/>
    </row>
    <row r="82" spans="1:100" s="1264" customFormat="1" outlineLevel="1" x14ac:dyDescent="0.2">
      <c r="B82" s="1093" t="s">
        <v>658</v>
      </c>
      <c r="C82" s="397"/>
      <c r="D82" s="397"/>
      <c r="E82" s="397"/>
      <c r="F82" s="397"/>
      <c r="G82" s="85"/>
      <c r="H82" s="239"/>
      <c r="I82" s="1063">
        <f>+'Pro Forma P&amp;L'!I27</f>
        <v>388.16346591954351</v>
      </c>
      <c r="J82" s="1059">
        <f>+'Pro Forma P&amp;L'!J27</f>
        <v>416.21080414862615</v>
      </c>
      <c r="K82" s="1059">
        <f>+'Pro Forma P&amp;L'!K27</f>
        <v>378.47606679266556</v>
      </c>
      <c r="L82" s="1059">
        <f>+'Pro Forma P&amp;L'!L27</f>
        <v>369.88923196077667</v>
      </c>
      <c r="M82" s="645">
        <f>SUM(I82:L82)</f>
        <v>1552.7395688216118</v>
      </c>
      <c r="N82" s="711"/>
      <c r="O82" s="1063">
        <f>+'Pro Forma P&amp;L'!O27</f>
        <v>358.18640148293514</v>
      </c>
      <c r="P82" s="1059">
        <f>+'Pro Forma P&amp;L'!P27</f>
        <v>385.13304353650324</v>
      </c>
      <c r="Q82" s="1059">
        <f>+'Pro Forma P&amp;L'!Q27</f>
        <v>377.12587188731254</v>
      </c>
      <c r="R82" s="1059">
        <f>+'Pro Forma P&amp;L'!R27</f>
        <v>405.98542627978679</v>
      </c>
      <c r="S82" s="645">
        <f>SUM(O82:R82)</f>
        <v>1526.4307431865377</v>
      </c>
      <c r="T82" s="711"/>
      <c r="U82" s="1063">
        <f>+'Pro Forma P&amp;L'!U27</f>
        <v>390.98268558482397</v>
      </c>
      <c r="V82" s="1059">
        <f>+'Pro Forma P&amp;L'!V27</f>
        <v>390.59517135220096</v>
      </c>
      <c r="W82" s="1059">
        <f>+'Pro Forma P&amp;L'!W27</f>
        <v>375.02201981917676</v>
      </c>
      <c r="X82" s="1059">
        <f>+'Pro Forma P&amp;L'!X27</f>
        <v>425.23508543288176</v>
      </c>
      <c r="Y82" s="645">
        <f>SUM(U82:X82)</f>
        <v>1581.8349621890836</v>
      </c>
      <c r="Z82" s="711"/>
      <c r="AA82" s="1063">
        <f>+'Pro Forma P&amp;L'!AA27</f>
        <v>424.24755914030129</v>
      </c>
      <c r="AB82" s="1059">
        <f>+'Pro Forma P&amp;L'!AB27</f>
        <v>450.44702239182629</v>
      </c>
      <c r="AC82" s="1059">
        <f>+'Pro Forma P&amp;L'!AC27</f>
        <v>433.18614200765137</v>
      </c>
      <c r="AD82" s="1059">
        <f>+'Pro Forma P&amp;L'!AD27</f>
        <v>527.91121102961392</v>
      </c>
      <c r="AE82" s="645">
        <f>SUM(AA82:AD82)</f>
        <v>1835.7919345693929</v>
      </c>
      <c r="AF82" s="711"/>
      <c r="AG82" s="1063">
        <f>+'Pro Forma P&amp;L'!AG27</f>
        <v>526.29025723516474</v>
      </c>
      <c r="AH82" s="1059">
        <f>+'Pro Forma P&amp;L'!AH27</f>
        <v>546.00152515216689</v>
      </c>
      <c r="AI82" s="1059">
        <f>+'Pro Forma P&amp;L'!AI27</f>
        <v>506.48986581863937</v>
      </c>
      <c r="AJ82" s="1059">
        <f>+'Pro Forma P&amp;L'!AJ27</f>
        <v>552.159844646235</v>
      </c>
      <c r="AK82" s="645">
        <f>SUM(AG82:AJ82)</f>
        <v>2130.941492852206</v>
      </c>
      <c r="AL82" s="711"/>
      <c r="AM82" s="1063">
        <f>+'Pro Forma P&amp;L'!AM27</f>
        <v>539.60314711079536</v>
      </c>
      <c r="AN82" s="1059">
        <f>+'Pro Forma P&amp;L'!AN27</f>
        <v>573.02604017181307</v>
      </c>
      <c r="AO82" s="1059">
        <f>+'Pro Forma P&amp;L'!AO27</f>
        <v>526.13501513084611</v>
      </c>
      <c r="AP82" s="1059">
        <f>+'Pro Forma P&amp;L'!AP27</f>
        <v>569.0655573220522</v>
      </c>
      <c r="AQ82" s="645">
        <f>SUM(AM82:AP82)</f>
        <v>2207.8297597355067</v>
      </c>
      <c r="AR82" s="711"/>
      <c r="AS82" s="1063">
        <f>+'Pro Forma P&amp;L'!AS27</f>
        <v>551.99173631139251</v>
      </c>
      <c r="AT82" s="1059">
        <f>+'Pro Forma P&amp;L'!AT27</f>
        <v>596.14704432075041</v>
      </c>
      <c r="AU82" s="1059">
        <f>+'Pro Forma P&amp;L'!AU27</f>
        <v>553.4051013108367</v>
      </c>
      <c r="AV82" s="1059">
        <f>+'Pro Forma P&amp;L'!AV27</f>
        <v>560.67876451330847</v>
      </c>
      <c r="AW82" s="645">
        <f>SUM(AS82:AV82)</f>
        <v>2262.2226464562882</v>
      </c>
      <c r="AX82" s="716"/>
      <c r="AY82" s="1063">
        <f>+'Pro Forma P&amp;L'!AY27</f>
        <v>522.19868901054883</v>
      </c>
      <c r="AZ82" s="1059">
        <f>+'Pro Forma P&amp;L'!AZ27</f>
        <v>581.62236192454156</v>
      </c>
      <c r="BA82" s="1059">
        <f>+'Pro Forma P&amp;L'!BA27</f>
        <v>546.14229152480061</v>
      </c>
      <c r="BB82" s="1059">
        <f>+'Pro Forma P&amp;L'!BB27</f>
        <v>553.88553804536969</v>
      </c>
      <c r="BC82" s="645">
        <f>SUM(AY82:BB82)</f>
        <v>2203.8488805052607</v>
      </c>
      <c r="BD82" s="716"/>
      <c r="BE82" s="969">
        <f>+BE80-BE85</f>
        <v>462.8</v>
      </c>
      <c r="BF82" s="178">
        <f>+BF80-BF85</f>
        <v>601.64957599478146</v>
      </c>
      <c r="BG82" s="178">
        <f>+BG80-BG85</f>
        <v>540.30492432168512</v>
      </c>
      <c r="BH82" s="178">
        <f>+BH80-BH85</f>
        <v>569.27167668670677</v>
      </c>
      <c r="BI82" s="645">
        <f>SUM(BE82:BH82)</f>
        <v>2174.0261770031734</v>
      </c>
      <c r="BJ82" s="716"/>
      <c r="BK82" s="969">
        <f>+BK80-BK85</f>
        <v>518.55080376940134</v>
      </c>
      <c r="BL82" s="178">
        <f>+BL80-BL85</f>
        <v>572.25051297525647</v>
      </c>
      <c r="BM82" s="178">
        <f>+BM80-BM85</f>
        <v>584.51726885765208</v>
      </c>
      <c r="BN82" s="178">
        <f>+BN80-BN85</f>
        <v>621.42532080659942</v>
      </c>
      <c r="BO82" s="645">
        <f>SUM(BK82:BN82)</f>
        <v>2296.7439064089094</v>
      </c>
      <c r="BP82" s="716"/>
      <c r="BQ82" s="969">
        <f>+BQ83*(BQ65-BQ84)</f>
        <v>531.13739999999996</v>
      </c>
      <c r="BR82" s="178">
        <f>+BR83*(BR65-BR84)</f>
        <v>603.96212000000003</v>
      </c>
      <c r="BS82" s="178">
        <f>+BS83*(BS65-BS84)</f>
        <v>616.83116000000007</v>
      </c>
      <c r="BT82" s="178">
        <f>+BT83*(BT65-BT84)</f>
        <v>663.59771999999998</v>
      </c>
      <c r="BU82" s="645">
        <f>SUM(BQ82:BT82)</f>
        <v>2415.5284000000001</v>
      </c>
      <c r="BV82" s="716"/>
      <c r="BW82" s="969">
        <f>+BW83*(BW65-BW84)</f>
        <v>545.88876858000003</v>
      </c>
      <c r="BX82" s="178">
        <f>+BX83*(BX65-BX84)</f>
        <v>629.01967634000005</v>
      </c>
      <c r="BY82" s="178">
        <f>+BY83*(BY65-BY84)</f>
        <v>639.74842712000009</v>
      </c>
      <c r="BZ82" s="178">
        <f>+BZ83*(BZ65-BZ84)</f>
        <v>683.49369220000005</v>
      </c>
      <c r="CA82" s="645">
        <f>SUM(BW82:BZ82)</f>
        <v>2498.1505642400002</v>
      </c>
      <c r="CB82" s="716"/>
      <c r="CC82" s="969">
        <f>+CC83*(CC65-CC84)</f>
        <v>568.18008881280002</v>
      </c>
      <c r="CD82" s="178">
        <f>+CD83*(CD65-CD84)</f>
        <v>648.16780714660001</v>
      </c>
      <c r="CE82" s="178">
        <f>+CE83*(CE65-CE84)</f>
        <v>661.11236847520001</v>
      </c>
      <c r="CF82" s="178">
        <f>+CF83*(CF65-CF84)</f>
        <v>711.37007774920005</v>
      </c>
      <c r="CG82" s="645">
        <f>SUM(CC82:CF82)</f>
        <v>2588.8303421838</v>
      </c>
      <c r="CI82" s="969">
        <f>+CI83*(CI65-CI84)</f>
        <v>592.63364090465689</v>
      </c>
      <c r="CJ82" s="178">
        <f>+CJ83*(CJ65-CJ84)</f>
        <v>686.81534345524153</v>
      </c>
      <c r="CK82" s="178">
        <f>+CK83*(CK65-CK84)</f>
        <v>697.27704336280306</v>
      </c>
      <c r="CL82" s="178">
        <f>+CL83*(CL65-CL84)</f>
        <v>741.88727484679293</v>
      </c>
      <c r="CM82" s="645">
        <f>SUM(CI82:CL82)</f>
        <v>2718.6133025694944</v>
      </c>
    </row>
    <row r="83" spans="1:100" s="1264" customFormat="1" outlineLevel="1" x14ac:dyDescent="0.2">
      <c r="B83" s="961" t="s">
        <v>621</v>
      </c>
      <c r="C83" s="397"/>
      <c r="D83" s="397"/>
      <c r="E83" s="397"/>
      <c r="F83" s="397"/>
      <c r="G83" s="85"/>
      <c r="H83" s="239"/>
      <c r="I83" s="1062">
        <f>+I82/(I$123+I124+I64)</f>
        <v>0.51794441552165293</v>
      </c>
      <c r="J83" s="397">
        <f t="shared" ref="J83:M83" si="116">+J82/(J$123+J124+J64)</f>
        <v>0.53297413341950783</v>
      </c>
      <c r="K83" s="397">
        <f t="shared" si="116"/>
        <v>0.53323995353108611</v>
      </c>
      <c r="L83" s="397">
        <f t="shared" si="116"/>
        <v>0.53833728754999444</v>
      </c>
      <c r="M83" s="85">
        <f t="shared" si="116"/>
        <v>0.53044952783581822</v>
      </c>
      <c r="N83" s="239"/>
      <c r="O83" s="1062">
        <f>+O82/(O$123+O124+O64)</f>
        <v>0.53379061063756361</v>
      </c>
      <c r="P83" s="397">
        <f t="shared" ref="P83" si="117">+P82/(P$123+P124+P64)</f>
        <v>0.52571275619026425</v>
      </c>
      <c r="Q83" s="397">
        <f t="shared" ref="Q83" si="118">+Q82/(Q$123+Q124+Q64)</f>
        <v>0.5248311159521396</v>
      </c>
      <c r="R83" s="397">
        <f t="shared" ref="R83" si="119">+R82/(R$123+R124+R64)</f>
        <v>0.51893271424190346</v>
      </c>
      <c r="S83" s="85">
        <f t="shared" ref="S83" si="120">+S82/(S$123+S124+S64)</f>
        <v>0.52553461153582171</v>
      </c>
      <c r="T83" s="239"/>
      <c r="U83" s="1062">
        <f>+U82/(U$123+U124+U64)</f>
        <v>0.5317571681833918</v>
      </c>
      <c r="V83" s="397">
        <f t="shared" ref="V83" si="121">+V82/(V$123+V124+V64)</f>
        <v>0.52311423689201297</v>
      </c>
      <c r="W83" s="397">
        <f t="shared" ref="W83" si="122">+W82/(W$123+W124+W64)</f>
        <v>0.51804935086061321</v>
      </c>
      <c r="X83" s="397">
        <f t="shared" ref="X83" si="123">+X82/(X$123+X124+X64)</f>
        <v>0.52961135112279267</v>
      </c>
      <c r="Y83" s="85">
        <f t="shared" ref="Y83" si="124">+Y82/(Y$123+Y124+Y64)</f>
        <v>0.52574154900723657</v>
      </c>
      <c r="Z83" s="239"/>
      <c r="AA83" s="1062">
        <f>+AA82/(AA$123+AA124+AA64)</f>
        <v>0.54088278489188113</v>
      </c>
      <c r="AB83" s="397">
        <f t="shared" ref="AB83" si="125">+AB82/(AB$123+AB124+AB64)</f>
        <v>0.52796799421709628</v>
      </c>
      <c r="AC83" s="397">
        <f t="shared" ref="AC83" si="126">+AC82/(AC$123+AC124+AC64)</f>
        <v>0.51715750988837861</v>
      </c>
      <c r="AD83" s="397">
        <f t="shared" ref="AD83" si="127">+AD82/(AD$123+AD124+AD64)</f>
        <v>0.53055317790482348</v>
      </c>
      <c r="AE83" s="85">
        <f t="shared" ref="AE83" si="128">+AE82/(AE$123+AE124+AE64)</f>
        <v>0.52901894714562125</v>
      </c>
      <c r="AF83" s="239"/>
      <c r="AG83" s="1062">
        <f>+AG82/(AG$123+AG124+AG64)</f>
        <v>0.55561924514999905</v>
      </c>
      <c r="AH83" s="397">
        <f t="shared" ref="AH83" si="129">+AH82/(AH$123+AH124+AH64)</f>
        <v>0.54388746739285809</v>
      </c>
      <c r="AI83" s="397">
        <f t="shared" ref="AI83" si="130">+AI82/(AI$123+AI124+AI64)</f>
        <v>0.53765308099474329</v>
      </c>
      <c r="AJ83" s="397">
        <f t="shared" ref="AJ83" si="131">+AJ82/(AJ$123+AJ124+AJ64)</f>
        <v>0.53893648915243031</v>
      </c>
      <c r="AK83" s="85">
        <f t="shared" ref="AK83" si="132">+AK82/(AK$123+AK124+AK64)</f>
        <v>0.54393009867628506</v>
      </c>
      <c r="AL83" s="239"/>
      <c r="AM83" s="1062">
        <f>+AM82/(AM$123+AM124+AM64)</f>
        <v>0.54052390464371358</v>
      </c>
      <c r="AN83" s="397">
        <f t="shared" ref="AN83" si="133">+AN82/(AN$123+AN124+AN64)</f>
        <v>0.54941045910241526</v>
      </c>
      <c r="AO83" s="397">
        <f t="shared" ref="AO83" si="134">+AO82/(AO$123+AO124+AO64)</f>
        <v>0.53605251973398171</v>
      </c>
      <c r="AP83" s="397">
        <f t="shared" ref="AP83" si="135">+AP82/(AP$123+AP124+AP64)</f>
        <v>0.54135636159358624</v>
      </c>
      <c r="AQ83" s="85">
        <f t="shared" ref="AQ83" si="136">+AQ82/(AQ$123+AQ124+AQ64)</f>
        <v>0.54193651803634224</v>
      </c>
      <c r="AR83" s="239"/>
      <c r="AS83" s="1062">
        <f>+AS82/(AS$123+AS124+AS64)</f>
        <v>0.54577092903625612</v>
      </c>
      <c r="AT83" s="397">
        <f t="shared" ref="AT83" si="137">+AT82/(AT$123+AT124+AT64)</f>
        <v>0.56068985426248685</v>
      </c>
      <c r="AU83" s="397">
        <f t="shared" ref="AU83" si="138">+AU82/(AU$123+AU124+AU64)</f>
        <v>0.55484227177806822</v>
      </c>
      <c r="AV83" s="397">
        <f t="shared" ref="AV83" si="139">+AV82/(AV$123+AV124+AV64)</f>
        <v>0.55442213451266487</v>
      </c>
      <c r="AW83" s="85">
        <f t="shared" ref="AW83" si="140">+AW82/(AW$123+AW124+AW64)</f>
        <v>0.55401396689754223</v>
      </c>
      <c r="AX83" s="239"/>
      <c r="AY83" s="1062">
        <f>+AY82/(AY$123+AY124+AY64)</f>
        <v>0.57191340562096227</v>
      </c>
      <c r="AZ83" s="397">
        <f t="shared" ref="AZ83" si="141">+AZ82/(AZ$123+AZ124+AZ64)</f>
        <v>0.57964692520344818</v>
      </c>
      <c r="BA83" s="397">
        <f t="shared" ref="BA83" si="142">+BA82/(BA$123+BA124+BA64)</f>
        <v>0.57289656091975305</v>
      </c>
      <c r="BB83" s="397">
        <f t="shared" ref="BB83" si="143">+BB82/(BB$123+BB124+BB64)</f>
        <v>0.5682042860539287</v>
      </c>
      <c r="BC83" s="85">
        <f t="shared" ref="BC83" si="144">+BC82/(BC$123+BC124+BC64)</f>
        <v>0.57323512770449125</v>
      </c>
      <c r="BD83" s="239"/>
      <c r="BE83" s="1062">
        <f>+BE82/(BE$123+BE124+BE64)</f>
        <v>0.59932659932659926</v>
      </c>
      <c r="BF83" s="397">
        <f t="shared" ref="BF83:BG83" si="145">+BF82/(BF$123+BF124+BF64)</f>
        <v>0.59256360078277881</v>
      </c>
      <c r="BG83" s="397">
        <f t="shared" si="145"/>
        <v>0.56926135174722747</v>
      </c>
      <c r="BH83" s="397">
        <f t="shared" ref="BH83" si="146">+BH82/(BH$123+BH124+BH64)</f>
        <v>0.57424849699398806</v>
      </c>
      <c r="BI83" s="85">
        <f>+BI82/(BI65-BI84)</f>
        <v>0.55780017370190471</v>
      </c>
      <c r="BJ83" s="239"/>
      <c r="BK83" s="1062">
        <f>+BK82/(BK$123+BK124+BK64)</f>
        <v>0.58215077605321508</v>
      </c>
      <c r="BL83" s="397">
        <f t="shared" ref="BL83:BN83" si="147">+BL82/(BL$123+BL124+BL64)</f>
        <v>0.58217662442164553</v>
      </c>
      <c r="BM83" s="397">
        <f t="shared" si="147"/>
        <v>0.58513165709760462</v>
      </c>
      <c r="BN83" s="397">
        <f t="shared" si="147"/>
        <v>0.57552703941338224</v>
      </c>
      <c r="BO83" s="85">
        <f>+BO82/(BO65-BO84)</f>
        <v>0.58110107944765443</v>
      </c>
      <c r="BP83" s="239"/>
      <c r="BQ83" s="1169">
        <v>0.56999999999999995</v>
      </c>
      <c r="BR83" s="1170">
        <v>0.57999999999999996</v>
      </c>
      <c r="BS83" s="1170">
        <f>+BR83</f>
        <v>0.57999999999999996</v>
      </c>
      <c r="BT83" s="1170">
        <f>+BS83</f>
        <v>0.57999999999999996</v>
      </c>
      <c r="BU83" s="85">
        <f>+BU82/(BU65-BU84)</f>
        <v>0.57777117612305862</v>
      </c>
      <c r="BV83" s="239"/>
      <c r="BW83" s="1169">
        <f>+BQ83+0.003</f>
        <v>0.57299999999999995</v>
      </c>
      <c r="BX83" s="1170">
        <f t="shared" ref="BX83:BZ83" si="148">+BR83+0.003</f>
        <v>0.58299999999999996</v>
      </c>
      <c r="BY83" s="1170">
        <f t="shared" si="148"/>
        <v>0.58299999999999996</v>
      </c>
      <c r="BZ83" s="1170">
        <f t="shared" si="148"/>
        <v>0.58299999999999996</v>
      </c>
      <c r="CA83" s="85">
        <f>+CA82/(CA65-CA84)</f>
        <v>0.58078513927267028</v>
      </c>
      <c r="CB83" s="239"/>
      <c r="CC83" s="1169">
        <f t="shared" ref="CC83" si="149">+BW83+0.003</f>
        <v>0.57599999999999996</v>
      </c>
      <c r="CD83" s="1170">
        <f t="shared" ref="CD83" si="150">+BX83+0.003</f>
        <v>0.58599999999999997</v>
      </c>
      <c r="CE83" s="1170">
        <f t="shared" ref="CE83" si="151">+BY83+0.003</f>
        <v>0.58599999999999997</v>
      </c>
      <c r="CF83" s="1170">
        <f t="shared" ref="CF83" si="152">+BZ83+0.003</f>
        <v>0.58599999999999997</v>
      </c>
      <c r="CG83" s="85">
        <f t="shared" ref="CG83" si="153">+CG82/(CG65-CG84)</f>
        <v>0.58377563577131819</v>
      </c>
      <c r="CH83" s="239"/>
      <c r="CI83" s="1169">
        <f t="shared" ref="CI83" si="154">+CC83+0.003</f>
        <v>0.57899999999999996</v>
      </c>
      <c r="CJ83" s="1170">
        <f t="shared" ref="CJ83" si="155">+CD83+0.003</f>
        <v>0.58899999999999997</v>
      </c>
      <c r="CK83" s="1170">
        <f t="shared" ref="CK83" si="156">+CE83+0.003</f>
        <v>0.58899999999999997</v>
      </c>
      <c r="CL83" s="1170">
        <f t="shared" ref="CL83" si="157">+CF83+0.003</f>
        <v>0.58899999999999997</v>
      </c>
      <c r="CM83" s="85">
        <f t="shared" ref="CM83" si="158">+CM82/(CM65-CM84)</f>
        <v>0.58679075661504354</v>
      </c>
    </row>
    <row r="84" spans="1:100" outlineLevel="1" x14ac:dyDescent="0.2">
      <c r="B84" s="1093" t="s">
        <v>601</v>
      </c>
      <c r="C84" s="1063"/>
      <c r="D84" s="1059"/>
      <c r="E84" s="1059"/>
      <c r="F84" s="1059"/>
      <c r="G84" s="1060"/>
      <c r="H84"/>
      <c r="I84" s="1063">
        <f>+RevBuild!I125</f>
        <v>0</v>
      </c>
      <c r="J84" s="1059">
        <f>+RevBuild!J125</f>
        <v>0</v>
      </c>
      <c r="K84" s="1059">
        <f>+RevBuild!K125</f>
        <v>0</v>
      </c>
      <c r="L84" s="1059">
        <f>+RevBuild!L125</f>
        <v>0</v>
      </c>
      <c r="M84" s="1060">
        <f>+RevBuild!M125</f>
        <v>0</v>
      </c>
      <c r="N84"/>
      <c r="O84" s="1063">
        <f>+RevBuild!O125</f>
        <v>0</v>
      </c>
      <c r="P84" s="1059">
        <f>+RevBuild!P125</f>
        <v>0</v>
      </c>
      <c r="Q84" s="1059">
        <f>+RevBuild!Q125</f>
        <v>0</v>
      </c>
      <c r="R84" s="1059">
        <f>+RevBuild!R125</f>
        <v>0</v>
      </c>
      <c r="S84" s="1060">
        <f>+RevBuild!S125</f>
        <v>0</v>
      </c>
      <c r="T84"/>
      <c r="U84" s="1063">
        <f>+RevBuild!U125</f>
        <v>0</v>
      </c>
      <c r="V84" s="1059">
        <f>+RevBuild!V125</f>
        <v>0</v>
      </c>
      <c r="W84" s="1059">
        <f>+RevBuild!W125</f>
        <v>0</v>
      </c>
      <c r="X84" s="1059">
        <f>+RevBuild!X125</f>
        <v>0</v>
      </c>
      <c r="Y84" s="1060">
        <f>+RevBuild!Y125</f>
        <v>0</v>
      </c>
      <c r="Z84" s="1061"/>
      <c r="AA84" s="1063">
        <f>+RevBuild!AA125</f>
        <v>0</v>
      </c>
      <c r="AB84" s="1059">
        <f>+RevBuild!AB125</f>
        <v>0</v>
      </c>
      <c r="AC84" s="1059">
        <f>+RevBuild!AC125</f>
        <v>0</v>
      </c>
      <c r="AD84" s="1059">
        <f>+RevBuild!AD125</f>
        <v>0</v>
      </c>
      <c r="AE84" s="1060">
        <f>+RevBuild!AE125</f>
        <v>0</v>
      </c>
      <c r="AF84" s="1061"/>
      <c r="AG84" s="1063">
        <f>+RevBuild!AG125</f>
        <v>0</v>
      </c>
      <c r="AH84" s="1059">
        <f>+RevBuild!AH125</f>
        <v>0</v>
      </c>
      <c r="AI84" s="1059">
        <f>+RevBuild!AI125</f>
        <v>0</v>
      </c>
      <c r="AJ84" s="1059">
        <f>+RevBuild!AJ125</f>
        <v>0</v>
      </c>
      <c r="AK84" s="1060">
        <f>+RevBuild!AK125</f>
        <v>0</v>
      </c>
      <c r="AL84" s="1061"/>
      <c r="AM84" s="1063">
        <f>+RevBuild!AM125</f>
        <v>0</v>
      </c>
      <c r="AN84" s="1059">
        <f>+RevBuild!AN125</f>
        <v>0</v>
      </c>
      <c r="AO84" s="1059">
        <f>+RevBuild!AO125</f>
        <v>0</v>
      </c>
      <c r="AP84" s="1059">
        <f>+RevBuild!AP125</f>
        <v>0</v>
      </c>
      <c r="AQ84" s="1060">
        <f>+RevBuild!AQ125</f>
        <v>0</v>
      </c>
      <c r="AR84" s="1061"/>
      <c r="AS84" s="1063">
        <f>+RevBuild!AS125</f>
        <v>0</v>
      </c>
      <c r="AT84" s="1059">
        <f>+RevBuild!AT125</f>
        <v>0</v>
      </c>
      <c r="AU84" s="1059">
        <f>+RevBuild!AU125</f>
        <v>0</v>
      </c>
      <c r="AV84" s="1059">
        <f>+RevBuild!AV125</f>
        <v>0</v>
      </c>
      <c r="AW84" s="1060">
        <f>+RevBuild!AW125</f>
        <v>0</v>
      </c>
      <c r="AX84" s="1061"/>
      <c r="AY84" s="1063">
        <f>+RevBuild!AY125</f>
        <v>0</v>
      </c>
      <c r="AZ84" s="1059">
        <f>+RevBuild!AZ125</f>
        <v>0</v>
      </c>
      <c r="BA84" s="1059">
        <f>+RevBuild!BA125</f>
        <v>0</v>
      </c>
      <c r="BB84" s="1059">
        <f>+RevBuild!BB125</f>
        <v>0</v>
      </c>
      <c r="BC84" s="1060">
        <f>+RevBuild!BC125</f>
        <v>0</v>
      </c>
      <c r="BD84" s="1061"/>
      <c r="BE84" s="1063">
        <f>+RevBuild!BE125</f>
        <v>0</v>
      </c>
      <c r="BF84" s="1059">
        <f>+RevBuild!BF125</f>
        <v>6.666666666666667</v>
      </c>
      <c r="BG84" s="1059">
        <f>+RevBuild!BG125</f>
        <v>6.666666666666667</v>
      </c>
      <c r="BH84" s="1059">
        <f>+RevBuild!BH125</f>
        <v>6.666666666666667</v>
      </c>
      <c r="BI84" s="1060">
        <f>+RevBuild!BI125</f>
        <v>20</v>
      </c>
      <c r="BJ84" s="1061"/>
      <c r="BK84" s="1063">
        <f>+RevBuild!BK125</f>
        <v>11.25</v>
      </c>
      <c r="BL84" s="1059">
        <f>+RevBuild!BL125</f>
        <v>11.25</v>
      </c>
      <c r="BM84" s="1059">
        <f>+RevBuild!BM125</f>
        <v>11.25</v>
      </c>
      <c r="BN84" s="1059">
        <f>+RevBuild!BN125</f>
        <v>11.25</v>
      </c>
      <c r="BO84" s="1060">
        <f>+RevBuild!BO125</f>
        <v>45</v>
      </c>
      <c r="BP84" s="1061"/>
      <c r="BQ84" s="1063">
        <f>+RevBuild!BQ125</f>
        <v>18.75</v>
      </c>
      <c r="BR84" s="1059">
        <f>+RevBuild!BR125</f>
        <v>18.75</v>
      </c>
      <c r="BS84" s="1059">
        <f>+RevBuild!BS125</f>
        <v>18.75</v>
      </c>
      <c r="BT84" s="1059">
        <f>+RevBuild!BT125</f>
        <v>18.75</v>
      </c>
      <c r="BU84" s="1060">
        <f>+RevBuild!BU125</f>
        <v>75</v>
      </c>
      <c r="BV84" s="1061"/>
      <c r="BW84" s="1063">
        <f>+RevBuild!BW125</f>
        <v>30</v>
      </c>
      <c r="BX84" s="1059">
        <f>+RevBuild!BX125</f>
        <v>30</v>
      </c>
      <c r="BY84" s="1059">
        <f>+RevBuild!BY125</f>
        <v>30</v>
      </c>
      <c r="BZ84" s="1059">
        <f>+RevBuild!BZ125</f>
        <v>30</v>
      </c>
      <c r="CA84" s="1060">
        <f>+RevBuild!CA125</f>
        <v>120</v>
      </c>
      <c r="CB84" s="1061"/>
      <c r="CC84" s="1063">
        <f>+RevBuild!CC125</f>
        <v>30</v>
      </c>
      <c r="CD84" s="1059">
        <f>+RevBuild!CD125</f>
        <v>30</v>
      </c>
      <c r="CE84" s="1059">
        <f>+RevBuild!CE125</f>
        <v>30</v>
      </c>
      <c r="CF84" s="1059">
        <f>+RevBuild!CF125</f>
        <v>30</v>
      </c>
      <c r="CG84" s="1060">
        <f>+RevBuild!CG125</f>
        <v>120</v>
      </c>
      <c r="CH84"/>
      <c r="CI84" s="1063">
        <f>+RevBuild!CI125</f>
        <v>30</v>
      </c>
      <c r="CJ84" s="1059">
        <f>+RevBuild!CJ125</f>
        <v>30</v>
      </c>
      <c r="CK84" s="1059">
        <f>+RevBuild!CK125</f>
        <v>30</v>
      </c>
      <c r="CL84" s="1059">
        <f>+RevBuild!CL125</f>
        <v>30</v>
      </c>
      <c r="CM84" s="1060">
        <f>+RevBuild!CM125</f>
        <v>120</v>
      </c>
      <c r="CN84"/>
    </row>
    <row r="85" spans="1:100" x14ac:dyDescent="0.2">
      <c r="B85" s="1093" t="s">
        <v>642</v>
      </c>
      <c r="C85" s="969"/>
      <c r="D85" s="178"/>
      <c r="E85" s="178"/>
      <c r="F85" s="178"/>
      <c r="G85" s="645"/>
      <c r="H85" s="36"/>
      <c r="I85" s="969">
        <f>+I86*I84</f>
        <v>0</v>
      </c>
      <c r="J85" s="178">
        <f>+J86*J84</f>
        <v>0</v>
      </c>
      <c r="K85" s="178">
        <f>+K86*K84</f>
        <v>0</v>
      </c>
      <c r="L85" s="178">
        <f>+L86*L84</f>
        <v>0</v>
      </c>
      <c r="M85" s="645">
        <f>+M86*M84</f>
        <v>0</v>
      </c>
      <c r="N85" s="36"/>
      <c r="O85" s="969">
        <f>+O86*O84</f>
        <v>0</v>
      </c>
      <c r="P85" s="178">
        <f>+P86*P84</f>
        <v>0</v>
      </c>
      <c r="Q85" s="178">
        <f>+Q86*Q84</f>
        <v>0</v>
      </c>
      <c r="R85" s="178">
        <f>+R86*R84</f>
        <v>0</v>
      </c>
      <c r="S85" s="645">
        <f>+S86*S84</f>
        <v>0</v>
      </c>
      <c r="T85" s="36"/>
      <c r="U85" s="969">
        <f>+U86*U84</f>
        <v>0</v>
      </c>
      <c r="V85" s="178">
        <f>+V86*V84</f>
        <v>0</v>
      </c>
      <c r="W85" s="178">
        <f>+W86*W84</f>
        <v>0</v>
      </c>
      <c r="X85" s="178">
        <f>+X86*X84</f>
        <v>0</v>
      </c>
      <c r="Y85" s="645">
        <f>+Y86*Y84</f>
        <v>0</v>
      </c>
      <c r="Z85" s="716"/>
      <c r="AA85" s="969">
        <f>+AA86*AA84</f>
        <v>0</v>
      </c>
      <c r="AB85" s="178">
        <f>+AB86*AB84</f>
        <v>0</v>
      </c>
      <c r="AC85" s="178">
        <f>+AC86*AC84</f>
        <v>0</v>
      </c>
      <c r="AD85" s="178">
        <f>+AD86*AD84</f>
        <v>0</v>
      </c>
      <c r="AE85" s="645">
        <f>+AE86*AE84</f>
        <v>0</v>
      </c>
      <c r="AF85" s="716"/>
      <c r="AG85" s="969">
        <f>+AG86*AG84</f>
        <v>0</v>
      </c>
      <c r="AH85" s="178">
        <f>+AH86*AH84</f>
        <v>0</v>
      </c>
      <c r="AI85" s="178">
        <f>+AI86*AI84</f>
        <v>0</v>
      </c>
      <c r="AJ85" s="178">
        <f>+AJ86*AJ84</f>
        <v>0</v>
      </c>
      <c r="AK85" s="645">
        <f>+AK86*AK84</f>
        <v>0</v>
      </c>
      <c r="AL85" s="716"/>
      <c r="AM85" s="969">
        <f>+AM86*AM84</f>
        <v>0</v>
      </c>
      <c r="AN85" s="178">
        <f>+AN86*AN84</f>
        <v>0</v>
      </c>
      <c r="AO85" s="178">
        <f>+AO86*AO84</f>
        <v>0</v>
      </c>
      <c r="AP85" s="178">
        <f>+AP86*AP84</f>
        <v>0</v>
      </c>
      <c r="AQ85" s="645">
        <f>+AQ86*AQ84</f>
        <v>0</v>
      </c>
      <c r="AR85" s="716"/>
      <c r="AS85" s="969">
        <f>+AS86*AS84</f>
        <v>0</v>
      </c>
      <c r="AT85" s="178">
        <f>+AT86*AT84</f>
        <v>0</v>
      </c>
      <c r="AU85" s="178">
        <f>+AU86*AU84</f>
        <v>0</v>
      </c>
      <c r="AV85" s="178">
        <f>+AV86*AV84</f>
        <v>0</v>
      </c>
      <c r="AW85" s="645">
        <f>+AW86*AW84</f>
        <v>0</v>
      </c>
      <c r="AX85" s="716"/>
      <c r="AY85" s="969">
        <f>+AY86*AY84</f>
        <v>0</v>
      </c>
      <c r="AZ85" s="178">
        <f>+AZ86*AZ84</f>
        <v>0</v>
      </c>
      <c r="BA85" s="178">
        <f>+BA86*BA84</f>
        <v>0</v>
      </c>
      <c r="BB85" s="178">
        <f>+BB86*BB84</f>
        <v>0</v>
      </c>
      <c r="BC85" s="645">
        <f>+BC86*BC84</f>
        <v>0</v>
      </c>
      <c r="BD85" s="716"/>
      <c r="BE85" s="969">
        <f>+BE86*BE84</f>
        <v>0</v>
      </c>
      <c r="BF85" s="178">
        <f>+BF86*BF84</f>
        <v>3.9504240052185264</v>
      </c>
      <c r="BG85" s="178">
        <f>+BG86*BG84</f>
        <v>3.7950756783148498</v>
      </c>
      <c r="BH85" s="178">
        <f>+BH86*BH84</f>
        <v>3.8283233132932537</v>
      </c>
      <c r="BI85" s="645">
        <f>+BI86*BI84</f>
        <v>11.156003474038094</v>
      </c>
      <c r="BJ85" s="716"/>
      <c r="BK85" s="969">
        <f>+BK86*BK84</f>
        <v>6.5491962305986693</v>
      </c>
      <c r="BL85" s="178">
        <f>+BL86*BL84</f>
        <v>6.5494870247435113</v>
      </c>
      <c r="BM85" s="178">
        <f>+BM86*BM84</f>
        <v>6.5827311423480523</v>
      </c>
      <c r="BN85" s="178">
        <f>+BN86*BN84</f>
        <v>6.4746791934005499</v>
      </c>
      <c r="BO85" s="645">
        <f>+BO86*BO84</f>
        <v>26.149548575144451</v>
      </c>
      <c r="BP85" s="716"/>
      <c r="BQ85" s="969">
        <f>+BQ86*BQ84</f>
        <v>10.687499999999998</v>
      </c>
      <c r="BR85" s="178">
        <f>+BR86*BR84</f>
        <v>10.875</v>
      </c>
      <c r="BS85" s="178">
        <f>+BS86*BS84</f>
        <v>10.875</v>
      </c>
      <c r="BT85" s="178">
        <f>+BT86*BT84</f>
        <v>10.875</v>
      </c>
      <c r="BU85" s="645">
        <f>+BU86*BU84</f>
        <v>43.332838209229394</v>
      </c>
      <c r="BV85" s="716"/>
      <c r="BW85" s="969">
        <f>+BW86*BW84</f>
        <v>17.189999999999998</v>
      </c>
      <c r="BX85" s="178">
        <f>+BX86*BX84</f>
        <v>17.489999999999998</v>
      </c>
      <c r="BY85" s="178">
        <f>+BY86*BY84</f>
        <v>17.489999999999998</v>
      </c>
      <c r="BZ85" s="178">
        <f>+BZ86*BZ84</f>
        <v>17.489999999999998</v>
      </c>
      <c r="CA85" s="645">
        <f>+CA86*CA84</f>
        <v>69.694216712720433</v>
      </c>
      <c r="CB85" s="716"/>
      <c r="CC85" s="969">
        <f>+CC86*CC84</f>
        <v>17.279999999999998</v>
      </c>
      <c r="CD85" s="178">
        <f>+CD86*CD84</f>
        <v>17.579999999999998</v>
      </c>
      <c r="CE85" s="178">
        <f>+CE86*CE84</f>
        <v>17.579999999999998</v>
      </c>
      <c r="CF85" s="178">
        <f>+CF86*CF84</f>
        <v>17.579999999999998</v>
      </c>
      <c r="CG85" s="645">
        <f>+CG86*CG84</f>
        <v>70.053076292558188</v>
      </c>
      <c r="CH85" s="36"/>
      <c r="CI85" s="969">
        <f>+CI86*CI84</f>
        <v>17.369999999999997</v>
      </c>
      <c r="CJ85" s="178">
        <f>+CJ86*CJ84</f>
        <v>17.669999999999998</v>
      </c>
      <c r="CK85" s="178">
        <f>+CK86*CK84</f>
        <v>17.669999999999998</v>
      </c>
      <c r="CL85" s="178">
        <f>+CL86*CL84</f>
        <v>17.669999999999998</v>
      </c>
      <c r="CM85" s="645">
        <f>+CM86*CM84</f>
        <v>70.414890793805228</v>
      </c>
      <c r="CN85"/>
    </row>
    <row r="86" spans="1:100" s="36" customFormat="1" outlineLevel="1" x14ac:dyDescent="0.2">
      <c r="B86" s="961" t="s">
        <v>621</v>
      </c>
      <c r="C86" s="1062"/>
      <c r="D86" s="397"/>
      <c r="E86" s="397"/>
      <c r="F86" s="397"/>
      <c r="G86" s="85"/>
      <c r="I86" s="1062">
        <f>+I83</f>
        <v>0.51794441552165293</v>
      </c>
      <c r="J86" s="397">
        <f t="shared" ref="J86:M86" si="159">+J83</f>
        <v>0.53297413341950783</v>
      </c>
      <c r="K86" s="397">
        <f t="shared" si="159"/>
        <v>0.53323995353108611</v>
      </c>
      <c r="L86" s="397">
        <f t="shared" si="159"/>
        <v>0.53833728754999444</v>
      </c>
      <c r="M86" s="85">
        <f t="shared" si="159"/>
        <v>0.53044952783581822</v>
      </c>
      <c r="O86" s="1062">
        <f>+O83</f>
        <v>0.53379061063756361</v>
      </c>
      <c r="P86" s="397">
        <f t="shared" ref="P86:S86" si="160">+P83</f>
        <v>0.52571275619026425</v>
      </c>
      <c r="Q86" s="397">
        <f t="shared" si="160"/>
        <v>0.5248311159521396</v>
      </c>
      <c r="R86" s="397">
        <f t="shared" si="160"/>
        <v>0.51893271424190346</v>
      </c>
      <c r="S86" s="85">
        <f t="shared" si="160"/>
        <v>0.52553461153582171</v>
      </c>
      <c r="U86" s="1062">
        <f>+U83</f>
        <v>0.5317571681833918</v>
      </c>
      <c r="V86" s="397">
        <f t="shared" ref="V86:Y86" si="161">+V83</f>
        <v>0.52311423689201297</v>
      </c>
      <c r="W86" s="397">
        <f t="shared" si="161"/>
        <v>0.51804935086061321</v>
      </c>
      <c r="X86" s="397">
        <f t="shared" si="161"/>
        <v>0.52961135112279267</v>
      </c>
      <c r="Y86" s="85">
        <f t="shared" si="161"/>
        <v>0.52574154900723657</v>
      </c>
      <c r="Z86" s="239"/>
      <c r="AA86" s="1062">
        <f>+AA83</f>
        <v>0.54088278489188113</v>
      </c>
      <c r="AB86" s="397">
        <f t="shared" ref="AB86:AE86" si="162">+AB83</f>
        <v>0.52796799421709628</v>
      </c>
      <c r="AC86" s="397">
        <f t="shared" si="162"/>
        <v>0.51715750988837861</v>
      </c>
      <c r="AD86" s="397">
        <f t="shared" si="162"/>
        <v>0.53055317790482348</v>
      </c>
      <c r="AE86" s="85">
        <f t="shared" si="162"/>
        <v>0.52901894714562125</v>
      </c>
      <c r="AF86" s="239"/>
      <c r="AG86" s="1062">
        <f>+AG83</f>
        <v>0.55561924514999905</v>
      </c>
      <c r="AH86" s="397">
        <f t="shared" ref="AH86:AK86" si="163">+AH83</f>
        <v>0.54388746739285809</v>
      </c>
      <c r="AI86" s="397">
        <f t="shared" si="163"/>
        <v>0.53765308099474329</v>
      </c>
      <c r="AJ86" s="397">
        <f t="shared" si="163"/>
        <v>0.53893648915243031</v>
      </c>
      <c r="AK86" s="85">
        <f t="shared" si="163"/>
        <v>0.54393009867628506</v>
      </c>
      <c r="AL86" s="239"/>
      <c r="AM86" s="1062">
        <f>+AM83</f>
        <v>0.54052390464371358</v>
      </c>
      <c r="AN86" s="397">
        <f t="shared" ref="AN86:AQ86" si="164">+AN83</f>
        <v>0.54941045910241526</v>
      </c>
      <c r="AO86" s="397">
        <f t="shared" si="164"/>
        <v>0.53605251973398171</v>
      </c>
      <c r="AP86" s="397">
        <f t="shared" si="164"/>
        <v>0.54135636159358624</v>
      </c>
      <c r="AQ86" s="85">
        <f t="shared" si="164"/>
        <v>0.54193651803634224</v>
      </c>
      <c r="AR86" s="239"/>
      <c r="AS86" s="1062">
        <f>+AS83</f>
        <v>0.54577092903625612</v>
      </c>
      <c r="AT86" s="397">
        <f t="shared" ref="AT86:AW86" si="165">+AT83</f>
        <v>0.56068985426248685</v>
      </c>
      <c r="AU86" s="397">
        <f t="shared" si="165"/>
        <v>0.55484227177806822</v>
      </c>
      <c r="AV86" s="397">
        <f t="shared" si="165"/>
        <v>0.55442213451266487</v>
      </c>
      <c r="AW86" s="85">
        <f t="shared" si="165"/>
        <v>0.55401396689754223</v>
      </c>
      <c r="AX86" s="239"/>
      <c r="AY86" s="1062">
        <f t="shared" ref="AY86:BB86" si="166">+AY83</f>
        <v>0.57191340562096227</v>
      </c>
      <c r="AZ86" s="397">
        <f t="shared" si="166"/>
        <v>0.57964692520344818</v>
      </c>
      <c r="BA86" s="397">
        <f t="shared" si="166"/>
        <v>0.57289656091975305</v>
      </c>
      <c r="BB86" s="397">
        <f t="shared" si="166"/>
        <v>0.5682042860539287</v>
      </c>
      <c r="BC86" s="85">
        <f t="shared" ref="BC86" si="167">+BC81</f>
        <v>0.57323512770449125</v>
      </c>
      <c r="BD86" s="239"/>
      <c r="BE86" s="1062">
        <f>+BE81</f>
        <v>0.59932659932659926</v>
      </c>
      <c r="BF86" s="397">
        <f>+BF81</f>
        <v>0.59256360078277892</v>
      </c>
      <c r="BG86" s="397">
        <f>+BG81</f>
        <v>0.56926135174722747</v>
      </c>
      <c r="BH86" s="397">
        <f>+BH81</f>
        <v>0.57424849699398806</v>
      </c>
      <c r="BI86" s="85">
        <f t="shared" ref="BI86" si="168">+BI83</f>
        <v>0.55780017370190471</v>
      </c>
      <c r="BJ86" s="239"/>
      <c r="BK86" s="1062">
        <f>+BK81</f>
        <v>0.58215077605321508</v>
      </c>
      <c r="BL86" s="397">
        <f>+BL81</f>
        <v>0.58217662442164542</v>
      </c>
      <c r="BM86" s="397">
        <f>+BM81</f>
        <v>0.58513165709760462</v>
      </c>
      <c r="BN86" s="397">
        <f>+BN81</f>
        <v>0.57552703941338224</v>
      </c>
      <c r="BO86" s="85">
        <f t="shared" ref="BO86" si="169">+BO83</f>
        <v>0.58110107944765443</v>
      </c>
      <c r="BP86" s="239"/>
      <c r="BQ86" s="1062">
        <f>+BQ83</f>
        <v>0.56999999999999995</v>
      </c>
      <c r="BR86" s="397">
        <f t="shared" ref="BR86:BU86" si="170">+BR83</f>
        <v>0.57999999999999996</v>
      </c>
      <c r="BS86" s="397">
        <f t="shared" si="170"/>
        <v>0.57999999999999996</v>
      </c>
      <c r="BT86" s="397">
        <f t="shared" si="170"/>
        <v>0.57999999999999996</v>
      </c>
      <c r="BU86" s="85">
        <f t="shared" si="170"/>
        <v>0.57777117612305862</v>
      </c>
      <c r="BV86" s="239"/>
      <c r="BW86" s="1062">
        <f>+BW83</f>
        <v>0.57299999999999995</v>
      </c>
      <c r="BX86" s="397">
        <f t="shared" ref="BX86:CA86" si="171">+BX83</f>
        <v>0.58299999999999996</v>
      </c>
      <c r="BY86" s="397">
        <f t="shared" si="171"/>
        <v>0.58299999999999996</v>
      </c>
      <c r="BZ86" s="397">
        <f t="shared" si="171"/>
        <v>0.58299999999999996</v>
      </c>
      <c r="CA86" s="85">
        <f t="shared" si="171"/>
        <v>0.58078513927267028</v>
      </c>
      <c r="CB86" s="239"/>
      <c r="CC86" s="1062">
        <f>+CC83</f>
        <v>0.57599999999999996</v>
      </c>
      <c r="CD86" s="397">
        <f t="shared" ref="CD86:CG86" si="172">+CD83</f>
        <v>0.58599999999999997</v>
      </c>
      <c r="CE86" s="397">
        <f t="shared" si="172"/>
        <v>0.58599999999999997</v>
      </c>
      <c r="CF86" s="397">
        <f t="shared" si="172"/>
        <v>0.58599999999999997</v>
      </c>
      <c r="CG86" s="85">
        <f t="shared" si="172"/>
        <v>0.58377563577131819</v>
      </c>
      <c r="CI86" s="1062">
        <f>+CI83</f>
        <v>0.57899999999999996</v>
      </c>
      <c r="CJ86" s="397">
        <f t="shared" ref="CJ86:CM86" si="173">+CJ83</f>
        <v>0.58899999999999997</v>
      </c>
      <c r="CK86" s="397">
        <f t="shared" si="173"/>
        <v>0.58899999999999997</v>
      </c>
      <c r="CL86" s="397">
        <f t="shared" si="173"/>
        <v>0.58899999999999997</v>
      </c>
      <c r="CM86" s="85">
        <f t="shared" si="173"/>
        <v>0.58679075661504354</v>
      </c>
    </row>
    <row r="87" spans="1:100" s="1234" customFormat="1" x14ac:dyDescent="0.2">
      <c r="B87" s="1028" t="s">
        <v>647</v>
      </c>
      <c r="C87" s="1163"/>
      <c r="D87" s="493"/>
      <c r="E87" s="493"/>
      <c r="F87" s="493"/>
      <c r="G87" s="384"/>
      <c r="H87" s="546"/>
      <c r="I87" s="1163">
        <f>+I84/I80</f>
        <v>0</v>
      </c>
      <c r="J87" s="493">
        <f>+J84/J80</f>
        <v>0</v>
      </c>
      <c r="K87" s="493">
        <f>+K84/K80</f>
        <v>0</v>
      </c>
      <c r="L87" s="493">
        <f>+L84/L80</f>
        <v>0</v>
      </c>
      <c r="M87" s="384">
        <f>+M84/M80</f>
        <v>0</v>
      </c>
      <c r="N87" s="546"/>
      <c r="O87" s="1163">
        <f>+O84/O80</f>
        <v>0</v>
      </c>
      <c r="P87" s="493">
        <f>+P84/P80</f>
        <v>0</v>
      </c>
      <c r="Q87" s="493">
        <f>+Q84/Q80</f>
        <v>0</v>
      </c>
      <c r="R87" s="493">
        <f>+R84/R80</f>
        <v>0</v>
      </c>
      <c r="S87" s="384">
        <f>+S84/S80</f>
        <v>0</v>
      </c>
      <c r="T87" s="546"/>
      <c r="U87" s="1163">
        <f>+U84/U80</f>
        <v>0</v>
      </c>
      <c r="V87" s="493">
        <f>+V84/V80</f>
        <v>0</v>
      </c>
      <c r="W87" s="493">
        <f>+W84/W80</f>
        <v>0</v>
      </c>
      <c r="X87" s="493">
        <f>+X84/X80</f>
        <v>0</v>
      </c>
      <c r="Y87" s="384">
        <f>+Y84/Y80</f>
        <v>0</v>
      </c>
      <c r="Z87" s="1185"/>
      <c r="AA87" s="1163">
        <f>+AA84/AA80</f>
        <v>0</v>
      </c>
      <c r="AB87" s="493">
        <f>+AB84/AB80</f>
        <v>0</v>
      </c>
      <c r="AC87" s="493">
        <f>+AC84/AC80</f>
        <v>0</v>
      </c>
      <c r="AD87" s="493">
        <f>+AD84/AD80</f>
        <v>0</v>
      </c>
      <c r="AE87" s="384">
        <f>+AE84/AE80</f>
        <v>0</v>
      </c>
      <c r="AF87" s="1185"/>
      <c r="AG87" s="1163">
        <f>+AG84/AG80</f>
        <v>0</v>
      </c>
      <c r="AH87" s="493">
        <f>+AH84/AH80</f>
        <v>0</v>
      </c>
      <c r="AI87" s="493">
        <f>+AI84/AI80</f>
        <v>0</v>
      </c>
      <c r="AJ87" s="493">
        <f>+AJ84/AJ80</f>
        <v>0</v>
      </c>
      <c r="AK87" s="384">
        <f>+AK84/AK80</f>
        <v>0</v>
      </c>
      <c r="AL87" s="1185"/>
      <c r="AM87" s="1163">
        <f>+AM84/AM80</f>
        <v>0</v>
      </c>
      <c r="AN87" s="493">
        <f>+AN84/AN80</f>
        <v>0</v>
      </c>
      <c r="AO87" s="493">
        <f>+AO84/AO80</f>
        <v>0</v>
      </c>
      <c r="AP87" s="493">
        <f>+AP84/AP80</f>
        <v>0</v>
      </c>
      <c r="AQ87" s="384">
        <f>+AQ84/AQ80</f>
        <v>0</v>
      </c>
      <c r="AR87" s="1185"/>
      <c r="AS87" s="1163">
        <f>+AS84/AS80</f>
        <v>0</v>
      </c>
      <c r="AT87" s="493">
        <f>+AT84/AT80</f>
        <v>0</v>
      </c>
      <c r="AU87" s="493">
        <f>+AU84/AU80</f>
        <v>0</v>
      </c>
      <c r="AV87" s="493">
        <f>+AV84/AV80</f>
        <v>0</v>
      </c>
      <c r="AW87" s="384">
        <f>+AW84/AW80</f>
        <v>0</v>
      </c>
      <c r="AX87" s="1185"/>
      <c r="AY87" s="1163">
        <f>+AY84/AY80</f>
        <v>0</v>
      </c>
      <c r="AZ87" s="493">
        <f>+AZ84/AZ80</f>
        <v>0</v>
      </c>
      <c r="BA87" s="493">
        <f>+BA84/BA80</f>
        <v>0</v>
      </c>
      <c r="BB87" s="493">
        <f>+BB84/BB80</f>
        <v>0</v>
      </c>
      <c r="BC87" s="384">
        <f>+BC84/BC80</f>
        <v>0</v>
      </c>
      <c r="BD87" s="1185"/>
      <c r="BE87" s="1163">
        <f>+BE84/BE80</f>
        <v>0</v>
      </c>
      <c r="BF87" s="493">
        <f>+BF84/BF80</f>
        <v>1.1008366358432409E-2</v>
      </c>
      <c r="BG87" s="493">
        <f>+BG84/BG80</f>
        <v>1.2252649635483674E-2</v>
      </c>
      <c r="BH87" s="493">
        <f>+BH84/BH80</f>
        <v>1.1632641191182458E-2</v>
      </c>
      <c r="BI87" s="384">
        <f>+BI84/BI80</f>
        <v>9.1508052708638363E-3</v>
      </c>
      <c r="BJ87" s="1185"/>
      <c r="BK87" s="1163">
        <f>+BK84/BK80</f>
        <v>2.1424490573224146E-2</v>
      </c>
      <c r="BL87" s="493">
        <f>+BL84/BL80</f>
        <v>1.9436765722183832E-2</v>
      </c>
      <c r="BM87" s="493">
        <f>+BM84/BM80</f>
        <v>1.9032312637455587E-2</v>
      </c>
      <c r="BN87" s="493">
        <f>+BN84/BN80</f>
        <v>1.79168657429527E-2</v>
      </c>
      <c r="BO87" s="384">
        <f>+BO84/BO80</f>
        <v>1.9372336303758231E-2</v>
      </c>
      <c r="BP87" s="1185"/>
      <c r="BQ87" s="1163">
        <f>+BQ84/BQ80</f>
        <v>3.4605275615793962E-2</v>
      </c>
      <c r="BR87" s="493">
        <f>+BR84/BR80</f>
        <v>3.0495881575920463E-2</v>
      </c>
      <c r="BS87" s="493">
        <f>+BS84/BS80</f>
        <v>2.9870664324849062E-2</v>
      </c>
      <c r="BT87" s="493">
        <f>+BT84/BT80</f>
        <v>2.7799493506572067E-2</v>
      </c>
      <c r="BU87" s="384">
        <f>+BU84/BU80</f>
        <v>3.0502176859023289E-2</v>
      </c>
      <c r="BV87" s="1185"/>
      <c r="BW87" s="1163">
        <f>+BW84/BW80</f>
        <v>5.3278513902514001E-2</v>
      </c>
      <c r="BX87" s="493">
        <f>+BX84/BX80</f>
        <v>4.6403017770491918E-2</v>
      </c>
      <c r="BY87" s="493">
        <f>+BY84/BY80</f>
        <v>4.5645535565318571E-2</v>
      </c>
      <c r="BZ87" s="493">
        <f>+BZ84/BZ80</f>
        <v>4.2797001319455227E-2</v>
      </c>
      <c r="CA87" s="384">
        <f>+CA84/CA80</f>
        <v>4.6732419311280707E-2</v>
      </c>
      <c r="CB87" s="1185"/>
      <c r="CC87" s="1163">
        <f>+CC84/CC80</f>
        <v>5.1241750843911846E-2</v>
      </c>
      <c r="CD87" s="493">
        <f>+CD84/CD80</f>
        <v>4.5062108621251366E-2</v>
      </c>
      <c r="CE87" s="493">
        <f>+CE84/CE80</f>
        <v>4.4202648200391874E-2</v>
      </c>
      <c r="CF87" s="493">
        <f>+CF84/CF80</f>
        <v>4.1155081693154974E-2</v>
      </c>
      <c r="CG87" s="384">
        <f>+CG84/CG80</f>
        <v>4.5132288228543205E-2</v>
      </c>
      <c r="CH87" s="1185"/>
      <c r="CI87" s="1163">
        <f>+CI84/CI80</f>
        <v>4.9180034328170474E-2</v>
      </c>
      <c r="CJ87" s="493">
        <f>+CJ84/CJ80</f>
        <v>4.2584278407924052E-2</v>
      </c>
      <c r="CK87" s="493">
        <f>+CK84/CK80</f>
        <v>4.196114982012223E-2</v>
      </c>
      <c r="CL87" s="493">
        <f>+CL84/CL80</f>
        <v>3.9496692341010324E-2</v>
      </c>
      <c r="CM87" s="384">
        <f>+CM84/CM80</f>
        <v>4.3026277578165649E-2</v>
      </c>
    </row>
    <row r="88" spans="1:100" s="1234" customFormat="1" outlineLevel="1" x14ac:dyDescent="0.2">
      <c r="B88" s="1243" t="s">
        <v>81</v>
      </c>
      <c r="C88" s="397"/>
      <c r="D88" s="397"/>
      <c r="E88" s="397"/>
      <c r="F88" s="397"/>
      <c r="G88" s="397"/>
      <c r="H88" s="36"/>
      <c r="I88" s="1242">
        <f>+ROUND(I80-'Pro Forma P&amp;L'!I27,3)</f>
        <v>0</v>
      </c>
      <c r="J88" s="1242">
        <f>+ROUND(J80-'Pro Forma P&amp;L'!J27,3)</f>
        <v>0</v>
      </c>
      <c r="K88" s="1242">
        <f>+ROUND(K80-'Pro Forma P&amp;L'!K27,3)</f>
        <v>0</v>
      </c>
      <c r="L88" s="1242">
        <f>+ROUND(L80-'Pro Forma P&amp;L'!L27,3)</f>
        <v>0</v>
      </c>
      <c r="M88" s="1242">
        <f>+ROUND(M80-'Pro Forma P&amp;L'!M27,3)</f>
        <v>0</v>
      </c>
      <c r="N88" s="36"/>
      <c r="O88" s="1242">
        <f>+ROUND(O80-'Pro Forma P&amp;L'!O27,3)</f>
        <v>0</v>
      </c>
      <c r="P88" s="1242">
        <f>+ROUND(P80-'Pro Forma P&amp;L'!P27,3)</f>
        <v>0</v>
      </c>
      <c r="Q88" s="1242">
        <f>+ROUND(Q80-'Pro Forma P&amp;L'!Q27,3)</f>
        <v>0</v>
      </c>
      <c r="R88" s="1242">
        <f>+ROUND(R80-'Pro Forma P&amp;L'!R27,3)</f>
        <v>0</v>
      </c>
      <c r="S88" s="1242">
        <f>+ROUND(S80-'Pro Forma P&amp;L'!S27,3)</f>
        <v>0</v>
      </c>
      <c r="T88" s="36"/>
      <c r="U88" s="1242">
        <f>+ROUND(U80-'Pro Forma P&amp;L'!U27,3)</f>
        <v>0</v>
      </c>
      <c r="V88" s="1242">
        <f>+ROUND(V80-'Pro Forma P&amp;L'!V27,3)</f>
        <v>0</v>
      </c>
      <c r="W88" s="1242">
        <f>+ROUND(W80-'Pro Forma P&amp;L'!W27,3)</f>
        <v>0</v>
      </c>
      <c r="X88" s="1242">
        <f>+ROUND(X80-'Pro Forma P&amp;L'!X27,3)</f>
        <v>0</v>
      </c>
      <c r="Y88" s="1242">
        <f>+ROUND(Y80-'Pro Forma P&amp;L'!Y27,3)</f>
        <v>0</v>
      </c>
      <c r="Z88" s="239"/>
      <c r="AA88" s="1242">
        <f>+ROUND(AA80-'Pro Forma P&amp;L'!AA27,3)</f>
        <v>0</v>
      </c>
      <c r="AB88" s="1242">
        <f>+ROUND(AB80-'Pro Forma P&amp;L'!AB27,3)</f>
        <v>0</v>
      </c>
      <c r="AC88" s="1242">
        <f>+ROUND(AC80-'Pro Forma P&amp;L'!AC27,3)</f>
        <v>0</v>
      </c>
      <c r="AD88" s="1242">
        <f>+ROUND(AD80-'Pro Forma P&amp;L'!AD27,3)</f>
        <v>0</v>
      </c>
      <c r="AE88" s="1242">
        <f>+ROUND(AE80-'Pro Forma P&amp;L'!AE27,3)</f>
        <v>0</v>
      </c>
      <c r="AF88" s="239"/>
      <c r="AG88" s="1242">
        <f>+ROUND(AG80-'Pro Forma P&amp;L'!AG27,3)</f>
        <v>0</v>
      </c>
      <c r="AH88" s="1242">
        <f>+ROUND(AH80-'Pro Forma P&amp;L'!AH27,3)</f>
        <v>0</v>
      </c>
      <c r="AI88" s="1242">
        <f>+ROUND(AI80-'Pro Forma P&amp;L'!AI27,3)</f>
        <v>0</v>
      </c>
      <c r="AJ88" s="1242">
        <f>+ROUND(AJ80-'Pro Forma P&amp;L'!AJ27,3)</f>
        <v>0</v>
      </c>
      <c r="AK88" s="1242">
        <f>+ROUND(AK80-'Pro Forma P&amp;L'!AK27,3)</f>
        <v>0</v>
      </c>
      <c r="AL88" s="239"/>
      <c r="AM88" s="1242">
        <f>+ROUND(AM80-'Pro Forma P&amp;L'!AM27,3)</f>
        <v>0</v>
      </c>
      <c r="AN88" s="1242">
        <f>+ROUND(AN80-'Pro Forma P&amp;L'!AN27,3)</f>
        <v>0</v>
      </c>
      <c r="AO88" s="1242">
        <f>+ROUND(AO80-'Pro Forma P&amp;L'!AO27,3)</f>
        <v>0</v>
      </c>
      <c r="AP88" s="1242">
        <f>+ROUND(AP80-'Pro Forma P&amp;L'!AP27,3)</f>
        <v>0</v>
      </c>
      <c r="AQ88" s="1242">
        <f>+ROUND(AQ80-'Pro Forma P&amp;L'!AQ27,3)</f>
        <v>0</v>
      </c>
      <c r="AR88" s="239"/>
      <c r="AS88" s="1242">
        <f>+ROUND(AS80-'Pro Forma P&amp;L'!AS27,3)</f>
        <v>0</v>
      </c>
      <c r="AT88" s="1242">
        <f>+ROUND(AT80-'Pro Forma P&amp;L'!AT27,3)</f>
        <v>0</v>
      </c>
      <c r="AU88" s="1242">
        <f>+ROUND(AU80-'Pro Forma P&amp;L'!AU27,3)</f>
        <v>0</v>
      </c>
      <c r="AV88" s="1242">
        <f>+ROUND(AV80-'Pro Forma P&amp;L'!AV27,3)</f>
        <v>0</v>
      </c>
      <c r="AW88" s="1242">
        <f>+ROUND(AW80-'Pro Forma P&amp;L'!AW27,3)</f>
        <v>0</v>
      </c>
      <c r="AX88" s="239"/>
      <c r="AY88" s="1242">
        <f>+ROUND(AY80-'Pro Forma P&amp;L'!AY27,3)</f>
        <v>0</v>
      </c>
      <c r="AZ88" s="1242">
        <f>+ROUND(AZ80-'Pro Forma P&amp;L'!AZ27,3)</f>
        <v>0</v>
      </c>
      <c r="BA88" s="1242">
        <f>+ROUND(BA80-'Pro Forma P&amp;L'!BA27,3)</f>
        <v>0</v>
      </c>
      <c r="BB88" s="1242">
        <f>+ROUND(BB80-'Pro Forma P&amp;L'!BB27,3)</f>
        <v>0</v>
      </c>
      <c r="BC88" s="1242">
        <f>+ROUND(BC80-'Pro Forma P&amp;L'!BC27,3)</f>
        <v>0</v>
      </c>
      <c r="BD88" s="239"/>
      <c r="BE88" s="1242"/>
      <c r="BF88" s="1242">
        <f>+ROUND(BF80-'Pro Forma P&amp;L'!BF27,3)</f>
        <v>0</v>
      </c>
      <c r="BG88" s="1242">
        <f>+ROUND(BG80-'Pro Forma P&amp;L'!BG27,3)</f>
        <v>0</v>
      </c>
      <c r="BH88" s="1242">
        <f>+ROUND(BH80-'Pro Forma P&amp;L'!BH27,3)</f>
        <v>0</v>
      </c>
      <c r="BI88" s="1242"/>
      <c r="BJ88" s="239"/>
      <c r="BK88" s="1242">
        <f>+ROUND(BK80-'Pro Forma P&amp;L'!BK27,3)</f>
        <v>0</v>
      </c>
      <c r="BL88" s="1242">
        <f>+ROUND(BL80-'Pro Forma P&amp;L'!BL27,3)</f>
        <v>0</v>
      </c>
      <c r="BM88" s="1242">
        <f>+ROUND(BM80-'Pro Forma P&amp;L'!BM27,3)</f>
        <v>0</v>
      </c>
      <c r="BN88" s="1242">
        <f>+ROUND(BN80-'Pro Forma P&amp;L'!BN27,3)</f>
        <v>0</v>
      </c>
      <c r="BO88" s="1242">
        <f>+ROUND(BO80-'Pro Forma P&amp;L'!BO27,3)</f>
        <v>0</v>
      </c>
      <c r="BP88" s="239"/>
      <c r="BQ88" s="1242">
        <f>+ROUND(BQ80-'Pro Forma P&amp;L'!BQ27,3)</f>
        <v>0</v>
      </c>
      <c r="BR88" s="1242">
        <f>+ROUND(BR80-'Pro Forma P&amp;L'!BR27,3)</f>
        <v>0</v>
      </c>
      <c r="BS88" s="1242">
        <f>+ROUND(BS80-'Pro Forma P&amp;L'!BS27,3)</f>
        <v>0</v>
      </c>
      <c r="BT88" s="1242">
        <f>+ROUND(BT80-'Pro Forma P&amp;L'!BT27,3)</f>
        <v>0</v>
      </c>
      <c r="BU88" s="1242">
        <f>+ROUND(BU80-'Pro Forma P&amp;L'!BU27,3)</f>
        <v>0</v>
      </c>
      <c r="BV88" s="239"/>
      <c r="BW88" s="1242">
        <f>+ROUND(BW80-'Pro Forma P&amp;L'!BW27,3)</f>
        <v>0</v>
      </c>
      <c r="BX88" s="1242">
        <f>+ROUND(BX80-'Pro Forma P&amp;L'!BX27,3)</f>
        <v>0</v>
      </c>
      <c r="BY88" s="1242">
        <f>+ROUND(BY80-'Pro Forma P&amp;L'!BY27,3)</f>
        <v>0</v>
      </c>
      <c r="BZ88" s="1242">
        <f>+ROUND(BZ80-'Pro Forma P&amp;L'!BZ27,3)</f>
        <v>0</v>
      </c>
      <c r="CA88" s="1242">
        <f>+ROUND(CA80-'Pro Forma P&amp;L'!CA27,3)</f>
        <v>0</v>
      </c>
      <c r="CB88" s="239"/>
      <c r="CC88" s="1242">
        <f>+ROUND(CC80-'Pro Forma P&amp;L'!CC27,3)</f>
        <v>0</v>
      </c>
      <c r="CD88" s="1242">
        <f>+ROUND(CD80-'Pro Forma P&amp;L'!CD27,3)</f>
        <v>0</v>
      </c>
      <c r="CE88" s="1242">
        <f>+ROUND(CE80-'Pro Forma P&amp;L'!CE27,3)</f>
        <v>0</v>
      </c>
      <c r="CF88" s="1242">
        <f>+ROUND(CF80-'Pro Forma P&amp;L'!CF27,3)</f>
        <v>0</v>
      </c>
      <c r="CG88" s="1242">
        <f>+ROUND(CG80-'Pro Forma P&amp;L'!CG27,3)</f>
        <v>0</v>
      </c>
      <c r="CH88"/>
      <c r="CI88"/>
      <c r="CJ88"/>
      <c r="CK88"/>
      <c r="CL88"/>
      <c r="CM88"/>
    </row>
    <row r="89" spans="1:100" s="1104" customFormat="1" x14ac:dyDescent="0.2">
      <c r="B89" s="1019"/>
      <c r="C89" s="178"/>
      <c r="D89" s="178"/>
      <c r="E89" s="178"/>
      <c r="F89" s="178"/>
      <c r="G89" s="1172"/>
      <c r="H89" s="36"/>
      <c r="I89" s="178"/>
      <c r="J89" s="178"/>
      <c r="K89" s="178"/>
      <c r="L89" s="178"/>
      <c r="M89" s="1172"/>
      <c r="N89" s="36"/>
      <c r="O89" s="178"/>
      <c r="P89" s="178"/>
      <c r="Q89" s="178"/>
      <c r="R89" s="178"/>
      <c r="S89" s="1172"/>
      <c r="T89" s="36"/>
      <c r="U89" s="178"/>
      <c r="V89" s="178"/>
      <c r="W89" s="178"/>
      <c r="X89" s="178"/>
      <c r="Y89" s="1172"/>
      <c r="Z89" s="716"/>
      <c r="AA89" s="178"/>
      <c r="AB89" s="178"/>
      <c r="AC89" s="178"/>
      <c r="AD89" s="178"/>
      <c r="AE89" s="1172"/>
      <c r="AF89" s="716"/>
      <c r="AG89" s="178"/>
      <c r="AH89" s="178"/>
      <c r="AI89" s="178"/>
      <c r="AJ89" s="178"/>
      <c r="AK89" s="1172"/>
      <c r="AL89" s="716"/>
      <c r="AM89" s="178"/>
      <c r="AN89" s="178"/>
      <c r="AO89" s="178"/>
      <c r="AP89" s="178"/>
      <c r="AQ89" s="1172"/>
      <c r="AR89" s="716"/>
      <c r="AS89" s="178"/>
      <c r="AT89" s="178"/>
      <c r="AU89" s="178"/>
      <c r="AV89" s="178"/>
      <c r="AW89" s="1172"/>
      <c r="AX89" s="716"/>
      <c r="AY89" s="178"/>
      <c r="AZ89" s="178"/>
      <c r="BA89" s="178"/>
      <c r="BB89" s="178"/>
      <c r="BC89" s="1172"/>
      <c r="BD89" s="716"/>
      <c r="BE89" s="178"/>
      <c r="BF89" s="178"/>
      <c r="BG89" s="178"/>
      <c r="BH89" s="178"/>
      <c r="BI89" s="1172"/>
      <c r="BJ89" s="716"/>
      <c r="BK89" s="178"/>
      <c r="BL89" s="178"/>
      <c r="BM89" s="178"/>
      <c r="BN89" s="178"/>
      <c r="BO89" s="178"/>
      <c r="BP89" s="716"/>
      <c r="BQ89" s="178"/>
      <c r="BR89" s="178"/>
      <c r="BS89" s="178"/>
      <c r="BT89" s="178"/>
      <c r="BU89" s="178"/>
      <c r="BV89" s="716"/>
      <c r="BW89" s="178"/>
      <c r="BX89" s="178"/>
      <c r="BY89" s="178"/>
      <c r="BZ89" s="178"/>
      <c r="CA89" s="178"/>
      <c r="CB89" s="716"/>
      <c r="CC89" s="178"/>
      <c r="CD89" s="178"/>
      <c r="CE89" s="178"/>
      <c r="CF89" s="178"/>
      <c r="CG89" s="178"/>
      <c r="CH89" s="716"/>
      <c r="CI89" s="178"/>
      <c r="CJ89" s="178"/>
      <c r="CK89" s="178"/>
      <c r="CL89" s="178"/>
      <c r="CM89" s="178"/>
    </row>
    <row r="90" spans="1:100" s="1104" customFormat="1" ht="12.75" customHeight="1" x14ac:dyDescent="0.2">
      <c r="A90" s="1033" t="s">
        <v>587</v>
      </c>
      <c r="B90" s="937" t="s">
        <v>645</v>
      </c>
      <c r="C90" s="938"/>
      <c r="D90" s="939"/>
      <c r="E90" s="939"/>
      <c r="F90" s="939"/>
      <c r="G90" s="940"/>
      <c r="H90" s="941"/>
      <c r="I90" s="938"/>
      <c r="J90" s="939"/>
      <c r="K90" s="939"/>
      <c r="L90" s="939"/>
      <c r="M90" s="940"/>
      <c r="N90" s="941"/>
      <c r="O90" s="938"/>
      <c r="P90" s="939"/>
      <c r="Q90" s="939"/>
      <c r="R90" s="939"/>
      <c r="S90" s="940"/>
      <c r="T90" s="941"/>
      <c r="U90" s="938"/>
      <c r="V90" s="939"/>
      <c r="W90" s="939"/>
      <c r="X90" s="939"/>
      <c r="Y90" s="940"/>
      <c r="Z90" s="941"/>
      <c r="AA90" s="938"/>
      <c r="AB90" s="939"/>
      <c r="AC90" s="939"/>
      <c r="AD90" s="939"/>
      <c r="AE90" s="940"/>
      <c r="AF90" s="941"/>
      <c r="AG90" s="938"/>
      <c r="AH90" s="939"/>
      <c r="AI90" s="939"/>
      <c r="AJ90" s="939"/>
      <c r="AK90" s="940"/>
      <c r="AL90" s="941"/>
      <c r="AM90" s="938"/>
      <c r="AN90" s="939"/>
      <c r="AO90" s="939"/>
      <c r="AP90" s="939"/>
      <c r="AQ90" s="940"/>
      <c r="AR90" s="941"/>
      <c r="AS90" s="938"/>
      <c r="AT90" s="939"/>
      <c r="AU90" s="939"/>
      <c r="AV90" s="939"/>
      <c r="AW90" s="940"/>
      <c r="AX90" s="941"/>
      <c r="AY90" s="938"/>
      <c r="AZ90" s="939"/>
      <c r="BA90" s="939"/>
      <c r="BB90" s="939"/>
      <c r="BC90" s="940"/>
      <c r="BD90" s="941"/>
      <c r="BE90" s="938"/>
      <c r="BF90" s="939"/>
      <c r="BG90" s="939"/>
      <c r="BH90" s="939"/>
      <c r="BI90" s="940"/>
      <c r="BJ90" s="941"/>
      <c r="BK90" s="938"/>
      <c r="BL90" s="939"/>
      <c r="BM90" s="939"/>
      <c r="BN90" s="939"/>
      <c r="BO90" s="940"/>
      <c r="BP90" s="941"/>
      <c r="BQ90" s="938"/>
      <c r="BR90" s="939"/>
      <c r="BS90" s="939"/>
      <c r="BT90" s="939"/>
      <c r="BU90" s="940"/>
      <c r="BV90" s="941"/>
      <c r="BW90" s="938"/>
      <c r="BX90" s="939"/>
      <c r="BY90" s="939"/>
      <c r="BZ90" s="939"/>
      <c r="CA90" s="940"/>
      <c r="CB90" s="941"/>
      <c r="CC90" s="938"/>
      <c r="CD90" s="939"/>
      <c r="CE90" s="939"/>
      <c r="CF90" s="939"/>
      <c r="CG90" s="940"/>
      <c r="CH90" s="941"/>
      <c r="CI90" s="938"/>
      <c r="CJ90" s="939"/>
      <c r="CK90" s="939"/>
      <c r="CL90" s="939"/>
      <c r="CM90" s="940"/>
      <c r="CN90" s="62"/>
    </row>
    <row r="91" spans="1:100" s="1104" customFormat="1" x14ac:dyDescent="0.2">
      <c r="B91" s="950" t="s">
        <v>629</v>
      </c>
      <c r="C91" s="1174">
        <f>+C93-C97+C95</f>
        <v>223.13676359192351</v>
      </c>
      <c r="D91" s="1174">
        <f>+D93-D97+D95</f>
        <v>227.31526229522305</v>
      </c>
      <c r="E91" s="1174">
        <f>+E93-E97+E95</f>
        <v>226.65186535280588</v>
      </c>
      <c r="F91" s="1174">
        <f>+F93-F97+F95</f>
        <v>236.54580099370139</v>
      </c>
      <c r="G91" s="1175">
        <f>+G93-G97</f>
        <v>913.64969223365381</v>
      </c>
      <c r="H91" s="1174"/>
      <c r="I91" s="1176">
        <f>+I93-I97+I95</f>
        <v>250.92137730011837</v>
      </c>
      <c r="J91" s="1174">
        <f>+J93-J97+J95</f>
        <v>270.22859778309686</v>
      </c>
      <c r="K91" s="1174">
        <f>+K93-K97+K95</f>
        <v>248.45105096219768</v>
      </c>
      <c r="L91" s="1174">
        <f>+L93-L97+L95</f>
        <v>236.89000757557497</v>
      </c>
      <c r="M91" s="1175">
        <f>+M93-M97</f>
        <v>1006.4910336209878</v>
      </c>
      <c r="N91" s="1174"/>
      <c r="O91" s="1176">
        <f>+O93-O97+O95</f>
        <v>236.86211603480066</v>
      </c>
      <c r="P91" s="1174">
        <f>+P93-P97+P95</f>
        <v>241.46378244023401</v>
      </c>
      <c r="Q91" s="1174">
        <f>+Q93-Q97+Q95</f>
        <v>241.02829075775708</v>
      </c>
      <c r="R91" s="1174">
        <f>+R93-R97+R95</f>
        <v>244.82351074242956</v>
      </c>
      <c r="S91" s="1175">
        <f>+S93-S97</f>
        <v>964.17769997522134</v>
      </c>
      <c r="T91" s="1174"/>
      <c r="U91" s="1176">
        <f>+U93-U97+U95</f>
        <v>254.30391241672285</v>
      </c>
      <c r="V91" s="1174">
        <f>+V93-V97+V95</f>
        <v>243.8035950131457</v>
      </c>
      <c r="W91" s="1174">
        <f>+W93-W97+W95</f>
        <v>247.59210363921579</v>
      </c>
      <c r="X91" s="1174">
        <f>+X93-X97+X95</f>
        <v>256.75639352499996</v>
      </c>
      <c r="Y91" s="1175">
        <f>+Y93-Y97</f>
        <v>1002.4560045940843</v>
      </c>
      <c r="Z91" s="1174"/>
      <c r="AA91" s="1176">
        <f>+AA93-AA97+AA95</f>
        <v>278.51640125909933</v>
      </c>
      <c r="AB91" s="1174">
        <f>+AB93-AB97+AB95</f>
        <v>286.04511240331738</v>
      </c>
      <c r="AC91" s="1174">
        <f>+AC93-AC97+AC95</f>
        <v>293.83688267714223</v>
      </c>
      <c r="AD91" s="1174">
        <f>+AD93-AD97+AD95</f>
        <v>356.50892511323775</v>
      </c>
      <c r="AE91" s="1175">
        <f>+AE93-AE97</f>
        <v>1214.9073214527966</v>
      </c>
      <c r="AF91" s="1174"/>
      <c r="AG91" s="1176">
        <f>+AG93-AG97+AG95</f>
        <v>364.78702691353811</v>
      </c>
      <c r="AH91" s="1174">
        <f>+AH93-AH97+AH95</f>
        <v>362.76684269285261</v>
      </c>
      <c r="AI91" s="1174">
        <f>+AI93-AI97+AI95</f>
        <v>341.68105199540634</v>
      </c>
      <c r="AJ91" s="1174">
        <f>+AJ93-AJ97+AJ95</f>
        <v>367.57538350858863</v>
      </c>
      <c r="AK91" s="1175">
        <f>+AK93-AK97</f>
        <v>1436.8103051103856</v>
      </c>
      <c r="AL91" s="1174"/>
      <c r="AM91" s="1176">
        <f>+AM93-AM97+AM95</f>
        <v>376.24776002877877</v>
      </c>
      <c r="AN91" s="1174">
        <f>+AN93-AN97+AN95</f>
        <v>369.45094262479756</v>
      </c>
      <c r="AO91" s="1174">
        <f>+AO93-AO97+AO95</f>
        <v>351.87190885545454</v>
      </c>
      <c r="AP91" s="1174">
        <f>+AP93-AP97+AP95</f>
        <v>376.9430594837969</v>
      </c>
      <c r="AQ91" s="1175">
        <f>+AQ93-AQ97</f>
        <v>1474.5136709928279</v>
      </c>
      <c r="AR91" s="1174"/>
      <c r="AS91" s="1176">
        <f>+AS93-AS97+AS95</f>
        <v>372.50722999043842</v>
      </c>
      <c r="AT91" s="1174">
        <f>+AT93-AT97+AT95</f>
        <v>384.58111774201188</v>
      </c>
      <c r="AU91" s="1174">
        <f>+AU93-AU97+AU95</f>
        <v>361.92033529539276</v>
      </c>
      <c r="AV91" s="1174">
        <f>+AV93-AV97+AV95</f>
        <v>369.83999521619609</v>
      </c>
      <c r="AW91" s="1175">
        <f>+SUM(AS91:AV91)</f>
        <v>1488.8486782440391</v>
      </c>
      <c r="AX91" s="1174"/>
      <c r="AY91" s="1176">
        <f>+AY93-AY97+AY95</f>
        <v>347.76877986028512</v>
      </c>
      <c r="AZ91" s="1174">
        <f>+AZ93-AZ97+AZ95</f>
        <v>352.20117826947654</v>
      </c>
      <c r="BA91" s="1174">
        <f>+BA93-BA97+BA95</f>
        <v>337.65147065992227</v>
      </c>
      <c r="BB91" s="1174">
        <f>+BB93-BB97+BB95</f>
        <v>351.11720168455048</v>
      </c>
      <c r="BC91" s="1175">
        <f>+SUM(AY91:BB91)</f>
        <v>1388.7386304742345</v>
      </c>
      <c r="BD91" s="1174"/>
      <c r="BE91" s="1261">
        <f>+'P&amp;L'!BE13</f>
        <v>293.3</v>
      </c>
      <c r="BF91" s="1260">
        <f>+'P&amp;L'!BF13</f>
        <v>373.2</v>
      </c>
      <c r="BG91" s="1260">
        <f>+'P&amp;L'!BG13</f>
        <v>348.3</v>
      </c>
      <c r="BH91" s="1260">
        <f>+'P&amp;L'!BH13</f>
        <v>366.7</v>
      </c>
      <c r="BI91" s="1175">
        <f>+SUM(BE91:BH91)</f>
        <v>1381.5</v>
      </c>
      <c r="BJ91" s="1177"/>
      <c r="BK91" s="1261">
        <f>+'P&amp;L'!BK13</f>
        <v>377.2</v>
      </c>
      <c r="BL91" s="1260">
        <f>+'P&amp;L'!BL13</f>
        <v>383.7</v>
      </c>
      <c r="BM91" s="1260">
        <f>+'P&amp;L'!BM13</f>
        <v>379.40000000000003</v>
      </c>
      <c r="BN91" s="1260">
        <f>+'P&amp;L'!BN13</f>
        <v>391</v>
      </c>
      <c r="BO91" s="1175">
        <f>+SUM(BK91:BN91)</f>
        <v>1531.3</v>
      </c>
      <c r="BP91" s="1177"/>
      <c r="BQ91" s="1176">
        <f>+BQ93-BQ97+BQ95</f>
        <v>403.00365000000005</v>
      </c>
      <c r="BR91" s="1174">
        <f>+BR93-BR97+BR95</f>
        <v>425.22687999999999</v>
      </c>
      <c r="BS91" s="1174">
        <f>+BS93-BS97+BS95</f>
        <v>407.48954000000009</v>
      </c>
      <c r="BT91" s="1174">
        <f>+BT93-BT97+BT95</f>
        <v>421.89591999999999</v>
      </c>
      <c r="BU91" s="1175">
        <f>+SUM(BQ91:BT91)</f>
        <v>1657.61599</v>
      </c>
      <c r="BV91" s="1177"/>
      <c r="BW91" s="1176">
        <f>+BW93-BW97+BW95</f>
        <v>367.90103860000005</v>
      </c>
      <c r="BX91" s="1174">
        <f>+BX93-BX97+BX95</f>
        <v>417.44587984000009</v>
      </c>
      <c r="BY91" s="1174">
        <f>+BY93-BY97+BY95</f>
        <v>422.69948784000002</v>
      </c>
      <c r="BZ91" s="1174">
        <f>+BZ93-BZ97+BZ95</f>
        <v>450.75885360000007</v>
      </c>
      <c r="CA91" s="1175">
        <f>+SUM(BW91:BZ91)</f>
        <v>1658.8052598800002</v>
      </c>
      <c r="CB91" s="1177"/>
      <c r="CC91" s="1176">
        <f>+CC93-CC97+CC95</f>
        <v>374.19268435975005</v>
      </c>
      <c r="CD91" s="1174">
        <f>+CD93-CD97+CD95</f>
        <v>420.68384948455002</v>
      </c>
      <c r="CE91" s="1174">
        <f>+CE93-CE97+CE95</f>
        <v>427.32486464120001</v>
      </c>
      <c r="CF91" s="1174">
        <f>+CF93-CF97+CF95</f>
        <v>459.44275804830005</v>
      </c>
      <c r="CG91" s="1175">
        <f>+SUM(CC91:CF91)</f>
        <v>1681.6441565338</v>
      </c>
      <c r="CH91" s="1177"/>
      <c r="CI91" s="1176">
        <f>+CI93-CI97+CI95</f>
        <v>382.74003144609793</v>
      </c>
      <c r="CJ91" s="1174">
        <f>+CJ93-CJ97+CJ95</f>
        <v>438.21235781989401</v>
      </c>
      <c r="CK91" s="1174">
        <f>+CK93-CK97+CK95</f>
        <v>442.96046083505405</v>
      </c>
      <c r="CL91" s="1174">
        <f>+CL93-CL97+CL95</f>
        <v>470.82837001479999</v>
      </c>
      <c r="CM91" s="1175">
        <f>+SUM(CI91:CL91)</f>
        <v>1734.7412201158459</v>
      </c>
    </row>
    <row r="92" spans="1:100" s="1104" customFormat="1" x14ac:dyDescent="0.2">
      <c r="B92" s="1178" t="s">
        <v>377</v>
      </c>
      <c r="C92" s="1179">
        <f>+C91/(C127+C113)</f>
        <v>0.3585374516944107</v>
      </c>
      <c r="D92" s="1179">
        <f>+D91/(D127+D113)</f>
        <v>0.34251270239146958</v>
      </c>
      <c r="E92" s="1179">
        <f>+E91/(E127+E113)</f>
        <v>0.34067326665809439</v>
      </c>
      <c r="F92" s="1179">
        <f>+F91/(F127+F113)</f>
        <v>0.31931409417814061</v>
      </c>
      <c r="G92" s="1180">
        <f>+G91/(G127+G113)</f>
        <v>0.33937907028465997</v>
      </c>
      <c r="H92" s="1181"/>
      <c r="I92" s="1182">
        <f>+I91/(I127+I113)</f>
        <v>0.33481596677245273</v>
      </c>
      <c r="J92" s="1179">
        <f>+J91/(J127+J113)</f>
        <v>0.3460382366171938</v>
      </c>
      <c r="K92" s="1179">
        <f>+K91/(K127+K113)</f>
        <v>0.35004598307244722</v>
      </c>
      <c r="L92" s="1179">
        <f>+L91/(L127+L113)</f>
        <v>0.34477003682944651</v>
      </c>
      <c r="M92" s="1180">
        <f>+M91/(M127+M113)</f>
        <v>0.34383917578684081</v>
      </c>
      <c r="N92" s="1181"/>
      <c r="O92" s="1182">
        <f>+O91/(O127+O113)</f>
        <v>0.3529859677298367</v>
      </c>
      <c r="P92" s="1179">
        <f>+P91/(P127+P113)</f>
        <v>0.32960191995250138</v>
      </c>
      <c r="Q92" s="1179">
        <f>+Q91/(Q127+Q113)</f>
        <v>0.33542951105786006</v>
      </c>
      <c r="R92" s="1179">
        <f>+R91/(R127+R113)</f>
        <v>0.31293470335618845</v>
      </c>
      <c r="S92" s="1180">
        <f>+S91/(S127+S113)</f>
        <v>0.33195659565280233</v>
      </c>
      <c r="T92" s="1181"/>
      <c r="U92" s="1182">
        <f>+U91/(U127+U113)</f>
        <v>0.3458667949001441</v>
      </c>
      <c r="V92" s="1179">
        <f>+V91/(V127+V113)</f>
        <v>0.32651999028894912</v>
      </c>
      <c r="W92" s="1179">
        <f>+W91/(W127+W113)</f>
        <v>0.34201972628261812</v>
      </c>
      <c r="X92" s="1179">
        <f>+X91/(X127+X113)</f>
        <v>0.31977864748804619</v>
      </c>
      <c r="Y92" s="1180">
        <f>+Y91/(Y127+Y113)</f>
        <v>0.33317810344610455</v>
      </c>
      <c r="Z92" s="1181"/>
      <c r="AA92" s="1182">
        <f>+AA91/(AA127+AA113)</f>
        <v>0.35508684376724281</v>
      </c>
      <c r="AB92" s="1179">
        <f>+AB91/(AB127+AB113)</f>
        <v>0.33527286616141638</v>
      </c>
      <c r="AC92" s="1179">
        <f>+AC91/(AC127+AC113)</f>
        <v>0.35079596465020452</v>
      </c>
      <c r="AD92" s="1179">
        <f>+AD91/(AD127+AD113)</f>
        <v>0.35829309781347024</v>
      </c>
      <c r="AE92" s="1180">
        <f>+AE91/(AE127+AE113)</f>
        <v>0.3500990389878908</v>
      </c>
      <c r="AF92" s="1181"/>
      <c r="AG92" s="1182">
        <f>+AG91/(AG127+AG113)</f>
        <v>0.38511579826499959</v>
      </c>
      <c r="AH92" s="1179">
        <f>+AH91/(AH127+AH113)</f>
        <v>0.36136224943937945</v>
      </c>
      <c r="AI92" s="1179">
        <f>+AI91/(AI127+AI113)</f>
        <v>0.36270394082995433</v>
      </c>
      <c r="AJ92" s="1179">
        <f>+AJ91/(AJ127+AJ113)</f>
        <v>0.35877253409091719</v>
      </c>
      <c r="AK92" s="1180">
        <f>+AK91/(AK127+AK113)</f>
        <v>0.36675074076846031</v>
      </c>
      <c r="AL92" s="1181"/>
      <c r="AM92" s="1182">
        <f>+AM91/(AM127+AM113)</f>
        <v>0.37688977437051308</v>
      </c>
      <c r="AN92" s="1179">
        <f>+AN91/(AN127+AN113)</f>
        <v>0.35422510980905791</v>
      </c>
      <c r="AO92" s="1179">
        <f>+AO91/(AO127+AO113)</f>
        <v>0.35850460041832305</v>
      </c>
      <c r="AP92" s="1179">
        <f>+AP91/(AP127+AP113)</f>
        <v>0.35858877871713946</v>
      </c>
      <c r="AQ92" s="1180">
        <f>+AQ91/(AQ127+AQ113)</f>
        <v>0.36193587894682944</v>
      </c>
      <c r="AR92" s="1181"/>
      <c r="AS92" s="1182">
        <f>+AS91/AS65</f>
        <v>0.368309167711734</v>
      </c>
      <c r="AT92" s="1179">
        <f>+AT91/AT65</f>
        <v>0.36170728834957572</v>
      </c>
      <c r="AU92" s="1179">
        <f>+AU91/AU65</f>
        <v>0.36286022763853348</v>
      </c>
      <c r="AV92" s="1179">
        <f>+AV91/AV65</f>
        <v>0.36571294037488039</v>
      </c>
      <c r="AW92" s="1180">
        <f>+AW91/AW65</f>
        <v>0.364616172345475</v>
      </c>
      <c r="AX92" s="1183"/>
      <c r="AY92" s="1182">
        <f>+AY91/AY65</f>
        <v>0.38087730100472267</v>
      </c>
      <c r="AZ92" s="1179">
        <f>+AZ91/AZ65</f>
        <v>0.3510049533883291</v>
      </c>
      <c r="BA92" s="1179">
        <f>+BA91/BA65</f>
        <v>0.35419224867294896</v>
      </c>
      <c r="BB92" s="1179">
        <f>+BB91/BB65</f>
        <v>0.3601940928237079</v>
      </c>
      <c r="BC92" s="1180">
        <f>+BC91/BC65</f>
        <v>0.36121976113241844</v>
      </c>
      <c r="BD92" s="1183"/>
      <c r="BE92" s="1182">
        <f>+BE91/BE65</f>
        <v>0.31145800148667302</v>
      </c>
      <c r="BF92" s="1179">
        <f>+BF91/BF65</f>
        <v>0.36516634050880625</v>
      </c>
      <c r="BG92" s="1179">
        <f>+BG91/BG65</f>
        <v>0.36440677966101698</v>
      </c>
      <c r="BH92" s="1179">
        <f>+BH91/BH65</f>
        <v>0.36743486973947898</v>
      </c>
      <c r="BI92" s="1180">
        <f>+BI91/BI65</f>
        <v>0.35264837268666244</v>
      </c>
      <c r="BJ92" s="1183"/>
      <c r="BK92" s="1182">
        <f>+BK91/BK65</f>
        <v>0.41818181818181815</v>
      </c>
      <c r="BL92" s="1179">
        <f>+BL91/BL65</f>
        <v>0.38593844296922147</v>
      </c>
      <c r="BM92" s="1179">
        <f>+BM91/BM65</f>
        <v>0.37556919421896662</v>
      </c>
      <c r="BN92" s="1179">
        <f>+BN91/BN65</f>
        <v>0.35838680109990834</v>
      </c>
      <c r="BO92" s="1180">
        <f>+BO91/BO65</f>
        <v>0.38307399809876419</v>
      </c>
      <c r="BP92" s="1183"/>
      <c r="BQ92" s="1182">
        <f>+BQ91/BQ65</f>
        <v>0.42395999242559729</v>
      </c>
      <c r="BR92" s="1179">
        <f>+BR91/BR65</f>
        <v>0.40113321459836382</v>
      </c>
      <c r="BS92" s="1179">
        <f>+BS91/BS65</f>
        <v>0.37652001567102672</v>
      </c>
      <c r="BT92" s="1179">
        <f>+BT91/BT65</f>
        <v>0.36280138001726742</v>
      </c>
      <c r="BU92" s="1180">
        <f>+BU91/BU65</f>
        <v>0.38949849028495426</v>
      </c>
      <c r="BV92" s="1183"/>
      <c r="BW92" s="1182">
        <f>+BW91/BW65</f>
        <v>0.37438331345616938</v>
      </c>
      <c r="BX92" s="1179">
        <f>+BX91/BX65</f>
        <v>0.37643821407977041</v>
      </c>
      <c r="BY92" s="1179">
        <f>+BY91/BY65</f>
        <v>0.37495342822632244</v>
      </c>
      <c r="BZ92" s="1179">
        <f>+BZ91/BZ65</f>
        <v>0.37489090626921723</v>
      </c>
      <c r="CA92" s="1180">
        <f>+CA91/CA65</f>
        <v>0.37518211810614199</v>
      </c>
      <c r="CB92" s="1183"/>
      <c r="CC92" s="1182">
        <f>+CC91/CC65</f>
        <v>0.36814633535187569</v>
      </c>
      <c r="CD92" s="1179">
        <f>+CD91/CD65</f>
        <v>0.37029147246392891</v>
      </c>
      <c r="CE92" s="1179">
        <f>+CE91/CE65</f>
        <v>0.36896299753942713</v>
      </c>
      <c r="CF92" s="1179">
        <f>+CF91/CF65</f>
        <v>0.3693441628370816</v>
      </c>
      <c r="CG92" s="1180">
        <f>+CG91/CG65</f>
        <v>0.36921622053824177</v>
      </c>
      <c r="CH92" s="1181"/>
      <c r="CI92" s="1182">
        <f>+CI91/CI65</f>
        <v>0.3632871401859839</v>
      </c>
      <c r="CJ92" s="1179">
        <f>+CJ91/CJ65</f>
        <v>0.36637679002659906</v>
      </c>
      <c r="CK92" s="1179">
        <f>+CK91/CK65</f>
        <v>0.36492732413392198</v>
      </c>
      <c r="CL92" s="1179">
        <f>+CL91/CL65</f>
        <v>0.36510467231671734</v>
      </c>
      <c r="CM92" s="1180">
        <f>+CM91/CM65</f>
        <v>0.36497663075092662</v>
      </c>
    </row>
    <row r="93" spans="1:100" s="1104" customFormat="1" outlineLevel="1" x14ac:dyDescent="0.2">
      <c r="B93" s="1093" t="s">
        <v>626</v>
      </c>
      <c r="C93" s="1063">
        <f>+'Pro Forma P&amp;L'!C40</f>
        <v>223.13676359192351</v>
      </c>
      <c r="D93" s="1059">
        <f>+'Pro Forma P&amp;L'!D40</f>
        <v>227.31526229522305</v>
      </c>
      <c r="E93" s="1059">
        <f>+'Pro Forma P&amp;L'!E40</f>
        <v>226.65186535280588</v>
      </c>
      <c r="F93" s="1059">
        <f>+'Pro Forma P&amp;L'!F40</f>
        <v>236.54580099370139</v>
      </c>
      <c r="G93" s="645">
        <f>SUM(C93:F93)</f>
        <v>913.64969223365381</v>
      </c>
      <c r="H93" s="711"/>
      <c r="I93" s="1063">
        <f>+'Pro Forma P&amp;L'!I40</f>
        <v>250.92137730011837</v>
      </c>
      <c r="J93" s="1059">
        <f>+'Pro Forma P&amp;L'!J40</f>
        <v>270.22859778309686</v>
      </c>
      <c r="K93" s="1059">
        <f>+'Pro Forma P&amp;L'!K40</f>
        <v>248.45105096219768</v>
      </c>
      <c r="L93" s="1059">
        <f>+'Pro Forma P&amp;L'!L40</f>
        <v>236.89000757557497</v>
      </c>
      <c r="M93" s="645">
        <f>SUM(I93:L93)</f>
        <v>1006.4910336209878</v>
      </c>
      <c r="N93" s="711"/>
      <c r="O93" s="1063">
        <f>+'Pro Forma P&amp;L'!O40</f>
        <v>236.86211603480066</v>
      </c>
      <c r="P93" s="1059">
        <f>+'Pro Forma P&amp;L'!P40</f>
        <v>241.46378244023401</v>
      </c>
      <c r="Q93" s="1059">
        <f>+'Pro Forma P&amp;L'!Q40</f>
        <v>241.02829075775708</v>
      </c>
      <c r="R93" s="1059">
        <f>+'Pro Forma P&amp;L'!R40</f>
        <v>244.82351074242956</v>
      </c>
      <c r="S93" s="645">
        <f>SUM(O93:R93)</f>
        <v>964.17769997522134</v>
      </c>
      <c r="T93" s="711"/>
      <c r="U93" s="1063">
        <f>+'Pro Forma P&amp;L'!U40</f>
        <v>254.30391241672285</v>
      </c>
      <c r="V93" s="1059">
        <f>+'Pro Forma P&amp;L'!V40</f>
        <v>243.8035950131457</v>
      </c>
      <c r="W93" s="1059">
        <f>+'Pro Forma P&amp;L'!W40</f>
        <v>247.59210363921579</v>
      </c>
      <c r="X93" s="1059">
        <f>+'Pro Forma P&amp;L'!X40</f>
        <v>256.75639352499996</v>
      </c>
      <c r="Y93" s="645">
        <f>SUM(U93:X93)</f>
        <v>1002.4560045940843</v>
      </c>
      <c r="Z93" s="711"/>
      <c r="AA93" s="1063">
        <f>+'Pro Forma P&amp;L'!AA40</f>
        <v>278.51640125909933</v>
      </c>
      <c r="AB93" s="1059">
        <f>+'Pro Forma P&amp;L'!AB40</f>
        <v>286.04511240331738</v>
      </c>
      <c r="AC93" s="1059">
        <f>+'Pro Forma P&amp;L'!AC40</f>
        <v>293.83688267714223</v>
      </c>
      <c r="AD93" s="1059">
        <f>+'Pro Forma P&amp;L'!AD40</f>
        <v>356.50892511323775</v>
      </c>
      <c r="AE93" s="645">
        <f>SUM(AA93:AD93)</f>
        <v>1214.9073214527966</v>
      </c>
      <c r="AF93" s="711"/>
      <c r="AG93" s="1063">
        <f>+'Pro Forma P&amp;L'!AG40</f>
        <v>364.78702691353811</v>
      </c>
      <c r="AH93" s="1059">
        <f>+'Pro Forma P&amp;L'!AH40</f>
        <v>362.76684269285261</v>
      </c>
      <c r="AI93" s="1059">
        <f>+'Pro Forma P&amp;L'!AI40</f>
        <v>341.68105199540634</v>
      </c>
      <c r="AJ93" s="1059">
        <f>+'Pro Forma P&amp;L'!AJ40</f>
        <v>367.57538350858863</v>
      </c>
      <c r="AK93" s="645">
        <f>SUM(AG93:AJ93)</f>
        <v>1436.8103051103856</v>
      </c>
      <c r="AL93" s="711"/>
      <c r="AM93" s="1063">
        <f>+'Pro Forma P&amp;L'!AM40</f>
        <v>376.24776002877877</v>
      </c>
      <c r="AN93" s="1059">
        <f>+'Pro Forma P&amp;L'!AN40</f>
        <v>369.45094262479756</v>
      </c>
      <c r="AO93" s="1059">
        <f>+'Pro Forma P&amp;L'!AO40</f>
        <v>351.87190885545454</v>
      </c>
      <c r="AP93" s="1059">
        <f>+'Pro Forma P&amp;L'!AP40</f>
        <v>376.9430594837969</v>
      </c>
      <c r="AQ93" s="645">
        <f>SUM(AM93:AP93)</f>
        <v>1474.5136709928279</v>
      </c>
      <c r="AR93" s="711"/>
      <c r="AS93" s="1063">
        <f>+'Pro Forma P&amp;L'!AS40</f>
        <v>372.50722999043842</v>
      </c>
      <c r="AT93" s="1059">
        <f>+'Pro Forma P&amp;L'!AT40</f>
        <v>384.58111774201188</v>
      </c>
      <c r="AU93" s="1059">
        <f>+'Pro Forma P&amp;L'!AU40</f>
        <v>361.92033529539276</v>
      </c>
      <c r="AV93" s="1059">
        <f>+'Pro Forma P&amp;L'!AV40</f>
        <v>369.83999521619609</v>
      </c>
      <c r="AW93" s="645">
        <f>SUM(AS93:AV93)</f>
        <v>1488.8486782440391</v>
      </c>
      <c r="AX93" s="716"/>
      <c r="AY93" s="1063">
        <f>+'Pro Forma P&amp;L'!AY40</f>
        <v>347.76877986028512</v>
      </c>
      <c r="AZ93" s="1059">
        <f>+'Pro Forma P&amp;L'!AZ40</f>
        <v>352.20117826947654</v>
      </c>
      <c r="BA93" s="1059">
        <f>+'Pro Forma P&amp;L'!BA40</f>
        <v>337.65147065992227</v>
      </c>
      <c r="BB93" s="1059">
        <f>+'Pro Forma P&amp;L'!BB40</f>
        <v>351.11720168455048</v>
      </c>
      <c r="BC93" s="645">
        <f>SUM(AY93:BB93)</f>
        <v>1388.7386304742345</v>
      </c>
      <c r="BD93" s="716"/>
      <c r="BE93" s="1063">
        <f>+'P&amp;L'!BE13</f>
        <v>293.3</v>
      </c>
      <c r="BF93" s="1059">
        <f>+'P&amp;L'!BF13</f>
        <v>373.2</v>
      </c>
      <c r="BG93" s="1059">
        <f>+'P&amp;L'!BG13</f>
        <v>348.3</v>
      </c>
      <c r="BH93" s="1059">
        <f>+'P&amp;L'!BH13</f>
        <v>366.7</v>
      </c>
      <c r="BI93" s="645">
        <f>SUM(BE93:BH93)</f>
        <v>1381.5</v>
      </c>
      <c r="BJ93" s="716"/>
      <c r="BK93" s="1063">
        <f>+'P&amp;L'!BK13</f>
        <v>377.2</v>
      </c>
      <c r="BL93" s="1059">
        <f>+'P&amp;L'!BL13</f>
        <v>383.7</v>
      </c>
      <c r="BM93" s="1059">
        <f>+'P&amp;L'!BM13</f>
        <v>379.40000000000003</v>
      </c>
      <c r="BN93" s="1059">
        <f>+'P&amp;L'!BN13</f>
        <v>391</v>
      </c>
      <c r="BO93" s="645">
        <f>SUM(BK93:BN93)</f>
        <v>1531.3</v>
      </c>
      <c r="BP93" s="716"/>
      <c r="BQ93" s="969">
        <f>+(BQ65-BQ84)*BQ94</f>
        <v>414.65990000000005</v>
      </c>
      <c r="BR93" s="178">
        <f>+(BR65-BR84)*BR94</f>
        <v>437.35187999999999</v>
      </c>
      <c r="BS93" s="178">
        <f>+(BS65-BS84)*BS94</f>
        <v>420.08329000000009</v>
      </c>
      <c r="BT93" s="178">
        <f>+(BT65-BT84)*BT94</f>
        <v>434.77091999999999</v>
      </c>
      <c r="BU93" s="645">
        <f>SUM(BQ93:BT93)</f>
        <v>1706.86599</v>
      </c>
      <c r="BV93" s="716"/>
      <c r="BW93" s="969">
        <f>+(BW65-BW84)*BW94</f>
        <v>390.60103860000004</v>
      </c>
      <c r="BX93" s="178">
        <f>+(BX65-BX84)*BX94</f>
        <v>440.20587984000008</v>
      </c>
      <c r="BY93" s="178">
        <f>+(BY65-BY84)*BY94</f>
        <v>445.51948784000001</v>
      </c>
      <c r="BZ93" s="178">
        <f>+(BZ65-BZ84)*BZ94</f>
        <v>473.63885360000006</v>
      </c>
      <c r="CA93" s="645">
        <f>SUM(BW93:BZ93)</f>
        <v>1749.9652598800003</v>
      </c>
      <c r="CB93" s="716"/>
      <c r="CC93" s="969">
        <f>+(CC65-CC84)*CC94</f>
        <v>401.96768435975002</v>
      </c>
      <c r="CD93" s="178">
        <f>+(CD65-CD84)*CD94</f>
        <v>448.51884948455</v>
      </c>
      <c r="CE93" s="178">
        <f>+(CE65-CE84)*CE94</f>
        <v>455.21986464119999</v>
      </c>
      <c r="CF93" s="178">
        <f>+(CF65-CF84)*CF94</f>
        <v>487.39775804830003</v>
      </c>
      <c r="CG93" s="645">
        <f>SUM(CC93:CF93)</f>
        <v>1793.1041565338001</v>
      </c>
      <c r="CH93" s="36"/>
      <c r="CI93" s="969">
        <f>+(CI65-CI84)*CI94</f>
        <v>415.56003144609792</v>
      </c>
      <c r="CJ93" s="178">
        <f>+(CJ65-CJ84)*CJ94</f>
        <v>471.092357819894</v>
      </c>
      <c r="CK93" s="178">
        <f>+(CK65-CK84)*CK94</f>
        <v>475.90046083505405</v>
      </c>
      <c r="CL93" s="178">
        <f>+(CL65-CL84)*CL94</f>
        <v>503.82837001479999</v>
      </c>
      <c r="CM93" s="645">
        <f>SUM(CI93:CL93)</f>
        <v>1866.381220115846</v>
      </c>
    </row>
    <row r="94" spans="1:100" s="78" customFormat="1" ht="11.25" customHeight="1" outlineLevel="1" x14ac:dyDescent="0.2">
      <c r="A94" s="27"/>
      <c r="B94" s="934" t="s">
        <v>624</v>
      </c>
      <c r="C94" s="397">
        <f>+C93/(C123+C113)</f>
        <v>0.3585374516944107</v>
      </c>
      <c r="D94" s="397">
        <f>+D93/(D123+D113)</f>
        <v>0.34251270239146958</v>
      </c>
      <c r="E94" s="397">
        <f>+E93/(E123+E113)</f>
        <v>0.34067326665809439</v>
      </c>
      <c r="F94" s="397">
        <f>+F93/(F123+F113)</f>
        <v>0.31931409417814061</v>
      </c>
      <c r="G94" s="85">
        <f>+G93/(G123+G113)</f>
        <v>0.33937907028465997</v>
      </c>
      <c r="H94" s="952"/>
      <c r="I94" s="1062">
        <f>+I93/(I123+I113)</f>
        <v>0.33481596677245273</v>
      </c>
      <c r="J94" s="397">
        <f>+J93/(J123+J113)</f>
        <v>0.3460382366171938</v>
      </c>
      <c r="K94" s="397">
        <f>+K93/(K123+K113)</f>
        <v>0.35004598307244722</v>
      </c>
      <c r="L94" s="397">
        <f>+L93/(L123+L113)</f>
        <v>0.34477003682944651</v>
      </c>
      <c r="M94" s="85">
        <f>+M93/(M123+M113)</f>
        <v>0.34383917578684081</v>
      </c>
      <c r="N94" s="22"/>
      <c r="O94" s="1062">
        <f>+O93/(O123+O113)</f>
        <v>0.3529859677298367</v>
      </c>
      <c r="P94" s="397">
        <f>+P93/(P123+P113)</f>
        <v>0.32960191995250138</v>
      </c>
      <c r="Q94" s="397">
        <f>+Q93/(Q123+Q113)</f>
        <v>0.33542951105786006</v>
      </c>
      <c r="R94" s="397">
        <f>+R93/(R123+R113)</f>
        <v>0.31293470335618845</v>
      </c>
      <c r="S94" s="85">
        <f>+S93/(S123+S113)</f>
        <v>0.33195659565280233</v>
      </c>
      <c r="T94" s="22"/>
      <c r="U94" s="1062">
        <f>+U93/(U123+U113)</f>
        <v>0.3458667949001441</v>
      </c>
      <c r="V94" s="397">
        <f>+V93/(V123+V113)</f>
        <v>0.32651999028894912</v>
      </c>
      <c r="W94" s="397">
        <f>+W93/(W123+W113)</f>
        <v>0.34201972628261812</v>
      </c>
      <c r="X94" s="397">
        <f>+X93/(X123+X113)</f>
        <v>0.31977864748804619</v>
      </c>
      <c r="Y94" s="85">
        <f>+Y93/(Y123+Y113)</f>
        <v>0.33317810344610455</v>
      </c>
      <c r="Z94" s="22"/>
      <c r="AA94" s="1062">
        <f>+AA93/(AA123+AA113)</f>
        <v>0.35508684376724281</v>
      </c>
      <c r="AB94" s="397">
        <f>+AB93/(AB123+AB113)</f>
        <v>0.33527286616141638</v>
      </c>
      <c r="AC94" s="397">
        <f>+AC93/(AC123+AC113)</f>
        <v>0.35079596465020452</v>
      </c>
      <c r="AD94" s="397">
        <f>+AD93/(AD123+AD113)</f>
        <v>0.35829309781347024</v>
      </c>
      <c r="AE94" s="85">
        <f>+AE93/(AE123+AE113)</f>
        <v>0.3500990389878908</v>
      </c>
      <c r="AF94" s="954"/>
      <c r="AG94" s="1062">
        <f>+AG93/(AG123+AG113)</f>
        <v>0.38511579826499959</v>
      </c>
      <c r="AH94" s="397">
        <f>+AH93/(AH123+AH113)</f>
        <v>0.36136224943937945</v>
      </c>
      <c r="AI94" s="397">
        <f>+AI93/(AI123+AI113)</f>
        <v>0.36270394082995433</v>
      </c>
      <c r="AJ94" s="397">
        <f>+AJ93/(AJ123+AJ113)</f>
        <v>0.35877253409091719</v>
      </c>
      <c r="AK94" s="85"/>
      <c r="AL94" s="954"/>
      <c r="AM94" s="1062">
        <f>+AM93/(AM123+AM113)</f>
        <v>0.37688977437051308</v>
      </c>
      <c r="AN94" s="397">
        <f>+AN93/(AN123+AN113)</f>
        <v>0.35422510980905791</v>
      </c>
      <c r="AO94" s="397">
        <f>+AO93/(AO123+AO113)</f>
        <v>0.35850460041832305</v>
      </c>
      <c r="AP94" s="397">
        <f>+AP93/(AP123+AP113)</f>
        <v>0.35858877871713946</v>
      </c>
      <c r="AQ94" s="85">
        <f>+AQ93/(AQ123+AQ113)</f>
        <v>0.36193587894682944</v>
      </c>
      <c r="AR94" s="954"/>
      <c r="AS94" s="1062">
        <f>+AS93/(AS123+AS113)</f>
        <v>0.368309167711734</v>
      </c>
      <c r="AT94" s="397">
        <f>+AT93/(AT123+AT113)</f>
        <v>0.36170728834957572</v>
      </c>
      <c r="AU94" s="397">
        <f>+AU93/(AU123+AU113)</f>
        <v>0.36286022763853348</v>
      </c>
      <c r="AV94" s="397">
        <f>+AV93/(AV123+AV113)</f>
        <v>0.36571294037488039</v>
      </c>
      <c r="AW94" s="85">
        <f>+AW93/(AW123+AW113)</f>
        <v>0.364616172345475</v>
      </c>
      <c r="AX94" s="954"/>
      <c r="AY94" s="1062">
        <f>+AY93/(AY123+AY113)</f>
        <v>0.38087730100472267</v>
      </c>
      <c r="AZ94" s="397">
        <f>+AZ93/(AZ123+AZ113)</f>
        <v>0.3510049533883291</v>
      </c>
      <c r="BA94" s="397">
        <f>+BA93/(BA123+BA113)</f>
        <v>0.35419224867294896</v>
      </c>
      <c r="BB94" s="397">
        <f>+BB93/(BB123+BB113)</f>
        <v>0.3601940928237079</v>
      </c>
      <c r="BC94" s="85">
        <f>+BC93/(BC123+BC113)</f>
        <v>0.36121976113241844</v>
      </c>
      <c r="BD94" s="954"/>
      <c r="BE94" s="1062">
        <f>+BE93/BE$65</f>
        <v>0.31145800148667302</v>
      </c>
      <c r="BF94" s="397">
        <f>+BF93/BF$65</f>
        <v>0.36516634050880625</v>
      </c>
      <c r="BG94" s="397">
        <f>+BG93/BG$65</f>
        <v>0.36440677966101698</v>
      </c>
      <c r="BH94" s="397">
        <f>+BH93/BH$65</f>
        <v>0.36743486973947898</v>
      </c>
      <c r="BI94" s="85">
        <f>+BI93/(BI65-BI84)</f>
        <v>0.35445798588839</v>
      </c>
      <c r="BJ94" s="954"/>
      <c r="BK94" s="1062">
        <f>+BK93/BK$65</f>
        <v>0.41818181818181815</v>
      </c>
      <c r="BL94" s="397">
        <f>+BL93/BL$65</f>
        <v>0.38593844296922147</v>
      </c>
      <c r="BM94" s="397">
        <f>+BM93/BM$65</f>
        <v>0.37556919421896662</v>
      </c>
      <c r="BN94" s="397">
        <f>+BN93/BN$65</f>
        <v>0.35838680109990834</v>
      </c>
      <c r="BO94" s="85">
        <f>+BO93/(BO65-BO84)</f>
        <v>0.38743548223863977</v>
      </c>
      <c r="BP94" s="954"/>
      <c r="BQ94" s="1169">
        <v>0.44500000000000001</v>
      </c>
      <c r="BR94" s="1170">
        <v>0.42</v>
      </c>
      <c r="BS94" s="1170">
        <v>0.39500000000000002</v>
      </c>
      <c r="BT94" s="1170">
        <v>0.38</v>
      </c>
      <c r="BU94" s="85">
        <f>+BU93/BU65</f>
        <v>0.40107101417604801</v>
      </c>
      <c r="BV94" s="954"/>
      <c r="BW94" s="1169">
        <v>0.41</v>
      </c>
      <c r="BX94" s="1170">
        <f>+BW94-0.002</f>
        <v>0.40799999999999997</v>
      </c>
      <c r="BY94" s="1170">
        <f>+BX94-0.002</f>
        <v>0.40599999999999997</v>
      </c>
      <c r="BZ94" s="1170">
        <f>+BY94-0.002</f>
        <v>0.40399999999999997</v>
      </c>
      <c r="CA94" s="85">
        <f t="shared" ref="CA94" si="174">+CA93/CA65</f>
        <v>0.3958003321387103</v>
      </c>
      <c r="CB94" s="954"/>
      <c r="CC94" s="1169">
        <f>+BW94-0.0025</f>
        <v>0.40749999999999997</v>
      </c>
      <c r="CD94" s="1170">
        <f>+BX94-0.0025</f>
        <v>0.40549999999999997</v>
      </c>
      <c r="CE94" s="1170">
        <f>+BY94-0.0025</f>
        <v>0.40349999999999997</v>
      </c>
      <c r="CF94" s="1170">
        <f>+BZ94-0.0025</f>
        <v>0.40149999999999997</v>
      </c>
      <c r="CG94" s="85">
        <f t="shared" ref="CG94:CM94" si="175">+CG93/CG65</f>
        <v>0.39368800892539768</v>
      </c>
      <c r="CH94" s="954"/>
      <c r="CI94" s="1169">
        <f t="shared" ref="CI94:CL94" si="176">+CC94-0.0015</f>
        <v>0.40599999999999997</v>
      </c>
      <c r="CJ94" s="1170">
        <f t="shared" si="176"/>
        <v>0.40399999999999997</v>
      </c>
      <c r="CK94" s="1170">
        <f t="shared" si="176"/>
        <v>0.40199999999999997</v>
      </c>
      <c r="CL94" s="1170">
        <f t="shared" si="176"/>
        <v>0.39999999999999997</v>
      </c>
      <c r="CM94" s="85">
        <f t="shared" si="175"/>
        <v>0.39267270617412059</v>
      </c>
      <c r="CQ94" s="1104"/>
      <c r="CR94" s="1104"/>
      <c r="CS94" s="1104"/>
      <c r="CT94" s="1104"/>
      <c r="CU94" s="1104"/>
      <c r="CV94" s="1104"/>
    </row>
    <row r="95" spans="1:100" s="78" customFormat="1" ht="11.25" customHeight="1" outlineLevel="1" x14ac:dyDescent="0.2">
      <c r="A95" s="27"/>
      <c r="B95" s="1093" t="s">
        <v>628</v>
      </c>
      <c r="C95" s="773">
        <v>0</v>
      </c>
      <c r="D95" s="773">
        <v>0</v>
      </c>
      <c r="E95" s="773">
        <v>0</v>
      </c>
      <c r="F95" s="773">
        <v>0</v>
      </c>
      <c r="G95" s="645">
        <f>SUM(C95:F95)</f>
        <v>0</v>
      </c>
      <c r="H95" s="711"/>
      <c r="I95" s="1171">
        <v>0</v>
      </c>
      <c r="J95" s="773">
        <v>0</v>
      </c>
      <c r="K95" s="773">
        <v>0</v>
      </c>
      <c r="L95" s="773">
        <v>0</v>
      </c>
      <c r="M95" s="645">
        <f>SUM(I95:L95)</f>
        <v>0</v>
      </c>
      <c r="N95" s="711"/>
      <c r="O95" s="1171">
        <v>0</v>
      </c>
      <c r="P95" s="773">
        <v>0</v>
      </c>
      <c r="Q95" s="773">
        <v>0</v>
      </c>
      <c r="R95" s="773">
        <v>0</v>
      </c>
      <c r="S95" s="645">
        <f>SUM(O95:R95)</f>
        <v>0</v>
      </c>
      <c r="T95" s="711"/>
      <c r="U95" s="1171">
        <v>0</v>
      </c>
      <c r="V95" s="773">
        <v>0</v>
      </c>
      <c r="W95" s="773">
        <v>0</v>
      </c>
      <c r="X95" s="773">
        <v>0</v>
      </c>
      <c r="Y95" s="645">
        <f>SUM(U95:X95)</f>
        <v>0</v>
      </c>
      <c r="Z95" s="711"/>
      <c r="AA95" s="1171">
        <v>0</v>
      </c>
      <c r="AB95" s="773">
        <v>0</v>
      </c>
      <c r="AC95" s="773">
        <v>0</v>
      </c>
      <c r="AD95" s="773">
        <v>0</v>
      </c>
      <c r="AE95" s="645">
        <f>SUM(AA95:AD95)</f>
        <v>0</v>
      </c>
      <c r="AF95" s="711"/>
      <c r="AG95" s="1171">
        <v>0</v>
      </c>
      <c r="AH95" s="773">
        <v>0</v>
      </c>
      <c r="AI95" s="773">
        <v>0</v>
      </c>
      <c r="AJ95" s="773">
        <v>0</v>
      </c>
      <c r="AK95" s="645">
        <f>SUM(AG95:AJ95)</f>
        <v>0</v>
      </c>
      <c r="AL95" s="711"/>
      <c r="AM95" s="1171">
        <v>0</v>
      </c>
      <c r="AN95" s="773">
        <v>0</v>
      </c>
      <c r="AO95" s="773">
        <v>0</v>
      </c>
      <c r="AP95" s="773">
        <v>0</v>
      </c>
      <c r="AQ95" s="645">
        <f>SUM(AM95:AP95)</f>
        <v>0</v>
      </c>
      <c r="AR95" s="711"/>
      <c r="AS95" s="1171">
        <v>0</v>
      </c>
      <c r="AT95" s="773">
        <v>0</v>
      </c>
      <c r="AU95" s="773">
        <v>0</v>
      </c>
      <c r="AV95" s="773">
        <v>0</v>
      </c>
      <c r="AW95" s="645">
        <f>SUM(AS95:AV95)</f>
        <v>0</v>
      </c>
      <c r="AX95" s="24"/>
      <c r="AY95" s="1171">
        <v>0</v>
      </c>
      <c r="AZ95" s="773">
        <v>0</v>
      </c>
      <c r="BA95" s="773">
        <v>0</v>
      </c>
      <c r="BB95" s="773">
        <v>0</v>
      </c>
      <c r="BC95" s="645">
        <f>SUM(AY95:BB95)</f>
        <v>0</v>
      </c>
      <c r="BD95" s="954"/>
      <c r="BE95" s="969">
        <f>+BE96*BE84</f>
        <v>0</v>
      </c>
      <c r="BF95" s="178">
        <f>+BF96*BF84</f>
        <v>2.4344422700587085</v>
      </c>
      <c r="BG95" s="178">
        <f>+BG96*BG84</f>
        <v>2.4293785310734468</v>
      </c>
      <c r="BH95" s="178">
        <f>+BH96*BH84</f>
        <v>2.4495657982631931</v>
      </c>
      <c r="BI95" s="645">
        <f>SUM(BE95:BH95)</f>
        <v>7.313386599395348</v>
      </c>
      <c r="BJ95" s="954"/>
      <c r="BK95" s="969">
        <f>+BK96*BK84</f>
        <v>4.7045454545454541</v>
      </c>
      <c r="BL95" s="178">
        <f>+BL96*BL84</f>
        <v>4.3418074834037412</v>
      </c>
      <c r="BM95" s="178">
        <f>+BM96*BM84</f>
        <v>4.2251534349633744</v>
      </c>
      <c r="BN95" s="178">
        <f>+BN96*BN84</f>
        <v>4.0318515123739687</v>
      </c>
      <c r="BO95" s="645">
        <f>SUM(BK95:BN95)</f>
        <v>17.303357885286538</v>
      </c>
      <c r="BP95" s="954"/>
      <c r="BQ95" s="969">
        <f>+BQ96*BQ84</f>
        <v>8.34375</v>
      </c>
      <c r="BR95" s="178">
        <f>+BR96*BR84</f>
        <v>7.875</v>
      </c>
      <c r="BS95" s="178">
        <f>+BS96*BS84</f>
        <v>7.40625</v>
      </c>
      <c r="BT95" s="178">
        <f>+BT96*BT84</f>
        <v>7.125</v>
      </c>
      <c r="BU95" s="645">
        <f>SUM(BQ95:BT95)</f>
        <v>30.75</v>
      </c>
      <c r="BV95" s="954"/>
      <c r="BW95" s="969">
        <f>+BW96*BW84</f>
        <v>12.299999999999999</v>
      </c>
      <c r="BX95" s="178">
        <f>+BX96*BX84</f>
        <v>12.239999999999998</v>
      </c>
      <c r="BY95" s="178">
        <f>+BY96*BY84</f>
        <v>12.18</v>
      </c>
      <c r="BZ95" s="178">
        <f>+BZ96*BZ84</f>
        <v>12.12</v>
      </c>
      <c r="CA95" s="645">
        <f>SUM(BW95:BZ95)</f>
        <v>48.839999999999996</v>
      </c>
      <c r="CB95" s="954"/>
      <c r="CC95" s="969">
        <f>+CC96*CC84</f>
        <v>12.225</v>
      </c>
      <c r="CD95" s="178">
        <f>+CD96*CD84</f>
        <v>12.164999999999999</v>
      </c>
      <c r="CE95" s="178">
        <f>+CE96*CE84</f>
        <v>12.104999999999999</v>
      </c>
      <c r="CF95" s="178">
        <f>+CF96*CF84</f>
        <v>12.044999999999998</v>
      </c>
      <c r="CG95" s="645">
        <f>SUM(CC95:CF95)</f>
        <v>48.539999999999992</v>
      </c>
      <c r="CH95" s="954"/>
      <c r="CI95" s="969">
        <f>+CI96*CI84</f>
        <v>12.18</v>
      </c>
      <c r="CJ95" s="178">
        <f>+CJ96*CJ84</f>
        <v>12.12</v>
      </c>
      <c r="CK95" s="178">
        <f>+CK96*CK84</f>
        <v>12.059999999999999</v>
      </c>
      <c r="CL95" s="178">
        <f>+CL96*CL84</f>
        <v>11.999999999999998</v>
      </c>
      <c r="CM95" s="645">
        <f>SUM(CI95:CL95)</f>
        <v>48.36</v>
      </c>
      <c r="CQ95" s="1104"/>
      <c r="CR95" s="1104"/>
      <c r="CS95" s="1104"/>
      <c r="CT95" s="1104"/>
      <c r="CU95" s="1104"/>
      <c r="CV95" s="1104"/>
    </row>
    <row r="96" spans="1:100" s="78" customFormat="1" ht="11.25" customHeight="1" outlineLevel="1" x14ac:dyDescent="0.2">
      <c r="A96" s="27"/>
      <c r="B96" s="934" t="s">
        <v>377</v>
      </c>
      <c r="C96" s="397">
        <f>+C95/(C121+C111)</f>
        <v>0</v>
      </c>
      <c r="D96" s="397">
        <f>+D95/(D121+D111)</f>
        <v>0</v>
      </c>
      <c r="E96" s="397">
        <f>+E95/(E121+E111)</f>
        <v>0</v>
      </c>
      <c r="F96" s="397">
        <f>+F95/(F121+F111)</f>
        <v>0</v>
      </c>
      <c r="G96" s="85">
        <f>+G95/(G121+G111)</f>
        <v>0</v>
      </c>
      <c r="H96" s="1104"/>
      <c r="I96" s="1062">
        <f>+I95/(I121+I111)</f>
        <v>0</v>
      </c>
      <c r="J96" s="397">
        <f>+J95/(J121+J111)</f>
        <v>0</v>
      </c>
      <c r="K96" s="397">
        <f>+K95/(K121+K111)</f>
        <v>0</v>
      </c>
      <c r="L96" s="397">
        <f>+L95/(L121+L111)</f>
        <v>0</v>
      </c>
      <c r="M96" s="85">
        <f>+M95/(M121+M111)</f>
        <v>0</v>
      </c>
      <c r="N96" s="1104"/>
      <c r="O96" s="1062">
        <f>+O95/(O121+O111)</f>
        <v>0</v>
      </c>
      <c r="P96" s="397">
        <f>+P95/(P121+P111)</f>
        <v>0</v>
      </c>
      <c r="Q96" s="397">
        <f>+Q95/(Q121+Q111)</f>
        <v>0</v>
      </c>
      <c r="R96" s="397">
        <f>+R95/(R121+R111)</f>
        <v>0</v>
      </c>
      <c r="S96" s="85">
        <f>+S95/(S121+S111)</f>
        <v>0</v>
      </c>
      <c r="T96" s="1104"/>
      <c r="U96" s="1062">
        <f>+U95/(U121+U111)</f>
        <v>0</v>
      </c>
      <c r="V96" s="397">
        <f>+V95/(V121+V111)</f>
        <v>0</v>
      </c>
      <c r="W96" s="397">
        <f>+W95/(W121+W111)</f>
        <v>0</v>
      </c>
      <c r="X96" s="397">
        <f>+X95/(X121+X111)</f>
        <v>0</v>
      </c>
      <c r="Y96" s="85">
        <f>+Y95/(Y121+Y111)</f>
        <v>0</v>
      </c>
      <c r="Z96" s="1104"/>
      <c r="AA96" s="1062">
        <f>+AA95/(AA121+AA111)</f>
        <v>0</v>
      </c>
      <c r="AB96" s="397">
        <f>+AB95/(AB121+AB111)</f>
        <v>0</v>
      </c>
      <c r="AC96" s="397">
        <f>+AC95/(AC121+AC111)</f>
        <v>0</v>
      </c>
      <c r="AD96" s="397">
        <f>+AD95/(AD121+AD111)</f>
        <v>0</v>
      </c>
      <c r="AE96" s="85">
        <f>+AE95/(AE121+AE111)</f>
        <v>0</v>
      </c>
      <c r="AF96" s="1104"/>
      <c r="AG96" s="1062">
        <f>+AG95/(AG121+AG111)</f>
        <v>0</v>
      </c>
      <c r="AH96" s="397">
        <f>+AH95/(AH121+AH111)</f>
        <v>0</v>
      </c>
      <c r="AI96" s="397">
        <f>+AI95/(AI121+AI111)</f>
        <v>0</v>
      </c>
      <c r="AJ96" s="397">
        <f>+AJ95/(AJ121+AJ111)</f>
        <v>0</v>
      </c>
      <c r="AK96" s="85">
        <f>+AK95/(AK121+AK111)</f>
        <v>0</v>
      </c>
      <c r="AL96" s="1104"/>
      <c r="AM96" s="1062">
        <f>+AM95/(AM121+AM111)</f>
        <v>0</v>
      </c>
      <c r="AN96" s="397">
        <f>+AN95/(AN121+AN111)</f>
        <v>0</v>
      </c>
      <c r="AO96" s="397">
        <f>+AO95/(AO121+AO111)</f>
        <v>0</v>
      </c>
      <c r="AP96" s="397">
        <f>+AP95/(AP121+AP111)</f>
        <v>0</v>
      </c>
      <c r="AQ96" s="85">
        <f>+AQ95/(AQ121+AQ111)</f>
        <v>0</v>
      </c>
      <c r="AR96" s="1104"/>
      <c r="AS96" s="1062">
        <f>+AS95/(AS121+AS111)</f>
        <v>0</v>
      </c>
      <c r="AT96" s="397">
        <f>+AT95/(AT121+AT111)</f>
        <v>0</v>
      </c>
      <c r="AU96" s="397">
        <f>+AU95/(AU121+AU111)</f>
        <v>0</v>
      </c>
      <c r="AV96" s="397">
        <f>+AV95/(AV121+AV111)</f>
        <v>0</v>
      </c>
      <c r="AW96" s="85">
        <f>+AW95/(AW121+AW111)</f>
        <v>0</v>
      </c>
      <c r="AX96" s="716"/>
      <c r="AY96" s="1062">
        <f>+AY95/(AY121+AY111)</f>
        <v>0</v>
      </c>
      <c r="AZ96" s="397">
        <f>+AZ95/(AZ121+AZ111)</f>
        <v>0</v>
      </c>
      <c r="BA96" s="397">
        <f>+BA95/(BA121+BA111)</f>
        <v>0</v>
      </c>
      <c r="BB96" s="397">
        <f>+BB95/(BB121+BB111)</f>
        <v>0</v>
      </c>
      <c r="BC96" s="85">
        <f>+BC95/(BC121+BC111)</f>
        <v>0</v>
      </c>
      <c r="BD96" s="716"/>
      <c r="BE96" s="1062">
        <f>+BE94</f>
        <v>0.31145800148667302</v>
      </c>
      <c r="BF96" s="397">
        <f>+BF94</f>
        <v>0.36516634050880625</v>
      </c>
      <c r="BG96" s="397">
        <f>+BG94</f>
        <v>0.36440677966101698</v>
      </c>
      <c r="BH96" s="397">
        <f>+BH94</f>
        <v>0.36743486973947898</v>
      </c>
      <c r="BI96" s="85">
        <f>+BI95/BI84</f>
        <v>0.36566932996976742</v>
      </c>
      <c r="BJ96" s="716"/>
      <c r="BK96" s="1062">
        <f>+BK94</f>
        <v>0.41818181818181815</v>
      </c>
      <c r="BL96" s="397">
        <f>+BL94</f>
        <v>0.38593844296922147</v>
      </c>
      <c r="BM96" s="397">
        <f>+BM94</f>
        <v>0.37556919421896662</v>
      </c>
      <c r="BN96" s="397">
        <f>+BN94</f>
        <v>0.35838680109990834</v>
      </c>
      <c r="BO96" s="85">
        <f>+BO95/BO84</f>
        <v>0.3845190641174786</v>
      </c>
      <c r="BP96" s="716"/>
      <c r="BQ96" s="1169">
        <f>+BQ94</f>
        <v>0.44500000000000001</v>
      </c>
      <c r="BR96" s="1170">
        <f>+BR94</f>
        <v>0.42</v>
      </c>
      <c r="BS96" s="1170">
        <f>+BS94</f>
        <v>0.39500000000000002</v>
      </c>
      <c r="BT96" s="1170">
        <f>+BT94</f>
        <v>0.38</v>
      </c>
      <c r="BU96" s="85">
        <f>+BU95/BU84</f>
        <v>0.41</v>
      </c>
      <c r="BV96" s="716"/>
      <c r="BW96" s="1169">
        <f>+BW94</f>
        <v>0.41</v>
      </c>
      <c r="BX96" s="1170">
        <f>+BX94</f>
        <v>0.40799999999999997</v>
      </c>
      <c r="BY96" s="1170">
        <f>+BY94</f>
        <v>0.40599999999999997</v>
      </c>
      <c r="BZ96" s="1170">
        <f>+BZ94</f>
        <v>0.40399999999999997</v>
      </c>
      <c r="CA96" s="85">
        <f>+CA95/CA84</f>
        <v>0.40699999999999997</v>
      </c>
      <c r="CB96" s="716"/>
      <c r="CC96" s="1169">
        <f>+CC94</f>
        <v>0.40749999999999997</v>
      </c>
      <c r="CD96" s="1170">
        <f>+CD94</f>
        <v>0.40549999999999997</v>
      </c>
      <c r="CE96" s="1170">
        <f>+CE94</f>
        <v>0.40349999999999997</v>
      </c>
      <c r="CF96" s="1170">
        <f>+CF94</f>
        <v>0.40149999999999997</v>
      </c>
      <c r="CG96" s="85">
        <f>+CG95/CG84</f>
        <v>0.40449999999999992</v>
      </c>
      <c r="CH96" s="716"/>
      <c r="CI96" s="1169">
        <f>+CI94</f>
        <v>0.40599999999999997</v>
      </c>
      <c r="CJ96" s="1170">
        <f>+CJ94</f>
        <v>0.40399999999999997</v>
      </c>
      <c r="CK96" s="1170">
        <f>+CK94</f>
        <v>0.40199999999999997</v>
      </c>
      <c r="CL96" s="1170">
        <f>+CL94</f>
        <v>0.39999999999999997</v>
      </c>
      <c r="CM96" s="85">
        <f>+CM95/CM84</f>
        <v>0.40299999999999997</v>
      </c>
      <c r="CQ96" s="1104"/>
      <c r="CR96" s="1104"/>
      <c r="CS96" s="1104"/>
      <c r="CT96" s="1104"/>
      <c r="CU96" s="1104"/>
      <c r="CV96" s="1104"/>
    </row>
    <row r="97" spans="1:100" s="1104" customFormat="1" outlineLevel="1" x14ac:dyDescent="0.2">
      <c r="A97"/>
      <c r="B97" s="1093" t="s">
        <v>625</v>
      </c>
      <c r="C97" s="773">
        <v>0</v>
      </c>
      <c r="D97" s="773">
        <v>0</v>
      </c>
      <c r="E97" s="773">
        <v>0</v>
      </c>
      <c r="F97" s="773">
        <v>0</v>
      </c>
      <c r="G97" s="645">
        <f>SUM(C97:F97)</f>
        <v>0</v>
      </c>
      <c r="H97" s="711"/>
      <c r="I97" s="1171">
        <v>0</v>
      </c>
      <c r="J97" s="773">
        <v>0</v>
      </c>
      <c r="K97" s="773">
        <v>0</v>
      </c>
      <c r="L97" s="773">
        <v>0</v>
      </c>
      <c r="M97" s="645">
        <f>SUM(I97:L97)</f>
        <v>0</v>
      </c>
      <c r="N97" s="711"/>
      <c r="O97" s="1171">
        <v>0</v>
      </c>
      <c r="P97" s="773">
        <v>0</v>
      </c>
      <c r="Q97" s="773">
        <v>0</v>
      </c>
      <c r="R97" s="773">
        <v>0</v>
      </c>
      <c r="S97" s="645">
        <f>SUM(O97:R97)</f>
        <v>0</v>
      </c>
      <c r="T97" s="711"/>
      <c r="U97" s="1171">
        <v>0</v>
      </c>
      <c r="V97" s="773">
        <v>0</v>
      </c>
      <c r="W97" s="773">
        <v>0</v>
      </c>
      <c r="X97" s="773">
        <v>0</v>
      </c>
      <c r="Y97" s="645">
        <f>SUM(U97:X97)</f>
        <v>0</v>
      </c>
      <c r="Z97" s="711"/>
      <c r="AA97" s="1171">
        <v>0</v>
      </c>
      <c r="AB97" s="773">
        <v>0</v>
      </c>
      <c r="AC97" s="773">
        <v>0</v>
      </c>
      <c r="AD97" s="773">
        <v>0</v>
      </c>
      <c r="AE97" s="645">
        <f>SUM(AA97:AD97)</f>
        <v>0</v>
      </c>
      <c r="AF97" s="711"/>
      <c r="AG97" s="1171">
        <v>0</v>
      </c>
      <c r="AH97" s="773">
        <v>0</v>
      </c>
      <c r="AI97" s="773">
        <v>0</v>
      </c>
      <c r="AJ97" s="773">
        <v>0</v>
      </c>
      <c r="AK97" s="645">
        <f>SUM(AG97:AJ97)</f>
        <v>0</v>
      </c>
      <c r="AL97" s="711"/>
      <c r="AM97" s="1171">
        <v>0</v>
      </c>
      <c r="AN97" s="773">
        <v>0</v>
      </c>
      <c r="AO97" s="773">
        <v>0</v>
      </c>
      <c r="AP97" s="773">
        <v>0</v>
      </c>
      <c r="AQ97" s="645">
        <f>SUM(AM97:AP97)</f>
        <v>0</v>
      </c>
      <c r="AR97" s="711"/>
      <c r="AS97" s="1171">
        <v>0</v>
      </c>
      <c r="AT97" s="773">
        <v>0</v>
      </c>
      <c r="AU97" s="773">
        <v>0</v>
      </c>
      <c r="AV97" s="773">
        <v>0</v>
      </c>
      <c r="AW97" s="645">
        <f>SUM(AS97:AV97)</f>
        <v>0</v>
      </c>
      <c r="AX97" s="24"/>
      <c r="AY97" s="1171">
        <v>0</v>
      </c>
      <c r="AZ97" s="773">
        <v>0</v>
      </c>
      <c r="BA97" s="773">
        <v>0</v>
      </c>
      <c r="BB97" s="773">
        <v>0</v>
      </c>
      <c r="BC97" s="645">
        <f>SUM(AY97:BB97)</f>
        <v>0</v>
      </c>
      <c r="BD97" s="24"/>
      <c r="BE97" s="1269">
        <v>0</v>
      </c>
      <c r="BF97" s="1270">
        <v>0</v>
      </c>
      <c r="BG97" s="1270">
        <v>0</v>
      </c>
      <c r="BH97" s="1270">
        <v>5</v>
      </c>
      <c r="BI97" s="1263">
        <f>SUM(BE97:BH97)</f>
        <v>5</v>
      </c>
      <c r="BJ97" s="19"/>
      <c r="BK97" s="1269">
        <v>5</v>
      </c>
      <c r="BL97" s="1270">
        <v>10</v>
      </c>
      <c r="BM97" s="1270">
        <v>10</v>
      </c>
      <c r="BN97" s="1270">
        <v>10</v>
      </c>
      <c r="BO97" s="1263">
        <f>SUM(BK97:BN97)</f>
        <v>35</v>
      </c>
      <c r="BP97" s="24"/>
      <c r="BQ97" s="1269">
        <f>+BU97/4</f>
        <v>20</v>
      </c>
      <c r="BR97" s="1270">
        <f>+BQ97</f>
        <v>20</v>
      </c>
      <c r="BS97" s="1270">
        <f>+BR97</f>
        <v>20</v>
      </c>
      <c r="BT97" s="1271">
        <f>+BS97</f>
        <v>20</v>
      </c>
      <c r="BU97" s="1263">
        <v>80</v>
      </c>
      <c r="BV97" s="24"/>
      <c r="BW97" s="1269">
        <f>+CA97/4</f>
        <v>35</v>
      </c>
      <c r="BX97" s="1270">
        <f>+BW97</f>
        <v>35</v>
      </c>
      <c r="BY97" s="1270">
        <f>+BX97</f>
        <v>35</v>
      </c>
      <c r="BZ97" s="1271">
        <f>+BY97</f>
        <v>35</v>
      </c>
      <c r="CA97" s="1263">
        <v>140</v>
      </c>
      <c r="CB97" s="24"/>
      <c r="CC97" s="1269">
        <f>+CG97/4</f>
        <v>40</v>
      </c>
      <c r="CD97" s="1270">
        <f>+CC97</f>
        <v>40</v>
      </c>
      <c r="CE97" s="1270">
        <f>+CD97</f>
        <v>40</v>
      </c>
      <c r="CF97" s="1271">
        <f>+CE97</f>
        <v>40</v>
      </c>
      <c r="CG97" s="1263">
        <v>160</v>
      </c>
      <c r="CH97" s="24"/>
      <c r="CI97" s="1269">
        <f>+CM97/4</f>
        <v>45</v>
      </c>
      <c r="CJ97" s="1270">
        <f>+CI97</f>
        <v>45</v>
      </c>
      <c r="CK97" s="1270">
        <f>+CJ97</f>
        <v>45</v>
      </c>
      <c r="CL97" s="1271">
        <f>+CK97</f>
        <v>45</v>
      </c>
      <c r="CM97" s="1263">
        <v>180</v>
      </c>
    </row>
    <row r="98" spans="1:100" s="1104" customFormat="1" outlineLevel="1" x14ac:dyDescent="0.2">
      <c r="B98" s="934" t="s">
        <v>377</v>
      </c>
      <c r="C98" s="397">
        <f>+C97/(C123+C113)</f>
        <v>0</v>
      </c>
      <c r="D98" s="397">
        <f>+D97/(D123+D113)</f>
        <v>0</v>
      </c>
      <c r="E98" s="397">
        <f>+E97/(E123+E113)</f>
        <v>0</v>
      </c>
      <c r="F98" s="397">
        <f>+F97/(F123+F113)</f>
        <v>0</v>
      </c>
      <c r="G98" s="85">
        <f>+G97/(G123+G113)</f>
        <v>0</v>
      </c>
      <c r="I98" s="1062">
        <f>+I97/(I123+I113)</f>
        <v>0</v>
      </c>
      <c r="J98" s="397">
        <f>+J97/(J123+J113)</f>
        <v>0</v>
      </c>
      <c r="K98" s="397">
        <f>+K97/(K123+K113)</f>
        <v>0</v>
      </c>
      <c r="L98" s="397">
        <f>+L97/(L123+L113)</f>
        <v>0</v>
      </c>
      <c r="M98" s="85">
        <f>+M97/(M123+M113)</f>
        <v>0</v>
      </c>
      <c r="O98" s="1062">
        <f>+O97/(O123+O113)</f>
        <v>0</v>
      </c>
      <c r="P98" s="397">
        <f>+P97/(P123+P113)</f>
        <v>0</v>
      </c>
      <c r="Q98" s="397">
        <f>+Q97/(Q123+Q113)</f>
        <v>0</v>
      </c>
      <c r="R98" s="397">
        <f>+R97/(R123+R113)</f>
        <v>0</v>
      </c>
      <c r="S98" s="85">
        <f>+S97/(S123+S113)</f>
        <v>0</v>
      </c>
      <c r="U98" s="1062">
        <f>+U97/(U123+U113)</f>
        <v>0</v>
      </c>
      <c r="V98" s="397">
        <f>+V97/(V123+V113)</f>
        <v>0</v>
      </c>
      <c r="W98" s="397">
        <f>+W97/(W123+W113)</f>
        <v>0</v>
      </c>
      <c r="X98" s="397">
        <f>+X97/(X123+X113)</f>
        <v>0</v>
      </c>
      <c r="Y98" s="85">
        <f>+Y97/(Y123+Y113)</f>
        <v>0</v>
      </c>
      <c r="AA98" s="1062">
        <f>+AA97/(AA123+AA113)</f>
        <v>0</v>
      </c>
      <c r="AB98" s="397">
        <f>+AB97/(AB123+AB113)</f>
        <v>0</v>
      </c>
      <c r="AC98" s="397">
        <f>+AC97/(AC123+AC113)</f>
        <v>0</v>
      </c>
      <c r="AD98" s="397">
        <f>+AD97/(AD123+AD113)</f>
        <v>0</v>
      </c>
      <c r="AE98" s="85">
        <f>+AE97/(AE123+AE113)</f>
        <v>0</v>
      </c>
      <c r="AG98" s="1062">
        <f>+AG97/(AG123+AG113)</f>
        <v>0</v>
      </c>
      <c r="AH98" s="397">
        <f>+AH97/(AH123+AH113)</f>
        <v>0</v>
      </c>
      <c r="AI98" s="397">
        <f>+AI97/(AI123+AI113)</f>
        <v>0</v>
      </c>
      <c r="AJ98" s="397">
        <f>+AJ97/(AJ123+AJ113)</f>
        <v>0</v>
      </c>
      <c r="AK98" s="85">
        <f>+AK97/(AK123+AK113)</f>
        <v>0</v>
      </c>
      <c r="AM98" s="1062">
        <f>+AM97/(AM123+AM113)</f>
        <v>0</v>
      </c>
      <c r="AN98" s="397">
        <f>+AN97/(AN123+AN113)</f>
        <v>0</v>
      </c>
      <c r="AO98" s="397">
        <f>+AO97/(AO123+AO113)</f>
        <v>0</v>
      </c>
      <c r="AP98" s="397">
        <f>+AP97/(AP123+AP113)</f>
        <v>0</v>
      </c>
      <c r="AQ98" s="85">
        <f>+AQ97/(AQ123+AQ113)</f>
        <v>0</v>
      </c>
      <c r="AS98" s="1062">
        <f>+AS97/(AS123+AS113)</f>
        <v>0</v>
      </c>
      <c r="AT98" s="397">
        <f>+AT97/(AT123+AT113)</f>
        <v>0</v>
      </c>
      <c r="AU98" s="397">
        <f>+AU97/(AU123+AU113)</f>
        <v>0</v>
      </c>
      <c r="AV98" s="397">
        <f>+AV97/(AV123+AV113)</f>
        <v>0</v>
      </c>
      <c r="AW98" s="85">
        <f>+AW97/(AW123+AW113)</f>
        <v>0</v>
      </c>
      <c r="AX98" s="716"/>
      <c r="AY98" s="1062">
        <f>+AY97/(AY123+AY113)</f>
        <v>0</v>
      </c>
      <c r="AZ98" s="397">
        <f>+AZ97/(AZ123+AZ113)</f>
        <v>0</v>
      </c>
      <c r="BA98" s="397">
        <f>+BA97/(BA123+BA113)</f>
        <v>0</v>
      </c>
      <c r="BB98" s="397">
        <f>+BB97/(BB123+BB113)</f>
        <v>0</v>
      </c>
      <c r="BC98" s="85">
        <f>+BC97/(BC123+BC113)</f>
        <v>0</v>
      </c>
      <c r="BD98" s="716"/>
      <c r="BE98" s="1062">
        <f>+BE97/BE$65</f>
        <v>0</v>
      </c>
      <c r="BF98" s="397">
        <f>+BF97/BF$65</f>
        <v>0</v>
      </c>
      <c r="BG98" s="397">
        <f>+BG97/BG$65</f>
        <v>0</v>
      </c>
      <c r="BH98" s="397">
        <f>+BH97/BH$65</f>
        <v>5.010020040080161E-3</v>
      </c>
      <c r="BI98" s="85">
        <f>+BI97/BI$65</f>
        <v>1.2763241863433313E-3</v>
      </c>
      <c r="BJ98" s="716"/>
      <c r="BK98" s="1062">
        <f>+BK97/BK$65</f>
        <v>5.5432372505543242E-3</v>
      </c>
      <c r="BL98" s="397">
        <f>+BL97/BL$65</f>
        <v>1.0058338362502514E-2</v>
      </c>
      <c r="BM98" s="397">
        <f>+BM97/BM$65</f>
        <v>9.8990298950702837E-3</v>
      </c>
      <c r="BN98" s="397">
        <f>+BN97/BN$65</f>
        <v>9.1659028414298807E-3</v>
      </c>
      <c r="BO98" s="85">
        <f>+BO97/BO$65</f>
        <v>8.7556911992795316E-3</v>
      </c>
      <c r="BP98" s="716"/>
      <c r="BQ98" s="1062">
        <f>+BQ97/BQ$65</f>
        <v>2.1040007574402726E-2</v>
      </c>
      <c r="BR98" s="397">
        <f>+BR97/BR$65</f>
        <v>1.8866785401636128E-2</v>
      </c>
      <c r="BS98" s="397">
        <f>+BS97/BS$65</f>
        <v>1.8479984328973287E-2</v>
      </c>
      <c r="BT98" s="397">
        <f>+BT97/BT$65</f>
        <v>1.7198619982732585E-2</v>
      </c>
      <c r="BU98" s="85">
        <f>+BU97/BU$65</f>
        <v>1.8798008351015208E-2</v>
      </c>
      <c r="BV98" s="716"/>
      <c r="BW98" s="1062">
        <f>+BW97/BW$65</f>
        <v>3.5616686543830614E-2</v>
      </c>
      <c r="BX98" s="397">
        <f>+BX97/BX$65</f>
        <v>3.1561785920229582E-2</v>
      </c>
      <c r="BY98" s="397">
        <f>+BY97/BY$65</f>
        <v>3.1046571773677513E-2</v>
      </c>
      <c r="BZ98" s="397">
        <f>+BZ97/BZ$65</f>
        <v>2.9109093730782794E-2</v>
      </c>
      <c r="CA98" s="85">
        <f>+CA97/CA$65</f>
        <v>3.1664655161908292E-2</v>
      </c>
      <c r="CB98" s="716"/>
      <c r="CC98" s="1062">
        <f>+CC97/CC$65</f>
        <v>3.9353664648124294E-2</v>
      </c>
      <c r="CD98" s="397">
        <f>+CD97/CD$65</f>
        <v>3.5208527536071066E-2</v>
      </c>
      <c r="CE98" s="397">
        <f>+CE97/CE$65</f>
        <v>3.4537002460572848E-2</v>
      </c>
      <c r="CF98" s="397">
        <f>+CF97/CF$65</f>
        <v>3.2155837162918421E-2</v>
      </c>
      <c r="CG98" s="85">
        <f>+CG97/CG$65</f>
        <v>3.5129069997711683E-2</v>
      </c>
      <c r="CI98" s="1062">
        <f>+CI97/CI$65</f>
        <v>4.2712859814016055E-2</v>
      </c>
      <c r="CJ98" s="397">
        <f>+CJ97/CJ$65</f>
        <v>3.7623209973400892E-2</v>
      </c>
      <c r="CK98" s="397">
        <f>+CK97/CK$65</f>
        <v>3.7072675866077986E-2</v>
      </c>
      <c r="CL98" s="397">
        <f>+CL97/CL$65</f>
        <v>3.4895327683282615E-2</v>
      </c>
      <c r="CM98" s="85">
        <f>+CM97/CM$65</f>
        <v>3.7870659193063753E-2</v>
      </c>
    </row>
    <row r="99" spans="1:100" s="1234" customFormat="1" x14ac:dyDescent="0.2">
      <c r="B99" s="950" t="s">
        <v>640</v>
      </c>
      <c r="C99" s="1174"/>
      <c r="D99" s="1174"/>
      <c r="E99" s="1174"/>
      <c r="F99" s="1174"/>
      <c r="G99" s="1175"/>
      <c r="H99" s="1174"/>
      <c r="I99" s="1176">
        <f>+I80-I91</f>
        <v>137.24208861942515</v>
      </c>
      <c r="J99" s="1174">
        <f>+J80-J91</f>
        <v>145.98220636552929</v>
      </c>
      <c r="K99" s="1174">
        <f>+K80-K91</f>
        <v>130.02501583046788</v>
      </c>
      <c r="L99" s="1174">
        <f>+L80-L91</f>
        <v>132.9992243852017</v>
      </c>
      <c r="M99" s="1175">
        <f>+SUM(I99:L99)</f>
        <v>546.24853520062402</v>
      </c>
      <c r="N99" s="1174"/>
      <c r="O99" s="1176">
        <f>+O80-O91</f>
        <v>121.32428544813448</v>
      </c>
      <c r="P99" s="1174">
        <f>+P80-P91</f>
        <v>143.66926109626922</v>
      </c>
      <c r="Q99" s="1174">
        <f>+Q80-Q91</f>
        <v>136.09758112955546</v>
      </c>
      <c r="R99" s="1174">
        <f>+R80-R91</f>
        <v>161.16191553735723</v>
      </c>
      <c r="S99" s="1175">
        <f>+SUM(O99:R99)</f>
        <v>562.25304321131637</v>
      </c>
      <c r="T99" s="1174"/>
      <c r="U99" s="1176">
        <f>+U80-U91</f>
        <v>136.67877316810112</v>
      </c>
      <c r="V99" s="1174">
        <f>+V80-V91</f>
        <v>146.79157633905527</v>
      </c>
      <c r="W99" s="1174">
        <f>+W80-W91</f>
        <v>127.42991617996097</v>
      </c>
      <c r="X99" s="1174">
        <f>+X80-X91</f>
        <v>168.4786919078818</v>
      </c>
      <c r="Y99" s="1175">
        <f>+SUM(U99:X99)</f>
        <v>579.37895759499906</v>
      </c>
      <c r="Z99" s="1174"/>
      <c r="AA99" s="1176">
        <f>+AA80-AA91</f>
        <v>145.73115788120197</v>
      </c>
      <c r="AB99" s="1174">
        <f>+AB80-AB91</f>
        <v>164.40190998850892</v>
      </c>
      <c r="AC99" s="1174">
        <f>+AC80-AC91</f>
        <v>139.34925933050914</v>
      </c>
      <c r="AD99" s="1174">
        <f>+AD80-AD91</f>
        <v>171.40228591637617</v>
      </c>
      <c r="AE99" s="1175">
        <f>+SUM(AA99:AD99)</f>
        <v>620.88461311659626</v>
      </c>
      <c r="AF99" s="1174"/>
      <c r="AG99" s="1176">
        <f>+AG80-AG91</f>
        <v>161.50323032162663</v>
      </c>
      <c r="AH99" s="1174">
        <f>+AH80-AH91</f>
        <v>183.23468245931429</v>
      </c>
      <c r="AI99" s="1174">
        <f>+AI80-AI91</f>
        <v>164.80881382323304</v>
      </c>
      <c r="AJ99" s="1174">
        <f>+AJ80-AJ91</f>
        <v>184.58446113764637</v>
      </c>
      <c r="AK99" s="1175">
        <f>+SUM(AG99:AJ99)</f>
        <v>694.13118774182033</v>
      </c>
      <c r="AL99" s="1174"/>
      <c r="AM99" s="1176">
        <f>+AM80-AM91</f>
        <v>163.35538708201659</v>
      </c>
      <c r="AN99" s="1174">
        <f>+AN80-AN91</f>
        <v>203.5750975470155</v>
      </c>
      <c r="AO99" s="1174">
        <f>+AO80-AO91</f>
        <v>174.26310627539158</v>
      </c>
      <c r="AP99" s="1174">
        <f>+AP80-AP91</f>
        <v>192.1224978382553</v>
      </c>
      <c r="AQ99" s="1175">
        <f>+SUM(AM99:AP99)</f>
        <v>733.31608874267897</v>
      </c>
      <c r="AR99" s="1174"/>
      <c r="AS99" s="1176">
        <f>+AS80-AS91</f>
        <v>179.4845063209541</v>
      </c>
      <c r="AT99" s="1174">
        <f>+AT80-AT91</f>
        <v>211.56592657873853</v>
      </c>
      <c r="AU99" s="1174">
        <f>+AU80-AU91</f>
        <v>191.48476601544394</v>
      </c>
      <c r="AV99" s="1174">
        <f>+AV80-AV91</f>
        <v>190.83876929711238</v>
      </c>
      <c r="AW99" s="1175">
        <f>+SUM(AS99:AV99)</f>
        <v>773.37396821224888</v>
      </c>
      <c r="AX99" s="1174"/>
      <c r="AY99" s="1176">
        <f>+AY80-AY91</f>
        <v>174.42990915026371</v>
      </c>
      <c r="AZ99" s="1174">
        <f>+AZ80-AZ91</f>
        <v>229.42118365506502</v>
      </c>
      <c r="BA99" s="1174">
        <f>+BA80-BA91</f>
        <v>208.49082086487834</v>
      </c>
      <c r="BB99" s="1174">
        <f>+BB80-BB91</f>
        <v>202.76833636081921</v>
      </c>
      <c r="BC99" s="1175">
        <f>+SUM(AY99:BB99)</f>
        <v>815.11025003102623</v>
      </c>
      <c r="BD99" s="1174"/>
      <c r="BE99" s="1184">
        <f>+BE80-BE91</f>
        <v>169.5</v>
      </c>
      <c r="BF99" s="1260">
        <f>+BF80-BF91</f>
        <v>232.40000000000003</v>
      </c>
      <c r="BG99" s="1260">
        <f>+BG80-BG91</f>
        <v>195.8</v>
      </c>
      <c r="BH99" s="1260">
        <f>+BH80-BH91</f>
        <v>206.40000000000003</v>
      </c>
      <c r="BI99" s="1175">
        <f>+SUM(BE99:BH99)</f>
        <v>804.10000000000014</v>
      </c>
      <c r="BJ99" s="1177"/>
      <c r="BK99" s="1184">
        <f>+BK80-BK91</f>
        <v>147.90000000000003</v>
      </c>
      <c r="BL99" s="1260">
        <f>+BL80-BL91</f>
        <v>195.09999999999997</v>
      </c>
      <c r="BM99" s="1260">
        <f>+BM80-BM91</f>
        <v>211.7000000000001</v>
      </c>
      <c r="BN99" s="1260">
        <f>+BN80-BN91</f>
        <v>236.89999999999998</v>
      </c>
      <c r="BO99" s="1175">
        <f>+SUM(BK99:BN99)</f>
        <v>791.6</v>
      </c>
      <c r="BP99" s="1177"/>
      <c r="BQ99" s="1176">
        <f>+BQ80-BQ91</f>
        <v>138.82124999999991</v>
      </c>
      <c r="BR99" s="1174">
        <f>+BR80-BR91</f>
        <v>189.61024000000003</v>
      </c>
      <c r="BS99" s="1174">
        <f>+BS80-BS91</f>
        <v>220.21661999999998</v>
      </c>
      <c r="BT99" s="1174">
        <f>+BT80-BT91</f>
        <v>252.57679999999999</v>
      </c>
      <c r="BU99" s="1175">
        <f>+SUM(BQ99:BT99)</f>
        <v>801.22490999999991</v>
      </c>
      <c r="BV99" s="1177"/>
      <c r="BW99" s="1176">
        <f>+BW80-BW91</f>
        <v>195.17772998000004</v>
      </c>
      <c r="BX99" s="1174">
        <f>+BX80-BX91</f>
        <v>229.06379649999997</v>
      </c>
      <c r="BY99" s="1174">
        <f>+BY80-BY91</f>
        <v>234.53893928000008</v>
      </c>
      <c r="BZ99" s="1174">
        <f>+BZ80-BZ91</f>
        <v>250.2248386</v>
      </c>
      <c r="CA99" s="1175">
        <f>+SUM(BW99:BZ99)</f>
        <v>909.00530436000008</v>
      </c>
      <c r="CB99" s="1177"/>
      <c r="CC99" s="1176">
        <f>+CC80-CC91</f>
        <v>211.26740445304995</v>
      </c>
      <c r="CD99" s="1174">
        <f>+CD80-CD91</f>
        <v>245.06395766205003</v>
      </c>
      <c r="CE99" s="1174">
        <f>+CE80-CE91</f>
        <v>251.36750383400005</v>
      </c>
      <c r="CF99" s="1174">
        <f>+CF80-CF91</f>
        <v>269.50731970090004</v>
      </c>
      <c r="CG99" s="1175">
        <f>+SUM(CC99:CF99)</f>
        <v>977.20618565000018</v>
      </c>
      <c r="CH99" s="1177"/>
      <c r="CI99" s="1176">
        <f>+CI80-CI91</f>
        <v>227.26360945855896</v>
      </c>
      <c r="CJ99" s="1174">
        <f>+CJ80-CJ91</f>
        <v>266.27298563534748</v>
      </c>
      <c r="CK99" s="1174">
        <f>+CK80-CK91</f>
        <v>271.98658252774896</v>
      </c>
      <c r="CL99" s="1174">
        <f>+CL80-CL91</f>
        <v>288.72890483199291</v>
      </c>
      <c r="CM99" s="1175">
        <f>+SUM(CI99:CL99)</f>
        <v>1054.2520824536482</v>
      </c>
    </row>
    <row r="100" spans="1:100" s="1234" customFormat="1" x14ac:dyDescent="0.2">
      <c r="B100" s="1178" t="s">
        <v>377</v>
      </c>
      <c r="C100" s="1179"/>
      <c r="D100" s="1179"/>
      <c r="E100" s="1179"/>
      <c r="F100" s="1179"/>
      <c r="G100" s="1180"/>
      <c r="H100" s="1181"/>
      <c r="I100" s="1182">
        <f>+I99/I128</f>
        <v>0.18312844874920026</v>
      </c>
      <c r="J100" s="1179">
        <f>+J99/J128</f>
        <v>0.18693589680231409</v>
      </c>
      <c r="K100" s="1179">
        <f>+K99/K128</f>
        <v>0.18319397045863894</v>
      </c>
      <c r="L100" s="1179">
        <f>+L99/L128</f>
        <v>0.1935672507205479</v>
      </c>
      <c r="M100" s="1180">
        <f>+M99/M128</f>
        <v>0.18661035204897738</v>
      </c>
      <c r="N100" s="1181"/>
      <c r="O100" s="1182">
        <f>+O99/O128</f>
        <v>0.18080464290772685</v>
      </c>
      <c r="P100" s="1179">
        <f>+P99/P128</f>
        <v>0.19611083623776293</v>
      </c>
      <c r="Q100" s="1179">
        <f>+Q99/Q128</f>
        <v>0.18940160489427951</v>
      </c>
      <c r="R100" s="1179">
        <f>+R99/R128</f>
        <v>0.20599801088571507</v>
      </c>
      <c r="S100" s="1180">
        <f>+S99/S128</f>
        <v>0.19357801588301943</v>
      </c>
      <c r="T100" s="1181"/>
      <c r="U100" s="1182">
        <f>+U99/U128</f>
        <v>0.18589037328324773</v>
      </c>
      <c r="V100" s="1179">
        <f>+V99/V128</f>
        <v>0.19659424660306382</v>
      </c>
      <c r="W100" s="1179">
        <f>+W99/W128</f>
        <v>0.17602962457799515</v>
      </c>
      <c r="X100" s="1179">
        <f>+X99/X128</f>
        <v>0.20983270363474651</v>
      </c>
      <c r="Y100" s="1180">
        <f>+Y99/Y128</f>
        <v>0.19256344556113197</v>
      </c>
      <c r="Z100" s="1181"/>
      <c r="AA100" s="1182">
        <f>+AA99/AA128</f>
        <v>0.18579594112463829</v>
      </c>
      <c r="AB100" s="1179">
        <f>+AB99/AB128</f>
        <v>0.19269512805567984</v>
      </c>
      <c r="AC100" s="1179">
        <f>+AC99/AC128</f>
        <v>0.16636154523817415</v>
      </c>
      <c r="AD100" s="1179">
        <f>+AD99/AD128</f>
        <v>0.17226008009135318</v>
      </c>
      <c r="AE100" s="1180">
        <f>+AE99/AE128</f>
        <v>0.17891990815773048</v>
      </c>
      <c r="AF100" s="1181"/>
      <c r="AG100" s="1182">
        <f>+AG99/AG128</f>
        <v>0.17050344688499949</v>
      </c>
      <c r="AH100" s="1179">
        <f>+AH99/AH128</f>
        <v>0.18252521795347862</v>
      </c>
      <c r="AI100" s="1179">
        <f>+AI99/AI128</f>
        <v>0.17494914016478894</v>
      </c>
      <c r="AJ100" s="1179">
        <f>+AJ99/AJ128</f>
        <v>0.18016395506151311</v>
      </c>
      <c r="AK100" s="1180">
        <f>+AK99/AK128</f>
        <v>0.17717935790782469</v>
      </c>
      <c r="AL100" s="1181"/>
      <c r="AM100" s="1182">
        <f>+AM99/AM128</f>
        <v>0.16363413027320048</v>
      </c>
      <c r="AN100" s="1179">
        <f>+AN99/AN128</f>
        <v>0.19518534929335735</v>
      </c>
      <c r="AO100" s="1179">
        <f>+AO99/AO128</f>
        <v>0.17754791931565861</v>
      </c>
      <c r="AP100" s="1179">
        <f>+AP99/AP128</f>
        <v>0.18276758287644673</v>
      </c>
      <c r="AQ100" s="1180">
        <f>+AQ99/AQ128</f>
        <v>0.18000063908951283</v>
      </c>
      <c r="AR100" s="1181"/>
      <c r="AS100" s="1182">
        <f>+AS99/AS128</f>
        <v>0.17746176132452215</v>
      </c>
      <c r="AT100" s="1179">
        <f>+AT99/AT128</f>
        <v>0.19898256591291119</v>
      </c>
      <c r="AU100" s="1179">
        <f>+AU99/AU128</f>
        <v>0.19198204413953474</v>
      </c>
      <c r="AV100" s="1179">
        <f>+AV99/AV128</f>
        <v>0.18870919413778445</v>
      </c>
      <c r="AW100" s="1180">
        <f>+AW99/AW128</f>
        <v>0.18939779455206715</v>
      </c>
      <c r="AX100" s="1183"/>
      <c r="AY100" s="1182">
        <f>+AY99/AY128</f>
        <v>0.19103610461623957</v>
      </c>
      <c r="AZ100" s="1179">
        <f>+AZ99/AZ128</f>
        <v>0.22864197181511908</v>
      </c>
      <c r="BA100" s="1179">
        <f>+BA99/BA128</f>
        <v>0.21870431224680409</v>
      </c>
      <c r="BB100" s="1179">
        <f>+BB99/BB128</f>
        <v>0.20801019323022074</v>
      </c>
      <c r="BC100" s="1180">
        <f>+BC99/BC128</f>
        <v>0.21201536657207279</v>
      </c>
      <c r="BD100" s="1183"/>
      <c r="BE100" s="1182">
        <f>+BE99/BE128</f>
        <v>0.21950271950271949</v>
      </c>
      <c r="BF100" s="1179">
        <f>+BF99/BF128</f>
        <v>0.22739726027397264</v>
      </c>
      <c r="BG100" s="1179">
        <f>+BG99/BG128</f>
        <v>0.20485457208621052</v>
      </c>
      <c r="BH100" s="1179">
        <f>+BH99/BH128</f>
        <v>0.20681362725450908</v>
      </c>
      <c r="BI100" s="1180">
        <f>+BI99/BI128</f>
        <v>0.21454108858057636</v>
      </c>
      <c r="BJ100" s="1183"/>
      <c r="BK100" s="1182">
        <f>+BK99/BK128</f>
        <v>0.16396895787139693</v>
      </c>
      <c r="BL100" s="1179">
        <f>+BL99/BL128</f>
        <v>0.19623818145242403</v>
      </c>
      <c r="BM100" s="1179">
        <f>+BM99/BM128</f>
        <v>0.209562462878638</v>
      </c>
      <c r="BN100" s="1179">
        <f>+BN99/BN128</f>
        <v>0.21714023831347384</v>
      </c>
      <c r="BO100" s="1180">
        <f>+BO99/BO128</f>
        <v>0.19802871866713365</v>
      </c>
      <c r="BP100" s="1183"/>
      <c r="BQ100" s="1182">
        <f>+BQ99/BQ128</f>
        <v>0.14604000757440261</v>
      </c>
      <c r="BR100" s="1179">
        <f>+BR99/BR128</f>
        <v>0.17886678540163614</v>
      </c>
      <c r="BS100" s="1179">
        <f>+BS99/BS128</f>
        <v>0.20347998432897324</v>
      </c>
      <c r="BT100" s="1179">
        <f>+BT99/BT128</f>
        <v>0.21719861998273257</v>
      </c>
      <c r="BU100" s="1180">
        <f>+BU99/BU128</f>
        <v>0.18826790686526759</v>
      </c>
      <c r="BV100" s="1183"/>
      <c r="BW100" s="1182">
        <f>+BW99/BW128</f>
        <v>0.19861668654383063</v>
      </c>
      <c r="BX100" s="1179">
        <f>+BX99/BX128</f>
        <v>0.20656178592022953</v>
      </c>
      <c r="BY100" s="1179">
        <f>+BY99/BY128</f>
        <v>0.20804657177367755</v>
      </c>
      <c r="BZ100" s="1179">
        <f>+BZ99/BZ128</f>
        <v>0.20810909373078276</v>
      </c>
      <c r="CA100" s="1180">
        <f>+CA99/CA128</f>
        <v>0.2055952821636064</v>
      </c>
      <c r="CB100" s="1183"/>
      <c r="CC100" s="1182">
        <f>+CC99/CC128</f>
        <v>0.20785366464812421</v>
      </c>
      <c r="CD100" s="1179">
        <f>+CD99/CD128</f>
        <v>0.21570852753607106</v>
      </c>
      <c r="CE100" s="1179">
        <f>+CE99/CE128</f>
        <v>0.21703700246057286</v>
      </c>
      <c r="CF100" s="1179">
        <f>+CF99/CF128</f>
        <v>0.21665583716291845</v>
      </c>
      <c r="CG100" s="1180">
        <f>+CG99/CG128</f>
        <v>0.21455215311184808</v>
      </c>
      <c r="CH100" s="1181"/>
      <c r="CI100" s="1182">
        <f>+CI99/CI128</f>
        <v>0.21571285981401603</v>
      </c>
      <c r="CJ100" s="1179">
        <f>+CJ99/CJ128</f>
        <v>0.22262320997340085</v>
      </c>
      <c r="CK100" s="1179">
        <f>+CK99/CK128</f>
        <v>0.22407267586607793</v>
      </c>
      <c r="CL100" s="1179">
        <f>+CL99/CL128</f>
        <v>0.22389532768328255</v>
      </c>
      <c r="CM100" s="1180">
        <f>+CM99/CM128</f>
        <v>0.22180678510099922</v>
      </c>
    </row>
    <row r="101" spans="1:100" s="771" customFormat="1" ht="11.25" customHeight="1" outlineLevel="1" x14ac:dyDescent="0.2">
      <c r="A101" s="408"/>
      <c r="B101" s="1093" t="s">
        <v>641</v>
      </c>
      <c r="C101" s="773"/>
      <c r="D101" s="773"/>
      <c r="E101" s="773"/>
      <c r="F101" s="773"/>
      <c r="G101" s="645"/>
      <c r="H101" s="711"/>
      <c r="I101" s="969">
        <f>+I85-I95</f>
        <v>0</v>
      </c>
      <c r="J101" s="178">
        <f>+J85-J95</f>
        <v>0</v>
      </c>
      <c r="K101" s="178">
        <f>+K85-K95</f>
        <v>0</v>
      </c>
      <c r="L101" s="178">
        <f>+L85-L95</f>
        <v>0</v>
      </c>
      <c r="M101" s="645">
        <f>+M85-M95</f>
        <v>0</v>
      </c>
      <c r="N101" s="711"/>
      <c r="O101" s="969">
        <f>+O85-O95</f>
        <v>0</v>
      </c>
      <c r="P101" s="178">
        <f>+P85-P95</f>
        <v>0</v>
      </c>
      <c r="Q101" s="178">
        <f>+Q85-Q95</f>
        <v>0</v>
      </c>
      <c r="R101" s="178">
        <f>+R85-R95</f>
        <v>0</v>
      </c>
      <c r="S101" s="645">
        <f>+S85-S95</f>
        <v>0</v>
      </c>
      <c r="T101" s="711"/>
      <c r="U101" s="969">
        <f>+U85-U95</f>
        <v>0</v>
      </c>
      <c r="V101" s="178">
        <f>+V85-V95</f>
        <v>0</v>
      </c>
      <c r="W101" s="178">
        <f>+W85-W95</f>
        <v>0</v>
      </c>
      <c r="X101" s="178">
        <f>+X85-X95</f>
        <v>0</v>
      </c>
      <c r="Y101" s="645">
        <f>+Y85-Y95</f>
        <v>0</v>
      </c>
      <c r="Z101" s="711"/>
      <c r="AA101" s="969">
        <f>+AA85-AA95</f>
        <v>0</v>
      </c>
      <c r="AB101" s="178">
        <f>+AB85-AB95</f>
        <v>0</v>
      </c>
      <c r="AC101" s="178">
        <f>+AC85-AC95</f>
        <v>0</v>
      </c>
      <c r="AD101" s="178">
        <f>+AD85-AD95</f>
        <v>0</v>
      </c>
      <c r="AE101" s="645">
        <f>+AE85-AE95</f>
        <v>0</v>
      </c>
      <c r="AF101" s="711"/>
      <c r="AG101" s="969">
        <f>+AG85-AG95</f>
        <v>0</v>
      </c>
      <c r="AH101" s="178">
        <f>+AH85-AH95</f>
        <v>0</v>
      </c>
      <c r="AI101" s="178">
        <f>+AI85-AI95</f>
        <v>0</v>
      </c>
      <c r="AJ101" s="178">
        <f>+AJ85-AJ95</f>
        <v>0</v>
      </c>
      <c r="AK101" s="645">
        <f>+AK85-AK95</f>
        <v>0</v>
      </c>
      <c r="AL101" s="711"/>
      <c r="AM101" s="969">
        <f>+AM85-AM95</f>
        <v>0</v>
      </c>
      <c r="AN101" s="178">
        <f>+AN85-AN95</f>
        <v>0</v>
      </c>
      <c r="AO101" s="178">
        <f>+AO85-AO95</f>
        <v>0</v>
      </c>
      <c r="AP101" s="178">
        <f>+AP85-AP95</f>
        <v>0</v>
      </c>
      <c r="AQ101" s="645">
        <f>+AQ85-AQ95</f>
        <v>0</v>
      </c>
      <c r="AR101" s="711"/>
      <c r="AS101" s="969">
        <f>+AS85-AS95</f>
        <v>0</v>
      </c>
      <c r="AT101" s="178">
        <f>+AT85-AT95</f>
        <v>0</v>
      </c>
      <c r="AU101" s="178">
        <f>+AU85-AU95</f>
        <v>0</v>
      </c>
      <c r="AV101" s="178">
        <f>+AV85-AV95</f>
        <v>0</v>
      </c>
      <c r="AW101" s="645">
        <f>+AW85-AW95</f>
        <v>0</v>
      </c>
      <c r="AX101" s="19"/>
      <c r="AY101" s="969">
        <f>+AY85-AY95</f>
        <v>0</v>
      </c>
      <c r="AZ101" s="178">
        <f>+AZ85-AZ95</f>
        <v>0</v>
      </c>
      <c r="BA101" s="178">
        <f>+BA85-BA95</f>
        <v>0</v>
      </c>
      <c r="BB101" s="178">
        <f>+BB85-BB95</f>
        <v>0</v>
      </c>
      <c r="BC101" s="645">
        <f>+BC85-BC95</f>
        <v>0</v>
      </c>
      <c r="BD101" s="954"/>
      <c r="BE101" s="969">
        <f>+BE85-BE95</f>
        <v>0</v>
      </c>
      <c r="BF101" s="178">
        <f>+BF85-BF95</f>
        <v>1.5159817351598179</v>
      </c>
      <c r="BG101" s="178">
        <f>+BG85-BG95</f>
        <v>1.365697147241403</v>
      </c>
      <c r="BH101" s="178">
        <f>+BH85-BH95</f>
        <v>1.3787575150300606</v>
      </c>
      <c r="BI101" s="645">
        <f>+BI85-BI95</f>
        <v>3.8426168746427463</v>
      </c>
      <c r="BJ101" s="954"/>
      <c r="BK101" s="969">
        <f>+BK85-BK95</f>
        <v>1.8446507760532151</v>
      </c>
      <c r="BL101" s="178">
        <f>+BL85-BL95</f>
        <v>2.2076795413397701</v>
      </c>
      <c r="BM101" s="178">
        <f>+BM85-BM95</f>
        <v>2.357577707384678</v>
      </c>
      <c r="BN101" s="178">
        <f>+BN85-BN95</f>
        <v>2.4428276810265812</v>
      </c>
      <c r="BO101" s="645">
        <f>+BO85-BO95</f>
        <v>8.846190689857913</v>
      </c>
      <c r="BP101" s="954"/>
      <c r="BQ101" s="969">
        <f>+BQ85-BQ95</f>
        <v>2.3437499999999982</v>
      </c>
      <c r="BR101" s="178">
        <f>+BR85-BR95</f>
        <v>3</v>
      </c>
      <c r="BS101" s="178">
        <f>+BS85-BS95</f>
        <v>3.46875</v>
      </c>
      <c r="BT101" s="178">
        <f>+BT85-BT95</f>
        <v>3.75</v>
      </c>
      <c r="BU101" s="645">
        <f>+BU85-BU95</f>
        <v>12.582838209229394</v>
      </c>
      <c r="BV101" s="954"/>
      <c r="BW101" s="969">
        <f>+BW85-BW95</f>
        <v>4.8899999999999988</v>
      </c>
      <c r="BX101" s="178">
        <f>+BX85-BX95</f>
        <v>5.25</v>
      </c>
      <c r="BY101" s="178">
        <f>+BY85-BY95</f>
        <v>5.3099999999999987</v>
      </c>
      <c r="BZ101" s="178">
        <f>+BZ85-BZ95</f>
        <v>5.3699999999999992</v>
      </c>
      <c r="CA101" s="645">
        <f>+CA85-CA95</f>
        <v>20.854216712720437</v>
      </c>
      <c r="CB101" s="954"/>
      <c r="CC101" s="969">
        <f>+CC85-CC95</f>
        <v>5.0549999999999979</v>
      </c>
      <c r="CD101" s="178">
        <f>+CD85-CD95</f>
        <v>5.4149999999999991</v>
      </c>
      <c r="CE101" s="178">
        <f>+CE85-CE95</f>
        <v>5.4749999999999996</v>
      </c>
      <c r="CF101" s="178">
        <f>+CF85-CF95</f>
        <v>5.5350000000000001</v>
      </c>
      <c r="CG101" s="645">
        <f>+CG85-CG95</f>
        <v>21.513076292558196</v>
      </c>
      <c r="CH101" s="954"/>
      <c r="CI101" s="969">
        <f>+CI85-CI95</f>
        <v>5.1899999999999977</v>
      </c>
      <c r="CJ101" s="178">
        <f>+CJ85-CJ95</f>
        <v>5.5499999999999989</v>
      </c>
      <c r="CK101" s="178">
        <f>+CK85-CK95</f>
        <v>5.6099999999999994</v>
      </c>
      <c r="CL101" s="178">
        <f>+CL85-CL95</f>
        <v>5.67</v>
      </c>
      <c r="CM101" s="645">
        <f>+CM85-CM95</f>
        <v>22.054890793805228</v>
      </c>
      <c r="CQ101" s="36"/>
      <c r="CR101" s="36"/>
      <c r="CS101" s="36"/>
      <c r="CT101" s="36"/>
      <c r="CU101" s="36"/>
      <c r="CV101" s="36"/>
    </row>
    <row r="102" spans="1:100" s="771" customFormat="1" ht="11.25" customHeight="1" outlineLevel="1" x14ac:dyDescent="0.2">
      <c r="A102" s="408"/>
      <c r="B102" s="1093" t="s">
        <v>643</v>
      </c>
      <c r="C102" s="773"/>
      <c r="D102" s="773"/>
      <c r="E102" s="773"/>
      <c r="F102" s="773"/>
      <c r="G102" s="645"/>
      <c r="H102" s="711"/>
      <c r="I102" s="969">
        <f>+I97</f>
        <v>0</v>
      </c>
      <c r="J102" s="178">
        <f>+J97</f>
        <v>0</v>
      </c>
      <c r="K102" s="178">
        <f>+K97</f>
        <v>0</v>
      </c>
      <c r="L102" s="178">
        <f>+L97</f>
        <v>0</v>
      </c>
      <c r="M102" s="645">
        <f>+M97</f>
        <v>0</v>
      </c>
      <c r="N102" s="711"/>
      <c r="O102" s="969">
        <f>+O97</f>
        <v>0</v>
      </c>
      <c r="P102" s="178">
        <f>+P97</f>
        <v>0</v>
      </c>
      <c r="Q102" s="178">
        <f>+Q97</f>
        <v>0</v>
      </c>
      <c r="R102" s="178">
        <f>+R97</f>
        <v>0</v>
      </c>
      <c r="S102" s="645">
        <f>+S97</f>
        <v>0</v>
      </c>
      <c r="T102" s="711"/>
      <c r="U102" s="969">
        <f>+U97</f>
        <v>0</v>
      </c>
      <c r="V102" s="178">
        <f>+V97</f>
        <v>0</v>
      </c>
      <c r="W102" s="178">
        <f>+W97</f>
        <v>0</v>
      </c>
      <c r="X102" s="178">
        <f>+X97</f>
        <v>0</v>
      </c>
      <c r="Y102" s="645">
        <f>+Y97</f>
        <v>0</v>
      </c>
      <c r="Z102" s="711"/>
      <c r="AA102" s="969">
        <f>+AA97</f>
        <v>0</v>
      </c>
      <c r="AB102" s="178">
        <f>+AB97</f>
        <v>0</v>
      </c>
      <c r="AC102" s="178">
        <f>+AC97</f>
        <v>0</v>
      </c>
      <c r="AD102" s="178">
        <f>+AD97</f>
        <v>0</v>
      </c>
      <c r="AE102" s="645">
        <f>+AE97</f>
        <v>0</v>
      </c>
      <c r="AF102" s="711"/>
      <c r="AG102" s="969">
        <f>+AG97</f>
        <v>0</v>
      </c>
      <c r="AH102" s="178">
        <f>+AH97</f>
        <v>0</v>
      </c>
      <c r="AI102" s="178">
        <f>+AI97</f>
        <v>0</v>
      </c>
      <c r="AJ102" s="178">
        <f>+AJ97</f>
        <v>0</v>
      </c>
      <c r="AK102" s="645">
        <f>+AK97</f>
        <v>0</v>
      </c>
      <c r="AL102" s="711"/>
      <c r="AM102" s="969">
        <f>+AM97</f>
        <v>0</v>
      </c>
      <c r="AN102" s="178">
        <f>+AN97</f>
        <v>0</v>
      </c>
      <c r="AO102" s="178">
        <f>+AO97</f>
        <v>0</v>
      </c>
      <c r="AP102" s="178">
        <f>+AP97</f>
        <v>0</v>
      </c>
      <c r="AQ102" s="645">
        <f>+AQ97</f>
        <v>0</v>
      </c>
      <c r="AR102" s="711"/>
      <c r="AS102" s="969">
        <f>+AS97</f>
        <v>0</v>
      </c>
      <c r="AT102" s="178">
        <f>+AT97</f>
        <v>0</v>
      </c>
      <c r="AU102" s="178">
        <f>+AU97</f>
        <v>0</v>
      </c>
      <c r="AV102" s="178">
        <f>+AV97</f>
        <v>0</v>
      </c>
      <c r="AW102" s="645">
        <f>+AW97</f>
        <v>0</v>
      </c>
      <c r="AX102" s="19"/>
      <c r="AY102" s="969">
        <f>+AY97</f>
        <v>0</v>
      </c>
      <c r="AZ102" s="178">
        <f>+AZ97</f>
        <v>0</v>
      </c>
      <c r="BA102" s="178">
        <f>+BA97</f>
        <v>0</v>
      </c>
      <c r="BB102" s="178">
        <f>+BB97</f>
        <v>0</v>
      </c>
      <c r="BC102" s="645">
        <f>+BC97</f>
        <v>0</v>
      </c>
      <c r="BD102" s="954"/>
      <c r="BE102" s="969">
        <f>+BE97</f>
        <v>0</v>
      </c>
      <c r="BF102" s="178">
        <f>+BF97</f>
        <v>0</v>
      </c>
      <c r="BG102" s="178">
        <f>+BG97</f>
        <v>0</v>
      </c>
      <c r="BH102" s="178">
        <f>+BH97</f>
        <v>5</v>
      </c>
      <c r="BI102" s="645">
        <f>+BI97</f>
        <v>5</v>
      </c>
      <c r="BJ102" s="954"/>
      <c r="BK102" s="969">
        <f>+BK97</f>
        <v>5</v>
      </c>
      <c r="BL102" s="178">
        <f>+BL97</f>
        <v>10</v>
      </c>
      <c r="BM102" s="178">
        <f>+BM97</f>
        <v>10</v>
      </c>
      <c r="BN102" s="178">
        <f>+BN97</f>
        <v>10</v>
      </c>
      <c r="BO102" s="645">
        <f>+BO97</f>
        <v>35</v>
      </c>
      <c r="BP102" s="954"/>
      <c r="BQ102" s="969">
        <f>+BQ97</f>
        <v>20</v>
      </c>
      <c r="BR102" s="178">
        <f>+BR97</f>
        <v>20</v>
      </c>
      <c r="BS102" s="178">
        <f>+BS97</f>
        <v>20</v>
      </c>
      <c r="BT102" s="178">
        <f>+BT97</f>
        <v>20</v>
      </c>
      <c r="BU102" s="645">
        <f>+BU97</f>
        <v>80</v>
      </c>
      <c r="BV102" s="954"/>
      <c r="BW102" s="969">
        <f>+BW97</f>
        <v>35</v>
      </c>
      <c r="BX102" s="178">
        <f>+BX97</f>
        <v>35</v>
      </c>
      <c r="BY102" s="178">
        <f>+BY97</f>
        <v>35</v>
      </c>
      <c r="BZ102" s="178">
        <f>+BZ97</f>
        <v>35</v>
      </c>
      <c r="CA102" s="645">
        <f>+CA97</f>
        <v>140</v>
      </c>
      <c r="CB102" s="954"/>
      <c r="CC102" s="969">
        <f>+CC97</f>
        <v>40</v>
      </c>
      <c r="CD102" s="178">
        <f>+CD97</f>
        <v>40</v>
      </c>
      <c r="CE102" s="178">
        <f>+CE97</f>
        <v>40</v>
      </c>
      <c r="CF102" s="178">
        <f>+CF97</f>
        <v>40</v>
      </c>
      <c r="CG102" s="645">
        <f>+CG97</f>
        <v>160</v>
      </c>
      <c r="CH102" s="954"/>
      <c r="CI102" s="969">
        <f>+CI97</f>
        <v>45</v>
      </c>
      <c r="CJ102" s="178">
        <f>+CJ97</f>
        <v>45</v>
      </c>
      <c r="CK102" s="178">
        <f>+CK97</f>
        <v>45</v>
      </c>
      <c r="CL102" s="178">
        <f>+CL97</f>
        <v>45</v>
      </c>
      <c r="CM102" s="645">
        <f>+CM97</f>
        <v>180</v>
      </c>
      <c r="CQ102" s="36"/>
      <c r="CR102" s="36"/>
      <c r="CS102" s="36"/>
      <c r="CT102" s="36"/>
      <c r="CU102" s="36"/>
      <c r="CV102" s="36"/>
    </row>
    <row r="103" spans="1:100" s="771" customFormat="1" ht="11.25" customHeight="1" x14ac:dyDescent="0.2">
      <c r="A103" s="408"/>
      <c r="B103" s="1093" t="s">
        <v>646</v>
      </c>
      <c r="C103" s="773"/>
      <c r="D103" s="773"/>
      <c r="E103" s="773"/>
      <c r="F103" s="773"/>
      <c r="G103" s="645"/>
      <c r="H103" s="711"/>
      <c r="I103" s="969">
        <f>+I102+I101</f>
        <v>0</v>
      </c>
      <c r="J103" s="178">
        <f>+J102+J101</f>
        <v>0</v>
      </c>
      <c r="K103" s="178">
        <f>+K102+K101</f>
        <v>0</v>
      </c>
      <c r="L103" s="178">
        <f>+L102+L101</f>
        <v>0</v>
      </c>
      <c r="M103" s="645">
        <f>+M102+M101</f>
        <v>0</v>
      </c>
      <c r="N103" s="711"/>
      <c r="O103" s="969">
        <f>+O102+O101</f>
        <v>0</v>
      </c>
      <c r="P103" s="178">
        <f>+P102+P101</f>
        <v>0</v>
      </c>
      <c r="Q103" s="178">
        <f>+Q102+Q101</f>
        <v>0</v>
      </c>
      <c r="R103" s="178">
        <f>+R102+R101</f>
        <v>0</v>
      </c>
      <c r="S103" s="645">
        <f>+S102+S101</f>
        <v>0</v>
      </c>
      <c r="T103" s="711"/>
      <c r="U103" s="969">
        <f>+U102+U101</f>
        <v>0</v>
      </c>
      <c r="V103" s="178">
        <f>+V102+V101</f>
        <v>0</v>
      </c>
      <c r="W103" s="178">
        <f>+W102+W101</f>
        <v>0</v>
      </c>
      <c r="X103" s="178">
        <f>+X102+X101</f>
        <v>0</v>
      </c>
      <c r="Y103" s="645">
        <f>+Y102+Y101</f>
        <v>0</v>
      </c>
      <c r="Z103" s="711"/>
      <c r="AA103" s="969">
        <f>+AA102+AA101</f>
        <v>0</v>
      </c>
      <c r="AB103" s="178">
        <f>+AB102+AB101</f>
        <v>0</v>
      </c>
      <c r="AC103" s="178">
        <f>+AC102+AC101</f>
        <v>0</v>
      </c>
      <c r="AD103" s="178">
        <f>+AD102+AD101</f>
        <v>0</v>
      </c>
      <c r="AE103" s="645">
        <f>+AE102+AE101</f>
        <v>0</v>
      </c>
      <c r="AF103" s="711"/>
      <c r="AG103" s="969">
        <f>+AG102+AG101</f>
        <v>0</v>
      </c>
      <c r="AH103" s="178">
        <f>+AH102+AH101</f>
        <v>0</v>
      </c>
      <c r="AI103" s="178">
        <f>+AI102+AI101</f>
        <v>0</v>
      </c>
      <c r="AJ103" s="178">
        <f>+AJ102+AJ101</f>
        <v>0</v>
      </c>
      <c r="AK103" s="645">
        <f>+AK102+AK101</f>
        <v>0</v>
      </c>
      <c r="AL103" s="711"/>
      <c r="AM103" s="969">
        <f>+AM102+AM101</f>
        <v>0</v>
      </c>
      <c r="AN103" s="178">
        <f>+AN102+AN101</f>
        <v>0</v>
      </c>
      <c r="AO103" s="178">
        <f>+AO102+AO101</f>
        <v>0</v>
      </c>
      <c r="AP103" s="178">
        <f>+AP102+AP101</f>
        <v>0</v>
      </c>
      <c r="AQ103" s="645">
        <f>+AQ102+AQ101</f>
        <v>0</v>
      </c>
      <c r="AR103" s="711"/>
      <c r="AS103" s="969">
        <f>+AS102+AS101</f>
        <v>0</v>
      </c>
      <c r="AT103" s="178">
        <f>+AT102+AT101</f>
        <v>0</v>
      </c>
      <c r="AU103" s="178">
        <f>+AU102+AU101</f>
        <v>0</v>
      </c>
      <c r="AV103" s="178">
        <f>+AV102+AV101</f>
        <v>0</v>
      </c>
      <c r="AW103" s="645">
        <f>+AW102+AW101</f>
        <v>0</v>
      </c>
      <c r="AX103" s="19"/>
      <c r="AY103" s="969">
        <f>+AY102+AY101</f>
        <v>0</v>
      </c>
      <c r="AZ103" s="178">
        <f>+AZ102+AZ101</f>
        <v>0</v>
      </c>
      <c r="BA103" s="178">
        <f>+BA102+BA101</f>
        <v>0</v>
      </c>
      <c r="BB103" s="178">
        <f>+BB102+BB101</f>
        <v>0</v>
      </c>
      <c r="BC103" s="645">
        <f>+BC102+BC101</f>
        <v>0</v>
      </c>
      <c r="BD103" s="954"/>
      <c r="BE103" s="969">
        <f>+BE102+BE101</f>
        <v>0</v>
      </c>
      <c r="BF103" s="178">
        <f>+BF102+BF101</f>
        <v>1.5159817351598179</v>
      </c>
      <c r="BG103" s="178">
        <f>+BG102+BG101</f>
        <v>1.365697147241403</v>
      </c>
      <c r="BH103" s="178">
        <f>+BH102+BH101</f>
        <v>6.3787575150300606</v>
      </c>
      <c r="BI103" s="645">
        <f>+BI102+BI101</f>
        <v>8.8426168746427471</v>
      </c>
      <c r="BJ103" s="954"/>
      <c r="BK103" s="969">
        <f>+BK102+BK101</f>
        <v>6.8446507760532151</v>
      </c>
      <c r="BL103" s="178">
        <f>+BL102+BL101</f>
        <v>12.20767954133977</v>
      </c>
      <c r="BM103" s="178">
        <f>+BM102+BM101</f>
        <v>12.357577707384678</v>
      </c>
      <c r="BN103" s="178">
        <f>+BN102+BN101</f>
        <v>12.442827681026582</v>
      </c>
      <c r="BO103" s="645">
        <f>+BO102+BO101</f>
        <v>43.846190689857913</v>
      </c>
      <c r="BP103" s="954"/>
      <c r="BQ103" s="969">
        <f>+BQ102+BQ101</f>
        <v>22.34375</v>
      </c>
      <c r="BR103" s="178">
        <f>+BR102+BR101</f>
        <v>23</v>
      </c>
      <c r="BS103" s="178">
        <f>+BS102+BS101</f>
        <v>23.46875</v>
      </c>
      <c r="BT103" s="178">
        <f>+BT102+BT101</f>
        <v>23.75</v>
      </c>
      <c r="BU103" s="645">
        <f>+BU102+BU101</f>
        <v>92.582838209229394</v>
      </c>
      <c r="BV103" s="954"/>
      <c r="BW103" s="969">
        <f>+BW102+BW101</f>
        <v>39.89</v>
      </c>
      <c r="BX103" s="178">
        <f>+BX102+BX101</f>
        <v>40.25</v>
      </c>
      <c r="BY103" s="178">
        <f>+BY102+BY101</f>
        <v>40.31</v>
      </c>
      <c r="BZ103" s="178">
        <f>+BZ102+BZ101</f>
        <v>40.369999999999997</v>
      </c>
      <c r="CA103" s="645">
        <f>+CA102+CA101</f>
        <v>160.85421671272044</v>
      </c>
      <c r="CB103" s="954"/>
      <c r="CC103" s="969">
        <f>+CC102+CC101</f>
        <v>45.055</v>
      </c>
      <c r="CD103" s="178">
        <f>+CD102+CD101</f>
        <v>45.414999999999999</v>
      </c>
      <c r="CE103" s="178">
        <f>+CE102+CE101</f>
        <v>45.475000000000001</v>
      </c>
      <c r="CF103" s="178">
        <f>+CF102+CF101</f>
        <v>45.534999999999997</v>
      </c>
      <c r="CG103" s="645">
        <f>+CG102+CG101</f>
        <v>181.5130762925582</v>
      </c>
      <c r="CH103" s="954"/>
      <c r="CI103" s="969">
        <f>+CI102+CI101</f>
        <v>50.19</v>
      </c>
      <c r="CJ103" s="178">
        <f>+CJ102+CJ101</f>
        <v>50.55</v>
      </c>
      <c r="CK103" s="178">
        <f>+CK102+CK101</f>
        <v>50.61</v>
      </c>
      <c r="CL103" s="178">
        <f>+CL102+CL101</f>
        <v>50.67</v>
      </c>
      <c r="CM103" s="645">
        <f>+CM102+CM101</f>
        <v>202.05489079380521</v>
      </c>
      <c r="CQ103" s="36"/>
      <c r="CR103" s="36"/>
      <c r="CS103" s="36"/>
      <c r="CT103" s="36"/>
      <c r="CU103" s="36"/>
      <c r="CV103" s="36"/>
    </row>
    <row r="104" spans="1:100" s="31" customFormat="1" x14ac:dyDescent="0.2">
      <c r="B104" s="1028" t="s">
        <v>644</v>
      </c>
      <c r="C104" s="1237"/>
      <c r="D104" s="1238"/>
      <c r="E104" s="1238"/>
      <c r="F104" s="1239"/>
      <c r="G104" s="1240"/>
      <c r="H104" s="1029"/>
      <c r="I104" s="793">
        <f>+I103/I99</f>
        <v>0</v>
      </c>
      <c r="J104" s="1046">
        <f>+J103/J99</f>
        <v>0</v>
      </c>
      <c r="K104" s="1046">
        <f>+K103/K99</f>
        <v>0</v>
      </c>
      <c r="L104" s="1241">
        <f>+L103/L99</f>
        <v>0</v>
      </c>
      <c r="M104" s="786">
        <f>+M103/M99</f>
        <v>0</v>
      </c>
      <c r="N104" s="1029"/>
      <c r="O104" s="793">
        <f>+O103/O99</f>
        <v>0</v>
      </c>
      <c r="P104" s="1046">
        <f>+P103/P99</f>
        <v>0</v>
      </c>
      <c r="Q104" s="1046">
        <f>+Q103/Q99</f>
        <v>0</v>
      </c>
      <c r="R104" s="1241">
        <f>+R103/R99</f>
        <v>0</v>
      </c>
      <c r="S104" s="786">
        <f>+S103/S99</f>
        <v>0</v>
      </c>
      <c r="T104" s="1029"/>
      <c r="U104" s="793">
        <f>+U103/U99</f>
        <v>0</v>
      </c>
      <c r="V104" s="1046">
        <f>+V103/V99</f>
        <v>0</v>
      </c>
      <c r="W104" s="1046">
        <f>+W103/W99</f>
        <v>0</v>
      </c>
      <c r="X104" s="1241">
        <f>+X103/X99</f>
        <v>0</v>
      </c>
      <c r="Y104" s="786">
        <f>+Y103/Y99</f>
        <v>0</v>
      </c>
      <c r="Z104" s="1029"/>
      <c r="AA104" s="793">
        <f>+AA103/AA99</f>
        <v>0</v>
      </c>
      <c r="AB104" s="1046">
        <f>+AB103/AB99</f>
        <v>0</v>
      </c>
      <c r="AC104" s="1046">
        <f>+AC103/AC99</f>
        <v>0</v>
      </c>
      <c r="AD104" s="1241">
        <f>+AD103/AD99</f>
        <v>0</v>
      </c>
      <c r="AE104" s="786">
        <f>+AE103/AE99</f>
        <v>0</v>
      </c>
      <c r="AF104" s="1029"/>
      <c r="AG104" s="793">
        <f>+AG103/AG99</f>
        <v>0</v>
      </c>
      <c r="AH104" s="1046">
        <f>+AH103/AH99</f>
        <v>0</v>
      </c>
      <c r="AI104" s="1046">
        <f>+AI103/AI99</f>
        <v>0</v>
      </c>
      <c r="AJ104" s="1241">
        <f>+AJ103/AJ99</f>
        <v>0</v>
      </c>
      <c r="AK104" s="786">
        <f>+AK103/AK99</f>
        <v>0</v>
      </c>
      <c r="AL104" s="1029"/>
      <c r="AM104" s="793">
        <f>+AM103/AM99</f>
        <v>0</v>
      </c>
      <c r="AN104" s="1046">
        <f>+AN103/AN99</f>
        <v>0</v>
      </c>
      <c r="AO104" s="1046">
        <f>+AO103/AO99</f>
        <v>0</v>
      </c>
      <c r="AP104" s="1241">
        <f>+AP103/AP99</f>
        <v>0</v>
      </c>
      <c r="AQ104" s="786">
        <f>+AQ103/AQ99</f>
        <v>0</v>
      </c>
      <c r="AR104" s="1029"/>
      <c r="AS104" s="793">
        <f>+AS103/AS99</f>
        <v>0</v>
      </c>
      <c r="AT104" s="1046">
        <f>+AT103/AT99</f>
        <v>0</v>
      </c>
      <c r="AU104" s="1046">
        <f>+AU103/AU99</f>
        <v>0</v>
      </c>
      <c r="AV104" s="1241">
        <f>+AV103/AV99</f>
        <v>0</v>
      </c>
      <c r="AW104" s="786">
        <f>+AW103/AW99</f>
        <v>0</v>
      </c>
      <c r="AX104" s="1029"/>
      <c r="AY104" s="793">
        <f>+AY103/AY99</f>
        <v>0</v>
      </c>
      <c r="AZ104" s="1046">
        <f>+AZ103/AZ99</f>
        <v>0</v>
      </c>
      <c r="BA104" s="1046">
        <f>+BA103/BA99</f>
        <v>0</v>
      </c>
      <c r="BB104" s="1241">
        <f>+BB103/BB99</f>
        <v>0</v>
      </c>
      <c r="BC104" s="786">
        <f>+BC103/BC99</f>
        <v>0</v>
      </c>
      <c r="BD104" s="1029"/>
      <c r="BE104" s="793">
        <f>+BE103/BE99</f>
        <v>0</v>
      </c>
      <c r="BF104" s="1046">
        <f>+BF103/BF99</f>
        <v>6.5231572080887163E-3</v>
      </c>
      <c r="BG104" s="1046">
        <f>+BG103/BG99</f>
        <v>6.9749598939806076E-3</v>
      </c>
      <c r="BH104" s="1046">
        <f>+BH103/BH99</f>
        <v>3.0904832921657265E-2</v>
      </c>
      <c r="BI104" s="786">
        <f>+BI103/BI99</f>
        <v>1.0996911919714893E-2</v>
      </c>
      <c r="BJ104" s="1029"/>
      <c r="BK104" s="793">
        <f>+BK103/BK99</f>
        <v>4.6278909912462564E-2</v>
      </c>
      <c r="BL104" s="1046">
        <f>+BL103/BL99</f>
        <v>6.2571396931521125E-2</v>
      </c>
      <c r="BM104" s="1046">
        <f>+BM103/BM99</f>
        <v>5.8373064276734395E-2</v>
      </c>
      <c r="BN104" s="1046">
        <f>+BN103/BN99</f>
        <v>5.252354445346806E-2</v>
      </c>
      <c r="BO104" s="786">
        <f>+BO103/BO99</f>
        <v>5.5389326288350069E-2</v>
      </c>
      <c r="BP104" s="1029"/>
      <c r="BQ104" s="793">
        <f>+BQ103/BQ99</f>
        <v>0.16095338429815331</v>
      </c>
      <c r="BR104" s="1046">
        <f>+BR103/BR99</f>
        <v>0.12130146557485501</v>
      </c>
      <c r="BS104" s="1046">
        <f>+BS103/BS99</f>
        <v>0.1065712024823558</v>
      </c>
      <c r="BT104" s="1241">
        <f>+BT103/BT99</f>
        <v>9.4030805679698223E-2</v>
      </c>
      <c r="BU104" s="786">
        <f>+BU103/BU99</f>
        <v>0.11555162233938708</v>
      </c>
      <c r="BV104" s="1029"/>
      <c r="BW104" s="793">
        <f>+BW103/BW99</f>
        <v>0.20437782529844747</v>
      </c>
      <c r="BX104" s="1046">
        <f>+BX103/BX99</f>
        <v>0.17571524009906125</v>
      </c>
      <c r="BY104" s="1046">
        <f>+BY103/BY99</f>
        <v>0.17186911531085522</v>
      </c>
      <c r="BZ104" s="1241">
        <f>+BZ103/BZ99</f>
        <v>0.1613349027453424</v>
      </c>
      <c r="CA104" s="786">
        <f>+CA103/CA99</f>
        <v>0.17695630151022326</v>
      </c>
      <c r="CB104" s="1029"/>
      <c r="CC104" s="793">
        <f>+CC103/CC99</f>
        <v>0.21326053641186563</v>
      </c>
      <c r="CD104" s="1046">
        <f>+CD103/CD99</f>
        <v>0.18531896911021301</v>
      </c>
      <c r="CE104" s="1046">
        <f>+CE103/CE99</f>
        <v>0.18091041724323731</v>
      </c>
      <c r="CF104" s="1241">
        <f>+CF103/CF99</f>
        <v>0.1689564500531372</v>
      </c>
      <c r="CG104" s="786">
        <f>+CG103/CG99</f>
        <v>0.18574695796857102</v>
      </c>
      <c r="CH104" s="1029"/>
      <c r="CI104" s="793">
        <f>+CI103/CI99</f>
        <v>0.22084485993852895</v>
      </c>
      <c r="CJ104" s="1046">
        <f>+CJ103/CJ99</f>
        <v>0.18984276560907548</v>
      </c>
      <c r="CK104" s="1046">
        <f>+CK103/CK99</f>
        <v>0.18607535537101946</v>
      </c>
      <c r="CL104" s="1241">
        <f>+CL103/CL99</f>
        <v>0.17549334047273213</v>
      </c>
      <c r="CM104" s="786">
        <f>+CM103/CM99</f>
        <v>0.19165709431044814</v>
      </c>
      <c r="CN104" s="65"/>
      <c r="CQ104" s="1234"/>
      <c r="CR104" s="1234"/>
      <c r="CS104" s="1234"/>
      <c r="CT104" s="1234"/>
      <c r="CU104" s="1234"/>
      <c r="CV104" s="1234"/>
    </row>
    <row r="105" spans="1:100" s="1234" customFormat="1" outlineLevel="1" x14ac:dyDescent="0.2">
      <c r="B105" s="1243" t="s">
        <v>81</v>
      </c>
      <c r="C105" s="397"/>
      <c r="D105" s="397"/>
      <c r="E105" s="397"/>
      <c r="F105" s="397"/>
      <c r="G105" s="397"/>
      <c r="H105" s="36"/>
      <c r="I105" s="1242">
        <f>+ROUND(I99-'Pro Forma P&amp;L'!I51,3)</f>
        <v>0</v>
      </c>
      <c r="J105" s="1242">
        <f>+ROUND(J99-'Pro Forma P&amp;L'!J51,3)</f>
        <v>0</v>
      </c>
      <c r="K105" s="1242">
        <f>+ROUND(K99-'Pro Forma P&amp;L'!K51,3)</f>
        <v>0</v>
      </c>
      <c r="L105" s="1242">
        <f>+ROUND(L99-'Pro Forma P&amp;L'!L51,3)</f>
        <v>0</v>
      </c>
      <c r="M105" s="1242">
        <f>+ROUND(M99-'Pro Forma P&amp;L'!M51,3)</f>
        <v>0</v>
      </c>
      <c r="N105" s="36"/>
      <c r="O105" s="1242">
        <f>+ROUND(O99-'Pro Forma P&amp;L'!O51,3)</f>
        <v>0</v>
      </c>
      <c r="P105" s="1242">
        <f>+ROUND(P99-'Pro Forma P&amp;L'!P51,3)</f>
        <v>0</v>
      </c>
      <c r="Q105" s="1242">
        <f>+ROUND(Q99-'Pro Forma P&amp;L'!Q51,3)</f>
        <v>0</v>
      </c>
      <c r="R105" s="1242">
        <f>+ROUND(R99-'Pro Forma P&amp;L'!R51,3)</f>
        <v>0</v>
      </c>
      <c r="S105" s="1242">
        <f>+ROUND(S99-'Pro Forma P&amp;L'!S51,3)</f>
        <v>0</v>
      </c>
      <c r="T105" s="36"/>
      <c r="U105" s="1242">
        <f>+ROUND(U99-'Pro Forma P&amp;L'!U51,3)</f>
        <v>0</v>
      </c>
      <c r="V105" s="1242">
        <f>+ROUND(V99-'Pro Forma P&amp;L'!V51,3)</f>
        <v>0</v>
      </c>
      <c r="W105" s="1242">
        <f>+ROUND(W99-'Pro Forma P&amp;L'!W51,3)</f>
        <v>0</v>
      </c>
      <c r="X105" s="1242">
        <f>+ROUND(X99-'Pro Forma P&amp;L'!X51,3)</f>
        <v>0</v>
      </c>
      <c r="Y105" s="1242">
        <f>+ROUND(Y99-'Pro Forma P&amp;L'!Y51,3)</f>
        <v>0</v>
      </c>
      <c r="Z105" s="239"/>
      <c r="AA105" s="1242">
        <f>+ROUND(AA99-'Pro Forma P&amp;L'!AA51,3)</f>
        <v>0</v>
      </c>
      <c r="AB105" s="1242">
        <f>+ROUND(AB99-'Pro Forma P&amp;L'!AB51,3)</f>
        <v>0</v>
      </c>
      <c r="AC105" s="1242">
        <f>+ROUND(AC99-'Pro Forma P&amp;L'!AC51,3)</f>
        <v>0</v>
      </c>
      <c r="AD105" s="1242">
        <f>+ROUND(AD99-'Pro Forma P&amp;L'!AD51,3)</f>
        <v>0</v>
      </c>
      <c r="AE105" s="1242">
        <f>+ROUND(AE99-'Pro Forma P&amp;L'!AE51,3)</f>
        <v>0</v>
      </c>
      <c r="AF105" s="239"/>
      <c r="AG105" s="1242">
        <f>+ROUND(AG99-'Pro Forma P&amp;L'!AG51,3)</f>
        <v>0</v>
      </c>
      <c r="AH105" s="1242">
        <f>+ROUND(AH99-'Pro Forma P&amp;L'!AH51,3)</f>
        <v>0</v>
      </c>
      <c r="AI105" s="1242">
        <f>+ROUND(AI99-'Pro Forma P&amp;L'!AI51,3)</f>
        <v>0</v>
      </c>
      <c r="AJ105" s="1242">
        <f>+ROUND(AJ99-'Pro Forma P&amp;L'!AJ51,3)</f>
        <v>0</v>
      </c>
      <c r="AK105" s="1242">
        <f>+ROUND(AK99-'Pro Forma P&amp;L'!AK51,3)</f>
        <v>0</v>
      </c>
      <c r="AL105" s="239"/>
      <c r="AM105" s="1242">
        <f>+ROUND(AM99-'Pro Forma P&amp;L'!AM51,3)</f>
        <v>0</v>
      </c>
      <c r="AN105" s="1242">
        <f>+ROUND(AN99-'Pro Forma P&amp;L'!AN51,3)</f>
        <v>0</v>
      </c>
      <c r="AO105" s="1242">
        <f>+ROUND(AO99-'Pro Forma P&amp;L'!AO51,3)</f>
        <v>0</v>
      </c>
      <c r="AP105" s="1242">
        <f>+ROUND(AP99-'Pro Forma P&amp;L'!AP51,3)</f>
        <v>0</v>
      </c>
      <c r="AQ105" s="1242">
        <f>+ROUND(AQ99-'Pro Forma P&amp;L'!AQ51,3)</f>
        <v>0</v>
      </c>
      <c r="AR105" s="239"/>
      <c r="AS105" s="1242">
        <f>+ROUND(AS99-'Pro Forma P&amp;L'!AS51,3)</f>
        <v>0</v>
      </c>
      <c r="AT105" s="1242">
        <f>+ROUND(AT99-'Pro Forma P&amp;L'!AT51,3)</f>
        <v>0</v>
      </c>
      <c r="AU105" s="1242">
        <f>+ROUND(AU99-'Pro Forma P&amp;L'!AU51,3)</f>
        <v>0</v>
      </c>
      <c r="AV105" s="1242">
        <f>+ROUND(AV99-'Pro Forma P&amp;L'!AV51,3)</f>
        <v>0</v>
      </c>
      <c r="AW105" s="1242">
        <f>+ROUND(AW99-'Pro Forma P&amp;L'!AW51,3)</f>
        <v>0</v>
      </c>
      <c r="AX105" s="239"/>
      <c r="AY105" s="1242">
        <f>+ROUND(AY99-'Pro Forma P&amp;L'!AY51,3)</f>
        <v>0</v>
      </c>
      <c r="AZ105" s="1242">
        <f>+ROUND(AZ99-'Pro Forma P&amp;L'!AZ51,3)</f>
        <v>0</v>
      </c>
      <c r="BA105" s="1242">
        <f>+ROUND(BA99-'Pro Forma P&amp;L'!BA51,3)</f>
        <v>0</v>
      </c>
      <c r="BB105" s="1242">
        <f>+ROUND(BB99-'Pro Forma P&amp;L'!BB51,3)</f>
        <v>0</v>
      </c>
      <c r="BC105" s="1242">
        <f>+ROUND(BC99-'Pro Forma P&amp;L'!BC51,3)</f>
        <v>0</v>
      </c>
      <c r="BD105" s="239"/>
      <c r="BE105" s="1242"/>
      <c r="BF105" s="1242">
        <f>+ROUND(BF99-'Pro Forma P&amp;L'!BF51,3)</f>
        <v>0</v>
      </c>
      <c r="BG105" s="1242">
        <f>+ROUND(BG99-'Pro Forma P&amp;L'!BG51,3)</f>
        <v>0</v>
      </c>
      <c r="BH105" s="1242">
        <f>+ROUND(BH99-'Pro Forma P&amp;L'!BH51,3)</f>
        <v>0</v>
      </c>
      <c r="BI105" s="1242"/>
      <c r="BJ105" s="239"/>
      <c r="BK105" s="1242">
        <f>+ROUND(BK99-'Pro Forma P&amp;L'!BK51,3)</f>
        <v>0</v>
      </c>
      <c r="BL105" s="1242">
        <f>+ROUND(BL99-'Pro Forma P&amp;L'!BL51,3)</f>
        <v>0</v>
      </c>
      <c r="BM105" s="1242">
        <f>+ROUND(BM99-'Pro Forma P&amp;L'!BM51,3)</f>
        <v>0</v>
      </c>
      <c r="BN105" s="1242">
        <f>+ROUND(BN99-'Pro Forma P&amp;L'!BN51,3)</f>
        <v>0</v>
      </c>
      <c r="BO105" s="1242">
        <f>+ROUND(BO99-'Pro Forma P&amp;L'!BO51,3)</f>
        <v>0</v>
      </c>
      <c r="BP105" s="239"/>
      <c r="BQ105" s="1242">
        <f>+ROUND(BQ99-'Pro Forma P&amp;L'!BQ51,3)</f>
        <v>0</v>
      </c>
      <c r="BR105" s="1242">
        <f>+ROUND(BR99-'Pro Forma P&amp;L'!BR51,3)</f>
        <v>0</v>
      </c>
      <c r="BS105" s="1242">
        <f>+ROUND(BS99-'Pro Forma P&amp;L'!BS51,3)</f>
        <v>0</v>
      </c>
      <c r="BT105" s="1242">
        <f>+ROUND(BT99-'Pro Forma P&amp;L'!BT51,3)</f>
        <v>0</v>
      </c>
      <c r="BU105" s="1242">
        <f>+ROUND(BU99-'Pro Forma P&amp;L'!BU51,3)</f>
        <v>0</v>
      </c>
      <c r="BV105" s="239"/>
      <c r="BW105" s="1242">
        <f>+ROUND(BW99-'Pro Forma P&amp;L'!BW51,3)</f>
        <v>0</v>
      </c>
      <c r="BX105" s="1242">
        <f>+ROUND(BX99-'Pro Forma P&amp;L'!BX51,3)</f>
        <v>0</v>
      </c>
      <c r="BY105" s="1242">
        <f>+ROUND(BY99-'Pro Forma P&amp;L'!BY51,3)</f>
        <v>0</v>
      </c>
      <c r="BZ105" s="1242">
        <f>+ROUND(BZ99-'Pro Forma P&amp;L'!BZ51,3)</f>
        <v>0</v>
      </c>
      <c r="CA105" s="1242">
        <f>+ROUND(CA99-'Pro Forma P&amp;L'!CA51,3)</f>
        <v>0</v>
      </c>
      <c r="CB105" s="239"/>
      <c r="CC105" s="1242">
        <f>+ROUND(CC99-'Pro Forma P&amp;L'!CC51,3)</f>
        <v>0</v>
      </c>
      <c r="CD105" s="1242">
        <f>+ROUND(CD99-'Pro Forma P&amp;L'!CD51,3)</f>
        <v>0</v>
      </c>
      <c r="CE105" s="1242">
        <f>+ROUND(CE99-'Pro Forma P&amp;L'!CE51,3)</f>
        <v>0</v>
      </c>
      <c r="CF105" s="1242">
        <f>+ROUND(CF99-'Pro Forma P&amp;L'!CF51,3)</f>
        <v>0</v>
      </c>
      <c r="CG105" s="1242">
        <f>+ROUND(CG99-'Pro Forma P&amp;L'!CG51,3)</f>
        <v>0</v>
      </c>
      <c r="CH105"/>
      <c r="CI105"/>
      <c r="CJ105"/>
      <c r="CK105"/>
      <c r="CL105"/>
      <c r="CM105"/>
    </row>
    <row r="106" spans="1:100" s="1102" customFormat="1" ht="11.25" customHeight="1" x14ac:dyDescent="0.2">
      <c r="AY106" s="424"/>
      <c r="BF106" s="178"/>
      <c r="BG106" s="1242"/>
      <c r="CO106"/>
      <c r="CP106"/>
      <c r="CQ106"/>
      <c r="CR106"/>
      <c r="CS106"/>
      <c r="CT106"/>
      <c r="CU106"/>
      <c r="CV106"/>
    </row>
    <row r="107" spans="1:100" s="1016" customFormat="1" ht="12.75" customHeight="1" x14ac:dyDescent="0.2">
      <c r="A107" s="1033" t="s">
        <v>587</v>
      </c>
      <c r="B107" s="937" t="s">
        <v>595</v>
      </c>
      <c r="C107" s="938"/>
      <c r="D107" s="939"/>
      <c r="E107" s="939"/>
      <c r="F107" s="939"/>
      <c r="G107" s="940"/>
      <c r="H107" s="941"/>
      <c r="I107" s="938"/>
      <c r="J107" s="939"/>
      <c r="K107" s="939"/>
      <c r="L107" s="939"/>
      <c r="M107" s="940"/>
      <c r="N107" s="941"/>
      <c r="O107" s="938"/>
      <c r="P107" s="939"/>
      <c r="Q107" s="939"/>
      <c r="R107" s="939"/>
      <c r="S107" s="940"/>
      <c r="T107" s="941"/>
      <c r="U107" s="938"/>
      <c r="V107" s="939"/>
      <c r="W107" s="939"/>
      <c r="X107" s="939"/>
      <c r="Y107" s="940"/>
      <c r="Z107" s="941"/>
      <c r="AA107" s="938"/>
      <c r="AB107" s="939"/>
      <c r="AC107" s="939"/>
      <c r="AD107" s="939"/>
      <c r="AE107" s="940"/>
      <c r="AF107" s="941"/>
      <c r="AG107" s="938"/>
      <c r="AH107" s="939"/>
      <c r="AI107" s="939"/>
      <c r="AJ107" s="939"/>
      <c r="AK107" s="940"/>
      <c r="AL107" s="941"/>
      <c r="AM107" s="938"/>
      <c r="AN107" s="939"/>
      <c r="AO107" s="939"/>
      <c r="AP107" s="939"/>
      <c r="AQ107" s="940"/>
      <c r="AR107" s="941"/>
      <c r="AS107" s="938"/>
      <c r="AT107" s="939"/>
      <c r="AU107" s="939"/>
      <c r="AV107" s="939"/>
      <c r="AW107" s="940"/>
      <c r="AX107" s="941"/>
      <c r="AY107" s="938"/>
      <c r="AZ107" s="939"/>
      <c r="BA107" s="939"/>
      <c r="BB107" s="939"/>
      <c r="BC107" s="940"/>
      <c r="BD107" s="941"/>
      <c r="BE107" s="938"/>
      <c r="BF107" s="939"/>
      <c r="BG107" s="939"/>
      <c r="BH107" s="939"/>
      <c r="BI107" s="940"/>
      <c r="BJ107" s="941"/>
      <c r="BK107" s="938"/>
      <c r="BL107" s="939"/>
      <c r="BM107" s="939"/>
      <c r="BN107" s="939"/>
      <c r="BO107" s="940"/>
      <c r="BP107" s="941"/>
      <c r="BQ107" s="1244"/>
      <c r="BR107" s="1097"/>
      <c r="BS107" s="939"/>
      <c r="BT107" s="939"/>
      <c r="BU107" s="940"/>
      <c r="BV107" s="941"/>
      <c r="BW107" s="938"/>
      <c r="BX107" s="939"/>
      <c r="BY107" s="939"/>
      <c r="BZ107" s="939"/>
      <c r="CA107" s="940"/>
      <c r="CB107" s="941"/>
      <c r="CC107" s="938"/>
      <c r="CD107" s="939"/>
      <c r="CE107" s="939"/>
      <c r="CF107" s="939"/>
      <c r="CG107" s="940"/>
      <c r="CH107" s="941"/>
      <c r="CI107" s="938"/>
      <c r="CJ107" s="939"/>
      <c r="CK107" s="939"/>
      <c r="CL107" s="939"/>
      <c r="CM107" s="940"/>
      <c r="CN107" s="62"/>
      <c r="CO107"/>
      <c r="CP107"/>
      <c r="CQ107"/>
      <c r="CR107"/>
      <c r="CS107"/>
      <c r="CT107"/>
      <c r="CU107"/>
      <c r="CV107"/>
    </row>
    <row r="108" spans="1:100" s="963" customFormat="1" ht="12.75" customHeight="1" x14ac:dyDescent="0.2">
      <c r="A108" s="291"/>
      <c r="B108" s="1047" t="s">
        <v>598</v>
      </c>
      <c r="C108" s="1063">
        <v>423.26600000000002</v>
      </c>
      <c r="D108" s="1059">
        <v>462.108</v>
      </c>
      <c r="E108" s="1059">
        <v>445.33199999999999</v>
      </c>
      <c r="F108" s="1059">
        <v>489.19299999999998</v>
      </c>
      <c r="G108" s="1060">
        <v>1819.8990000000001</v>
      </c>
      <c r="H108" s="1059"/>
      <c r="I108" s="1063">
        <v>496.24799999999999</v>
      </c>
      <c r="J108" s="1059">
        <v>542.27300000000002</v>
      </c>
      <c r="K108" s="1059">
        <v>488.08600000000001</v>
      </c>
      <c r="L108" s="1059">
        <v>467.19299999999981</v>
      </c>
      <c r="M108" s="1060">
        <v>1993.7999999999997</v>
      </c>
      <c r="N108" s="1059"/>
      <c r="O108" s="1063">
        <v>465.64999999999992</v>
      </c>
      <c r="P108" s="1059">
        <v>511.52699999999999</v>
      </c>
      <c r="Q108" s="1059">
        <v>493.81799999999998</v>
      </c>
      <c r="R108" s="1059">
        <v>519.67100000000005</v>
      </c>
      <c r="S108" s="1060">
        <v>1990.6659999999999</v>
      </c>
      <c r="T108" s="1059"/>
      <c r="U108" s="1063">
        <v>497.48599999999999</v>
      </c>
      <c r="V108" s="1059">
        <v>519.28</v>
      </c>
      <c r="W108" s="1059">
        <v>494.346</v>
      </c>
      <c r="X108" s="1059">
        <v>520.64499999999998</v>
      </c>
      <c r="Y108" s="1060">
        <v>2031.7570000000001</v>
      </c>
      <c r="Z108" s="1059"/>
      <c r="AA108" s="1063">
        <v>527.005</v>
      </c>
      <c r="AB108" s="1059">
        <v>563.99</v>
      </c>
      <c r="AC108" s="1059">
        <v>563.75099999999998</v>
      </c>
      <c r="AD108" s="1059">
        <v>677.8</v>
      </c>
      <c r="AE108" s="1060">
        <v>2332.5459999999998</v>
      </c>
      <c r="AF108" s="1059"/>
      <c r="AG108" s="1063">
        <v>665.625</v>
      </c>
      <c r="AH108" s="1059">
        <v>698.48</v>
      </c>
      <c r="AI108" s="1059">
        <v>647.12</v>
      </c>
      <c r="AJ108" s="1059">
        <v>703.47299999999996</v>
      </c>
      <c r="AK108" s="1060">
        <v>2714.6979999999999</v>
      </c>
      <c r="AL108" s="1059"/>
      <c r="AM108" s="1063">
        <v>672.649</v>
      </c>
      <c r="AN108" s="1059">
        <v>715.95600000000002</v>
      </c>
      <c r="AO108" s="1059">
        <v>669.42499999999995</v>
      </c>
      <c r="AP108" s="1059">
        <v>713.66899999999998</v>
      </c>
      <c r="AQ108" s="1060">
        <v>2771.6989999999996</v>
      </c>
      <c r="AR108" s="1059"/>
      <c r="AS108" s="1063">
        <v>689.18200000000002</v>
      </c>
      <c r="AT108" s="1059">
        <v>730.89800000000002</v>
      </c>
      <c r="AU108" s="1059">
        <v>681.58399999999995</v>
      </c>
      <c r="AV108" s="1059">
        <v>691.01099999999997</v>
      </c>
      <c r="AW108" s="1060">
        <v>2792.6749999999997</v>
      </c>
      <c r="AX108" s="1059"/>
      <c r="AY108" s="1063">
        <v>631.54700000000003</v>
      </c>
      <c r="AZ108" s="1059">
        <v>674.69799999999998</v>
      </c>
      <c r="BA108" s="1059">
        <v>629.29999999999995</v>
      </c>
      <c r="BB108" s="1059">
        <v>645.9</v>
      </c>
      <c r="BC108" s="1060">
        <v>2581.4449999999997</v>
      </c>
      <c r="BD108" s="1059"/>
      <c r="BE108" s="1063">
        <v>625.6</v>
      </c>
      <c r="BF108" s="1059"/>
      <c r="BG108" s="1059"/>
      <c r="BH108" s="1059"/>
      <c r="BI108" s="645"/>
      <c r="BJ108" s="1082"/>
      <c r="BK108" s="1063"/>
      <c r="BL108" s="1059"/>
      <c r="BM108" s="1059"/>
      <c r="BN108" s="1059"/>
      <c r="BO108" s="1060"/>
      <c r="BP108" s="1082"/>
      <c r="BQ108" s="1063"/>
      <c r="BR108" s="1059"/>
      <c r="BS108" s="1059"/>
      <c r="BT108" s="1059"/>
      <c r="BU108" s="1060"/>
      <c r="BV108" s="1082"/>
      <c r="BW108" s="1063"/>
      <c r="BX108" s="1059"/>
      <c r="BY108" s="1059"/>
      <c r="BZ108" s="1059"/>
      <c r="CA108" s="1060"/>
      <c r="CB108" s="1082"/>
      <c r="CC108" s="1063"/>
      <c r="CD108" s="1059"/>
      <c r="CE108" s="1059"/>
      <c r="CF108" s="1059"/>
      <c r="CG108" s="1060"/>
      <c r="CH108" s="1082"/>
      <c r="CI108" s="1063"/>
      <c r="CJ108" s="1059"/>
      <c r="CK108" s="1059"/>
      <c r="CL108" s="1059"/>
      <c r="CM108" s="1060"/>
      <c r="CN108" s="747"/>
      <c r="CO108"/>
      <c r="CP108"/>
      <c r="CQ108"/>
      <c r="CR108"/>
      <c r="CS108"/>
      <c r="CT108"/>
      <c r="CU108"/>
      <c r="CV108"/>
    </row>
    <row r="109" spans="1:100" s="1017" customFormat="1" ht="12.75" customHeight="1" outlineLevel="1" x14ac:dyDescent="0.2">
      <c r="A109" s="291"/>
      <c r="B109" s="1083" t="s">
        <v>541</v>
      </c>
      <c r="C109" s="1045"/>
      <c r="D109" s="1080"/>
      <c r="E109" s="1080"/>
      <c r="F109" s="1080"/>
      <c r="G109" s="1081">
        <v>1.6E-2</v>
      </c>
      <c r="H109" s="1059"/>
      <c r="I109" s="1045">
        <v>3.2000000000000001E-2</v>
      </c>
      <c r="J109" s="1080">
        <v>3.1E-2</v>
      </c>
      <c r="K109" s="1080">
        <v>0.01</v>
      </c>
      <c r="L109" s="1080">
        <v>1.100000000000001E-2</v>
      </c>
      <c r="M109" s="1081">
        <v>2.1000000000000001E-2</v>
      </c>
      <c r="N109" s="1059"/>
      <c r="O109" s="1045">
        <v>4.3999999999999997E-2</v>
      </c>
      <c r="P109" s="1080">
        <v>4.3999999999999997E-2</v>
      </c>
      <c r="Q109" s="1080">
        <v>0.04</v>
      </c>
      <c r="R109" s="1080">
        <v>5.1999999999999991E-2</v>
      </c>
      <c r="S109" s="1081">
        <v>4.4999999999999998E-2</v>
      </c>
      <c r="T109" s="1059"/>
      <c r="U109" s="1045">
        <v>1.4459999999998756E-3</v>
      </c>
      <c r="V109" s="1080">
        <v>1.8489999999998969E-3</v>
      </c>
      <c r="W109" s="1080">
        <v>2.4040000000001456E-3</v>
      </c>
      <c r="X109" s="1080">
        <v>-8.3109670791712571E-3</v>
      </c>
      <c r="Y109" s="1081">
        <v>-7.5988979467175573E-4</v>
      </c>
      <c r="Z109" s="1059"/>
      <c r="AA109" s="1045">
        <v>7.6630000000000248E-3</v>
      </c>
      <c r="AB109" s="1080">
        <v>-2.4799999999999822E-2</v>
      </c>
      <c r="AC109" s="1080">
        <v>5.7250000000000009E-2</v>
      </c>
      <c r="AD109" s="1080">
        <v>0.25222674778399867</v>
      </c>
      <c r="AE109" s="1081">
        <v>7.4101378667823015E-2</v>
      </c>
      <c r="AF109" s="1059"/>
      <c r="AG109" s="1045">
        <v>0.23758799999999988</v>
      </c>
      <c r="AH109" s="1080">
        <v>0.26029999999999981</v>
      </c>
      <c r="AI109" s="1080">
        <v>0.17341694017394221</v>
      </c>
      <c r="AJ109" s="1080">
        <v>2.4016228976099438E-2</v>
      </c>
      <c r="AK109" s="1081">
        <v>0.16550963384216225</v>
      </c>
      <c r="AL109" s="1059"/>
      <c r="AM109" s="1045">
        <v>1.059999999999892E-3</v>
      </c>
      <c r="AN109" s="1080">
        <v>-1.5440000000000086E-2</v>
      </c>
      <c r="AO109" s="1080">
        <v>1.607810223908171E-4</v>
      </c>
      <c r="AP109" s="1080">
        <v>2.5441364112806309E-3</v>
      </c>
      <c r="AQ109" s="1081">
        <v>-3.0151393676710147E-3</v>
      </c>
      <c r="AR109" s="1059"/>
      <c r="AS109" s="1045">
        <v>-5.3400000000001164E-3</v>
      </c>
      <c r="AT109" s="1080">
        <v>-1.3869999999999955E-2</v>
      </c>
      <c r="AU109" s="1080">
        <v>2.1600000000000282E-3</v>
      </c>
      <c r="AV109" s="1080">
        <v>-1.1422999999999879E-2</v>
      </c>
      <c r="AW109" s="1081">
        <v>-7.2982449995471895E-3</v>
      </c>
      <c r="AX109" s="1059"/>
      <c r="AY109" s="1045">
        <v>-2.1240000000000005E-2</v>
      </c>
      <c r="AZ109" s="1080">
        <v>-7.11800000000008E-3</v>
      </c>
      <c r="BA109" s="1080">
        <v>-1.713999999999995E-2</v>
      </c>
      <c r="BB109" s="1080">
        <v>-6.6040000000000508E-3</v>
      </c>
      <c r="BC109" s="1081">
        <v>-1.2921855943853139E-2</v>
      </c>
      <c r="BD109" s="1059"/>
      <c r="BE109" s="1045">
        <v>7.8199999999999988E-3</v>
      </c>
      <c r="BF109" s="1080"/>
      <c r="BG109" s="1080"/>
      <c r="BH109" s="1080"/>
      <c r="BI109" s="1081"/>
      <c r="BJ109" s="1082"/>
      <c r="BK109" s="1045"/>
      <c r="BL109" s="1080"/>
      <c r="BM109" s="1080"/>
      <c r="BN109" s="1080"/>
      <c r="BO109" s="1081"/>
      <c r="BP109" s="1082"/>
      <c r="BQ109" s="1045"/>
      <c r="BR109" s="1080"/>
      <c r="BS109" s="1080"/>
      <c r="BT109" s="1080"/>
      <c r="BU109" s="1081"/>
      <c r="BV109" s="1082"/>
      <c r="BW109" s="1045"/>
      <c r="BX109" s="1080"/>
      <c r="BY109" s="1080"/>
      <c r="BZ109" s="1080"/>
      <c r="CA109" s="1081"/>
      <c r="CB109" s="1082"/>
      <c r="CC109" s="1045"/>
      <c r="CD109" s="1080"/>
      <c r="CE109" s="1080"/>
      <c r="CF109" s="1080"/>
      <c r="CG109" s="1081"/>
      <c r="CH109" s="1082"/>
      <c r="CI109" s="1045"/>
      <c r="CJ109" s="1080"/>
      <c r="CK109" s="1080"/>
      <c r="CL109" s="1080"/>
      <c r="CM109" s="1081"/>
      <c r="CN109" s="747"/>
      <c r="CO109" s="748"/>
      <c r="CP109" s="749"/>
      <c r="CQ109"/>
      <c r="CR109"/>
      <c r="CS109"/>
      <c r="CT109"/>
      <c r="CU109"/>
      <c r="CV109"/>
    </row>
    <row r="110" spans="1:100" s="1017" customFormat="1" ht="12.75" customHeight="1" outlineLevel="1" x14ac:dyDescent="0.2">
      <c r="A110" s="291"/>
      <c r="B110" s="1083" t="s">
        <v>586</v>
      </c>
      <c r="C110" s="1045"/>
      <c r="D110" s="1080"/>
      <c r="E110" s="1080"/>
      <c r="F110" s="1080"/>
      <c r="G110" s="1081">
        <v>4.1000000000000002E-2</v>
      </c>
      <c r="H110" s="1059"/>
      <c r="I110" s="1045">
        <v>7.6999999999999999E-2</v>
      </c>
      <c r="J110" s="1080">
        <v>8.3000000000000004E-2</v>
      </c>
      <c r="K110" s="1080">
        <v>3.2000000000000001E-2</v>
      </c>
      <c r="L110" s="1080">
        <v>-4.4000000000000011E-2</v>
      </c>
      <c r="M110" s="1081">
        <v>3.6999999999999998E-2</v>
      </c>
      <c r="N110" s="1059"/>
      <c r="O110" s="1045">
        <v>-6.8658686785639578E-2</v>
      </c>
      <c r="P110" s="1080">
        <v>-6.1698378860832175E-2</v>
      </c>
      <c r="Q110" s="1080">
        <v>-1.3256167970398726E-2</v>
      </c>
      <c r="R110" s="1080">
        <v>5.3527880340673482E-2</v>
      </c>
      <c r="S110" s="1081">
        <v>-2.4571872805697594E-2</v>
      </c>
      <c r="T110" s="1059"/>
      <c r="U110" s="1045">
        <v>4.1368946633738052E-2</v>
      </c>
      <c r="V110" s="1080">
        <v>-1.2843419799932285E-2</v>
      </c>
      <c r="W110" s="1080">
        <v>-2.2930780165972144E-2</v>
      </c>
      <c r="X110" s="1080">
        <v>-1.7777016612439316E-4</v>
      </c>
      <c r="Y110" s="1081">
        <v>6.4183544602649037E-4</v>
      </c>
      <c r="Z110" s="1059"/>
      <c r="AA110" s="1045">
        <v>1.3336343133274073E-2</v>
      </c>
      <c r="AB110" s="1080">
        <v>7.7099984594053331E-2</v>
      </c>
      <c r="AC110" s="1080">
        <v>4.4397616244492649E-2</v>
      </c>
      <c r="AD110" s="1080">
        <v>8.0000000000000002E-3</v>
      </c>
      <c r="AE110" s="1081">
        <v>3.6244224348456998E-2</v>
      </c>
      <c r="AF110" s="1059"/>
      <c r="AG110" s="1045">
        <v>-1.9966442443619947E-2</v>
      </c>
      <c r="AH110" s="1080">
        <v>-6.1538325147608874E-2</v>
      </c>
      <c r="AI110" s="1080">
        <v>-5.3094275664256008E-2</v>
      </c>
      <c r="AJ110" s="1080">
        <v>-2.1139274122160157E-2</v>
      </c>
      <c r="AK110" s="1081">
        <v>-3.8382533224679792E-2</v>
      </c>
      <c r="AL110" s="1059"/>
      <c r="AM110" s="1045">
        <v>-6.447511737089115E-3</v>
      </c>
      <c r="AN110" s="1080">
        <v>8.0200435230787376E-3</v>
      </c>
      <c r="AO110" s="1080">
        <v>7.4473238113338634E-3</v>
      </c>
      <c r="AP110" s="1080">
        <v>3.50966789961683E-3</v>
      </c>
      <c r="AQ110" s="1081">
        <v>3.1852638981101308E-3</v>
      </c>
      <c r="AR110" s="1059"/>
      <c r="AS110" s="1045">
        <v>5.5789408740666464E-3</v>
      </c>
      <c r="AT110" s="1080">
        <v>1.7869997597617652E-2</v>
      </c>
      <c r="AU110" s="1080">
        <v>-1.1836650857078829E-2</v>
      </c>
      <c r="AV110" s="1080">
        <v>-5.2748611751386218E-2</v>
      </c>
      <c r="AW110" s="1081">
        <v>-1.0303794696235878E-2</v>
      </c>
      <c r="AX110" s="1059"/>
      <c r="AY110" s="1045">
        <v>-9.6628127258111748E-2</v>
      </c>
      <c r="AZ110" s="1080">
        <v>-0.10889171402849648</v>
      </c>
      <c r="BA110" s="1080">
        <v>-9.0709547172468805E-2</v>
      </c>
      <c r="BB110" s="1080">
        <v>-8.0282607657475732E-2</v>
      </c>
      <c r="BC110" s="1081">
        <v>-9.4383404806116969E-2</v>
      </c>
      <c r="BD110" s="1059"/>
      <c r="BE110" s="1045">
        <v>-2.5999999999999999E-2</v>
      </c>
      <c r="BF110" s="1080"/>
      <c r="BG110" s="1080"/>
      <c r="BH110" s="1080"/>
      <c r="BI110" s="1081"/>
      <c r="BJ110" s="1082"/>
      <c r="BK110" s="1045"/>
      <c r="BL110" s="1080"/>
      <c r="BM110" s="1080"/>
      <c r="BN110" s="1080"/>
      <c r="BO110" s="1081"/>
      <c r="BP110" s="1082"/>
      <c r="BQ110" s="1045"/>
      <c r="BR110" s="1080"/>
      <c r="BS110" s="1080"/>
      <c r="BT110" s="1080"/>
      <c r="BU110" s="1081"/>
      <c r="BV110" s="1082"/>
      <c r="BW110" s="1045"/>
      <c r="BX110" s="1080"/>
      <c r="BY110" s="1080"/>
      <c r="BZ110" s="1080"/>
      <c r="CA110" s="1081"/>
      <c r="CB110" s="1082"/>
      <c r="CC110" s="1045"/>
      <c r="CD110" s="1080"/>
      <c r="CE110" s="1080"/>
      <c r="CF110" s="1080"/>
      <c r="CG110" s="1081"/>
      <c r="CH110" s="1082"/>
      <c r="CI110" s="1045"/>
      <c r="CJ110" s="1080"/>
      <c r="CK110" s="1080"/>
      <c r="CL110" s="1080"/>
      <c r="CM110" s="1081"/>
      <c r="CN110" s="747"/>
      <c r="CO110" s="748"/>
      <c r="CP110" s="749"/>
      <c r="CQ110"/>
      <c r="CR110"/>
      <c r="CS110"/>
      <c r="CT110"/>
      <c r="CU110"/>
      <c r="CV110"/>
    </row>
    <row r="111" spans="1:100" s="1017" customFormat="1" ht="12.75" customHeight="1" outlineLevel="1" x14ac:dyDescent="0.2">
      <c r="A111" s="291"/>
      <c r="B111" s="1083" t="s">
        <v>542</v>
      </c>
      <c r="C111" s="1045"/>
      <c r="D111" s="1080"/>
      <c r="E111" s="1080"/>
      <c r="F111" s="1080"/>
      <c r="G111" s="1081">
        <v>0.08</v>
      </c>
      <c r="H111" s="1059"/>
      <c r="I111" s="1045">
        <v>0</v>
      </c>
      <c r="J111" s="1080">
        <v>0</v>
      </c>
      <c r="K111" s="1080">
        <v>0</v>
      </c>
      <c r="L111" s="1080">
        <v>0.23599999999999999</v>
      </c>
      <c r="M111" s="1081">
        <v>5.8999999999999997E-2</v>
      </c>
      <c r="N111" s="1059"/>
      <c r="O111" s="1045">
        <v>6.9999999999999993E-3</v>
      </c>
      <c r="P111" s="1080">
        <v>4.9999999999999975E-3</v>
      </c>
      <c r="Q111" s="1080">
        <v>2.5000000000000001E-2</v>
      </c>
      <c r="R111" s="1080">
        <v>5.5000000000000007E-2</v>
      </c>
      <c r="S111" s="1081">
        <v>2.3E-2</v>
      </c>
      <c r="T111" s="1059"/>
      <c r="U111" s="1045">
        <v>2.6445999999999876E-2</v>
      </c>
      <c r="V111" s="1080">
        <v>2.6848999999999897E-2</v>
      </c>
      <c r="W111" s="1080">
        <v>2.2404000000000146E-2</v>
      </c>
      <c r="X111" s="1080">
        <v>5.2614408213130619E-3</v>
      </c>
      <c r="Y111" s="1081">
        <v>2.0240110205328246E-2</v>
      </c>
      <c r="Z111" s="1059"/>
      <c r="AA111" s="1045">
        <v>4.5663000000000023E-2</v>
      </c>
      <c r="AB111" s="1080">
        <v>-2.3799999999999821E-2</v>
      </c>
      <c r="AC111" s="1080">
        <v>4.6250000000000013E-2</v>
      </c>
      <c r="AD111" s="1080">
        <v>0.24022674778399866</v>
      </c>
      <c r="AE111" s="1081">
        <v>7.8101378667823018E-2</v>
      </c>
      <c r="AF111" s="1059"/>
      <c r="AG111" s="1045">
        <v>0.24858799999999989</v>
      </c>
      <c r="AH111" s="1080">
        <v>0.29629999999999979</v>
      </c>
      <c r="AI111" s="1080">
        <v>0.2204169401739422</v>
      </c>
      <c r="AJ111" s="1080">
        <v>8.3016228976099435E-2</v>
      </c>
      <c r="AK111" s="1081">
        <v>0.20550963384216225</v>
      </c>
      <c r="AL111" s="1059"/>
      <c r="AM111" s="1045">
        <v>1.7059999999999891E-2</v>
      </c>
      <c r="AN111" s="1080">
        <v>1.1559999999999914E-2</v>
      </c>
      <c r="AO111" s="1080">
        <v>2.7160781022390817E-2</v>
      </c>
      <c r="AP111" s="1080">
        <v>1.054413641128063E-2</v>
      </c>
      <c r="AQ111" s="1081">
        <v>1.5984860632328984E-2</v>
      </c>
      <c r="AR111" s="1059"/>
      <c r="AS111" s="1045">
        <v>5.659999999999883E-3</v>
      </c>
      <c r="AT111" s="1080">
        <v>-1.9869999999999957E-2</v>
      </c>
      <c r="AU111" s="1080">
        <v>2.616000000000003E-2</v>
      </c>
      <c r="AV111" s="1080">
        <v>7.5770000000001201E-3</v>
      </c>
      <c r="AW111" s="1081">
        <v>4.4623456259505626E-3</v>
      </c>
      <c r="AX111" s="1059"/>
      <c r="AY111" s="1045">
        <v>-8.240000000000006E-3</v>
      </c>
      <c r="AZ111" s="1080">
        <v>2.8881999999999918E-2</v>
      </c>
      <c r="BA111" s="1080">
        <v>-1.3999999999994919E-4</v>
      </c>
      <c r="BB111" s="1080">
        <v>3.3959999999999494E-3</v>
      </c>
      <c r="BC111" s="1081">
        <v>6.3314414400010757E-3</v>
      </c>
      <c r="BD111" s="1059"/>
      <c r="BE111" s="1045">
        <v>5.2819999999999999E-2</v>
      </c>
      <c r="BF111" s="1080"/>
      <c r="BG111" s="1080"/>
      <c r="BH111" s="1080"/>
      <c r="BI111" s="1081"/>
      <c r="BJ111" s="1082"/>
      <c r="BK111" s="1045"/>
      <c r="BL111" s="1080"/>
      <c r="BM111" s="1080"/>
      <c r="BN111" s="1080"/>
      <c r="BO111" s="1081"/>
      <c r="BP111" s="1082"/>
      <c r="BQ111" s="1045"/>
      <c r="BR111" s="1080"/>
      <c r="BS111" s="1080"/>
      <c r="BT111" s="1080"/>
      <c r="BU111" s="1081"/>
      <c r="BV111" s="1082"/>
      <c r="BW111" s="1045"/>
      <c r="BX111" s="1080"/>
      <c r="BY111" s="1080"/>
      <c r="BZ111" s="1080"/>
      <c r="CA111" s="1081"/>
      <c r="CB111" s="1082"/>
      <c r="CC111" s="1045"/>
      <c r="CD111" s="1080"/>
      <c r="CE111" s="1080"/>
      <c r="CF111" s="1080"/>
      <c r="CG111" s="1081"/>
      <c r="CH111" s="1082"/>
      <c r="CI111" s="1045"/>
      <c r="CJ111" s="1080"/>
      <c r="CK111" s="1080"/>
      <c r="CL111" s="1080"/>
      <c r="CM111" s="1081"/>
      <c r="CN111" s="747"/>
      <c r="CO111" s="748"/>
      <c r="CP111" s="749"/>
      <c r="CQ111"/>
      <c r="CR111"/>
      <c r="CS111"/>
      <c r="CT111"/>
      <c r="CU111"/>
      <c r="CV111"/>
    </row>
    <row r="112" spans="1:100" s="1017" customFormat="1" ht="12.75" customHeight="1" x14ac:dyDescent="0.2">
      <c r="A112" s="291"/>
      <c r="B112" s="1083" t="s">
        <v>544</v>
      </c>
      <c r="C112" s="1045">
        <v>6.4000000000000001E-2</v>
      </c>
      <c r="D112" s="1080">
        <v>6.3E-2</v>
      </c>
      <c r="E112" s="1080">
        <v>5.8999999999999997E-2</v>
      </c>
      <c r="F112" s="1080">
        <v>7.0000000000000007E-2</v>
      </c>
      <c r="G112" s="1081">
        <v>6.4000000000000001E-2</v>
      </c>
      <c r="H112" s="1059"/>
      <c r="I112" s="1045">
        <v>6.3792000000000001E-2</v>
      </c>
      <c r="J112" s="1080">
        <v>6.2839999999999993E-2</v>
      </c>
      <c r="K112" s="1080">
        <v>5.5713000000000006E-2</v>
      </c>
      <c r="L112" s="1080">
        <v>-2.0528999999999988E-2</v>
      </c>
      <c r="M112" s="1081">
        <v>4.0537194489364527E-2</v>
      </c>
      <c r="N112" s="1059"/>
      <c r="O112" s="1045">
        <v>-3.7035000000000005E-2</v>
      </c>
      <c r="P112" s="1080">
        <v>-4.0150000000000005E-2</v>
      </c>
      <c r="Q112" s="1080">
        <v>-1.4421E-2</v>
      </c>
      <c r="R112" s="1080">
        <v>6.6600000000001012E-4</v>
      </c>
      <c r="S112" s="1081">
        <v>-2.3192534388604677E-2</v>
      </c>
      <c r="T112" s="1059"/>
      <c r="U112" s="1045">
        <v>2.5553999999999997E-2</v>
      </c>
      <c r="V112" s="1080">
        <v>2.6150999999999997E-2</v>
      </c>
      <c r="W112" s="1080">
        <v>2.1596000000000004E-2</v>
      </c>
      <c r="X112" s="1080">
        <v>1.0363000000000006E-2</v>
      </c>
      <c r="Y112" s="1081">
        <v>2.0759889794671738E-2</v>
      </c>
      <c r="Z112" s="1059"/>
      <c r="AA112" s="1045">
        <v>3.8336999999999996E-2</v>
      </c>
      <c r="AB112" s="1080">
        <v>3.3799999999999997E-2</v>
      </c>
      <c r="AC112" s="1080">
        <v>3.8749999999999993E-2</v>
      </c>
      <c r="AD112" s="1080">
        <v>4.1619999999999997E-2</v>
      </c>
      <c r="AE112" s="1081">
        <v>3.8119192985184742E-2</v>
      </c>
      <c r="AF112" s="1059"/>
      <c r="AG112" s="1045">
        <v>4.5411999999999994E-2</v>
      </c>
      <c r="AH112" s="1080">
        <v>3.9700000000000006E-2</v>
      </c>
      <c r="AI112" s="1080">
        <v>2.7560000000000001E-2</v>
      </c>
      <c r="AJ112" s="1080">
        <v>3.4999999999999996E-2</v>
      </c>
      <c r="AK112" s="1081">
        <v>3.6690694039903174E-2</v>
      </c>
      <c r="AL112" s="1059"/>
      <c r="AM112" s="1045">
        <v>1.5939999999999996E-2</v>
      </c>
      <c r="AN112" s="1080">
        <v>3.2439999999999997E-2</v>
      </c>
      <c r="AO112" s="1080">
        <v>2.6859999999999998E-2</v>
      </c>
      <c r="AP112" s="1080">
        <v>8.4399999999999996E-3</v>
      </c>
      <c r="AQ112" s="1081">
        <v>2.0844937086924586E-2</v>
      </c>
      <c r="AR112" s="1059"/>
      <c r="AS112" s="1045">
        <v>2.4339999999999997E-2</v>
      </c>
      <c r="AT112" s="1080">
        <v>1.6869999999999996E-2</v>
      </c>
      <c r="AU112" s="1080">
        <v>2.784E-2</v>
      </c>
      <c r="AV112" s="1080">
        <v>3.2423E-2</v>
      </c>
      <c r="AW112" s="1081">
        <v>2.5336999568495715E-2</v>
      </c>
      <c r="AX112" s="1059"/>
      <c r="AY112" s="1045">
        <v>3.424E-2</v>
      </c>
      <c r="AZ112" s="1080">
        <v>3.9118000000000007E-2</v>
      </c>
      <c r="BA112" s="1080">
        <v>3.1140000000000001E-2</v>
      </c>
      <c r="BB112" s="1080">
        <v>2.1603999999999998E-2</v>
      </c>
      <c r="BC112" s="1081">
        <v>3.1633465064141011E-2</v>
      </c>
      <c r="BD112" s="1059"/>
      <c r="BE112" s="1045">
        <v>4.4999999999999998E-2</v>
      </c>
      <c r="BF112" s="1080"/>
      <c r="BG112" s="1080"/>
      <c r="BH112" s="1080"/>
      <c r="BI112" s="1081"/>
      <c r="BJ112" s="1082"/>
      <c r="BK112" s="1045"/>
      <c r="BL112" s="1080"/>
      <c r="BM112" s="1080"/>
      <c r="BN112" s="1080"/>
      <c r="BO112" s="1081"/>
      <c r="BP112" s="1082"/>
      <c r="BQ112" s="1045"/>
      <c r="BR112" s="1080"/>
      <c r="BS112" s="1080"/>
      <c r="BT112" s="1080"/>
      <c r="BU112" s="1081"/>
      <c r="BV112" s="1082"/>
      <c r="BW112" s="1045"/>
      <c r="BX112" s="1080"/>
      <c r="BY112" s="1080"/>
      <c r="BZ112" s="1080"/>
      <c r="CA112" s="1081"/>
      <c r="CB112" s="1082"/>
      <c r="CC112" s="1045"/>
      <c r="CD112" s="1080"/>
      <c r="CE112" s="1080"/>
      <c r="CF112" s="1080"/>
      <c r="CG112" s="1081"/>
      <c r="CH112" s="1082"/>
      <c r="CI112" s="1045"/>
      <c r="CJ112" s="1080"/>
      <c r="CK112" s="1080"/>
      <c r="CL112" s="1080"/>
      <c r="CM112" s="1081"/>
      <c r="CN112" s="747"/>
      <c r="CO112" s="748"/>
      <c r="CP112" s="749"/>
      <c r="CQ112"/>
      <c r="CR112"/>
      <c r="CS112"/>
      <c r="CT112"/>
      <c r="CU112"/>
      <c r="CV112"/>
    </row>
    <row r="113" spans="1:100" s="1017" customFormat="1" ht="12.75" customHeight="1" x14ac:dyDescent="0.2">
      <c r="A113" s="291"/>
      <c r="B113" s="1071" t="s">
        <v>597</v>
      </c>
      <c r="C113" s="1084">
        <f>+RevBuild!C64</f>
        <v>49.597999999999956</v>
      </c>
      <c r="D113" s="1085">
        <f>+RevBuild!D64</f>
        <v>45.254000000000019</v>
      </c>
      <c r="E113" s="1085">
        <f>+RevBuild!E64</f>
        <v>42.771000000000072</v>
      </c>
      <c r="F113" s="1085">
        <f>+RevBuild!F64</f>
        <v>52.311000000000149</v>
      </c>
      <c r="G113" s="1086">
        <f>+RevBuild!G64</f>
        <v>189.93399999999997</v>
      </c>
      <c r="H113" s="1085"/>
      <c r="I113" s="1084">
        <f>+RevBuild!I64</f>
        <v>64.533999999999935</v>
      </c>
      <c r="J113" s="1085">
        <f>+RevBuild!J64</f>
        <v>52.574000000000069</v>
      </c>
      <c r="K113" s="1085">
        <f>+RevBuild!K64</f>
        <v>41.867000000000075</v>
      </c>
      <c r="L113" s="1085">
        <f>+RevBuild!L64</f>
        <v>40.94800000000015</v>
      </c>
      <c r="M113" s="1086">
        <f>+RevBuild!M64</f>
        <v>199.92300000000023</v>
      </c>
      <c r="N113" s="1085"/>
      <c r="O113" s="1084">
        <f>+RevBuild!O64</f>
        <v>41.299000000000092</v>
      </c>
      <c r="P113" s="1085">
        <f>+RevBuild!P64</f>
        <v>41.304999999999893</v>
      </c>
      <c r="Q113" s="1085">
        <f>+RevBuild!Q64</f>
        <v>37.384999999999991</v>
      </c>
      <c r="R113" s="1085">
        <f>+RevBuild!R64</f>
        <v>48.722999999999843</v>
      </c>
      <c r="S113" s="1086">
        <f>+RevBuild!S64</f>
        <v>168.71199999999982</v>
      </c>
      <c r="T113" s="1085"/>
      <c r="U113" s="1084">
        <f>+RevBuild!U64</f>
        <v>48.458000000000084</v>
      </c>
      <c r="V113" s="1085">
        <f>+RevBuild!V64</f>
        <v>45.80600000000004</v>
      </c>
      <c r="W113" s="1085">
        <f>+RevBuild!W64</f>
        <v>47.469000000000051</v>
      </c>
      <c r="X113" s="1085">
        <f>+RevBuild!X64</f>
        <v>47.524000000000001</v>
      </c>
      <c r="Y113" s="1086">
        <f>+RevBuild!Y64</f>
        <v>189.25700000000018</v>
      </c>
      <c r="Z113" s="1085"/>
      <c r="AA113" s="1084">
        <f>+RevBuild!AA64</f>
        <v>43.498000000000047</v>
      </c>
      <c r="AB113" s="1085">
        <f>+RevBuild!AB64</f>
        <v>45.452999999999975</v>
      </c>
      <c r="AC113" s="1085">
        <f>+RevBuild!AC64</f>
        <v>56.008000000000038</v>
      </c>
      <c r="AD113" s="1085">
        <f>+RevBuild!AD64</f>
        <v>60.213000000000079</v>
      </c>
      <c r="AE113" s="1086">
        <f>+RevBuild!AE64</f>
        <v>205.17200000000014</v>
      </c>
      <c r="AF113" s="1085"/>
      <c r="AG113" s="1084">
        <f>+RevBuild!AG64</f>
        <v>50.788000000000011</v>
      </c>
      <c r="AH113" s="1085">
        <f>+RevBuild!AH64</f>
        <v>64.51400000000001</v>
      </c>
      <c r="AI113" s="1085">
        <f>+RevBuild!AI64</f>
        <v>48.614000000000033</v>
      </c>
      <c r="AJ113" s="1085">
        <f>+RevBuild!AJ64</f>
        <v>49.815000000000055</v>
      </c>
      <c r="AK113" s="1086">
        <f>+RevBuild!AK64</f>
        <v>213.73100000000011</v>
      </c>
      <c r="AL113" s="1085"/>
      <c r="AM113" s="1084">
        <f>+RevBuild!AM64</f>
        <v>59.434999999999945</v>
      </c>
      <c r="AN113" s="1085">
        <f>+RevBuild!AN64</f>
        <v>45.053999999999974</v>
      </c>
      <c r="AO113" s="1085">
        <f>+RevBuild!AO64</f>
        <v>34.593000000000075</v>
      </c>
      <c r="AP113" s="1085">
        <f>+RevBuild!AP64</f>
        <v>39.989000000000033</v>
      </c>
      <c r="AQ113" s="1086">
        <f>+RevBuild!AQ64</f>
        <v>179.07100000000003</v>
      </c>
      <c r="AR113" s="1085"/>
      <c r="AS113" s="1084">
        <f>+RevBuild!AS64</f>
        <v>40.932000000000016</v>
      </c>
      <c r="AT113" s="1085">
        <f>+RevBuild!AT64</f>
        <v>34.326999999999998</v>
      </c>
      <c r="AU113" s="1085">
        <f>+RevBuild!AU64</f>
        <v>26.656000000000063</v>
      </c>
      <c r="AV113" s="1085">
        <f>+RevBuild!AV64</f>
        <v>28.030000000000086</v>
      </c>
      <c r="AW113" s="1086">
        <f>+RevBuild!AW64</f>
        <v>129.94500000000016</v>
      </c>
      <c r="AX113" s="1085"/>
      <c r="AY113" s="1084">
        <f>+RevBuild!AY64</f>
        <v>24.773000000000025</v>
      </c>
      <c r="AZ113" s="1085">
        <f>+RevBuild!AZ64</f>
        <v>23.307999999999993</v>
      </c>
      <c r="BA113" s="1085">
        <f>+RevBuild!BA64</f>
        <v>19.600000000000023</v>
      </c>
      <c r="BB113" s="1085">
        <f>+RevBuild!BB64</f>
        <v>25.200000000000045</v>
      </c>
      <c r="BC113" s="1086">
        <f>+RevBuild!BC64</f>
        <v>92.881000000000085</v>
      </c>
      <c r="BD113" s="1085"/>
      <c r="BE113" s="1084">
        <f>+RevBuild!BE64</f>
        <v>18.100000000000023</v>
      </c>
      <c r="BF113" s="1085"/>
      <c r="BG113" s="1085"/>
      <c r="BH113" s="1085"/>
      <c r="BI113" s="1086"/>
      <c r="BJ113" s="1087"/>
      <c r="BK113" s="1084"/>
      <c r="BL113" s="1085"/>
      <c r="BM113" s="1085"/>
      <c r="BN113" s="1085"/>
      <c r="BO113" s="1086"/>
      <c r="BP113" s="1087"/>
      <c r="BQ113" s="1084"/>
      <c r="BR113" s="1085"/>
      <c r="BS113" s="1085"/>
      <c r="BT113" s="1085"/>
      <c r="BU113" s="1086"/>
      <c r="BV113" s="1087"/>
      <c r="BW113" s="1084"/>
      <c r="BX113" s="1085"/>
      <c r="BY113" s="1085"/>
      <c r="BZ113" s="1085"/>
      <c r="CA113" s="1086"/>
      <c r="CB113" s="1087"/>
      <c r="CC113" s="1084"/>
      <c r="CD113" s="1085"/>
      <c r="CE113" s="1085"/>
      <c r="CF113" s="1085"/>
      <c r="CG113" s="1086"/>
      <c r="CH113" s="1087"/>
      <c r="CI113" s="1084"/>
      <c r="CJ113" s="1085"/>
      <c r="CK113" s="1085"/>
      <c r="CL113" s="1085"/>
      <c r="CM113" s="1086"/>
      <c r="CN113" s="747"/>
      <c r="CO113" s="748"/>
      <c r="CP113" s="749"/>
      <c r="CQ113"/>
      <c r="CR113"/>
      <c r="CS113"/>
      <c r="CT113"/>
      <c r="CU113"/>
      <c r="CV113"/>
    </row>
    <row r="114" spans="1:100" s="963" customFormat="1" ht="12.75" customHeight="1" x14ac:dyDescent="0.2">
      <c r="A114" s="291"/>
      <c r="B114" s="1047" t="s">
        <v>599</v>
      </c>
      <c r="C114" s="1063">
        <v>150.16800000000001</v>
      </c>
      <c r="D114" s="1059">
        <v>157.041</v>
      </c>
      <c r="E114" s="1059">
        <v>177.941</v>
      </c>
      <c r="F114" s="1059">
        <v>200.10599999999999</v>
      </c>
      <c r="G114" s="1060">
        <v>685.25599999999997</v>
      </c>
      <c r="H114" s="1059"/>
      <c r="I114" s="1063">
        <v>189.46100000000001</v>
      </c>
      <c r="J114" s="1059">
        <v>186.93799999999999</v>
      </c>
      <c r="K114" s="1059">
        <v>180.60599999999999</v>
      </c>
      <c r="L114" s="1059">
        <v>179.721</v>
      </c>
      <c r="M114" s="1060">
        <v>736.726</v>
      </c>
      <c r="N114" s="1059"/>
      <c r="O114" s="1063">
        <v>164.822</v>
      </c>
      <c r="P114" s="1059">
        <v>180.58</v>
      </c>
      <c r="Q114" s="1059">
        <v>188.17099999999996</v>
      </c>
      <c r="R114" s="1059">
        <v>214.82300000000001</v>
      </c>
      <c r="S114" s="1060">
        <v>748.39599999999996</v>
      </c>
      <c r="T114" s="1059"/>
      <c r="U114" s="1063">
        <v>190.136</v>
      </c>
      <c r="V114" s="1059">
        <v>182.41800000000001</v>
      </c>
      <c r="W114" s="1059">
        <v>182.899</v>
      </c>
      <c r="X114" s="1059">
        <v>235.64599999999999</v>
      </c>
      <c r="Y114" s="1060">
        <v>791.09899999999993</v>
      </c>
      <c r="Z114" s="1059"/>
      <c r="AA114" s="1063">
        <v>214.73699999999999</v>
      </c>
      <c r="AB114" s="1059">
        <v>244.68600000000001</v>
      </c>
      <c r="AC114" s="1059">
        <v>218.797</v>
      </c>
      <c r="AD114" s="1059">
        <v>258.11599999999999</v>
      </c>
      <c r="AE114" s="1060">
        <v>936.33600000000001</v>
      </c>
      <c r="AF114" s="1059"/>
      <c r="AG114" s="1063">
        <v>231.864</v>
      </c>
      <c r="AH114" s="1059">
        <v>242.00700000000001</v>
      </c>
      <c r="AI114" s="1059">
        <v>247.364</v>
      </c>
      <c r="AJ114" s="1059">
        <v>272.404</v>
      </c>
      <c r="AK114" s="1060">
        <v>993.63900000000001</v>
      </c>
      <c r="AL114" s="1059"/>
      <c r="AM114" s="1063">
        <v>267.32600000000002</v>
      </c>
      <c r="AN114" s="1059">
        <v>283.15699999999998</v>
      </c>
      <c r="AO114" s="1059">
        <v>278.60399999999998</v>
      </c>
      <c r="AP114" s="1059">
        <v>298.726</v>
      </c>
      <c r="AQ114" s="1060">
        <v>1127.8130000000001</v>
      </c>
      <c r="AR114" s="1059"/>
      <c r="AS114" s="1063">
        <v>282.7</v>
      </c>
      <c r="AT114" s="1059">
        <v>299.7</v>
      </c>
      <c r="AU114" s="1059">
        <v>290</v>
      </c>
      <c r="AV114" s="1059">
        <v>293</v>
      </c>
      <c r="AW114" s="1060">
        <v>1165.4000000000001</v>
      </c>
      <c r="AX114" s="1059"/>
      <c r="AY114" s="1063">
        <v>257.3</v>
      </c>
      <c r="AZ114" s="1059">
        <v>306.10000000000002</v>
      </c>
      <c r="BA114" s="1059">
        <v>304.89999999999998</v>
      </c>
      <c r="BB114" s="1059">
        <v>304.2</v>
      </c>
      <c r="BC114" s="1060">
        <v>1172.5</v>
      </c>
      <c r="BD114" s="1059"/>
      <c r="BE114" s="1103">
        <v>298.39999999999998</v>
      </c>
      <c r="BF114"/>
      <c r="BG114" s="1059"/>
      <c r="BH114" s="966"/>
      <c r="BI114" s="645">
        <v>160.69999999999999</v>
      </c>
      <c r="BJ114" s="1082"/>
      <c r="BK114" s="1063"/>
      <c r="BL114" s="1059"/>
      <c r="BM114" s="1059"/>
      <c r="BN114" s="1059"/>
      <c r="BO114" s="1060"/>
      <c r="BP114" s="1082"/>
      <c r="BQ114" s="1063"/>
      <c r="BR114" s="1059"/>
      <c r="BS114" s="1059"/>
      <c r="BT114" s="1059"/>
      <c r="BU114" s="1060"/>
      <c r="BV114" s="1082"/>
      <c r="BW114" s="1063"/>
      <c r="BX114" s="1059"/>
      <c r="BY114" s="1059"/>
      <c r="BZ114" s="1059"/>
      <c r="CA114" s="1060"/>
      <c r="CB114" s="1082"/>
      <c r="CC114" s="1063"/>
      <c r="CD114" s="1059"/>
      <c r="CE114" s="1059"/>
      <c r="CF114" s="1059"/>
      <c r="CG114" s="1060"/>
      <c r="CH114" s="1082"/>
      <c r="CI114" s="1063"/>
      <c r="CJ114" s="1059"/>
      <c r="CK114" s="1059"/>
      <c r="CL114" s="1059"/>
      <c r="CM114" s="1060"/>
      <c r="CN114" s="747"/>
      <c r="CO114" s="748"/>
      <c r="CP114" s="749"/>
      <c r="CQ114"/>
      <c r="CR114"/>
      <c r="CS114"/>
      <c r="CT114"/>
      <c r="CU114"/>
      <c r="CV114"/>
    </row>
    <row r="115" spans="1:100" s="1017" customFormat="1" ht="12.75" customHeight="1" outlineLevel="1" x14ac:dyDescent="0.2">
      <c r="A115" s="291"/>
      <c r="B115" s="1083" t="s">
        <v>610</v>
      </c>
      <c r="C115" s="1045">
        <v>0</v>
      </c>
      <c r="D115" s="1080">
        <v>0</v>
      </c>
      <c r="E115" s="1080">
        <v>0</v>
      </c>
      <c r="F115" s="1080">
        <v>0</v>
      </c>
      <c r="G115" s="1081">
        <v>0</v>
      </c>
      <c r="H115" s="178"/>
      <c r="I115" s="1045">
        <v>0</v>
      </c>
      <c r="J115" s="1080">
        <v>0</v>
      </c>
      <c r="K115" s="1080">
        <v>0</v>
      </c>
      <c r="L115" s="1080">
        <v>0</v>
      </c>
      <c r="M115" s="1081">
        <v>0</v>
      </c>
      <c r="N115" s="178"/>
      <c r="O115" s="1045">
        <v>0</v>
      </c>
      <c r="P115" s="1080">
        <v>0</v>
      </c>
      <c r="Q115" s="1080">
        <v>0</v>
      </c>
      <c r="R115" s="1080">
        <v>0</v>
      </c>
      <c r="S115" s="1081">
        <v>0</v>
      </c>
      <c r="T115" s="178"/>
      <c r="U115" s="1045">
        <v>0</v>
      </c>
      <c r="V115" s="1080">
        <v>0</v>
      </c>
      <c r="W115" s="1080">
        <v>0</v>
      </c>
      <c r="X115" s="1080">
        <v>0</v>
      </c>
      <c r="Y115" s="1081">
        <v>0</v>
      </c>
      <c r="Z115" s="178"/>
      <c r="AA115" s="1045">
        <v>0</v>
      </c>
      <c r="AB115" s="1080">
        <v>0</v>
      </c>
      <c r="AC115" s="1080">
        <v>0</v>
      </c>
      <c r="AD115" s="1080">
        <v>0</v>
      </c>
      <c r="AE115" s="1081">
        <v>0</v>
      </c>
      <c r="AF115" s="178"/>
      <c r="AG115" s="1045">
        <v>0</v>
      </c>
      <c r="AH115" s="1080">
        <v>0</v>
      </c>
      <c r="AI115" s="1080">
        <v>0</v>
      </c>
      <c r="AJ115" s="1080">
        <v>7.6999999999999999E-2</v>
      </c>
      <c r="AK115" s="1081">
        <v>0</v>
      </c>
      <c r="AL115" s="178"/>
      <c r="AM115" s="1045">
        <v>0.16700000000000001</v>
      </c>
      <c r="AN115" s="1080">
        <v>0.183</v>
      </c>
      <c r="AO115" s="1080">
        <v>0.13900000000000001</v>
      </c>
      <c r="AP115" s="1080">
        <v>0.1</v>
      </c>
      <c r="AQ115" s="1081">
        <v>0.14555846237919406</v>
      </c>
      <c r="AR115" s="178"/>
      <c r="AS115" s="1045">
        <v>6.9000000000000006E-2</v>
      </c>
      <c r="AT115" s="1080">
        <v>4.4999999999999998E-2</v>
      </c>
      <c r="AU115" s="1080">
        <v>4.2000000000000003E-2</v>
      </c>
      <c r="AV115" s="1080">
        <v>3.7999999999999999E-2</v>
      </c>
      <c r="AW115" s="1081">
        <v>4.8093535896465103E-2</v>
      </c>
      <c r="AX115" s="178"/>
      <c r="AY115" s="1045">
        <v>0.02</v>
      </c>
      <c r="AZ115" s="1080">
        <v>0.152</v>
      </c>
      <c r="BA115" s="1080">
        <v>0.18</v>
      </c>
      <c r="BB115" s="1080">
        <v>0.11600000000000001</v>
      </c>
      <c r="BC115" s="1081">
        <v>0.11789634460271151</v>
      </c>
      <c r="BD115" s="178"/>
      <c r="BE115" s="1045">
        <v>0.16047518666476107</v>
      </c>
      <c r="BF115" s="1080"/>
      <c r="BG115" s="1080"/>
      <c r="BH115" s="1080"/>
      <c r="BI115" s="1081">
        <v>4.5846042660301532E-2</v>
      </c>
      <c r="BJ115" s="965"/>
      <c r="BK115" s="1045"/>
      <c r="BL115" s="1080"/>
      <c r="BM115" s="1080"/>
      <c r="BN115" s="1080"/>
      <c r="BO115" s="1081"/>
      <c r="BP115" s="965"/>
      <c r="BQ115" s="1045"/>
      <c r="BR115" s="1080"/>
      <c r="BS115" s="1080"/>
      <c r="BT115" s="1080"/>
      <c r="BU115" s="1081"/>
      <c r="BV115" s="965"/>
      <c r="BW115" s="1045"/>
      <c r="BX115" s="1080"/>
      <c r="BY115" s="1080"/>
      <c r="BZ115" s="1080"/>
      <c r="CA115" s="1081"/>
      <c r="CB115" s="965"/>
      <c r="CC115" s="1045"/>
      <c r="CD115" s="1080"/>
      <c r="CE115" s="1080"/>
      <c r="CF115" s="1080"/>
      <c r="CG115" s="1081"/>
      <c r="CH115" s="965"/>
      <c r="CI115" s="1045"/>
      <c r="CJ115" s="1080"/>
      <c r="CK115" s="1080"/>
      <c r="CL115" s="1080"/>
      <c r="CM115" s="1081"/>
      <c r="CN115" s="747"/>
      <c r="CO115" s="748"/>
      <c r="CP115" s="749"/>
      <c r="CQ115"/>
      <c r="CR115"/>
      <c r="CS115"/>
      <c r="CT115"/>
      <c r="CU115"/>
      <c r="CV115"/>
    </row>
    <row r="116" spans="1:100" s="1017" customFormat="1" ht="12.75" customHeight="1" outlineLevel="1" x14ac:dyDescent="0.2">
      <c r="A116" s="291"/>
      <c r="B116" s="1083" t="s">
        <v>588</v>
      </c>
      <c r="C116" s="1045">
        <v>7.0999999999999994E-2</v>
      </c>
      <c r="D116" s="1080">
        <v>0.27100000000000002</v>
      </c>
      <c r="E116" s="1080">
        <v>0.24299999999999999</v>
      </c>
      <c r="F116" s="1080">
        <v>0.06</v>
      </c>
      <c r="G116" s="1081">
        <v>0</v>
      </c>
      <c r="H116" s="178"/>
      <c r="I116" s="1045">
        <v>0.154</v>
      </c>
      <c r="J116" s="1080">
        <v>7.4999999999999997E-2</v>
      </c>
      <c r="K116" s="1080">
        <v>-5.1999999999999998E-2</v>
      </c>
      <c r="L116" s="1080">
        <v>-4.3999999999999997E-2</v>
      </c>
      <c r="M116" s="1081">
        <v>2.4584025532063934E-2</v>
      </c>
      <c r="N116" s="178"/>
      <c r="O116" s="1045">
        <v>-4.4999999999999998E-2</v>
      </c>
      <c r="P116" s="1080">
        <v>6.2E-2</v>
      </c>
      <c r="Q116" s="1080">
        <v>8.4000000000000005E-2</v>
      </c>
      <c r="R116" s="1080">
        <v>0.109</v>
      </c>
      <c r="S116" s="1081">
        <v>5.1341888300399333E-2</v>
      </c>
      <c r="T116" s="178"/>
      <c r="U116" s="1045">
        <v>0.11</v>
      </c>
      <c r="V116" s="1080">
        <v>0.06</v>
      </c>
      <c r="W116" s="1080">
        <v>4.9000000000000002E-2</v>
      </c>
      <c r="X116" s="1080">
        <v>0.158</v>
      </c>
      <c r="Y116" s="1081">
        <v>9.6376294100983972E-2</v>
      </c>
      <c r="Z116" s="178"/>
      <c r="AA116" s="1045">
        <v>0.14000000000000001</v>
      </c>
      <c r="AB116" s="1080">
        <v>0.24</v>
      </c>
      <c r="AC116" s="1080">
        <v>0.11799999999999999</v>
      </c>
      <c r="AD116" s="1080">
        <v>0.10199999999999999</v>
      </c>
      <c r="AE116" s="1081">
        <v>0.14665336955298897</v>
      </c>
      <c r="AF116" s="178"/>
      <c r="AG116" s="1045">
        <v>0.111</v>
      </c>
      <c r="AH116" s="1080">
        <v>7.0000000000000007E-2</v>
      </c>
      <c r="AI116" s="1080">
        <v>0.23400000000000001</v>
      </c>
      <c r="AJ116" s="1080">
        <v>8.5999999999999993E-2</v>
      </c>
      <c r="AK116" s="1081">
        <v>0.12213596508091112</v>
      </c>
      <c r="AL116" s="178"/>
      <c r="AM116" s="1045">
        <v>0.14699999999999999</v>
      </c>
      <c r="AN116" s="1080">
        <v>0.157</v>
      </c>
      <c r="AO116" s="1080">
        <v>8.3000000000000004E-2</v>
      </c>
      <c r="AP116" s="1080">
        <v>6.3E-2</v>
      </c>
      <c r="AQ116" s="1081">
        <v>0.11047449928998358</v>
      </c>
      <c r="AR116" s="178"/>
      <c r="AS116" s="1045">
        <v>2.9000000000000001E-2</v>
      </c>
      <c r="AT116" s="1080">
        <v>2.5000000000000001E-2</v>
      </c>
      <c r="AU116" s="1080">
        <v>0.04</v>
      </c>
      <c r="AV116" s="1080">
        <v>0</v>
      </c>
      <c r="AW116" s="1081">
        <v>0</v>
      </c>
      <c r="AX116" s="178"/>
      <c r="AY116" s="1045">
        <v>0</v>
      </c>
      <c r="AZ116" s="1080">
        <v>0</v>
      </c>
      <c r="BA116" s="1080">
        <v>0</v>
      </c>
      <c r="BB116" s="1080">
        <v>0</v>
      </c>
      <c r="BC116" s="1081">
        <v>0</v>
      </c>
      <c r="BD116" s="178"/>
      <c r="BE116" s="1045">
        <v>0</v>
      </c>
      <c r="BF116" s="1080"/>
      <c r="BG116" s="1080"/>
      <c r="BH116" s="1080"/>
      <c r="BI116" s="1081"/>
      <c r="BJ116" s="965"/>
      <c r="BK116" s="1045"/>
      <c r="BL116" s="1080"/>
      <c r="BM116" s="1080"/>
      <c r="BN116" s="1080"/>
      <c r="BO116" s="1081"/>
      <c r="BP116" s="965"/>
      <c r="BQ116" s="1045"/>
      <c r="BR116" s="1080"/>
      <c r="BS116" s="1080"/>
      <c r="BT116" s="1080"/>
      <c r="BU116" s="1081"/>
      <c r="BV116" s="965"/>
      <c r="BW116" s="1045"/>
      <c r="BX116" s="1080"/>
      <c r="BY116" s="1080"/>
      <c r="BZ116" s="1080"/>
      <c r="CA116" s="1081"/>
      <c r="CB116" s="965"/>
      <c r="CC116" s="1045"/>
      <c r="CD116" s="1080"/>
      <c r="CE116" s="1080"/>
      <c r="CF116" s="1080"/>
      <c r="CG116" s="1081"/>
      <c r="CH116" s="965"/>
      <c r="CI116" s="1045"/>
      <c r="CJ116" s="1080"/>
      <c r="CK116" s="1080"/>
      <c r="CL116" s="1080"/>
      <c r="CM116" s="1081"/>
      <c r="CN116" s="747"/>
      <c r="CO116" s="748"/>
      <c r="CP116" s="749"/>
      <c r="CQ116"/>
      <c r="CR116"/>
      <c r="CS116"/>
      <c r="CT116"/>
      <c r="CU116"/>
      <c r="CV116"/>
    </row>
    <row r="117" spans="1:100" s="1017" customFormat="1" ht="12.75" customHeight="1" outlineLevel="1" x14ac:dyDescent="0.2">
      <c r="A117" s="291"/>
      <c r="B117" s="1083" t="s">
        <v>586</v>
      </c>
      <c r="C117" s="1045">
        <v>0</v>
      </c>
      <c r="D117" s="1080">
        <v>0</v>
      </c>
      <c r="E117" s="1080">
        <v>0</v>
      </c>
      <c r="F117" s="1080">
        <v>0</v>
      </c>
      <c r="G117" s="1081">
        <v>0</v>
      </c>
      <c r="H117" s="178"/>
      <c r="I117" s="1045">
        <v>0.10766027382664758</v>
      </c>
      <c r="J117" s="1080">
        <v>0.11537703529651484</v>
      </c>
      <c r="K117" s="1080">
        <v>6.6976874357230709E-2</v>
      </c>
      <c r="L117" s="1080">
        <v>-5.7871008365566176E-2</v>
      </c>
      <c r="M117" s="1081">
        <v>5.0526590062691917E-2</v>
      </c>
      <c r="N117" s="178"/>
      <c r="O117" s="1045">
        <v>-8.504787264925244E-2</v>
      </c>
      <c r="P117" s="1080">
        <v>-9.6011276465994E-2</v>
      </c>
      <c r="Q117" s="1080">
        <v>-4.2113240977597874E-2</v>
      </c>
      <c r="R117" s="1080">
        <v>8.6313847574852151E-2</v>
      </c>
      <c r="S117" s="1081">
        <v>-3.5501535170470402E-2</v>
      </c>
      <c r="T117" s="178"/>
      <c r="U117" s="1045">
        <v>4.3583866231449706E-2</v>
      </c>
      <c r="V117" s="1080">
        <v>-4.9821685679477257E-2</v>
      </c>
      <c r="W117" s="1080">
        <v>-7.7017069580328348E-2</v>
      </c>
      <c r="X117" s="1080">
        <v>-6.1069038231474332E-2</v>
      </c>
      <c r="Y117" s="1081">
        <v>-3.9316929807214407E-2</v>
      </c>
      <c r="Z117" s="178"/>
      <c r="AA117" s="1045">
        <v>-1.0613666007489475E-2</v>
      </c>
      <c r="AB117" s="1080">
        <v>0.10134789330000338</v>
      </c>
      <c r="AC117" s="1080">
        <v>7.8272259553086587E-2</v>
      </c>
      <c r="AD117" s="1080">
        <v>-6.6451032480924349E-3</v>
      </c>
      <c r="AE117" s="1081">
        <v>3.6935536513129252E-2</v>
      </c>
      <c r="AF117" s="178"/>
      <c r="AG117" s="1045">
        <v>-3.1241970410315748E-2</v>
      </c>
      <c r="AH117" s="1080">
        <v>-8.0948726122459014E-2</v>
      </c>
      <c r="AI117" s="1080">
        <v>-0.10343605259669911</v>
      </c>
      <c r="AJ117" s="1080">
        <v>-3.0645043313858894E-2</v>
      </c>
      <c r="AK117" s="1081">
        <v>-6.0936780172929306E-2</v>
      </c>
      <c r="AL117" s="178"/>
      <c r="AM117" s="1045">
        <v>-1.4056895421453913E-2</v>
      </c>
      <c r="AN117" s="1080">
        <v>-1.29635960943279E-2</v>
      </c>
      <c r="AO117" s="1080">
        <v>-1.2708381171067762E-2</v>
      </c>
      <c r="AP117" s="1080">
        <v>-3.3714629741118662E-3</v>
      </c>
      <c r="AQ117" s="1081">
        <v>-1.0525517818845642E-2</v>
      </c>
      <c r="AR117" s="178"/>
      <c r="AS117" s="1045">
        <v>-1.1489694231013925E-2</v>
      </c>
      <c r="AT117" s="1080">
        <v>1.3423418810059415E-2</v>
      </c>
      <c r="AU117" s="1080">
        <v>-1.0960646652595427E-3</v>
      </c>
      <c r="AV117" s="1080">
        <v>-5.7168067058106807E-2</v>
      </c>
      <c r="AW117" s="1081">
        <v>-1.4766202375748397E-2</v>
      </c>
      <c r="AX117" s="178"/>
      <c r="AY117" s="1045">
        <v>-0.10984789529536608</v>
      </c>
      <c r="AZ117" s="1080">
        <v>-0.13064531197864512</v>
      </c>
      <c r="BA117" s="1080">
        <v>-0.12862068965517254</v>
      </c>
      <c r="BB117" s="1080">
        <v>-7.7774744027303902E-2</v>
      </c>
      <c r="BC117" s="1081">
        <v>-0.11180401578857049</v>
      </c>
      <c r="BD117" s="178"/>
      <c r="BE117" s="1045">
        <v>-2.4179285014080232E-2</v>
      </c>
      <c r="BF117" s="1080"/>
      <c r="BG117" s="1080"/>
      <c r="BH117" s="1080"/>
      <c r="BI117" s="1081"/>
      <c r="BJ117" s="965"/>
      <c r="BK117" s="1045"/>
      <c r="BL117" s="1080"/>
      <c r="BM117" s="1080"/>
      <c r="BN117" s="1080"/>
      <c r="BO117" s="1081"/>
      <c r="BP117" s="965"/>
      <c r="BQ117" s="1045"/>
      <c r="BR117" s="1080"/>
      <c r="BS117" s="1080"/>
      <c r="BT117" s="1080"/>
      <c r="BU117" s="1081"/>
      <c r="BV117" s="965"/>
      <c r="BW117" s="1045"/>
      <c r="BX117" s="1080"/>
      <c r="BY117" s="1080"/>
      <c r="BZ117" s="1080"/>
      <c r="CA117" s="1081"/>
      <c r="CB117" s="965"/>
      <c r="CC117" s="1045"/>
      <c r="CD117" s="1080"/>
      <c r="CE117" s="1080"/>
      <c r="CF117" s="1080"/>
      <c r="CG117" s="1081"/>
      <c r="CH117" s="965"/>
      <c r="CI117" s="1045"/>
      <c r="CJ117" s="1080"/>
      <c r="CK117" s="1080"/>
      <c r="CL117" s="1080"/>
      <c r="CM117" s="1081"/>
      <c r="CN117" s="747"/>
      <c r="CO117" s="748"/>
      <c r="CP117" s="749"/>
      <c r="CQ117"/>
      <c r="CR117"/>
      <c r="CS117"/>
      <c r="CT117"/>
      <c r="CU117"/>
      <c r="CV117"/>
    </row>
    <row r="118" spans="1:100" s="1017" customFormat="1" ht="12.75" customHeight="1" outlineLevel="1" x14ac:dyDescent="0.2">
      <c r="A118" s="291"/>
      <c r="B118" s="1083" t="s">
        <v>541</v>
      </c>
      <c r="C118" s="1045">
        <v>0</v>
      </c>
      <c r="D118" s="1080">
        <v>0</v>
      </c>
      <c r="E118" s="1080">
        <v>0</v>
      </c>
      <c r="F118" s="1080">
        <v>0</v>
      </c>
      <c r="G118" s="1081">
        <v>0</v>
      </c>
      <c r="H118" s="178"/>
      <c r="I118" s="1045">
        <v>0</v>
      </c>
      <c r="J118" s="1080">
        <v>0</v>
      </c>
      <c r="K118" s="1080">
        <v>0</v>
      </c>
      <c r="L118" s="1080">
        <v>0</v>
      </c>
      <c r="M118" s="1081">
        <v>0</v>
      </c>
      <c r="N118" s="178"/>
      <c r="O118" s="1045">
        <v>0</v>
      </c>
      <c r="P118" s="1080">
        <v>0</v>
      </c>
      <c r="Q118" s="1080">
        <v>0</v>
      </c>
      <c r="R118" s="1080">
        <v>0</v>
      </c>
      <c r="S118" s="1081">
        <v>0</v>
      </c>
      <c r="T118" s="178"/>
      <c r="U118" s="1045">
        <v>0</v>
      </c>
      <c r="V118" s="1080">
        <v>0</v>
      </c>
      <c r="W118" s="1080">
        <v>0</v>
      </c>
      <c r="X118" s="1080">
        <v>0</v>
      </c>
      <c r="Y118" s="1081">
        <v>0</v>
      </c>
      <c r="Z118" s="178"/>
      <c r="AA118" s="1045">
        <v>0</v>
      </c>
      <c r="AB118" s="1080">
        <v>0</v>
      </c>
      <c r="AC118" s="1080">
        <v>0</v>
      </c>
      <c r="AD118" s="1080">
        <v>0</v>
      </c>
      <c r="AE118" s="1081">
        <v>0</v>
      </c>
      <c r="AF118" s="178"/>
      <c r="AG118" s="1045">
        <v>0</v>
      </c>
      <c r="AH118" s="1080">
        <v>0</v>
      </c>
      <c r="AI118" s="1080">
        <v>0</v>
      </c>
      <c r="AJ118" s="1080">
        <v>0</v>
      </c>
      <c r="AK118" s="1081">
        <v>0</v>
      </c>
      <c r="AL118" s="178"/>
      <c r="AM118" s="1045">
        <v>0</v>
      </c>
      <c r="AN118" s="1080">
        <v>0</v>
      </c>
      <c r="AO118" s="1080">
        <v>0</v>
      </c>
      <c r="AP118" s="1080">
        <v>0</v>
      </c>
      <c r="AQ118" s="1081">
        <v>0</v>
      </c>
      <c r="AR118" s="178"/>
      <c r="AS118" s="1045">
        <v>0</v>
      </c>
      <c r="AT118" s="1080">
        <v>0</v>
      </c>
      <c r="AU118" s="1080">
        <v>0</v>
      </c>
      <c r="AV118" s="1080">
        <v>0</v>
      </c>
      <c r="AW118" s="1081">
        <v>0</v>
      </c>
      <c r="AX118" s="178"/>
      <c r="AY118" s="1045">
        <v>0</v>
      </c>
      <c r="AZ118" s="1080">
        <v>0</v>
      </c>
      <c r="BA118" s="1080">
        <v>3.9E-2</v>
      </c>
      <c r="BB118" s="1080">
        <v>3.4000000000000002E-2</v>
      </c>
      <c r="BC118" s="1081">
        <v>0</v>
      </c>
      <c r="BD118" s="178"/>
      <c r="BE118" s="1022">
        <f>-BE119+BE115</f>
        <v>-1.2073262837072885E-4</v>
      </c>
      <c r="BF118" s="1080"/>
      <c r="BG118" s="1080"/>
      <c r="BH118" s="1080"/>
      <c r="BI118" s="1081"/>
      <c r="BJ118" s="965"/>
      <c r="BK118" s="1045"/>
      <c r="BL118" s="1080"/>
      <c r="BM118" s="1080"/>
      <c r="BN118" s="1080"/>
      <c r="BO118" s="1081"/>
      <c r="BP118" s="965"/>
      <c r="BQ118" s="1045"/>
      <c r="BR118" s="1080"/>
      <c r="BS118" s="1080"/>
      <c r="BT118" s="1080"/>
      <c r="BU118" s="1081"/>
      <c r="BV118" s="965"/>
      <c r="BW118" s="1045"/>
      <c r="BX118" s="1080"/>
      <c r="BY118" s="1080"/>
      <c r="BZ118" s="1080"/>
      <c r="CA118" s="1081"/>
      <c r="CB118" s="965"/>
      <c r="CC118" s="1045"/>
      <c r="CD118" s="1080"/>
      <c r="CE118" s="1080"/>
      <c r="CF118" s="1080"/>
      <c r="CG118" s="1081"/>
      <c r="CH118" s="965"/>
      <c r="CI118" s="1045"/>
      <c r="CJ118" s="1080"/>
      <c r="CK118" s="1080"/>
      <c r="CL118" s="1080"/>
      <c r="CM118" s="1081"/>
      <c r="CN118" s="747"/>
      <c r="CO118" s="748"/>
      <c r="CP118" s="749"/>
      <c r="CQ118"/>
      <c r="CR118"/>
      <c r="CS118"/>
      <c r="CT118"/>
      <c r="CU118"/>
      <c r="CV118"/>
    </row>
    <row r="119" spans="1:100" s="1017" customFormat="1" ht="12.75" customHeight="1" x14ac:dyDescent="0.2">
      <c r="A119" s="291"/>
      <c r="B119" s="1083" t="s">
        <v>589</v>
      </c>
      <c r="C119" s="1045">
        <v>7.0999999999999994E-2</v>
      </c>
      <c r="D119" s="1080">
        <v>0.27100000000000002</v>
      </c>
      <c r="E119" s="1080">
        <v>0.24299999999999999</v>
      </c>
      <c r="F119" s="1080">
        <v>0.06</v>
      </c>
      <c r="G119" s="1081">
        <v>0</v>
      </c>
      <c r="H119" s="178"/>
      <c r="I119" s="1045">
        <v>0.154</v>
      </c>
      <c r="J119" s="1080">
        <v>7.4999999999999997E-2</v>
      </c>
      <c r="K119" s="1080">
        <v>-5.1999999999999998E-2</v>
      </c>
      <c r="L119" s="1080">
        <v>-4.3999999999999997E-2</v>
      </c>
      <c r="M119" s="1081">
        <v>2.4584025532063934E-2</v>
      </c>
      <c r="N119" s="178"/>
      <c r="O119" s="1045">
        <v>-4.4999999999999998E-2</v>
      </c>
      <c r="P119" s="1080">
        <v>6.2E-2</v>
      </c>
      <c r="Q119" s="1080">
        <v>8.4000000000000005E-2</v>
      </c>
      <c r="R119" s="1080">
        <v>0.109</v>
      </c>
      <c r="S119" s="1081">
        <v>5.1341888300399333E-2</v>
      </c>
      <c r="T119" s="178"/>
      <c r="U119" s="1045">
        <v>0.11</v>
      </c>
      <c r="V119" s="1080">
        <v>0.06</v>
      </c>
      <c r="W119" s="1080">
        <v>4.9000000000000002E-2</v>
      </c>
      <c r="X119" s="1080">
        <v>0.158</v>
      </c>
      <c r="Y119" s="1081">
        <v>9.6376294100983972E-2</v>
      </c>
      <c r="Z119" s="178"/>
      <c r="AA119" s="1045">
        <v>0.14000000000000001</v>
      </c>
      <c r="AB119" s="1080">
        <v>0.24</v>
      </c>
      <c r="AC119" s="1080">
        <v>0.11799999999999999</v>
      </c>
      <c r="AD119" s="1080">
        <v>0.10199999999999999</v>
      </c>
      <c r="AE119" s="1081">
        <v>0.14665336955298897</v>
      </c>
      <c r="AF119" s="178"/>
      <c r="AG119" s="1045">
        <v>0.111</v>
      </c>
      <c r="AH119" s="1080">
        <v>7.0000000000000007E-2</v>
      </c>
      <c r="AI119" s="1080">
        <v>0.23400000000000001</v>
      </c>
      <c r="AJ119" s="1080">
        <v>8.5999999999999993E-2</v>
      </c>
      <c r="AK119" s="1081">
        <v>0.12213596508091112</v>
      </c>
      <c r="AL119" s="178"/>
      <c r="AM119" s="1045">
        <v>0.14699999999999999</v>
      </c>
      <c r="AN119" s="1080">
        <v>0.157</v>
      </c>
      <c r="AO119" s="1080">
        <v>8.3000000000000004E-2</v>
      </c>
      <c r="AP119" s="1080">
        <v>0.1</v>
      </c>
      <c r="AQ119" s="1081">
        <v>0.12061796990657572</v>
      </c>
      <c r="AR119" s="178"/>
      <c r="AS119" s="1045">
        <v>6.9000000000000006E-2</v>
      </c>
      <c r="AT119" s="1080">
        <v>4.4999999999999998E-2</v>
      </c>
      <c r="AU119" s="1080">
        <v>4.2000000000000003E-2</v>
      </c>
      <c r="AV119" s="1080">
        <v>3.7999999999999999E-2</v>
      </c>
      <c r="AW119" s="1081">
        <v>4.8093535896465103E-2</v>
      </c>
      <c r="AX119" s="178"/>
      <c r="AY119" s="1045">
        <v>0.02</v>
      </c>
      <c r="AZ119" s="1080">
        <v>0.152</v>
      </c>
      <c r="BA119" s="1080">
        <v>0.14099999999999999</v>
      </c>
      <c r="BB119" s="1080">
        <v>8.2000000000000003E-2</v>
      </c>
      <c r="BC119" s="1081">
        <v>9.9643384245752517E-2</v>
      </c>
      <c r="BD119" s="178"/>
      <c r="BE119" s="1022">
        <f>+BE114/AY114-1-BE117-(6/AY114)</f>
        <v>0.1605959192931318</v>
      </c>
      <c r="BF119" s="1080"/>
      <c r="BG119" s="1080"/>
      <c r="BH119" s="1080"/>
      <c r="BI119" s="1081"/>
      <c r="BJ119" s="965"/>
      <c r="BK119" s="1045"/>
      <c r="BL119" s="1080"/>
      <c r="BM119" s="1080"/>
      <c r="BN119" s="1080"/>
      <c r="BO119" s="1081"/>
      <c r="BP119" s="965"/>
      <c r="BQ119" s="1045"/>
      <c r="BR119" s="1080"/>
      <c r="BS119" s="1080"/>
      <c r="BT119" s="1080"/>
      <c r="BU119" s="1081"/>
      <c r="BV119" s="965"/>
      <c r="BW119" s="1045"/>
      <c r="BX119" s="1080"/>
      <c r="BY119" s="1080"/>
      <c r="BZ119" s="1080"/>
      <c r="CA119" s="1081"/>
      <c r="CB119" s="965"/>
      <c r="CC119" s="1045"/>
      <c r="CD119" s="1080"/>
      <c r="CE119" s="1080"/>
      <c r="CF119" s="1080"/>
      <c r="CG119" s="1081"/>
      <c r="CH119" s="965"/>
      <c r="CI119" s="1045"/>
      <c r="CJ119" s="1080"/>
      <c r="CK119" s="1080"/>
      <c r="CL119" s="1080"/>
      <c r="CM119" s="1081"/>
      <c r="CN119" s="747"/>
      <c r="CO119" s="748"/>
      <c r="CP119" s="749"/>
      <c r="CQ119"/>
      <c r="CR119"/>
      <c r="CS119"/>
      <c r="CT119"/>
      <c r="CU119"/>
      <c r="CV119"/>
    </row>
    <row r="120" spans="1:100" s="963" customFormat="1" ht="12.75" customHeight="1" x14ac:dyDescent="0.2">
      <c r="A120" s="291"/>
      <c r="B120" s="585" t="s">
        <v>609</v>
      </c>
      <c r="C120" s="178">
        <f>C108+C114</f>
        <v>573.43399999999997</v>
      </c>
      <c r="D120" s="178">
        <f>D108+D114</f>
        <v>619.149</v>
      </c>
      <c r="E120" s="178">
        <f>E108+E114</f>
        <v>623.27300000000002</v>
      </c>
      <c r="F120" s="178">
        <f>F108+F114</f>
        <v>689.29899999999998</v>
      </c>
      <c r="G120" s="645">
        <f>G108+G114</f>
        <v>2505.1550000000002</v>
      </c>
      <c r="H120" s="178"/>
      <c r="I120" s="969">
        <f>I108+I114</f>
        <v>685.70900000000006</v>
      </c>
      <c r="J120" s="178">
        <f>J108+J114</f>
        <v>729.21100000000001</v>
      </c>
      <c r="K120" s="178">
        <f>K108+K114</f>
        <v>668.69200000000001</v>
      </c>
      <c r="L120" s="178">
        <f>L108+L114</f>
        <v>646.91399999999976</v>
      </c>
      <c r="M120" s="645">
        <f>M108+M114</f>
        <v>2730.5259999999998</v>
      </c>
      <c r="N120" s="178"/>
      <c r="O120" s="969">
        <f>O108+O114</f>
        <v>630.47199999999998</v>
      </c>
      <c r="P120" s="178">
        <f>P108+P114</f>
        <v>692.10699999999997</v>
      </c>
      <c r="Q120" s="178">
        <f>Q108+Q114</f>
        <v>681.98899999999992</v>
      </c>
      <c r="R120" s="178">
        <f>R108+R114</f>
        <v>734.49400000000003</v>
      </c>
      <c r="S120" s="645">
        <f>S108+S114</f>
        <v>2739.0619999999999</v>
      </c>
      <c r="T120" s="178"/>
      <c r="U120" s="969">
        <f>U108+U114</f>
        <v>687.62199999999996</v>
      </c>
      <c r="V120" s="178">
        <f>V108+V114</f>
        <v>701.69799999999998</v>
      </c>
      <c r="W120" s="178">
        <f>W108+W114</f>
        <v>677.245</v>
      </c>
      <c r="X120" s="178">
        <f>X108+X114</f>
        <v>756.29099999999994</v>
      </c>
      <c r="Y120" s="645">
        <f>Y108+Y114</f>
        <v>2822.8559999999998</v>
      </c>
      <c r="Z120" s="178"/>
      <c r="AA120" s="969">
        <f>AA108+AA114</f>
        <v>741.74199999999996</v>
      </c>
      <c r="AB120" s="178">
        <f>AB108+AB114</f>
        <v>808.67600000000004</v>
      </c>
      <c r="AC120" s="178">
        <f>AC108+AC114</f>
        <v>782.548</v>
      </c>
      <c r="AD120" s="178">
        <f>AD108+AD114</f>
        <v>935.91599999999994</v>
      </c>
      <c r="AE120" s="645">
        <f>AE108+AE114</f>
        <v>3268.8819999999996</v>
      </c>
      <c r="AF120" s="178"/>
      <c r="AG120" s="969">
        <f>AG108+AG114</f>
        <v>897.48900000000003</v>
      </c>
      <c r="AH120" s="178">
        <f>AH108+AH114</f>
        <v>940.48700000000008</v>
      </c>
      <c r="AI120" s="178">
        <f>AI108+AI114</f>
        <v>894.48400000000004</v>
      </c>
      <c r="AJ120" s="178">
        <f>AJ108+AJ114</f>
        <v>975.87699999999995</v>
      </c>
      <c r="AK120" s="645">
        <f>AK108+AK114</f>
        <v>3708.337</v>
      </c>
      <c r="AL120" s="178"/>
      <c r="AM120" s="969">
        <f>AM108+AM114</f>
        <v>939.97500000000002</v>
      </c>
      <c r="AN120" s="178">
        <f>AN108+AN114</f>
        <v>999.11300000000006</v>
      </c>
      <c r="AO120" s="178">
        <f>AO108+AO114</f>
        <v>948.029</v>
      </c>
      <c r="AP120" s="178">
        <f>AP108+AP114</f>
        <v>1012.395</v>
      </c>
      <c r="AQ120" s="645">
        <f>AQ108+AQ114</f>
        <v>3899.5119999999997</v>
      </c>
      <c r="AR120" s="178"/>
      <c r="AS120" s="969">
        <f>AS108+AS114</f>
        <v>971.88200000000006</v>
      </c>
      <c r="AT120" s="178">
        <f>AT108+AT114</f>
        <v>1030.598</v>
      </c>
      <c r="AU120" s="178">
        <f>AU108+AU114</f>
        <v>971.58399999999995</v>
      </c>
      <c r="AV120" s="178">
        <f>AV108+AV114</f>
        <v>984.01099999999997</v>
      </c>
      <c r="AW120" s="645">
        <f>AW108+AW114</f>
        <v>3958.0749999999998</v>
      </c>
      <c r="AX120" s="178"/>
      <c r="AY120" s="969">
        <f>AY108+AY114</f>
        <v>888.84699999999998</v>
      </c>
      <c r="AZ120" s="178">
        <f>AZ108+AZ114</f>
        <v>980.798</v>
      </c>
      <c r="BA120" s="178">
        <f>BA108+BA114</f>
        <v>934.19999999999993</v>
      </c>
      <c r="BB120" s="178">
        <f>BB108+BB114</f>
        <v>950.09999999999991</v>
      </c>
      <c r="BC120" s="645">
        <f>BC108+BC114</f>
        <v>3753.9449999999997</v>
      </c>
      <c r="BD120" s="178"/>
      <c r="BE120" s="969">
        <f>BE108+BE114</f>
        <v>924</v>
      </c>
      <c r="BF120" s="178">
        <f>+BF123-BF121</f>
        <v>998.63019472403914</v>
      </c>
      <c r="BG120" s="178">
        <f>+BG123-BG121</f>
        <v>934.69198012579648</v>
      </c>
      <c r="BH120" s="178">
        <f>+BH123-BH121</f>
        <v>976.51697809459995</v>
      </c>
      <c r="BI120" s="645">
        <f>+SUM(BE120:BH120)</f>
        <v>3833.8391529444352</v>
      </c>
      <c r="BJ120" s="965"/>
      <c r="BK120" s="969">
        <f>+BK123-BK121</f>
        <v>878.67516665800906</v>
      </c>
      <c r="BL120" s="178">
        <f>+BL123-BL121</f>
        <v>973.83204002722459</v>
      </c>
      <c r="BM120" s="178">
        <f>+BM123-BM121</f>
        <v>990.1417880389829</v>
      </c>
      <c r="BN120" s="178">
        <f>+BN123-BN121</f>
        <v>1070.0895712377246</v>
      </c>
      <c r="BO120" s="645">
        <f>+SUM(BK120:BN120)</f>
        <v>3912.7385659619408</v>
      </c>
      <c r="BP120" s="965"/>
      <c r="BQ120" s="969">
        <f>+BQ123-BQ121</f>
        <v>921.2706251157116</v>
      </c>
      <c r="BR120" s="178">
        <f>+BR123-BR121</f>
        <v>1032.2309438896946</v>
      </c>
      <c r="BS120" s="178">
        <f>+BS123-BS121</f>
        <v>1054.7323925576959</v>
      </c>
      <c r="BT120" s="178">
        <f>+BT123-BT121</f>
        <v>1134.5120752861324</v>
      </c>
      <c r="BU120" s="645">
        <f>+SUM(BQ120:BT120)</f>
        <v>4142.7460368492339</v>
      </c>
      <c r="BV120" s="965"/>
      <c r="BW120" s="969">
        <f>+BW123-BW121</f>
        <v>942.14856344389705</v>
      </c>
      <c r="BX120" s="178">
        <f>+BX123-BX121</f>
        <v>1069.8754232457322</v>
      </c>
      <c r="BY120" s="178">
        <f>+BY123-BY121</f>
        <v>1088.5892681383452</v>
      </c>
      <c r="BZ120" s="178">
        <f>+BZ123-BZ121</f>
        <v>1162.7683635071905</v>
      </c>
      <c r="CA120" s="645">
        <f>+SUM(BW120:BZ120)</f>
        <v>4263.3816183351655</v>
      </c>
      <c r="CB120" s="965"/>
      <c r="CC120" s="969">
        <f>+CC123-CC121</f>
        <v>975.90704551670501</v>
      </c>
      <c r="CD120" s="178">
        <f>+CD123-CD121</f>
        <v>1097.0440895167987</v>
      </c>
      <c r="CE120" s="178">
        <f>+CE123-CE121</f>
        <v>1119.4471744947803</v>
      </c>
      <c r="CF120" s="178">
        <f>+CF123-CF121</f>
        <v>1204.3619353572092</v>
      </c>
      <c r="CG120" s="645">
        <f>+SUM(CC120:CF120)</f>
        <v>4396.7602448854932</v>
      </c>
      <c r="CH120" s="965"/>
      <c r="CI120" s="969">
        <f>+CI123-CI121</f>
        <v>1013.0523567128686</v>
      </c>
      <c r="CJ120" s="178">
        <f>+CJ123-CJ121</f>
        <v>1157.0617453986313</v>
      </c>
      <c r="CK120" s="178">
        <f>+CK123-CK121</f>
        <v>1175.1343465361149</v>
      </c>
      <c r="CL120" s="178">
        <f>+CL123-CL121</f>
        <v>1250.0180359367889</v>
      </c>
      <c r="CM120" s="645">
        <f>+SUM(CI120:CL120)</f>
        <v>4595.2664845844038</v>
      </c>
      <c r="CN120" s="747"/>
      <c r="CO120" s="748"/>
      <c r="CP120" s="749"/>
      <c r="CQ120"/>
      <c r="CR120"/>
      <c r="CS120"/>
      <c r="CT120"/>
      <c r="CU120"/>
      <c r="CV120"/>
    </row>
    <row r="121" spans="1:100" s="741" customFormat="1" ht="12.75" customHeight="1" x14ac:dyDescent="0.2">
      <c r="B121" s="585" t="s">
        <v>600</v>
      </c>
      <c r="C121" s="178">
        <f>C120*C122</f>
        <v>-0.6792651953027381</v>
      </c>
      <c r="D121" s="178">
        <f>D120*D122</f>
        <v>-0.73341721350058597</v>
      </c>
      <c r="E121" s="178">
        <f>E120*E122</f>
        <v>-0.7383023261123749</v>
      </c>
      <c r="F121" s="178">
        <f>F120*F122</f>
        <v>-0.81651387929034924</v>
      </c>
      <c r="G121" s="470">
        <f>SUM(C121:F121)</f>
        <v>-2.9674986142060487</v>
      </c>
      <c r="H121" s="24"/>
      <c r="I121" s="969">
        <f>I120*I122</f>
        <v>-0.81226132005748763</v>
      </c>
      <c r="J121" s="178">
        <f>J120*J122</f>
        <v>-0.86379191385914511</v>
      </c>
      <c r="K121" s="178">
        <f>K120*K122</f>
        <v>-0.79210371547096725</v>
      </c>
      <c r="L121" s="178">
        <f>L120*L122</f>
        <v>-0.76630643553412492</v>
      </c>
      <c r="M121" s="470">
        <f>SUM(I121:L121)</f>
        <v>-3.234463384921725</v>
      </c>
      <c r="N121" s="24"/>
      <c r="O121" s="969">
        <f>O120*O122</f>
        <v>-0.74682995115899642</v>
      </c>
      <c r="P121" s="178">
        <f>P120*P122</f>
        <v>-0.81984011503571852</v>
      </c>
      <c r="Q121" s="178">
        <f>Q120*Q122</f>
        <v>-0.80785476842900672</v>
      </c>
      <c r="R121" s="178">
        <f>R120*R122</f>
        <v>-0.87004992790572133</v>
      </c>
      <c r="S121" s="470">
        <f>SUM(O121:R121)</f>
        <v>-3.2445747625294428</v>
      </c>
      <c r="T121" s="24"/>
      <c r="U121" s="969">
        <f>U120*U122</f>
        <v>-0.81452737738686476</v>
      </c>
      <c r="V121" s="178">
        <f>V120*V122</f>
        <v>-0.83120120016172871</v>
      </c>
      <c r="W121" s="178">
        <f>W120*W122</f>
        <v>-0.80223523054580459</v>
      </c>
      <c r="X121" s="178">
        <f>X120*X122</f>
        <v>-0.89586971442346131</v>
      </c>
      <c r="Y121" s="470">
        <f>SUM(U121:X121)</f>
        <v>-3.3438335225178593</v>
      </c>
      <c r="Z121" s="24"/>
      <c r="AA121" s="969">
        <f>AA120*AA122</f>
        <v>-0.87863559623992227</v>
      </c>
      <c r="AB121" s="178">
        <f>AB120*AB122</f>
        <v>-0.95792272707345072</v>
      </c>
      <c r="AC121" s="178">
        <f>AC120*AC122</f>
        <v>-0.92697262466782082</v>
      </c>
      <c r="AD121" s="178">
        <f>AD120*AD122</f>
        <v>-1.1086457456777197</v>
      </c>
      <c r="AE121" s="470">
        <f>SUM(AA121:AD121)</f>
        <v>-3.8721766936589135</v>
      </c>
      <c r="AF121" s="24"/>
      <c r="AG121" s="969">
        <f>AG120*AG122</f>
        <v>-1.0631267780896481</v>
      </c>
      <c r="AH121" s="178">
        <f>AH120*AH122</f>
        <v>-1.11406035521906</v>
      </c>
      <c r="AI121" s="178">
        <f>AI120*AI122</f>
        <v>-1.0595671846370716</v>
      </c>
      <c r="AJ121" s="178">
        <f>AJ120*AJ122</f>
        <v>-1.1559818235340948</v>
      </c>
      <c r="AK121" s="470">
        <f>SUM(AG121:AJ121)</f>
        <v>-4.3927361414798742</v>
      </c>
      <c r="AL121" s="24"/>
      <c r="AM121" s="969">
        <f>AM120*AM122</f>
        <v>-1.1134538620916989</v>
      </c>
      <c r="AN121" s="178">
        <f>AN120*AN122</f>
        <v>-1.1835061874156481</v>
      </c>
      <c r="AO121" s="178">
        <f>AO120*AO122</f>
        <v>-1.1229942832787376</v>
      </c>
      <c r="AP121" s="178">
        <f>AP120*AP122</f>
        <v>-1.199239472020347</v>
      </c>
      <c r="AQ121" s="470">
        <f>SUM(AM121:AP121)</f>
        <v>-4.6191938048064314</v>
      </c>
      <c r="AR121" s="24"/>
      <c r="AS121" s="969">
        <f>-(AS120-AS63)</f>
        <v>-1.4157980361810587</v>
      </c>
      <c r="AT121" s="178">
        <f>-(AT120-AT63)</f>
        <v>-1.6864916005520172</v>
      </c>
      <c r="AU121" s="178">
        <f>-(AU120-AU63)</f>
        <v>-0.83023246845618814</v>
      </c>
      <c r="AV121" s="178">
        <f>-(AV120-AV63)</f>
        <v>-0.7560429047297248</v>
      </c>
      <c r="AW121" s="470">
        <f>SUM(AS121:AV121)</f>
        <v>-4.6885650099189888</v>
      </c>
      <c r="AX121" s="24"/>
      <c r="AY121" s="969">
        <f>-(AY120-AY63)</f>
        <v>-0.54700000000002547</v>
      </c>
      <c r="AZ121" s="178">
        <f>-(AZ120-AZ63)</f>
        <v>-0.69799999999997908</v>
      </c>
      <c r="BA121" s="178">
        <f>-(BA120-BA63)</f>
        <v>-0.49999999999988631</v>
      </c>
      <c r="BB121" s="178">
        <f>-(BB120-BB63)</f>
        <v>-0.49999999999988631</v>
      </c>
      <c r="BC121" s="470">
        <f>SUM(AY121:BB121)</f>
        <v>-2.2449999999997772</v>
      </c>
      <c r="BD121" s="24"/>
      <c r="BE121" s="971">
        <v>-0.4</v>
      </c>
      <c r="BF121" s="178">
        <f>BF123*BF122</f>
        <v>-0.59686139070580713</v>
      </c>
      <c r="BG121" s="178">
        <f>BG123*BG122</f>
        <v>-0.55864679246316218</v>
      </c>
      <c r="BH121" s="178">
        <f t="shared" ref="BH121" si="177">BH123*BH122</f>
        <v>-0.58364476126664511</v>
      </c>
      <c r="BI121" s="470">
        <f>+SUM(BE121:BH121)</f>
        <v>-2.1391529444356143</v>
      </c>
      <c r="BJ121" s="965"/>
      <c r="BK121" s="969">
        <f>BK123*BK122</f>
        <v>-0.52516665800905571</v>
      </c>
      <c r="BL121" s="178">
        <f t="shared" ref="BL121" si="178">BL123*BL122</f>
        <v>-0.58204002722463521</v>
      </c>
      <c r="BM121" s="178">
        <f t="shared" ref="BM121" si="179">BM123*BM122</f>
        <v>-0.5917880389829312</v>
      </c>
      <c r="BN121" s="178">
        <f t="shared" ref="BN121" si="180">BN123*BN122</f>
        <v>-0.63957123772451707</v>
      </c>
      <c r="BO121" s="470">
        <f>+SUM(BK121:BN121)</f>
        <v>-2.3385659619411392</v>
      </c>
      <c r="BP121" s="965"/>
      <c r="BQ121" s="969">
        <f t="shared" ref="BQ121" si="181">BQ123*BQ122</f>
        <v>-0.55062511571155015</v>
      </c>
      <c r="BR121" s="178">
        <f t="shared" ref="BR121" si="182">BR123*BR122</f>
        <v>-0.61694388969464664</v>
      </c>
      <c r="BS121" s="178">
        <f t="shared" ref="BS121" si="183">BS123*BS122</f>
        <v>-0.63039255769590807</v>
      </c>
      <c r="BT121" s="178">
        <f t="shared" ref="BT121" si="184">BT123*BT122</f>
        <v>-0.67807528613225498</v>
      </c>
      <c r="BU121" s="470">
        <f>+SUM(BQ121:BT121)</f>
        <v>-2.4760368492343598</v>
      </c>
      <c r="BV121" s="965"/>
      <c r="BW121" s="969">
        <f t="shared" ref="BW121" si="185">BW123*BW122</f>
        <v>-0.56310344389696454</v>
      </c>
      <c r="BX121" s="178">
        <f t="shared" ref="BX121" si="186">BX123*BX122</f>
        <v>-0.6394432457320931</v>
      </c>
      <c r="BY121" s="178">
        <f t="shared" ref="BY121" si="187">BY123*BY122</f>
        <v>-0.65062813834506317</v>
      </c>
      <c r="BZ121" s="178">
        <f t="shared" ref="BZ121" si="188">BZ123*BZ122</f>
        <v>-0.69496350719036692</v>
      </c>
      <c r="CA121" s="470">
        <f>+SUM(BW121:BZ121)</f>
        <v>-2.548138335164488</v>
      </c>
      <c r="CB121" s="965"/>
      <c r="CC121" s="969">
        <f t="shared" ref="CC121" si="189">CC123*CC122</f>
        <v>-0.58328021670490193</v>
      </c>
      <c r="CD121" s="178">
        <f t="shared" ref="CD121" si="190">CD123*CD122</f>
        <v>-0.65568141679866276</v>
      </c>
      <c r="CE121" s="178">
        <f t="shared" ref="CE121" si="191">CE123*CE122</f>
        <v>-0.66907129478022487</v>
      </c>
      <c r="CF121" s="178">
        <f t="shared" ref="CF121" si="192">CF123*CF122</f>
        <v>-0.71982315720894485</v>
      </c>
      <c r="CG121" s="470">
        <f>+SUM(CC121:CF121)</f>
        <v>-2.6278560854927342</v>
      </c>
      <c r="CH121" s="965"/>
      <c r="CI121" s="969">
        <f t="shared" ref="CI121" si="193">CI123*CI122</f>
        <v>-0.60548122986860742</v>
      </c>
      <c r="CJ121" s="178">
        <f t="shared" ref="CJ121" si="194">CJ123*CJ122</f>
        <v>-0.69155277513109548</v>
      </c>
      <c r="CK121" s="178">
        <f t="shared" ref="CK121" si="195">CK123*CK122</f>
        <v>-0.70235440911490543</v>
      </c>
      <c r="CL121" s="178">
        <f t="shared" ref="CL121" si="196">CL123*CL122</f>
        <v>-0.74711089978883205</v>
      </c>
      <c r="CM121" s="470">
        <f>+SUM(CI121:CL121)</f>
        <v>-2.7464993139034402</v>
      </c>
      <c r="CN121" s="746"/>
      <c r="CO121" s="746"/>
      <c r="CP121" s="746"/>
      <c r="CQ121"/>
      <c r="CR121"/>
      <c r="CS121"/>
      <c r="CT121"/>
      <c r="CU121"/>
      <c r="CV121"/>
    </row>
    <row r="122" spans="1:100" s="741" customFormat="1" ht="12.75" customHeight="1" x14ac:dyDescent="0.2">
      <c r="A122" s="744"/>
      <c r="B122" s="1048" t="s">
        <v>519</v>
      </c>
      <c r="C122" s="1088">
        <f>D122</f>
        <v>-1.1845568893765249E-3</v>
      </c>
      <c r="D122" s="1088">
        <f>E122</f>
        <v>-1.1845568893765249E-3</v>
      </c>
      <c r="E122" s="1088">
        <f>F122</f>
        <v>-1.1845568893765249E-3</v>
      </c>
      <c r="F122" s="1089">
        <f>G122</f>
        <v>-1.1845568893765249E-3</v>
      </c>
      <c r="G122" s="1089">
        <f>M122</f>
        <v>-1.1845568893765249E-3</v>
      </c>
      <c r="H122" s="1090"/>
      <c r="I122" s="1045">
        <f>+M122</f>
        <v>-1.1845568893765249E-3</v>
      </c>
      <c r="J122" s="1088">
        <f>+M122</f>
        <v>-1.1845568893765249E-3</v>
      </c>
      <c r="K122" s="1088">
        <f>+M122</f>
        <v>-1.1845568893765249E-3</v>
      </c>
      <c r="L122" s="1089">
        <f>+M122</f>
        <v>-1.1845568893765249E-3</v>
      </c>
      <c r="M122" s="1091">
        <f>+S122</f>
        <v>-1.1845568893765249E-3</v>
      </c>
      <c r="N122" s="1090"/>
      <c r="O122" s="1045">
        <f>+S122</f>
        <v>-1.1845568893765249E-3</v>
      </c>
      <c r="P122" s="1088">
        <f>+S122</f>
        <v>-1.1845568893765249E-3</v>
      </c>
      <c r="Q122" s="1088">
        <f>+S122</f>
        <v>-1.1845568893765249E-3</v>
      </c>
      <c r="R122" s="1089">
        <f>+S122</f>
        <v>-1.1845568893765249E-3</v>
      </c>
      <c r="S122" s="1091">
        <f>+Y122</f>
        <v>-1.1845568893765249E-3</v>
      </c>
      <c r="T122" s="1090"/>
      <c r="U122" s="1045">
        <f>+Y122</f>
        <v>-1.1845568893765249E-3</v>
      </c>
      <c r="V122" s="1088">
        <f>+Y122</f>
        <v>-1.1845568893765249E-3</v>
      </c>
      <c r="W122" s="1088">
        <f>+Y122</f>
        <v>-1.1845568893765249E-3</v>
      </c>
      <c r="X122" s="1089">
        <f>+Y122</f>
        <v>-1.1845568893765249E-3</v>
      </c>
      <c r="Y122" s="1091">
        <f>+AE122</f>
        <v>-1.1845568893765249E-3</v>
      </c>
      <c r="Z122" s="1090"/>
      <c r="AA122" s="1045">
        <f>+AE122</f>
        <v>-1.1845568893765249E-3</v>
      </c>
      <c r="AB122" s="1088">
        <f>+AE122</f>
        <v>-1.1845568893765249E-3</v>
      </c>
      <c r="AC122" s="1088">
        <f>+AE122</f>
        <v>-1.1845568893765249E-3</v>
      </c>
      <c r="AD122" s="1089">
        <f>+AE122</f>
        <v>-1.1845568893765249E-3</v>
      </c>
      <c r="AE122" s="1091">
        <f>+AK122</f>
        <v>-1.1845568893765249E-3</v>
      </c>
      <c r="AF122" s="1090"/>
      <c r="AG122" s="1045">
        <f>+AK122</f>
        <v>-1.1845568893765249E-3</v>
      </c>
      <c r="AH122" s="1088">
        <f>+AK122</f>
        <v>-1.1845568893765249E-3</v>
      </c>
      <c r="AI122" s="1088">
        <f>+AK122</f>
        <v>-1.1845568893765249E-3</v>
      </c>
      <c r="AJ122" s="1089">
        <f>+AK122</f>
        <v>-1.1845568893765249E-3</v>
      </c>
      <c r="AK122" s="1091">
        <f>+AQ122</f>
        <v>-1.1845568893765249E-3</v>
      </c>
      <c r="AL122" s="1090"/>
      <c r="AM122" s="1045">
        <f>+AQ122</f>
        <v>-1.1845568893765249E-3</v>
      </c>
      <c r="AN122" s="1088">
        <f>+AQ122</f>
        <v>-1.1845568893765249E-3</v>
      </c>
      <c r="AO122" s="1088">
        <f>+AQ122</f>
        <v>-1.1845568893765249E-3</v>
      </c>
      <c r="AP122" s="1089">
        <f>+AQ122</f>
        <v>-1.1845568893765249E-3</v>
      </c>
      <c r="AQ122" s="1091">
        <f>+AW122</f>
        <v>-1.1845568893765249E-3</v>
      </c>
      <c r="AR122" s="24"/>
      <c r="AS122" s="1022">
        <f>+AS121/AS120</f>
        <v>-1.4567591911168831E-3</v>
      </c>
      <c r="AT122" s="407">
        <f>+AT121/AT120</f>
        <v>-1.6364204088810742E-3</v>
      </c>
      <c r="AU122" s="407">
        <f>+AU121/AU120</f>
        <v>-8.5451434817389771E-4</v>
      </c>
      <c r="AV122" s="1074">
        <f>+AV121/AV120</f>
        <v>-7.6832769626531089E-4</v>
      </c>
      <c r="AW122" s="742">
        <f>+AW121/AW120</f>
        <v>-1.1845568893765249E-3</v>
      </c>
      <c r="AX122" s="24"/>
      <c r="AY122" s="1022">
        <f>+AY121/AY120</f>
        <v>-6.1540400091357169E-4</v>
      </c>
      <c r="AZ122" s="407">
        <f>+AZ121/AZ120</f>
        <v>-7.1166539899141217E-4</v>
      </c>
      <c r="BA122" s="407">
        <f>+BA121/BA120</f>
        <v>-5.352172982229569E-4</v>
      </c>
      <c r="BB122" s="1074">
        <f>+BB121/BB120</f>
        <v>-5.2626039364265479E-4</v>
      </c>
      <c r="BC122" s="742">
        <f>+BC121/BC120</f>
        <v>-5.9803753118380196E-4</v>
      </c>
      <c r="BD122" s="24"/>
      <c r="BE122" s="784">
        <f>+BE121/BE120</f>
        <v>-4.329004329004329E-4</v>
      </c>
      <c r="BF122" s="1256">
        <f>+$BC$122</f>
        <v>-5.9803753118380196E-4</v>
      </c>
      <c r="BG122" s="1256">
        <f>+$BC$122</f>
        <v>-5.9803753118380196E-4</v>
      </c>
      <c r="BH122" s="1268">
        <f>+$BC$122</f>
        <v>-5.9803753118380196E-4</v>
      </c>
      <c r="BI122" s="742">
        <f>+BI121/BI120</f>
        <v>-5.5796627325711324E-4</v>
      </c>
      <c r="BJ122" s="965"/>
      <c r="BK122" s="1040">
        <f>+$BC$122</f>
        <v>-5.9803753118380196E-4</v>
      </c>
      <c r="BL122" s="1256">
        <f>+$BC$122</f>
        <v>-5.9803753118380196E-4</v>
      </c>
      <c r="BM122" s="1256">
        <f>+$BC$122</f>
        <v>-5.9803753118380196E-4</v>
      </c>
      <c r="BN122" s="1268">
        <f>+$BC$122</f>
        <v>-5.9803753118380196E-4</v>
      </c>
      <c r="BO122" s="742">
        <f>+BO121/BO120</f>
        <v>-5.976800960547198E-4</v>
      </c>
      <c r="BP122" s="965"/>
      <c r="BQ122" s="1040">
        <f>+$BC$122</f>
        <v>-5.9803753118380196E-4</v>
      </c>
      <c r="BR122" s="1256">
        <f>+$BC$122</f>
        <v>-5.9803753118380196E-4</v>
      </c>
      <c r="BS122" s="1256">
        <f>+$BC$122</f>
        <v>-5.9803753118380196E-4</v>
      </c>
      <c r="BT122" s="1268">
        <f>+$BC$122</f>
        <v>-5.9803753118380196E-4</v>
      </c>
      <c r="BU122" s="742">
        <f>+BU121/BU120</f>
        <v>-5.976800960547198E-4</v>
      </c>
      <c r="BV122" s="965"/>
      <c r="BW122" s="1040">
        <f>+$BC$122</f>
        <v>-5.9803753118380196E-4</v>
      </c>
      <c r="BX122" s="1256">
        <f>+$BC$122</f>
        <v>-5.9803753118380196E-4</v>
      </c>
      <c r="BY122" s="1256">
        <f>+$BC$122</f>
        <v>-5.9803753118380196E-4</v>
      </c>
      <c r="BZ122" s="1268">
        <f>+$BC$122</f>
        <v>-5.9803753118380196E-4</v>
      </c>
      <c r="CA122" s="742">
        <f>+CA121/CA120</f>
        <v>-5.9768009605471969E-4</v>
      </c>
      <c r="CB122" s="965"/>
      <c r="CC122" s="1040">
        <f>+$BC$122</f>
        <v>-5.9803753118380196E-4</v>
      </c>
      <c r="CD122" s="1256">
        <f>+$BC$122</f>
        <v>-5.9803753118380196E-4</v>
      </c>
      <c r="CE122" s="1256">
        <f>+$BC$122</f>
        <v>-5.9803753118380196E-4</v>
      </c>
      <c r="CF122" s="1268">
        <f>+$BC$122</f>
        <v>-5.9803753118380196E-4</v>
      </c>
      <c r="CG122" s="742">
        <f>+CG121/CG120</f>
        <v>-5.9768009605471958E-4</v>
      </c>
      <c r="CH122" s="965"/>
      <c r="CI122" s="1040">
        <f>+$BC$122</f>
        <v>-5.9803753118380196E-4</v>
      </c>
      <c r="CJ122" s="1256">
        <f>+$BC$122</f>
        <v>-5.9803753118380196E-4</v>
      </c>
      <c r="CK122" s="1256">
        <f>+$BC$122</f>
        <v>-5.9803753118380196E-4</v>
      </c>
      <c r="CL122" s="1268">
        <f>+$BC$122</f>
        <v>-5.9803753118380196E-4</v>
      </c>
      <c r="CM122" s="742">
        <f>+CM121/CM120</f>
        <v>-5.9768009605471958E-4</v>
      </c>
      <c r="CN122" s="746"/>
      <c r="CO122" s="746"/>
      <c r="CP122" s="746"/>
      <c r="CQ122"/>
      <c r="CR122"/>
      <c r="CS122"/>
      <c r="CT122"/>
      <c r="CU122"/>
      <c r="CV122"/>
    </row>
    <row r="123" spans="1:100" s="963" customFormat="1" ht="12.75" customHeight="1" x14ac:dyDescent="0.2">
      <c r="A123" s="291"/>
      <c r="B123" s="586" t="s">
        <v>613</v>
      </c>
      <c r="C123" s="288">
        <f>+C120+C121</f>
        <v>572.75473480469725</v>
      </c>
      <c r="D123" s="288">
        <f>+D120+D121</f>
        <v>618.41558278649939</v>
      </c>
      <c r="E123" s="288">
        <f>+E120+E121</f>
        <v>622.53469767388765</v>
      </c>
      <c r="F123" s="288">
        <f>+F120+F121</f>
        <v>688.48248612070961</v>
      </c>
      <c r="G123" s="289">
        <f>+G120+G121</f>
        <v>2502.1875013857943</v>
      </c>
      <c r="H123" s="288"/>
      <c r="I123" s="739">
        <f>+I120+I121</f>
        <v>684.89673867994259</v>
      </c>
      <c r="J123" s="288">
        <f>+J120+J121</f>
        <v>728.34720808614088</v>
      </c>
      <c r="K123" s="288">
        <f>+K120+K121</f>
        <v>667.89989628452906</v>
      </c>
      <c r="L123" s="288">
        <f>+L120+L121</f>
        <v>646.14769356446561</v>
      </c>
      <c r="M123" s="289">
        <f>+M120+M121</f>
        <v>2727.2915366150783</v>
      </c>
      <c r="N123" s="288"/>
      <c r="O123" s="739">
        <f>+O120+O121</f>
        <v>629.72517004884094</v>
      </c>
      <c r="P123" s="288">
        <f>+P120+P121</f>
        <v>691.28715988496424</v>
      </c>
      <c r="Q123" s="288">
        <f>+Q120+Q121</f>
        <v>681.18114523157089</v>
      </c>
      <c r="R123" s="288">
        <f>+R120+R121</f>
        <v>733.62395007209432</v>
      </c>
      <c r="S123" s="289">
        <f>+S120+S121</f>
        <v>2735.8174252374706</v>
      </c>
      <c r="T123" s="288"/>
      <c r="U123" s="739">
        <f>+U120+U121</f>
        <v>686.80747262261309</v>
      </c>
      <c r="V123" s="288">
        <f>+V120+V121</f>
        <v>700.86679879983831</v>
      </c>
      <c r="W123" s="288">
        <f>+W120+W121</f>
        <v>676.44276476945424</v>
      </c>
      <c r="X123" s="288">
        <f>+X120+X121</f>
        <v>755.39513028557644</v>
      </c>
      <c r="Y123" s="289">
        <f>+Y120+Y121</f>
        <v>2819.512166477482</v>
      </c>
      <c r="Z123" s="288"/>
      <c r="AA123" s="739">
        <f>+AA120+AA121</f>
        <v>740.86336440375999</v>
      </c>
      <c r="AB123" s="288">
        <f>+AB120+AB121</f>
        <v>807.71807727292662</v>
      </c>
      <c r="AC123" s="288">
        <f>+AC120+AC121</f>
        <v>781.62102737533223</v>
      </c>
      <c r="AD123" s="288">
        <f>+AD120+AD121</f>
        <v>934.80735425432226</v>
      </c>
      <c r="AE123" s="289">
        <f>+AE120+AE121</f>
        <v>3265.0098233063409</v>
      </c>
      <c r="AF123" s="288"/>
      <c r="AG123" s="739">
        <f>+AG120+AG121</f>
        <v>896.42587322191036</v>
      </c>
      <c r="AH123" s="288">
        <f>+AH120+AH121</f>
        <v>939.37293964478101</v>
      </c>
      <c r="AI123" s="288">
        <f>+AI120+AI121</f>
        <v>893.42443281536293</v>
      </c>
      <c r="AJ123" s="288">
        <f>+AJ120+AJ121</f>
        <v>974.7210181764658</v>
      </c>
      <c r="AK123" s="289">
        <f>+AK120+AK121</f>
        <v>3703.9442638585201</v>
      </c>
      <c r="AL123" s="288"/>
      <c r="AM123" s="739">
        <f>+AM120+AM121</f>
        <v>938.86154613790836</v>
      </c>
      <c r="AN123" s="288">
        <f>+AN120+AN121</f>
        <v>997.92949381258438</v>
      </c>
      <c r="AO123" s="288">
        <f>+AO120+AO121</f>
        <v>946.90600571672121</v>
      </c>
      <c r="AP123" s="288">
        <f>+AP120+AP121</f>
        <v>1011.1957605279796</v>
      </c>
      <c r="AQ123" s="289">
        <f>+AQ120+AQ121</f>
        <v>3894.8928061951933</v>
      </c>
      <c r="AR123" s="288"/>
      <c r="AS123" s="739">
        <f>+AS120+AS121</f>
        <v>970.466201963819</v>
      </c>
      <c r="AT123" s="288">
        <f>+AT120+AT121</f>
        <v>1028.9115083994479</v>
      </c>
      <c r="AU123" s="288">
        <f>+AU120+AU121</f>
        <v>970.75376753154376</v>
      </c>
      <c r="AV123" s="288">
        <f>+AV120+AV121</f>
        <v>983.25495709527024</v>
      </c>
      <c r="AW123" s="289">
        <f>+AW120+AW121</f>
        <v>3953.3864349900809</v>
      </c>
      <c r="AX123" s="288"/>
      <c r="AY123" s="739">
        <f>+AY120+AY121</f>
        <v>888.3</v>
      </c>
      <c r="AZ123" s="288">
        <f>+AZ120+AZ121</f>
        <v>980.1</v>
      </c>
      <c r="BA123" s="288">
        <f>+BA120+BA121</f>
        <v>933.7</v>
      </c>
      <c r="BB123" s="288">
        <f>+BB120+BB121</f>
        <v>949.6</v>
      </c>
      <c r="BC123" s="289">
        <f>+BC120+BC121</f>
        <v>3751.7</v>
      </c>
      <c r="BD123" s="288"/>
      <c r="BE123" s="739">
        <f>+BE120+BE121</f>
        <v>923.6</v>
      </c>
      <c r="BF123" s="288">
        <f>+BF127-BF124-BF125</f>
        <v>998.0333333333333</v>
      </c>
      <c r="BG123" s="288">
        <f>+BG127-BG124-BG125</f>
        <v>934.13333333333333</v>
      </c>
      <c r="BH123" s="288">
        <f>+BH127-BH124-BH125</f>
        <v>975.93333333333328</v>
      </c>
      <c r="BI123" s="289">
        <f>+BI120+BI121</f>
        <v>3831.7</v>
      </c>
      <c r="BJ123" s="1079"/>
      <c r="BK123" s="739">
        <f>+BK127-BK124-BK125</f>
        <v>878.15</v>
      </c>
      <c r="BL123" s="288">
        <f>+BL127-BL124-BL125</f>
        <v>973.25</v>
      </c>
      <c r="BM123" s="288">
        <f>+BM127-BM124-BM125</f>
        <v>989.55</v>
      </c>
      <c r="BN123" s="288">
        <f>+BN127-BN124-BN125</f>
        <v>1069.45</v>
      </c>
      <c r="BO123" s="289">
        <f>+BO120+BO121</f>
        <v>3910.3999999999996</v>
      </c>
      <c r="BP123" s="1079"/>
      <c r="BQ123" s="739">
        <f>+BQ127-BQ124-BQ125</f>
        <v>920.72</v>
      </c>
      <c r="BR123" s="288">
        <f>+BR127-BR124-BR125</f>
        <v>1031.614</v>
      </c>
      <c r="BS123" s="288">
        <f>+BS127-BS124-BS125</f>
        <v>1054.1020000000001</v>
      </c>
      <c r="BT123" s="288">
        <f>+BT127-BT124-BT125</f>
        <v>1133.8340000000001</v>
      </c>
      <c r="BU123" s="289">
        <f>+BU120+BU121</f>
        <v>4140.2699999999995</v>
      </c>
      <c r="BV123" s="1079"/>
      <c r="BW123" s="739">
        <f>+BW127-BW124-BW125</f>
        <v>941.58546000000013</v>
      </c>
      <c r="BX123" s="288">
        <f>+BX127-BX124-BX125</f>
        <v>1069.2359800000002</v>
      </c>
      <c r="BY123" s="288">
        <f>+BY127-BY124-BY125</f>
        <v>1087.9386400000001</v>
      </c>
      <c r="BZ123" s="288">
        <f>+BZ127-BZ124-BZ125</f>
        <v>1162.0734000000002</v>
      </c>
      <c r="CA123" s="289">
        <f>+CA120+CA121</f>
        <v>4260.8334800000011</v>
      </c>
      <c r="CB123" s="1079"/>
      <c r="CC123" s="739">
        <f>+CC127-CC124-CC125</f>
        <v>975.3237653000001</v>
      </c>
      <c r="CD123" s="288">
        <f>+CD127-CD124-CD125</f>
        <v>1096.3884081000001</v>
      </c>
      <c r="CE123" s="288">
        <f>+CE127-CE124-CE125</f>
        <v>1118.7781032</v>
      </c>
      <c r="CF123" s="288">
        <f>+CF127-CF124-CF125</f>
        <v>1203.6421122000002</v>
      </c>
      <c r="CG123" s="289">
        <f>+CG120+CG121</f>
        <v>4394.1323888000006</v>
      </c>
      <c r="CH123" s="1079"/>
      <c r="CI123" s="739">
        <f>+CI127-CI124-CI125</f>
        <v>1012.446875483</v>
      </c>
      <c r="CJ123" s="288">
        <f>+CJ127-CJ124-CJ125</f>
        <v>1156.3701926235001</v>
      </c>
      <c r="CK123" s="288">
        <f>+CK127-CK124-CK125</f>
        <v>1174.4319921270001</v>
      </c>
      <c r="CL123" s="288">
        <f>+CL127-CL124-CL125</f>
        <v>1249.2709250370001</v>
      </c>
      <c r="CM123" s="289">
        <f>+CM120+CM121</f>
        <v>4592.5199852705</v>
      </c>
      <c r="CN123" s="747"/>
      <c r="CO123" s="748"/>
      <c r="CP123" s="749"/>
      <c r="CQ123"/>
      <c r="CR123"/>
      <c r="CS123"/>
      <c r="CT123"/>
      <c r="CU123"/>
      <c r="CV123"/>
    </row>
    <row r="124" spans="1:100" s="1017" customFormat="1" ht="12.75" customHeight="1" x14ac:dyDescent="0.2">
      <c r="A124" s="291"/>
      <c r="B124" s="585" t="s">
        <v>648</v>
      </c>
      <c r="C124" s="785">
        <f>G124/4</f>
        <v>0</v>
      </c>
      <c r="D124" s="779">
        <f t="shared" ref="D124:F125" si="197">C124</f>
        <v>0</v>
      </c>
      <c r="E124" s="779">
        <f t="shared" si="197"/>
        <v>0</v>
      </c>
      <c r="F124" s="779">
        <f t="shared" si="197"/>
        <v>0</v>
      </c>
      <c r="G124" s="799">
        <v>0</v>
      </c>
      <c r="H124" s="178"/>
      <c r="I124" s="785">
        <f>M124/4</f>
        <v>0</v>
      </c>
      <c r="J124" s="779">
        <f t="shared" ref="J124:L125" si="198">I124</f>
        <v>0</v>
      </c>
      <c r="K124" s="779">
        <f t="shared" si="198"/>
        <v>0</v>
      </c>
      <c r="L124" s="779">
        <f t="shared" si="198"/>
        <v>0</v>
      </c>
      <c r="M124" s="799">
        <v>0</v>
      </c>
      <c r="N124" s="178"/>
      <c r="O124" s="785">
        <f>S124/4</f>
        <v>0</v>
      </c>
      <c r="P124" s="779">
        <f t="shared" ref="P124:R125" si="199">O124</f>
        <v>0</v>
      </c>
      <c r="Q124" s="779">
        <f t="shared" si="199"/>
        <v>0</v>
      </c>
      <c r="R124" s="779">
        <f t="shared" si="199"/>
        <v>0</v>
      </c>
      <c r="S124" s="799">
        <v>0</v>
      </c>
      <c r="T124" s="178"/>
      <c r="U124" s="785">
        <f>Y124/4</f>
        <v>0</v>
      </c>
      <c r="V124" s="779">
        <f t="shared" ref="V124:X125" si="200">U124</f>
        <v>0</v>
      </c>
      <c r="W124" s="779">
        <f t="shared" si="200"/>
        <v>0</v>
      </c>
      <c r="X124" s="779">
        <f t="shared" si="200"/>
        <v>0</v>
      </c>
      <c r="Y124" s="799">
        <v>0</v>
      </c>
      <c r="Z124" s="178"/>
      <c r="AA124" s="785">
        <f>AE124/4</f>
        <v>0</v>
      </c>
      <c r="AB124" s="779">
        <f t="shared" ref="AB124:AD125" si="201">AA124</f>
        <v>0</v>
      </c>
      <c r="AC124" s="779">
        <f t="shared" si="201"/>
        <v>0</v>
      </c>
      <c r="AD124" s="779">
        <f t="shared" si="201"/>
        <v>0</v>
      </c>
      <c r="AE124" s="799">
        <v>0</v>
      </c>
      <c r="AF124" s="178"/>
      <c r="AG124" s="785">
        <f>AK124/4</f>
        <v>0</v>
      </c>
      <c r="AH124" s="779">
        <f t="shared" ref="AH124:AJ125" si="202">AG124</f>
        <v>0</v>
      </c>
      <c r="AI124" s="779">
        <f t="shared" si="202"/>
        <v>0</v>
      </c>
      <c r="AJ124" s="779">
        <f t="shared" si="202"/>
        <v>0</v>
      </c>
      <c r="AK124" s="799">
        <v>0</v>
      </c>
      <c r="AL124" s="178"/>
      <c r="AM124" s="785">
        <f>AQ124/4</f>
        <v>0</v>
      </c>
      <c r="AN124" s="779">
        <f t="shared" ref="AN124:AP125" si="203">AM124</f>
        <v>0</v>
      </c>
      <c r="AO124" s="779">
        <f t="shared" si="203"/>
        <v>0</v>
      </c>
      <c r="AP124" s="779">
        <f t="shared" si="203"/>
        <v>0</v>
      </c>
      <c r="AQ124" s="799">
        <v>0</v>
      </c>
      <c r="AR124" s="178"/>
      <c r="AS124" s="785">
        <f>AW124/4</f>
        <v>0</v>
      </c>
      <c r="AT124" s="779">
        <f t="shared" ref="AT124:AV125" si="204">AS124</f>
        <v>0</v>
      </c>
      <c r="AU124" s="779">
        <f t="shared" si="204"/>
        <v>0</v>
      </c>
      <c r="AV124" s="779">
        <f t="shared" si="204"/>
        <v>0</v>
      </c>
      <c r="AW124" s="799">
        <v>0</v>
      </c>
      <c r="AX124" s="178"/>
      <c r="AY124" s="785">
        <f>BC124/4</f>
        <v>0</v>
      </c>
      <c r="AZ124" s="779">
        <f t="shared" ref="AZ124:BB125" si="205">AY124</f>
        <v>0</v>
      </c>
      <c r="BA124" s="779">
        <f t="shared" si="205"/>
        <v>0</v>
      </c>
      <c r="BB124" s="779">
        <f t="shared" si="205"/>
        <v>0</v>
      </c>
      <c r="BC124" s="799">
        <v>0</v>
      </c>
      <c r="BD124" s="178"/>
      <c r="BE124" s="1072">
        <f>-160.7-8.8</f>
        <v>-169.5</v>
      </c>
      <c r="BF124" s="1267">
        <v>1.6</v>
      </c>
      <c r="BG124" s="1284">
        <v>0</v>
      </c>
      <c r="BH124" s="1284">
        <v>1.5</v>
      </c>
      <c r="BI124" s="470">
        <f>+SUM(BE124:BH124)</f>
        <v>-166.4</v>
      </c>
      <c r="BJ124" s="965"/>
      <c r="BK124" s="1438">
        <v>1.5</v>
      </c>
      <c r="BL124" s="779">
        <v>0</v>
      </c>
      <c r="BM124" s="779">
        <v>0</v>
      </c>
      <c r="BN124" s="779">
        <v>0</v>
      </c>
      <c r="BO124" s="470">
        <f>+SUM(BK124:BN124)</f>
        <v>1.5</v>
      </c>
      <c r="BP124" s="965"/>
      <c r="BQ124" s="785">
        <v>0</v>
      </c>
      <c r="BR124" s="779">
        <v>0</v>
      </c>
      <c r="BS124" s="779">
        <v>0</v>
      </c>
      <c r="BT124" s="779">
        <v>0</v>
      </c>
      <c r="BU124" s="470">
        <f>+SUM(BQ124:BT124)</f>
        <v>0</v>
      </c>
      <c r="BV124" s="965"/>
      <c r="BW124" s="785">
        <v>0</v>
      </c>
      <c r="BX124" s="779">
        <v>0</v>
      </c>
      <c r="BY124" s="779">
        <v>0</v>
      </c>
      <c r="BZ124" s="779">
        <v>0</v>
      </c>
      <c r="CA124" s="470">
        <f>+SUM(BW124:BZ124)</f>
        <v>0</v>
      </c>
      <c r="CB124" s="965"/>
      <c r="CC124" s="785">
        <v>0</v>
      </c>
      <c r="CD124" s="779">
        <v>0</v>
      </c>
      <c r="CE124" s="779">
        <v>0</v>
      </c>
      <c r="CF124" s="779">
        <v>0</v>
      </c>
      <c r="CG124" s="470">
        <f>+SUM(CC124:CF124)</f>
        <v>0</v>
      </c>
      <c r="CH124" s="965"/>
      <c r="CI124" s="785">
        <v>0</v>
      </c>
      <c r="CJ124" s="779">
        <v>0</v>
      </c>
      <c r="CK124" s="779">
        <v>0</v>
      </c>
      <c r="CL124" s="779">
        <v>0</v>
      </c>
      <c r="CM124" s="470">
        <f>+SUM(CI124:CL124)</f>
        <v>0</v>
      </c>
      <c r="CN124" s="747"/>
      <c r="CO124" s="748"/>
      <c r="CP124" s="749"/>
      <c r="CQ124"/>
      <c r="CR124"/>
      <c r="CS124"/>
      <c r="CT124"/>
      <c r="CU124"/>
      <c r="CV124"/>
    </row>
    <row r="125" spans="1:100" s="1016" customFormat="1" ht="12.75" customHeight="1" x14ac:dyDescent="0.2">
      <c r="A125"/>
      <c r="B125" s="585" t="s">
        <v>601</v>
      </c>
      <c r="C125" s="785">
        <f>G125/4</f>
        <v>0</v>
      </c>
      <c r="D125" s="779">
        <f t="shared" si="197"/>
        <v>0</v>
      </c>
      <c r="E125" s="779">
        <f t="shared" si="197"/>
        <v>0</v>
      </c>
      <c r="F125" s="779">
        <f t="shared" si="197"/>
        <v>0</v>
      </c>
      <c r="G125" s="799">
        <v>0</v>
      </c>
      <c r="H125" s="711"/>
      <c r="I125" s="785">
        <f>M125/4</f>
        <v>0</v>
      </c>
      <c r="J125" s="779">
        <f t="shared" si="198"/>
        <v>0</v>
      </c>
      <c r="K125" s="779">
        <f t="shared" si="198"/>
        <v>0</v>
      </c>
      <c r="L125" s="779">
        <f t="shared" si="198"/>
        <v>0</v>
      </c>
      <c r="M125" s="799">
        <v>0</v>
      </c>
      <c r="N125" s="711"/>
      <c r="O125" s="785">
        <f>S125/4</f>
        <v>0</v>
      </c>
      <c r="P125" s="779">
        <f t="shared" si="199"/>
        <v>0</v>
      </c>
      <c r="Q125" s="779">
        <f t="shared" si="199"/>
        <v>0</v>
      </c>
      <c r="R125" s="779">
        <f t="shared" si="199"/>
        <v>0</v>
      </c>
      <c r="S125" s="799">
        <v>0</v>
      </c>
      <c r="T125" s="711"/>
      <c r="U125" s="785">
        <f>Y125/4</f>
        <v>0</v>
      </c>
      <c r="V125" s="779">
        <f t="shared" si="200"/>
        <v>0</v>
      </c>
      <c r="W125" s="779">
        <f t="shared" si="200"/>
        <v>0</v>
      </c>
      <c r="X125" s="779">
        <f t="shared" si="200"/>
        <v>0</v>
      </c>
      <c r="Y125" s="799">
        <v>0</v>
      </c>
      <c r="Z125" s="711"/>
      <c r="AA125" s="785">
        <f>AE125/4</f>
        <v>0</v>
      </c>
      <c r="AB125" s="779">
        <f t="shared" si="201"/>
        <v>0</v>
      </c>
      <c r="AC125" s="779">
        <f t="shared" si="201"/>
        <v>0</v>
      </c>
      <c r="AD125" s="779">
        <f t="shared" si="201"/>
        <v>0</v>
      </c>
      <c r="AE125" s="799">
        <v>0</v>
      </c>
      <c r="AF125" s="716"/>
      <c r="AG125" s="785">
        <f>AK125/4</f>
        <v>0</v>
      </c>
      <c r="AH125" s="779">
        <f t="shared" si="202"/>
        <v>0</v>
      </c>
      <c r="AI125" s="779">
        <f t="shared" si="202"/>
        <v>0</v>
      </c>
      <c r="AJ125" s="779">
        <f t="shared" si="202"/>
        <v>0</v>
      </c>
      <c r="AK125" s="799">
        <v>0</v>
      </c>
      <c r="AL125" s="778"/>
      <c r="AM125" s="785">
        <f>AQ125/4</f>
        <v>0</v>
      </c>
      <c r="AN125" s="779">
        <f t="shared" si="203"/>
        <v>0</v>
      </c>
      <c r="AO125" s="779">
        <f t="shared" si="203"/>
        <v>0</v>
      </c>
      <c r="AP125" s="779">
        <f t="shared" si="203"/>
        <v>0</v>
      </c>
      <c r="AQ125" s="799">
        <v>0</v>
      </c>
      <c r="AR125" s="778"/>
      <c r="AS125" s="785">
        <f>AW125/4</f>
        <v>0</v>
      </c>
      <c r="AT125" s="779">
        <f t="shared" si="204"/>
        <v>0</v>
      </c>
      <c r="AU125" s="779">
        <f t="shared" si="204"/>
        <v>0</v>
      </c>
      <c r="AV125" s="779">
        <f t="shared" si="204"/>
        <v>0</v>
      </c>
      <c r="AW125" s="799">
        <v>0</v>
      </c>
      <c r="AX125" s="778"/>
      <c r="AY125" s="785">
        <f>BC125/4</f>
        <v>0</v>
      </c>
      <c r="AZ125" s="779">
        <f t="shared" si="205"/>
        <v>0</v>
      </c>
      <c r="BA125" s="779">
        <f t="shared" si="205"/>
        <v>0</v>
      </c>
      <c r="BB125" s="779">
        <f t="shared" si="205"/>
        <v>0</v>
      </c>
      <c r="BC125" s="799">
        <v>0</v>
      </c>
      <c r="BD125" s="778"/>
      <c r="BE125" s="785">
        <v>0</v>
      </c>
      <c r="BF125" s="779">
        <f>+$BI$125/3</f>
        <v>6.666666666666667</v>
      </c>
      <c r="BG125" s="779">
        <f>+$BI$125/3</f>
        <v>6.666666666666667</v>
      </c>
      <c r="BH125" s="779">
        <f>+$BI$125/3</f>
        <v>6.666666666666667</v>
      </c>
      <c r="BI125" s="801">
        <v>20</v>
      </c>
      <c r="BJ125" s="778"/>
      <c r="BK125" s="785">
        <f>+BO125/4</f>
        <v>11.25</v>
      </c>
      <c r="BL125" s="779">
        <f>+BO125/4</f>
        <v>11.25</v>
      </c>
      <c r="BM125" s="779">
        <f>+BO125/4</f>
        <v>11.25</v>
      </c>
      <c r="BN125" s="779">
        <f>+BO125/4</f>
        <v>11.25</v>
      </c>
      <c r="BO125" s="801">
        <v>45</v>
      </c>
      <c r="BP125" s="778"/>
      <c r="BQ125" s="785">
        <f>+BU125/4</f>
        <v>18.75</v>
      </c>
      <c r="BR125" s="779">
        <f>+BU125/4</f>
        <v>18.75</v>
      </c>
      <c r="BS125" s="779">
        <f>+BU125/4</f>
        <v>18.75</v>
      </c>
      <c r="BT125" s="779">
        <f>+BU125/4</f>
        <v>18.75</v>
      </c>
      <c r="BU125" s="801">
        <v>75</v>
      </c>
      <c r="BV125" s="778"/>
      <c r="BW125" s="785">
        <f>+CA125/4</f>
        <v>30</v>
      </c>
      <c r="BX125" s="779">
        <f>+CA125/4</f>
        <v>30</v>
      </c>
      <c r="BY125" s="779">
        <f>+CA125/4</f>
        <v>30</v>
      </c>
      <c r="BZ125" s="779">
        <f>+CA125/4</f>
        <v>30</v>
      </c>
      <c r="CA125" s="801">
        <v>120</v>
      </c>
      <c r="CB125" s="778"/>
      <c r="CC125" s="785">
        <f>+CG125/4</f>
        <v>30</v>
      </c>
      <c r="CD125" s="779">
        <f>+CG125/4</f>
        <v>30</v>
      </c>
      <c r="CE125" s="779">
        <f>+CG125/4</f>
        <v>30</v>
      </c>
      <c r="CF125" s="779">
        <f>+CG125/4</f>
        <v>30</v>
      </c>
      <c r="CG125" s="801">
        <v>120</v>
      </c>
      <c r="CH125" s="735"/>
      <c r="CI125" s="785">
        <f>+CM125/4</f>
        <v>30</v>
      </c>
      <c r="CJ125" s="779">
        <f>+CM125/4</f>
        <v>30</v>
      </c>
      <c r="CK125" s="779">
        <f>+CM125/4</f>
        <v>30</v>
      </c>
      <c r="CL125" s="779">
        <f>+CM125/4</f>
        <v>30</v>
      </c>
      <c r="CM125" s="801">
        <v>120</v>
      </c>
      <c r="CN125" s="747"/>
      <c r="CO125" s="748"/>
      <c r="CP125" s="749"/>
      <c r="CQ125"/>
      <c r="CR125"/>
      <c r="CS125"/>
      <c r="CT125"/>
      <c r="CU125"/>
      <c r="CV125"/>
    </row>
    <row r="126" spans="1:100" s="1167" customFormat="1" ht="12.75" customHeight="1" outlineLevel="1" x14ac:dyDescent="0.2">
      <c r="B126" s="1048" t="s">
        <v>638</v>
      </c>
      <c r="C126" s="784"/>
      <c r="D126" s="532"/>
      <c r="E126" s="532"/>
      <c r="F126" s="532"/>
      <c r="G126" s="414"/>
      <c r="H126" s="24"/>
      <c r="I126" s="784"/>
      <c r="J126" s="532"/>
      <c r="K126" s="532"/>
      <c r="L126" s="532"/>
      <c r="M126" s="414"/>
      <c r="N126" s="24"/>
      <c r="O126" s="784"/>
      <c r="P126" s="532"/>
      <c r="Q126" s="532"/>
      <c r="R126" s="532"/>
      <c r="S126" s="414"/>
      <c r="T126" s="24"/>
      <c r="U126" s="784"/>
      <c r="V126" s="532"/>
      <c r="W126" s="532"/>
      <c r="X126" s="532"/>
      <c r="Y126" s="414"/>
      <c r="Z126" s="24"/>
      <c r="AA126" s="784"/>
      <c r="AB126" s="532"/>
      <c r="AC126" s="532"/>
      <c r="AD126" s="532"/>
      <c r="AE126" s="414"/>
      <c r="AF126" s="24"/>
      <c r="AG126" s="784"/>
      <c r="AH126" s="532"/>
      <c r="AI126" s="532"/>
      <c r="AJ126" s="532"/>
      <c r="AK126" s="414"/>
      <c r="AL126" s="24"/>
      <c r="AM126" s="784"/>
      <c r="AN126" s="532"/>
      <c r="AO126" s="532"/>
      <c r="AP126" s="532"/>
      <c r="AQ126" s="414"/>
      <c r="AR126" s="24"/>
      <c r="AS126" s="784"/>
      <c r="AT126" s="532"/>
      <c r="AU126" s="532"/>
      <c r="AV126" s="532"/>
      <c r="AW126" s="414"/>
      <c r="AX126" s="24"/>
      <c r="AY126" s="784"/>
      <c r="AZ126" s="532"/>
      <c r="BA126" s="532"/>
      <c r="BB126" s="532"/>
      <c r="BC126" s="414"/>
      <c r="BD126" s="24"/>
      <c r="BE126" s="784">
        <f>+BE125/AY123</f>
        <v>0</v>
      </c>
      <c r="BF126" s="138">
        <f>+BF125/AZ123</f>
        <v>6.8020270040472066E-3</v>
      </c>
      <c r="BG126" s="138">
        <f>+BG125/BA123</f>
        <v>7.1400521223804929E-3</v>
      </c>
      <c r="BH126" s="138">
        <f>+BH125/BB123</f>
        <v>7.0204998595900028E-3</v>
      </c>
      <c r="BI126" s="414">
        <f>+BI125/BC123</f>
        <v>5.33091665111816E-3</v>
      </c>
      <c r="BJ126" s="24"/>
      <c r="BK126" s="784">
        <f>+BK125/BE123</f>
        <v>1.2180597661325249E-2</v>
      </c>
      <c r="BL126" s="138">
        <f>+BL125/BF123</f>
        <v>1.1272168598243213E-2</v>
      </c>
      <c r="BM126" s="138">
        <f>+BM125/BG123</f>
        <v>1.2043248644019412E-2</v>
      </c>
      <c r="BN126" s="138">
        <f>+BN125/BH123</f>
        <v>1.1527426736798962E-2</v>
      </c>
      <c r="BO126" s="414">
        <f>+BO125/BI123</f>
        <v>1.1744134457290499E-2</v>
      </c>
      <c r="BP126" s="24"/>
      <c r="BQ126" s="784">
        <f>+BQ125/BK123</f>
        <v>2.1351705289529125E-2</v>
      </c>
      <c r="BR126" s="138">
        <f>+BR125/BL123</f>
        <v>1.9265348060621627E-2</v>
      </c>
      <c r="BS126" s="138">
        <f>+BS125/BM123</f>
        <v>1.8948006669698349E-2</v>
      </c>
      <c r="BT126" s="138">
        <f>+BT125/BN123</f>
        <v>1.7532376455187244E-2</v>
      </c>
      <c r="BU126" s="414">
        <f>+BU125/BO123</f>
        <v>1.9179623567921442E-2</v>
      </c>
      <c r="BV126" s="24"/>
      <c r="BW126" s="784">
        <f>+BW125/BQ123</f>
        <v>3.2583195759840124E-2</v>
      </c>
      <c r="BX126" s="138">
        <f>+BX125/BR123</f>
        <v>2.9080644504630607E-2</v>
      </c>
      <c r="BY126" s="138">
        <f>+BY125/BS123</f>
        <v>2.8460243885316597E-2</v>
      </c>
      <c r="BZ126" s="138">
        <f>+BZ125/BT123</f>
        <v>2.64588996272823E-2</v>
      </c>
      <c r="CA126" s="414">
        <f>+CA125/BU123</f>
        <v>2.8983617010484828E-2</v>
      </c>
      <c r="CB126" s="24"/>
      <c r="CC126" s="784">
        <f>+CC125/BW123</f>
        <v>3.1861154695400663E-2</v>
      </c>
      <c r="CD126" s="138">
        <f>+CD125/BX123</f>
        <v>2.8057417222342253E-2</v>
      </c>
      <c r="CE126" s="138">
        <f>+CE125/BY123</f>
        <v>2.7575084565431004E-2</v>
      </c>
      <c r="CF126" s="138">
        <f>+CF125/BZ123</f>
        <v>2.5815925224688899E-2</v>
      </c>
      <c r="CG126" s="414">
        <f>+CG125/CA123</f>
        <v>2.8163503822261546E-2</v>
      </c>
      <c r="CH126" s="736"/>
      <c r="CI126" s="784">
        <f>+CI125/CC123</f>
        <v>3.0759016715615754E-2</v>
      </c>
      <c r="CJ126" s="138">
        <f>+CJ125/CD123</f>
        <v>2.7362565837401431E-2</v>
      </c>
      <c r="CK126" s="138">
        <f>+CK125/CE123</f>
        <v>2.6814968861289024E-2</v>
      </c>
      <c r="CL126" s="138">
        <f>+CL125/CF123</f>
        <v>2.4924352260462558E-2</v>
      </c>
      <c r="CM126" s="414">
        <f>+CM125/CG123</f>
        <v>2.7309145328862281E-2</v>
      </c>
      <c r="CN126" s="747"/>
      <c r="CO126" s="748"/>
      <c r="CP126" s="749"/>
    </row>
    <row r="127" spans="1:100" s="21" customFormat="1" ht="12.75" customHeight="1" x14ac:dyDescent="0.2">
      <c r="A127" s="291"/>
      <c r="B127" s="1049" t="s">
        <v>612</v>
      </c>
      <c r="C127" s="1052">
        <f>+C121+C120+C125+C124</f>
        <v>572.75473480469725</v>
      </c>
      <c r="D127" s="1050">
        <f>+D121+D120+D125+D124</f>
        <v>618.41558278649939</v>
      </c>
      <c r="E127" s="1050">
        <f>+E121+E120+E125+E124</f>
        <v>622.53469767388765</v>
      </c>
      <c r="F127" s="1050">
        <f>+F121+F120+F125+F124</f>
        <v>688.48248612070961</v>
      </c>
      <c r="G127" s="1051">
        <f>+G121+G120+G125+G124</f>
        <v>2502.1875013857943</v>
      </c>
      <c r="H127" s="1050"/>
      <c r="I127" s="1052">
        <f>+I121+I120+I125+I124</f>
        <v>684.89673867994259</v>
      </c>
      <c r="J127" s="1050">
        <f>+J121+J120+J125+J124</f>
        <v>728.34720808614088</v>
      </c>
      <c r="K127" s="1050">
        <f>+K121+K120+K125+K124</f>
        <v>667.89989628452906</v>
      </c>
      <c r="L127" s="1050">
        <f>+L121+L120+L125+L124</f>
        <v>646.14769356446561</v>
      </c>
      <c r="M127" s="1051">
        <f>+M121+M120+M125+M124</f>
        <v>2727.2915366150783</v>
      </c>
      <c r="N127" s="1050"/>
      <c r="O127" s="1052">
        <f>+O121+O120+O125+O124</f>
        <v>629.72517004884094</v>
      </c>
      <c r="P127" s="1050">
        <f>+P121+P120+P125+P124</f>
        <v>691.28715988496424</v>
      </c>
      <c r="Q127" s="1050">
        <f>+Q121+Q120+Q125+Q124</f>
        <v>681.18114523157089</v>
      </c>
      <c r="R127" s="1050">
        <f>+R121+R120+R125+R124</f>
        <v>733.62395007209432</v>
      </c>
      <c r="S127" s="1051">
        <f>+S121+S120+S125+S124</f>
        <v>2735.8174252374706</v>
      </c>
      <c r="T127" s="1050"/>
      <c r="U127" s="1052">
        <f>+U121+U120+U125+U124</f>
        <v>686.80747262261309</v>
      </c>
      <c r="V127" s="1050">
        <f>+V121+V120+V125+V124</f>
        <v>700.86679879983831</v>
      </c>
      <c r="W127" s="1050">
        <f>+W121+W120+W125+W124</f>
        <v>676.44276476945424</v>
      </c>
      <c r="X127" s="1050">
        <f>+X121+X120+X125+X124</f>
        <v>755.39513028557644</v>
      </c>
      <c r="Y127" s="1051">
        <f>+Y121+Y120+Y125+Y124</f>
        <v>2819.512166477482</v>
      </c>
      <c r="Z127" s="1050"/>
      <c r="AA127" s="1052">
        <f>+AA121+AA120+AA125+AA124</f>
        <v>740.86336440375999</v>
      </c>
      <c r="AB127" s="1050">
        <f>+AB121+AB120+AB125+AB124</f>
        <v>807.71807727292662</v>
      </c>
      <c r="AC127" s="1050">
        <f>+AC121+AC120+AC125+AC124</f>
        <v>781.62102737533223</v>
      </c>
      <c r="AD127" s="1050">
        <f>+AD121+AD120+AD125+AD124</f>
        <v>934.80735425432226</v>
      </c>
      <c r="AE127" s="1051">
        <f>+AE121+AE120+AE125+AE124</f>
        <v>3265.0098233063409</v>
      </c>
      <c r="AF127" s="1050"/>
      <c r="AG127" s="1052">
        <f>+AG121+AG120+AG125+AG124</f>
        <v>896.42587322191036</v>
      </c>
      <c r="AH127" s="1050">
        <f>+AH121+AH120+AH125+AH124</f>
        <v>939.37293964478101</v>
      </c>
      <c r="AI127" s="1050">
        <f>+AI121+AI120+AI125+AI124</f>
        <v>893.42443281536293</v>
      </c>
      <c r="AJ127" s="1050">
        <f>+AJ121+AJ120+AJ125+AJ124</f>
        <v>974.7210181764658</v>
      </c>
      <c r="AK127" s="1051">
        <f>+AK121+AK120+AK125+AK124</f>
        <v>3703.9442638585201</v>
      </c>
      <c r="AL127" s="1050"/>
      <c r="AM127" s="1052">
        <f>+AM121+AM120+AM125+AM124</f>
        <v>938.86154613790836</v>
      </c>
      <c r="AN127" s="1050">
        <f>+AN121+AN120+AN125+AN124</f>
        <v>997.92949381258438</v>
      </c>
      <c r="AO127" s="1050">
        <f>+AO121+AO120+AO125+AO124</f>
        <v>946.90600571672121</v>
      </c>
      <c r="AP127" s="1050">
        <f>+AP121+AP120+AP125+AP124</f>
        <v>1011.1957605279796</v>
      </c>
      <c r="AQ127" s="1051">
        <f>+AQ121+AQ120+AQ125+AQ124</f>
        <v>3894.8928061951933</v>
      </c>
      <c r="AR127" s="1050"/>
      <c r="AS127" s="1052">
        <f>+AS121+AS120+AS125+AS124</f>
        <v>970.466201963819</v>
      </c>
      <c r="AT127" s="1050">
        <f>+AT121+AT120+AT125+AT124</f>
        <v>1028.9115083994479</v>
      </c>
      <c r="AU127" s="1050">
        <f>+AU121+AU120+AU125+AU124</f>
        <v>970.75376753154376</v>
      </c>
      <c r="AV127" s="1050">
        <f>+AV121+AV120+AV125+AV124</f>
        <v>983.25495709527024</v>
      </c>
      <c r="AW127" s="1051">
        <f>+AW121+AW120+AW125+AW124</f>
        <v>3953.3864349900809</v>
      </c>
      <c r="AX127" s="1050"/>
      <c r="AY127" s="1052">
        <f>+AY121+AY120+AY125+AY124</f>
        <v>888.3</v>
      </c>
      <c r="AZ127" s="1050">
        <f>+AZ121+AZ120+AZ125+AZ124</f>
        <v>980.1</v>
      </c>
      <c r="BA127" s="1050">
        <f>+BA121+BA120+BA125+BA124</f>
        <v>933.7</v>
      </c>
      <c r="BB127" s="1050">
        <f>+BB121+BB120+BB125+BB124</f>
        <v>949.6</v>
      </c>
      <c r="BC127" s="1051">
        <f>+BC121+BC120+BC125+BC124</f>
        <v>3751.7</v>
      </c>
      <c r="BD127" s="1050"/>
      <c r="BE127" s="1052">
        <f>+BE121+BE120+BE125+BE124</f>
        <v>754.1</v>
      </c>
      <c r="BF127" s="1050">
        <f>+BF63</f>
        <v>1006.3</v>
      </c>
      <c r="BG127" s="1050">
        <f>+BG63</f>
        <v>940.8</v>
      </c>
      <c r="BH127" s="1050">
        <f>+BH63</f>
        <v>984.09999999999991</v>
      </c>
      <c r="BI127" s="1051">
        <f>+SUM(BE127:BH127)</f>
        <v>3685.2999999999997</v>
      </c>
      <c r="BJ127" s="1053"/>
      <c r="BK127" s="1052">
        <f>+BK63</f>
        <v>890.9</v>
      </c>
      <c r="BL127" s="1050">
        <f>+BL63</f>
        <v>984.5</v>
      </c>
      <c r="BM127" s="1050">
        <f>+BM63</f>
        <v>1000.8</v>
      </c>
      <c r="BN127" s="1050">
        <f>+BN63</f>
        <v>1080.7</v>
      </c>
      <c r="BO127" s="1051">
        <f>+SUM(BK127:BN127)</f>
        <v>3956.8999999999996</v>
      </c>
      <c r="BP127" s="1053"/>
      <c r="BQ127" s="1052">
        <f>+BQ63</f>
        <v>939.47</v>
      </c>
      <c r="BR127" s="1050">
        <f>+BR63</f>
        <v>1050.364</v>
      </c>
      <c r="BS127" s="1050">
        <f>+BS63</f>
        <v>1072.8520000000001</v>
      </c>
      <c r="BT127" s="1050">
        <f>+BT63</f>
        <v>1152.5840000000001</v>
      </c>
      <c r="BU127" s="1051">
        <f>+SUM(BQ127:BT127)</f>
        <v>4215.2700000000004</v>
      </c>
      <c r="BV127" s="1053"/>
      <c r="BW127" s="1052">
        <f>+BW63</f>
        <v>971.58546000000013</v>
      </c>
      <c r="BX127" s="1050">
        <f>+BX63</f>
        <v>1099.2359800000002</v>
      </c>
      <c r="BY127" s="1050">
        <f>+BY63</f>
        <v>1117.9386400000001</v>
      </c>
      <c r="BZ127" s="1050">
        <f>+BZ63</f>
        <v>1192.0734000000002</v>
      </c>
      <c r="CA127" s="1051">
        <f>+SUM(BW127:BZ127)</f>
        <v>4380.8334800000002</v>
      </c>
      <c r="CB127" s="1053"/>
      <c r="CC127" s="1052">
        <f>+CC63</f>
        <v>1005.3237653000001</v>
      </c>
      <c r="CD127" s="1050">
        <f>+CD63</f>
        <v>1126.3884081000001</v>
      </c>
      <c r="CE127" s="1050">
        <f>+CE63</f>
        <v>1148.7781032</v>
      </c>
      <c r="CF127" s="1050">
        <f>+CF63</f>
        <v>1233.6421122000002</v>
      </c>
      <c r="CG127" s="1051">
        <f>+SUM(CC127:CF127)</f>
        <v>4514.1323888000006</v>
      </c>
      <c r="CH127" s="1053"/>
      <c r="CI127" s="1052">
        <f>+CI63</f>
        <v>1042.446875483</v>
      </c>
      <c r="CJ127" s="1050">
        <f>+CJ63</f>
        <v>1186.3701926235001</v>
      </c>
      <c r="CK127" s="1050">
        <f>+CK63</f>
        <v>1204.4319921270001</v>
      </c>
      <c r="CL127" s="1050">
        <f>+CL63</f>
        <v>1279.2709250370001</v>
      </c>
      <c r="CM127" s="1051">
        <f>+SUM(CI127:CL127)</f>
        <v>4712.5199852705</v>
      </c>
      <c r="CN127" s="750"/>
      <c r="CO127" s="750"/>
      <c r="CP127" s="751"/>
      <c r="CQ127"/>
      <c r="CR127"/>
      <c r="CS127"/>
      <c r="CT127"/>
      <c r="CU127"/>
      <c r="CV127"/>
    </row>
    <row r="128" spans="1:100" s="21" customFormat="1" ht="12.75" customHeight="1" x14ac:dyDescent="0.2">
      <c r="A128" s="291"/>
      <c r="B128" s="1220" t="s">
        <v>636</v>
      </c>
      <c r="C128" s="1218">
        <f>+C127+C113</f>
        <v>622.35273480469721</v>
      </c>
      <c r="D128" s="1218">
        <f>+D127+D113</f>
        <v>663.6695827864994</v>
      </c>
      <c r="E128" s="1218">
        <f>+E127+E113</f>
        <v>665.30569767388772</v>
      </c>
      <c r="F128" s="1218">
        <f>+F127+F113</f>
        <v>740.79348612070976</v>
      </c>
      <c r="G128" s="1219">
        <f>+G127+G113</f>
        <v>2692.1215013857945</v>
      </c>
      <c r="H128" s="1174"/>
      <c r="I128" s="1221">
        <f>+I127+I113</f>
        <v>749.43073867994258</v>
      </c>
      <c r="J128" s="1218">
        <f>+J127+J113</f>
        <v>780.92120808614095</v>
      </c>
      <c r="K128" s="1218">
        <f>+K127+K113</f>
        <v>709.76689628452914</v>
      </c>
      <c r="L128" s="1218">
        <f>+L127+L113</f>
        <v>687.09569356446582</v>
      </c>
      <c r="M128" s="1219">
        <f>+M127+M113</f>
        <v>2927.2145366150785</v>
      </c>
      <c r="N128" s="1174"/>
      <c r="O128" s="1221">
        <f>+O127+O113</f>
        <v>671.02417004884103</v>
      </c>
      <c r="P128" s="1218">
        <f>+P127+P113</f>
        <v>732.59215988496408</v>
      </c>
      <c r="Q128" s="1218">
        <f>+Q127+Q113</f>
        <v>718.56614523157089</v>
      </c>
      <c r="R128" s="1218">
        <f>+R127+R113</f>
        <v>782.34695007209416</v>
      </c>
      <c r="S128" s="1219">
        <f>+S127+S113</f>
        <v>2904.5294252374706</v>
      </c>
      <c r="T128" s="1174"/>
      <c r="U128" s="1221">
        <f>+U127+U113</f>
        <v>735.26547262261317</v>
      </c>
      <c r="V128" s="1218">
        <f>+V127+V113</f>
        <v>746.67279879983835</v>
      </c>
      <c r="W128" s="1218">
        <f>+W127+W113</f>
        <v>723.91176476945429</v>
      </c>
      <c r="X128" s="1218">
        <f>+X127+X113</f>
        <v>802.91913028557644</v>
      </c>
      <c r="Y128" s="1219">
        <f>+Y127+Y113</f>
        <v>3008.769166477482</v>
      </c>
      <c r="Z128" s="1174"/>
      <c r="AA128" s="1221">
        <f>+AA127+AA113</f>
        <v>784.36136440376004</v>
      </c>
      <c r="AB128" s="1218">
        <f>+AB127+AB113</f>
        <v>853.1710772729266</v>
      </c>
      <c r="AC128" s="1218">
        <f>+AC127+AC113</f>
        <v>837.62902737533227</v>
      </c>
      <c r="AD128" s="1218">
        <f>+AD127+AD113</f>
        <v>995.02035425432234</v>
      </c>
      <c r="AE128" s="1219">
        <f>+AE127+AE113</f>
        <v>3470.1818233063409</v>
      </c>
      <c r="AF128" s="1174"/>
      <c r="AG128" s="1221">
        <f>+AG127+AG113</f>
        <v>947.21387322191038</v>
      </c>
      <c r="AH128" s="1218">
        <f>+AH127+AH113</f>
        <v>1003.886939644781</v>
      </c>
      <c r="AI128" s="1218">
        <f>+AI127+AI113</f>
        <v>942.03843281536297</v>
      </c>
      <c r="AJ128" s="1218">
        <f>+AJ127+AJ113</f>
        <v>1024.5360181764659</v>
      </c>
      <c r="AK128" s="1219">
        <f>+AK127+AK113</f>
        <v>3917.6752638585203</v>
      </c>
      <c r="AL128" s="1174"/>
      <c r="AM128" s="1221">
        <f>+AM127+AM113</f>
        <v>998.29654613790831</v>
      </c>
      <c r="AN128" s="1218">
        <f>+AN127+AN113</f>
        <v>1042.9834938125844</v>
      </c>
      <c r="AO128" s="1218">
        <f>+AO127+AO113</f>
        <v>981.49900571672129</v>
      </c>
      <c r="AP128" s="1218">
        <f>+AP127+AP113</f>
        <v>1051.1847605279795</v>
      </c>
      <c r="AQ128" s="1219">
        <f>+AQ127+AQ113</f>
        <v>4073.9638061951932</v>
      </c>
      <c r="AR128" s="1174"/>
      <c r="AS128" s="1221">
        <f>+AS127+AS113</f>
        <v>1011.398201963819</v>
      </c>
      <c r="AT128" s="1218">
        <f>+AT127+AT113</f>
        <v>1063.2385083994479</v>
      </c>
      <c r="AU128" s="1218">
        <f>+AU127+AU113</f>
        <v>997.40976753154382</v>
      </c>
      <c r="AV128" s="1218">
        <f>+AV127+AV113</f>
        <v>1011.2849570952703</v>
      </c>
      <c r="AW128" s="1219">
        <f>+AW127+AW113</f>
        <v>4083.3314349900811</v>
      </c>
      <c r="AX128" s="1174"/>
      <c r="AY128" s="1221">
        <f>+AY127+AY113</f>
        <v>913.07299999999998</v>
      </c>
      <c r="AZ128" s="1218">
        <f>+AZ127+AZ113</f>
        <v>1003.408</v>
      </c>
      <c r="BA128" s="1218">
        <f>+BA127+BA113</f>
        <v>953.30000000000007</v>
      </c>
      <c r="BB128" s="1218">
        <f>+BB127+BB113</f>
        <v>974.80000000000007</v>
      </c>
      <c r="BC128" s="1219">
        <f>+BC127+BC113</f>
        <v>3844.5810000000001</v>
      </c>
      <c r="BD128" s="1174"/>
      <c r="BE128" s="1221">
        <f>+BE127+BE113</f>
        <v>772.2</v>
      </c>
      <c r="BF128" s="1218">
        <f>+BF65</f>
        <v>1022</v>
      </c>
      <c r="BG128" s="1218">
        <f>+BG65</f>
        <v>955.8</v>
      </c>
      <c r="BH128" s="1218">
        <f>+BH65</f>
        <v>997.99999999999989</v>
      </c>
      <c r="BI128" s="1219">
        <f>+SUM(BE128:BH128)</f>
        <v>3748</v>
      </c>
      <c r="BJ128" s="1217"/>
      <c r="BK128" s="1221">
        <f>+BK65</f>
        <v>902</v>
      </c>
      <c r="BL128" s="1218">
        <f>+BL65</f>
        <v>994.2</v>
      </c>
      <c r="BM128" s="1218">
        <f>+BM65</f>
        <v>1010.1999999999999</v>
      </c>
      <c r="BN128" s="1218">
        <f>+BN65</f>
        <v>1091</v>
      </c>
      <c r="BO128" s="1219">
        <f>+SUM(BK128:BN128)</f>
        <v>3997.4</v>
      </c>
      <c r="BP128" s="1217"/>
      <c r="BQ128" s="1221">
        <f>+BQ65</f>
        <v>950.57</v>
      </c>
      <c r="BR128" s="1218">
        <f>+BR65</f>
        <v>1060.0640000000001</v>
      </c>
      <c r="BS128" s="1218">
        <f>+BS65</f>
        <v>1082.2520000000002</v>
      </c>
      <c r="BT128" s="1218">
        <f>+BT65</f>
        <v>1162.884</v>
      </c>
      <c r="BU128" s="1219">
        <f>+SUM(BQ128:BT128)</f>
        <v>4255.7700000000004</v>
      </c>
      <c r="BV128" s="1217"/>
      <c r="BW128" s="1221">
        <f>+BW65</f>
        <v>982.68546000000015</v>
      </c>
      <c r="BX128" s="1218">
        <f>+BX65</f>
        <v>1108.9359800000002</v>
      </c>
      <c r="BY128" s="1218">
        <f>+BY65</f>
        <v>1127.3386400000002</v>
      </c>
      <c r="BZ128" s="1218">
        <f>+BZ65</f>
        <v>1202.3734000000002</v>
      </c>
      <c r="CA128" s="1219">
        <f>+SUM(BW128:BZ128)</f>
        <v>4421.3334800000011</v>
      </c>
      <c r="CB128" s="1217"/>
      <c r="CC128" s="1221">
        <f>+CC65</f>
        <v>1016.4237653000001</v>
      </c>
      <c r="CD128" s="1218">
        <f>+CD65</f>
        <v>1136.0884081000002</v>
      </c>
      <c r="CE128" s="1218">
        <f>+CE65</f>
        <v>1158.1781032000001</v>
      </c>
      <c r="CF128" s="1218">
        <f>+CF65</f>
        <v>1243.9421122000001</v>
      </c>
      <c r="CG128" s="1219">
        <f>+SUM(CC128:CF128)</f>
        <v>4554.6323888000006</v>
      </c>
      <c r="CH128" s="1217"/>
      <c r="CI128" s="1221">
        <f>+CI65</f>
        <v>1053.5468754829999</v>
      </c>
      <c r="CJ128" s="1218">
        <f>+CJ65</f>
        <v>1196.0701926235001</v>
      </c>
      <c r="CK128" s="1218">
        <f>+CK65</f>
        <v>1213.8319921270001</v>
      </c>
      <c r="CL128" s="1218">
        <f>+CL65</f>
        <v>1289.5709250370001</v>
      </c>
      <c r="CM128" s="1219">
        <f>+SUM(CI128:CL128)</f>
        <v>4753.0199852705</v>
      </c>
      <c r="CN128" s="750"/>
      <c r="CO128" s="750"/>
      <c r="CP128" s="751"/>
      <c r="CQ128" s="1212"/>
      <c r="CR128" s="1212"/>
      <c r="CS128" s="1212"/>
      <c r="CT128" s="1212"/>
      <c r="CU128" s="1212"/>
      <c r="CV128" s="1212"/>
    </row>
    <row r="129" spans="1:120" s="1016" customFormat="1" ht="12.75" customHeight="1" outlineLevel="1" x14ac:dyDescent="0.2">
      <c r="A129" s="79"/>
      <c r="B129" s="1105" t="s">
        <v>590</v>
      </c>
      <c r="C129" s="899"/>
      <c r="D129" s="402"/>
      <c r="E129" s="402"/>
      <c r="F129" s="399"/>
      <c r="G129" s="1020"/>
      <c r="H129" s="399"/>
      <c r="I129" s="1022">
        <f>+I127/C127-1</f>
        <v>0.19579411056895846</v>
      </c>
      <c r="J129" s="405">
        <f>+J127/D127-1</f>
        <v>0.17776334937147609</v>
      </c>
      <c r="K129" s="405">
        <f>+K127/E127-1</f>
        <v>7.2871759245146217E-2</v>
      </c>
      <c r="L129" s="405">
        <f>+L127/F127-1</f>
        <v>-6.1490006513864381E-2</v>
      </c>
      <c r="M129" s="742">
        <f>+M127/G127-1</f>
        <v>8.9962896507401524E-2</v>
      </c>
      <c r="N129" s="399"/>
      <c r="O129" s="1022">
        <f>+O127/I127-1</f>
        <v>-8.0554579274882077E-2</v>
      </c>
      <c r="P129" s="405">
        <f>+P127/J127-1</f>
        <v>-5.0882392064848236E-2</v>
      </c>
      <c r="Q129" s="405">
        <f>+Q127/K127-1</f>
        <v>1.9885089099316078E-2</v>
      </c>
      <c r="R129" s="405">
        <f>+R127/L127-1</f>
        <v>0.13538120986715452</v>
      </c>
      <c r="S129" s="742">
        <f>+S127/M127-1</f>
        <v>3.1261376013267395E-3</v>
      </c>
      <c r="T129" s="399"/>
      <c r="U129" s="1022">
        <f>+U127/O127-1</f>
        <v>9.064637287619437E-2</v>
      </c>
      <c r="V129" s="405">
        <f>+V127/P127-1</f>
        <v>1.385768385524222E-2</v>
      </c>
      <c r="W129" s="405">
        <f>+W127/Q127-1</f>
        <v>-6.9561239257522889E-3</v>
      </c>
      <c r="X129" s="405">
        <f>+X127/R127-1</f>
        <v>2.9676212467358187E-2</v>
      </c>
      <c r="Y129" s="742">
        <f>+Y127/S127-1</f>
        <v>3.0592224637485232E-2</v>
      </c>
      <c r="Z129" s="399"/>
      <c r="AA129" s="1022">
        <f>+AA127/U127-1</f>
        <v>7.8706033256643826E-2</v>
      </c>
      <c r="AB129" s="405">
        <f>+AB127/V127-1</f>
        <v>0.1524558998315515</v>
      </c>
      <c r="AC129" s="405">
        <f>+AC127/W127-1</f>
        <v>0.15548730518497744</v>
      </c>
      <c r="AD129" s="405">
        <f>+AD127/X127-1</f>
        <v>0.23750778470192047</v>
      </c>
      <c r="AE129" s="742">
        <f>+AE127/Y127-1</f>
        <v>0.15800522591304689</v>
      </c>
      <c r="AF129" s="399"/>
      <c r="AG129" s="1022">
        <f>+AG127/AA127-1</f>
        <v>0.20997462729628369</v>
      </c>
      <c r="AH129" s="405">
        <f>+AH127/AB127-1</f>
        <v>0.16299605775366155</v>
      </c>
      <c r="AI129" s="405">
        <f>+AI127/AC127-1</f>
        <v>0.14304042691310936</v>
      </c>
      <c r="AJ129" s="405">
        <f>+AJ127/AD127-1</f>
        <v>4.2697207869082154E-2</v>
      </c>
      <c r="AK129" s="742">
        <f>+AK127/AE127-1</f>
        <v>0.13443587134683965</v>
      </c>
      <c r="AL129" s="399"/>
      <c r="AM129" s="1022">
        <f>+AM127/AG127-1</f>
        <v>4.7338741756166369E-2</v>
      </c>
      <c r="AN129" s="405">
        <f>+AN127/AH127-1</f>
        <v>6.2335789862060675E-2</v>
      </c>
      <c r="AO129" s="405">
        <f>+AO127/AI127-1</f>
        <v>5.98613278717115E-2</v>
      </c>
      <c r="AP129" s="405">
        <f>+AP127/AJ127-1</f>
        <v>3.7420699534880031E-2</v>
      </c>
      <c r="AQ129" s="742">
        <f>+AQ127/AK127-1</f>
        <v>5.1552758015250388E-2</v>
      </c>
      <c r="AR129" s="491"/>
      <c r="AS129" s="1022">
        <f>+AS127/AM127-1</f>
        <v>3.3662743943363438E-2</v>
      </c>
      <c r="AT129" s="405">
        <f>+AT127/AN127-1</f>
        <v>3.1046296135107676E-2</v>
      </c>
      <c r="AU129" s="405">
        <f>+AU127/AO127-1</f>
        <v>2.5184930363570723E-2</v>
      </c>
      <c r="AV129" s="405">
        <f>+AV127/AP127-1</f>
        <v>-2.7631448353897858E-2</v>
      </c>
      <c r="AW129" s="742">
        <f>+AW127/AQ127-1</f>
        <v>1.5018033025671063E-2</v>
      </c>
      <c r="AX129" s="24"/>
      <c r="AY129" s="1022">
        <f>+AY127/AS127-1</f>
        <v>-8.4666732130958211E-2</v>
      </c>
      <c r="AZ129" s="405">
        <f>+AZ127/AT127-1</f>
        <v>-4.7439947945939531E-2</v>
      </c>
      <c r="BA129" s="405">
        <f>+BA127/AU127-1</f>
        <v>-3.8170099123864265E-2</v>
      </c>
      <c r="BB129" s="405">
        <f>+BB127/AV127-1</f>
        <v>-3.4228108236233679E-2</v>
      </c>
      <c r="BC129" s="742">
        <f>+BC127/AW127-1</f>
        <v>-5.1016119548805805E-2</v>
      </c>
      <c r="BD129" s="399"/>
      <c r="BE129" s="1022">
        <f>+BE127/AY127-1</f>
        <v>-0.15107508724529994</v>
      </c>
      <c r="BF129" s="405">
        <f>+BF127/AZ127-1</f>
        <v>2.673196612590556E-2</v>
      </c>
      <c r="BG129" s="405">
        <f>+BG127/BA127-1</f>
        <v>7.6041555103352199E-3</v>
      </c>
      <c r="BH129" s="405">
        <f>+BH127/BB127-1</f>
        <v>3.6331086773378152E-2</v>
      </c>
      <c r="BI129" s="742">
        <f>+BI127/BC127-1</f>
        <v>-1.7698643281712334E-2</v>
      </c>
      <c r="BJ129" s="399"/>
      <c r="BK129" s="1022">
        <f>+BK127/BE127-1</f>
        <v>0.18140830128630148</v>
      </c>
      <c r="BL129" s="405">
        <f>+BL127/BF127-1</f>
        <v>-2.166351982510184E-2</v>
      </c>
      <c r="BM129" s="405">
        <f>+BM127/BG127-1</f>
        <v>6.3775510204081565E-2</v>
      </c>
      <c r="BN129" s="405">
        <f>+BN127/BH127-1</f>
        <v>9.8160756020729822E-2</v>
      </c>
      <c r="BO129" s="742">
        <f>+BO127/BI127-1</f>
        <v>7.3698206387539766E-2</v>
      </c>
      <c r="BP129" s="399"/>
      <c r="BQ129" s="1022">
        <f>+BQ127/BK127-1</f>
        <v>5.4517903243910704E-2</v>
      </c>
      <c r="BR129" s="405">
        <f>+BR127/BL127-1</f>
        <v>6.6900964956830844E-2</v>
      </c>
      <c r="BS129" s="405">
        <f>+BS127/BM127-1</f>
        <v>7.1994404476418916E-2</v>
      </c>
      <c r="BT129" s="405">
        <f>+BT127/BN127-1</f>
        <v>6.6516146941796972E-2</v>
      </c>
      <c r="BU129" s="742">
        <f>+BU127/BO127-1</f>
        <v>6.5296065101468459E-2</v>
      </c>
      <c r="BV129" s="399"/>
      <c r="BW129" s="1022">
        <f>+BW127/BQ127-1</f>
        <v>3.4184657306779442E-2</v>
      </c>
      <c r="BX129" s="405">
        <f>+BX127/BR127-1</f>
        <v>4.6528612937991154E-2</v>
      </c>
      <c r="BY129" s="405">
        <f>+BY127/BS127-1</f>
        <v>4.2025032343697033E-2</v>
      </c>
      <c r="BZ129" s="405">
        <f>+BZ127/BT127-1</f>
        <v>3.4261624315451433E-2</v>
      </c>
      <c r="CA129" s="742">
        <f>+CA127/BU127-1</f>
        <v>3.9277075964291752E-2</v>
      </c>
      <c r="CB129" s="399"/>
      <c r="CC129" s="1022">
        <f>+CC127/BW127-1</f>
        <v>3.4725000207392887E-2</v>
      </c>
      <c r="CD129" s="405">
        <f>+CD127/BX127-1</f>
        <v>2.4701182088308293E-2</v>
      </c>
      <c r="CE129" s="405">
        <f>+CE127/BY127-1</f>
        <v>2.7586007045968142E-2</v>
      </c>
      <c r="CF129" s="405">
        <f>+CF127/BZ127-1</f>
        <v>3.4870933450909858E-2</v>
      </c>
      <c r="CG129" s="742">
        <f>+CG127/CA127-1</f>
        <v>3.0427750657165076E-2</v>
      </c>
      <c r="CH129" s="399"/>
      <c r="CI129" s="1022">
        <f>+CI127/CC127-1</f>
        <v>3.6926522046280219E-2</v>
      </c>
      <c r="CJ129" s="405">
        <f>+CJ127/CD127-1</f>
        <v>5.3251422060244469E-2</v>
      </c>
      <c r="CK129" s="405">
        <f>+CK127/CE127-1</f>
        <v>4.8446160987898557E-2</v>
      </c>
      <c r="CL129" s="405">
        <f>+CL127/CF127-1</f>
        <v>3.6987074602721215E-2</v>
      </c>
      <c r="CM129" s="742">
        <f>+CM127/CG127-1</f>
        <v>4.3948112147246254E-2</v>
      </c>
      <c r="CN129" s="782"/>
      <c r="CO129" s="782"/>
      <c r="CP129"/>
      <c r="CQ129"/>
      <c r="CR129"/>
      <c r="CS129"/>
      <c r="CT129"/>
      <c r="CU129"/>
      <c r="CV129"/>
      <c r="CW129" s="782"/>
      <c r="CX129" s="782"/>
      <c r="CY129" s="782"/>
      <c r="CZ129" s="782"/>
      <c r="DA129" s="782"/>
      <c r="DB129" s="782"/>
      <c r="DC129" s="782"/>
      <c r="DD129" s="782"/>
      <c r="DE129" s="782"/>
      <c r="DF129" s="782"/>
      <c r="DG129" s="782"/>
      <c r="DH129" s="782"/>
      <c r="DI129" s="782"/>
      <c r="DJ129" s="782"/>
      <c r="DK129" s="782"/>
      <c r="DL129" s="782"/>
      <c r="DM129" s="782"/>
      <c r="DN129" s="782"/>
      <c r="DO129" s="782"/>
      <c r="DP129" s="782"/>
    </row>
    <row r="130" spans="1:120" s="1017" customFormat="1" ht="12.75" customHeight="1" x14ac:dyDescent="0.2">
      <c r="A130" s="79"/>
      <c r="B130" s="1105" t="s">
        <v>606</v>
      </c>
      <c r="C130" s="899"/>
      <c r="D130" s="402"/>
      <c r="E130" s="402"/>
      <c r="F130" s="399"/>
      <c r="G130" s="1020"/>
      <c r="H130" s="399"/>
      <c r="I130" s="1022">
        <f>+(I123+I125)/(C123+C125)-1</f>
        <v>0.19579411056895846</v>
      </c>
      <c r="J130" s="405">
        <f>+(J123+J125)/(D123+D125)-1</f>
        <v>0.17776334937147609</v>
      </c>
      <c r="K130" s="405">
        <f>+(K123+K125)/(E123+E125)-1</f>
        <v>7.2871759245146217E-2</v>
      </c>
      <c r="L130" s="405">
        <f>+(L123+L125)/(F123+F125)-1</f>
        <v>-6.1490006513864381E-2</v>
      </c>
      <c r="M130" s="742">
        <f>+(M123+M125)/(G123+G125)-1</f>
        <v>8.9962896507401524E-2</v>
      </c>
      <c r="N130" s="399"/>
      <c r="O130" s="1022">
        <f>+(O123+O125)/(I123+I125)-1</f>
        <v>-8.0554579274882077E-2</v>
      </c>
      <c r="P130" s="405">
        <f>+(P123+P125)/(J123+J125)-1</f>
        <v>-5.0882392064848236E-2</v>
      </c>
      <c r="Q130" s="405">
        <f>+(Q123+Q125)/(K123+K125)-1</f>
        <v>1.9885089099316078E-2</v>
      </c>
      <c r="R130" s="405">
        <f>+(R123+R125)/(L123+L125)-1</f>
        <v>0.13538120986715452</v>
      </c>
      <c r="S130" s="742">
        <f>+(S123+S125)/(M123+M125)-1</f>
        <v>3.1261376013267395E-3</v>
      </c>
      <c r="T130" s="399"/>
      <c r="U130" s="1022">
        <f>+(U123+U125)/(O123+O125)-1</f>
        <v>9.064637287619437E-2</v>
      </c>
      <c r="V130" s="405">
        <f>+(V123+V125)/(P123+P125)-1</f>
        <v>1.385768385524222E-2</v>
      </c>
      <c r="W130" s="405">
        <f>+(W123+W125)/(Q123+Q125)-1</f>
        <v>-6.9561239257522889E-3</v>
      </c>
      <c r="X130" s="405">
        <f>+(X123+X125)/(R123+R125)-1</f>
        <v>2.9676212467358187E-2</v>
      </c>
      <c r="Y130" s="742">
        <f>+(Y123+Y125)/(S123+S125)-1</f>
        <v>3.0592224637485232E-2</v>
      </c>
      <c r="Z130" s="399"/>
      <c r="AA130" s="1022">
        <f>+(AA123+AA125)/(U123+U125)-1</f>
        <v>7.8706033256643826E-2</v>
      </c>
      <c r="AB130" s="405">
        <f>+(AB123+AB125)/(V123+V125)-1</f>
        <v>0.1524558998315515</v>
      </c>
      <c r="AC130" s="405">
        <f>+(AC123+AC125)/(W123+W125)-1</f>
        <v>0.15548730518497744</v>
      </c>
      <c r="AD130" s="405">
        <f>+(AD123+AD125)/(X123+X125)-1</f>
        <v>0.23750778470192047</v>
      </c>
      <c r="AE130" s="742">
        <f>+(AE123+AE125)/(Y123+Y125)-1</f>
        <v>0.15800522591304689</v>
      </c>
      <c r="AF130" s="399"/>
      <c r="AG130" s="1022">
        <f>+(AG123+AG125)/(AA123+AA125)-1</f>
        <v>0.20997462729628369</v>
      </c>
      <c r="AH130" s="405">
        <f>+(AH123+AH125)/(AB123+AB125)-1</f>
        <v>0.16299605775366155</v>
      </c>
      <c r="AI130" s="405">
        <f>+(AI123+AI125)/(AC123+AC125)-1</f>
        <v>0.14304042691310936</v>
      </c>
      <c r="AJ130" s="405">
        <f>+(AJ123+AJ125)/(AD123+AD125)-1</f>
        <v>4.2697207869082154E-2</v>
      </c>
      <c r="AK130" s="742">
        <f>+(AK123+AK125)/(AE123+AE125)-1</f>
        <v>0.13443587134683965</v>
      </c>
      <c r="AL130" s="399"/>
      <c r="AM130" s="1022">
        <f>+(AM123+AM125)/(AG123+AG125)-1</f>
        <v>4.7338741756166369E-2</v>
      </c>
      <c r="AN130" s="405">
        <f>+(AN123+AN125)/(AH123+AH125)-1</f>
        <v>6.2335789862060675E-2</v>
      </c>
      <c r="AO130" s="405">
        <f>+(AO123+AO125)/(AI123+AI125)-1</f>
        <v>5.98613278717115E-2</v>
      </c>
      <c r="AP130" s="405">
        <f>+(AP123+AP125)/(AJ123+AJ125)-1</f>
        <v>3.7420699534880031E-2</v>
      </c>
      <c r="AQ130" s="742">
        <f>+(AQ123+AQ125)/(AK123+AK125)-1</f>
        <v>5.1552758015250388E-2</v>
      </c>
      <c r="AR130" s="491"/>
      <c r="AS130" s="1022">
        <f>+(AS123+AS125)/(AM123+AM125)-1</f>
        <v>3.3662743943363438E-2</v>
      </c>
      <c r="AT130" s="405">
        <f>+(AT123+AT125)/(AN123+AN125)-1</f>
        <v>3.1046296135107676E-2</v>
      </c>
      <c r="AU130" s="405">
        <f>+(AU123+AU125)/(AO123+AO125)-1</f>
        <v>2.5184930363570723E-2</v>
      </c>
      <c r="AV130" s="405">
        <f>+(AV123+AV125)/(AP123+AP125)-1</f>
        <v>-2.7631448353897858E-2</v>
      </c>
      <c r="AW130" s="742">
        <f>+(AW123+AW125)/(AQ123+AQ125)-1</f>
        <v>1.5018033025671063E-2</v>
      </c>
      <c r="AX130" s="24"/>
      <c r="AY130" s="1022">
        <f>+(AY123+AY125)/(AS123+AS125)-1</f>
        <v>-8.4666732130958211E-2</v>
      </c>
      <c r="AZ130" s="405">
        <f>+(AZ123+AZ125)/(AT123+AT125)-1</f>
        <v>-4.7439947945939531E-2</v>
      </c>
      <c r="BA130" s="405">
        <f>+(BA123+BA125)/(AU123+AU125)-1</f>
        <v>-3.8170099123864265E-2</v>
      </c>
      <c r="BB130" s="405">
        <f>+(BB123+BB125)/(AV123+AV125)-1</f>
        <v>-3.4228108236233679E-2</v>
      </c>
      <c r="BC130" s="742">
        <f>+(BC123+BC125)/(AW123+AW125)-1</f>
        <v>-5.1016119548805805E-2</v>
      </c>
      <c r="BD130" s="399"/>
      <c r="BE130" s="1022">
        <f>+(BE123+BE125)/(AY123+AY125)-1</f>
        <v>3.9738826972869568E-2</v>
      </c>
      <c r="BF130" s="405">
        <f>+(BF123+BF125)/(AZ123+AZ125)-1</f>
        <v>2.5099479644934197E-2</v>
      </c>
      <c r="BG130" s="405">
        <f>+(BG123+BG125)/(BA123+BA125)-1</f>
        <v>7.6041555103352199E-3</v>
      </c>
      <c r="BH130" s="405">
        <f>+(BH123+BH125)/(BB123+BB125)-1</f>
        <v>3.4751474304970387E-2</v>
      </c>
      <c r="BI130" s="742">
        <f>+(BI123+BI125)/(BC123+BC125)-1</f>
        <v>2.6654583255590891E-2</v>
      </c>
      <c r="BJ130" s="399"/>
      <c r="BK130" s="1022">
        <f>+(BK123+BK125)/(BE123+BE125)-1</f>
        <v>-3.7029016890428812E-2</v>
      </c>
      <c r="BL130" s="405">
        <f>+(BL123+BL125)/(BF123+BF125)-1</f>
        <v>-2.0105504130586205E-2</v>
      </c>
      <c r="BM130" s="405">
        <f>+(BM123+BM125)/(BG123+BG125)-1</f>
        <v>6.3775510204081565E-2</v>
      </c>
      <c r="BN130" s="405">
        <f>+(BN123+BN125)/(BH123+BH125)-1</f>
        <v>9.9837166700590396E-2</v>
      </c>
      <c r="BO130" s="742">
        <f>+(BO123+BO125)/(BI123+BI125)-1</f>
        <v>2.6923176779084512E-2</v>
      </c>
      <c r="BP130" s="399"/>
      <c r="BQ130" s="1022">
        <f>+(BQ123+BQ125)/(BK123+BK125)-1</f>
        <v>5.6296379581740608E-2</v>
      </c>
      <c r="BR130" s="405">
        <f>+(BR123+BR125)/(BL123+BL125)-1</f>
        <v>6.6900964956830844E-2</v>
      </c>
      <c r="BS130" s="405">
        <f>+(BS123+BS125)/(BM123+BM125)-1</f>
        <v>7.1994404476418916E-2</v>
      </c>
      <c r="BT130" s="405">
        <f>+(BT123+BT125)/(BN123+BN125)-1</f>
        <v>6.6516146941796972E-2</v>
      </c>
      <c r="BU130" s="742">
        <f>+(BU123+BU125)/(BO123+BO125)-1</f>
        <v>6.5700055620164788E-2</v>
      </c>
      <c r="BV130" s="399"/>
      <c r="BW130" s="1022">
        <f>+(BW123+BW125)/(BQ123+BQ125)-1</f>
        <v>3.4184657306779442E-2</v>
      </c>
      <c r="BX130" s="405">
        <f>+(BX123+BX125)/(BR123+BR125)-1</f>
        <v>4.6528612937991154E-2</v>
      </c>
      <c r="BY130" s="405">
        <f>+(BY123+BY125)/(BS123+BS125)-1</f>
        <v>4.2025032343697033E-2</v>
      </c>
      <c r="BZ130" s="405">
        <f>+(BZ123+BZ125)/(BT123+BT125)-1</f>
        <v>3.4261624315451433E-2</v>
      </c>
      <c r="CA130" s="742">
        <f>+(CA123+CA125)/(BU123+BU125)-1</f>
        <v>3.9277075964292196E-2</v>
      </c>
      <c r="CB130" s="399"/>
      <c r="CC130" s="1022">
        <f>+(CC123+CC125)/(BW123+BW125)-1</f>
        <v>3.4725000207392887E-2</v>
      </c>
      <c r="CD130" s="405">
        <f>+(CD123+CD125)/(BX123+BX125)-1</f>
        <v>2.4701182088308293E-2</v>
      </c>
      <c r="CE130" s="405">
        <f>+(CE123+CE125)/(BY123+BY125)-1</f>
        <v>2.7586007045968142E-2</v>
      </c>
      <c r="CF130" s="405">
        <f>+(CF123+CF125)/(BZ123+BZ125)-1</f>
        <v>3.4870933450909858E-2</v>
      </c>
      <c r="CG130" s="742">
        <f>+(CG123+CG125)/(CA123+CA125)-1</f>
        <v>3.0427750657164854E-2</v>
      </c>
      <c r="CH130" s="399"/>
      <c r="CI130" s="1022">
        <f>+(CI123+CI125)/(CC123+CC125)-1</f>
        <v>3.6926522046280219E-2</v>
      </c>
      <c r="CJ130" s="405">
        <f>+(CJ123+CJ125)/(CD123+CD125)-1</f>
        <v>5.3251422060244469E-2</v>
      </c>
      <c r="CK130" s="405">
        <f>+(CK123+CK125)/(CE123+CE125)-1</f>
        <v>4.8446160987898557E-2</v>
      </c>
      <c r="CL130" s="405">
        <f>+(CL123+CL125)/(CF123+CF125)-1</f>
        <v>3.6987074602721215E-2</v>
      </c>
      <c r="CM130" s="742">
        <f>+(CM123+CM125)/(CG123+CG125)-1</f>
        <v>4.3948112147246254E-2</v>
      </c>
      <c r="CQ130"/>
      <c r="CR130"/>
      <c r="CS130"/>
      <c r="CT130"/>
      <c r="CU130"/>
      <c r="CV130"/>
    </row>
    <row r="131" spans="1:120" s="1016" customFormat="1" ht="12.75" customHeight="1" x14ac:dyDescent="0.2">
      <c r="A131" s="79"/>
      <c r="B131" s="1105" t="s">
        <v>591</v>
      </c>
      <c r="C131" s="784"/>
      <c r="D131" s="138"/>
      <c r="E131" s="138"/>
      <c r="F131" s="138"/>
      <c r="G131" s="414"/>
      <c r="H131" s="24"/>
      <c r="I131" s="784">
        <f>+I130-I132-I133</f>
        <v>0.1332128708424882</v>
      </c>
      <c r="J131" s="138">
        <f>+J130-J132-J133</f>
        <v>0.13618964516250937</v>
      </c>
      <c r="K131" s="138">
        <f>+K130-K132-K133</f>
        <v>5.6249716697979943E-2</v>
      </c>
      <c r="L131" s="138">
        <f>+L130-L132-L133</f>
        <v>-2.5145409849084071E-2</v>
      </c>
      <c r="M131" s="414">
        <f>+M130-M132-M133</f>
        <v>7.0249254509932635E-2</v>
      </c>
      <c r="N131" s="24"/>
      <c r="O131" s="784">
        <f>+O130-O132-O133</f>
        <v>-8.2523028268931195E-3</v>
      </c>
      <c r="P131" s="138">
        <f>+P130-P132-P133</f>
        <v>-2.9741318368974295E-3</v>
      </c>
      <c r="Q131" s="138">
        <f>+Q130-Q132-Q133</f>
        <v>3.8140760438006301E-2</v>
      </c>
      <c r="R131" s="138">
        <f>+R130-R132-R133</f>
        <v>0.14340286885825082</v>
      </c>
      <c r="S131" s="414">
        <f>+S130-S132-S133</f>
        <v>4.0291898363521414E-2</v>
      </c>
      <c r="T131" s="24"/>
      <c r="U131" s="784">
        <f>+U130-U132-U133</f>
        <v>4.5271168277720188E-2</v>
      </c>
      <c r="V131" s="138">
        <f>+V130-V132-V133</f>
        <v>-1.8570820756678205E-2</v>
      </c>
      <c r="W131" s="138">
        <f>+W130-W132-W133</f>
        <v>-3.318457233465498E-2</v>
      </c>
      <c r="X131" s="138">
        <f>+X130-X132-X133</f>
        <v>-2.8568502266338919E-2</v>
      </c>
      <c r="Y131" s="414">
        <f>+Y130-Y132-Y133</f>
        <v>-1.0195350758983666E-2</v>
      </c>
      <c r="Z131" s="24"/>
      <c r="AA131" s="784">
        <f>+AA130-AA132-AA133</f>
        <v>1.8994576928533208E-2</v>
      </c>
      <c r="AB131" s="138">
        <f>+AB130-AB132-AB133</f>
        <v>4.786216575657283E-2</v>
      </c>
      <c r="AC131" s="138">
        <f>+AC130-AC132-AC133</f>
        <v>0.13835919042528827</v>
      </c>
      <c r="AD131" s="138">
        <f>+AD130-AD132-AD133</f>
        <v>0.3521040599208145</v>
      </c>
      <c r="AE131" s="414">
        <f>+AE130-AE132-AE133</f>
        <v>0.14405342548998401</v>
      </c>
      <c r="AF131" s="24"/>
      <c r="AG131" s="784">
        <f>+AG130-AG132-AG133</f>
        <v>0.31576623387685721</v>
      </c>
      <c r="AH131" s="138">
        <f>+AH130-AH132-AH133</f>
        <v>0.29706871453128531</v>
      </c>
      <c r="AI131" s="138">
        <f>+AI130-AI132-AI133</f>
        <v>0.18402515141518627</v>
      </c>
      <c r="AJ131" s="138">
        <f>+AJ130-AJ132-AJ133</f>
        <v>1.2231321912769676E-2</v>
      </c>
      <c r="AK131" s="414">
        <f>+AK130-AK132-AK133</f>
        <v>0.19269750994668897</v>
      </c>
      <c r="AL131" s="24"/>
      <c r="AM131" s="784">
        <f>+AM130-AM132-AM133</f>
        <v>-4.8723006534561603E-4</v>
      </c>
      <c r="AN131" s="138">
        <f>+AN130-AN132-AN133</f>
        <v>-1.2450708891350706E-2</v>
      </c>
      <c r="AO131" s="138">
        <f>+AO130-AO132-AO133</f>
        <v>1.8778576921340211E-2</v>
      </c>
      <c r="AP131" s="138">
        <f>+AP130-AP132-AP133</f>
        <v>6.4449664047656341E-3</v>
      </c>
      <c r="AQ131" s="414">
        <f>+AQ130-AQ132-AQ133</f>
        <v>2.9500063240947214E-3</v>
      </c>
      <c r="AR131" s="24"/>
      <c r="AS131" s="784">
        <f>+AS130-AS132-AS133</f>
        <v>-6.0183133765920153E-3</v>
      </c>
      <c r="AT131" s="138">
        <f>+AT130-AT132-AT133</f>
        <v>-2.5609331040482332E-3</v>
      </c>
      <c r="AU131" s="138">
        <f>+AU130-AU132-AU133</f>
        <v>-4.103373093001704E-3</v>
      </c>
      <c r="AV131" s="138">
        <f>+AV130-AV132-AV133</f>
        <v>-6.857606532224976E-2</v>
      </c>
      <c r="AW131" s="414">
        <f>+AW130-AW132-AW133</f>
        <v>-2.090823364935172E-2</v>
      </c>
      <c r="AX131" s="24"/>
      <c r="AY131" s="1228">
        <f>+AY69</f>
        <v>-0.10021314752612877</v>
      </c>
      <c r="AZ131" s="1188">
        <f>+AZ69</f>
        <v>-0.11489321746334671</v>
      </c>
      <c r="BA131" s="1188">
        <f>+BA69</f>
        <v>-0.1017901664383984</v>
      </c>
      <c r="BB131" s="1188">
        <f>+BB69</f>
        <v>-7.9661083245283204E-2</v>
      </c>
      <c r="BC131" s="1229">
        <f>+BC69</f>
        <v>-9.9309484504979048E-2</v>
      </c>
      <c r="BD131" s="24"/>
      <c r="BE131" s="1228">
        <f>+BE69</f>
        <v>-2.5999999999999999E-2</v>
      </c>
      <c r="BF131" s="1188">
        <f>+BF69</f>
        <v>-6.6062646668706843E-3</v>
      </c>
      <c r="BG131" s="1188">
        <f>+BG69</f>
        <v>3.3343686408910745E-3</v>
      </c>
      <c r="BH131" s="1188">
        <f>+BH69</f>
        <v>-6.7443133951138393E-3</v>
      </c>
      <c r="BI131" s="742">
        <f>+SUMPRODUCT(BE131:BH131,AY$128:BB$128)/BC$128</f>
        <v>-8.7823302172722814E-3</v>
      </c>
      <c r="BJ131" s="24"/>
      <c r="BK131" s="1228">
        <f>+BK69</f>
        <v>-1.2731702035513277E-2</v>
      </c>
      <c r="BL131" s="1188">
        <f>+BL69</f>
        <v>-1.1644340653880534E-2</v>
      </c>
      <c r="BM131" s="1188">
        <f>+BM69</f>
        <v>2.0918048469387683E-2</v>
      </c>
      <c r="BN131" s="1188">
        <f>+BN69</f>
        <v>4.5500660501981725E-2</v>
      </c>
      <c r="BO131" s="742">
        <f>+SUMPRODUCT(BK131:BN131,BE$128:BH$128)/BI$128</f>
        <v>1.1651865914602252E-2</v>
      </c>
      <c r="BP131" s="24"/>
      <c r="BQ131" s="1228">
        <f>+BQ69</f>
        <v>5.8319676731395272E-2</v>
      </c>
      <c r="BR131" s="1188">
        <f>+BR69</f>
        <v>3.9790756729304183E-2</v>
      </c>
      <c r="BS131" s="1188">
        <f>+BS69</f>
        <v>2.5479616306954493E-2</v>
      </c>
      <c r="BT131" s="1188">
        <f>+BT69</f>
        <v>2.6516146941796971E-2</v>
      </c>
      <c r="BU131" s="742">
        <f>+SUMPRODUCT(BQ131:BT131,BK$128:BN$128)/BO$128</f>
        <v>3.6732111737323922E-2</v>
      </c>
      <c r="BV131" s="24"/>
      <c r="BW131" s="1228">
        <f>+BW69</f>
        <v>8.3266726846886741E-17</v>
      </c>
      <c r="BX131" s="1188">
        <f>+BX69</f>
        <v>1.2490009027033011E-16</v>
      </c>
      <c r="BY131" s="1188">
        <f>+BY69</f>
        <v>0</v>
      </c>
      <c r="BZ131" s="1188">
        <f>+BZ69</f>
        <v>2.3592239273284576E-16</v>
      </c>
      <c r="CA131" s="742">
        <f>+SUMPRODUCT(BW131:BZ131,BQ$128:BT$128)/BU$128</f>
        <v>1.1417518277113541E-16</v>
      </c>
      <c r="CB131" s="24"/>
      <c r="CC131" s="1228">
        <f>+CC69</f>
        <v>-9.0205620750793969E-17</v>
      </c>
      <c r="CD131" s="1188">
        <f>+CD69</f>
        <v>0</v>
      </c>
      <c r="CE131" s="1188">
        <f>+CE69</f>
        <v>3.4694469519536142E-17</v>
      </c>
      <c r="CF131" s="1188">
        <f>+CF69</f>
        <v>-1.2490009027033011E-16</v>
      </c>
      <c r="CG131" s="742">
        <f>+SUMPRODUCT(CC131:CF131,BW$128:BZ$128)/CA$128</f>
        <v>-4.5169151555844172E-17</v>
      </c>
      <c r="CH131" s="24"/>
      <c r="CI131" s="1228">
        <f>+CI69</f>
        <v>-1.0408340855860843E-16</v>
      </c>
      <c r="CJ131" s="1188">
        <f>+CJ69</f>
        <v>0</v>
      </c>
      <c r="CK131" s="1188">
        <f>+CK69</f>
        <v>0</v>
      </c>
      <c r="CL131" s="1188">
        <f>+CL69</f>
        <v>0</v>
      </c>
      <c r="CM131" s="742">
        <f>+SUMPRODUCT(CI131:CL131,CC$128:CF$128)/CG$128</f>
        <v>-2.3227527712784754E-17</v>
      </c>
      <c r="CN131" s="770"/>
      <c r="CO131" s="770"/>
      <c r="CP131"/>
      <c r="CQ131"/>
      <c r="CR131"/>
      <c r="CS131"/>
      <c r="CT131"/>
      <c r="CU131"/>
      <c r="CV131"/>
      <c r="CW131" s="770"/>
      <c r="CX131" s="770"/>
      <c r="CY131" s="770"/>
      <c r="CZ131" s="770"/>
      <c r="DA131" s="770"/>
      <c r="DB131" s="770"/>
      <c r="DC131" s="770"/>
      <c r="DD131" s="770"/>
      <c r="DE131" s="770"/>
      <c r="DF131" s="770"/>
      <c r="DG131" s="770"/>
      <c r="DH131" s="770"/>
      <c r="DI131" s="770"/>
      <c r="DJ131" s="770"/>
      <c r="DK131" s="770"/>
      <c r="DL131" s="770"/>
      <c r="DM131" s="770"/>
      <c r="DN131" s="770"/>
      <c r="DO131" s="770"/>
      <c r="DP131" s="770"/>
    </row>
    <row r="132" spans="1:120" s="1016" customFormat="1" ht="12.75" customHeight="1" x14ac:dyDescent="0.2">
      <c r="A132" s="79"/>
      <c r="B132" s="1105" t="s">
        <v>592</v>
      </c>
      <c r="C132" s="784"/>
      <c r="D132" s="138"/>
      <c r="E132" s="138"/>
      <c r="F132" s="138"/>
      <c r="G132" s="414"/>
      <c r="H132" s="24"/>
      <c r="I132" s="784">
        <f>-((I118*C114)+I109*C108-C121)/C123</f>
        <v>-2.4833975750812226E-2</v>
      </c>
      <c r="J132" s="138">
        <f>-((J118*D114)+J109*D108-D121)/D123</f>
        <v>-2.4350559126676219E-2</v>
      </c>
      <c r="K132" s="138">
        <f>-((K118*E114)+K109*E108-E121)/E123</f>
        <v>-8.339490707121977E-3</v>
      </c>
      <c r="L132" s="138">
        <f>-((L118*F114)+L109*F108-F121)/F123</f>
        <v>-9.0018802282266636E-3</v>
      </c>
      <c r="M132" s="414">
        <f>-((M118*G114)+M109*G108-G121)/G123</f>
        <v>-1.6459748756396643E-2</v>
      </c>
      <c r="N132" s="24"/>
      <c r="O132" s="784">
        <f>-((O118*I114)+O109*I108-I121)/I123</f>
        <v>-3.3066551555942916E-2</v>
      </c>
      <c r="P132" s="138">
        <f>-((P118*J114)+P109*J108-J121)/J123</f>
        <v>-3.3945079543622123E-2</v>
      </c>
      <c r="Q132" s="138">
        <f>-((Q118*K114)+Q109*K108-K121)/K123</f>
        <v>-3.0417048765068882E-2</v>
      </c>
      <c r="R132" s="138">
        <f>-((R118*L114)+R109*L108-L121)/L123</f>
        <v>-3.8784232591296652E-2</v>
      </c>
      <c r="S132" s="414">
        <f>-((S118*M114)+S109*M108-M121)/M123</f>
        <v>-3.4083434842573326E-2</v>
      </c>
      <c r="T132" s="24"/>
      <c r="U132" s="784">
        <f>-((U118*O114)+U109*O108-O121)/O123</f>
        <v>-2.2552057924710108E-3</v>
      </c>
      <c r="V132" s="138">
        <f>-((V118*P114)+V109*P108-P121)/P123</f>
        <v>-2.5541535276446979E-3</v>
      </c>
      <c r="W132" s="138">
        <f>-((W118*Q114)+W109*Q108-Q121)/Q123</f>
        <v>-2.9287264546215101E-3</v>
      </c>
      <c r="X132" s="138">
        <f>-((X118*R114)+X109*R108-R121)/R123</f>
        <v>4.7012078119251077E-3</v>
      </c>
      <c r="Y132" s="414">
        <f>-((Y118*S114)+Y109*S108-S121)/S123</f>
        <v>-6.3304223759707526E-4</v>
      </c>
      <c r="Z132" s="24"/>
      <c r="AA132" s="784">
        <f>-((AA118*U114)+AA109*U108-U121)/U123</f>
        <v>-6.7366223866483612E-3</v>
      </c>
      <c r="AB132" s="138">
        <f>-((AB118*V114)+AB109*V108-V121)/V123</f>
        <v>1.7188633875177592E-2</v>
      </c>
      <c r="AC132" s="138">
        <f>-((AC118*W114)+AC109*W108-W121)/W123</f>
        <v>-4.3024399470759214E-2</v>
      </c>
      <c r="AD132" s="138">
        <f>-((AD118*X114)+AD109*X108-X121)/X123</f>
        <v>-0.17502954349790306</v>
      </c>
      <c r="AE132" s="414">
        <f>-((AE118*Y114)+AE109*Y108-Y121)/Y123</f>
        <v>-5.4583849706451366E-2</v>
      </c>
      <c r="AF132" s="24"/>
      <c r="AG132" s="784">
        <f>-((AG118*AA114)+AG109*AA108-AA121)/AA123</f>
        <v>-0.17019157053030268</v>
      </c>
      <c r="AH132" s="138">
        <f>-((AH118*AB114)+AH109*AB108-AB121)/AB123</f>
        <v>-0.18294071147443683</v>
      </c>
      <c r="AI132" s="138">
        <f>-((AI118*AC114)+AI109*AC108-AC121)/AC123</f>
        <v>-0.1262644460782614</v>
      </c>
      <c r="AJ132" s="138">
        <f>-((AJ118*AD114)+AJ109*AD108-AD121)/AD123</f>
        <v>-1.8599389132477533E-2</v>
      </c>
      <c r="AK132" s="414">
        <f>-((AK118*AE114)+AK109*AE108-AE121)/AE123</f>
        <v>-0.11942720915883553</v>
      </c>
      <c r="AL132" s="24"/>
      <c r="AM132" s="784">
        <f>-((AM118*AG114)+AM109*AG108-AG121)/AG123</f>
        <v>-1.9730457709041791E-3</v>
      </c>
      <c r="AN132" s="138">
        <f>-((AN118*AH114)+AN109*AH108-AH121)/AH123</f>
        <v>1.0294602321031132E-2</v>
      </c>
      <c r="AO132" s="138">
        <f>-((AO118*AI114)+AO109*AI108-AI121)/AI123</f>
        <v>-1.302417705524169E-3</v>
      </c>
      <c r="AP132" s="138">
        <f>-((AP118*AJ114)+AP109*AJ108-AJ121)/AJ123</f>
        <v>-3.0221089339981947E-3</v>
      </c>
      <c r="AQ132" s="414">
        <f>-((AQ118*AK114)+AQ109*AK108-AK121)/AK123</f>
        <v>1.0238967974391621E-3</v>
      </c>
      <c r="AR132" s="24"/>
      <c r="AS132" s="784">
        <f>-((AS118*AM114)+AS109*AM108-AM121)/AM123</f>
        <v>2.6398906293519835E-3</v>
      </c>
      <c r="AT132" s="138">
        <f>-((AT118*AN114)+AT109*AN108-AN121)/AN123</f>
        <v>8.7649514187291954E-3</v>
      </c>
      <c r="AU132" s="138">
        <f>-((AU118*AO114)+AU109*AO108-AO121)/AO123</f>
        <v>-2.7129960817328376E-3</v>
      </c>
      <c r="AV132" s="138">
        <f>-((AV118*AP114)+AV109*AP108-AP121)/AP123</f>
        <v>6.8760192500700052E-3</v>
      </c>
      <c r="AW132" s="414">
        <f>-((AW118*AQ114)+AW109*AQ108-AQ121)/AQ123</f>
        <v>4.0076441994412217E-3</v>
      </c>
      <c r="AX132" s="24"/>
      <c r="AY132" s="784">
        <f>-(-(AY130-AY131)+AY133)</f>
        <v>-1.4551468586629701E-2</v>
      </c>
      <c r="AZ132" s="138">
        <f>-(-(AZ130-AZ131)+AZ133)</f>
        <v>-4.4910462720665068E-3</v>
      </c>
      <c r="BA132" s="138">
        <f>-(-(BA130-BA131)+BA133)</f>
        <v>-3.1112727080279123E-4</v>
      </c>
      <c r="BB132" s="138">
        <f>-(-(BB130-BB131)+BB133)</f>
        <v>5.8454077521794268E-3</v>
      </c>
      <c r="BC132" s="414">
        <f>-(-(BC130-BC131)+BC133)</f>
        <v>-3.3646726120891077E-3</v>
      </c>
      <c r="BD132" s="24"/>
      <c r="BE132" s="784">
        <f>-(-(BE130-BE131)+BE133)</f>
        <v>-1.2723433724553979E-2</v>
      </c>
      <c r="BF132" s="138">
        <f>+(BF70*AZ63)/(AZ123+AZ125)</f>
        <v>-3.9650035710642306E-3</v>
      </c>
      <c r="BG132" s="138">
        <f>+(BG70*BA63)/(BA123+BA125)</f>
        <v>1.1412552211631136E-2</v>
      </c>
      <c r="BH132" s="138">
        <f>+(BH70*BB63)/(BB123+BB125)</f>
        <v>2.5344882055602345E-2</v>
      </c>
      <c r="BI132" s="414">
        <f>+(BI70*BC63)/(BC123+BC125)</f>
        <v>-1.1681104565930132E-3</v>
      </c>
      <c r="BJ132" s="24"/>
      <c r="BK132" s="784">
        <f>+(BK70*BE63)/(BE123+BE125)-(BK129-BK130)</f>
        <v>-0.19491652995672162</v>
      </c>
      <c r="BL132" s="138">
        <f>+(BL70*BF63)/(BF123+BF125)</f>
        <v>2.6347566437742612E-2</v>
      </c>
      <c r="BM132" s="138">
        <f>+(BM70*BG63)/(BG123+BG125)</f>
        <v>1.9163159013605442E-2</v>
      </c>
      <c r="BN132" s="138">
        <f>+(BN70*BH63)/(BH123+BH125)</f>
        <v>2.8055159780175048E-3</v>
      </c>
      <c r="BO132" s="414">
        <f>+(BO70*BI63)/(BI123+BI125)</f>
        <v>1.7909131033050342E-2</v>
      </c>
      <c r="BP132" s="24"/>
      <c r="BQ132" s="784">
        <f>-(-(BQ130-BQ131)+BQ133)</f>
        <v>-3.7507638826610554E-2</v>
      </c>
      <c r="BR132" s="138">
        <f>-(-(BR130-BR131)+BR133)</f>
        <v>-1.015744032503809E-2</v>
      </c>
      <c r="BS132" s="138">
        <f>-(-(BS130-BS131)+BS133)</f>
        <v>0</v>
      </c>
      <c r="BT132" s="138">
        <f>-(-(BT130-BT131)+BT133)</f>
        <v>0</v>
      </c>
      <c r="BU132" s="414">
        <f>-(-(BU130-BU131)+BU133)</f>
        <v>-1.0983280560536532E-2</v>
      </c>
      <c r="BV132" s="24"/>
      <c r="BW132" s="784">
        <f>-(-(BW130-BW131)+BW133)</f>
        <v>0</v>
      </c>
      <c r="BX132" s="138">
        <f>-(-(BX130-BX131)+BX133)</f>
        <v>0</v>
      </c>
      <c r="BY132" s="138">
        <f>-(-(BY130-BY131)+BY133)</f>
        <v>4.8572257327350599E-17</v>
      </c>
      <c r="BZ132" s="138">
        <f>-(-(BZ130-BZ131)+BZ133)</f>
        <v>0</v>
      </c>
      <c r="CA132" s="414">
        <f>-(-(CA130-CA131)+CA133)</f>
        <v>3.5388358909926865E-16</v>
      </c>
      <c r="CB132" s="24"/>
      <c r="CC132" s="784">
        <f>-(-(CC130-CC131)+CC133)</f>
        <v>0</v>
      </c>
      <c r="CD132" s="138">
        <f>-(-(CD130-CD131)+CD133)</f>
        <v>1.0408340855860843E-17</v>
      </c>
      <c r="CE132" s="138">
        <f>-(-(CE130-CE131)+CE133)</f>
        <v>0</v>
      </c>
      <c r="CF132" s="138">
        <f>-(-(CF130-CF131)+CF133)</f>
        <v>0</v>
      </c>
      <c r="CG132" s="414">
        <f>-(-(CG130-CG131)+CG133)</f>
        <v>-1.0408340855860843E-17</v>
      </c>
      <c r="CH132" s="24"/>
      <c r="CI132" s="784">
        <f>-(-(CI130-CI131)+CI133)</f>
        <v>0</v>
      </c>
      <c r="CJ132" s="138">
        <f>-(-(CJ130-CJ131)+CJ133)</f>
        <v>-1.3877787807814457E-17</v>
      </c>
      <c r="CK132" s="138">
        <f>-(-(CK130-CK131)+CK133)</f>
        <v>-4.8572257327350599E-17</v>
      </c>
      <c r="CL132" s="138">
        <f>-(-(CL130-CL131)+CL133)</f>
        <v>-1.3877787807814457E-17</v>
      </c>
      <c r="CM132" s="414">
        <f>-(-(CM130-CM131)+CM133)</f>
        <v>-1.8735013540549517E-16</v>
      </c>
      <c r="CN132" s="770"/>
      <c r="CO132" s="770"/>
      <c r="CP132"/>
      <c r="CQ132"/>
      <c r="CR132"/>
      <c r="CS132"/>
      <c r="CT132"/>
      <c r="CU132"/>
      <c r="CV132"/>
      <c r="CW132" s="770"/>
      <c r="CX132" s="770"/>
      <c r="CY132" s="770"/>
      <c r="CZ132" s="770"/>
      <c r="DA132" s="770"/>
      <c r="DB132" s="770"/>
      <c r="DC132" s="770"/>
      <c r="DD132" s="770"/>
      <c r="DE132" s="770"/>
      <c r="DF132" s="770"/>
      <c r="DG132" s="770"/>
      <c r="DH132" s="770"/>
      <c r="DI132" s="770"/>
      <c r="DJ132" s="770"/>
      <c r="DK132" s="770"/>
      <c r="DL132" s="770"/>
      <c r="DM132" s="770"/>
      <c r="DN132" s="770"/>
      <c r="DO132" s="770"/>
      <c r="DP132" s="770"/>
    </row>
    <row r="133" spans="1:120" s="1016" customFormat="1" ht="12.75" customHeight="1" x14ac:dyDescent="0.2">
      <c r="A133" s="79"/>
      <c r="B133" s="1054" t="s">
        <v>593</v>
      </c>
      <c r="C133" s="1055"/>
      <c r="D133" s="1056"/>
      <c r="E133" s="1056"/>
      <c r="F133" s="1056"/>
      <c r="G133" s="1057"/>
      <c r="H133" s="1058"/>
      <c r="I133" s="1055">
        <f>+((I119*C114)+I112*C108+I125-C125)/(C120+C125)</f>
        <v>8.7415215477282482E-2</v>
      </c>
      <c r="J133" s="1056">
        <f>+((J119*D114)+J112*D108+J125-D125)/(D120+D125)</f>
        <v>6.5924263335642955E-2</v>
      </c>
      <c r="K133" s="1056">
        <f>+((K119*E114)+K112*E108+K125-E125)/(E120+E125)</f>
        <v>2.4961533254288251E-2</v>
      </c>
      <c r="L133" s="1056">
        <f>+((L119*F114)+L112*F108+L125-F125)/(F120+F125)</f>
        <v>-2.7342716436553647E-2</v>
      </c>
      <c r="M133" s="1057">
        <f>+((M119*G114)+M112*G108+M125-G125)/(G120+G125)</f>
        <v>3.6173390753865532E-2</v>
      </c>
      <c r="N133" s="1058"/>
      <c r="O133" s="1055">
        <f>+((O119*I114)+O112*I108+O125-I125)/(I120+I125)</f>
        <v>-3.9235724892046041E-2</v>
      </c>
      <c r="P133" s="1056">
        <f>+((P119*J114)+P112*J108+P125-J125)/(J120+J125)</f>
        <v>-1.3963180684328684E-2</v>
      </c>
      <c r="Q133" s="1056">
        <f>+((Q119*K114)+Q112*K108+Q125-K125)/(K120+K125)</f>
        <v>1.2161377426378663E-2</v>
      </c>
      <c r="R133" s="1056">
        <f>+((R119*L114)+R112*L108+R125-L125)/(L120+L125)</f>
        <v>3.0762573600200353E-2</v>
      </c>
      <c r="S133" s="1057">
        <f>+((S119*M114)+S112*M108+S125-M125)/(M120+M125)</f>
        <v>-3.082325919621349E-3</v>
      </c>
      <c r="T133" s="1058"/>
      <c r="U133" s="1055">
        <f>+((U119*O114)+U112*O108+U125-O125)/(O120+O125)</f>
        <v>4.7630410390945198E-2</v>
      </c>
      <c r="V133" s="1056">
        <f>+((V119*P114)+V112*P108+V125-P125)/(P120+P125)</f>
        <v>3.4982658139565123E-2</v>
      </c>
      <c r="W133" s="1056">
        <f>+((W119*Q114)+W112*Q108+W125-Q125)/(Q120+Q125)</f>
        <v>2.9157174863524198E-2</v>
      </c>
      <c r="X133" s="1056">
        <f>+((X119*R114)+X112*R108+X125-R125)/(R120+R125)</f>
        <v>5.3543506921771997E-2</v>
      </c>
      <c r="Y133" s="1057">
        <f>+((Y119*S114)+Y112*S108+Y125-S125)/(S120+S125)</f>
        <v>4.1420617634065973E-2</v>
      </c>
      <c r="Z133" s="1058"/>
      <c r="AA133" s="1055">
        <f>+((AA119*U114)+AA112*U108+AA125-U125)/(U120+U125)</f>
        <v>6.6448078714758982E-2</v>
      </c>
      <c r="AB133" s="1056">
        <f>+((AB119*V114)+AB112*V108+AB125-V125)/(V120+V125)</f>
        <v>8.7405100199801064E-2</v>
      </c>
      <c r="AC133" s="1056">
        <f>+((AC119*W114)+AC112*W108+AC125-W125)/(W120+W125)</f>
        <v>6.0152514230448359E-2</v>
      </c>
      <c r="AD133" s="1056">
        <f>+((AD119*X114)+AD112*X108+AD125-X125)/(X120+X125)</f>
        <v>6.0433268279009009E-2</v>
      </c>
      <c r="AE133" s="1057">
        <f>+((AE119*Y114)+AE112*Y108+AE125-Y125)/(Y120+Y125)</f>
        <v>6.8535650129514236E-2</v>
      </c>
      <c r="AF133" s="1058"/>
      <c r="AG133" s="1055">
        <f>+((AG119*AA114)+AG112*AA108+AG125-AA125)/(AA120+AA125)</f>
        <v>6.4399963949729147E-2</v>
      </c>
      <c r="AH133" s="1056">
        <f>+((AH119*AB114)+AH112*AB108+AH125-AB125)/(AB120+AB125)</f>
        <v>4.8868054696813067E-2</v>
      </c>
      <c r="AI133" s="1056">
        <f>+((AI119*AC114)+AI112*AC108+AI125-AC125)/(AC120+AC125)</f>
        <v>8.5279721576184464E-2</v>
      </c>
      <c r="AJ133" s="1056">
        <f>+((AJ119*AD114)+AJ112*AD108+AJ125-AD125)/(AD120+AD125)</f>
        <v>4.9065275088790015E-2</v>
      </c>
      <c r="AK133" s="1057">
        <f>+((AK119*AE114)+AK112*AE108+AK125-AE125)/(AE120+AE125)</f>
        <v>6.1165570558986228E-2</v>
      </c>
      <c r="AL133" s="1058"/>
      <c r="AM133" s="1055">
        <f>+((AM119*AG114)+AM112*AG108+AM125-AG125)/(AG120+AG125)</f>
        <v>4.9799017592416166E-2</v>
      </c>
      <c r="AN133" s="1056">
        <f>+((AN119*AH114)+AN112*AH108+AN125-AH125)/(AH120+AH125)</f>
        <v>6.449189643238025E-2</v>
      </c>
      <c r="AO133" s="1056">
        <f>+((AO119*AI114)+AO112*AI108+AO125-AI125)/(AI120+AI125)</f>
        <v>4.2385168655895457E-2</v>
      </c>
      <c r="AP133" s="1056">
        <f>+((AP119*AJ114)+AP112*AJ108+AP125-AJ125)/(AJ120+AJ125)</f>
        <v>3.3997842064112591E-2</v>
      </c>
      <c r="AQ133" s="1057">
        <f>+((AQ119*AK114)+AQ112*AK108+AQ125-AK125)/(AK120+AK125)</f>
        <v>4.7578854893716507E-2</v>
      </c>
      <c r="AR133" s="1058"/>
      <c r="AS133" s="1055">
        <f>+((AS119*AM114)+AS112*AM108+AS125-AM125)/(AM120+AM125)</f>
        <v>3.7041166690603471E-2</v>
      </c>
      <c r="AT133" s="1056">
        <f>+((AT119*AN114)+AT112*AN108+AT125-AN125)/(AN120+AN125)</f>
        <v>2.4842277820426712E-2</v>
      </c>
      <c r="AU133" s="1056">
        <f>+((AU119*AO114)+AU112*AO108+AU125-AO125)/(AO120+AO125)</f>
        <v>3.2001299538305265E-2</v>
      </c>
      <c r="AV133" s="1056">
        <f>+((AV119*AP114)+AV112*AP108+AV125-AP125)/(AP120+AP125)</f>
        <v>3.4068597718281898E-2</v>
      </c>
      <c r="AW133" s="1057">
        <f>+((AW119*AQ114)+AW112*AQ108+AW125-AQ125)/(AQ120+AQ125)</f>
        <v>3.1918622475581561E-2</v>
      </c>
      <c r="AX133" s="1058"/>
      <c r="AY133" s="1055">
        <f>+((AY119*AS114)+AY112*AS108+AY125-AS125)/(AS120+AS125)</f>
        <v>3.0097883981800258E-2</v>
      </c>
      <c r="AZ133" s="1056">
        <f>+((AZ119*AT114)+AZ112*AT108+AZ125-AT125)/(AT120+AT125)</f>
        <v>7.194431578947369E-2</v>
      </c>
      <c r="BA133" s="1056">
        <f>+((BA119*AU114)+BA112*AU108+BA125-AU125)/(AU120+AU125)</f>
        <v>6.3931194585336928E-2</v>
      </c>
      <c r="BB133" s="1056">
        <f>+((BB119*AV114)+BB112*AV108+BB125-AV125)/(AV120+AV125)</f>
        <v>3.9587567256870099E-2</v>
      </c>
      <c r="BC133" s="1057">
        <f>+((BC119*AW114)+BC112*AW108+BC125-AW125)/(AW120+AW125)</f>
        <v>5.1658037568262351E-2</v>
      </c>
      <c r="BD133" s="1058"/>
      <c r="BE133" s="1055">
        <f>+((BE119*AY114)+BE112*AY108+BE125-AY125)/(AY120+AY125)</f>
        <v>7.8462260697423541E-2</v>
      </c>
      <c r="BF133" s="1056">
        <f>+BF130-BF131</f>
        <v>3.1705744311804882E-2</v>
      </c>
      <c r="BG133" s="1056">
        <f>+BG130-BG131</f>
        <v>4.2697868694441454E-3</v>
      </c>
      <c r="BH133" s="1056">
        <f>+BH130-BH131</f>
        <v>4.1495787700084226E-2</v>
      </c>
      <c r="BI133" s="1057">
        <f>+BI72</f>
        <v>3.6288882373324088E-2</v>
      </c>
      <c r="BJ133" s="1058"/>
      <c r="BK133" s="1055">
        <f>+BK130-BK131</f>
        <v>-2.4297314854915535E-2</v>
      </c>
      <c r="BL133" s="1056">
        <f>+BL130-BL131</f>
        <v>-8.4611634767056704E-3</v>
      </c>
      <c r="BM133" s="1056">
        <f>+BM72</f>
        <v>1.5190901360544224E-2</v>
      </c>
      <c r="BN133" s="1056">
        <f>+BN72</f>
        <v>2.8519561020221528E-2</v>
      </c>
      <c r="BO133" s="1057">
        <f>+BO72</f>
        <v>1.6638788004565738E-2</v>
      </c>
      <c r="BP133" s="1058"/>
      <c r="BQ133" s="1055">
        <f>+BQ72</f>
        <v>3.548434167695589E-2</v>
      </c>
      <c r="BR133" s="1056">
        <f>+BR72</f>
        <v>3.7267648552564751E-2</v>
      </c>
      <c r="BS133" s="1056">
        <f>+BS72</f>
        <v>4.6514788169464423E-2</v>
      </c>
      <c r="BT133" s="1056">
        <f>+BT72</f>
        <v>0.04</v>
      </c>
      <c r="BU133" s="1057">
        <f>+BU72</f>
        <v>3.9951224443377398E-2</v>
      </c>
      <c r="BV133" s="1058"/>
      <c r="BW133" s="1055">
        <f>+BW72</f>
        <v>3.4184657306779359E-2</v>
      </c>
      <c r="BX133" s="1056">
        <f>+BX72</f>
        <v>4.6528612937991029E-2</v>
      </c>
      <c r="BY133" s="1056">
        <f>+BY72</f>
        <v>4.2025032343696984E-2</v>
      </c>
      <c r="BZ133" s="1056">
        <f>+BZ72</f>
        <v>3.4261624315451197E-2</v>
      </c>
      <c r="CA133" s="1057">
        <f>+CA72</f>
        <v>3.9277075964291731E-2</v>
      </c>
      <c r="CB133" s="1058"/>
      <c r="CC133" s="1055">
        <f>+CC72</f>
        <v>3.4725000207392977E-2</v>
      </c>
      <c r="CD133" s="1056">
        <f>+CD72</f>
        <v>2.4701182088308283E-2</v>
      </c>
      <c r="CE133" s="1056">
        <f>+CE72</f>
        <v>2.7586007045968107E-2</v>
      </c>
      <c r="CF133" s="1056">
        <f>+CF72</f>
        <v>3.4870933450909983E-2</v>
      </c>
      <c r="CG133" s="1057">
        <f>+CG72</f>
        <v>3.0427750657164909E-2</v>
      </c>
      <c r="CH133" s="1058"/>
      <c r="CI133" s="1055">
        <f>+CI72</f>
        <v>3.6926522046280323E-2</v>
      </c>
      <c r="CJ133" s="1056">
        <f>+CJ72</f>
        <v>5.3251422060244483E-2</v>
      </c>
      <c r="CK133" s="1056">
        <f>+CK72</f>
        <v>4.8446160987898605E-2</v>
      </c>
      <c r="CL133" s="1056">
        <f>+CL72</f>
        <v>3.6987074602721229E-2</v>
      </c>
      <c r="CM133" s="1057">
        <f>+CM72</f>
        <v>4.3948112147246463E-2</v>
      </c>
      <c r="CN133" s="770"/>
      <c r="CO133" s="770"/>
      <c r="CP133"/>
      <c r="CQ133"/>
      <c r="CR133"/>
      <c r="CS133"/>
      <c r="CT133"/>
      <c r="CU133"/>
      <c r="CV133"/>
      <c r="CW133" s="770"/>
      <c r="CX133" s="770"/>
      <c r="CY133" s="770"/>
      <c r="CZ133" s="770"/>
      <c r="DA133" s="770"/>
      <c r="DB133" s="770"/>
      <c r="DC133" s="770"/>
      <c r="DD133" s="770"/>
      <c r="DE133" s="770"/>
      <c r="DF133" s="770"/>
      <c r="DG133" s="770"/>
      <c r="DH133" s="770"/>
      <c r="DI133" s="770"/>
      <c r="DJ133" s="770"/>
      <c r="DK133" s="770"/>
      <c r="DL133" s="770"/>
      <c r="DM133" s="770"/>
      <c r="DN133" s="770"/>
      <c r="DO133" s="770"/>
      <c r="DP133" s="770"/>
    </row>
    <row r="134" spans="1:120" s="1016" customFormat="1" ht="12.75" customHeight="1" x14ac:dyDescent="0.2">
      <c r="A134" s="79"/>
      <c r="B134" s="793" t="s">
        <v>594</v>
      </c>
      <c r="C134" s="794"/>
      <c r="D134" s="795"/>
      <c r="E134" s="795"/>
      <c r="F134" s="795"/>
      <c r="G134" s="780"/>
      <c r="H134" s="19"/>
      <c r="I134" s="794"/>
      <c r="J134" s="795"/>
      <c r="K134" s="795"/>
      <c r="L134" s="795"/>
      <c r="M134" s="780"/>
      <c r="N134" s="19"/>
      <c r="O134" s="794">
        <f>+O133+I133</f>
        <v>4.8179490585236441E-2</v>
      </c>
      <c r="P134" s="795">
        <f>+P133+J133</f>
        <v>5.1961082651314272E-2</v>
      </c>
      <c r="Q134" s="795">
        <f>+Q133+K133</f>
        <v>3.7122910680666914E-2</v>
      </c>
      <c r="R134" s="795">
        <f>+R133+L133</f>
        <v>3.4198571636467057E-3</v>
      </c>
      <c r="S134" s="780">
        <f>+S133+M133</f>
        <v>3.3091064834244184E-2</v>
      </c>
      <c r="T134" s="19"/>
      <c r="U134" s="794">
        <f>+U133+O133</f>
        <v>8.3946854988991571E-3</v>
      </c>
      <c r="V134" s="795">
        <f>+V133+P133</f>
        <v>2.1019477455236441E-2</v>
      </c>
      <c r="W134" s="795">
        <f>+W133+Q133</f>
        <v>4.131855228990286E-2</v>
      </c>
      <c r="X134" s="795">
        <f>+X133+R133</f>
        <v>8.4306080521972346E-2</v>
      </c>
      <c r="Y134" s="780">
        <f>+Y133+S133</f>
        <v>3.8338291714444625E-2</v>
      </c>
      <c r="Z134" s="19"/>
      <c r="AA134" s="794">
        <f>+AA133+U133</f>
        <v>0.11407848910570417</v>
      </c>
      <c r="AB134" s="795">
        <f>+AB133+V133</f>
        <v>0.12238775833936619</v>
      </c>
      <c r="AC134" s="795">
        <f>+AC133+W133</f>
        <v>8.930968909397255E-2</v>
      </c>
      <c r="AD134" s="795">
        <f>+AD133+X133</f>
        <v>0.11397677520078101</v>
      </c>
      <c r="AE134" s="780">
        <f>+AE133+Y133</f>
        <v>0.10995626776358021</v>
      </c>
      <c r="AF134" s="19"/>
      <c r="AG134" s="794">
        <f>+AG133+AA133</f>
        <v>0.13084804266448813</v>
      </c>
      <c r="AH134" s="795">
        <f>+AH133+AB133</f>
        <v>0.13627315489661412</v>
      </c>
      <c r="AI134" s="795">
        <f>+AI133+AC133</f>
        <v>0.14543223580663284</v>
      </c>
      <c r="AJ134" s="795">
        <f>+AJ133+AD133</f>
        <v>0.10949854336779902</v>
      </c>
      <c r="AK134" s="780">
        <f>+AK133+AE133</f>
        <v>0.12970122068850046</v>
      </c>
      <c r="AL134" s="905"/>
      <c r="AM134" s="794">
        <f>+AM133+AG133</f>
        <v>0.11419898154214531</v>
      </c>
      <c r="AN134" s="795">
        <f>+AN133+AH133</f>
        <v>0.11335995112919331</v>
      </c>
      <c r="AO134" s="795">
        <f>+AO133+AI133</f>
        <v>0.12766489023207991</v>
      </c>
      <c r="AP134" s="795">
        <f>+AP133+AJ133</f>
        <v>8.3063117152902599E-2</v>
      </c>
      <c r="AQ134" s="780">
        <f>+AQ133+AK133</f>
        <v>0.10874442545270274</v>
      </c>
      <c r="AR134" s="905"/>
      <c r="AS134" s="794">
        <f>+AS133+AM133</f>
        <v>8.6840184283019636E-2</v>
      </c>
      <c r="AT134" s="795">
        <f>+AT133+AN133</f>
        <v>8.9334174252806958E-2</v>
      </c>
      <c r="AU134" s="795">
        <f>+AU133+AO133</f>
        <v>7.4386468194200722E-2</v>
      </c>
      <c r="AV134" s="795">
        <f>+AV133+AP133</f>
        <v>6.8066439782394489E-2</v>
      </c>
      <c r="AW134" s="780">
        <f>+AW133+AQ133</f>
        <v>7.9497477369298075E-2</v>
      </c>
      <c r="AX134" s="905"/>
      <c r="AY134" s="794">
        <f>+AY133+AS133</f>
        <v>6.7139050672403722E-2</v>
      </c>
      <c r="AZ134" s="795">
        <f>+AZ133+AT133</f>
        <v>9.6786593609900398E-2</v>
      </c>
      <c r="BA134" s="795">
        <f>+BA133+AU133</f>
        <v>9.5932494123642187E-2</v>
      </c>
      <c r="BB134" s="795">
        <f>+BB133+AV133</f>
        <v>7.3656164975151997E-2</v>
      </c>
      <c r="BC134" s="780">
        <f>+BC133+AW133</f>
        <v>8.3576660043843912E-2</v>
      </c>
      <c r="BD134" s="903"/>
      <c r="BE134" s="794">
        <f>+BE133+AY133</f>
        <v>0.1085601446792238</v>
      </c>
      <c r="BF134" s="795">
        <f>+BF133+AZ133</f>
        <v>0.10365006010127857</v>
      </c>
      <c r="BG134" s="795">
        <f>+BG133+BA133</f>
        <v>6.8200981454781068E-2</v>
      </c>
      <c r="BH134" s="795">
        <f>+BH133+BB133</f>
        <v>8.1083354956954318E-2</v>
      </c>
      <c r="BI134" s="780">
        <f>+BI133+BC133</f>
        <v>8.7946919941586432E-2</v>
      </c>
      <c r="BJ134" s="903"/>
      <c r="BK134" s="794">
        <f>+BK133+BE133</f>
        <v>5.4164945842508007E-2</v>
      </c>
      <c r="BL134" s="795">
        <f>+BL133+BF133</f>
        <v>2.3244580835099213E-2</v>
      </c>
      <c r="BM134" s="795">
        <f>+BM133+BG133</f>
        <v>1.9460688229988369E-2</v>
      </c>
      <c r="BN134" s="795">
        <f>+BN133+BH133</f>
        <v>7.0015348720305751E-2</v>
      </c>
      <c r="BO134" s="780">
        <f>+BO133+BI133</f>
        <v>5.2927670377889827E-2</v>
      </c>
      <c r="BP134" s="903"/>
      <c r="BQ134" s="794">
        <f>+BQ133+BK133</f>
        <v>1.1187026822040355E-2</v>
      </c>
      <c r="BR134" s="795">
        <f>+BR133+BL133</f>
        <v>2.8806485075859083E-2</v>
      </c>
      <c r="BS134" s="795">
        <f>+BS133+BM133</f>
        <v>6.1705689530008649E-2</v>
      </c>
      <c r="BT134" s="795">
        <f>+BT133+BN133</f>
        <v>6.8519561020221526E-2</v>
      </c>
      <c r="BU134" s="780">
        <f>+BU133+BO133</f>
        <v>5.6590012447943136E-2</v>
      </c>
      <c r="BV134" s="903"/>
      <c r="BW134" s="794">
        <f>+BW133+BQ133</f>
        <v>6.9668998983735242E-2</v>
      </c>
      <c r="BX134" s="795">
        <f>+BX133+BR133</f>
        <v>8.3796261490555773E-2</v>
      </c>
      <c r="BY134" s="795">
        <f>+BY133+BS133</f>
        <v>8.8539820513161407E-2</v>
      </c>
      <c r="BZ134" s="795">
        <f>+BZ133+BT133</f>
        <v>7.4261624315451191E-2</v>
      </c>
      <c r="CA134" s="780">
        <f>+CA133+BU133</f>
        <v>7.9228300407669122E-2</v>
      </c>
      <c r="CB134" s="903"/>
      <c r="CC134" s="794">
        <f>+CC133+BW133</f>
        <v>6.8909657514172329E-2</v>
      </c>
      <c r="CD134" s="795">
        <f>+CD133+BX133</f>
        <v>7.1229795026299308E-2</v>
      </c>
      <c r="CE134" s="795">
        <f>+CE133+BY133</f>
        <v>6.9611039389665091E-2</v>
      </c>
      <c r="CF134" s="795">
        <f>+CF133+BZ133</f>
        <v>6.913255776636118E-2</v>
      </c>
      <c r="CG134" s="780">
        <f>+CG133+CA133</f>
        <v>6.9704826621456634E-2</v>
      </c>
      <c r="CH134" s="903"/>
      <c r="CI134" s="794">
        <f>+CI133+CC133</f>
        <v>7.16515222536733E-2</v>
      </c>
      <c r="CJ134" s="795">
        <f>+CJ133+CD133</f>
        <v>7.7952604148552762E-2</v>
      </c>
      <c r="CK134" s="795">
        <f>+CK133+CE133</f>
        <v>7.6032168033866712E-2</v>
      </c>
      <c r="CL134" s="795">
        <f>+CL133+CF133</f>
        <v>7.1858008053631212E-2</v>
      </c>
      <c r="CM134" s="780">
        <f>+CM133+CG133</f>
        <v>7.4375862804411372E-2</v>
      </c>
      <c r="CN134" s="770"/>
      <c r="CO134" s="770"/>
      <c r="CP134"/>
      <c r="CQ134"/>
      <c r="CR134"/>
      <c r="CS134"/>
      <c r="CT134"/>
      <c r="CU134"/>
      <c r="CV134"/>
      <c r="CW134" s="770"/>
      <c r="CX134" s="770"/>
      <c r="CY134" s="770"/>
      <c r="CZ134" s="770"/>
      <c r="DA134" s="770"/>
      <c r="DB134" s="770"/>
      <c r="DC134" s="770"/>
      <c r="DD134" s="770"/>
      <c r="DE134" s="770"/>
      <c r="DF134" s="770"/>
      <c r="DG134" s="770"/>
      <c r="DH134" s="770"/>
      <c r="DI134" s="770"/>
      <c r="DJ134" s="770"/>
      <c r="DK134" s="770"/>
      <c r="DL134" s="770"/>
      <c r="DM134" s="770"/>
      <c r="DN134" s="770"/>
      <c r="DO134" s="770"/>
      <c r="DP134" s="770"/>
    </row>
    <row r="135" spans="1:120" ht="11.25" customHeight="1" x14ac:dyDescent="0.2">
      <c r="H135"/>
      <c r="N135"/>
      <c r="T135"/>
      <c r="Z135"/>
      <c r="AF135"/>
      <c r="AG135" s="1017"/>
      <c r="AL135"/>
      <c r="AR135"/>
      <c r="AX135"/>
      <c r="BD135"/>
      <c r="BE135" s="1101"/>
      <c r="BJ135"/>
      <c r="BP135"/>
      <c r="BV135"/>
      <c r="CB135"/>
      <c r="CH135"/>
      <c r="CN135"/>
    </row>
    <row r="136" spans="1:120" s="783" customFormat="1" x14ac:dyDescent="0.2">
      <c r="A136" s="1033" t="s">
        <v>587</v>
      </c>
      <c r="B136" s="1555"/>
      <c r="C136" s="1056"/>
      <c r="D136" s="1056"/>
      <c r="E136" s="1056"/>
      <c r="F136" s="1056"/>
      <c r="G136" s="1056"/>
      <c r="H136" s="1058"/>
      <c r="I136" s="1056"/>
      <c r="J136" s="1056"/>
      <c r="K136" s="1056"/>
      <c r="L136" s="1056"/>
      <c r="M136" s="1056"/>
      <c r="N136" s="1058"/>
      <c r="O136" s="1056"/>
      <c r="P136" s="1056"/>
      <c r="Q136" s="1056"/>
      <c r="R136" s="1056"/>
      <c r="S136" s="1056"/>
      <c r="T136" s="1058"/>
      <c r="U136" s="1056"/>
      <c r="V136" s="1056"/>
      <c r="W136" s="1056"/>
      <c r="X136" s="1056"/>
      <c r="Y136" s="1056"/>
      <c r="Z136" s="1058"/>
      <c r="AA136" s="1056"/>
      <c r="AB136" s="1056"/>
      <c r="AC136" s="1056"/>
      <c r="AD136" s="1056"/>
      <c r="AE136" s="1056"/>
      <c r="AF136" s="1058"/>
      <c r="AG136" s="1056"/>
      <c r="AH136" s="1056"/>
      <c r="AI136" s="1056"/>
      <c r="AJ136" s="1056"/>
      <c r="AK136" s="1056"/>
      <c r="AL136" s="1058"/>
      <c r="AM136" s="1056"/>
      <c r="AN136" s="1056"/>
      <c r="AO136" s="1056"/>
      <c r="AP136" s="1056"/>
      <c r="AQ136" s="1056"/>
      <c r="AR136" s="1058"/>
      <c r="AS136" s="1056"/>
      <c r="AT136" s="1056"/>
      <c r="AU136" s="1056"/>
      <c r="AV136" s="1056"/>
      <c r="AW136" s="1056"/>
      <c r="AX136" s="1058"/>
      <c r="AY136" s="1056"/>
      <c r="AZ136" s="1056"/>
      <c r="BA136" s="1056"/>
      <c r="BB136" s="1056"/>
      <c r="BC136" s="1056"/>
      <c r="BD136" s="1058"/>
      <c r="BE136" s="1056"/>
      <c r="BF136" s="1056"/>
      <c r="BG136" s="1056"/>
      <c r="BH136" s="1056"/>
      <c r="BI136" s="1056"/>
      <c r="BJ136" s="1058"/>
      <c r="BK136" s="1056"/>
      <c r="BL136" s="1056"/>
      <c r="BM136" s="1056"/>
      <c r="BN136" s="1056"/>
      <c r="BO136" s="1056"/>
      <c r="BP136" s="1058"/>
      <c r="BQ136" s="1056"/>
      <c r="BR136" s="1056"/>
      <c r="BS136" s="1056"/>
      <c r="BT136" s="1056"/>
      <c r="BU136" s="1056"/>
      <c r="BV136" s="1058"/>
      <c r="BW136" s="1056"/>
      <c r="BX136" s="1056"/>
      <c r="BY136" s="1056"/>
      <c r="BZ136" s="1056"/>
      <c r="CA136" s="1056"/>
      <c r="CB136" s="1058"/>
      <c r="CC136" s="1056"/>
      <c r="CD136" s="1056"/>
      <c r="CE136" s="1056"/>
      <c r="CF136" s="1056"/>
      <c r="CG136" s="1056"/>
      <c r="CH136" s="1058"/>
      <c r="CI136" s="1056"/>
      <c r="CJ136" s="1056"/>
      <c r="CK136" s="1056"/>
      <c r="CL136" s="1056"/>
      <c r="CM136" s="1056"/>
      <c r="CN136" s="16"/>
      <c r="CO136" s="36"/>
      <c r="CP136" s="36"/>
      <c r="CQ136" s="36"/>
      <c r="CR136" s="36"/>
      <c r="CS136" s="36"/>
      <c r="CT136" s="36"/>
      <c r="CU136" s="36"/>
      <c r="CV136" s="36"/>
      <c r="CW136" s="36"/>
      <c r="CX136" s="36"/>
      <c r="CY136" s="36"/>
      <c r="CZ136" s="36"/>
      <c r="DA136" s="36"/>
      <c r="DB136" s="36"/>
      <c r="DC136" s="36"/>
      <c r="DD136" s="36"/>
    </row>
    <row r="137" spans="1:120" ht="11.25" customHeight="1" x14ac:dyDescent="0.2">
      <c r="A137" s="79"/>
      <c r="B137" s="36"/>
      <c r="C137" s="36"/>
      <c r="D137" s="36"/>
      <c r="E137" s="36"/>
      <c r="F137" s="36"/>
      <c r="G137" s="36"/>
      <c r="H137" s="19"/>
      <c r="I137" s="36"/>
      <c r="J137" s="36"/>
      <c r="K137" s="36"/>
      <c r="L137" s="36"/>
      <c r="M137" s="36"/>
      <c r="N137" s="19"/>
      <c r="O137" s="36"/>
      <c r="P137" s="36"/>
      <c r="Q137" s="36"/>
      <c r="R137" s="36"/>
      <c r="S137" s="36"/>
      <c r="T137" s="19"/>
      <c r="U137" s="36"/>
      <c r="V137" s="36"/>
      <c r="W137" s="36"/>
      <c r="X137" s="36"/>
      <c r="Y137" s="36"/>
      <c r="Z137" s="19"/>
      <c r="AA137" s="36"/>
      <c r="AB137" s="36"/>
      <c r="AC137" s="36"/>
      <c r="AD137" s="36"/>
      <c r="AE137" s="36"/>
      <c r="AF137" s="19"/>
      <c r="AG137" s="36"/>
      <c r="AH137" s="36"/>
      <c r="AI137" s="36"/>
      <c r="AJ137" s="36"/>
      <c r="AK137" s="64"/>
      <c r="AL137" s="37"/>
      <c r="AM137" s="64"/>
      <c r="AN137" s="64"/>
      <c r="AO137" s="64"/>
      <c r="AP137" s="64"/>
      <c r="AQ137" s="64"/>
      <c r="AR137" s="37"/>
      <c r="AS137" s="64"/>
      <c r="AT137" s="64"/>
      <c r="AU137" s="64"/>
      <c r="AV137" s="64"/>
      <c r="AW137" s="1556"/>
      <c r="AX137" s="37"/>
      <c r="AY137" s="1556"/>
      <c r="AZ137" s="1556"/>
      <c r="BA137" s="1556"/>
      <c r="BB137" s="1556"/>
      <c r="BC137" s="1556"/>
      <c r="BD137" s="37"/>
      <c r="BE137" s="1556"/>
      <c r="BF137" s="1556"/>
      <c r="BG137" s="1556"/>
      <c r="BH137" s="1556"/>
      <c r="BI137" s="1556"/>
      <c r="BJ137" s="37"/>
      <c r="BK137" s="1556"/>
      <c r="BL137" s="1556"/>
      <c r="BM137" s="1556"/>
      <c r="BN137" s="1556"/>
      <c r="BO137" s="1556"/>
      <c r="BP137" s="37"/>
      <c r="BQ137" s="1556"/>
      <c r="BR137" s="1556"/>
      <c r="BS137" s="1556"/>
      <c r="BT137" s="1556"/>
      <c r="BU137" s="1556"/>
      <c r="BV137" s="37"/>
      <c r="BW137" s="1556"/>
      <c r="BX137" s="1556"/>
      <c r="BY137" s="1556"/>
      <c r="BZ137" s="1556"/>
      <c r="CA137" s="1556"/>
      <c r="CB137" s="37"/>
      <c r="CC137" s="1556"/>
      <c r="CD137" s="1556"/>
      <c r="CE137" s="1556"/>
      <c r="CF137" s="1556"/>
      <c r="CG137" s="1556"/>
      <c r="CH137" s="37"/>
      <c r="CI137" s="1556"/>
      <c r="CJ137" s="1556"/>
      <c r="CK137" s="1556"/>
      <c r="CL137" s="1556"/>
      <c r="CM137" s="1556"/>
      <c r="CN137" s="1"/>
      <c r="CO137" s="64"/>
      <c r="CP137" s="64"/>
      <c r="CQ137" s="64"/>
      <c r="CR137" s="64"/>
      <c r="CS137" s="64"/>
      <c r="CT137" s="64"/>
      <c r="CU137" s="64"/>
      <c r="CV137" s="64"/>
      <c r="CW137" s="64"/>
      <c r="CX137" s="64"/>
      <c r="CY137" s="64"/>
      <c r="CZ137" s="64"/>
      <c r="DA137" s="64"/>
      <c r="DB137" s="64"/>
      <c r="DC137" s="36"/>
      <c r="DD137" s="36"/>
    </row>
    <row r="138" spans="1:120" s="928" customFormat="1" ht="11.25" customHeight="1" x14ac:dyDescent="0.2">
      <c r="A138" s="79"/>
      <c r="AK138" s="30"/>
      <c r="AL138" s="30"/>
      <c r="AM138" s="30"/>
      <c r="AN138" s="30"/>
      <c r="AO138" s="30"/>
      <c r="AP138" s="30"/>
      <c r="AQ138" s="30"/>
      <c r="AR138" s="30"/>
      <c r="AS138" s="30"/>
      <c r="AT138" s="30"/>
      <c r="AU138" s="30"/>
      <c r="AV138" s="30"/>
      <c r="AW138" s="30"/>
      <c r="AX138" s="30"/>
      <c r="AY138" s="30"/>
      <c r="AZ138" s="30"/>
      <c r="BA138" s="30"/>
      <c r="BB138" s="30"/>
      <c r="BC138" s="30"/>
      <c r="BD138" s="30"/>
      <c r="BE138" s="30"/>
      <c r="BF138" s="30"/>
      <c r="BG138" s="30"/>
      <c r="BH138" s="30"/>
      <c r="BI138" s="30"/>
      <c r="BJ138" s="30"/>
      <c r="BK138" s="30"/>
      <c r="BL138" s="30"/>
      <c r="BM138" s="30"/>
      <c r="BN138" s="30"/>
      <c r="BO138" s="30"/>
      <c r="BP138" s="30"/>
      <c r="BQ138" s="30"/>
      <c r="BR138" s="30"/>
      <c r="BS138" s="30"/>
      <c r="BT138" s="30"/>
      <c r="BU138" s="30"/>
      <c r="BV138" s="30"/>
      <c r="BW138" s="30"/>
      <c r="BX138" s="30"/>
      <c r="BY138" s="30"/>
      <c r="BZ138" s="30"/>
      <c r="CA138" s="30"/>
      <c r="CB138" s="30"/>
      <c r="CC138" s="30"/>
      <c r="CD138" s="30"/>
      <c r="CE138" s="30"/>
      <c r="CF138" s="30"/>
      <c r="CG138" s="30"/>
      <c r="CH138" s="30"/>
      <c r="CI138" s="30"/>
      <c r="CJ138" s="30"/>
      <c r="CK138" s="30"/>
      <c r="CL138" s="30"/>
      <c r="CM138" s="30"/>
      <c r="CN138" s="602"/>
      <c r="CO138" s="30"/>
      <c r="CP138" s="30"/>
      <c r="CQ138" s="30"/>
      <c r="CR138" s="30"/>
      <c r="CS138" s="30"/>
      <c r="CT138" s="30"/>
      <c r="CU138" s="30"/>
      <c r="CV138" s="30"/>
      <c r="CW138" s="30"/>
      <c r="CX138" s="30"/>
      <c r="CY138" s="30"/>
      <c r="CZ138" s="30"/>
      <c r="DA138" s="30"/>
      <c r="DB138" s="30"/>
    </row>
    <row r="139" spans="1:120" s="928" customFormat="1" ht="11.25" customHeight="1" x14ac:dyDescent="0.2">
      <c r="A139" s="79"/>
      <c r="AK139" s="30"/>
      <c r="AL139" s="30"/>
      <c r="AM139" s="30"/>
      <c r="AN139" s="30"/>
      <c r="AO139" s="30"/>
      <c r="AP139" s="30"/>
      <c r="AQ139" s="30"/>
      <c r="AR139" s="30"/>
      <c r="AS139" s="30"/>
      <c r="AT139" s="30"/>
      <c r="AU139" s="30"/>
      <c r="AV139" s="30"/>
      <c r="AW139" s="30"/>
      <c r="AX139" s="30"/>
      <c r="AY139" s="30"/>
      <c r="AZ139" s="30"/>
      <c r="BA139" s="30"/>
      <c r="BB139" s="30"/>
      <c r="BC139" s="30"/>
      <c r="BD139" s="30"/>
      <c r="BE139" s="30"/>
      <c r="BF139" s="30"/>
      <c r="BG139" s="30"/>
      <c r="BH139" s="30"/>
      <c r="BI139" s="386"/>
      <c r="BJ139" s="30"/>
      <c r="BK139" s="386"/>
      <c r="BL139" s="386"/>
      <c r="BM139" s="386"/>
      <c r="BN139" s="386"/>
      <c r="BO139" s="386"/>
      <c r="BP139" s="30"/>
      <c r="BQ139" s="386"/>
      <c r="BR139" s="386"/>
      <c r="BS139" s="386"/>
      <c r="BT139" s="386"/>
      <c r="BU139" s="386"/>
      <c r="BV139" s="30"/>
      <c r="BW139" s="386"/>
      <c r="BX139" s="386"/>
      <c r="BY139" s="386"/>
      <c r="BZ139" s="386"/>
      <c r="CA139" s="386"/>
      <c r="CB139" s="30"/>
      <c r="CC139" s="386"/>
      <c r="CD139" s="386"/>
      <c r="CE139" s="386"/>
      <c r="CF139" s="386"/>
      <c r="CG139" s="386"/>
      <c r="CH139" s="30"/>
      <c r="CI139" s="386"/>
      <c r="CJ139" s="386"/>
      <c r="CK139" s="386"/>
      <c r="CL139" s="386"/>
      <c r="CM139" s="386"/>
      <c r="CN139" s="602"/>
      <c r="CO139" s="30"/>
      <c r="CP139" s="30"/>
      <c r="CQ139" s="30"/>
      <c r="CR139" s="30"/>
      <c r="CS139" s="30"/>
      <c r="CT139" s="30"/>
      <c r="CU139" s="30"/>
      <c r="CV139" s="30"/>
      <c r="CW139" s="30"/>
      <c r="CX139" s="30"/>
      <c r="CY139" s="30"/>
      <c r="CZ139" s="30"/>
      <c r="DA139" s="30"/>
      <c r="DB139" s="30"/>
    </row>
    <row r="140" spans="1:120" s="928" customFormat="1" ht="11.25" customHeight="1" x14ac:dyDescent="0.2">
      <c r="A140" s="79"/>
      <c r="AK140" s="30"/>
      <c r="AL140" s="30"/>
      <c r="AM140" s="30"/>
      <c r="AN140" s="30"/>
      <c r="AO140" s="30"/>
      <c r="AP140" s="30"/>
      <c r="AQ140" s="30"/>
      <c r="AR140" s="30"/>
      <c r="AS140" s="30"/>
      <c r="AT140" s="30"/>
      <c r="AU140" s="30"/>
      <c r="AV140" s="30"/>
      <c r="AW140" s="30"/>
      <c r="AX140" s="30"/>
      <c r="AY140" s="30"/>
      <c r="AZ140" s="30"/>
      <c r="BA140" s="30"/>
      <c r="BB140" s="30"/>
      <c r="BC140" s="30"/>
      <c r="BD140" s="30"/>
      <c r="BE140" s="30"/>
      <c r="BF140" s="30"/>
      <c r="BG140" s="30"/>
      <c r="BH140" s="30"/>
      <c r="BI140" s="386"/>
      <c r="BJ140" s="30"/>
      <c r="BK140" s="386"/>
      <c r="BL140" s="386"/>
      <c r="BM140" s="386"/>
      <c r="BN140" s="386"/>
      <c r="BO140" s="386"/>
      <c r="BP140" s="30"/>
      <c r="BQ140" s="386"/>
      <c r="BR140" s="386"/>
      <c r="BS140" s="386"/>
      <c r="BT140" s="386"/>
      <c r="BU140" s="386"/>
      <c r="BV140" s="30"/>
      <c r="BW140" s="386"/>
      <c r="BX140" s="386"/>
      <c r="BY140" s="386"/>
      <c r="BZ140" s="386"/>
      <c r="CA140" s="386"/>
      <c r="CB140" s="30"/>
      <c r="CC140" s="386"/>
      <c r="CD140" s="386"/>
      <c r="CE140" s="386"/>
      <c r="CF140" s="386"/>
      <c r="CG140" s="386"/>
      <c r="CH140" s="30"/>
      <c r="CI140" s="386"/>
      <c r="CJ140" s="386"/>
      <c r="CK140" s="386"/>
      <c r="CL140" s="386"/>
      <c r="CM140" s="386"/>
      <c r="CN140" s="602"/>
      <c r="CO140" s="30"/>
      <c r="CP140" s="30"/>
      <c r="CQ140" s="30"/>
      <c r="CR140" s="30"/>
      <c r="CS140" s="30"/>
      <c r="CT140" s="30"/>
      <c r="CU140" s="30"/>
      <c r="CV140" s="30"/>
      <c r="CW140" s="30"/>
      <c r="CX140" s="30"/>
      <c r="CY140" s="30"/>
      <c r="CZ140" s="30"/>
      <c r="DA140" s="30"/>
      <c r="DB140" s="30"/>
    </row>
    <row r="141" spans="1:120" s="928" customFormat="1" ht="11.25" customHeight="1" outlineLevel="1" x14ac:dyDescent="0.2">
      <c r="A141" s="79"/>
      <c r="B141" s="1639" t="s">
        <v>782</v>
      </c>
      <c r="C141" s="1640"/>
      <c r="D141" s="1641"/>
      <c r="E141" s="1641"/>
      <c r="F141" s="1641"/>
      <c r="G141" s="1642"/>
      <c r="H141" s="1643"/>
      <c r="I141" s="1640"/>
      <c r="J141" s="1641"/>
      <c r="K141" s="1641"/>
      <c r="L141" s="1641"/>
      <c r="M141" s="1642"/>
      <c r="N141" s="1643"/>
      <c r="O141" s="1640"/>
      <c r="P141" s="1641"/>
      <c r="Q141" s="1641"/>
      <c r="R141" s="1641"/>
      <c r="S141" s="1642"/>
      <c r="T141" s="1643"/>
      <c r="U141" s="1640"/>
      <c r="V141" s="1641"/>
      <c r="W141" s="1641"/>
      <c r="X141" s="1641"/>
      <c r="Y141" s="1642"/>
      <c r="Z141" s="1643"/>
      <c r="AA141" s="1640"/>
      <c r="AB141" s="1641"/>
      <c r="AC141" s="1641"/>
      <c r="AD141" s="1641"/>
      <c r="AE141" s="1642"/>
      <c r="AF141" s="1643"/>
      <c r="AG141" s="1640"/>
      <c r="AH141" s="1641"/>
      <c r="AI141" s="1641"/>
      <c r="AJ141" s="1641"/>
      <c r="AK141" s="1642"/>
      <c r="AL141" s="1643"/>
      <c r="AM141" s="1640"/>
      <c r="AN141" s="1641"/>
      <c r="AO141" s="1641"/>
      <c r="AP141" s="1641"/>
      <c r="AQ141" s="1642"/>
      <c r="AR141" s="1643"/>
      <c r="AS141" s="1640"/>
      <c r="AT141" s="1641"/>
      <c r="AU141" s="1641"/>
      <c r="AV141" s="1641"/>
      <c r="AW141" s="1642"/>
      <c r="AX141" s="1643"/>
      <c r="AY141" s="1641"/>
      <c r="AZ141" s="1641"/>
      <c r="BA141" s="1641"/>
      <c r="BB141" s="1641"/>
      <c r="BC141" s="1642"/>
      <c r="BD141" s="1643"/>
      <c r="BE141" s="1644"/>
      <c r="BF141" s="1645"/>
      <c r="BG141" s="1645"/>
      <c r="BH141" s="1641"/>
      <c r="BI141" s="1642"/>
      <c r="BJ141" s="1643"/>
      <c r="BK141" s="1640"/>
      <c r="BL141" s="1641"/>
      <c r="BM141" s="1641"/>
      <c r="BN141" s="1641"/>
      <c r="BO141" s="1642"/>
      <c r="BP141" s="1643"/>
      <c r="BQ141" s="1640"/>
      <c r="BR141" s="1641"/>
      <c r="BS141" s="1641"/>
      <c r="BT141" s="1641"/>
      <c r="BU141" s="1642"/>
      <c r="BV141" s="1643"/>
      <c r="BW141" s="1640"/>
      <c r="BX141" s="1641"/>
      <c r="BY141" s="1641"/>
      <c r="BZ141" s="1641"/>
      <c r="CA141" s="1642"/>
      <c r="CB141" s="1643"/>
      <c r="CC141" s="1640"/>
      <c r="CD141" s="1641"/>
      <c r="CE141" s="1641"/>
      <c r="CF141" s="1641"/>
      <c r="CG141" s="1642"/>
      <c r="CH141" s="1643"/>
      <c r="CI141" s="1640"/>
      <c r="CJ141" s="1641"/>
      <c r="CK141" s="1641"/>
      <c r="CL141" s="1641"/>
      <c r="CM141" s="1642"/>
      <c r="CN141" s="602"/>
      <c r="CO141" s="30"/>
      <c r="CP141" s="30"/>
      <c r="CQ141" s="30"/>
      <c r="CR141" s="30"/>
      <c r="CS141" s="30"/>
      <c r="CT141" s="30"/>
      <c r="CU141" s="30"/>
      <c r="CV141" s="30"/>
      <c r="CW141" s="30"/>
      <c r="CX141" s="30"/>
      <c r="CY141" s="30"/>
      <c r="CZ141" s="30"/>
      <c r="DA141" s="30"/>
      <c r="DB141" s="30"/>
    </row>
    <row r="142" spans="1:120" s="1069" customFormat="1" ht="11.25" customHeight="1" outlineLevel="1" x14ac:dyDescent="0.2">
      <c r="A142" s="79"/>
      <c r="B142" s="1561" t="s">
        <v>755</v>
      </c>
      <c r="C142" s="1566"/>
      <c r="D142" s="1567"/>
      <c r="E142" s="1567"/>
      <c r="F142" s="1567"/>
      <c r="G142" s="1568"/>
      <c r="H142" s="1567"/>
      <c r="I142" s="1566"/>
      <c r="J142" s="1567"/>
      <c r="K142" s="1567"/>
      <c r="L142" s="1567"/>
      <c r="M142" s="1568"/>
      <c r="N142" s="1569"/>
      <c r="O142" s="1566"/>
      <c r="P142" s="1567"/>
      <c r="Q142" s="1567"/>
      <c r="R142" s="1567"/>
      <c r="S142" s="1568"/>
      <c r="T142" s="1570"/>
      <c r="U142" s="1566"/>
      <c r="V142" s="1567"/>
      <c r="W142" s="1567"/>
      <c r="X142" s="1567"/>
      <c r="Y142" s="1568"/>
      <c r="Z142" s="1570"/>
      <c r="AA142" s="1566"/>
      <c r="AB142" s="1567"/>
      <c r="AC142" s="1567"/>
      <c r="AD142" s="1567"/>
      <c r="AE142" s="1568"/>
      <c r="AF142" s="1571"/>
      <c r="AG142" s="1566"/>
      <c r="AH142" s="1567"/>
      <c r="AI142" s="1567"/>
      <c r="AJ142" s="1567"/>
      <c r="AK142" s="1568"/>
      <c r="AL142" s="1571"/>
      <c r="AM142" s="1566"/>
      <c r="AN142" s="1567"/>
      <c r="AO142" s="1567"/>
      <c r="AP142" s="1567"/>
      <c r="AQ142" s="1568"/>
      <c r="AR142" s="1571"/>
      <c r="AS142" s="1572">
        <f>+AY142/(1+AY143)</f>
        <v>362.12612484435908</v>
      </c>
      <c r="AT142" s="1573">
        <f>+AZ142/(1+AZ143)</f>
        <v>384.31004464285712</v>
      </c>
      <c r="AU142" s="1573">
        <f>+BA142/(1+BA143)</f>
        <v>366.11599702380954</v>
      </c>
      <c r="AV142" s="1573">
        <f>+BB142/(1+BB143)</f>
        <v>372.35059523809525</v>
      </c>
      <c r="AW142" s="1568"/>
      <c r="AX142" s="1571"/>
      <c r="AY142" s="1646">
        <f>(BE142/BE$163)*AY$63</f>
        <v>362.12612484435908</v>
      </c>
      <c r="AZ142" s="1647">
        <f t="shared" ref="AZ142:BB142" si="206">(BF142/BF$163)*AZ$63</f>
        <v>384.31004464285712</v>
      </c>
      <c r="BA142" s="1647">
        <f t="shared" si="206"/>
        <v>366.11599702380954</v>
      </c>
      <c r="BB142" s="1647">
        <f t="shared" si="206"/>
        <v>372.35059523809525</v>
      </c>
      <c r="BC142" s="1648">
        <f>+SUM(AY142:BB142)</f>
        <v>1484.9027617491211</v>
      </c>
      <c r="BD142" s="1574"/>
      <c r="BE142" s="1649">
        <f>1140-SUM(BF142:BG142)</f>
        <v>376.51659226190486</v>
      </c>
      <c r="BF142" s="1647">
        <f>(BG142/BG$163)*BF$63</f>
        <v>394.58340773809522</v>
      </c>
      <c r="BG142" s="1650">
        <v>368.9</v>
      </c>
      <c r="BH142" s="1647">
        <f>(BG142/BG$163)*BH$63</f>
        <v>385.87849702380947</v>
      </c>
      <c r="BI142" s="1568">
        <f>+SUM(BE142:BH142)</f>
        <v>1525.8784970238094</v>
      </c>
      <c r="BJ142" s="1574"/>
      <c r="BK142" s="1649">
        <f>1128.8-SUM(BL142:BM142)</f>
        <v>362.88839928057541</v>
      </c>
      <c r="BL142" s="1647">
        <f>(BM142/BM$163)*BL$63</f>
        <v>379.81160071942446</v>
      </c>
      <c r="BM142" s="1650">
        <v>386.1</v>
      </c>
      <c r="BN142" s="1573">
        <f>+BN63-BN149-BN156</f>
        <v>448.37987135416677</v>
      </c>
      <c r="BO142" s="1568">
        <f>+SUM(BK142:BN142)</f>
        <v>1577.1798713541666</v>
      </c>
      <c r="BP142" s="1574"/>
      <c r="BQ142" s="1572">
        <f>+BQ63-BQ149-BQ156</f>
        <v>386.38873521183029</v>
      </c>
      <c r="BR142" s="1573">
        <f t="shared" ref="BR142:BT142" si="207">+BR63-BR149-BR156</f>
        <v>421.48806474820151</v>
      </c>
      <c r="BS142" s="1573">
        <f t="shared" si="207"/>
        <v>433.56400000000008</v>
      </c>
      <c r="BT142" s="1573">
        <f t="shared" si="207"/>
        <v>494.97106620833341</v>
      </c>
      <c r="BU142" s="1568">
        <f>+SUM(BQ142:BT142)</f>
        <v>1736.4118661683653</v>
      </c>
      <c r="BV142" s="1574"/>
      <c r="BW142" s="1572">
        <f t="shared" ref="BW142:CL142" si="208">+BW63-BW149-BW156</f>
        <v>400.52760466227005</v>
      </c>
      <c r="BX142" s="1573">
        <f t="shared" si="208"/>
        <v>449.42615929656296</v>
      </c>
      <c r="BY142" s="1573">
        <f t="shared" si="208"/>
        <v>457.37016000000006</v>
      </c>
      <c r="BZ142" s="1573">
        <f t="shared" si="208"/>
        <v>512.56571560101213</v>
      </c>
      <c r="CA142" s="1568">
        <f t="shared" ref="CA142" si="209">+SUM(BW142:BZ142)</f>
        <v>1819.8896395598449</v>
      </c>
      <c r="CB142" s="1574"/>
      <c r="CC142" s="1572">
        <f t="shared" ref="CC142" si="210">+CC63-CC149-CC156</f>
        <v>415.69465559198619</v>
      </c>
      <c r="CD142" s="1573">
        <f t="shared" si="208"/>
        <v>454.93398108561166</v>
      </c>
      <c r="CE142" s="1573">
        <f t="shared" si="208"/>
        <v>466.2066552</v>
      </c>
      <c r="CF142" s="1573">
        <f t="shared" si="208"/>
        <v>531.49618017172816</v>
      </c>
      <c r="CG142" s="1568">
        <f t="shared" ref="CG142" si="211">+SUM(CC142:CF142)</f>
        <v>1868.3314720493258</v>
      </c>
      <c r="CH142" s="1574"/>
      <c r="CI142" s="1572">
        <f t="shared" ref="CI142" si="212">+CI63-CI149-CI156</f>
        <v>433.63179302518762</v>
      </c>
      <c r="CJ142" s="1573">
        <f t="shared" si="208"/>
        <v>492.53580864123796</v>
      </c>
      <c r="CK142" s="1573">
        <f t="shared" si="208"/>
        <v>499.11005054299994</v>
      </c>
      <c r="CL142" s="1573">
        <f t="shared" si="208"/>
        <v>553.71747726667309</v>
      </c>
      <c r="CM142" s="1568">
        <f t="shared" ref="CM142" si="213">+SUM(CI142:CL142)</f>
        <v>1978.9951294760986</v>
      </c>
      <c r="CN142" s="602"/>
      <c r="CO142" s="30"/>
      <c r="CP142" s="30"/>
      <c r="CQ142" s="30"/>
      <c r="CR142" s="30"/>
      <c r="CS142" s="30"/>
      <c r="CT142" s="30"/>
      <c r="CU142" s="30"/>
      <c r="CV142" s="30"/>
      <c r="CW142" s="30"/>
      <c r="CX142" s="30"/>
      <c r="CY142" s="30"/>
      <c r="CZ142" s="30"/>
      <c r="DA142" s="30"/>
      <c r="DB142" s="30"/>
    </row>
    <row r="143" spans="1:120" ht="11.25" customHeight="1" outlineLevel="1" x14ac:dyDescent="0.2">
      <c r="A143" s="27"/>
      <c r="B143" s="1576" t="s">
        <v>540</v>
      </c>
      <c r="C143" s="1577"/>
      <c r="D143" s="1578"/>
      <c r="E143" s="1578"/>
      <c r="F143" s="1578"/>
      <c r="G143" s="1579"/>
      <c r="H143" s="1580"/>
      <c r="I143" s="1577"/>
      <c r="J143" s="1578"/>
      <c r="K143" s="1578"/>
      <c r="L143" s="1578"/>
      <c r="M143" s="1579"/>
      <c r="N143" s="1580"/>
      <c r="O143" s="1577"/>
      <c r="P143" s="1578"/>
      <c r="Q143" s="1578"/>
      <c r="R143" s="1578"/>
      <c r="S143" s="1579"/>
      <c r="T143" s="1580"/>
      <c r="U143" s="1577"/>
      <c r="V143" s="1578"/>
      <c r="W143" s="1578"/>
      <c r="X143" s="1578"/>
      <c r="Y143" s="1579"/>
      <c r="Z143" s="1580"/>
      <c r="AA143" s="1577"/>
      <c r="AB143" s="1581"/>
      <c r="AC143" s="1581"/>
      <c r="AD143" s="1581"/>
      <c r="AE143" s="1579"/>
      <c r="AF143" s="1580"/>
      <c r="AG143" s="1582"/>
      <c r="AH143" s="1581"/>
      <c r="AI143" s="1581"/>
      <c r="AJ143" s="1581"/>
      <c r="AK143" s="1579"/>
      <c r="AL143" s="1580"/>
      <c r="AM143" s="1582"/>
      <c r="AN143" s="1581"/>
      <c r="AO143" s="1581"/>
      <c r="AP143" s="1581"/>
      <c r="AQ143" s="1579"/>
      <c r="AR143" s="1580"/>
      <c r="AS143" s="1582"/>
      <c r="AT143" s="1581"/>
      <c r="AU143" s="1581"/>
      <c r="AV143" s="1581"/>
      <c r="AW143" s="1579"/>
      <c r="AX143" s="1580"/>
      <c r="AY143" s="1577"/>
      <c r="AZ143" s="1578"/>
      <c r="BA143" s="1578"/>
      <c r="BB143" s="1578"/>
      <c r="BC143" s="1579"/>
      <c r="BD143" s="1580"/>
      <c r="BE143" s="1651">
        <f>BE142/AY142-1</f>
        <v>3.9738826972869568E-2</v>
      </c>
      <c r="BF143" s="1652">
        <f t="shared" ref="BF143:BH143" si="214">BF142/AZ142-1</f>
        <v>2.673196612590556E-2</v>
      </c>
      <c r="BG143" s="1652">
        <f t="shared" si="214"/>
        <v>7.6041555103352199E-3</v>
      </c>
      <c r="BH143" s="1652">
        <f t="shared" si="214"/>
        <v>3.6331086773378152E-2</v>
      </c>
      <c r="BI143" s="1579">
        <f>IF(ISERROR(BI142/BC142-1),"NM",BI142/BC142-1)</f>
        <v>2.7594894649142887E-2</v>
      </c>
      <c r="BJ143" s="1580"/>
      <c r="BK143" s="1651">
        <f>+BK142/BE142-1</f>
        <v>-3.6195464586191939E-2</v>
      </c>
      <c r="BL143" s="1652">
        <f>+BL142/BF142-1</f>
        <v>-3.7436462681866067E-2</v>
      </c>
      <c r="BM143" s="1652">
        <f>+BM142/BG142-1</f>
        <v>4.6625101653564816E-2</v>
      </c>
      <c r="BN143" s="1578">
        <f>+BN142/BH142-1</f>
        <v>0.16197164343806603</v>
      </c>
      <c r="BO143" s="1579">
        <f>IF(ISERROR(BO142/BI142-1),"NM",BO142/BI142-1)</f>
        <v>3.3620877697942086E-2</v>
      </c>
      <c r="BP143" s="1580"/>
      <c r="BQ143" s="1577">
        <f>+BQ142/BK142-1</f>
        <v>6.475912698737174E-2</v>
      </c>
      <c r="BR143" s="1578">
        <f>+BR142/BL142-1</f>
        <v>0.10972930776689038</v>
      </c>
      <c r="BS143" s="1578">
        <f>+BS142/BM142-1</f>
        <v>0.12293188293188306</v>
      </c>
      <c r="BT143" s="1578">
        <f>+BT142/BN142-1</f>
        <v>0.10391009461119438</v>
      </c>
      <c r="BU143" s="1579">
        <f>IF(ISERROR(BU142/BO142-1),"NM",BU142/BO142-1)</f>
        <v>0.10095994610778414</v>
      </c>
      <c r="BV143" s="1580"/>
      <c r="BW143" s="1577">
        <f t="shared" ref="BW143" si="215">+BW142/BQ142-1</f>
        <v>3.6592343828782736E-2</v>
      </c>
      <c r="BX143" s="1578">
        <f t="shared" ref="BX143" si="216">+BX142/BR142-1</f>
        <v>6.6284426262584129E-2</v>
      </c>
      <c r="BY143" s="1578">
        <f t="shared" ref="BY143" si="217">+BY142/BS142-1</f>
        <v>5.4908064322683581E-2</v>
      </c>
      <c r="BZ143" s="1578">
        <f t="shared" ref="BZ143" si="218">+BZ142/BT142-1</f>
        <v>3.5546824034504487E-2</v>
      </c>
      <c r="CA143" s="1579">
        <f t="shared" ref="CA143" si="219">IF(ISERROR(CA142/BU142-1),"NM",CA142/BU142-1)</f>
        <v>4.8074869227705097E-2</v>
      </c>
      <c r="CB143" s="1580"/>
      <c r="CC143" s="1577">
        <f t="shared" ref="CC143" si="220">+CC142/BW142-1</f>
        <v>3.7867679413770228E-2</v>
      </c>
      <c r="CD143" s="1578">
        <f t="shared" ref="CD143" si="221">+CD142/BX142-1</f>
        <v>1.225523186649724E-2</v>
      </c>
      <c r="CE143" s="1578">
        <f t="shared" ref="CE143" si="222">+CE142/BY142-1</f>
        <v>1.932022675025391E-2</v>
      </c>
      <c r="CF143" s="1578">
        <f t="shared" ref="CF143" si="223">+CF142/BZ142-1</f>
        <v>3.6932756121854426E-2</v>
      </c>
      <c r="CG143" s="1579">
        <f t="shared" ref="CG143" si="224">IF(ISERROR(CG142/CA142-1),"NM",CG142/CA142-1)</f>
        <v>2.6618005529828181E-2</v>
      </c>
      <c r="CH143" s="1580"/>
      <c r="CI143" s="1577">
        <f t="shared" ref="CI143" si="225">+CI142/CC142-1</f>
        <v>4.3149790818593381E-2</v>
      </c>
      <c r="CJ143" s="1578">
        <f t="shared" ref="CJ143" si="226">+CJ142/CD142-1</f>
        <v>8.2653371959370503E-2</v>
      </c>
      <c r="CK143" s="1578">
        <f t="shared" ref="CK143" si="227">+CK142/CE142-1</f>
        <v>7.0576846074590138E-2</v>
      </c>
      <c r="CL143" s="1578">
        <f t="shared" ref="CL143" si="228">+CL142/CF142-1</f>
        <v>4.1808949760965719E-2</v>
      </c>
      <c r="CM143" s="1579">
        <f t="shared" ref="CM143" si="229">IF(ISERROR(CM142/CG142-1),"NM",CM142/CG142-1)</f>
        <v>5.9231276185370163E-2</v>
      </c>
    </row>
    <row r="144" spans="1:120" ht="11.25" customHeight="1" outlineLevel="1" x14ac:dyDescent="0.2">
      <c r="A144" s="27"/>
      <c r="B144" s="1576" t="s">
        <v>588</v>
      </c>
      <c r="C144" s="1584"/>
      <c r="D144" s="1585"/>
      <c r="E144" s="1585"/>
      <c r="F144" s="1586"/>
      <c r="G144" s="1579"/>
      <c r="H144" s="1587"/>
      <c r="I144" s="1584"/>
      <c r="J144" s="1585"/>
      <c r="K144" s="1585"/>
      <c r="L144" s="1586"/>
      <c r="M144" s="1579"/>
      <c r="N144" s="1587"/>
      <c r="O144" s="1584"/>
      <c r="P144" s="1585"/>
      <c r="Q144" s="1585"/>
      <c r="R144" s="1586"/>
      <c r="S144" s="1579"/>
      <c r="T144" s="1587"/>
      <c r="U144" s="1584"/>
      <c r="V144" s="1585"/>
      <c r="W144" s="1585"/>
      <c r="X144" s="1586"/>
      <c r="Y144" s="1579"/>
      <c r="Z144" s="1587"/>
      <c r="AA144" s="1584"/>
      <c r="AB144" s="1585"/>
      <c r="AC144" s="1585"/>
      <c r="AD144" s="1586"/>
      <c r="AE144" s="1579"/>
      <c r="AF144" s="1580"/>
      <c r="AG144" s="1584"/>
      <c r="AH144" s="1585"/>
      <c r="AI144" s="1585"/>
      <c r="AJ144" s="1586"/>
      <c r="AK144" s="1579"/>
      <c r="AL144" s="1580"/>
      <c r="AM144" s="1584"/>
      <c r="AN144" s="1585"/>
      <c r="AO144" s="1585"/>
      <c r="AP144" s="1586"/>
      <c r="AQ144" s="1579"/>
      <c r="AR144" s="1580"/>
      <c r="AS144" s="1584"/>
      <c r="AT144" s="1585"/>
      <c r="AU144" s="1585"/>
      <c r="AV144" s="1586"/>
      <c r="AW144" s="1588"/>
      <c r="AX144" s="1580"/>
      <c r="AY144" s="1584"/>
      <c r="AZ144" s="1585"/>
      <c r="BA144" s="1585"/>
      <c r="BB144" s="1585"/>
      <c r="BC144" s="1579"/>
      <c r="BD144" s="1580"/>
      <c r="BE144" s="1651">
        <f>BE143-BE145</f>
        <v>6.273882697286956E-2</v>
      </c>
      <c r="BF144" s="1652">
        <f t="shared" ref="BF144:BH144" si="230">BF143-BF145</f>
        <v>3.2731966125905558E-2</v>
      </c>
      <c r="BG144" s="1652">
        <f t="shared" si="230"/>
        <v>5.6041555103352198E-3</v>
      </c>
      <c r="BH144" s="1652">
        <f t="shared" si="230"/>
        <v>4.6331086773378154E-2</v>
      </c>
      <c r="BI144" s="1579">
        <f>+SUMPRODUCT(BE144:BH144,AY$8:BB$8)/BC$8</f>
        <v>3.6491832512664482E-2</v>
      </c>
      <c r="BJ144" s="1580"/>
      <c r="BK144" s="1651">
        <f t="shared" ref="BK144:BL144" si="231">BK143-BK145</f>
        <v>-2.9824525778139266E-2</v>
      </c>
      <c r="BL144" s="1652">
        <f t="shared" si="231"/>
        <v>-1.9227785736724526E-2</v>
      </c>
      <c r="BM144" s="1653">
        <v>2.8000000000000001E-2</v>
      </c>
      <c r="BN144" s="1578">
        <f>+BN143+BN145</f>
        <v>0.16197164343806603</v>
      </c>
      <c r="BO144" s="1579">
        <f>+SUMPRODUCT(BK144:BN144,BE$8:BH$8)/BI$8</f>
        <v>3.6946614331366499E-2</v>
      </c>
      <c r="BP144" s="1580"/>
      <c r="BQ144" s="1577">
        <f>+BQ143+BQ145</f>
        <v>6.475912698737174E-2</v>
      </c>
      <c r="BR144" s="1578">
        <f>+BR143+BR145</f>
        <v>0.10972930776689038</v>
      </c>
      <c r="BS144" s="1578">
        <f>+BS143+BS145</f>
        <v>0.12293188293188306</v>
      </c>
      <c r="BT144" s="1578">
        <f>+BT143+BT145</f>
        <v>0.10391009461119438</v>
      </c>
      <c r="BU144" s="1579">
        <f>+SUMPRODUCT(BQ144:BT144,BK$8:BN$8)/BO$8</f>
        <v>0.10167700807411358</v>
      </c>
      <c r="BV144" s="1580"/>
      <c r="BW144" s="1577">
        <f t="shared" ref="BW144:BZ144" si="232">+BW143+BW145</f>
        <v>3.6592343828782736E-2</v>
      </c>
      <c r="BX144" s="1578">
        <f t="shared" si="232"/>
        <v>6.6284426262584129E-2</v>
      </c>
      <c r="BY144" s="1578">
        <f t="shared" si="232"/>
        <v>5.4908064322683581E-2</v>
      </c>
      <c r="BZ144" s="1578">
        <f t="shared" si="232"/>
        <v>3.5546824034504487E-2</v>
      </c>
      <c r="CA144" s="1579">
        <f t="shared" ref="CA144:CA147" si="233">+SUMPRODUCT(BW144:BZ144,BQ$8:BT$8)/BU$8</f>
        <v>4.8229338903974801E-2</v>
      </c>
      <c r="CB144" s="1580"/>
      <c r="CC144" s="1577">
        <f t="shared" ref="CC144:CF144" si="234">+CC143+CC145</f>
        <v>3.7867679413770228E-2</v>
      </c>
      <c r="CD144" s="1578">
        <f t="shared" si="234"/>
        <v>1.225523186649724E-2</v>
      </c>
      <c r="CE144" s="1578">
        <f t="shared" si="234"/>
        <v>1.932022675025391E-2</v>
      </c>
      <c r="CF144" s="1578">
        <f t="shared" si="234"/>
        <v>3.6932756121854426E-2</v>
      </c>
      <c r="CG144" s="1579">
        <f t="shared" ref="CG144:CG147" si="235">+SUMPRODUCT(CC144:CF144,BW$8:BZ$8)/CA$8</f>
        <v>2.6477564439698172E-2</v>
      </c>
      <c r="CH144" s="1580"/>
      <c r="CI144" s="1577">
        <f t="shared" ref="CI144:CL144" si="236">+CI143+CI145</f>
        <v>4.3149790818593381E-2</v>
      </c>
      <c r="CJ144" s="1578">
        <f t="shared" si="236"/>
        <v>8.2653371959370503E-2</v>
      </c>
      <c r="CK144" s="1578">
        <f t="shared" si="236"/>
        <v>7.0576846074590138E-2</v>
      </c>
      <c r="CL144" s="1578">
        <f t="shared" si="236"/>
        <v>4.1808949760965719E-2</v>
      </c>
      <c r="CM144" s="1579">
        <f t="shared" ref="CM144:CM147" si="237">+SUMPRODUCT(CI144:CL144,CC$8:CF$8)/CG$8</f>
        <v>5.9469987274582935E-2</v>
      </c>
    </row>
    <row r="145" spans="1:100" ht="11.25" customHeight="1" outlineLevel="1" x14ac:dyDescent="0.2">
      <c r="A145" s="27"/>
      <c r="B145" s="1576" t="s">
        <v>586</v>
      </c>
      <c r="C145" s="1577"/>
      <c r="D145" s="1578"/>
      <c r="E145" s="1578"/>
      <c r="F145" s="1578"/>
      <c r="G145" s="1579"/>
      <c r="H145" s="1580"/>
      <c r="I145" s="1577"/>
      <c r="J145" s="1578"/>
      <c r="K145" s="1578"/>
      <c r="L145" s="1578"/>
      <c r="M145" s="1579"/>
      <c r="N145" s="1580"/>
      <c r="O145" s="1577"/>
      <c r="P145" s="1578"/>
      <c r="Q145" s="1578"/>
      <c r="R145" s="1578"/>
      <c r="S145" s="1579"/>
      <c r="T145" s="1580"/>
      <c r="U145" s="1577"/>
      <c r="V145" s="1578"/>
      <c r="W145" s="1578"/>
      <c r="X145" s="1578"/>
      <c r="Y145" s="1579"/>
      <c r="Z145" s="1580"/>
      <c r="AA145" s="1577"/>
      <c r="AB145" s="1578"/>
      <c r="AC145" s="1578"/>
      <c r="AD145" s="1578"/>
      <c r="AE145" s="1579"/>
      <c r="AF145" s="1580"/>
      <c r="AG145" s="1577"/>
      <c r="AH145" s="1578"/>
      <c r="AI145" s="1578"/>
      <c r="AJ145" s="1578"/>
      <c r="AK145" s="1579"/>
      <c r="AL145" s="1580"/>
      <c r="AM145" s="1577"/>
      <c r="AN145" s="1578"/>
      <c r="AO145" s="1578"/>
      <c r="AP145" s="1578"/>
      <c r="AQ145" s="1579"/>
      <c r="AR145" s="1580"/>
      <c r="AS145" s="1577"/>
      <c r="AT145" s="1578"/>
      <c r="AU145" s="1578"/>
      <c r="AV145" s="1578"/>
      <c r="AW145" s="1579"/>
      <c r="AX145" s="1580"/>
      <c r="AY145" s="1582"/>
      <c r="AZ145" s="1589"/>
      <c r="BA145" s="1589"/>
      <c r="BB145" s="1589"/>
      <c r="BC145" s="1579"/>
      <c r="BD145" s="1580"/>
      <c r="BE145" s="1654">
        <f>BE$11</f>
        <v>-2.2999999999999993E-2</v>
      </c>
      <c r="BF145" s="1655">
        <f>BF$11</f>
        <v>-5.9999999999999984E-3</v>
      </c>
      <c r="BG145" s="1655">
        <f>BG$11</f>
        <v>2E-3</v>
      </c>
      <c r="BH145" s="1655">
        <f>BH$11</f>
        <v>-1.0000000000000002E-2</v>
      </c>
      <c r="BI145" s="1579">
        <f>+SUMPRODUCT(BE145:BH145,AY$8:BB$8)/BC$8</f>
        <v>-8.9886529984951561E-3</v>
      </c>
      <c r="BJ145" s="1580"/>
      <c r="BK145" s="1654">
        <f>BK$11</f>
        <v>-6.370938808052673E-3</v>
      </c>
      <c r="BL145" s="1655">
        <f>BL$11</f>
        <v>-1.8208676945141541E-2</v>
      </c>
      <c r="BM145" s="1656">
        <f>BM143-BM144</f>
        <v>1.8625101653564815E-2</v>
      </c>
      <c r="BN145" s="1578">
        <f>+BN192</f>
        <v>0</v>
      </c>
      <c r="BO145" s="1579">
        <f>+SUMPRODUCT(BK145:BN145,BE$8:BH$8)/BI$8</f>
        <v>-1.7543273866506279E-3</v>
      </c>
      <c r="BP145" s="1580"/>
      <c r="BQ145" s="1577">
        <f>+BQ192</f>
        <v>0</v>
      </c>
      <c r="BR145" s="1578">
        <f>+BR192</f>
        <v>0</v>
      </c>
      <c r="BS145" s="1578">
        <f>+BS192</f>
        <v>0</v>
      </c>
      <c r="BT145" s="1578">
        <f>+BT192</f>
        <v>0</v>
      </c>
      <c r="BU145" s="1579">
        <f>+SUMPRODUCT(BQ145:BT145,BK$8:BN$8)/BO$8</f>
        <v>0</v>
      </c>
      <c r="BV145" s="1580"/>
      <c r="BW145" s="1577">
        <f t="shared" ref="BW145:BZ145" si="238">+BW192</f>
        <v>0</v>
      </c>
      <c r="BX145" s="1578">
        <f t="shared" si="238"/>
        <v>0</v>
      </c>
      <c r="BY145" s="1578">
        <f t="shared" si="238"/>
        <v>0</v>
      </c>
      <c r="BZ145" s="1578">
        <f t="shared" si="238"/>
        <v>0</v>
      </c>
      <c r="CA145" s="1579">
        <f t="shared" si="233"/>
        <v>0</v>
      </c>
      <c r="CB145" s="1580"/>
      <c r="CC145" s="1577">
        <f t="shared" ref="CC145:CF145" si="239">+CC192</f>
        <v>0</v>
      </c>
      <c r="CD145" s="1578">
        <f t="shared" si="239"/>
        <v>0</v>
      </c>
      <c r="CE145" s="1578">
        <f t="shared" si="239"/>
        <v>0</v>
      </c>
      <c r="CF145" s="1578">
        <f t="shared" si="239"/>
        <v>0</v>
      </c>
      <c r="CG145" s="1579">
        <f t="shared" si="235"/>
        <v>0</v>
      </c>
      <c r="CH145" s="1580"/>
      <c r="CI145" s="1577">
        <f t="shared" ref="CI145:CL145" si="240">+CI192</f>
        <v>0</v>
      </c>
      <c r="CJ145" s="1578">
        <f t="shared" si="240"/>
        <v>0</v>
      </c>
      <c r="CK145" s="1578">
        <f t="shared" si="240"/>
        <v>0</v>
      </c>
      <c r="CL145" s="1578">
        <f t="shared" si="240"/>
        <v>0</v>
      </c>
      <c r="CM145" s="1579">
        <f t="shared" si="237"/>
        <v>0</v>
      </c>
    </row>
    <row r="146" spans="1:100" s="1101" customFormat="1" ht="11.25" customHeight="1" outlineLevel="1" x14ac:dyDescent="0.2">
      <c r="A146" s="27"/>
      <c r="B146" s="1576" t="s">
        <v>541</v>
      </c>
      <c r="C146" s="1584"/>
      <c r="D146" s="1585"/>
      <c r="E146" s="1585"/>
      <c r="F146" s="1586"/>
      <c r="G146" s="1588"/>
      <c r="H146" s="1580"/>
      <c r="I146" s="1584"/>
      <c r="J146" s="1585"/>
      <c r="K146" s="1585"/>
      <c r="L146" s="1586"/>
      <c r="M146" s="1588"/>
      <c r="N146" s="1580"/>
      <c r="O146" s="1584"/>
      <c r="P146" s="1585"/>
      <c r="Q146" s="1585"/>
      <c r="R146" s="1586"/>
      <c r="S146" s="1588"/>
      <c r="T146" s="1580"/>
      <c r="U146" s="1584"/>
      <c r="V146" s="1585"/>
      <c r="W146" s="1585"/>
      <c r="X146" s="1586"/>
      <c r="Y146" s="1588"/>
      <c r="Z146" s="1580"/>
      <c r="AA146" s="1584"/>
      <c r="AB146" s="1585"/>
      <c r="AC146" s="1585"/>
      <c r="AD146" s="1586"/>
      <c r="AE146" s="1588"/>
      <c r="AF146" s="1580"/>
      <c r="AG146" s="1584"/>
      <c r="AH146" s="1585"/>
      <c r="AI146" s="1585"/>
      <c r="AJ146" s="1586"/>
      <c r="AK146" s="1588"/>
      <c r="AL146" s="1580"/>
      <c r="AM146" s="1584"/>
      <c r="AN146" s="1585"/>
      <c r="AO146" s="1585"/>
      <c r="AP146" s="1586"/>
      <c r="AQ146" s="1588"/>
      <c r="AR146" s="1580"/>
      <c r="AS146" s="1584"/>
      <c r="AT146" s="1585"/>
      <c r="AU146" s="1585"/>
      <c r="AV146" s="1586"/>
      <c r="AW146" s="1588"/>
      <c r="AX146" s="1580"/>
      <c r="AY146" s="1577"/>
      <c r="AZ146" s="1590"/>
      <c r="BA146" s="1590"/>
      <c r="BB146" s="1590"/>
      <c r="BC146" s="1579"/>
      <c r="BD146" s="1580"/>
      <c r="BE146" s="1654">
        <f>BE$12</f>
        <v>1.9E-2</v>
      </c>
      <c r="BF146" s="1655">
        <f t="shared" ref="BF146:BH146" si="241">BF$12</f>
        <v>1.8999999999999996E-2</v>
      </c>
      <c r="BG146" s="1655">
        <f t="shared" si="241"/>
        <v>1.0999999999999999E-2</v>
      </c>
      <c r="BH146" s="1655">
        <f t="shared" si="241"/>
        <v>4.7E-2</v>
      </c>
      <c r="BI146" s="1579">
        <f>+SUMPRODUCT(BE146:BH146,AY$8:BB$8)/BC$8</f>
        <v>2.4282735587244079E-2</v>
      </c>
      <c r="BJ146" s="1580"/>
      <c r="BK146" s="1654">
        <f>BK$12</f>
        <v>4.3000000000000003E-2</v>
      </c>
      <c r="BL146" s="1655">
        <f t="shared" ref="BL146" si="242">BL$12</f>
        <v>4.1000000000000002E-2</v>
      </c>
      <c r="BM146" s="1657">
        <v>3.9E-2</v>
      </c>
      <c r="BN146" s="1578">
        <f>+BM146</f>
        <v>3.9E-2</v>
      </c>
      <c r="BO146" s="1579">
        <f>+SUMPRODUCT(BK146:BN146,BE$8:BH$8)/BI$8</f>
        <v>4.046509009009009E-2</v>
      </c>
      <c r="BP146" s="1580"/>
      <c r="BQ146" s="1591">
        <v>0</v>
      </c>
      <c r="BR146" s="1592">
        <v>0</v>
      </c>
      <c r="BS146" s="1592">
        <v>0</v>
      </c>
      <c r="BT146" s="1592">
        <v>0</v>
      </c>
      <c r="BU146" s="1579">
        <f>+SUMPRODUCT(BQ146:BT146,BK$8:BN$8)/BO$8</f>
        <v>0</v>
      </c>
      <c r="BV146" s="1580"/>
      <c r="BW146" s="1591">
        <v>0</v>
      </c>
      <c r="BX146" s="1592">
        <v>0</v>
      </c>
      <c r="BY146" s="1592">
        <v>0</v>
      </c>
      <c r="BZ146" s="1592">
        <v>0</v>
      </c>
      <c r="CA146" s="1579">
        <f t="shared" si="233"/>
        <v>0</v>
      </c>
      <c r="CB146" s="1580"/>
      <c r="CC146" s="1591">
        <v>0</v>
      </c>
      <c r="CD146" s="1592">
        <v>0</v>
      </c>
      <c r="CE146" s="1592">
        <v>0</v>
      </c>
      <c r="CF146" s="1592">
        <v>0</v>
      </c>
      <c r="CG146" s="1579">
        <f t="shared" si="235"/>
        <v>0</v>
      </c>
      <c r="CH146" s="1580"/>
      <c r="CI146" s="1591">
        <v>0</v>
      </c>
      <c r="CJ146" s="1592">
        <v>0</v>
      </c>
      <c r="CK146" s="1592">
        <v>0</v>
      </c>
      <c r="CL146" s="1592">
        <v>0</v>
      </c>
      <c r="CM146" s="1579">
        <f t="shared" si="237"/>
        <v>0</v>
      </c>
      <c r="CN146" s="62"/>
      <c r="CQ146"/>
      <c r="CR146"/>
      <c r="CS146"/>
      <c r="CT146"/>
      <c r="CU146"/>
      <c r="CV146"/>
    </row>
    <row r="147" spans="1:100" ht="11.25" customHeight="1" outlineLevel="1" x14ac:dyDescent="0.2">
      <c r="A147" s="27"/>
      <c r="B147" s="1593" t="s">
        <v>589</v>
      </c>
      <c r="C147" s="1562"/>
      <c r="D147" s="1563"/>
      <c r="E147" s="1563"/>
      <c r="F147" s="1563"/>
      <c r="G147" s="1564"/>
      <c r="H147" s="1565"/>
      <c r="I147" s="1562"/>
      <c r="J147" s="1563"/>
      <c r="K147" s="1563"/>
      <c r="L147" s="1563"/>
      <c r="M147" s="1564"/>
      <c r="N147" s="1565"/>
      <c r="O147" s="1562"/>
      <c r="P147" s="1563"/>
      <c r="Q147" s="1563"/>
      <c r="R147" s="1563"/>
      <c r="S147" s="1564"/>
      <c r="T147" s="1565"/>
      <c r="U147" s="1562"/>
      <c r="V147" s="1563"/>
      <c r="W147" s="1563"/>
      <c r="X147" s="1563"/>
      <c r="Y147" s="1564"/>
      <c r="Z147" s="1565"/>
      <c r="AA147" s="1562"/>
      <c r="AB147" s="1563"/>
      <c r="AC147" s="1563"/>
      <c r="AD147" s="1563"/>
      <c r="AE147" s="1564"/>
      <c r="AF147" s="1565"/>
      <c r="AG147" s="1562"/>
      <c r="AH147" s="1563"/>
      <c r="AI147" s="1563"/>
      <c r="AJ147" s="1563"/>
      <c r="AK147" s="1564"/>
      <c r="AL147" s="1565"/>
      <c r="AM147" s="1562"/>
      <c r="AN147" s="1563"/>
      <c r="AO147" s="1563"/>
      <c r="AP147" s="1563"/>
      <c r="AQ147" s="1564"/>
      <c r="AR147" s="1565"/>
      <c r="AS147" s="1562"/>
      <c r="AT147" s="1563"/>
      <c r="AU147" s="1563"/>
      <c r="AV147" s="1563"/>
      <c r="AW147" s="1564"/>
      <c r="AX147" s="1565"/>
      <c r="AY147" s="1594"/>
      <c r="AZ147" s="1595"/>
      <c r="BA147" s="1595"/>
      <c r="BB147" s="1595"/>
      <c r="BC147" s="1564"/>
      <c r="BD147" s="1565"/>
      <c r="BE147" s="1651">
        <f>+BE144-BE146</f>
        <v>4.3738826972869557E-2</v>
      </c>
      <c r="BF147" s="1656">
        <f>+BF144-BF146</f>
        <v>1.3731966125905562E-2</v>
      </c>
      <c r="BG147" s="1656">
        <f>+BG144-BG146</f>
        <v>-5.3958444896647795E-3</v>
      </c>
      <c r="BH147" s="1658">
        <f>(+BH144-BH146)+6.5%</f>
        <v>6.4331086773378149E-2</v>
      </c>
      <c r="BI147" s="1564">
        <f>+SUMPRODUCT(BE147:BH147,AY$8:BB$8)/BC$8</f>
        <v>2.9056085331728324E-2</v>
      </c>
      <c r="BJ147" s="1565"/>
      <c r="BK147" s="1659">
        <f>+BK144-BK146+40/BE142</f>
        <v>3.3412492249942763E-2</v>
      </c>
      <c r="BL147" s="1658">
        <f>+BL144-BL146+19/BF142</f>
        <v>-1.2075735682427133E-2</v>
      </c>
      <c r="BM147" s="1656">
        <f>+BM144-BM146+19/BG142</f>
        <v>4.0504472756844684E-2</v>
      </c>
      <c r="BN147" s="1563">
        <f>+BN144-BN146</f>
        <v>0.12297164343806602</v>
      </c>
      <c r="BO147" s="1564">
        <f>+SUMPRODUCT(BK147:BN147,BE$8:BH$8)/BI$8</f>
        <v>4.6568298970095408E-2</v>
      </c>
      <c r="BP147" s="1565"/>
      <c r="BQ147" s="1562">
        <f>+BQ144-BQ146</f>
        <v>6.475912698737174E-2</v>
      </c>
      <c r="BR147" s="1563">
        <f>+BR144-BR146</f>
        <v>0.10972930776689038</v>
      </c>
      <c r="BS147" s="1563">
        <f>+BS144-BS146</f>
        <v>0.12293188293188306</v>
      </c>
      <c r="BT147" s="1563">
        <f>+BT144-BT146</f>
        <v>0.10391009461119438</v>
      </c>
      <c r="BU147" s="1564">
        <f>+SUMPRODUCT(BQ147:BT147,BK$8:BN$8)/BO$8</f>
        <v>0.10167700807411358</v>
      </c>
      <c r="BV147" s="1565"/>
      <c r="BW147" s="1562">
        <f t="shared" ref="BW147:BZ147" si="243">+BW144-BW146</f>
        <v>3.6592343828782736E-2</v>
      </c>
      <c r="BX147" s="1563">
        <f t="shared" si="243"/>
        <v>6.6284426262584129E-2</v>
      </c>
      <c r="BY147" s="1563">
        <f t="shared" si="243"/>
        <v>5.4908064322683581E-2</v>
      </c>
      <c r="BZ147" s="1563">
        <f t="shared" si="243"/>
        <v>3.5546824034504487E-2</v>
      </c>
      <c r="CA147" s="1564">
        <f t="shared" si="233"/>
        <v>4.8229338903974801E-2</v>
      </c>
      <c r="CB147" s="1565"/>
      <c r="CC147" s="1562">
        <f t="shared" ref="CC147:CF147" si="244">+CC144-CC146</f>
        <v>3.7867679413770228E-2</v>
      </c>
      <c r="CD147" s="1563">
        <f t="shared" si="244"/>
        <v>1.225523186649724E-2</v>
      </c>
      <c r="CE147" s="1563">
        <f t="shared" si="244"/>
        <v>1.932022675025391E-2</v>
      </c>
      <c r="CF147" s="1563">
        <f t="shared" si="244"/>
        <v>3.6932756121854426E-2</v>
      </c>
      <c r="CG147" s="1564">
        <f t="shared" si="235"/>
        <v>2.6477564439698172E-2</v>
      </c>
      <c r="CH147" s="1565"/>
      <c r="CI147" s="1562">
        <f t="shared" ref="CI147:CL147" si="245">+CI144-CI146</f>
        <v>4.3149790818593381E-2</v>
      </c>
      <c r="CJ147" s="1563">
        <f t="shared" si="245"/>
        <v>8.2653371959370503E-2</v>
      </c>
      <c r="CK147" s="1563">
        <f t="shared" si="245"/>
        <v>7.0576846074590138E-2</v>
      </c>
      <c r="CL147" s="1563">
        <f t="shared" si="245"/>
        <v>4.1808949760965719E-2</v>
      </c>
      <c r="CM147" s="1564">
        <f t="shared" si="237"/>
        <v>5.9469987274582935E-2</v>
      </c>
    </row>
    <row r="148" spans="1:100" ht="11.25" customHeight="1" outlineLevel="1" x14ac:dyDescent="0.2">
      <c r="A148" s="27"/>
      <c r="B148" s="1576"/>
      <c r="C148" s="1584"/>
      <c r="D148" s="1585"/>
      <c r="E148" s="1585"/>
      <c r="F148" s="1586"/>
      <c r="G148" s="1579"/>
      <c r="H148" s="1587"/>
      <c r="I148" s="1584"/>
      <c r="J148" s="1585"/>
      <c r="K148" s="1585"/>
      <c r="L148" s="1586"/>
      <c r="M148" s="1579"/>
      <c r="N148" s="1587"/>
      <c r="O148" s="1584"/>
      <c r="P148" s="1585"/>
      <c r="Q148" s="1585"/>
      <c r="R148" s="1586"/>
      <c r="S148" s="1579"/>
      <c r="T148" s="1587"/>
      <c r="U148" s="1584"/>
      <c r="V148" s="1585"/>
      <c r="W148" s="1585"/>
      <c r="X148" s="1586"/>
      <c r="Y148" s="1579"/>
      <c r="Z148" s="1587"/>
      <c r="AA148" s="1584"/>
      <c r="AB148" s="1585"/>
      <c r="AC148" s="1585"/>
      <c r="AD148" s="1586"/>
      <c r="AE148" s="1579"/>
      <c r="AF148" s="1580"/>
      <c r="AG148" s="1584"/>
      <c r="AH148" s="1585"/>
      <c r="AI148" s="1585"/>
      <c r="AJ148" s="1586"/>
      <c r="AK148" s="1579"/>
      <c r="AL148" s="1580"/>
      <c r="AM148" s="1584"/>
      <c r="AN148" s="1585"/>
      <c r="AO148" s="1585"/>
      <c r="AP148" s="1586"/>
      <c r="AQ148" s="1579"/>
      <c r="AR148" s="1580"/>
      <c r="AS148" s="1584"/>
      <c r="AT148" s="1585"/>
      <c r="AU148" s="1585"/>
      <c r="AV148" s="1586"/>
      <c r="AW148" s="1588"/>
      <c r="AX148" s="1580"/>
      <c r="AY148" s="1591"/>
      <c r="AZ148" s="1585"/>
      <c r="BA148" s="1585"/>
      <c r="BB148" s="1585"/>
      <c r="BC148" s="1579"/>
      <c r="BD148" s="1580"/>
      <c r="BE148" s="1591"/>
      <c r="BF148" s="1585"/>
      <c r="BG148" s="1585"/>
      <c r="BH148" s="1585"/>
      <c r="BI148" s="1579"/>
      <c r="BJ148" s="1580"/>
      <c r="BK148" s="1591"/>
      <c r="BL148" s="1585"/>
      <c r="BM148" s="1585"/>
      <c r="BN148" s="1596"/>
      <c r="BO148" s="1579"/>
      <c r="BP148" s="1580"/>
      <c r="BQ148" s="1591"/>
      <c r="BR148" s="1592"/>
      <c r="BS148" s="1592"/>
      <c r="BT148" s="1596"/>
      <c r="BU148" s="1579"/>
      <c r="BV148" s="1580"/>
      <c r="BW148" s="1591"/>
      <c r="BX148" s="1592"/>
      <c r="BY148" s="1592"/>
      <c r="BZ148" s="1596"/>
      <c r="CA148" s="1579"/>
      <c r="CB148" s="1580"/>
      <c r="CC148" s="1591"/>
      <c r="CD148" s="1592"/>
      <c r="CE148" s="1592"/>
      <c r="CF148" s="1596"/>
      <c r="CG148" s="1579"/>
      <c r="CH148" s="1580"/>
      <c r="CI148" s="1591"/>
      <c r="CJ148" s="1592"/>
      <c r="CK148" s="1592"/>
      <c r="CL148" s="1596"/>
      <c r="CM148" s="1579"/>
    </row>
    <row r="149" spans="1:100" s="928" customFormat="1" ht="11.25" customHeight="1" outlineLevel="1" x14ac:dyDescent="0.2">
      <c r="A149" s="27"/>
      <c r="B149" s="1561" t="s">
        <v>756</v>
      </c>
      <c r="C149" s="1566"/>
      <c r="D149" s="1567"/>
      <c r="E149" s="1567"/>
      <c r="F149" s="1567"/>
      <c r="G149" s="1568"/>
      <c r="H149" s="1567"/>
      <c r="I149" s="1566"/>
      <c r="J149" s="1567"/>
      <c r="K149" s="1567"/>
      <c r="L149" s="1567"/>
      <c r="M149" s="1568"/>
      <c r="N149" s="1569"/>
      <c r="O149" s="1566"/>
      <c r="P149" s="1567"/>
      <c r="Q149" s="1567"/>
      <c r="R149" s="1567"/>
      <c r="S149" s="1568"/>
      <c r="T149" s="1570"/>
      <c r="U149" s="1566"/>
      <c r="V149" s="1567"/>
      <c r="W149" s="1567"/>
      <c r="X149" s="1567"/>
      <c r="Y149" s="1568"/>
      <c r="Z149" s="1570"/>
      <c r="AA149" s="1566"/>
      <c r="AB149" s="1567"/>
      <c r="AC149" s="1567"/>
      <c r="AD149" s="1567"/>
      <c r="AE149" s="1568"/>
      <c r="AF149" s="1571"/>
      <c r="AG149" s="1566"/>
      <c r="AH149" s="1567"/>
      <c r="AI149" s="1567"/>
      <c r="AJ149" s="1567"/>
      <c r="AK149" s="1568"/>
      <c r="AL149" s="1571"/>
      <c r="AM149" s="1566"/>
      <c r="AN149" s="1567"/>
      <c r="AO149" s="1567"/>
      <c r="AP149" s="1567"/>
      <c r="AQ149" s="1568"/>
      <c r="AR149" s="1571"/>
      <c r="AS149" s="1572">
        <f>+AY149/(1+AY150)</f>
        <v>358.93640522044944</v>
      </c>
      <c r="AT149" s="1573">
        <f>+AZ149/(1+AZ150)</f>
        <v>399.51992984693879</v>
      </c>
      <c r="AU149" s="1573">
        <f>+BA149/(1+BA150)</f>
        <v>380.6058142006803</v>
      </c>
      <c r="AV149" s="1573">
        <f>+BB149/(1+BB150)</f>
        <v>387.0871598639456</v>
      </c>
      <c r="AW149" s="1568"/>
      <c r="AX149" s="1571"/>
      <c r="AY149" s="1660">
        <f>(BE149/BE$163)*AY$63</f>
        <v>358.93640522044944</v>
      </c>
      <c r="AZ149" s="1647">
        <f t="shared" ref="AZ149" si="246">(BF149/BF$163)*AZ$63</f>
        <v>399.51992984693879</v>
      </c>
      <c r="BA149" s="1647">
        <f t="shared" ref="BA149" si="247">(BG149/BG$163)*BA$63</f>
        <v>380.6058142006803</v>
      </c>
      <c r="BB149" s="1647">
        <f t="shared" ref="BB149" si="248">(BH149/BH$163)*BB$63</f>
        <v>387.0871598639456</v>
      </c>
      <c r="BC149" s="1648">
        <f>+SUM(AY149:BB149)</f>
        <v>1526.149309132014</v>
      </c>
      <c r="BD149" s="1574"/>
      <c r="BE149" s="1649">
        <f>1166.9-SUM(BF149:BG149)</f>
        <v>373.20011692176877</v>
      </c>
      <c r="BF149" s="1647">
        <f>(BG149/BG$163)*BF$63</f>
        <v>410.19988307823127</v>
      </c>
      <c r="BG149" s="1650">
        <v>383.5</v>
      </c>
      <c r="BH149" s="1647">
        <f>(BG149/BG$163)*BH$63</f>
        <v>401.15045705782313</v>
      </c>
      <c r="BI149" s="1568">
        <f>+SUM(BE149:BH149)</f>
        <v>1568.0504570578232</v>
      </c>
      <c r="BJ149" s="1574"/>
      <c r="BK149" s="1649">
        <f>1213.4-SUM(BL149:BM149)</f>
        <v>394.92000399680273</v>
      </c>
      <c r="BL149" s="1647">
        <f>(BM149/BM$163)*BL$63</f>
        <v>405.87999600319739</v>
      </c>
      <c r="BM149" s="1650">
        <v>412.6</v>
      </c>
      <c r="BN149" s="1573">
        <f>+BH149*(1+BN150)</f>
        <v>424.01603311011905</v>
      </c>
      <c r="BO149" s="1568">
        <f>+SUM(BK149:BN149)</f>
        <v>1637.4160331101191</v>
      </c>
      <c r="BP149" s="1574"/>
      <c r="BQ149" s="1572">
        <f>+BK149*(1+BQ150)</f>
        <v>414.66600419664292</v>
      </c>
      <c r="BR149" s="1573">
        <f>+BL149*(1+BR150)</f>
        <v>422.1151958433253</v>
      </c>
      <c r="BS149" s="1573">
        <f>+BM149*(1+BS150)</f>
        <v>429.10400000000004</v>
      </c>
      <c r="BT149" s="1573">
        <f>+BN149*(1+BT150)</f>
        <v>440.97667443452383</v>
      </c>
      <c r="BU149" s="1568">
        <f>+SUM(BQ149:BT149)</f>
        <v>1706.8618744744922</v>
      </c>
      <c r="BV149" s="1574"/>
      <c r="BW149" s="1572">
        <f t="shared" ref="BW149" si="249">+BQ149*(1+BW150)</f>
        <v>427.10598432254221</v>
      </c>
      <c r="BX149" s="1573">
        <f t="shared" ref="BX149" si="250">+BR149*(1+BX150)</f>
        <v>434.77865171862504</v>
      </c>
      <c r="BY149" s="1573">
        <f t="shared" ref="BY149" si="251">+BS149*(1+BY150)</f>
        <v>441.97712000000007</v>
      </c>
      <c r="BZ149" s="1573">
        <f t="shared" ref="BZ149" si="252">+BT149*(1+BZ150)</f>
        <v>454.20597466755953</v>
      </c>
      <c r="CA149" s="1568">
        <f t="shared" ref="CA149" si="253">+SUM(BW149:BZ149)</f>
        <v>1758.0677307087269</v>
      </c>
      <c r="CB149" s="1574"/>
      <c r="CC149" s="1572">
        <f t="shared" ref="CC149" si="254">+BW149*(1+CC150)</f>
        <v>439.9191638522185</v>
      </c>
      <c r="CD149" s="1573">
        <f t="shared" ref="CD149" si="255">+BX149*(1+CD150)</f>
        <v>447.82201127018379</v>
      </c>
      <c r="CE149" s="1573">
        <f t="shared" ref="CE149" si="256">+BY149*(1+CE150)</f>
        <v>455.23643360000011</v>
      </c>
      <c r="CF149" s="1573">
        <f t="shared" ref="CF149" si="257">+BZ149*(1+CF150)</f>
        <v>467.8321539075863</v>
      </c>
      <c r="CG149" s="1568">
        <f t="shared" ref="CG149" si="258">+SUM(CC149:CF149)</f>
        <v>1810.8097626299887</v>
      </c>
      <c r="CH149" s="1574"/>
      <c r="CI149" s="1572">
        <f t="shared" ref="CI149" si="259">+CC149*(1+CI150)</f>
        <v>453.11673876778508</v>
      </c>
      <c r="CJ149" s="1573">
        <f t="shared" ref="CJ149" si="260">+CD149*(1+CJ150)</f>
        <v>461.25667160828931</v>
      </c>
      <c r="CK149" s="1573">
        <f t="shared" ref="CK149" si="261">+CE149*(1+CK150)</f>
        <v>468.89352660800012</v>
      </c>
      <c r="CL149" s="1573">
        <f t="shared" ref="CL149" si="262">+CF149*(1+CL150)</f>
        <v>481.86711852481392</v>
      </c>
      <c r="CM149" s="1568">
        <f t="shared" ref="CM149" si="263">+SUM(CI149:CL149)</f>
        <v>1865.1340555088887</v>
      </c>
      <c r="CN149" s="62"/>
      <c r="CQ149"/>
      <c r="CR149"/>
      <c r="CS149"/>
      <c r="CT149"/>
      <c r="CU149"/>
      <c r="CV149"/>
    </row>
    <row r="150" spans="1:100" s="928" customFormat="1" ht="11.25" customHeight="1" outlineLevel="1" x14ac:dyDescent="0.2">
      <c r="A150" s="27"/>
      <c r="B150" s="1576" t="s">
        <v>540</v>
      </c>
      <c r="C150" s="1577"/>
      <c r="D150" s="1578"/>
      <c r="E150" s="1578"/>
      <c r="F150" s="1578"/>
      <c r="G150" s="1579"/>
      <c r="H150" s="1580"/>
      <c r="I150" s="1577"/>
      <c r="J150" s="1578"/>
      <c r="K150" s="1578"/>
      <c r="L150" s="1578"/>
      <c r="M150" s="1579"/>
      <c r="N150" s="1580"/>
      <c r="O150" s="1577"/>
      <c r="P150" s="1578"/>
      <c r="Q150" s="1578"/>
      <c r="R150" s="1578"/>
      <c r="S150" s="1579"/>
      <c r="T150" s="1580"/>
      <c r="U150" s="1577"/>
      <c r="V150" s="1578"/>
      <c r="W150" s="1578"/>
      <c r="X150" s="1578"/>
      <c r="Y150" s="1579"/>
      <c r="Z150" s="1580"/>
      <c r="AA150" s="1577"/>
      <c r="AB150" s="1581"/>
      <c r="AC150" s="1581"/>
      <c r="AD150" s="1581"/>
      <c r="AE150" s="1579"/>
      <c r="AF150" s="1580"/>
      <c r="AG150" s="1582"/>
      <c r="AH150" s="1581"/>
      <c r="AI150" s="1581"/>
      <c r="AJ150" s="1581"/>
      <c r="AK150" s="1579"/>
      <c r="AL150" s="1580"/>
      <c r="AM150" s="1582"/>
      <c r="AN150" s="1581"/>
      <c r="AO150" s="1581"/>
      <c r="AP150" s="1581"/>
      <c r="AQ150" s="1579"/>
      <c r="AR150" s="1580"/>
      <c r="AS150" s="1582"/>
      <c r="AT150" s="1581"/>
      <c r="AU150" s="1581"/>
      <c r="AV150" s="1581"/>
      <c r="AW150" s="1579"/>
      <c r="AX150" s="1580"/>
      <c r="AY150" s="1577"/>
      <c r="AZ150" s="1590"/>
      <c r="BA150" s="1590"/>
      <c r="BB150" s="1590"/>
      <c r="BC150" s="1579"/>
      <c r="BD150" s="1580"/>
      <c r="BE150" s="1651">
        <f>BE149/AY149-1</f>
        <v>3.973882697286979E-2</v>
      </c>
      <c r="BF150" s="1652">
        <f t="shared" ref="BF150" si="264">BF149/AZ149-1</f>
        <v>2.6731966125905338E-2</v>
      </c>
      <c r="BG150" s="1652">
        <f t="shared" ref="BG150" si="265">BG149/BA149-1</f>
        <v>7.6041555103352199E-3</v>
      </c>
      <c r="BH150" s="1652">
        <f t="shared" ref="BH150" si="266">BH149/BB149-1</f>
        <v>3.6331086773378152E-2</v>
      </c>
      <c r="BI150" s="1579">
        <f>+SUMPRODUCT(BE150:BH150,AY$15:BB$15)/BC$15</f>
        <v>2.7403788150010593E-2</v>
      </c>
      <c r="BJ150" s="1580"/>
      <c r="BK150" s="1651">
        <v>1.4999999999999999E-2</v>
      </c>
      <c r="BL150" s="1652">
        <v>0.02</v>
      </c>
      <c r="BM150" s="1652">
        <f>+BM149/BG149-1</f>
        <v>7.5880052151238608E-2</v>
      </c>
      <c r="BN150" s="1578">
        <f>+BN151+BN152</f>
        <v>5.6999999999999995E-2</v>
      </c>
      <c r="BO150" s="1579">
        <f>+SUMPRODUCT(BK150:BN150,BE$15:BH$15)/BI$15</f>
        <v>4.1848852417406567E-2</v>
      </c>
      <c r="BP150" s="1580"/>
      <c r="BQ150" s="1577">
        <f>+BQ151+BQ152</f>
        <v>0.05</v>
      </c>
      <c r="BR150" s="1578">
        <f>+BR151+BR152</f>
        <v>0.04</v>
      </c>
      <c r="BS150" s="1578">
        <f>+BS151+BS152</f>
        <v>0.04</v>
      </c>
      <c r="BT150" s="1578">
        <f>+BT151+BT152</f>
        <v>0.04</v>
      </c>
      <c r="BU150" s="1579">
        <f>+SUMPRODUCT(BQ150:BT150,BK$15:BN$15)/BO$15</f>
        <v>4.2351333258953482E-2</v>
      </c>
      <c r="BV150" s="1580"/>
      <c r="BW150" s="1577">
        <f t="shared" ref="BW150:BZ150" si="267">+BW151+BW152</f>
        <v>0.03</v>
      </c>
      <c r="BX150" s="1578">
        <f t="shared" si="267"/>
        <v>0.03</v>
      </c>
      <c r="BY150" s="1578">
        <f t="shared" si="267"/>
        <v>0.03</v>
      </c>
      <c r="BZ150" s="1578">
        <f t="shared" si="267"/>
        <v>0.03</v>
      </c>
      <c r="CA150" s="1579">
        <f t="shared" ref="CA150:CA154" si="268">+SUMPRODUCT(BW150:BZ150,BQ$15:BT$15)/BU$15</f>
        <v>0.03</v>
      </c>
      <c r="CB150" s="1580"/>
      <c r="CC150" s="1577">
        <f t="shared" ref="CC150:CF150" si="269">+CC151+CC152</f>
        <v>0.03</v>
      </c>
      <c r="CD150" s="1578">
        <f t="shared" si="269"/>
        <v>0.03</v>
      </c>
      <c r="CE150" s="1578">
        <f t="shared" si="269"/>
        <v>0.03</v>
      </c>
      <c r="CF150" s="1578">
        <f t="shared" si="269"/>
        <v>0.03</v>
      </c>
      <c r="CG150" s="1579">
        <f t="shared" ref="CG150:CG154" si="270">+SUMPRODUCT(CC150:CF150,BW$15:BZ$15)/CA$15</f>
        <v>0.03</v>
      </c>
      <c r="CH150" s="1580"/>
      <c r="CI150" s="1577">
        <f t="shared" ref="CI150:CL150" si="271">+CI151+CI152</f>
        <v>0.03</v>
      </c>
      <c r="CJ150" s="1578">
        <f t="shared" si="271"/>
        <v>0.03</v>
      </c>
      <c r="CK150" s="1578">
        <f t="shared" si="271"/>
        <v>0.03</v>
      </c>
      <c r="CL150" s="1578">
        <f t="shared" si="271"/>
        <v>0.03</v>
      </c>
      <c r="CM150" s="1579">
        <f t="shared" ref="CM150:CM154" si="272">+SUMPRODUCT(CI150:CL150,CC$15:CF$15)/CG$15</f>
        <v>0.03</v>
      </c>
      <c r="CN150" s="62"/>
      <c r="CQ150"/>
      <c r="CR150"/>
      <c r="CS150"/>
      <c r="CT150"/>
      <c r="CU150"/>
      <c r="CV150"/>
    </row>
    <row r="151" spans="1:100" s="928" customFormat="1" ht="11.25" customHeight="1" outlineLevel="1" x14ac:dyDescent="0.2">
      <c r="A151" s="27"/>
      <c r="B151" s="1576" t="s">
        <v>588</v>
      </c>
      <c r="C151" s="1584"/>
      <c r="D151" s="1585"/>
      <c r="E151" s="1585"/>
      <c r="F151" s="1586"/>
      <c r="G151" s="1579"/>
      <c r="H151" s="1587"/>
      <c r="I151" s="1584"/>
      <c r="J151" s="1585"/>
      <c r="K151" s="1585"/>
      <c r="L151" s="1586"/>
      <c r="M151" s="1579"/>
      <c r="N151" s="1587"/>
      <c r="O151" s="1584"/>
      <c r="P151" s="1585"/>
      <c r="Q151" s="1585"/>
      <c r="R151" s="1586"/>
      <c r="S151" s="1579"/>
      <c r="T151" s="1587"/>
      <c r="U151" s="1584"/>
      <c r="V151" s="1585"/>
      <c r="W151" s="1585"/>
      <c r="X151" s="1586"/>
      <c r="Y151" s="1579"/>
      <c r="Z151" s="1587"/>
      <c r="AA151" s="1584"/>
      <c r="AB151" s="1585"/>
      <c r="AC151" s="1585"/>
      <c r="AD151" s="1586"/>
      <c r="AE151" s="1579"/>
      <c r="AF151" s="1580"/>
      <c r="AG151" s="1584"/>
      <c r="AH151" s="1585"/>
      <c r="AI151" s="1585"/>
      <c r="AJ151" s="1586"/>
      <c r="AK151" s="1579"/>
      <c r="AL151" s="1580"/>
      <c r="AM151" s="1584"/>
      <c r="AN151" s="1585"/>
      <c r="AO151" s="1585"/>
      <c r="AP151" s="1586"/>
      <c r="AQ151" s="1579"/>
      <c r="AR151" s="1580"/>
      <c r="AS151" s="1584"/>
      <c r="AT151" s="1585"/>
      <c r="AU151" s="1585"/>
      <c r="AV151" s="1586"/>
      <c r="AW151" s="1588"/>
      <c r="AX151" s="1580"/>
      <c r="AY151" s="1584"/>
      <c r="AZ151" s="1597"/>
      <c r="BA151" s="1597"/>
      <c r="BB151" s="1597"/>
      <c r="BC151" s="1579"/>
      <c r="BD151" s="1580"/>
      <c r="BE151" s="1651">
        <f t="shared" ref="BE151:BH151" si="273">BE150-BE152</f>
        <v>6.6738826972869786E-2</v>
      </c>
      <c r="BF151" s="1652">
        <f t="shared" si="273"/>
        <v>3.373196612590533E-2</v>
      </c>
      <c r="BG151" s="1652">
        <f t="shared" si="273"/>
        <v>3.6041555103352198E-3</v>
      </c>
      <c r="BH151" s="1652">
        <f t="shared" si="273"/>
        <v>3.9331086773378154E-2</v>
      </c>
      <c r="BI151" s="1579">
        <f>+SUMPRODUCT(BE151:BH151,AY$15:BB$15)/BC$15</f>
        <v>3.5455324659240575E-2</v>
      </c>
      <c r="BJ151" s="1580"/>
      <c r="BK151" s="1651">
        <f t="shared" ref="BK151" si="274">BK150-BK152</f>
        <v>1.86529625151148E-2</v>
      </c>
      <c r="BL151" s="1652">
        <f t="shared" ref="BL151" si="275">BL150-BL152</f>
        <v>2.1910718281494667E-2</v>
      </c>
      <c r="BM151" s="1661">
        <v>5.1999999999999998E-2</v>
      </c>
      <c r="BN151" s="1592">
        <v>0.03</v>
      </c>
      <c r="BO151" s="1579">
        <f>+SUMPRODUCT(BK151:BN151,BE$15:BH$15)/BI$15</f>
        <v>3.0583981292019839E-2</v>
      </c>
      <c r="BP151" s="1580"/>
      <c r="BQ151" s="1591">
        <v>0.05</v>
      </c>
      <c r="BR151" s="1592">
        <v>0.04</v>
      </c>
      <c r="BS151" s="1592">
        <f>+BR151</f>
        <v>0.04</v>
      </c>
      <c r="BT151" s="1592">
        <f>+BS151</f>
        <v>0.04</v>
      </c>
      <c r="BU151" s="1579">
        <f>+SUMPRODUCT(BQ151:BT151,BK$15:BN$15)/BO$15</f>
        <v>4.2351333258953482E-2</v>
      </c>
      <c r="BV151" s="1580"/>
      <c r="BW151" s="1591">
        <v>0.03</v>
      </c>
      <c r="BX151" s="1592">
        <f>+BW151</f>
        <v>0.03</v>
      </c>
      <c r="BY151" s="1592">
        <f>+BX151</f>
        <v>0.03</v>
      </c>
      <c r="BZ151" s="1592">
        <f>+BY151</f>
        <v>0.03</v>
      </c>
      <c r="CA151" s="1579">
        <f t="shared" si="268"/>
        <v>0.03</v>
      </c>
      <c r="CB151" s="1580"/>
      <c r="CC151" s="1591">
        <f>+BZ151</f>
        <v>0.03</v>
      </c>
      <c r="CD151" s="1592">
        <f t="shared" ref="CD151" si="276">+CC151</f>
        <v>0.03</v>
      </c>
      <c r="CE151" s="1592">
        <f t="shared" ref="CE151" si="277">+CD151</f>
        <v>0.03</v>
      </c>
      <c r="CF151" s="1592">
        <f t="shared" ref="CF151" si="278">+CE151</f>
        <v>0.03</v>
      </c>
      <c r="CG151" s="1579">
        <f t="shared" si="270"/>
        <v>0.03</v>
      </c>
      <c r="CH151" s="1580"/>
      <c r="CI151" s="1591">
        <f t="shared" ref="CI151" si="279">+CF151</f>
        <v>0.03</v>
      </c>
      <c r="CJ151" s="1592">
        <f t="shared" ref="CJ151" si="280">+CI151</f>
        <v>0.03</v>
      </c>
      <c r="CK151" s="1592">
        <f t="shared" ref="CK151" si="281">+CJ151</f>
        <v>0.03</v>
      </c>
      <c r="CL151" s="1592">
        <f t="shared" ref="CL151" si="282">+CK151</f>
        <v>0.03</v>
      </c>
      <c r="CM151" s="1579">
        <f t="shared" si="272"/>
        <v>0.03</v>
      </c>
      <c r="CN151" s="62"/>
      <c r="CQ151"/>
      <c r="CR151"/>
      <c r="CS151"/>
      <c r="CT151"/>
      <c r="CU151"/>
      <c r="CV151"/>
    </row>
    <row r="152" spans="1:100" s="928" customFormat="1" ht="11.25" customHeight="1" outlineLevel="1" x14ac:dyDescent="0.2">
      <c r="A152" s="27"/>
      <c r="B152" s="1576" t="s">
        <v>586</v>
      </c>
      <c r="C152" s="1577"/>
      <c r="D152" s="1578"/>
      <c r="E152" s="1578"/>
      <c r="F152" s="1578"/>
      <c r="G152" s="1579"/>
      <c r="H152" s="1580"/>
      <c r="I152" s="1577"/>
      <c r="J152" s="1578"/>
      <c r="K152" s="1578"/>
      <c r="L152" s="1578"/>
      <c r="M152" s="1579"/>
      <c r="N152" s="1580"/>
      <c r="O152" s="1577"/>
      <c r="P152" s="1578"/>
      <c r="Q152" s="1578"/>
      <c r="R152" s="1578"/>
      <c r="S152" s="1579"/>
      <c r="T152" s="1580"/>
      <c r="U152" s="1577"/>
      <c r="V152" s="1578"/>
      <c r="W152" s="1578"/>
      <c r="X152" s="1578"/>
      <c r="Y152" s="1579"/>
      <c r="Z152" s="1580"/>
      <c r="AA152" s="1577"/>
      <c r="AB152" s="1578"/>
      <c r="AC152" s="1578"/>
      <c r="AD152" s="1578"/>
      <c r="AE152" s="1579"/>
      <c r="AF152" s="1580"/>
      <c r="AG152" s="1577"/>
      <c r="AH152" s="1578"/>
      <c r="AI152" s="1578"/>
      <c r="AJ152" s="1578"/>
      <c r="AK152" s="1579"/>
      <c r="AL152" s="1580"/>
      <c r="AM152" s="1577"/>
      <c r="AN152" s="1578"/>
      <c r="AO152" s="1578"/>
      <c r="AP152" s="1578"/>
      <c r="AQ152" s="1579"/>
      <c r="AR152" s="1580"/>
      <c r="AS152" s="1577"/>
      <c r="AT152" s="1578"/>
      <c r="AU152" s="1578"/>
      <c r="AV152" s="1578"/>
      <c r="AW152" s="1579"/>
      <c r="AX152" s="1580"/>
      <c r="AY152" s="1577"/>
      <c r="AZ152" s="1590"/>
      <c r="BA152" s="1590"/>
      <c r="BB152" s="1590"/>
      <c r="BC152" s="1579"/>
      <c r="BD152" s="1580"/>
      <c r="BE152" s="1654">
        <f>BE$18</f>
        <v>-2.7E-2</v>
      </c>
      <c r="BF152" s="1655">
        <f>BF$18</f>
        <v>-6.9999999999999958E-3</v>
      </c>
      <c r="BG152" s="1655">
        <f>BG$18</f>
        <v>4.0000000000000001E-3</v>
      </c>
      <c r="BH152" s="1655">
        <f>BH$18</f>
        <v>-3.0000000000000027E-3</v>
      </c>
      <c r="BI152" s="1579">
        <f>+SUMPRODUCT(BE152:BH152,AY$15:BB$15)/BC$15</f>
        <v>-8.0515365092299878E-3</v>
      </c>
      <c r="BJ152" s="1580"/>
      <c r="BK152" s="1654">
        <f>BK$18</f>
        <v>-3.6529625151148007E-3</v>
      </c>
      <c r="BL152" s="1655">
        <f>BL$18</f>
        <v>-1.9107182814946666E-3</v>
      </c>
      <c r="BM152" s="1656">
        <f>BM150-BM151</f>
        <v>2.3880052151238611E-2</v>
      </c>
      <c r="BN152" s="1598">
        <v>2.7E-2</v>
      </c>
      <c r="BO152" s="1579">
        <f>+SUMPRODUCT(BK152:BN152,BE$15:BH$15)/BI$15</f>
        <v>1.1264871125386726E-2</v>
      </c>
      <c r="BP152" s="1580"/>
      <c r="BQ152" s="1591">
        <v>0</v>
      </c>
      <c r="BR152" s="1592">
        <v>0</v>
      </c>
      <c r="BS152" s="1598">
        <v>0</v>
      </c>
      <c r="BT152" s="1598">
        <v>0</v>
      </c>
      <c r="BU152" s="1579">
        <f>+SUMPRODUCT(BQ152:BT152,BK$15:BN$15)/BO$15</f>
        <v>0</v>
      </c>
      <c r="BV152" s="1580"/>
      <c r="BW152" s="1591">
        <v>0</v>
      </c>
      <c r="BX152" s="1592">
        <v>0</v>
      </c>
      <c r="BY152" s="1598">
        <v>0</v>
      </c>
      <c r="BZ152" s="1598">
        <v>0</v>
      </c>
      <c r="CA152" s="1579">
        <f t="shared" si="268"/>
        <v>0</v>
      </c>
      <c r="CB152" s="1580"/>
      <c r="CC152" s="1591">
        <v>0</v>
      </c>
      <c r="CD152" s="1592">
        <v>0</v>
      </c>
      <c r="CE152" s="1598">
        <v>0</v>
      </c>
      <c r="CF152" s="1598">
        <v>0</v>
      </c>
      <c r="CG152" s="1579">
        <f t="shared" si="270"/>
        <v>0</v>
      </c>
      <c r="CH152" s="1580"/>
      <c r="CI152" s="1591">
        <v>0</v>
      </c>
      <c r="CJ152" s="1592">
        <v>0</v>
      </c>
      <c r="CK152" s="1598">
        <v>0</v>
      </c>
      <c r="CL152" s="1598">
        <v>0</v>
      </c>
      <c r="CM152" s="1579">
        <f t="shared" si="272"/>
        <v>0</v>
      </c>
      <c r="CN152" s="62"/>
      <c r="CQ152"/>
      <c r="CR152"/>
      <c r="CS152"/>
      <c r="CT152"/>
      <c r="CU152"/>
      <c r="CV152"/>
    </row>
    <row r="153" spans="1:100" s="1069" customFormat="1" ht="11.25" customHeight="1" outlineLevel="1" x14ac:dyDescent="0.2">
      <c r="A153" s="27"/>
      <c r="B153" s="1576" t="s">
        <v>541</v>
      </c>
      <c r="C153" s="1584"/>
      <c r="D153" s="1585"/>
      <c r="E153" s="1585"/>
      <c r="F153" s="1586"/>
      <c r="G153" s="1588"/>
      <c r="H153" s="1580"/>
      <c r="I153" s="1584"/>
      <c r="J153" s="1585"/>
      <c r="K153" s="1585"/>
      <c r="L153" s="1586"/>
      <c r="M153" s="1588"/>
      <c r="N153" s="1580"/>
      <c r="O153" s="1584"/>
      <c r="P153" s="1585"/>
      <c r="Q153" s="1585"/>
      <c r="R153" s="1586"/>
      <c r="S153" s="1588"/>
      <c r="T153" s="1580"/>
      <c r="U153" s="1584"/>
      <c r="V153" s="1585"/>
      <c r="W153" s="1585"/>
      <c r="X153" s="1586"/>
      <c r="Y153" s="1588"/>
      <c r="Z153" s="1580"/>
      <c r="AA153" s="1584"/>
      <c r="AB153" s="1585"/>
      <c r="AC153" s="1585"/>
      <c r="AD153" s="1586"/>
      <c r="AE153" s="1588"/>
      <c r="AF153" s="1580"/>
      <c r="AG153" s="1584"/>
      <c r="AH153" s="1585"/>
      <c r="AI153" s="1585"/>
      <c r="AJ153" s="1586"/>
      <c r="AK153" s="1588"/>
      <c r="AL153" s="1580"/>
      <c r="AM153" s="1584"/>
      <c r="AN153" s="1585"/>
      <c r="AO153" s="1585"/>
      <c r="AP153" s="1586"/>
      <c r="AQ153" s="1588"/>
      <c r="AR153" s="1580"/>
      <c r="AS153" s="1584"/>
      <c r="AT153" s="1585"/>
      <c r="AU153" s="1585"/>
      <c r="AV153" s="1586"/>
      <c r="AW153" s="1588"/>
      <c r="AX153" s="1580"/>
      <c r="AY153" s="1584"/>
      <c r="AZ153" s="1597"/>
      <c r="BA153" s="1597"/>
      <c r="BB153" s="1597"/>
      <c r="BC153" s="1579"/>
      <c r="BD153" s="1580"/>
      <c r="BE153" s="1654">
        <f>BE$19</f>
        <v>-2E-3</v>
      </c>
      <c r="BF153" s="1655">
        <f t="shared" ref="BF153:BH153" si="283">BF$19</f>
        <v>-3.0000000000000001E-3</v>
      </c>
      <c r="BG153" s="1655">
        <f t="shared" si="283"/>
        <v>-3.0000000000000001E-3</v>
      </c>
      <c r="BH153" s="1655">
        <f t="shared" si="283"/>
        <v>-2E-3</v>
      </c>
      <c r="BI153" s="1579">
        <f>+SUMPRODUCT(BE153:BH153,AY$15:BB$15)/BC$15</f>
        <v>-2.5124343040823999E-3</v>
      </c>
      <c r="BJ153" s="1580"/>
      <c r="BK153" s="1654">
        <f>BK$19</f>
        <v>-1E-3</v>
      </c>
      <c r="BL153" s="1655">
        <f t="shared" ref="BL153" si="284">BL$19</f>
        <v>7.0000000000000001E-3</v>
      </c>
      <c r="BM153" s="1661">
        <v>8.9999999999999993E-3</v>
      </c>
      <c r="BN153" s="1592">
        <v>0.01</v>
      </c>
      <c r="BO153" s="1579">
        <f>+SUMPRODUCT(BK153:BN153,BE$15:BH$15)/BI$15</f>
        <v>6.3097339959076295E-3</v>
      </c>
      <c r="BP153" s="1580"/>
      <c r="BQ153" s="1591">
        <v>0.01</v>
      </c>
      <c r="BR153" s="1592">
        <v>0</v>
      </c>
      <c r="BS153" s="1592">
        <v>0</v>
      </c>
      <c r="BT153" s="1592">
        <v>0</v>
      </c>
      <c r="BU153" s="1579">
        <f>+SUMPRODUCT(BQ153:BT153,BK$15:BN$15)/BO$15</f>
        <v>2.3513332589534756E-3</v>
      </c>
      <c r="BV153" s="1580"/>
      <c r="BW153" s="1591">
        <v>0</v>
      </c>
      <c r="BX153" s="1592">
        <v>0</v>
      </c>
      <c r="BY153" s="1592">
        <v>0</v>
      </c>
      <c r="BZ153" s="1592">
        <v>0</v>
      </c>
      <c r="CA153" s="1579">
        <f t="shared" si="268"/>
        <v>0</v>
      </c>
      <c r="CB153" s="1580"/>
      <c r="CC153" s="1591">
        <v>0</v>
      </c>
      <c r="CD153" s="1592">
        <v>0</v>
      </c>
      <c r="CE153" s="1592">
        <v>0</v>
      </c>
      <c r="CF153" s="1592">
        <v>0</v>
      </c>
      <c r="CG153" s="1579">
        <f t="shared" si="270"/>
        <v>0</v>
      </c>
      <c r="CH153" s="1580"/>
      <c r="CI153" s="1591">
        <v>0</v>
      </c>
      <c r="CJ153" s="1592">
        <v>0</v>
      </c>
      <c r="CK153" s="1592">
        <v>0</v>
      </c>
      <c r="CL153" s="1592">
        <v>0</v>
      </c>
      <c r="CM153" s="1579">
        <f t="shared" si="272"/>
        <v>0</v>
      </c>
      <c r="CN153" s="62"/>
      <c r="CQ153"/>
      <c r="CR153"/>
      <c r="CS153"/>
      <c r="CT153"/>
      <c r="CU153"/>
      <c r="CV153"/>
    </row>
    <row r="154" spans="1:100" ht="11.25" customHeight="1" outlineLevel="1" x14ac:dyDescent="0.2">
      <c r="A154" s="27"/>
      <c r="B154" s="1593" t="s">
        <v>589</v>
      </c>
      <c r="C154" s="1562"/>
      <c r="D154" s="1563"/>
      <c r="E154" s="1563"/>
      <c r="F154" s="1563"/>
      <c r="G154" s="1564"/>
      <c r="H154" s="1565"/>
      <c r="I154" s="1562"/>
      <c r="J154" s="1563"/>
      <c r="K154" s="1563"/>
      <c r="L154" s="1563"/>
      <c r="M154" s="1564"/>
      <c r="N154" s="1565"/>
      <c r="O154" s="1562"/>
      <c r="P154" s="1563"/>
      <c r="Q154" s="1563"/>
      <c r="R154" s="1563"/>
      <c r="S154" s="1564"/>
      <c r="T154" s="1565"/>
      <c r="U154" s="1562"/>
      <c r="V154" s="1563"/>
      <c r="W154" s="1563"/>
      <c r="X154" s="1563"/>
      <c r="Y154" s="1564"/>
      <c r="Z154" s="1565"/>
      <c r="AA154" s="1562"/>
      <c r="AB154" s="1563"/>
      <c r="AC154" s="1563"/>
      <c r="AD154" s="1563"/>
      <c r="AE154" s="1564"/>
      <c r="AF154" s="1565"/>
      <c r="AG154" s="1562"/>
      <c r="AH154" s="1563"/>
      <c r="AI154" s="1563"/>
      <c r="AJ154" s="1563"/>
      <c r="AK154" s="1564"/>
      <c r="AL154" s="1565"/>
      <c r="AM154" s="1562"/>
      <c r="AN154" s="1563"/>
      <c r="AO154" s="1563"/>
      <c r="AP154" s="1563"/>
      <c r="AQ154" s="1564"/>
      <c r="AR154" s="1565"/>
      <c r="AS154" s="1562"/>
      <c r="AT154" s="1563"/>
      <c r="AU154" s="1563"/>
      <c r="AV154" s="1563"/>
      <c r="AW154" s="1564"/>
      <c r="AX154" s="1565"/>
      <c r="AY154" s="1562"/>
      <c r="AZ154" s="1563"/>
      <c r="BA154" s="1563"/>
      <c r="BB154" s="1563"/>
      <c r="BC154" s="1564"/>
      <c r="BD154" s="1565"/>
      <c r="BE154" s="1651">
        <f>+BE151-BE153</f>
        <v>6.8738826972869788E-2</v>
      </c>
      <c r="BF154" s="1656">
        <f>+BF151-BF153</f>
        <v>3.6731966125905333E-2</v>
      </c>
      <c r="BG154" s="1656">
        <f>+BG151-BG153</f>
        <v>6.6041555103352198E-3</v>
      </c>
      <c r="BH154" s="1656">
        <f>+BH151-BH153</f>
        <v>4.1331086773378156E-2</v>
      </c>
      <c r="BI154" s="1564">
        <f>+SUMPRODUCT(BE154:BH154,AY$15:BB$15)/BC$15</f>
        <v>3.7967758963322981E-2</v>
      </c>
      <c r="BJ154" s="1565"/>
      <c r="BK154" s="1651">
        <f>+BK151-BK153</f>
        <v>1.9652962515114801E-2</v>
      </c>
      <c r="BL154" s="1656">
        <f>+BL151-BL153</f>
        <v>1.4910718281494668E-2</v>
      </c>
      <c r="BM154" s="1656">
        <f>+BM151-BM153</f>
        <v>4.2999999999999997E-2</v>
      </c>
      <c r="BN154" s="1563">
        <f>+BN151-BN153</f>
        <v>1.9999999999999997E-2</v>
      </c>
      <c r="BO154" s="1564">
        <f>+SUMPRODUCT(BK154:BN154,BE$15:BH$15)/BI$15</f>
        <v>2.4274247296112213E-2</v>
      </c>
      <c r="BP154" s="1565"/>
      <c r="BQ154" s="1562">
        <f>+BQ151-BQ153</f>
        <v>0.04</v>
      </c>
      <c r="BR154" s="1563">
        <f>+BR151-BR153</f>
        <v>0.04</v>
      </c>
      <c r="BS154" s="1563">
        <f>+BS151-BS153</f>
        <v>0.04</v>
      </c>
      <c r="BT154" s="1563">
        <f>+BT151-BT153</f>
        <v>0.04</v>
      </c>
      <c r="BU154" s="1564">
        <f>+SUMPRODUCT(BQ154:BT154,BK$15:BN$15)/BO$15</f>
        <v>4.0000000000000008E-2</v>
      </c>
      <c r="BV154" s="1565"/>
      <c r="BW154" s="1562">
        <f t="shared" ref="BW154:BZ154" si="285">+BW151-BW153</f>
        <v>0.03</v>
      </c>
      <c r="BX154" s="1563">
        <f t="shared" si="285"/>
        <v>0.03</v>
      </c>
      <c r="BY154" s="1563">
        <f t="shared" si="285"/>
        <v>0.03</v>
      </c>
      <c r="BZ154" s="1563">
        <f t="shared" si="285"/>
        <v>0.03</v>
      </c>
      <c r="CA154" s="1564">
        <f t="shared" si="268"/>
        <v>0.03</v>
      </c>
      <c r="CB154" s="1565"/>
      <c r="CC154" s="1562">
        <f t="shared" ref="CC154:CF154" si="286">+CC151-CC153</f>
        <v>0.03</v>
      </c>
      <c r="CD154" s="1563">
        <f t="shared" si="286"/>
        <v>0.03</v>
      </c>
      <c r="CE154" s="1563">
        <f t="shared" si="286"/>
        <v>0.03</v>
      </c>
      <c r="CF154" s="1563">
        <f t="shared" si="286"/>
        <v>0.03</v>
      </c>
      <c r="CG154" s="1564">
        <f t="shared" si="270"/>
        <v>0.03</v>
      </c>
      <c r="CH154" s="1565"/>
      <c r="CI154" s="1562">
        <f t="shared" ref="CI154:CL154" si="287">+CI151-CI153</f>
        <v>0.03</v>
      </c>
      <c r="CJ154" s="1563">
        <f t="shared" si="287"/>
        <v>0.03</v>
      </c>
      <c r="CK154" s="1563">
        <f t="shared" si="287"/>
        <v>0.03</v>
      </c>
      <c r="CL154" s="1563">
        <f t="shared" si="287"/>
        <v>0.03</v>
      </c>
      <c r="CM154" s="1564">
        <f t="shared" si="272"/>
        <v>0.03</v>
      </c>
    </row>
    <row r="155" spans="1:100" ht="11.25" customHeight="1" outlineLevel="1" x14ac:dyDescent="0.2">
      <c r="A155" s="27"/>
      <c r="B155" s="1576"/>
      <c r="C155" s="1584"/>
      <c r="D155" s="1585"/>
      <c r="E155" s="1585"/>
      <c r="F155" s="1586"/>
      <c r="G155" s="1579"/>
      <c r="H155" s="1587"/>
      <c r="I155" s="1584"/>
      <c r="J155" s="1585"/>
      <c r="K155" s="1585"/>
      <c r="L155" s="1586"/>
      <c r="M155" s="1579"/>
      <c r="N155" s="1587"/>
      <c r="O155" s="1584"/>
      <c r="P155" s="1585"/>
      <c r="Q155" s="1585"/>
      <c r="R155" s="1586"/>
      <c r="S155" s="1579"/>
      <c r="T155" s="1587"/>
      <c r="U155" s="1584"/>
      <c r="V155" s="1585"/>
      <c r="W155" s="1585"/>
      <c r="X155" s="1586"/>
      <c r="Y155" s="1579"/>
      <c r="Z155" s="1587"/>
      <c r="AA155" s="1584"/>
      <c r="AB155" s="1585"/>
      <c r="AC155" s="1585"/>
      <c r="AD155" s="1586"/>
      <c r="AE155" s="1579"/>
      <c r="AF155" s="1580"/>
      <c r="AG155" s="1584"/>
      <c r="AH155" s="1585"/>
      <c r="AI155" s="1585"/>
      <c r="AJ155" s="1586"/>
      <c r="AK155" s="1579"/>
      <c r="AL155" s="1580"/>
      <c r="AM155" s="1584"/>
      <c r="AN155" s="1585"/>
      <c r="AO155" s="1585"/>
      <c r="AP155" s="1586"/>
      <c r="AQ155" s="1579"/>
      <c r="AR155" s="1580"/>
      <c r="AS155" s="1584"/>
      <c r="AT155" s="1585"/>
      <c r="AU155" s="1585"/>
      <c r="AV155" s="1586"/>
      <c r="AW155" s="1588"/>
      <c r="AX155" s="1580"/>
      <c r="AY155" s="1584"/>
      <c r="AZ155" s="1585"/>
      <c r="BA155" s="1585"/>
      <c r="BB155" s="1586"/>
      <c r="BC155" s="1579"/>
      <c r="BD155" s="1580"/>
      <c r="BE155" s="1591"/>
      <c r="BF155" s="1585"/>
      <c r="BG155" s="1585"/>
      <c r="BH155" s="1585"/>
      <c r="BI155" s="1579"/>
      <c r="BJ155" s="1580"/>
      <c r="BK155" s="1591"/>
      <c r="BL155" s="1585"/>
      <c r="BM155" s="1585"/>
      <c r="BN155" s="1596"/>
      <c r="BO155" s="1579"/>
      <c r="BP155" s="1580"/>
      <c r="BQ155" s="1591"/>
      <c r="BR155" s="1592"/>
      <c r="BS155" s="1592"/>
      <c r="BT155" s="1596"/>
      <c r="BU155" s="1579"/>
      <c r="BV155" s="1580"/>
      <c r="BW155" s="1591"/>
      <c r="BX155" s="1592"/>
      <c r="BY155" s="1592"/>
      <c r="BZ155" s="1596"/>
      <c r="CA155" s="1579"/>
      <c r="CB155" s="1580"/>
      <c r="CC155" s="1591"/>
      <c r="CD155" s="1592"/>
      <c r="CE155" s="1592"/>
      <c r="CF155" s="1596"/>
      <c r="CG155" s="1579"/>
      <c r="CH155" s="1580"/>
      <c r="CI155" s="1591"/>
      <c r="CJ155" s="1592"/>
      <c r="CK155" s="1592"/>
      <c r="CL155" s="1596"/>
      <c r="CM155" s="1579"/>
    </row>
    <row r="156" spans="1:100" ht="11.25" customHeight="1" outlineLevel="1" x14ac:dyDescent="0.2">
      <c r="A156" s="27"/>
      <c r="B156" s="1561" t="s">
        <v>757</v>
      </c>
      <c r="C156" s="1566"/>
      <c r="D156" s="1567"/>
      <c r="E156" s="1567"/>
      <c r="F156" s="1567"/>
      <c r="G156" s="1568"/>
      <c r="H156" s="1567"/>
      <c r="I156" s="1566"/>
      <c r="J156" s="1567"/>
      <c r="K156" s="1567"/>
      <c r="L156" s="1567"/>
      <c r="M156" s="1568"/>
      <c r="N156" s="1569"/>
      <c r="O156" s="1566"/>
      <c r="P156" s="1567"/>
      <c r="Q156" s="1567"/>
      <c r="R156" s="1567"/>
      <c r="S156" s="1568"/>
      <c r="T156" s="1570"/>
      <c r="U156" s="1566"/>
      <c r="V156" s="1567"/>
      <c r="W156" s="1567"/>
      <c r="X156" s="1567"/>
      <c r="Y156" s="1568"/>
      <c r="Z156" s="1570"/>
      <c r="AA156" s="1566"/>
      <c r="AB156" s="1567"/>
      <c r="AC156" s="1567"/>
      <c r="AD156" s="1567"/>
      <c r="AE156" s="1568"/>
      <c r="AF156" s="1571"/>
      <c r="AG156" s="1566"/>
      <c r="AH156" s="1567"/>
      <c r="AI156" s="1567"/>
      <c r="AJ156" s="1567"/>
      <c r="AK156" s="1568"/>
      <c r="AL156" s="1571"/>
      <c r="AM156" s="1566"/>
      <c r="AN156" s="1567"/>
      <c r="AO156" s="1567"/>
      <c r="AP156" s="1567"/>
      <c r="AQ156" s="1568"/>
      <c r="AR156" s="1571"/>
      <c r="AS156" s="1572">
        <f>+AY156/(1+AY157)</f>
        <v>167.23746993519143</v>
      </c>
      <c r="AT156" s="1573">
        <f>+AZ156/(1+AZ157)</f>
        <v>196.27002551020411</v>
      </c>
      <c r="AU156" s="1573">
        <f>+BA156/(1+BA157)</f>
        <v>186.97818877551023</v>
      </c>
      <c r="AV156" s="1573">
        <f>+BB156/(1+BB157)</f>
        <v>190.1622448979592</v>
      </c>
      <c r="AW156" s="1568"/>
      <c r="AX156" s="1571"/>
      <c r="AY156" s="1660">
        <f>(BE156/BE$163)*AY$63</f>
        <v>167.23746993519143</v>
      </c>
      <c r="AZ156" s="1647">
        <f t="shared" ref="AZ156" si="288">(BF156/BF$163)*AZ$63</f>
        <v>196.27002551020411</v>
      </c>
      <c r="BA156" s="1647">
        <f t="shared" ref="BA156" si="289">(BG156/BG$163)*BA$63</f>
        <v>186.97818877551023</v>
      </c>
      <c r="BB156" s="1647">
        <f t="shared" ref="BB156" si="290">(BH156/BH$163)*BB$63</f>
        <v>190.1622448979592</v>
      </c>
      <c r="BC156" s="1648">
        <f>+SUM(AY156:BB156)</f>
        <v>740.64792911886502</v>
      </c>
      <c r="BD156" s="1574"/>
      <c r="BE156" s="1649">
        <f>563.8-SUM(BF156:BG156)</f>
        <v>173.88329081632651</v>
      </c>
      <c r="BF156" s="1647">
        <f>(BG156/BG$163)*BF$63</f>
        <v>201.51670918367347</v>
      </c>
      <c r="BG156" s="1650">
        <v>188.4</v>
      </c>
      <c r="BH156" s="1647">
        <f>(BG156/BG$163)*BH$63</f>
        <v>197.07104591836733</v>
      </c>
      <c r="BI156" s="1568">
        <f>+SUM(BE156:BH156)</f>
        <v>760.87104591836726</v>
      </c>
      <c r="BJ156" s="1574"/>
      <c r="BK156" s="1649">
        <f>534-SUM(BL156:BM156)</f>
        <v>133.09159672262194</v>
      </c>
      <c r="BL156" s="1647">
        <f>(BM156/BM$163)*BL$63</f>
        <v>198.80840327737809</v>
      </c>
      <c r="BM156" s="1650">
        <v>202.1</v>
      </c>
      <c r="BN156" s="1573">
        <f>+BH156*(1+BN157)</f>
        <v>208.30409553571425</v>
      </c>
      <c r="BO156" s="1568">
        <f>+SUM(BK156:BN156)</f>
        <v>742.30409553571428</v>
      </c>
      <c r="BP156" s="1574"/>
      <c r="BQ156" s="1572">
        <f>+BK156*(1+BQ157)</f>
        <v>138.41526059152682</v>
      </c>
      <c r="BR156" s="1573">
        <f>+BL156*(1+BR157)</f>
        <v>206.76073940847323</v>
      </c>
      <c r="BS156" s="1573">
        <f>+BM156*(1+BS157)</f>
        <v>210.184</v>
      </c>
      <c r="BT156" s="1573">
        <f>+BN156*(1+BT157)</f>
        <v>216.63625935714282</v>
      </c>
      <c r="BU156" s="1568">
        <f>+SUM(BQ156:BT156)</f>
        <v>771.99625935714289</v>
      </c>
      <c r="BV156" s="1574"/>
      <c r="BW156" s="1572">
        <f t="shared" ref="BW156" si="291">+BQ156*(1+BW157)</f>
        <v>143.95187101518789</v>
      </c>
      <c r="BX156" s="1573">
        <f t="shared" ref="BX156" si="292">+BR156*(1+BX157)</f>
        <v>215.03116898481215</v>
      </c>
      <c r="BY156" s="1573">
        <f t="shared" ref="BY156" si="293">+BS156*(1+BY157)</f>
        <v>218.59136000000001</v>
      </c>
      <c r="BZ156" s="1573">
        <f t="shared" ref="BZ156" si="294">+BT156*(1+BZ157)</f>
        <v>225.30170973142853</v>
      </c>
      <c r="CA156" s="1568">
        <f t="shared" ref="CA156" si="295">+SUM(BW156:BZ156)</f>
        <v>802.87610973142864</v>
      </c>
      <c r="CB156" s="1574"/>
      <c r="CC156" s="1572">
        <f t="shared" ref="CC156" si="296">+BW156*(1+CC157)</f>
        <v>149.70994585579541</v>
      </c>
      <c r="CD156" s="1573">
        <f t="shared" ref="CD156" si="297">+BX156*(1+CD157)</f>
        <v>223.63241574420465</v>
      </c>
      <c r="CE156" s="1573">
        <f t="shared" ref="CE156" si="298">+BY156*(1+CE157)</f>
        <v>227.33501440000001</v>
      </c>
      <c r="CF156" s="1573">
        <f t="shared" ref="CF156" si="299">+BZ156*(1+CF157)</f>
        <v>234.31377812068567</v>
      </c>
      <c r="CG156" s="1568">
        <f t="shared" ref="CG156" si="300">+SUM(CC156:CF156)</f>
        <v>834.99115412068579</v>
      </c>
      <c r="CH156" s="1574"/>
      <c r="CI156" s="1572">
        <f t="shared" ref="CI156" si="301">+CC156*(1+CI157)</f>
        <v>155.69834369002723</v>
      </c>
      <c r="CJ156" s="1573">
        <f t="shared" ref="CJ156" si="302">+CD156*(1+CJ157)</f>
        <v>232.57771237397284</v>
      </c>
      <c r="CK156" s="1573">
        <f t="shared" ref="CK156" si="303">+CE156*(1+CK157)</f>
        <v>236.42841497600003</v>
      </c>
      <c r="CL156" s="1573">
        <f t="shared" ref="CL156" si="304">+CF156*(1+CL157)</f>
        <v>243.68632924551309</v>
      </c>
      <c r="CM156" s="1568">
        <f t="shared" ref="CM156" si="305">+SUM(CI156:CL156)</f>
        <v>868.39080028551314</v>
      </c>
    </row>
    <row r="157" spans="1:100" s="1101" customFormat="1" ht="11.25" customHeight="1" outlineLevel="1" x14ac:dyDescent="0.2">
      <c r="A157" s="27"/>
      <c r="B157" s="1576" t="s">
        <v>540</v>
      </c>
      <c r="C157" s="1577"/>
      <c r="D157" s="1578"/>
      <c r="E157" s="1578"/>
      <c r="F157" s="1578"/>
      <c r="G157" s="1579"/>
      <c r="H157" s="1580"/>
      <c r="I157" s="1577"/>
      <c r="J157" s="1578"/>
      <c r="K157" s="1578"/>
      <c r="L157" s="1578"/>
      <c r="M157" s="1579"/>
      <c r="N157" s="1580"/>
      <c r="O157" s="1577"/>
      <c r="P157" s="1578"/>
      <c r="Q157" s="1578"/>
      <c r="R157" s="1578"/>
      <c r="S157" s="1579"/>
      <c r="T157" s="1580"/>
      <c r="U157" s="1577"/>
      <c r="V157" s="1578"/>
      <c r="W157" s="1578"/>
      <c r="X157" s="1578"/>
      <c r="Y157" s="1579"/>
      <c r="Z157" s="1580"/>
      <c r="AA157" s="1577"/>
      <c r="AB157" s="1581"/>
      <c r="AC157" s="1581"/>
      <c r="AD157" s="1581"/>
      <c r="AE157" s="1579"/>
      <c r="AF157" s="1580"/>
      <c r="AG157" s="1582"/>
      <c r="AH157" s="1581"/>
      <c r="AI157" s="1581"/>
      <c r="AJ157" s="1581"/>
      <c r="AK157" s="1579"/>
      <c r="AL157" s="1580"/>
      <c r="AM157" s="1582"/>
      <c r="AN157" s="1581"/>
      <c r="AO157" s="1581"/>
      <c r="AP157" s="1581"/>
      <c r="AQ157" s="1579"/>
      <c r="AR157" s="1580"/>
      <c r="AS157" s="1582"/>
      <c r="AT157" s="1581"/>
      <c r="AU157" s="1581"/>
      <c r="AV157" s="1581"/>
      <c r="AW157" s="1579"/>
      <c r="AX157" s="1580"/>
      <c r="AY157" s="1577"/>
      <c r="AZ157" s="1590"/>
      <c r="BA157" s="1590"/>
      <c r="BB157" s="1590"/>
      <c r="BC157" s="1579"/>
      <c r="BD157" s="1580"/>
      <c r="BE157" s="1651">
        <f>BE156/AY156-1</f>
        <v>3.973882697286979E-2</v>
      </c>
      <c r="BF157" s="1652">
        <f t="shared" ref="BF157" si="306">BF156/AZ156-1</f>
        <v>2.6731966125905338E-2</v>
      </c>
      <c r="BG157" s="1652">
        <f t="shared" ref="BG157" si="307">BG156/BA156-1</f>
        <v>7.6041555103349978E-3</v>
      </c>
      <c r="BH157" s="1652">
        <f t="shared" ref="BH157" si="308">BH156/BB156-1</f>
        <v>3.6331086773378152E-2</v>
      </c>
      <c r="BI157" s="1579">
        <f>+SUMPRODUCT(BE157:BH157,AY$15:BB$15)/BC$15</f>
        <v>2.7403788150010534E-2</v>
      </c>
      <c r="BJ157" s="1580"/>
      <c r="BK157" s="1651">
        <f>+BK156/BE156-1</f>
        <v>-0.23459237458757876</v>
      </c>
      <c r="BL157" s="1652">
        <f>+BL156/BF156-1</f>
        <v>-1.3439609634687266E-2</v>
      </c>
      <c r="BM157" s="1652">
        <f>+BM156/BG156-1</f>
        <v>7.2717622080679334E-2</v>
      </c>
      <c r="BN157" s="1578">
        <f>+BN158+BN159</f>
        <v>5.6999999999999995E-2</v>
      </c>
      <c r="BO157" s="1579">
        <f>+SUMPRODUCT(BK157:BN157,BE$15:BH$15)/BI$15</f>
        <v>-2.8006930311358192E-2</v>
      </c>
      <c r="BP157" s="1580"/>
      <c r="BQ157" s="1577">
        <f>+BQ158+BQ159</f>
        <v>0.04</v>
      </c>
      <c r="BR157" s="1578">
        <f>+BR158+BR159</f>
        <v>0.04</v>
      </c>
      <c r="BS157" s="1578">
        <f>+BS158+BS159</f>
        <v>0.04</v>
      </c>
      <c r="BT157" s="1578">
        <f>+BT158+BT159</f>
        <v>0.04</v>
      </c>
      <c r="BU157" s="1579">
        <f>+SUMPRODUCT(BQ157:BT157,BK$15:BN$15)/BO$15</f>
        <v>4.0000000000000008E-2</v>
      </c>
      <c r="BV157" s="1580"/>
      <c r="BW157" s="1577">
        <f t="shared" ref="BW157:BZ157" si="309">+BW158+BW159</f>
        <v>0.04</v>
      </c>
      <c r="BX157" s="1578">
        <f t="shared" si="309"/>
        <v>0.04</v>
      </c>
      <c r="BY157" s="1578">
        <f t="shared" si="309"/>
        <v>0.04</v>
      </c>
      <c r="BZ157" s="1578">
        <f t="shared" si="309"/>
        <v>0.04</v>
      </c>
      <c r="CA157" s="1579">
        <f t="shared" ref="CA157:CA161" si="310">+SUMPRODUCT(BW157:BZ157,BQ$15:BT$15)/BU$15</f>
        <v>4.0000000000000008E-2</v>
      </c>
      <c r="CB157" s="1580"/>
      <c r="CC157" s="1577">
        <f t="shared" ref="CC157:CF157" si="311">+CC158+CC159</f>
        <v>0.04</v>
      </c>
      <c r="CD157" s="1578">
        <f t="shared" si="311"/>
        <v>0.04</v>
      </c>
      <c r="CE157" s="1578">
        <f t="shared" si="311"/>
        <v>0.04</v>
      </c>
      <c r="CF157" s="1578">
        <f t="shared" si="311"/>
        <v>0.04</v>
      </c>
      <c r="CG157" s="1579">
        <f t="shared" ref="CG157:CG161" si="312">+SUMPRODUCT(CC157:CF157,BW$15:BZ$15)/CA$15</f>
        <v>0.04</v>
      </c>
      <c r="CH157" s="1580"/>
      <c r="CI157" s="1577">
        <f t="shared" ref="CI157:CL157" si="313">+CI158+CI159</f>
        <v>0.04</v>
      </c>
      <c r="CJ157" s="1578">
        <f t="shared" si="313"/>
        <v>0.04</v>
      </c>
      <c r="CK157" s="1578">
        <f t="shared" si="313"/>
        <v>0.04</v>
      </c>
      <c r="CL157" s="1578">
        <f t="shared" si="313"/>
        <v>0.04</v>
      </c>
      <c r="CM157" s="1579">
        <f t="shared" ref="CM157:CM161" si="314">+SUMPRODUCT(CI157:CL157,CC$15:CF$15)/CG$15</f>
        <v>0.04</v>
      </c>
      <c r="CN157" s="62"/>
      <c r="CQ157"/>
      <c r="CR157"/>
      <c r="CS157"/>
      <c r="CT157"/>
      <c r="CU157"/>
      <c r="CV157"/>
    </row>
    <row r="158" spans="1:100" ht="11.25" customHeight="1" outlineLevel="1" x14ac:dyDescent="0.2">
      <c r="A158" s="27"/>
      <c r="B158" s="1576" t="s">
        <v>588</v>
      </c>
      <c r="C158" s="1584"/>
      <c r="D158" s="1585"/>
      <c r="E158" s="1585"/>
      <c r="F158" s="1586"/>
      <c r="G158" s="1579"/>
      <c r="H158" s="1587"/>
      <c r="I158" s="1584"/>
      <c r="J158" s="1585"/>
      <c r="K158" s="1585"/>
      <c r="L158" s="1586"/>
      <c r="M158" s="1579"/>
      <c r="N158" s="1587"/>
      <c r="O158" s="1584"/>
      <c r="P158" s="1585"/>
      <c r="Q158" s="1585"/>
      <c r="R158" s="1586"/>
      <c r="S158" s="1579"/>
      <c r="T158" s="1587"/>
      <c r="U158" s="1584"/>
      <c r="V158" s="1585"/>
      <c r="W158" s="1585"/>
      <c r="X158" s="1586"/>
      <c r="Y158" s="1579"/>
      <c r="Z158" s="1587"/>
      <c r="AA158" s="1584"/>
      <c r="AB158" s="1585"/>
      <c r="AC158" s="1585"/>
      <c r="AD158" s="1586"/>
      <c r="AE158" s="1579"/>
      <c r="AF158" s="1580"/>
      <c r="AG158" s="1584"/>
      <c r="AH158" s="1585"/>
      <c r="AI158" s="1585"/>
      <c r="AJ158" s="1586"/>
      <c r="AK158" s="1579"/>
      <c r="AL158" s="1580"/>
      <c r="AM158" s="1584"/>
      <c r="AN158" s="1585"/>
      <c r="AO158" s="1585"/>
      <c r="AP158" s="1586"/>
      <c r="AQ158" s="1579"/>
      <c r="AR158" s="1580"/>
      <c r="AS158" s="1584"/>
      <c r="AT158" s="1585"/>
      <c r="AU158" s="1585"/>
      <c r="AV158" s="1586"/>
      <c r="AW158" s="1588"/>
      <c r="AX158" s="1580"/>
      <c r="AY158" s="1584"/>
      <c r="AZ158" s="1597"/>
      <c r="BA158" s="1597"/>
      <c r="BB158" s="1597"/>
      <c r="BC158" s="1579"/>
      <c r="BD158" s="1580"/>
      <c r="BE158" s="1651">
        <f t="shared" ref="BE158:BH158" si="315">BE157-BE159</f>
        <v>6.6738826972869786E-2</v>
      </c>
      <c r="BF158" s="1652">
        <f t="shared" si="315"/>
        <v>3.373196612590533E-2</v>
      </c>
      <c r="BG158" s="1652">
        <f t="shared" si="315"/>
        <v>3.6041555103349977E-3</v>
      </c>
      <c r="BH158" s="1652">
        <f t="shared" si="315"/>
        <v>3.9331086773378154E-2</v>
      </c>
      <c r="BI158" s="1579">
        <f>+SUMPRODUCT(BE158:BH158,AY$15:BB$15)/BC$15</f>
        <v>3.545532465924052E-2</v>
      </c>
      <c r="BJ158" s="1580"/>
      <c r="BK158" s="1651">
        <f t="shared" ref="BK158" si="316">BK157-BK159</f>
        <v>-0.23093941207246396</v>
      </c>
      <c r="BL158" s="1652">
        <f t="shared" ref="BL158" si="317">BL157-BL159</f>
        <v>-1.15288913531926E-2</v>
      </c>
      <c r="BM158" s="1661">
        <v>5.2999999999999999E-2</v>
      </c>
      <c r="BN158" s="1592">
        <v>0.03</v>
      </c>
      <c r="BO158" s="1579">
        <f>+SUMPRODUCT(BK158:BN158,BE$15:BH$15)/BI$15</f>
        <v>-3.8242448662791945E-2</v>
      </c>
      <c r="BP158" s="1580"/>
      <c r="BQ158" s="1591">
        <v>0.04</v>
      </c>
      <c r="BR158" s="1592">
        <v>0.04</v>
      </c>
      <c r="BS158" s="1592">
        <v>0.04</v>
      </c>
      <c r="BT158" s="1592">
        <v>0.04</v>
      </c>
      <c r="BU158" s="1579">
        <f>+SUMPRODUCT(BQ158:BT158,BK$15:BN$15)/BO$15</f>
        <v>4.0000000000000008E-2</v>
      </c>
      <c r="BV158" s="1580"/>
      <c r="BW158" s="1591">
        <v>0.04</v>
      </c>
      <c r="BX158" s="1592">
        <v>0.04</v>
      </c>
      <c r="BY158" s="1592">
        <v>0.04</v>
      </c>
      <c r="BZ158" s="1592">
        <v>0.04</v>
      </c>
      <c r="CA158" s="1579">
        <f t="shared" si="310"/>
        <v>4.0000000000000008E-2</v>
      </c>
      <c r="CB158" s="1580"/>
      <c r="CC158" s="1591">
        <v>0.04</v>
      </c>
      <c r="CD158" s="1592">
        <v>0.04</v>
      </c>
      <c r="CE158" s="1592">
        <v>0.04</v>
      </c>
      <c r="CF158" s="1592">
        <v>0.04</v>
      </c>
      <c r="CG158" s="1579">
        <f t="shared" si="312"/>
        <v>0.04</v>
      </c>
      <c r="CH158" s="1580"/>
      <c r="CI158" s="1591">
        <v>0.04</v>
      </c>
      <c r="CJ158" s="1592">
        <v>0.04</v>
      </c>
      <c r="CK158" s="1592">
        <v>0.04</v>
      </c>
      <c r="CL158" s="1592">
        <v>0.04</v>
      </c>
      <c r="CM158" s="1579">
        <f t="shared" si="314"/>
        <v>0.04</v>
      </c>
    </row>
    <row r="159" spans="1:100" ht="11.25" customHeight="1" outlineLevel="1" x14ac:dyDescent="0.2">
      <c r="A159" s="27"/>
      <c r="B159" s="1576" t="s">
        <v>586</v>
      </c>
      <c r="C159" s="1577"/>
      <c r="D159" s="1578"/>
      <c r="E159" s="1578"/>
      <c r="F159" s="1578"/>
      <c r="G159" s="1579"/>
      <c r="H159" s="1580"/>
      <c r="I159" s="1577"/>
      <c r="J159" s="1578"/>
      <c r="K159" s="1578"/>
      <c r="L159" s="1578"/>
      <c r="M159" s="1579"/>
      <c r="N159" s="1580"/>
      <c r="O159" s="1577"/>
      <c r="P159" s="1578"/>
      <c r="Q159" s="1578"/>
      <c r="R159" s="1578"/>
      <c r="S159" s="1579"/>
      <c r="T159" s="1580"/>
      <c r="U159" s="1577"/>
      <c r="V159" s="1578"/>
      <c r="W159" s="1578"/>
      <c r="X159" s="1578"/>
      <c r="Y159" s="1579"/>
      <c r="Z159" s="1580"/>
      <c r="AA159" s="1577"/>
      <c r="AB159" s="1578"/>
      <c r="AC159" s="1578"/>
      <c r="AD159" s="1578"/>
      <c r="AE159" s="1579"/>
      <c r="AF159" s="1580"/>
      <c r="AG159" s="1577"/>
      <c r="AH159" s="1578"/>
      <c r="AI159" s="1578"/>
      <c r="AJ159" s="1578"/>
      <c r="AK159" s="1579"/>
      <c r="AL159" s="1580"/>
      <c r="AM159" s="1577"/>
      <c r="AN159" s="1578"/>
      <c r="AO159" s="1578"/>
      <c r="AP159" s="1578"/>
      <c r="AQ159" s="1579"/>
      <c r="AR159" s="1580"/>
      <c r="AS159" s="1577"/>
      <c r="AT159" s="1578"/>
      <c r="AU159" s="1578"/>
      <c r="AV159" s="1578"/>
      <c r="AW159" s="1579"/>
      <c r="AX159" s="1580"/>
      <c r="AY159" s="1577"/>
      <c r="AZ159" s="1590"/>
      <c r="BA159" s="1590"/>
      <c r="BB159" s="1590"/>
      <c r="BC159" s="1579"/>
      <c r="BD159" s="1580"/>
      <c r="BE159" s="1654">
        <f>BE$18</f>
        <v>-2.7E-2</v>
      </c>
      <c r="BF159" s="1655">
        <f>BF$18</f>
        <v>-6.9999999999999958E-3</v>
      </c>
      <c r="BG159" s="1655">
        <f>BG$18</f>
        <v>4.0000000000000001E-3</v>
      </c>
      <c r="BH159" s="1655">
        <f>BH$18</f>
        <v>-3.0000000000000027E-3</v>
      </c>
      <c r="BI159" s="1579">
        <f>+SUMPRODUCT(BE159:BH159,AY$15:BB$15)/BC$15</f>
        <v>-8.0515365092299878E-3</v>
      </c>
      <c r="BJ159" s="1580"/>
      <c r="BK159" s="1654">
        <f>BK$18</f>
        <v>-3.6529625151148007E-3</v>
      </c>
      <c r="BL159" s="1655">
        <f>BL$18</f>
        <v>-1.9107182814946666E-3</v>
      </c>
      <c r="BM159" s="1656">
        <f>BM157-BM158</f>
        <v>1.9717622080679335E-2</v>
      </c>
      <c r="BN159" s="1598">
        <v>2.7E-2</v>
      </c>
      <c r="BO159" s="1579">
        <f>+SUMPRODUCT(BK159:BN159,BE$15:BH$15)/BI$15</f>
        <v>1.0235518351433747E-2</v>
      </c>
      <c r="BP159" s="1580"/>
      <c r="BQ159" s="1591">
        <v>0</v>
      </c>
      <c r="BR159" s="1592">
        <v>0</v>
      </c>
      <c r="BS159" s="1598">
        <v>0</v>
      </c>
      <c r="BT159" s="1598">
        <v>0</v>
      </c>
      <c r="BU159" s="1579">
        <f>+SUMPRODUCT(BQ159:BT159,BK$15:BN$15)/BO$15</f>
        <v>0</v>
      </c>
      <c r="BV159" s="1580"/>
      <c r="BW159" s="1591">
        <v>0</v>
      </c>
      <c r="BX159" s="1592">
        <v>0</v>
      </c>
      <c r="BY159" s="1598">
        <v>0</v>
      </c>
      <c r="BZ159" s="1598">
        <v>0</v>
      </c>
      <c r="CA159" s="1579">
        <f t="shared" si="310"/>
        <v>0</v>
      </c>
      <c r="CB159" s="1580"/>
      <c r="CC159" s="1591">
        <v>0</v>
      </c>
      <c r="CD159" s="1592">
        <v>0</v>
      </c>
      <c r="CE159" s="1598">
        <v>0</v>
      </c>
      <c r="CF159" s="1598">
        <v>0</v>
      </c>
      <c r="CG159" s="1579">
        <f t="shared" si="312"/>
        <v>0</v>
      </c>
      <c r="CH159" s="1580"/>
      <c r="CI159" s="1591">
        <v>0</v>
      </c>
      <c r="CJ159" s="1592">
        <v>0</v>
      </c>
      <c r="CK159" s="1598">
        <v>0</v>
      </c>
      <c r="CL159" s="1598">
        <v>0</v>
      </c>
      <c r="CM159" s="1579">
        <f t="shared" si="314"/>
        <v>0</v>
      </c>
    </row>
    <row r="160" spans="1:100" s="928" customFormat="1" ht="11.25" customHeight="1" outlineLevel="1" x14ac:dyDescent="0.2">
      <c r="A160" s="27"/>
      <c r="B160" s="1576" t="s">
        <v>541</v>
      </c>
      <c r="C160" s="1584"/>
      <c r="D160" s="1585"/>
      <c r="E160" s="1585"/>
      <c r="F160" s="1586"/>
      <c r="G160" s="1588"/>
      <c r="H160" s="1580"/>
      <c r="I160" s="1584"/>
      <c r="J160" s="1585"/>
      <c r="K160" s="1585"/>
      <c r="L160" s="1586"/>
      <c r="M160" s="1588"/>
      <c r="N160" s="1580"/>
      <c r="O160" s="1584"/>
      <c r="P160" s="1585"/>
      <c r="Q160" s="1585"/>
      <c r="R160" s="1586"/>
      <c r="S160" s="1588"/>
      <c r="T160" s="1580"/>
      <c r="U160" s="1584"/>
      <c r="V160" s="1585"/>
      <c r="W160" s="1585"/>
      <c r="X160" s="1586"/>
      <c r="Y160" s="1588"/>
      <c r="Z160" s="1580"/>
      <c r="AA160" s="1584"/>
      <c r="AB160" s="1585"/>
      <c r="AC160" s="1585"/>
      <c r="AD160" s="1586"/>
      <c r="AE160" s="1588"/>
      <c r="AF160" s="1580"/>
      <c r="AG160" s="1584"/>
      <c r="AH160" s="1585"/>
      <c r="AI160" s="1585"/>
      <c r="AJ160" s="1586"/>
      <c r="AK160" s="1588"/>
      <c r="AL160" s="1580"/>
      <c r="AM160" s="1584"/>
      <c r="AN160" s="1585"/>
      <c r="AO160" s="1585"/>
      <c r="AP160" s="1586"/>
      <c r="AQ160" s="1588"/>
      <c r="AR160" s="1580"/>
      <c r="AS160" s="1584"/>
      <c r="AT160" s="1585"/>
      <c r="AU160" s="1585"/>
      <c r="AV160" s="1586"/>
      <c r="AW160" s="1588"/>
      <c r="AX160" s="1580"/>
      <c r="AY160" s="1584"/>
      <c r="AZ160" s="1597"/>
      <c r="BA160" s="1597"/>
      <c r="BB160" s="1597"/>
      <c r="BC160" s="1579"/>
      <c r="BD160" s="1580"/>
      <c r="BE160" s="1654">
        <f>BE$19</f>
        <v>-2E-3</v>
      </c>
      <c r="BF160" s="1655">
        <f t="shared" ref="BF160:BH160" si="318">BF$19</f>
        <v>-3.0000000000000001E-3</v>
      </c>
      <c r="BG160" s="1655">
        <f t="shared" si="318"/>
        <v>-3.0000000000000001E-3</v>
      </c>
      <c r="BH160" s="1655">
        <f t="shared" si="318"/>
        <v>-2E-3</v>
      </c>
      <c r="BI160" s="1579">
        <f>+SUMPRODUCT(BE160:BH160,AY$15:BB$15)/BC$15</f>
        <v>-2.5124343040823999E-3</v>
      </c>
      <c r="BJ160" s="1580"/>
      <c r="BK160" s="1654">
        <f>BK$19</f>
        <v>-1E-3</v>
      </c>
      <c r="BL160" s="1655">
        <f t="shared" ref="BL160" si="319">BL$19</f>
        <v>7.0000000000000001E-3</v>
      </c>
      <c r="BM160" s="1661">
        <v>0</v>
      </c>
      <c r="BN160" s="1592">
        <v>0</v>
      </c>
      <c r="BO160" s="1579">
        <f>+SUMPRODUCT(BK160:BN160,BE$15:BH$15)/BI$15</f>
        <v>1.5871382636655949E-3</v>
      </c>
      <c r="BP160" s="1580"/>
      <c r="BQ160" s="1591">
        <v>0</v>
      </c>
      <c r="BR160" s="1592">
        <v>0</v>
      </c>
      <c r="BS160" s="1592">
        <v>0</v>
      </c>
      <c r="BT160" s="1592">
        <v>0</v>
      </c>
      <c r="BU160" s="1579">
        <f>+SUMPRODUCT(BQ160:BT160,BK$15:BN$15)/BO$15</f>
        <v>0</v>
      </c>
      <c r="BV160" s="1580"/>
      <c r="BW160" s="1591">
        <v>0</v>
      </c>
      <c r="BX160" s="1592">
        <v>0</v>
      </c>
      <c r="BY160" s="1592">
        <v>0</v>
      </c>
      <c r="BZ160" s="1592">
        <v>0</v>
      </c>
      <c r="CA160" s="1579">
        <f t="shared" si="310"/>
        <v>0</v>
      </c>
      <c r="CB160" s="1580"/>
      <c r="CC160" s="1591">
        <v>0</v>
      </c>
      <c r="CD160" s="1592">
        <v>0</v>
      </c>
      <c r="CE160" s="1592">
        <v>0</v>
      </c>
      <c r="CF160" s="1592">
        <v>0</v>
      </c>
      <c r="CG160" s="1579">
        <f t="shared" si="312"/>
        <v>0</v>
      </c>
      <c r="CH160" s="1580"/>
      <c r="CI160" s="1591">
        <v>0</v>
      </c>
      <c r="CJ160" s="1592">
        <v>0</v>
      </c>
      <c r="CK160" s="1592">
        <v>0</v>
      </c>
      <c r="CL160" s="1592">
        <v>0</v>
      </c>
      <c r="CM160" s="1579">
        <f t="shared" si="314"/>
        <v>0</v>
      </c>
      <c r="CN160" s="62"/>
      <c r="CQ160"/>
      <c r="CR160"/>
      <c r="CS160"/>
      <c r="CT160"/>
      <c r="CU160"/>
      <c r="CV160"/>
    </row>
    <row r="161" spans="1:16384" s="928" customFormat="1" ht="11.25" customHeight="1" outlineLevel="1" x14ac:dyDescent="0.2">
      <c r="A161" s="27"/>
      <c r="B161" s="1593" t="s">
        <v>589</v>
      </c>
      <c r="C161" s="1562"/>
      <c r="D161" s="1563"/>
      <c r="E161" s="1563"/>
      <c r="F161" s="1563"/>
      <c r="G161" s="1564"/>
      <c r="H161" s="1565"/>
      <c r="I161" s="1562"/>
      <c r="J161" s="1563"/>
      <c r="K161" s="1563"/>
      <c r="L161" s="1563"/>
      <c r="M161" s="1564"/>
      <c r="N161" s="1565"/>
      <c r="O161" s="1562"/>
      <c r="P161" s="1563"/>
      <c r="Q161" s="1563"/>
      <c r="R161" s="1563"/>
      <c r="S161" s="1564"/>
      <c r="T161" s="1565"/>
      <c r="U161" s="1562"/>
      <c r="V161" s="1563"/>
      <c r="W161" s="1563"/>
      <c r="X161" s="1563"/>
      <c r="Y161" s="1564"/>
      <c r="Z161" s="1565"/>
      <c r="AA161" s="1562"/>
      <c r="AB161" s="1563"/>
      <c r="AC161" s="1563"/>
      <c r="AD161" s="1563"/>
      <c r="AE161" s="1564"/>
      <c r="AF161" s="1565"/>
      <c r="AG161" s="1562"/>
      <c r="AH161" s="1563"/>
      <c r="AI161" s="1563"/>
      <c r="AJ161" s="1563"/>
      <c r="AK161" s="1564"/>
      <c r="AL161" s="1565"/>
      <c r="AM161" s="1562"/>
      <c r="AN161" s="1563"/>
      <c r="AO161" s="1563"/>
      <c r="AP161" s="1563"/>
      <c r="AQ161" s="1564"/>
      <c r="AR161" s="1565"/>
      <c r="AS161" s="1562"/>
      <c r="AT161" s="1563"/>
      <c r="AU161" s="1563"/>
      <c r="AV161" s="1563"/>
      <c r="AW161" s="1564"/>
      <c r="AX161" s="1565"/>
      <c r="AY161" s="1562"/>
      <c r="AZ161" s="1563"/>
      <c r="BA161" s="1563"/>
      <c r="BB161" s="1563"/>
      <c r="BC161" s="1564"/>
      <c r="BD161" s="1565"/>
      <c r="BE161" s="1651">
        <f>+BE158-BE160</f>
        <v>6.8738826972869788E-2</v>
      </c>
      <c r="BF161" s="1656">
        <f>+BF158-BF160</f>
        <v>3.6731966125905333E-2</v>
      </c>
      <c r="BG161" s="1656">
        <f>+BG158-BG160</f>
        <v>6.6041555103349978E-3</v>
      </c>
      <c r="BH161" s="1656">
        <f>+BH158-BH160</f>
        <v>4.1331086773378156E-2</v>
      </c>
      <c r="BI161" s="1564">
        <f>+SUMPRODUCT(BE161:BH161,AY$15:BB$15)/BC$15</f>
        <v>3.7967758963322926E-2</v>
      </c>
      <c r="BJ161" s="1565"/>
      <c r="BK161" s="1651">
        <f>+BK158-BK160</f>
        <v>-0.22993941207246396</v>
      </c>
      <c r="BL161" s="1656">
        <f>+BL158-BL160</f>
        <v>-1.8528891353192599E-2</v>
      </c>
      <c r="BM161" s="1656">
        <f>+BM158-BM160</f>
        <v>5.2999999999999999E-2</v>
      </c>
      <c r="BN161" s="1563">
        <f>+BN158-BN160</f>
        <v>0.03</v>
      </c>
      <c r="BO161" s="1564">
        <f>+SUMPRODUCT(BK161:BN161,BE$15:BH$15)/BI$15</f>
        <v>-3.9829586926457536E-2</v>
      </c>
      <c r="BP161" s="1565"/>
      <c r="BQ161" s="1562">
        <f>+BQ158-BQ160</f>
        <v>0.04</v>
      </c>
      <c r="BR161" s="1563">
        <f>+BR158-BR160</f>
        <v>0.04</v>
      </c>
      <c r="BS161" s="1563">
        <f>+BS158-BS160</f>
        <v>0.04</v>
      </c>
      <c r="BT161" s="1563">
        <f>+BT158-BT160</f>
        <v>0.04</v>
      </c>
      <c r="BU161" s="1564">
        <f>+SUMPRODUCT(BQ161:BT161,BK$15:BN$15)/BO$15</f>
        <v>4.0000000000000008E-2</v>
      </c>
      <c r="BV161" s="1565"/>
      <c r="BW161" s="1562">
        <f t="shared" ref="BW161:BZ161" si="320">+BW158-BW160</f>
        <v>0.04</v>
      </c>
      <c r="BX161" s="1563">
        <f t="shared" si="320"/>
        <v>0.04</v>
      </c>
      <c r="BY161" s="1563">
        <f t="shared" si="320"/>
        <v>0.04</v>
      </c>
      <c r="BZ161" s="1563">
        <f t="shared" si="320"/>
        <v>0.04</v>
      </c>
      <c r="CA161" s="1564">
        <f t="shared" si="310"/>
        <v>4.0000000000000008E-2</v>
      </c>
      <c r="CB161" s="1565"/>
      <c r="CC161" s="1562">
        <f t="shared" ref="CC161:CF161" si="321">+CC158-CC160</f>
        <v>0.04</v>
      </c>
      <c r="CD161" s="1563">
        <f t="shared" si="321"/>
        <v>0.04</v>
      </c>
      <c r="CE161" s="1563">
        <f t="shared" si="321"/>
        <v>0.04</v>
      </c>
      <c r="CF161" s="1563">
        <f t="shared" si="321"/>
        <v>0.04</v>
      </c>
      <c r="CG161" s="1564">
        <f t="shared" si="312"/>
        <v>0.04</v>
      </c>
      <c r="CH161" s="1565"/>
      <c r="CI161" s="1562">
        <f t="shared" ref="CI161:CL161" si="322">+CI158-CI160</f>
        <v>0.04</v>
      </c>
      <c r="CJ161" s="1563">
        <f t="shared" si="322"/>
        <v>0.04</v>
      </c>
      <c r="CK161" s="1563">
        <f t="shared" si="322"/>
        <v>0.04</v>
      </c>
      <c r="CL161" s="1563">
        <f t="shared" si="322"/>
        <v>0.04</v>
      </c>
      <c r="CM161" s="1564">
        <f t="shared" si="314"/>
        <v>0.04</v>
      </c>
      <c r="CN161" s="62"/>
      <c r="CQ161"/>
      <c r="CR161"/>
      <c r="CS161"/>
      <c r="CT161"/>
      <c r="CU161"/>
      <c r="CV161"/>
    </row>
    <row r="162" spans="1:16384" s="928" customFormat="1" ht="11.25" customHeight="1" outlineLevel="1" x14ac:dyDescent="0.2">
      <c r="A162" s="27"/>
      <c r="B162" s="1576"/>
      <c r="C162" s="1584"/>
      <c r="D162" s="1585"/>
      <c r="E162" s="1585"/>
      <c r="F162" s="1586"/>
      <c r="G162" s="1579"/>
      <c r="H162" s="1587"/>
      <c r="I162" s="1584"/>
      <c r="J162" s="1585"/>
      <c r="K162" s="1585"/>
      <c r="L162" s="1586"/>
      <c r="M162" s="1579"/>
      <c r="N162" s="1587"/>
      <c r="O162" s="1584"/>
      <c r="P162" s="1585"/>
      <c r="Q162" s="1585"/>
      <c r="R162" s="1586"/>
      <c r="S162" s="1579"/>
      <c r="T162" s="1587"/>
      <c r="U162" s="1584"/>
      <c r="V162" s="1585"/>
      <c r="W162" s="1585"/>
      <c r="X162" s="1586"/>
      <c r="Y162" s="1579"/>
      <c r="Z162" s="1587"/>
      <c r="AA162" s="1584"/>
      <c r="AB162" s="1585"/>
      <c r="AC162" s="1585"/>
      <c r="AD162" s="1586"/>
      <c r="AE162" s="1579"/>
      <c r="AF162" s="1580"/>
      <c r="AG162" s="1584"/>
      <c r="AH162" s="1585"/>
      <c r="AI162" s="1585"/>
      <c r="AJ162" s="1586"/>
      <c r="AK162" s="1579"/>
      <c r="AL162" s="1580"/>
      <c r="AM162" s="1584"/>
      <c r="AN162" s="1585"/>
      <c r="AO162" s="1585"/>
      <c r="AP162" s="1586"/>
      <c r="AQ162" s="1579"/>
      <c r="AR162" s="1580"/>
      <c r="AS162" s="1584"/>
      <c r="AT162" s="1585"/>
      <c r="AU162" s="1585"/>
      <c r="AV162" s="1586"/>
      <c r="AW162" s="1588"/>
      <c r="AX162" s="1580"/>
      <c r="AY162" s="1584"/>
      <c r="AZ162" s="1585"/>
      <c r="BA162" s="1585"/>
      <c r="BB162" s="1586"/>
      <c r="BC162" s="1579"/>
      <c r="BD162" s="1580"/>
      <c r="BE162" s="1591"/>
      <c r="BF162" s="1585"/>
      <c r="BG162" s="1585"/>
      <c r="BH162" s="1585"/>
      <c r="BI162" s="1579"/>
      <c r="BJ162" s="1580"/>
      <c r="BK162" s="1591"/>
      <c r="BL162" s="1585"/>
      <c r="BM162" s="1585"/>
      <c r="BN162" s="1596"/>
      <c r="BO162" s="1579"/>
      <c r="BP162" s="1580"/>
      <c r="BQ162" s="1591"/>
      <c r="BR162" s="1592"/>
      <c r="BS162" s="1592"/>
      <c r="BT162" s="1596"/>
      <c r="BU162" s="1579"/>
      <c r="BV162" s="1580"/>
      <c r="BW162" s="1591"/>
      <c r="BX162" s="1592"/>
      <c r="BY162" s="1592"/>
      <c r="BZ162" s="1596"/>
      <c r="CA162" s="1579"/>
      <c r="CB162" s="1580"/>
      <c r="CC162" s="1591"/>
      <c r="CD162" s="1592"/>
      <c r="CE162" s="1592"/>
      <c r="CF162" s="1596"/>
      <c r="CG162" s="1579"/>
      <c r="CH162" s="1580"/>
      <c r="CI162" s="1591"/>
      <c r="CJ162" s="1592"/>
      <c r="CK162" s="1592"/>
      <c r="CL162" s="1596"/>
      <c r="CM162" s="1579"/>
      <c r="CN162" s="62"/>
      <c r="CQ162"/>
      <c r="CR162"/>
      <c r="CS162"/>
      <c r="CT162"/>
      <c r="CU162"/>
      <c r="CV162"/>
    </row>
    <row r="163" spans="1:16384" s="928" customFormat="1" ht="11.25" customHeight="1" outlineLevel="1" x14ac:dyDescent="0.2">
      <c r="A163" s="27"/>
      <c r="B163" s="1662" t="s">
        <v>762</v>
      </c>
      <c r="C163" s="1663"/>
      <c r="D163" s="1663"/>
      <c r="E163" s="1663"/>
      <c r="F163" s="1663"/>
      <c r="G163" s="1663"/>
      <c r="H163" s="1663"/>
      <c r="I163" s="1663"/>
      <c r="J163" s="1663"/>
      <c r="K163" s="1663"/>
      <c r="L163" s="1663"/>
      <c r="M163" s="1663"/>
      <c r="N163" s="1663"/>
      <c r="O163" s="1663"/>
      <c r="P163" s="1663"/>
      <c r="Q163" s="1663"/>
      <c r="R163" s="1663"/>
      <c r="S163" s="1663"/>
      <c r="T163" s="1663"/>
      <c r="U163" s="1663"/>
      <c r="V163" s="1663"/>
      <c r="W163" s="1663"/>
      <c r="X163" s="1663"/>
      <c r="Y163" s="1663"/>
      <c r="Z163" s="1663"/>
      <c r="AA163" s="1663"/>
      <c r="AB163" s="1663"/>
      <c r="AC163" s="1663"/>
      <c r="AD163" s="1663"/>
      <c r="AE163" s="1663"/>
      <c r="AF163" s="1663"/>
      <c r="AG163" s="1663"/>
      <c r="AH163" s="1663"/>
      <c r="AI163" s="1663"/>
      <c r="AJ163" s="1663"/>
      <c r="AK163" s="1579"/>
      <c r="AL163" s="1580"/>
      <c r="AM163" s="1584"/>
      <c r="AN163" s="1585"/>
      <c r="AO163" s="1585"/>
      <c r="AP163" s="1586"/>
      <c r="AQ163" s="1579"/>
      <c r="AR163" s="1580"/>
      <c r="AS163" s="1584"/>
      <c r="AT163" s="1585"/>
      <c r="AU163" s="1585"/>
      <c r="AV163" s="1586"/>
      <c r="AW163" s="1588"/>
      <c r="AX163" s="1580"/>
      <c r="AY163" s="1664">
        <f>+AY156+AY149+AY142</f>
        <v>888.3</v>
      </c>
      <c r="AZ163" s="1665">
        <f>+AZ156+AZ149+AZ142</f>
        <v>980.09999999999991</v>
      </c>
      <c r="BA163" s="1665">
        <f>+BA156+BA149+BA142</f>
        <v>933.7</v>
      </c>
      <c r="BB163" s="1666">
        <f>+BB156+BB149+BB142</f>
        <v>949.6</v>
      </c>
      <c r="BC163" s="1667">
        <f>+BC156+BC149+BC142</f>
        <v>3751.7</v>
      </c>
      <c r="BD163" s="1668"/>
      <c r="BE163" s="1664">
        <f>+BE156+BE149+BE142</f>
        <v>923.60000000000014</v>
      </c>
      <c r="BF163" s="1665">
        <f>+BF156+BF149+BF142</f>
        <v>1006.3</v>
      </c>
      <c r="BG163" s="1665">
        <f>+BG156+BG149+BG142</f>
        <v>940.8</v>
      </c>
      <c r="BH163" s="1665">
        <f>+BH156+BH149+BH142</f>
        <v>984.09999999999991</v>
      </c>
      <c r="BI163" s="1667">
        <f>+BI156+BI149+BI142</f>
        <v>3854.7999999999997</v>
      </c>
      <c r="BJ163" s="1669"/>
      <c r="BK163" s="1664">
        <f>+BK156+BK149+BK142</f>
        <v>890.90000000000009</v>
      </c>
      <c r="BL163" s="1665">
        <f>+BL156+BL149+BL142</f>
        <v>984.5</v>
      </c>
      <c r="BM163" s="1665">
        <f>+BM156+BM149+BM142</f>
        <v>1000.8000000000001</v>
      </c>
      <c r="BN163" s="1596"/>
      <c r="BO163" s="1579"/>
      <c r="BP163" s="1580"/>
      <c r="BQ163" s="1591"/>
      <c r="BR163" s="1592"/>
      <c r="BS163" s="1592"/>
      <c r="BT163" s="1596"/>
      <c r="BU163" s="1579"/>
      <c r="BV163" s="1580"/>
      <c r="BW163" s="1591"/>
      <c r="BX163" s="1592"/>
      <c r="BY163" s="1592"/>
      <c r="BZ163" s="1596"/>
      <c r="CA163" s="1579"/>
      <c r="CB163" s="1580"/>
      <c r="CC163" s="1591"/>
      <c r="CD163" s="1592"/>
      <c r="CE163" s="1592"/>
      <c r="CF163" s="1596"/>
      <c r="CG163" s="1579"/>
      <c r="CH163" s="1580"/>
      <c r="CI163" s="1591"/>
      <c r="CJ163" s="1592"/>
      <c r="CK163" s="1592"/>
      <c r="CL163" s="1596"/>
      <c r="CM163" s="1579"/>
      <c r="CN163" s="62"/>
      <c r="CQ163"/>
      <c r="CR163"/>
      <c r="CS163"/>
      <c r="CT163"/>
      <c r="CU163"/>
      <c r="CV163"/>
    </row>
    <row r="164" spans="1:16384" s="1069" customFormat="1" ht="11.25" customHeight="1" outlineLevel="1" x14ac:dyDescent="0.2">
      <c r="A164" s="27"/>
      <c r="B164" s="1670" t="s">
        <v>81</v>
      </c>
      <c r="C164" s="1671"/>
      <c r="D164" s="1671"/>
      <c r="E164" s="1671"/>
      <c r="F164" s="1671"/>
      <c r="G164" s="1671"/>
      <c r="H164" s="1671"/>
      <c r="I164" s="1671"/>
      <c r="J164" s="1671"/>
      <c r="K164" s="1671"/>
      <c r="L164" s="1671"/>
      <c r="M164" s="1671"/>
      <c r="N164" s="1671"/>
      <c r="O164" s="1671"/>
      <c r="P164" s="1671"/>
      <c r="Q164" s="1671"/>
      <c r="R164" s="1671"/>
      <c r="S164" s="1671"/>
      <c r="T164" s="1671"/>
      <c r="U164" s="1671"/>
      <c r="V164" s="1671"/>
      <c r="W164" s="1671"/>
      <c r="X164" s="1671"/>
      <c r="Y164" s="1671"/>
      <c r="Z164" s="1671"/>
      <c r="AA164" s="1671"/>
      <c r="AB164" s="1671"/>
      <c r="AC164" s="1671"/>
      <c r="AD164" s="1671"/>
      <c r="AE164" s="1671"/>
      <c r="AF164" s="1671"/>
      <c r="AG164" s="1671"/>
      <c r="AH164" s="1671"/>
      <c r="AI164" s="1671"/>
      <c r="AJ164" s="1671"/>
      <c r="AK164" s="1672"/>
      <c r="AL164" s="1673"/>
      <c r="AM164" s="1674"/>
      <c r="AN164" s="1675"/>
      <c r="AO164" s="1675"/>
      <c r="AP164" s="1676"/>
      <c r="AQ164" s="1672"/>
      <c r="AR164" s="1673"/>
      <c r="AS164" s="1674"/>
      <c r="AT164" s="1675"/>
      <c r="AU164" s="1675"/>
      <c r="AV164" s="1676"/>
      <c r="AW164" s="1677"/>
      <c r="AX164" s="1673"/>
      <c r="AY164" s="1678">
        <f>+AY163-AY63</f>
        <v>0</v>
      </c>
      <c r="AZ164" s="1679">
        <f>+AZ163-AZ63</f>
        <v>0</v>
      </c>
      <c r="BA164" s="1679">
        <f>+BA163-BA63</f>
        <v>0</v>
      </c>
      <c r="BB164" s="1680">
        <f>+BB163-BB63</f>
        <v>0</v>
      </c>
      <c r="BC164" s="1681">
        <f>+BC163-BC63</f>
        <v>0</v>
      </c>
      <c r="BD164" s="1682"/>
      <c r="BE164" s="1678">
        <f>+BE163-BE63</f>
        <v>0</v>
      </c>
      <c r="BF164" s="1679">
        <f>+BF163-BF63</f>
        <v>0</v>
      </c>
      <c r="BG164" s="1679">
        <f>+BG163-BG63</f>
        <v>0</v>
      </c>
      <c r="BH164" s="1679">
        <f>+BH163-BH63</f>
        <v>0</v>
      </c>
      <c r="BI164" s="1681">
        <f>+BI163-BI63</f>
        <v>0</v>
      </c>
      <c r="BJ164" s="1682"/>
      <c r="BK164" s="1678">
        <f>+BK163-BK63</f>
        <v>0</v>
      </c>
      <c r="BL164" s="1679">
        <f>+BL163-BL63</f>
        <v>0</v>
      </c>
      <c r="BM164" s="1679">
        <f>+BM163-BM63</f>
        <v>0</v>
      </c>
      <c r="BN164" s="1680"/>
      <c r="BO164" s="1672"/>
      <c r="BP164" s="1673"/>
      <c r="BQ164" s="1683"/>
      <c r="BR164" s="1684"/>
      <c r="BS164" s="1684"/>
      <c r="BT164" s="1685"/>
      <c r="BU164" s="1672"/>
      <c r="BV164" s="1673"/>
      <c r="BW164" s="1683"/>
      <c r="BX164" s="1684"/>
      <c r="BY164" s="1684"/>
      <c r="BZ164" s="1685"/>
      <c r="CA164" s="1672"/>
      <c r="CB164" s="1673"/>
      <c r="CC164" s="1683"/>
      <c r="CD164" s="1684"/>
      <c r="CE164" s="1684"/>
      <c r="CF164" s="1685"/>
      <c r="CG164" s="1672"/>
      <c r="CH164" s="1673"/>
      <c r="CI164" s="1683"/>
      <c r="CJ164" s="1684"/>
      <c r="CK164" s="1684"/>
      <c r="CL164" s="1685"/>
      <c r="CM164" s="1672"/>
      <c r="CN164" s="62"/>
      <c r="CQ164"/>
      <c r="CR164"/>
      <c r="CS164"/>
      <c r="CT164"/>
      <c r="CU164"/>
      <c r="CV164"/>
    </row>
    <row r="165" spans="1:16384" ht="11.25" customHeight="1" outlineLevel="1" x14ac:dyDescent="0.2">
      <c r="A165" s="27"/>
      <c r="B165" s="1663"/>
      <c r="C165" s="1663"/>
      <c r="D165" s="1663"/>
      <c r="E165" s="1663"/>
      <c r="F165" s="1663"/>
      <c r="G165" s="1663"/>
      <c r="H165" s="1663"/>
      <c r="I165" s="1663"/>
      <c r="J165" s="1663"/>
      <c r="K165" s="1663"/>
      <c r="L165" s="1663"/>
      <c r="M165" s="1663"/>
      <c r="N165" s="1663"/>
      <c r="O165" s="1663"/>
      <c r="P165" s="1663"/>
      <c r="Q165" s="1663"/>
      <c r="R165" s="1663"/>
      <c r="S165" s="1663"/>
      <c r="T165" s="1663"/>
      <c r="U165" s="1663"/>
      <c r="V165" s="1663"/>
      <c r="W165" s="1663"/>
      <c r="X165" s="1663"/>
      <c r="Y165" s="1663"/>
      <c r="Z165" s="1663"/>
      <c r="AA165" s="1663"/>
      <c r="AB165" s="1663"/>
      <c r="AC165" s="1663"/>
      <c r="AD165" s="1663"/>
      <c r="AE165" s="1663"/>
      <c r="AF165" s="1663"/>
      <c r="AG165" s="1663"/>
      <c r="AH165" s="1663"/>
      <c r="AI165" s="1663"/>
      <c r="AJ165" s="1663"/>
      <c r="AK165" s="1663"/>
      <c r="AL165" s="1663"/>
      <c r="AM165" s="1663"/>
      <c r="AN165" s="1663"/>
      <c r="AO165" s="1663"/>
      <c r="AP165" s="1663"/>
      <c r="AQ165" s="1663"/>
      <c r="AR165" s="1686"/>
      <c r="AS165" s="1663"/>
      <c r="AT165" s="1663"/>
      <c r="AU165" s="1663"/>
      <c r="AV165" s="1663"/>
      <c r="AW165" s="1663"/>
      <c r="AX165" s="1663"/>
      <c r="AY165" s="1663"/>
      <c r="AZ165" s="1663"/>
      <c r="BA165" s="1663"/>
      <c r="BB165" s="1663"/>
      <c r="BC165" s="1663"/>
      <c r="BD165" s="1663"/>
      <c r="BE165" s="1663"/>
      <c r="BF165" s="1663"/>
      <c r="BG165" s="1663"/>
      <c r="BH165" s="1663"/>
      <c r="BI165" s="1663"/>
      <c r="BJ165" s="1663"/>
      <c r="BK165" s="1663"/>
      <c r="BL165" s="1663"/>
      <c r="BM165" s="1663"/>
      <c r="BN165" s="1663"/>
      <c r="BO165" s="1663"/>
      <c r="BP165" s="1663"/>
      <c r="BQ165" s="1663"/>
      <c r="BR165" s="1663"/>
      <c r="BS165" s="1663"/>
      <c r="BT165" s="1663"/>
      <c r="BU165" s="1663"/>
      <c r="BV165" s="1663"/>
      <c r="BW165" s="1663"/>
      <c r="BX165" s="1663"/>
      <c r="BY165" s="1663"/>
      <c r="BZ165" s="1663"/>
      <c r="CA165" s="1663"/>
      <c r="CB165" s="1663"/>
      <c r="CC165" s="1663"/>
      <c r="CD165" s="1663"/>
      <c r="CE165" s="1663"/>
      <c r="CF165" s="1663"/>
      <c r="CG165" s="1663"/>
      <c r="CH165" s="1687"/>
      <c r="CI165" s="1663"/>
      <c r="CJ165" s="1663"/>
      <c r="CK165" s="1663"/>
      <c r="CL165" s="1663"/>
      <c r="CM165" s="1663"/>
    </row>
    <row r="166" spans="1:16384" ht="11.25" customHeight="1" outlineLevel="1" x14ac:dyDescent="0.2">
      <c r="A166" s="27"/>
      <c r="B166" s="1639" t="s">
        <v>758</v>
      </c>
      <c r="C166" s="1640"/>
      <c r="D166" s="1641"/>
      <c r="E166" s="1641"/>
      <c r="F166" s="1641"/>
      <c r="G166" s="1642"/>
      <c r="H166" s="1643"/>
      <c r="I166" s="1640"/>
      <c r="J166" s="1641"/>
      <c r="K166" s="1641"/>
      <c r="L166" s="1641"/>
      <c r="M166" s="1642"/>
      <c r="N166" s="1643"/>
      <c r="O166" s="1640"/>
      <c r="P166" s="1641"/>
      <c r="Q166" s="1641"/>
      <c r="R166" s="1641"/>
      <c r="S166" s="1642"/>
      <c r="T166" s="1643"/>
      <c r="U166" s="1640"/>
      <c r="V166" s="1641"/>
      <c r="W166" s="1641"/>
      <c r="X166" s="1641"/>
      <c r="Y166" s="1642"/>
      <c r="Z166" s="1643"/>
      <c r="AA166" s="1640"/>
      <c r="AB166" s="1641"/>
      <c r="AC166" s="1641"/>
      <c r="AD166" s="1641"/>
      <c r="AE166" s="1642"/>
      <c r="AF166" s="1643"/>
      <c r="AG166" s="1640"/>
      <c r="AH166" s="1641"/>
      <c r="AI166" s="1641"/>
      <c r="AJ166" s="1641"/>
      <c r="AK166" s="1642"/>
      <c r="AL166" s="1643"/>
      <c r="AM166" s="1640"/>
      <c r="AN166" s="1641"/>
      <c r="AO166" s="1641"/>
      <c r="AP166" s="1641"/>
      <c r="AQ166" s="1642"/>
      <c r="AR166" s="1643"/>
      <c r="AS166" s="1640"/>
      <c r="AT166" s="1641"/>
      <c r="AU166" s="1641"/>
      <c r="AV166" s="1641"/>
      <c r="AW166" s="1642"/>
      <c r="AX166" s="1643"/>
      <c r="AY166" s="1641"/>
      <c r="AZ166" s="1641"/>
      <c r="BA166" s="1641"/>
      <c r="BB166" s="1641"/>
      <c r="BC166" s="1642"/>
      <c r="BD166" s="1643"/>
      <c r="BE166" s="1644"/>
      <c r="BF166" s="1645"/>
      <c r="BG166" s="1645"/>
      <c r="BH166" s="1641"/>
      <c r="BI166" s="1642"/>
      <c r="BJ166" s="1643"/>
      <c r="BK166" s="1640"/>
      <c r="BL166" s="1641"/>
      <c r="BM166" s="1641"/>
      <c r="BN166" s="1641"/>
      <c r="BO166" s="1642"/>
      <c r="BP166" s="1643"/>
      <c r="BQ166" s="1640"/>
      <c r="BR166" s="1641"/>
      <c r="BS166" s="1641"/>
      <c r="BT166" s="1641"/>
      <c r="BU166" s="1642"/>
      <c r="BV166" s="1643"/>
      <c r="BW166" s="1640"/>
      <c r="BX166" s="1641"/>
      <c r="BY166" s="1641"/>
      <c r="BZ166" s="1641"/>
      <c r="CA166" s="1642"/>
      <c r="CB166" s="1643"/>
      <c r="CC166" s="1640"/>
      <c r="CD166" s="1641"/>
      <c r="CE166" s="1641"/>
      <c r="CF166" s="1641"/>
      <c r="CG166" s="1642"/>
      <c r="CH166" s="1643"/>
      <c r="CI166" s="1640"/>
      <c r="CJ166" s="1641"/>
      <c r="CK166" s="1641"/>
      <c r="CL166" s="1641"/>
      <c r="CM166" s="1642"/>
    </row>
    <row r="167" spans="1:16384" ht="11.25" customHeight="1" outlineLevel="1" x14ac:dyDescent="0.2">
      <c r="A167" s="27"/>
      <c r="B167" s="1561"/>
      <c r="C167" s="1566"/>
      <c r="D167" s="1567"/>
      <c r="E167" s="1567"/>
      <c r="F167" s="1567"/>
      <c r="G167" s="1568"/>
      <c r="H167" s="1567"/>
      <c r="I167" s="1566"/>
      <c r="J167" s="1567"/>
      <c r="K167" s="1567"/>
      <c r="L167" s="1567"/>
      <c r="M167" s="1568"/>
      <c r="N167" s="1569"/>
      <c r="O167" s="1566"/>
      <c r="P167" s="1567"/>
      <c r="Q167" s="1567"/>
      <c r="R167" s="1567"/>
      <c r="S167" s="1568"/>
      <c r="T167" s="1570"/>
      <c r="U167" s="1566"/>
      <c r="V167" s="1567"/>
      <c r="W167" s="1567"/>
      <c r="X167" s="1567"/>
      <c r="Y167" s="1568"/>
      <c r="Z167" s="1570"/>
      <c r="AA167" s="1566"/>
      <c r="AB167" s="1567"/>
      <c r="AC167" s="1567"/>
      <c r="AD167" s="1567"/>
      <c r="AE167" s="1568"/>
      <c r="AF167" s="1571"/>
      <c r="AG167" s="1566"/>
      <c r="AH167" s="1567"/>
      <c r="AI167" s="1567"/>
      <c r="AJ167" s="1567"/>
      <c r="AK167" s="1568"/>
      <c r="AL167" s="1571"/>
      <c r="AM167" s="1566"/>
      <c r="AN167" s="1567"/>
      <c r="AO167" s="1567"/>
      <c r="AP167" s="1567"/>
      <c r="AQ167" s="1568"/>
      <c r="AR167" s="1571"/>
      <c r="AS167" s="1572"/>
      <c r="AT167" s="1573"/>
      <c r="AU167" s="1573"/>
      <c r="AV167" s="1573"/>
      <c r="AW167" s="1568"/>
      <c r="AX167" s="1571"/>
      <c r="AY167" s="1688"/>
      <c r="AZ167" s="1689"/>
      <c r="BA167" s="1689"/>
      <c r="BB167" s="1689"/>
      <c r="BC167" s="1667"/>
      <c r="BD167" s="1690"/>
      <c r="BE167" s="1691"/>
      <c r="BF167" s="1689"/>
      <c r="BG167" s="1692"/>
      <c r="BH167" s="1689"/>
      <c r="BI167" s="1667"/>
      <c r="BJ167" s="1690"/>
      <c r="BK167" s="1691"/>
      <c r="BL167" s="1689"/>
      <c r="BM167" s="1692"/>
      <c r="BN167" s="1689"/>
      <c r="BO167" s="1667"/>
      <c r="BP167" s="1690"/>
      <c r="BQ167" s="1664"/>
      <c r="BR167" s="1689"/>
      <c r="BS167" s="1689"/>
      <c r="BT167" s="1573"/>
      <c r="BU167" s="1568"/>
      <c r="BV167" s="1574"/>
      <c r="BW167" s="1572"/>
      <c r="BX167" s="1573"/>
      <c r="BY167" s="1573"/>
      <c r="BZ167" s="1573"/>
      <c r="CA167" s="1568"/>
      <c r="CB167" s="1574"/>
      <c r="CC167" s="1572"/>
      <c r="CD167" s="1573"/>
      <c r="CE167" s="1573"/>
      <c r="CF167" s="1573"/>
      <c r="CG167" s="1568"/>
      <c r="CH167" s="1574"/>
      <c r="CI167" s="1572"/>
      <c r="CJ167" s="1573"/>
      <c r="CK167" s="1573"/>
      <c r="CL167" s="1573"/>
      <c r="CM167" s="1568"/>
    </row>
    <row r="168" spans="1:16384" s="1101" customFormat="1" ht="11.25" customHeight="1" outlineLevel="1" x14ac:dyDescent="0.2">
      <c r="A168" s="27"/>
      <c r="B168" s="1662" t="s">
        <v>755</v>
      </c>
      <c r="C168" s="1577"/>
      <c r="D168" s="1578"/>
      <c r="E168" s="1578"/>
      <c r="F168" s="1578"/>
      <c r="G168" s="1579"/>
      <c r="H168" s="1580"/>
      <c r="I168" s="1577"/>
      <c r="J168" s="1578"/>
      <c r="K168" s="1578"/>
      <c r="L168" s="1578"/>
      <c r="M168" s="1579"/>
      <c r="N168" s="1580"/>
      <c r="O168" s="1577"/>
      <c r="P168" s="1578"/>
      <c r="Q168" s="1578"/>
      <c r="R168" s="1578"/>
      <c r="S168" s="1579"/>
      <c r="T168" s="1580"/>
      <c r="U168" s="1577"/>
      <c r="V168" s="1578"/>
      <c r="W168" s="1578"/>
      <c r="X168" s="1578"/>
      <c r="Y168" s="1579"/>
      <c r="Z168" s="1580"/>
      <c r="AA168" s="1577"/>
      <c r="AB168" s="1581"/>
      <c r="AC168" s="1581"/>
      <c r="AD168" s="1581"/>
      <c r="AE168" s="1579"/>
      <c r="AF168" s="1580"/>
      <c r="AG168" s="1582"/>
      <c r="AH168" s="1581"/>
      <c r="AI168" s="1581"/>
      <c r="AJ168" s="1581"/>
      <c r="AK168" s="1579"/>
      <c r="AL168" s="1580"/>
      <c r="AM168" s="1582"/>
      <c r="AN168" s="1581"/>
      <c r="AO168" s="1581"/>
      <c r="AP168" s="1581"/>
      <c r="AQ168" s="1579"/>
      <c r="AR168" s="1580"/>
      <c r="AS168" s="1582"/>
      <c r="AT168" s="1581"/>
      <c r="AU168" s="1581"/>
      <c r="AV168" s="1581"/>
      <c r="AW168" s="1579"/>
      <c r="AX168" s="1580"/>
      <c r="AY168" s="1577"/>
      <c r="AZ168" s="1578"/>
      <c r="BA168" s="1578"/>
      <c r="BB168" s="1578"/>
      <c r="BC168" s="1579"/>
      <c r="BD168" s="1580"/>
      <c r="BE168" s="1664">
        <f>(BF168/BF$174)*BE$174</f>
        <v>57.395497142155094</v>
      </c>
      <c r="BF168" s="1665">
        <f>(BG168/BG$174)*BF$174</f>
        <v>78.694475137680499</v>
      </c>
      <c r="BG168" s="1665">
        <v>84.2</v>
      </c>
      <c r="BH168" s="1665"/>
      <c r="BI168" s="1667"/>
      <c r="BJ168" s="1669"/>
      <c r="BK168" s="1664">
        <f>(BL168/BL$174)*BK$174</f>
        <v>56.143543035807184</v>
      </c>
      <c r="BL168" s="1665">
        <f>(BM168/BM$174)*BL$174</f>
        <v>74.060887398823382</v>
      </c>
      <c r="BM168" s="1665">
        <v>85.2</v>
      </c>
      <c r="BN168" s="1578"/>
      <c r="BO168" s="1579"/>
      <c r="BP168" s="1580"/>
      <c r="BQ168" s="1577"/>
      <c r="BR168" s="1578"/>
      <c r="BS168" s="1578"/>
      <c r="BT168" s="1578"/>
      <c r="BU168" s="1579"/>
      <c r="BV168" s="1580"/>
      <c r="BW168" s="1577"/>
      <c r="BX168" s="1578"/>
      <c r="BY168" s="1578"/>
      <c r="BZ168" s="1578"/>
      <c r="CA168" s="1579"/>
      <c r="CB168" s="1580"/>
      <c r="CC168" s="1577"/>
      <c r="CD168" s="1578"/>
      <c r="CE168" s="1578"/>
      <c r="CF168" s="1578"/>
      <c r="CG168" s="1579"/>
      <c r="CH168" s="1580"/>
      <c r="CI168" s="1577"/>
      <c r="CJ168" s="1578"/>
      <c r="CK168" s="1578"/>
      <c r="CL168" s="1578"/>
      <c r="CM168" s="1579"/>
      <c r="CN168" s="62"/>
      <c r="CQ168"/>
      <c r="CR168"/>
      <c r="CS168"/>
      <c r="CT168"/>
      <c r="CU168"/>
      <c r="CV168"/>
    </row>
    <row r="169" spans="1:16384" s="1549" customFormat="1" ht="11.25" customHeight="1" outlineLevel="1" x14ac:dyDescent="0.2">
      <c r="A169" s="27"/>
      <c r="B169" s="1693" t="s">
        <v>761</v>
      </c>
      <c r="C169" s="1584"/>
      <c r="D169" s="1585"/>
      <c r="E169" s="1585"/>
      <c r="F169" s="1586"/>
      <c r="G169" s="1579"/>
      <c r="H169" s="1587"/>
      <c r="I169" s="1584"/>
      <c r="J169" s="1585"/>
      <c r="K169" s="1585"/>
      <c r="L169" s="1586"/>
      <c r="M169" s="1579"/>
      <c r="N169" s="1587"/>
      <c r="O169" s="1584"/>
      <c r="P169" s="1585"/>
      <c r="Q169" s="1585"/>
      <c r="R169" s="1586"/>
      <c r="S169" s="1579"/>
      <c r="T169" s="1587"/>
      <c r="U169" s="1584"/>
      <c r="V169" s="1585"/>
      <c r="W169" s="1585"/>
      <c r="X169" s="1586"/>
      <c r="Y169" s="1579"/>
      <c r="Z169" s="1587"/>
      <c r="AA169" s="1584"/>
      <c r="AB169" s="1585"/>
      <c r="AC169" s="1585"/>
      <c r="AD169" s="1586"/>
      <c r="AE169" s="1579"/>
      <c r="AF169" s="1580"/>
      <c r="AG169" s="1584"/>
      <c r="AH169" s="1585"/>
      <c r="AI169" s="1585"/>
      <c r="AJ169" s="1586"/>
      <c r="AK169" s="1579"/>
      <c r="AL169" s="1580"/>
      <c r="AM169" s="1584"/>
      <c r="AN169" s="1585"/>
      <c r="AO169" s="1585"/>
      <c r="AP169" s="1586"/>
      <c r="AQ169" s="1579"/>
      <c r="AR169" s="1580"/>
      <c r="AS169" s="1584"/>
      <c r="AT169" s="1585"/>
      <c r="AU169" s="1585"/>
      <c r="AV169" s="1586"/>
      <c r="AW169" s="1588"/>
      <c r="AX169" s="1580"/>
      <c r="AY169" s="1584"/>
      <c r="AZ169" s="1585"/>
      <c r="BA169" s="1585"/>
      <c r="BB169" s="1585"/>
      <c r="BC169" s="1579"/>
      <c r="BD169" s="1580"/>
      <c r="BE169" s="1694">
        <f>+BE168/BE142</f>
        <v>0.15243816161554655</v>
      </c>
      <c r="BF169" s="1695">
        <f t="shared" ref="BF169:BG169" si="323">+BF168/BF142</f>
        <v>0.19943685820138177</v>
      </c>
      <c r="BG169" s="1695">
        <f t="shared" si="323"/>
        <v>0.22824613716454326</v>
      </c>
      <c r="BH169" s="1578"/>
      <c r="BI169" s="1579"/>
      <c r="BJ169" s="1580"/>
      <c r="BK169" s="1694">
        <f>+BK168/BK142</f>
        <v>0.15471297276824364</v>
      </c>
      <c r="BL169" s="1695">
        <f t="shared" ref="BL169" si="324">+BL168/BL142</f>
        <v>0.19499374758048493</v>
      </c>
      <c r="BM169" s="1695">
        <f t="shared" ref="BM169" si="325">+BM168/BM142</f>
        <v>0.22066822066822067</v>
      </c>
      <c r="BN169" s="1578"/>
      <c r="BO169" s="1579"/>
      <c r="BP169" s="1580"/>
      <c r="BQ169" s="1577"/>
      <c r="BR169" s="1578"/>
      <c r="BS169" s="1578"/>
      <c r="BT169" s="1578"/>
      <c r="BU169" s="1579"/>
      <c r="BV169" s="1580"/>
      <c r="BW169" s="1577"/>
      <c r="BX169" s="1578"/>
      <c r="BY169" s="1578"/>
      <c r="BZ169" s="1578"/>
      <c r="CA169" s="1579"/>
      <c r="CB169" s="1580"/>
      <c r="CC169" s="1577"/>
      <c r="CD169" s="1578"/>
      <c r="CE169" s="1578"/>
      <c r="CF169" s="1578"/>
      <c r="CG169" s="1579"/>
      <c r="CH169" s="1580"/>
      <c r="CI169" s="1577"/>
      <c r="CJ169" s="1578"/>
      <c r="CK169" s="1578"/>
      <c r="CL169" s="1578"/>
      <c r="CM169" s="1579"/>
      <c r="CN169" s="62"/>
    </row>
    <row r="170" spans="1:16384" ht="11.25" customHeight="1" outlineLevel="1" x14ac:dyDescent="0.2">
      <c r="A170" s="27"/>
      <c r="B170" s="1662" t="s">
        <v>756</v>
      </c>
      <c r="C170" s="1577"/>
      <c r="D170" s="1578"/>
      <c r="E170" s="1578"/>
      <c r="F170" s="1578"/>
      <c r="G170" s="1579"/>
      <c r="H170" s="1580"/>
      <c r="I170" s="1577"/>
      <c r="J170" s="1578"/>
      <c r="K170" s="1578"/>
      <c r="L170" s="1578"/>
      <c r="M170" s="1579"/>
      <c r="N170" s="1580"/>
      <c r="O170" s="1577"/>
      <c r="P170" s="1578"/>
      <c r="Q170" s="1578"/>
      <c r="R170" s="1578"/>
      <c r="S170" s="1579"/>
      <c r="T170" s="1580"/>
      <c r="U170" s="1577"/>
      <c r="V170" s="1578"/>
      <c r="W170" s="1578"/>
      <c r="X170" s="1578"/>
      <c r="Y170" s="1579"/>
      <c r="Z170" s="1580"/>
      <c r="AA170" s="1577"/>
      <c r="AB170" s="1578"/>
      <c r="AC170" s="1578"/>
      <c r="AD170" s="1578"/>
      <c r="AE170" s="1579"/>
      <c r="AF170" s="1580"/>
      <c r="AG170" s="1577"/>
      <c r="AH170" s="1578"/>
      <c r="AI170" s="1578"/>
      <c r="AJ170" s="1578"/>
      <c r="AK170" s="1579"/>
      <c r="AL170" s="1580"/>
      <c r="AM170" s="1577"/>
      <c r="AN170" s="1578"/>
      <c r="AO170" s="1578"/>
      <c r="AP170" s="1578"/>
      <c r="AQ170" s="1579"/>
      <c r="AR170" s="1580"/>
      <c r="AS170" s="1577"/>
      <c r="AT170" s="1578"/>
      <c r="AU170" s="1578"/>
      <c r="AV170" s="1578"/>
      <c r="AW170" s="1579"/>
      <c r="AX170" s="1580"/>
      <c r="AY170" s="1582"/>
      <c r="AZ170" s="1589"/>
      <c r="BA170" s="1589"/>
      <c r="BB170" s="1589"/>
      <c r="BC170" s="1579"/>
      <c r="BD170" s="1580"/>
      <c r="BE170" s="1664">
        <f t="shared" ref="BE170" si="326">(BF170/BF$174)*BE$174</f>
        <v>75.527566310579374</v>
      </c>
      <c r="BF170" s="1689">
        <f t="shared" ref="BF170" si="327">(BG170/BG$174)*BF$174</f>
        <v>103.55520006241092</v>
      </c>
      <c r="BG170" s="1689">
        <v>110.8</v>
      </c>
      <c r="BH170" s="1689"/>
      <c r="BI170" s="1667"/>
      <c r="BJ170" s="1669"/>
      <c r="BK170" s="1664">
        <f t="shared" ref="BK170:BL172" si="328">(BL170/BL$174)*BK$174</f>
        <v>83.622248958262105</v>
      </c>
      <c r="BL170" s="1689">
        <f t="shared" si="328"/>
        <v>110.30899778064187</v>
      </c>
      <c r="BM170" s="1689">
        <v>126.9</v>
      </c>
      <c r="BN170" s="1578"/>
      <c r="BO170" s="1579"/>
      <c r="BP170" s="1580"/>
      <c r="BQ170" s="1577"/>
      <c r="BR170" s="1578"/>
      <c r="BS170" s="1578"/>
      <c r="BT170" s="1578"/>
      <c r="BU170" s="1579"/>
      <c r="BV170" s="1580"/>
      <c r="BW170" s="1577"/>
      <c r="BX170" s="1578"/>
      <c r="BY170" s="1578"/>
      <c r="BZ170" s="1578"/>
      <c r="CA170" s="1579"/>
      <c r="CB170" s="1580"/>
      <c r="CC170" s="1577"/>
      <c r="CD170" s="1578"/>
      <c r="CE170" s="1578"/>
      <c r="CF170" s="1578"/>
      <c r="CG170" s="1579"/>
      <c r="CH170" s="1580"/>
      <c r="CI170" s="1577"/>
      <c r="CJ170" s="1578"/>
      <c r="CK170" s="1578"/>
      <c r="CL170" s="1578"/>
      <c r="CM170" s="1579"/>
    </row>
    <row r="171" spans="1:16384" s="1549" customFormat="1" ht="11.25" customHeight="1" outlineLevel="1" x14ac:dyDescent="0.2">
      <c r="A171" s="27"/>
      <c r="B171" s="1693" t="s">
        <v>761</v>
      </c>
      <c r="C171" s="1584"/>
      <c r="D171" s="1585"/>
      <c r="E171" s="1585"/>
      <c r="F171" s="1586"/>
      <c r="G171" s="1588"/>
      <c r="H171" s="1580"/>
      <c r="I171" s="1584"/>
      <c r="J171" s="1585"/>
      <c r="K171" s="1585"/>
      <c r="L171" s="1586"/>
      <c r="M171" s="1588"/>
      <c r="N171" s="1580"/>
      <c r="O171" s="1584"/>
      <c r="P171" s="1585"/>
      <c r="Q171" s="1585"/>
      <c r="R171" s="1586"/>
      <c r="S171" s="1588"/>
      <c r="T171" s="1580"/>
      <c r="U171" s="1584"/>
      <c r="V171" s="1585"/>
      <c r="W171" s="1585"/>
      <c r="X171" s="1586"/>
      <c r="Y171" s="1588"/>
      <c r="Z171" s="1580"/>
      <c r="AA171" s="1584"/>
      <c r="AB171" s="1585"/>
      <c r="AC171" s="1585"/>
      <c r="AD171" s="1586"/>
      <c r="AE171" s="1588"/>
      <c r="AF171" s="1580"/>
      <c r="AG171" s="1584"/>
      <c r="AH171" s="1585"/>
      <c r="AI171" s="1585"/>
      <c r="AJ171" s="1586"/>
      <c r="AK171" s="1588"/>
      <c r="AL171" s="1580"/>
      <c r="AM171" s="1584"/>
      <c r="AN171" s="1585"/>
      <c r="AO171" s="1585"/>
      <c r="AP171" s="1586"/>
      <c r="AQ171" s="1588"/>
      <c r="AR171" s="1580"/>
      <c r="AS171" s="1584"/>
      <c r="AT171" s="1585"/>
      <c r="AU171" s="1585"/>
      <c r="AV171" s="1586"/>
      <c r="AW171" s="1588"/>
      <c r="AX171" s="1580"/>
      <c r="AY171" s="1577"/>
      <c r="AZ171" s="1590"/>
      <c r="BA171" s="1590"/>
      <c r="BB171" s="1590"/>
      <c r="BC171" s="1579"/>
      <c r="BD171" s="1580"/>
      <c r="BE171" s="1694">
        <f>+BE170/BE149</f>
        <v>0.20237819573462693</v>
      </c>
      <c r="BF171" s="1696">
        <f>+BF170/BF149</f>
        <v>0.25245058405504567</v>
      </c>
      <c r="BG171" s="1696">
        <f>+BG170/BG149</f>
        <v>0.28891786179921775</v>
      </c>
      <c r="BH171" s="1590"/>
      <c r="BI171" s="1579"/>
      <c r="BJ171" s="1580"/>
      <c r="BK171" s="1694">
        <f>+BK170/BK149</f>
        <v>0.21174477897285524</v>
      </c>
      <c r="BL171" s="1696">
        <f>+BL170/BL149</f>
        <v>0.27177736983069473</v>
      </c>
      <c r="BM171" s="1696">
        <f>+BM170/BM149</f>
        <v>0.30756180319922444</v>
      </c>
      <c r="BN171" s="1578"/>
      <c r="BO171" s="1579"/>
      <c r="BP171" s="1580"/>
      <c r="BQ171" s="1591"/>
      <c r="BR171" s="1592"/>
      <c r="BS171" s="1592"/>
      <c r="BT171" s="1592"/>
      <c r="BU171" s="1579"/>
      <c r="BV171" s="1580"/>
      <c r="BW171" s="1591"/>
      <c r="BX171" s="1592"/>
      <c r="BY171" s="1592"/>
      <c r="BZ171" s="1592"/>
      <c r="CA171" s="1579"/>
      <c r="CB171" s="1580"/>
      <c r="CC171" s="1591"/>
      <c r="CD171" s="1592"/>
      <c r="CE171" s="1592"/>
      <c r="CF171" s="1592"/>
      <c r="CG171" s="1579"/>
      <c r="CH171" s="1580"/>
      <c r="CI171" s="1591"/>
      <c r="CJ171" s="1592"/>
      <c r="CK171" s="1592"/>
      <c r="CL171" s="1592"/>
      <c r="CM171" s="1579"/>
      <c r="CN171" s="62"/>
    </row>
    <row r="172" spans="1:16384" ht="11.25" customHeight="1" outlineLevel="1" x14ac:dyDescent="0.2">
      <c r="A172" s="27"/>
      <c r="B172" s="1561" t="s">
        <v>757</v>
      </c>
      <c r="C172" s="1562"/>
      <c r="D172" s="1563"/>
      <c r="E172" s="1563"/>
      <c r="F172" s="1563"/>
      <c r="G172" s="1564"/>
      <c r="H172" s="1565"/>
      <c r="I172" s="1562"/>
      <c r="J172" s="1563"/>
      <c r="K172" s="1563"/>
      <c r="L172" s="1563"/>
      <c r="M172" s="1564"/>
      <c r="N172" s="1565"/>
      <c r="O172" s="1562"/>
      <c r="P172" s="1563"/>
      <c r="Q172" s="1563"/>
      <c r="R172" s="1563"/>
      <c r="S172" s="1564"/>
      <c r="T172" s="1565"/>
      <c r="U172" s="1562"/>
      <c r="V172" s="1563"/>
      <c r="W172" s="1563"/>
      <c r="X172" s="1563"/>
      <c r="Y172" s="1564"/>
      <c r="Z172" s="1565"/>
      <c r="AA172" s="1562"/>
      <c r="AB172" s="1563"/>
      <c r="AC172" s="1563"/>
      <c r="AD172" s="1563"/>
      <c r="AE172" s="1564"/>
      <c r="AF172" s="1565"/>
      <c r="AG172" s="1562"/>
      <c r="AH172" s="1563"/>
      <c r="AI172" s="1563"/>
      <c r="AJ172" s="1563"/>
      <c r="AK172" s="1564"/>
      <c r="AL172" s="1565"/>
      <c r="AM172" s="1562"/>
      <c r="AN172" s="1563"/>
      <c r="AO172" s="1563"/>
      <c r="AP172" s="1563"/>
      <c r="AQ172" s="1564"/>
      <c r="AR172" s="1565"/>
      <c r="AS172" s="1562"/>
      <c r="AT172" s="1563"/>
      <c r="AU172" s="1563"/>
      <c r="AV172" s="1563"/>
      <c r="AW172" s="1564"/>
      <c r="AX172" s="1565"/>
      <c r="AY172" s="1582"/>
      <c r="AZ172" s="1589"/>
      <c r="BA172" s="1589"/>
      <c r="BB172" s="1589"/>
      <c r="BC172" s="1579"/>
      <c r="BD172" s="1697"/>
      <c r="BE172" s="1698">
        <f t="shared" ref="BE172" si="329">(BF172/BF$174)*BE$174</f>
        <v>15.678104920066115</v>
      </c>
      <c r="BF172" s="1699">
        <f t="shared" ref="BF172" si="330">(BG172/BG$174)*BF$174</f>
        <v>21.496115536421037</v>
      </c>
      <c r="BG172" s="1699">
        <v>23</v>
      </c>
      <c r="BH172" s="1699"/>
      <c r="BI172" s="1700"/>
      <c r="BJ172" s="1701"/>
      <c r="BK172" s="1698">
        <f t="shared" si="328"/>
        <v>26.358470908829666</v>
      </c>
      <c r="BL172" s="1699">
        <f t="shared" si="328"/>
        <v>34.770369670809103</v>
      </c>
      <c r="BM172" s="1699">
        <v>40</v>
      </c>
      <c r="BN172" s="1590"/>
      <c r="BO172" s="1579"/>
      <c r="BP172" s="1697"/>
      <c r="BQ172" s="1577"/>
      <c r="BR172" s="1590"/>
      <c r="BS172" s="1590"/>
      <c r="BT172" s="1563"/>
      <c r="BU172" s="1564"/>
      <c r="BV172" s="1565"/>
      <c r="BW172" s="1562"/>
      <c r="BX172" s="1563"/>
      <c r="BY172" s="1563"/>
      <c r="BZ172" s="1563"/>
      <c r="CA172" s="1564"/>
      <c r="CB172" s="1565"/>
      <c r="CC172" s="1562"/>
      <c r="CD172" s="1563"/>
      <c r="CE172" s="1563"/>
      <c r="CF172" s="1563"/>
      <c r="CG172" s="1564"/>
      <c r="CH172" s="1565"/>
      <c r="CI172" s="1562"/>
      <c r="CJ172" s="1563"/>
      <c r="CK172" s="1563"/>
      <c r="CL172" s="1563"/>
      <c r="CM172" s="1564"/>
      <c r="CO172" s="928"/>
      <c r="CP172" s="928"/>
      <c r="CW172" s="928"/>
      <c r="CX172" s="928"/>
      <c r="CY172" s="928"/>
      <c r="CZ172" s="928"/>
      <c r="DA172" s="928"/>
      <c r="DB172" s="928"/>
      <c r="DC172" s="928"/>
      <c r="DD172" s="928"/>
      <c r="DE172" s="928"/>
      <c r="DF172" s="928"/>
      <c r="DG172" s="928"/>
      <c r="DH172" s="928"/>
      <c r="DI172" s="928"/>
      <c r="DJ172" s="928"/>
      <c r="DK172" s="928"/>
      <c r="DL172" s="928"/>
      <c r="DM172" s="928"/>
      <c r="DN172" s="928"/>
      <c r="DO172" s="928"/>
      <c r="DP172" s="928"/>
      <c r="DQ172" s="928"/>
      <c r="DR172" s="928"/>
      <c r="DS172" s="928"/>
      <c r="DT172" s="928"/>
      <c r="DU172" s="928"/>
      <c r="DV172" s="928"/>
      <c r="DW172" s="928"/>
      <c r="DX172" s="928"/>
      <c r="DY172" s="928"/>
      <c r="DZ172" s="928"/>
      <c r="EA172" s="928"/>
      <c r="EB172" s="928"/>
      <c r="EC172" s="928"/>
      <c r="ED172" s="928"/>
      <c r="EE172" s="928"/>
      <c r="EF172" s="928"/>
      <c r="EG172" s="928"/>
      <c r="EH172" s="928"/>
      <c r="EI172" s="928"/>
      <c r="EJ172" s="928"/>
      <c r="EK172" s="928"/>
      <c r="EL172" s="928"/>
      <c r="EM172" s="928"/>
      <c r="EN172" s="928"/>
      <c r="EO172" s="928"/>
      <c r="EP172" s="928"/>
      <c r="EQ172" s="928"/>
      <c r="ER172" s="928"/>
      <c r="ES172" s="928"/>
      <c r="ET172" s="928"/>
      <c r="EU172" s="928"/>
      <c r="EV172" s="928"/>
      <c r="EW172" s="928"/>
      <c r="EX172" s="928"/>
      <c r="EY172" s="928"/>
      <c r="EZ172" s="928"/>
      <c r="FA172" s="928"/>
      <c r="FB172" s="928"/>
      <c r="FC172" s="928"/>
      <c r="FD172" s="928"/>
      <c r="FE172" s="928"/>
      <c r="FF172" s="928"/>
      <c r="FG172" s="928"/>
      <c r="FH172" s="928"/>
      <c r="FI172" s="928"/>
      <c r="FJ172" s="928"/>
      <c r="FK172" s="928"/>
      <c r="FL172" s="928"/>
      <c r="FM172" s="928"/>
      <c r="FN172" s="928"/>
      <c r="FO172" s="928"/>
      <c r="FP172" s="928"/>
      <c r="FQ172" s="928"/>
      <c r="FR172" s="928"/>
      <c r="FS172" s="928"/>
      <c r="FT172" s="928"/>
      <c r="FU172" s="928"/>
      <c r="FV172" s="928"/>
      <c r="FW172" s="928"/>
      <c r="FX172" s="928"/>
      <c r="FY172" s="928"/>
      <c r="FZ172" s="928"/>
      <c r="GA172" s="928"/>
      <c r="GB172" s="928"/>
      <c r="GC172" s="928"/>
      <c r="GD172" s="928"/>
      <c r="GE172" s="928"/>
      <c r="GF172" s="928"/>
      <c r="GG172" s="928"/>
      <c r="GH172" s="928"/>
      <c r="GI172" s="928"/>
      <c r="GJ172" s="928"/>
      <c r="GK172" s="928"/>
      <c r="GL172" s="928"/>
      <c r="GM172" s="928"/>
      <c r="GN172" s="928"/>
      <c r="GO172" s="928"/>
      <c r="GP172" s="928"/>
      <c r="GQ172" s="928"/>
      <c r="GR172" s="928"/>
      <c r="GS172" s="928"/>
      <c r="GT172" s="928"/>
      <c r="GU172" s="928"/>
      <c r="GV172" s="928"/>
      <c r="GW172" s="928"/>
      <c r="GX172" s="928"/>
      <c r="GY172" s="928"/>
      <c r="GZ172" s="928"/>
      <c r="HA172" s="928"/>
      <c r="HB172" s="928"/>
      <c r="HC172" s="928"/>
      <c r="HD172" s="928"/>
      <c r="HE172" s="928"/>
      <c r="HF172" s="928"/>
      <c r="HG172" s="928"/>
      <c r="HH172" s="928"/>
      <c r="HI172" s="928"/>
      <c r="HJ172" s="928"/>
      <c r="HK172" s="928"/>
      <c r="HL172" s="928"/>
      <c r="HM172" s="928"/>
      <c r="HN172" s="928"/>
      <c r="HO172" s="928"/>
      <c r="HP172" s="928"/>
      <c r="HQ172" s="928"/>
      <c r="HR172" s="928"/>
      <c r="HS172" s="928"/>
      <c r="HT172" s="928"/>
      <c r="HU172" s="928"/>
      <c r="HV172" s="928"/>
      <c r="HW172" s="928"/>
      <c r="HX172" s="928"/>
      <c r="HY172" s="928"/>
      <c r="HZ172" s="928"/>
      <c r="IA172" s="928"/>
      <c r="IB172" s="928"/>
      <c r="IC172" s="928"/>
      <c r="ID172" s="928"/>
      <c r="IE172" s="928"/>
      <c r="IF172" s="928"/>
      <c r="IG172" s="928"/>
      <c r="IH172" s="928"/>
      <c r="II172" s="928"/>
      <c r="IJ172" s="928"/>
      <c r="IK172" s="928"/>
      <c r="IL172" s="928"/>
      <c r="IM172" s="928"/>
      <c r="IN172" s="928"/>
      <c r="IO172" s="928"/>
      <c r="IP172" s="928"/>
      <c r="IQ172" s="928"/>
      <c r="IR172" s="928"/>
      <c r="IS172" s="928"/>
      <c r="IT172" s="928"/>
      <c r="IU172" s="928"/>
      <c r="IV172" s="928"/>
      <c r="IW172" s="928"/>
      <c r="IX172" s="928"/>
      <c r="IY172" s="928"/>
      <c r="IZ172" s="928"/>
      <c r="JA172" s="928"/>
      <c r="JB172" s="928"/>
      <c r="JC172" s="928"/>
      <c r="JD172" s="928"/>
      <c r="JE172" s="928"/>
      <c r="JF172" s="928"/>
      <c r="JG172" s="928"/>
      <c r="JH172" s="928"/>
      <c r="JI172" s="928"/>
      <c r="JJ172" s="928"/>
      <c r="JK172" s="928"/>
      <c r="JL172" s="928"/>
      <c r="JM172" s="928"/>
      <c r="JN172" s="928"/>
      <c r="JO172" s="928"/>
      <c r="JP172" s="928"/>
      <c r="JQ172" s="928"/>
      <c r="JR172" s="928"/>
      <c r="JS172" s="928"/>
      <c r="JT172" s="928"/>
      <c r="JU172" s="928"/>
      <c r="JV172" s="928"/>
      <c r="JW172" s="928"/>
      <c r="JX172" s="928"/>
      <c r="JY172" s="928"/>
      <c r="JZ172" s="928"/>
      <c r="KA172" s="928"/>
      <c r="KB172" s="928"/>
      <c r="KC172" s="928"/>
      <c r="KD172" s="928"/>
      <c r="KE172" s="928"/>
      <c r="KF172" s="928"/>
      <c r="KG172" s="928"/>
      <c r="KH172" s="928"/>
      <c r="KI172" s="928"/>
      <c r="KJ172" s="928"/>
      <c r="KK172" s="928"/>
      <c r="KL172" s="928"/>
      <c r="KM172" s="928"/>
      <c r="KN172" s="928"/>
      <c r="KO172" s="928"/>
      <c r="KP172" s="928"/>
      <c r="KQ172" s="928"/>
      <c r="KR172" s="928"/>
      <c r="KS172" s="928"/>
      <c r="KT172" s="928"/>
      <c r="KU172" s="928"/>
      <c r="KV172" s="928"/>
      <c r="KW172" s="928"/>
      <c r="KX172" s="928"/>
      <c r="KY172" s="928"/>
      <c r="KZ172" s="928"/>
      <c r="LA172" s="928"/>
      <c r="LB172" s="928"/>
      <c r="LC172" s="928"/>
      <c r="LD172" s="928"/>
      <c r="LE172" s="928"/>
      <c r="LF172" s="928"/>
      <c r="LG172" s="928"/>
      <c r="LH172" s="928"/>
      <c r="LI172" s="928"/>
      <c r="LJ172" s="928"/>
      <c r="LK172" s="928"/>
      <c r="LL172" s="928"/>
      <c r="LM172" s="928"/>
      <c r="LN172" s="928"/>
      <c r="LO172" s="928"/>
      <c r="LP172" s="928"/>
      <c r="LQ172" s="928"/>
      <c r="LR172" s="928"/>
      <c r="LS172" s="928"/>
      <c r="LT172" s="928"/>
      <c r="LU172" s="928"/>
      <c r="LV172" s="928"/>
      <c r="LW172" s="928"/>
      <c r="LX172" s="928"/>
      <c r="LY172" s="928"/>
      <c r="LZ172" s="928"/>
      <c r="MA172" s="928"/>
      <c r="MB172" s="928"/>
      <c r="MC172" s="928"/>
      <c r="MD172" s="928"/>
      <c r="ME172" s="928"/>
      <c r="MF172" s="928"/>
      <c r="MG172" s="928"/>
      <c r="MH172" s="928"/>
      <c r="MI172" s="928"/>
      <c r="MJ172" s="928"/>
      <c r="MK172" s="928"/>
      <c r="ML172" s="928"/>
      <c r="MM172" s="928"/>
      <c r="MN172" s="928"/>
      <c r="MO172" s="928"/>
      <c r="MP172" s="928"/>
      <c r="MQ172" s="928"/>
      <c r="MR172" s="928"/>
      <c r="MS172" s="928"/>
      <c r="MT172" s="928"/>
      <c r="MU172" s="928"/>
      <c r="MV172" s="928"/>
      <c r="MW172" s="928"/>
      <c r="MX172" s="928"/>
      <c r="MY172" s="928"/>
      <c r="MZ172" s="928"/>
      <c r="NA172" s="928"/>
      <c r="NB172" s="928"/>
      <c r="NC172" s="928"/>
      <c r="ND172" s="928"/>
      <c r="NE172" s="928"/>
      <c r="NF172" s="928"/>
      <c r="NG172" s="928"/>
      <c r="NH172" s="928"/>
      <c r="NI172" s="928"/>
      <c r="NJ172" s="928"/>
      <c r="NK172" s="928"/>
      <c r="NL172" s="928"/>
      <c r="NM172" s="928"/>
      <c r="NN172" s="928"/>
      <c r="NO172" s="928"/>
      <c r="NP172" s="928"/>
      <c r="NQ172" s="928"/>
      <c r="NR172" s="928"/>
      <c r="NS172" s="928"/>
      <c r="NT172" s="928"/>
      <c r="NU172" s="928"/>
      <c r="NV172" s="928"/>
      <c r="NW172" s="928"/>
      <c r="NX172" s="928"/>
      <c r="NY172" s="928"/>
      <c r="NZ172" s="928"/>
      <c r="OA172" s="928"/>
      <c r="OB172" s="928"/>
      <c r="OC172" s="928"/>
      <c r="OD172" s="928"/>
      <c r="OE172" s="928"/>
      <c r="OF172" s="928"/>
      <c r="OG172" s="928"/>
      <c r="OH172" s="928"/>
      <c r="OI172" s="928"/>
      <c r="OJ172" s="928"/>
      <c r="OK172" s="928"/>
      <c r="OL172" s="928"/>
      <c r="OM172" s="928"/>
      <c r="ON172" s="928"/>
      <c r="OO172" s="928"/>
      <c r="OP172" s="928"/>
      <c r="OQ172" s="928"/>
      <c r="OR172" s="928"/>
      <c r="OS172" s="928"/>
      <c r="OT172" s="928"/>
      <c r="OU172" s="928"/>
      <c r="OV172" s="928"/>
      <c r="OW172" s="928"/>
      <c r="OX172" s="928"/>
      <c r="OY172" s="928"/>
      <c r="OZ172" s="928"/>
      <c r="PA172" s="928"/>
      <c r="PB172" s="928"/>
      <c r="PC172" s="928"/>
      <c r="PD172" s="928"/>
      <c r="PE172" s="928"/>
      <c r="PF172" s="928"/>
      <c r="PG172" s="928"/>
      <c r="PH172" s="928"/>
      <c r="PI172" s="928"/>
      <c r="PJ172" s="928"/>
      <c r="PK172" s="928"/>
      <c r="PL172" s="928"/>
      <c r="PM172" s="928"/>
      <c r="PN172" s="928"/>
      <c r="PO172" s="928"/>
      <c r="PP172" s="928"/>
      <c r="PQ172" s="928"/>
      <c r="PR172" s="928"/>
      <c r="PS172" s="928"/>
      <c r="PT172" s="928"/>
      <c r="PU172" s="928"/>
      <c r="PV172" s="928"/>
      <c r="PW172" s="928"/>
      <c r="PX172" s="928"/>
      <c r="PY172" s="928"/>
      <c r="PZ172" s="928"/>
      <c r="QA172" s="928"/>
      <c r="QB172" s="928"/>
      <c r="QC172" s="928"/>
      <c r="QD172" s="928"/>
      <c r="QE172" s="928"/>
      <c r="QF172" s="928"/>
      <c r="QG172" s="928"/>
      <c r="QH172" s="928"/>
      <c r="QI172" s="928"/>
      <c r="QJ172" s="928"/>
      <c r="QK172" s="928"/>
      <c r="QL172" s="928"/>
      <c r="QM172" s="928"/>
      <c r="QN172" s="928"/>
      <c r="QO172" s="928"/>
      <c r="QP172" s="928"/>
      <c r="QQ172" s="928"/>
      <c r="QR172" s="928"/>
      <c r="QS172" s="928"/>
      <c r="QT172" s="928"/>
      <c r="QU172" s="928"/>
      <c r="QV172" s="928"/>
      <c r="QW172" s="928"/>
      <c r="QX172" s="928"/>
      <c r="QY172" s="928"/>
      <c r="QZ172" s="928"/>
      <c r="RA172" s="928"/>
      <c r="RB172" s="928"/>
      <c r="RC172" s="928"/>
      <c r="RD172" s="928"/>
      <c r="RE172" s="928"/>
      <c r="RF172" s="928"/>
      <c r="RG172" s="928"/>
      <c r="RH172" s="928"/>
      <c r="RI172" s="928"/>
      <c r="RJ172" s="928"/>
      <c r="RK172" s="928"/>
      <c r="RL172" s="928"/>
      <c r="RM172" s="928"/>
      <c r="RN172" s="928"/>
      <c r="RO172" s="928"/>
      <c r="RP172" s="928"/>
      <c r="RQ172" s="928"/>
      <c r="RR172" s="928"/>
      <c r="RS172" s="928"/>
      <c r="RT172" s="928"/>
      <c r="RU172" s="928"/>
      <c r="RV172" s="928"/>
      <c r="RW172" s="928"/>
      <c r="RX172" s="928"/>
      <c r="RY172" s="928"/>
      <c r="RZ172" s="928"/>
      <c r="SA172" s="928"/>
      <c r="SB172" s="928"/>
      <c r="SC172" s="928"/>
      <c r="SD172" s="928"/>
      <c r="SE172" s="928"/>
      <c r="SF172" s="928"/>
      <c r="SG172" s="928"/>
      <c r="SH172" s="928"/>
      <c r="SI172" s="928"/>
      <c r="SJ172" s="928"/>
      <c r="SK172" s="928"/>
      <c r="SL172" s="928"/>
      <c r="SM172" s="928"/>
      <c r="SN172" s="928"/>
      <c r="SO172" s="928"/>
      <c r="SP172" s="928"/>
      <c r="SQ172" s="928"/>
      <c r="SR172" s="928"/>
      <c r="SS172" s="928"/>
      <c r="ST172" s="928"/>
      <c r="SU172" s="928"/>
      <c r="SV172" s="928"/>
      <c r="SW172" s="928"/>
      <c r="SX172" s="928"/>
      <c r="SY172" s="928"/>
      <c r="SZ172" s="928"/>
      <c r="TA172" s="928"/>
      <c r="TB172" s="928"/>
      <c r="TC172" s="928"/>
      <c r="TD172" s="928"/>
      <c r="TE172" s="928"/>
      <c r="TF172" s="928"/>
      <c r="TG172" s="928"/>
      <c r="TH172" s="928"/>
      <c r="TI172" s="928"/>
      <c r="TJ172" s="928"/>
      <c r="TK172" s="928"/>
      <c r="TL172" s="928"/>
      <c r="TM172" s="928"/>
      <c r="TN172" s="928"/>
      <c r="TO172" s="928"/>
      <c r="TP172" s="928"/>
      <c r="TQ172" s="928"/>
      <c r="TR172" s="928"/>
      <c r="TS172" s="928"/>
      <c r="TT172" s="928"/>
      <c r="TU172" s="928"/>
      <c r="TV172" s="928"/>
      <c r="TW172" s="928"/>
      <c r="TX172" s="928"/>
      <c r="TY172" s="928"/>
      <c r="TZ172" s="928"/>
      <c r="UA172" s="928"/>
      <c r="UB172" s="928"/>
      <c r="UC172" s="928"/>
      <c r="UD172" s="928"/>
      <c r="UE172" s="928"/>
      <c r="UF172" s="928"/>
      <c r="UG172" s="928"/>
      <c r="UH172" s="928"/>
      <c r="UI172" s="928"/>
      <c r="UJ172" s="928"/>
      <c r="UK172" s="928"/>
      <c r="UL172" s="928"/>
      <c r="UM172" s="928"/>
      <c r="UN172" s="928"/>
      <c r="UO172" s="928"/>
      <c r="UP172" s="928"/>
      <c r="UQ172" s="928"/>
      <c r="UR172" s="928"/>
      <c r="US172" s="928"/>
      <c r="UT172" s="928"/>
      <c r="UU172" s="928"/>
      <c r="UV172" s="928"/>
      <c r="UW172" s="928"/>
      <c r="UX172" s="928"/>
      <c r="UY172" s="928"/>
      <c r="UZ172" s="928"/>
      <c r="VA172" s="928"/>
      <c r="VB172" s="928"/>
      <c r="VC172" s="928"/>
      <c r="VD172" s="928"/>
      <c r="VE172" s="928"/>
      <c r="VF172" s="928"/>
      <c r="VG172" s="928"/>
      <c r="VH172" s="928"/>
      <c r="VI172" s="928"/>
      <c r="VJ172" s="928"/>
      <c r="VK172" s="928"/>
      <c r="VL172" s="928"/>
      <c r="VM172" s="928"/>
      <c r="VN172" s="928"/>
      <c r="VO172" s="928"/>
      <c r="VP172" s="928"/>
      <c r="VQ172" s="928"/>
      <c r="VR172" s="928"/>
      <c r="VS172" s="928"/>
      <c r="VT172" s="928"/>
      <c r="VU172" s="928"/>
      <c r="VV172" s="928"/>
      <c r="VW172" s="928"/>
      <c r="VX172" s="928"/>
      <c r="VY172" s="928"/>
      <c r="VZ172" s="928"/>
      <c r="WA172" s="928"/>
      <c r="WB172" s="928"/>
      <c r="WC172" s="928"/>
      <c r="WD172" s="928"/>
      <c r="WE172" s="928"/>
      <c r="WF172" s="928"/>
      <c r="WG172" s="928"/>
      <c r="WH172" s="928"/>
      <c r="WI172" s="928"/>
      <c r="WJ172" s="928"/>
      <c r="WK172" s="928"/>
      <c r="WL172" s="928"/>
      <c r="WM172" s="928"/>
      <c r="WN172" s="928"/>
      <c r="WO172" s="928"/>
      <c r="WP172" s="928"/>
      <c r="WQ172" s="928"/>
      <c r="WR172" s="928"/>
      <c r="WS172" s="928"/>
      <c r="WT172" s="928"/>
      <c r="WU172" s="928"/>
      <c r="WV172" s="928"/>
      <c r="WW172" s="928"/>
      <c r="WX172" s="928"/>
      <c r="WY172" s="928"/>
      <c r="WZ172" s="928"/>
      <c r="XA172" s="928"/>
      <c r="XB172" s="928"/>
      <c r="XC172" s="928"/>
      <c r="XD172" s="928"/>
      <c r="XE172" s="928"/>
      <c r="XF172" s="928"/>
      <c r="XG172" s="928"/>
      <c r="XH172" s="928"/>
      <c r="XI172" s="928"/>
      <c r="XJ172" s="928"/>
      <c r="XK172" s="928"/>
      <c r="XL172" s="928"/>
      <c r="XM172" s="928"/>
      <c r="XN172" s="928"/>
      <c r="XO172" s="928"/>
      <c r="XP172" s="928"/>
      <c r="XQ172" s="928"/>
      <c r="XR172" s="928"/>
      <c r="XS172" s="928"/>
      <c r="XT172" s="928"/>
      <c r="XU172" s="928"/>
      <c r="XV172" s="928"/>
      <c r="XW172" s="928"/>
      <c r="XX172" s="928"/>
      <c r="XY172" s="928"/>
      <c r="XZ172" s="928"/>
      <c r="YA172" s="928"/>
      <c r="YB172" s="928"/>
      <c r="YC172" s="928"/>
      <c r="YD172" s="928"/>
      <c r="YE172" s="928"/>
      <c r="YF172" s="928"/>
      <c r="YG172" s="928"/>
      <c r="YH172" s="928"/>
      <c r="YI172" s="928"/>
      <c r="YJ172" s="928"/>
      <c r="YK172" s="928"/>
      <c r="YL172" s="928"/>
      <c r="YM172" s="928"/>
      <c r="YN172" s="928"/>
      <c r="YO172" s="928"/>
      <c r="YP172" s="928"/>
      <c r="YQ172" s="928"/>
      <c r="YR172" s="928"/>
      <c r="YS172" s="928"/>
      <c r="YT172" s="928"/>
      <c r="YU172" s="928"/>
      <c r="YV172" s="928"/>
      <c r="YW172" s="928"/>
      <c r="YX172" s="928"/>
      <c r="YY172" s="928"/>
      <c r="YZ172" s="928"/>
      <c r="ZA172" s="928"/>
      <c r="ZB172" s="928"/>
      <c r="ZC172" s="928"/>
      <c r="ZD172" s="928"/>
      <c r="ZE172" s="928"/>
      <c r="ZF172" s="928"/>
      <c r="ZG172" s="928"/>
      <c r="ZH172" s="928"/>
      <c r="ZI172" s="928"/>
      <c r="ZJ172" s="928"/>
      <c r="ZK172" s="928"/>
      <c r="ZL172" s="928"/>
      <c r="ZM172" s="928"/>
      <c r="ZN172" s="928"/>
      <c r="ZO172" s="928"/>
      <c r="ZP172" s="928"/>
      <c r="ZQ172" s="928"/>
      <c r="ZR172" s="928"/>
      <c r="ZS172" s="928"/>
      <c r="ZT172" s="928"/>
      <c r="ZU172" s="928"/>
      <c r="ZV172" s="928"/>
      <c r="ZW172" s="928"/>
      <c r="ZX172" s="928"/>
      <c r="ZY172" s="928"/>
      <c r="ZZ172" s="928"/>
      <c r="AAA172" s="928"/>
      <c r="AAB172" s="928"/>
      <c r="AAC172" s="928"/>
      <c r="AAD172" s="928"/>
      <c r="AAE172" s="928"/>
      <c r="AAF172" s="928"/>
      <c r="AAG172" s="928"/>
      <c r="AAH172" s="928"/>
      <c r="AAI172" s="928"/>
      <c r="AAJ172" s="928"/>
      <c r="AAK172" s="928"/>
      <c r="AAL172" s="928"/>
      <c r="AAM172" s="928"/>
      <c r="AAN172" s="928"/>
      <c r="AAO172" s="928"/>
      <c r="AAP172" s="928"/>
      <c r="AAQ172" s="928"/>
      <c r="AAR172" s="928"/>
      <c r="AAS172" s="928"/>
      <c r="AAT172" s="928"/>
      <c r="AAU172" s="928"/>
      <c r="AAV172" s="928"/>
      <c r="AAW172" s="928"/>
      <c r="AAX172" s="928"/>
      <c r="AAY172" s="928"/>
      <c r="AAZ172" s="928"/>
      <c r="ABA172" s="928"/>
      <c r="ABB172" s="928"/>
      <c r="ABC172" s="928"/>
      <c r="ABD172" s="928"/>
      <c r="ABE172" s="928"/>
      <c r="ABF172" s="928"/>
      <c r="ABG172" s="928"/>
      <c r="ABH172" s="928"/>
      <c r="ABI172" s="928"/>
      <c r="ABJ172" s="928"/>
      <c r="ABK172" s="928"/>
      <c r="ABL172" s="928"/>
      <c r="ABM172" s="928"/>
      <c r="ABN172" s="928"/>
      <c r="ABO172" s="928"/>
      <c r="ABP172" s="928"/>
      <c r="ABQ172" s="928"/>
      <c r="ABR172" s="928"/>
      <c r="ABS172" s="928"/>
      <c r="ABT172" s="928"/>
      <c r="ABU172" s="928"/>
      <c r="ABV172" s="928"/>
      <c r="ABW172" s="928"/>
      <c r="ABX172" s="928"/>
      <c r="ABY172" s="928"/>
      <c r="ABZ172" s="928"/>
      <c r="ACA172" s="928"/>
      <c r="ACB172" s="928"/>
      <c r="ACC172" s="928"/>
      <c r="ACD172" s="928"/>
      <c r="ACE172" s="928"/>
      <c r="ACF172" s="928"/>
      <c r="ACG172" s="928"/>
      <c r="ACH172" s="928"/>
      <c r="ACI172" s="928"/>
      <c r="ACJ172" s="928"/>
      <c r="ACK172" s="928"/>
      <c r="ACL172" s="928"/>
      <c r="ACM172" s="928"/>
      <c r="ACN172" s="928"/>
      <c r="ACO172" s="928"/>
      <c r="ACP172" s="928"/>
      <c r="ACQ172" s="928"/>
      <c r="ACR172" s="928"/>
      <c r="ACS172" s="928"/>
      <c r="ACT172" s="928"/>
      <c r="ACU172" s="928"/>
      <c r="ACV172" s="928"/>
      <c r="ACW172" s="928"/>
      <c r="ACX172" s="928"/>
      <c r="ACY172" s="928"/>
      <c r="ACZ172" s="928"/>
      <c r="ADA172" s="928"/>
      <c r="ADB172" s="928"/>
      <c r="ADC172" s="928"/>
      <c r="ADD172" s="928"/>
      <c r="ADE172" s="928"/>
      <c r="ADF172" s="928"/>
      <c r="ADG172" s="928"/>
      <c r="ADH172" s="928"/>
      <c r="ADI172" s="928"/>
      <c r="ADJ172" s="928"/>
      <c r="ADK172" s="928"/>
      <c r="ADL172" s="928"/>
      <c r="ADM172" s="928"/>
      <c r="ADN172" s="928"/>
      <c r="ADO172" s="928"/>
      <c r="ADP172" s="928"/>
      <c r="ADQ172" s="928"/>
      <c r="ADR172" s="928"/>
      <c r="ADS172" s="928"/>
      <c r="ADT172" s="928"/>
      <c r="ADU172" s="928"/>
      <c r="ADV172" s="928"/>
      <c r="ADW172" s="928"/>
      <c r="ADX172" s="928"/>
      <c r="ADY172" s="928"/>
      <c r="ADZ172" s="928"/>
      <c r="AEA172" s="928"/>
      <c r="AEB172" s="928"/>
      <c r="AEC172" s="928"/>
      <c r="AED172" s="928"/>
      <c r="AEE172" s="928"/>
      <c r="AEF172" s="928"/>
      <c r="AEG172" s="928"/>
      <c r="AEH172" s="928"/>
      <c r="AEI172" s="928"/>
      <c r="AEJ172" s="928"/>
      <c r="AEK172" s="928"/>
      <c r="AEL172" s="928"/>
      <c r="AEM172" s="928"/>
      <c r="AEN172" s="928"/>
      <c r="AEO172" s="928"/>
      <c r="AEP172" s="928"/>
      <c r="AEQ172" s="928"/>
      <c r="AER172" s="928"/>
      <c r="AES172" s="928"/>
      <c r="AET172" s="928"/>
      <c r="AEU172" s="928"/>
      <c r="AEV172" s="928"/>
      <c r="AEW172" s="928"/>
      <c r="AEX172" s="928"/>
      <c r="AEY172" s="928"/>
      <c r="AEZ172" s="928"/>
      <c r="AFA172" s="928"/>
      <c r="AFB172" s="928"/>
      <c r="AFC172" s="928"/>
      <c r="AFD172" s="928"/>
      <c r="AFE172" s="928"/>
      <c r="AFF172" s="928"/>
      <c r="AFG172" s="928"/>
      <c r="AFH172" s="928"/>
      <c r="AFI172" s="928"/>
      <c r="AFJ172" s="928"/>
      <c r="AFK172" s="928"/>
      <c r="AFL172" s="928"/>
      <c r="AFM172" s="928"/>
      <c r="AFN172" s="928"/>
      <c r="AFO172" s="928"/>
      <c r="AFP172" s="928"/>
      <c r="AFQ172" s="928"/>
      <c r="AFR172" s="928"/>
      <c r="AFS172" s="928"/>
      <c r="AFT172" s="928"/>
      <c r="AFU172" s="928"/>
      <c r="AFV172" s="928"/>
      <c r="AFW172" s="928"/>
      <c r="AFX172" s="928"/>
      <c r="AFY172" s="928"/>
      <c r="AFZ172" s="928"/>
      <c r="AGA172" s="928"/>
      <c r="AGB172" s="928"/>
      <c r="AGC172" s="928"/>
      <c r="AGD172" s="928"/>
      <c r="AGE172" s="928"/>
      <c r="AGF172" s="928"/>
      <c r="AGG172" s="928"/>
      <c r="AGH172" s="928"/>
      <c r="AGI172" s="928"/>
      <c r="AGJ172" s="928"/>
      <c r="AGK172" s="928"/>
      <c r="AGL172" s="928"/>
      <c r="AGM172" s="928"/>
      <c r="AGN172" s="928"/>
      <c r="AGO172" s="928"/>
      <c r="AGP172" s="928"/>
      <c r="AGQ172" s="928"/>
      <c r="AGR172" s="928"/>
      <c r="AGS172" s="928"/>
      <c r="AGT172" s="928"/>
      <c r="AGU172" s="928"/>
      <c r="AGV172" s="928"/>
      <c r="AGW172" s="928"/>
      <c r="AGX172" s="928"/>
      <c r="AGY172" s="928"/>
      <c r="AGZ172" s="928"/>
      <c r="AHA172" s="928"/>
      <c r="AHB172" s="928"/>
      <c r="AHC172" s="928"/>
      <c r="AHD172" s="928"/>
      <c r="AHE172" s="928"/>
      <c r="AHF172" s="928"/>
      <c r="AHG172" s="928"/>
      <c r="AHH172" s="928"/>
      <c r="AHI172" s="928"/>
      <c r="AHJ172" s="928"/>
      <c r="AHK172" s="928"/>
      <c r="AHL172" s="928"/>
      <c r="AHM172" s="928"/>
      <c r="AHN172" s="928"/>
      <c r="AHO172" s="928"/>
      <c r="AHP172" s="928"/>
      <c r="AHQ172" s="928"/>
      <c r="AHR172" s="928"/>
      <c r="AHS172" s="928"/>
      <c r="AHT172" s="928"/>
      <c r="AHU172" s="928"/>
      <c r="AHV172" s="928"/>
      <c r="AHW172" s="928"/>
      <c r="AHX172" s="928"/>
      <c r="AHY172" s="928"/>
      <c r="AHZ172" s="928"/>
      <c r="AIA172" s="928"/>
      <c r="AIB172" s="928"/>
      <c r="AIC172" s="928"/>
      <c r="AID172" s="928"/>
      <c r="AIE172" s="928"/>
      <c r="AIF172" s="928"/>
      <c r="AIG172" s="928"/>
      <c r="AIH172" s="928"/>
      <c r="AII172" s="928"/>
      <c r="AIJ172" s="928"/>
      <c r="AIK172" s="928"/>
      <c r="AIL172" s="928"/>
      <c r="AIM172" s="928"/>
      <c r="AIN172" s="928"/>
      <c r="AIO172" s="928"/>
      <c r="AIP172" s="928"/>
      <c r="AIQ172" s="928"/>
      <c r="AIR172" s="928"/>
      <c r="AIS172" s="928"/>
      <c r="AIT172" s="928"/>
      <c r="AIU172" s="928"/>
      <c r="AIV172" s="928"/>
      <c r="AIW172" s="928"/>
      <c r="AIX172" s="928"/>
      <c r="AIY172" s="928"/>
      <c r="AIZ172" s="928"/>
      <c r="AJA172" s="928"/>
      <c r="AJB172" s="928"/>
      <c r="AJC172" s="928"/>
      <c r="AJD172" s="928"/>
      <c r="AJE172" s="928"/>
      <c r="AJF172" s="928"/>
      <c r="AJG172" s="928"/>
      <c r="AJH172" s="928"/>
      <c r="AJI172" s="928"/>
      <c r="AJJ172" s="928"/>
      <c r="AJK172" s="928"/>
      <c r="AJL172" s="928"/>
      <c r="AJM172" s="928"/>
      <c r="AJN172" s="928"/>
      <c r="AJO172" s="928"/>
      <c r="AJP172" s="928"/>
      <c r="AJQ172" s="928"/>
      <c r="AJR172" s="928"/>
      <c r="AJS172" s="928"/>
      <c r="AJT172" s="928"/>
      <c r="AJU172" s="928"/>
      <c r="AJV172" s="928"/>
      <c r="AJW172" s="928"/>
      <c r="AJX172" s="928"/>
      <c r="AJY172" s="928"/>
      <c r="AJZ172" s="928"/>
      <c r="AKA172" s="928"/>
      <c r="AKB172" s="928"/>
      <c r="AKC172" s="928"/>
      <c r="AKD172" s="928"/>
      <c r="AKE172" s="928"/>
      <c r="AKF172" s="928"/>
      <c r="AKG172" s="928"/>
      <c r="AKH172" s="928"/>
      <c r="AKI172" s="928"/>
      <c r="AKJ172" s="928"/>
      <c r="AKK172" s="928"/>
      <c r="AKL172" s="928"/>
      <c r="AKM172" s="928"/>
      <c r="AKN172" s="928"/>
      <c r="AKO172" s="928"/>
      <c r="AKP172" s="928"/>
      <c r="AKQ172" s="928"/>
      <c r="AKR172" s="928"/>
      <c r="AKS172" s="928"/>
      <c r="AKT172" s="928"/>
      <c r="AKU172" s="928"/>
      <c r="AKV172" s="928"/>
      <c r="AKW172" s="928"/>
      <c r="AKX172" s="928"/>
      <c r="AKY172" s="928"/>
      <c r="AKZ172" s="928"/>
      <c r="ALA172" s="928"/>
      <c r="ALB172" s="928"/>
      <c r="ALC172" s="928"/>
      <c r="ALD172" s="928"/>
      <c r="ALE172" s="928"/>
      <c r="ALF172" s="928"/>
      <c r="ALG172" s="928"/>
      <c r="ALH172" s="928"/>
      <c r="ALI172" s="928"/>
      <c r="ALJ172" s="928"/>
      <c r="ALK172" s="928"/>
      <c r="ALL172" s="928"/>
      <c r="ALM172" s="928"/>
      <c r="ALN172" s="928"/>
      <c r="ALO172" s="928"/>
      <c r="ALP172" s="928"/>
      <c r="ALQ172" s="928"/>
      <c r="ALR172" s="928"/>
      <c r="ALS172" s="928"/>
      <c r="ALT172" s="928"/>
      <c r="ALU172" s="928"/>
      <c r="ALV172" s="928"/>
      <c r="ALW172" s="928"/>
      <c r="ALX172" s="928"/>
      <c r="ALY172" s="928"/>
      <c r="ALZ172" s="928"/>
      <c r="AMA172" s="928"/>
      <c r="AMB172" s="928"/>
      <c r="AMC172" s="928"/>
      <c r="AMD172" s="928"/>
      <c r="AME172" s="928"/>
      <c r="AMF172" s="928"/>
      <c r="AMG172" s="928"/>
      <c r="AMH172" s="928"/>
      <c r="AMI172" s="928"/>
      <c r="AMJ172" s="928"/>
      <c r="AMK172" s="928"/>
      <c r="AML172" s="928"/>
      <c r="AMM172" s="928"/>
      <c r="AMN172" s="928"/>
      <c r="AMO172" s="928"/>
      <c r="AMP172" s="928"/>
      <c r="AMQ172" s="928"/>
      <c r="AMR172" s="928"/>
      <c r="AMS172" s="928"/>
      <c r="AMT172" s="928"/>
      <c r="AMU172" s="928"/>
      <c r="AMV172" s="928"/>
      <c r="AMW172" s="928"/>
      <c r="AMX172" s="928"/>
      <c r="AMY172" s="928"/>
      <c r="AMZ172" s="928"/>
      <c r="ANA172" s="928"/>
      <c r="ANB172" s="928"/>
      <c r="ANC172" s="928"/>
      <c r="AND172" s="928"/>
      <c r="ANE172" s="928"/>
      <c r="ANF172" s="928"/>
      <c r="ANG172" s="928"/>
      <c r="ANH172" s="928"/>
      <c r="ANI172" s="928"/>
      <c r="ANJ172" s="928"/>
      <c r="ANK172" s="928"/>
      <c r="ANL172" s="928"/>
      <c r="ANM172" s="928"/>
      <c r="ANN172" s="928"/>
      <c r="ANO172" s="928"/>
      <c r="ANP172" s="928"/>
      <c r="ANQ172" s="928"/>
      <c r="ANR172" s="928"/>
      <c r="ANS172" s="928"/>
      <c r="ANT172" s="928"/>
      <c r="ANU172" s="928"/>
      <c r="ANV172" s="928"/>
      <c r="ANW172" s="928"/>
      <c r="ANX172" s="928"/>
      <c r="ANY172" s="928"/>
      <c r="ANZ172" s="928"/>
      <c r="AOA172" s="928"/>
      <c r="AOB172" s="928"/>
      <c r="AOC172" s="928"/>
      <c r="AOD172" s="928"/>
      <c r="AOE172" s="928"/>
      <c r="AOF172" s="928"/>
      <c r="AOG172" s="928"/>
      <c r="AOH172" s="928"/>
      <c r="AOI172" s="928"/>
      <c r="AOJ172" s="928"/>
      <c r="AOK172" s="928"/>
      <c r="AOL172" s="928"/>
      <c r="AOM172" s="928"/>
      <c r="AON172" s="928"/>
      <c r="AOO172" s="928"/>
      <c r="AOP172" s="928"/>
      <c r="AOQ172" s="928"/>
      <c r="AOR172" s="928"/>
      <c r="AOS172" s="928"/>
      <c r="AOT172" s="928"/>
      <c r="AOU172" s="928"/>
      <c r="AOV172" s="928"/>
      <c r="AOW172" s="928"/>
      <c r="AOX172" s="928"/>
      <c r="AOY172" s="928"/>
      <c r="AOZ172" s="928"/>
      <c r="APA172" s="928"/>
      <c r="APB172" s="928"/>
      <c r="APC172" s="928"/>
      <c r="APD172" s="928"/>
      <c r="APE172" s="928"/>
      <c r="APF172" s="928"/>
      <c r="APG172" s="928"/>
      <c r="APH172" s="928"/>
      <c r="API172" s="928"/>
      <c r="APJ172" s="928"/>
      <c r="APK172" s="928"/>
      <c r="APL172" s="928"/>
      <c r="APM172" s="928"/>
      <c r="APN172" s="928"/>
      <c r="APO172" s="928"/>
      <c r="APP172" s="928"/>
      <c r="APQ172" s="928"/>
      <c r="APR172" s="928"/>
      <c r="APS172" s="928"/>
      <c r="APT172" s="928"/>
      <c r="APU172" s="928"/>
      <c r="APV172" s="928"/>
      <c r="APW172" s="928"/>
      <c r="APX172" s="928"/>
      <c r="APY172" s="928"/>
      <c r="APZ172" s="928"/>
      <c r="AQA172" s="928"/>
      <c r="AQB172" s="928"/>
      <c r="AQC172" s="928"/>
      <c r="AQD172" s="928"/>
      <c r="AQE172" s="928"/>
      <c r="AQF172" s="928"/>
      <c r="AQG172" s="928"/>
      <c r="AQH172" s="928"/>
      <c r="AQI172" s="928"/>
      <c r="AQJ172" s="928"/>
      <c r="AQK172" s="928"/>
      <c r="AQL172" s="928"/>
      <c r="AQM172" s="928"/>
      <c r="AQN172" s="928"/>
      <c r="AQO172" s="928"/>
      <c r="AQP172" s="928"/>
      <c r="AQQ172" s="928"/>
      <c r="AQR172" s="928"/>
      <c r="AQS172" s="928"/>
      <c r="AQT172" s="928"/>
      <c r="AQU172" s="928"/>
      <c r="AQV172" s="928"/>
      <c r="AQW172" s="928"/>
      <c r="AQX172" s="928"/>
      <c r="AQY172" s="928"/>
      <c r="AQZ172" s="928"/>
      <c r="ARA172" s="928"/>
      <c r="ARB172" s="928"/>
      <c r="ARC172" s="928"/>
      <c r="ARD172" s="928"/>
      <c r="ARE172" s="928"/>
      <c r="ARF172" s="928"/>
      <c r="ARG172" s="928"/>
      <c r="ARH172" s="928"/>
      <c r="ARI172" s="928"/>
      <c r="ARJ172" s="928"/>
      <c r="ARK172" s="928"/>
      <c r="ARL172" s="928"/>
      <c r="ARM172" s="928"/>
      <c r="ARN172" s="928"/>
      <c r="ARO172" s="928"/>
      <c r="ARP172" s="928"/>
      <c r="ARQ172" s="928"/>
      <c r="ARR172" s="928"/>
      <c r="ARS172" s="928"/>
      <c r="ART172" s="928"/>
      <c r="ARU172" s="928"/>
      <c r="ARV172" s="928"/>
      <c r="ARW172" s="928"/>
      <c r="ARX172" s="928"/>
      <c r="ARY172" s="928"/>
      <c r="ARZ172" s="928"/>
      <c r="ASA172" s="928"/>
      <c r="ASB172" s="928"/>
      <c r="ASC172" s="928"/>
      <c r="ASD172" s="928"/>
      <c r="ASE172" s="928"/>
      <c r="ASF172" s="928"/>
      <c r="ASG172" s="928"/>
      <c r="ASH172" s="928"/>
      <c r="ASI172" s="928"/>
      <c r="ASJ172" s="928"/>
      <c r="ASK172" s="928"/>
      <c r="ASL172" s="928"/>
      <c r="ASM172" s="928"/>
      <c r="ASN172" s="928"/>
      <c r="ASO172" s="928"/>
      <c r="ASP172" s="928"/>
      <c r="ASQ172" s="928"/>
      <c r="ASR172" s="928"/>
      <c r="ASS172" s="928"/>
      <c r="AST172" s="928"/>
      <c r="ASU172" s="928"/>
      <c r="ASV172" s="928"/>
      <c r="ASW172" s="928"/>
      <c r="ASX172" s="928"/>
      <c r="ASY172" s="928"/>
      <c r="ASZ172" s="928"/>
      <c r="ATA172" s="928"/>
      <c r="ATB172" s="928"/>
      <c r="ATC172" s="928"/>
      <c r="ATD172" s="928"/>
      <c r="ATE172" s="928"/>
      <c r="ATF172" s="928"/>
      <c r="ATG172" s="928"/>
      <c r="ATH172" s="928"/>
      <c r="ATI172" s="928"/>
      <c r="ATJ172" s="928"/>
      <c r="ATK172" s="928"/>
      <c r="ATL172" s="928"/>
      <c r="ATM172" s="928"/>
      <c r="ATN172" s="928"/>
      <c r="ATO172" s="928"/>
      <c r="ATP172" s="928"/>
      <c r="ATQ172" s="928"/>
      <c r="ATR172" s="928"/>
      <c r="ATS172" s="928"/>
      <c r="ATT172" s="928"/>
      <c r="ATU172" s="928"/>
      <c r="ATV172" s="928"/>
      <c r="ATW172" s="928"/>
      <c r="ATX172" s="928"/>
      <c r="ATY172" s="928"/>
      <c r="ATZ172" s="928"/>
      <c r="AUA172" s="928"/>
      <c r="AUB172" s="928"/>
      <c r="AUC172" s="928"/>
      <c r="AUD172" s="928"/>
      <c r="AUE172" s="928"/>
      <c r="AUF172" s="928"/>
      <c r="AUG172" s="928"/>
      <c r="AUH172" s="928"/>
      <c r="AUI172" s="928"/>
      <c r="AUJ172" s="928"/>
      <c r="AUK172" s="928"/>
      <c r="AUL172" s="928"/>
      <c r="AUM172" s="928"/>
      <c r="AUN172" s="928"/>
      <c r="AUO172" s="928"/>
      <c r="AUP172" s="928"/>
      <c r="AUQ172" s="928"/>
      <c r="AUR172" s="928"/>
      <c r="AUS172" s="928"/>
      <c r="AUT172" s="928"/>
      <c r="AUU172" s="928"/>
      <c r="AUV172" s="928"/>
      <c r="AUW172" s="928"/>
      <c r="AUX172" s="928"/>
      <c r="AUY172" s="928"/>
      <c r="AUZ172" s="928"/>
      <c r="AVA172" s="928"/>
      <c r="AVB172" s="928"/>
      <c r="AVC172" s="928"/>
      <c r="AVD172" s="928"/>
      <c r="AVE172" s="928"/>
      <c r="AVF172" s="928"/>
      <c r="AVG172" s="928"/>
      <c r="AVH172" s="928"/>
      <c r="AVI172" s="928"/>
      <c r="AVJ172" s="928"/>
      <c r="AVK172" s="928"/>
      <c r="AVL172" s="928"/>
      <c r="AVM172" s="928"/>
      <c r="AVN172" s="928"/>
      <c r="AVO172" s="928"/>
      <c r="AVP172" s="928"/>
      <c r="AVQ172" s="928"/>
      <c r="AVR172" s="928"/>
      <c r="AVS172" s="928"/>
      <c r="AVT172" s="928"/>
      <c r="AVU172" s="928"/>
      <c r="AVV172" s="928"/>
      <c r="AVW172" s="928"/>
      <c r="AVX172" s="928"/>
      <c r="AVY172" s="928"/>
      <c r="AVZ172" s="928"/>
      <c r="AWA172" s="928"/>
      <c r="AWB172" s="928"/>
      <c r="AWC172" s="928"/>
      <c r="AWD172" s="928"/>
      <c r="AWE172" s="928"/>
      <c r="AWF172" s="928"/>
      <c r="AWG172" s="928"/>
      <c r="AWH172" s="928"/>
      <c r="AWI172" s="928"/>
      <c r="AWJ172" s="928"/>
      <c r="AWK172" s="928"/>
      <c r="AWL172" s="928"/>
      <c r="AWM172" s="928"/>
      <c r="AWN172" s="928"/>
      <c r="AWO172" s="928"/>
      <c r="AWP172" s="928"/>
      <c r="AWQ172" s="928"/>
      <c r="AWR172" s="928"/>
      <c r="AWS172" s="928"/>
      <c r="AWT172" s="928"/>
      <c r="AWU172" s="928"/>
      <c r="AWV172" s="928"/>
      <c r="AWW172" s="928"/>
      <c r="AWX172" s="928"/>
      <c r="AWY172" s="928"/>
      <c r="AWZ172" s="928"/>
      <c r="AXA172" s="928"/>
      <c r="AXB172" s="928"/>
      <c r="AXC172" s="928"/>
      <c r="AXD172" s="928"/>
      <c r="AXE172" s="928"/>
      <c r="AXF172" s="928"/>
      <c r="AXG172" s="928"/>
      <c r="AXH172" s="928"/>
      <c r="AXI172" s="928"/>
      <c r="AXJ172" s="928"/>
      <c r="AXK172" s="928"/>
      <c r="AXL172" s="928"/>
      <c r="AXM172" s="928"/>
      <c r="AXN172" s="928"/>
      <c r="AXO172" s="928"/>
      <c r="AXP172" s="928"/>
      <c r="AXQ172" s="928"/>
      <c r="AXR172" s="928"/>
      <c r="AXS172" s="928"/>
      <c r="AXT172" s="928"/>
      <c r="AXU172" s="928"/>
      <c r="AXV172" s="928"/>
      <c r="AXW172" s="928"/>
      <c r="AXX172" s="928"/>
      <c r="AXY172" s="928"/>
      <c r="AXZ172" s="928"/>
      <c r="AYA172" s="928"/>
      <c r="AYB172" s="928"/>
      <c r="AYC172" s="928"/>
      <c r="AYD172" s="928"/>
      <c r="AYE172" s="928"/>
      <c r="AYF172" s="928"/>
      <c r="AYG172" s="928"/>
      <c r="AYH172" s="928"/>
      <c r="AYI172" s="928"/>
      <c r="AYJ172" s="928"/>
      <c r="AYK172" s="928"/>
      <c r="AYL172" s="928"/>
      <c r="AYM172" s="928"/>
      <c r="AYN172" s="928"/>
      <c r="AYO172" s="928"/>
      <c r="AYP172" s="928"/>
      <c r="AYQ172" s="928"/>
      <c r="AYR172" s="928"/>
      <c r="AYS172" s="928"/>
      <c r="AYT172" s="928"/>
      <c r="AYU172" s="928"/>
      <c r="AYV172" s="928"/>
      <c r="AYW172" s="928"/>
      <c r="AYX172" s="928"/>
      <c r="AYY172" s="928"/>
      <c r="AYZ172" s="928"/>
      <c r="AZA172" s="928"/>
      <c r="AZB172" s="928"/>
      <c r="AZC172" s="928"/>
      <c r="AZD172" s="928"/>
      <c r="AZE172" s="928"/>
      <c r="AZF172" s="928"/>
      <c r="AZG172" s="928"/>
      <c r="AZH172" s="928"/>
      <c r="AZI172" s="928"/>
      <c r="AZJ172" s="928"/>
      <c r="AZK172" s="928"/>
      <c r="AZL172" s="928"/>
      <c r="AZM172" s="928"/>
      <c r="AZN172" s="928"/>
      <c r="AZO172" s="928"/>
      <c r="AZP172" s="928"/>
      <c r="AZQ172" s="928"/>
      <c r="AZR172" s="928"/>
      <c r="AZS172" s="928"/>
      <c r="AZT172" s="928"/>
      <c r="AZU172" s="928"/>
      <c r="AZV172" s="928"/>
      <c r="AZW172" s="928"/>
      <c r="AZX172" s="928"/>
      <c r="AZY172" s="928"/>
      <c r="AZZ172" s="928"/>
      <c r="BAA172" s="928"/>
      <c r="BAB172" s="928"/>
      <c r="BAC172" s="928"/>
      <c r="BAD172" s="928"/>
      <c r="BAE172" s="928"/>
      <c r="BAF172" s="928"/>
      <c r="BAG172" s="928"/>
      <c r="BAH172" s="928"/>
      <c r="BAI172" s="928"/>
      <c r="BAJ172" s="928"/>
      <c r="BAK172" s="928"/>
      <c r="BAL172" s="928"/>
      <c r="BAM172" s="928"/>
      <c r="BAN172" s="928"/>
      <c r="BAO172" s="928"/>
      <c r="BAP172" s="928"/>
      <c r="BAQ172" s="928"/>
      <c r="BAR172" s="928"/>
      <c r="BAS172" s="928"/>
      <c r="BAT172" s="928"/>
      <c r="BAU172" s="928"/>
      <c r="BAV172" s="928"/>
      <c r="BAW172" s="928"/>
      <c r="BAX172" s="928"/>
      <c r="BAY172" s="928"/>
      <c r="BAZ172" s="928"/>
      <c r="BBA172" s="928"/>
      <c r="BBB172" s="928"/>
      <c r="BBC172" s="928"/>
      <c r="BBD172" s="928"/>
      <c r="BBE172" s="928"/>
      <c r="BBF172" s="928"/>
      <c r="BBG172" s="928"/>
      <c r="BBH172" s="928"/>
      <c r="BBI172" s="928"/>
      <c r="BBJ172" s="928"/>
      <c r="BBK172" s="928"/>
      <c r="BBL172" s="928"/>
      <c r="BBM172" s="928"/>
      <c r="BBN172" s="928"/>
      <c r="BBO172" s="928"/>
      <c r="BBP172" s="928"/>
      <c r="BBQ172" s="928"/>
      <c r="BBR172" s="928"/>
      <c r="BBS172" s="928"/>
      <c r="BBT172" s="928"/>
      <c r="BBU172" s="928"/>
      <c r="BBV172" s="928"/>
      <c r="BBW172" s="928"/>
      <c r="BBX172" s="928"/>
      <c r="BBY172" s="928"/>
      <c r="BBZ172" s="928"/>
      <c r="BCA172" s="928"/>
      <c r="BCB172" s="928"/>
      <c r="BCC172" s="928"/>
      <c r="BCD172" s="928"/>
      <c r="BCE172" s="928"/>
      <c r="BCF172" s="928"/>
      <c r="BCG172" s="928"/>
      <c r="BCH172" s="928"/>
      <c r="BCI172" s="928"/>
      <c r="BCJ172" s="928"/>
      <c r="BCK172" s="928"/>
      <c r="BCL172" s="928"/>
      <c r="BCM172" s="928"/>
      <c r="BCN172" s="928"/>
      <c r="BCO172" s="928"/>
      <c r="BCP172" s="928"/>
      <c r="BCQ172" s="928"/>
      <c r="BCR172" s="928"/>
      <c r="BCS172" s="928"/>
      <c r="BCT172" s="928"/>
      <c r="BCU172" s="928"/>
      <c r="BCV172" s="928"/>
      <c r="BCW172" s="928"/>
      <c r="BCX172" s="928"/>
      <c r="BCY172" s="928"/>
      <c r="BCZ172" s="928"/>
      <c r="BDA172" s="928"/>
      <c r="BDB172" s="928"/>
      <c r="BDC172" s="928"/>
      <c r="BDD172" s="928"/>
      <c r="BDE172" s="928"/>
      <c r="BDF172" s="928"/>
      <c r="BDG172" s="928"/>
      <c r="BDH172" s="928"/>
      <c r="BDI172" s="928"/>
      <c r="BDJ172" s="928"/>
      <c r="BDK172" s="928"/>
      <c r="BDL172" s="928"/>
      <c r="BDM172" s="928"/>
      <c r="BDN172" s="928"/>
      <c r="BDO172" s="928"/>
      <c r="BDP172" s="928"/>
      <c r="BDQ172" s="928"/>
      <c r="BDR172" s="928"/>
      <c r="BDS172" s="928"/>
      <c r="BDT172" s="928"/>
      <c r="BDU172" s="928"/>
      <c r="BDV172" s="928"/>
      <c r="BDW172" s="928"/>
      <c r="BDX172" s="928"/>
      <c r="BDY172" s="928"/>
      <c r="BDZ172" s="928"/>
      <c r="BEA172" s="928"/>
      <c r="BEB172" s="928"/>
      <c r="BEC172" s="928"/>
      <c r="BED172" s="928"/>
      <c r="BEE172" s="928"/>
      <c r="BEF172" s="928"/>
      <c r="BEG172" s="928"/>
      <c r="BEH172" s="928"/>
      <c r="BEI172" s="928"/>
      <c r="BEJ172" s="928"/>
      <c r="BEK172" s="928"/>
      <c r="BEL172" s="928"/>
      <c r="BEM172" s="928"/>
      <c r="BEN172" s="928"/>
      <c r="BEO172" s="928"/>
      <c r="BEP172" s="928"/>
      <c r="BEQ172" s="928"/>
      <c r="BER172" s="928"/>
      <c r="BES172" s="928"/>
      <c r="BET172" s="928"/>
      <c r="BEU172" s="928"/>
      <c r="BEV172" s="928"/>
      <c r="BEW172" s="928"/>
      <c r="BEX172" s="928"/>
      <c r="BEY172" s="928"/>
      <c r="BEZ172" s="928"/>
      <c r="BFA172" s="928"/>
      <c r="BFB172" s="928"/>
      <c r="BFC172" s="928"/>
      <c r="BFD172" s="928"/>
      <c r="BFE172" s="928"/>
      <c r="BFF172" s="928"/>
      <c r="BFG172" s="928"/>
      <c r="BFH172" s="928"/>
      <c r="BFI172" s="928"/>
      <c r="BFJ172" s="928"/>
      <c r="BFK172" s="928"/>
      <c r="BFL172" s="928"/>
      <c r="BFM172" s="928"/>
      <c r="BFN172" s="928"/>
      <c r="BFO172" s="928"/>
      <c r="BFP172" s="928"/>
      <c r="BFQ172" s="928"/>
      <c r="BFR172" s="928"/>
      <c r="BFS172" s="928"/>
      <c r="BFT172" s="928"/>
      <c r="BFU172" s="928"/>
      <c r="BFV172" s="928"/>
      <c r="BFW172" s="928"/>
      <c r="BFX172" s="928"/>
      <c r="BFY172" s="928"/>
      <c r="BFZ172" s="928"/>
      <c r="BGA172" s="928"/>
      <c r="BGB172" s="928"/>
      <c r="BGC172" s="928"/>
      <c r="BGD172" s="928"/>
      <c r="BGE172" s="928"/>
      <c r="BGF172" s="928"/>
      <c r="BGG172" s="928"/>
      <c r="BGH172" s="928"/>
      <c r="BGI172" s="928"/>
      <c r="BGJ172" s="928"/>
      <c r="BGK172" s="928"/>
      <c r="BGL172" s="928"/>
      <c r="BGM172" s="928"/>
      <c r="BGN172" s="928"/>
      <c r="BGO172" s="928"/>
      <c r="BGP172" s="928"/>
      <c r="BGQ172" s="928"/>
      <c r="BGR172" s="928"/>
      <c r="BGS172" s="928"/>
      <c r="BGT172" s="928"/>
      <c r="BGU172" s="928"/>
      <c r="BGV172" s="928"/>
      <c r="BGW172" s="928"/>
      <c r="BGX172" s="928"/>
      <c r="BGY172" s="928"/>
      <c r="BGZ172" s="928"/>
      <c r="BHA172" s="928"/>
      <c r="BHB172" s="928"/>
      <c r="BHC172" s="928"/>
      <c r="BHD172" s="928"/>
      <c r="BHE172" s="928"/>
      <c r="BHF172" s="928"/>
      <c r="BHG172" s="928"/>
      <c r="BHH172" s="928"/>
      <c r="BHI172" s="928"/>
      <c r="BHJ172" s="928"/>
      <c r="BHK172" s="928"/>
      <c r="BHL172" s="928"/>
      <c r="BHM172" s="928"/>
      <c r="BHN172" s="928"/>
      <c r="BHO172" s="928"/>
      <c r="BHP172" s="928"/>
      <c r="BHQ172" s="928"/>
      <c r="BHR172" s="928"/>
      <c r="BHS172" s="928"/>
      <c r="BHT172" s="928"/>
      <c r="BHU172" s="928"/>
      <c r="BHV172" s="928"/>
      <c r="BHW172" s="928"/>
      <c r="BHX172" s="928"/>
      <c r="BHY172" s="928"/>
      <c r="BHZ172" s="928"/>
      <c r="BIA172" s="928"/>
      <c r="BIB172" s="928"/>
      <c r="BIC172" s="928"/>
      <c r="BID172" s="928"/>
      <c r="BIE172" s="928"/>
      <c r="BIF172" s="928"/>
      <c r="BIG172" s="928"/>
      <c r="BIH172" s="928"/>
      <c r="BII172" s="928"/>
      <c r="BIJ172" s="928"/>
      <c r="BIK172" s="928"/>
      <c r="BIL172" s="928"/>
      <c r="BIM172" s="928"/>
      <c r="BIN172" s="928"/>
      <c r="BIO172" s="928"/>
      <c r="BIP172" s="928"/>
      <c r="BIQ172" s="928"/>
      <c r="BIR172" s="928"/>
      <c r="BIS172" s="928"/>
      <c r="BIT172" s="928"/>
      <c r="BIU172" s="928"/>
      <c r="BIV172" s="928"/>
      <c r="BIW172" s="928"/>
      <c r="BIX172" s="928"/>
      <c r="BIY172" s="928"/>
      <c r="BIZ172" s="928"/>
      <c r="BJA172" s="928"/>
      <c r="BJB172" s="928"/>
      <c r="BJC172" s="928"/>
      <c r="BJD172" s="928"/>
      <c r="BJE172" s="928"/>
      <c r="BJF172" s="928"/>
      <c r="BJG172" s="928"/>
      <c r="BJH172" s="928"/>
      <c r="BJI172" s="928"/>
      <c r="BJJ172" s="928"/>
      <c r="BJK172" s="928"/>
      <c r="BJL172" s="928"/>
      <c r="BJM172" s="928"/>
      <c r="BJN172" s="928"/>
      <c r="BJO172" s="928"/>
      <c r="BJP172" s="928"/>
      <c r="BJQ172" s="928"/>
      <c r="BJR172" s="928"/>
      <c r="BJS172" s="928"/>
      <c r="BJT172" s="928"/>
      <c r="BJU172" s="928"/>
      <c r="BJV172" s="928"/>
      <c r="BJW172" s="928"/>
      <c r="BJX172" s="928"/>
      <c r="BJY172" s="928"/>
      <c r="BJZ172" s="928"/>
      <c r="BKA172" s="928"/>
      <c r="BKB172" s="928"/>
      <c r="BKC172" s="928"/>
      <c r="BKD172" s="928"/>
      <c r="BKE172" s="928"/>
      <c r="BKF172" s="928"/>
      <c r="BKG172" s="928"/>
      <c r="BKH172" s="928"/>
      <c r="BKI172" s="928"/>
      <c r="BKJ172" s="928"/>
      <c r="BKK172" s="928"/>
      <c r="BKL172" s="928"/>
      <c r="BKM172" s="928"/>
      <c r="BKN172" s="928"/>
      <c r="BKO172" s="928"/>
      <c r="BKP172" s="928"/>
      <c r="BKQ172" s="928"/>
      <c r="BKR172" s="928"/>
      <c r="BKS172" s="928"/>
      <c r="BKT172" s="928"/>
      <c r="BKU172" s="928"/>
      <c r="BKV172" s="928"/>
      <c r="BKW172" s="928"/>
      <c r="BKX172" s="928"/>
      <c r="BKY172" s="928"/>
      <c r="BKZ172" s="928"/>
      <c r="BLA172" s="928"/>
      <c r="BLB172" s="928"/>
      <c r="BLC172" s="928"/>
      <c r="BLD172" s="928"/>
      <c r="BLE172" s="928"/>
      <c r="BLF172" s="928"/>
      <c r="BLG172" s="928"/>
      <c r="BLH172" s="928"/>
      <c r="BLI172" s="928"/>
      <c r="BLJ172" s="928"/>
      <c r="BLK172" s="928"/>
      <c r="BLL172" s="928"/>
      <c r="BLM172" s="928"/>
      <c r="BLN172" s="928"/>
      <c r="BLO172" s="928"/>
      <c r="BLP172" s="928"/>
      <c r="BLQ172" s="928"/>
      <c r="BLR172" s="928"/>
      <c r="BLS172" s="928"/>
      <c r="BLT172" s="928"/>
      <c r="BLU172" s="928"/>
      <c r="BLV172" s="928"/>
      <c r="BLW172" s="928"/>
      <c r="BLX172" s="928"/>
      <c r="BLY172" s="928"/>
      <c r="BLZ172" s="928"/>
      <c r="BMA172" s="928"/>
      <c r="BMB172" s="928"/>
      <c r="BMC172" s="928"/>
      <c r="BMD172" s="928"/>
      <c r="BME172" s="928"/>
      <c r="BMF172" s="928"/>
      <c r="BMG172" s="928"/>
      <c r="BMH172" s="928"/>
      <c r="BMI172" s="928"/>
      <c r="BMJ172" s="928"/>
      <c r="BMK172" s="928"/>
      <c r="BML172" s="928"/>
      <c r="BMM172" s="928"/>
      <c r="BMN172" s="928"/>
      <c r="BMO172" s="928"/>
      <c r="BMP172" s="928"/>
      <c r="BMQ172" s="928"/>
      <c r="BMR172" s="928"/>
      <c r="BMS172" s="928"/>
      <c r="BMT172" s="928"/>
      <c r="BMU172" s="928"/>
      <c r="BMV172" s="928"/>
      <c r="BMW172" s="928"/>
      <c r="BMX172" s="928"/>
      <c r="BMY172" s="928"/>
      <c r="BMZ172" s="928"/>
      <c r="BNA172" s="928"/>
      <c r="BNB172" s="928"/>
      <c r="BNC172" s="928"/>
      <c r="BND172" s="928"/>
      <c r="BNE172" s="928"/>
      <c r="BNF172" s="928"/>
      <c r="BNG172" s="928"/>
      <c r="BNH172" s="928"/>
      <c r="BNI172" s="928"/>
      <c r="BNJ172" s="928"/>
      <c r="BNK172" s="928"/>
      <c r="BNL172" s="928"/>
      <c r="BNM172" s="928"/>
      <c r="BNN172" s="928"/>
      <c r="BNO172" s="928"/>
      <c r="BNP172" s="928"/>
      <c r="BNQ172" s="928"/>
      <c r="BNR172" s="928"/>
      <c r="BNS172" s="928"/>
      <c r="BNT172" s="928"/>
      <c r="BNU172" s="928"/>
      <c r="BNV172" s="928"/>
      <c r="BNW172" s="928"/>
      <c r="BNX172" s="928"/>
      <c r="BNY172" s="928"/>
      <c r="BNZ172" s="928"/>
      <c r="BOA172" s="928"/>
      <c r="BOB172" s="928"/>
      <c r="BOC172" s="928"/>
      <c r="BOD172" s="928"/>
      <c r="BOE172" s="928"/>
      <c r="BOF172" s="928"/>
      <c r="BOG172" s="928"/>
      <c r="BOH172" s="928"/>
      <c r="BOI172" s="928"/>
      <c r="BOJ172" s="928"/>
      <c r="BOK172" s="928"/>
      <c r="BOL172" s="928"/>
      <c r="BOM172" s="928"/>
      <c r="BON172" s="928"/>
      <c r="BOO172" s="928"/>
      <c r="BOP172" s="928"/>
      <c r="BOQ172" s="928"/>
      <c r="BOR172" s="928"/>
      <c r="BOS172" s="928"/>
      <c r="BOT172" s="928"/>
      <c r="BOU172" s="928"/>
      <c r="BOV172" s="928"/>
      <c r="BOW172" s="928"/>
      <c r="BOX172" s="928"/>
      <c r="BOY172" s="928"/>
      <c r="BOZ172" s="928"/>
      <c r="BPA172" s="928"/>
      <c r="BPB172" s="928"/>
      <c r="BPC172" s="928"/>
      <c r="BPD172" s="928"/>
      <c r="BPE172" s="928"/>
      <c r="BPF172" s="928"/>
      <c r="BPG172" s="928"/>
      <c r="BPH172" s="928"/>
      <c r="BPI172" s="928"/>
      <c r="BPJ172" s="928"/>
      <c r="BPK172" s="928"/>
      <c r="BPL172" s="928"/>
      <c r="BPM172" s="928"/>
      <c r="BPN172" s="928"/>
      <c r="BPO172" s="928"/>
      <c r="BPP172" s="928"/>
      <c r="BPQ172" s="928"/>
      <c r="BPR172" s="928"/>
      <c r="BPS172" s="928"/>
      <c r="BPT172" s="928"/>
      <c r="BPU172" s="928"/>
      <c r="BPV172" s="928"/>
      <c r="BPW172" s="928"/>
      <c r="BPX172" s="928"/>
      <c r="BPY172" s="928"/>
      <c r="BPZ172" s="928"/>
      <c r="BQA172" s="928"/>
      <c r="BQB172" s="928"/>
      <c r="BQC172" s="928"/>
      <c r="BQD172" s="928"/>
      <c r="BQE172" s="928"/>
      <c r="BQF172" s="928"/>
      <c r="BQG172" s="928"/>
      <c r="BQH172" s="928"/>
      <c r="BQI172" s="928"/>
      <c r="BQJ172" s="928"/>
      <c r="BQK172" s="928"/>
      <c r="BQL172" s="928"/>
      <c r="BQM172" s="928"/>
      <c r="BQN172" s="928"/>
      <c r="BQO172" s="928"/>
      <c r="BQP172" s="928"/>
      <c r="BQQ172" s="928"/>
      <c r="BQR172" s="928"/>
      <c r="BQS172" s="928"/>
      <c r="BQT172" s="928"/>
      <c r="BQU172" s="928"/>
      <c r="BQV172" s="928"/>
      <c r="BQW172" s="928"/>
      <c r="BQX172" s="928"/>
      <c r="BQY172" s="928"/>
      <c r="BQZ172" s="928"/>
      <c r="BRA172" s="928"/>
      <c r="BRB172" s="928"/>
      <c r="BRC172" s="928"/>
      <c r="BRD172" s="928"/>
      <c r="BRE172" s="928"/>
      <c r="BRF172" s="928"/>
      <c r="BRG172" s="928"/>
      <c r="BRH172" s="928"/>
      <c r="BRI172" s="928"/>
      <c r="BRJ172" s="928"/>
      <c r="BRK172" s="928"/>
      <c r="BRL172" s="928"/>
      <c r="BRM172" s="928"/>
      <c r="BRN172" s="928"/>
      <c r="BRO172" s="928"/>
      <c r="BRP172" s="928"/>
      <c r="BRQ172" s="928"/>
      <c r="BRR172" s="928"/>
      <c r="BRS172" s="928"/>
      <c r="BRT172" s="928"/>
      <c r="BRU172" s="928"/>
      <c r="BRV172" s="928"/>
      <c r="BRW172" s="928"/>
      <c r="BRX172" s="928"/>
      <c r="BRY172" s="928"/>
      <c r="BRZ172" s="928"/>
      <c r="BSA172" s="928"/>
      <c r="BSB172" s="928"/>
      <c r="BSC172" s="928"/>
      <c r="BSD172" s="928"/>
      <c r="BSE172" s="928"/>
      <c r="BSF172" s="928"/>
      <c r="BSG172" s="928"/>
      <c r="BSH172" s="928"/>
      <c r="BSI172" s="928"/>
      <c r="BSJ172" s="928"/>
      <c r="BSK172" s="928"/>
      <c r="BSL172" s="928"/>
      <c r="BSM172" s="928"/>
      <c r="BSN172" s="928"/>
      <c r="BSO172" s="928"/>
      <c r="BSP172" s="928"/>
      <c r="BSQ172" s="928"/>
      <c r="BSR172" s="928"/>
      <c r="BSS172" s="928"/>
      <c r="BST172" s="928"/>
      <c r="BSU172" s="928"/>
      <c r="BSV172" s="928"/>
      <c r="BSW172" s="928"/>
      <c r="BSX172" s="928"/>
      <c r="BSY172" s="928"/>
      <c r="BSZ172" s="928"/>
      <c r="BTA172" s="928"/>
      <c r="BTB172" s="928"/>
      <c r="BTC172" s="928"/>
      <c r="BTD172" s="928"/>
      <c r="BTE172" s="928"/>
      <c r="BTF172" s="928"/>
      <c r="BTG172" s="928"/>
      <c r="BTH172" s="928"/>
      <c r="BTI172" s="928"/>
      <c r="BTJ172" s="928"/>
      <c r="BTK172" s="928"/>
      <c r="BTL172" s="928"/>
      <c r="BTM172" s="928"/>
      <c r="BTN172" s="928"/>
      <c r="BTO172" s="928"/>
      <c r="BTP172" s="928"/>
      <c r="BTQ172" s="928"/>
      <c r="BTR172" s="928"/>
      <c r="BTS172" s="928"/>
      <c r="BTT172" s="928"/>
      <c r="BTU172" s="928"/>
      <c r="BTV172" s="928"/>
      <c r="BTW172" s="928"/>
      <c r="BTX172" s="928"/>
      <c r="BTY172" s="928"/>
      <c r="BTZ172" s="928"/>
      <c r="BUA172" s="928"/>
      <c r="BUB172" s="928"/>
      <c r="BUC172" s="928"/>
      <c r="BUD172" s="928"/>
      <c r="BUE172" s="928"/>
      <c r="BUF172" s="928"/>
      <c r="BUG172" s="928"/>
      <c r="BUH172" s="928"/>
      <c r="BUI172" s="928"/>
      <c r="BUJ172" s="928"/>
      <c r="BUK172" s="928"/>
      <c r="BUL172" s="928"/>
      <c r="BUM172" s="928"/>
      <c r="BUN172" s="928"/>
      <c r="BUO172" s="928"/>
      <c r="BUP172" s="928"/>
      <c r="BUQ172" s="928"/>
      <c r="BUR172" s="928"/>
      <c r="BUS172" s="928"/>
      <c r="BUT172" s="928"/>
      <c r="BUU172" s="928"/>
      <c r="BUV172" s="928"/>
      <c r="BUW172" s="928"/>
      <c r="BUX172" s="928"/>
      <c r="BUY172" s="928"/>
      <c r="BUZ172" s="928"/>
      <c r="BVA172" s="928"/>
      <c r="BVB172" s="928"/>
      <c r="BVC172" s="928"/>
      <c r="BVD172" s="928"/>
      <c r="BVE172" s="928"/>
      <c r="BVF172" s="928"/>
      <c r="BVG172" s="928"/>
      <c r="BVH172" s="928"/>
      <c r="BVI172" s="928"/>
      <c r="BVJ172" s="928"/>
      <c r="BVK172" s="928"/>
      <c r="BVL172" s="928"/>
      <c r="BVM172" s="928"/>
      <c r="BVN172" s="928"/>
      <c r="BVO172" s="928"/>
      <c r="BVP172" s="928"/>
      <c r="BVQ172" s="928"/>
      <c r="BVR172" s="928"/>
      <c r="BVS172" s="928"/>
      <c r="BVT172" s="928"/>
      <c r="BVU172" s="928"/>
      <c r="BVV172" s="928"/>
      <c r="BVW172" s="928"/>
      <c r="BVX172" s="928"/>
      <c r="BVY172" s="928"/>
      <c r="BVZ172" s="928"/>
      <c r="BWA172" s="928"/>
      <c r="BWB172" s="928"/>
      <c r="BWC172" s="928"/>
      <c r="BWD172" s="928"/>
      <c r="BWE172" s="928"/>
      <c r="BWF172" s="928"/>
      <c r="BWG172" s="928"/>
      <c r="BWH172" s="928"/>
      <c r="BWI172" s="928"/>
      <c r="BWJ172" s="928"/>
      <c r="BWK172" s="928"/>
      <c r="BWL172" s="928"/>
      <c r="BWM172" s="928"/>
      <c r="BWN172" s="928"/>
      <c r="BWO172" s="928"/>
      <c r="BWP172" s="928"/>
      <c r="BWQ172" s="928"/>
      <c r="BWR172" s="928"/>
      <c r="BWS172" s="928"/>
      <c r="BWT172" s="928"/>
      <c r="BWU172" s="928"/>
      <c r="BWV172" s="928"/>
      <c r="BWW172" s="928"/>
      <c r="BWX172" s="928"/>
      <c r="BWY172" s="928"/>
      <c r="BWZ172" s="928"/>
      <c r="BXA172" s="928"/>
      <c r="BXB172" s="928"/>
      <c r="BXC172" s="928"/>
      <c r="BXD172" s="928"/>
      <c r="BXE172" s="928"/>
      <c r="BXF172" s="928"/>
      <c r="BXG172" s="928"/>
      <c r="BXH172" s="928"/>
      <c r="BXI172" s="928"/>
      <c r="BXJ172" s="928"/>
      <c r="BXK172" s="928"/>
      <c r="BXL172" s="928"/>
      <c r="BXM172" s="928"/>
      <c r="BXN172" s="928"/>
      <c r="BXO172" s="928"/>
      <c r="BXP172" s="928"/>
      <c r="BXQ172" s="928"/>
      <c r="BXR172" s="928"/>
      <c r="BXS172" s="928"/>
      <c r="BXT172" s="928"/>
      <c r="BXU172" s="928"/>
      <c r="BXV172" s="928"/>
      <c r="BXW172" s="928"/>
      <c r="BXX172" s="928"/>
      <c r="BXY172" s="928"/>
      <c r="BXZ172" s="928"/>
      <c r="BYA172" s="928"/>
      <c r="BYB172" s="928"/>
      <c r="BYC172" s="928"/>
      <c r="BYD172" s="928"/>
      <c r="BYE172" s="928"/>
      <c r="BYF172" s="928"/>
      <c r="BYG172" s="928"/>
      <c r="BYH172" s="928"/>
      <c r="BYI172" s="928"/>
      <c r="BYJ172" s="928"/>
      <c r="BYK172" s="928"/>
      <c r="BYL172" s="928"/>
      <c r="BYM172" s="928"/>
      <c r="BYN172" s="928"/>
      <c r="BYO172" s="928"/>
      <c r="BYP172" s="928"/>
      <c r="BYQ172" s="928"/>
      <c r="BYR172" s="928"/>
      <c r="BYS172" s="928"/>
      <c r="BYT172" s="928"/>
      <c r="BYU172" s="928"/>
      <c r="BYV172" s="928"/>
      <c r="BYW172" s="928"/>
      <c r="BYX172" s="928"/>
      <c r="BYY172" s="928"/>
      <c r="BYZ172" s="928"/>
      <c r="BZA172" s="928"/>
      <c r="BZB172" s="928"/>
      <c r="BZC172" s="928"/>
      <c r="BZD172" s="928"/>
      <c r="BZE172" s="928"/>
      <c r="BZF172" s="928"/>
      <c r="BZG172" s="928"/>
      <c r="BZH172" s="928"/>
      <c r="BZI172" s="928"/>
      <c r="BZJ172" s="928"/>
      <c r="BZK172" s="928"/>
      <c r="BZL172" s="928"/>
      <c r="BZM172" s="928"/>
      <c r="BZN172" s="928"/>
      <c r="BZO172" s="928"/>
      <c r="BZP172" s="928"/>
      <c r="BZQ172" s="928"/>
      <c r="BZR172" s="928"/>
      <c r="BZS172" s="928"/>
      <c r="BZT172" s="928"/>
      <c r="BZU172" s="928"/>
      <c r="BZV172" s="928"/>
      <c r="BZW172" s="928"/>
      <c r="BZX172" s="928"/>
      <c r="BZY172" s="928"/>
      <c r="BZZ172" s="928"/>
      <c r="CAA172" s="928"/>
      <c r="CAB172" s="928"/>
      <c r="CAC172" s="928"/>
      <c r="CAD172" s="928"/>
      <c r="CAE172" s="928"/>
      <c r="CAF172" s="928"/>
      <c r="CAG172" s="928"/>
      <c r="CAH172" s="928"/>
      <c r="CAI172" s="928"/>
      <c r="CAJ172" s="928"/>
      <c r="CAK172" s="928"/>
      <c r="CAL172" s="928"/>
      <c r="CAM172" s="928"/>
      <c r="CAN172" s="928"/>
      <c r="CAO172" s="928"/>
      <c r="CAP172" s="928"/>
      <c r="CAQ172" s="928"/>
      <c r="CAR172" s="928"/>
      <c r="CAS172" s="928"/>
      <c r="CAT172" s="928"/>
      <c r="CAU172" s="928"/>
      <c r="CAV172" s="928"/>
      <c r="CAW172" s="928"/>
      <c r="CAX172" s="928"/>
      <c r="CAY172" s="928"/>
      <c r="CAZ172" s="928"/>
      <c r="CBA172" s="928"/>
      <c r="CBB172" s="928"/>
      <c r="CBC172" s="928"/>
      <c r="CBD172" s="928"/>
      <c r="CBE172" s="928"/>
      <c r="CBF172" s="928"/>
      <c r="CBG172" s="928"/>
      <c r="CBH172" s="928"/>
      <c r="CBI172" s="928"/>
      <c r="CBJ172" s="928"/>
      <c r="CBK172" s="928"/>
      <c r="CBL172" s="928"/>
      <c r="CBM172" s="928"/>
      <c r="CBN172" s="928"/>
      <c r="CBO172" s="928"/>
      <c r="CBP172" s="928"/>
      <c r="CBQ172" s="928"/>
      <c r="CBR172" s="928"/>
      <c r="CBS172" s="928"/>
      <c r="CBT172" s="928"/>
      <c r="CBU172" s="928"/>
      <c r="CBV172" s="928"/>
      <c r="CBW172" s="928"/>
      <c r="CBX172" s="928"/>
      <c r="CBY172" s="928"/>
      <c r="CBZ172" s="928"/>
      <c r="CCA172" s="928"/>
      <c r="CCB172" s="928"/>
      <c r="CCC172" s="928"/>
      <c r="CCD172" s="928"/>
      <c r="CCE172" s="928"/>
      <c r="CCF172" s="928"/>
      <c r="CCG172" s="928"/>
      <c r="CCH172" s="928"/>
      <c r="CCI172" s="928"/>
      <c r="CCJ172" s="928"/>
      <c r="CCK172" s="928"/>
      <c r="CCL172" s="928"/>
      <c r="CCM172" s="928"/>
      <c r="CCN172" s="928"/>
      <c r="CCO172" s="928"/>
      <c r="CCP172" s="928"/>
      <c r="CCQ172" s="928"/>
      <c r="CCR172" s="928"/>
      <c r="CCS172" s="928"/>
      <c r="CCT172" s="928"/>
      <c r="CCU172" s="928"/>
      <c r="CCV172" s="928"/>
      <c r="CCW172" s="928"/>
      <c r="CCX172" s="928"/>
      <c r="CCY172" s="928"/>
      <c r="CCZ172" s="928"/>
      <c r="CDA172" s="928"/>
      <c r="CDB172" s="928"/>
      <c r="CDC172" s="928"/>
      <c r="CDD172" s="928"/>
      <c r="CDE172" s="928"/>
      <c r="CDF172" s="928"/>
      <c r="CDG172" s="928"/>
      <c r="CDH172" s="928"/>
      <c r="CDI172" s="928"/>
      <c r="CDJ172" s="928"/>
      <c r="CDK172" s="928"/>
      <c r="CDL172" s="928"/>
      <c r="CDM172" s="928"/>
      <c r="CDN172" s="928"/>
      <c r="CDO172" s="928"/>
      <c r="CDP172" s="928"/>
      <c r="CDQ172" s="928"/>
      <c r="CDR172" s="928"/>
      <c r="CDS172" s="928"/>
      <c r="CDT172" s="928"/>
      <c r="CDU172" s="928"/>
      <c r="CDV172" s="928"/>
      <c r="CDW172" s="928"/>
      <c r="CDX172" s="928"/>
      <c r="CDY172" s="928"/>
      <c r="CDZ172" s="928"/>
      <c r="CEA172" s="928"/>
      <c r="CEB172" s="928"/>
      <c r="CEC172" s="928"/>
      <c r="CED172" s="928"/>
      <c r="CEE172" s="928"/>
      <c r="CEF172" s="928"/>
      <c r="CEG172" s="928"/>
      <c r="CEH172" s="928"/>
      <c r="CEI172" s="928"/>
      <c r="CEJ172" s="928"/>
      <c r="CEK172" s="928"/>
      <c r="CEL172" s="928"/>
      <c r="CEM172" s="928"/>
      <c r="CEN172" s="928"/>
      <c r="CEO172" s="928"/>
      <c r="CEP172" s="928"/>
      <c r="CEQ172" s="928"/>
      <c r="CER172" s="928"/>
      <c r="CES172" s="928"/>
      <c r="CET172" s="928"/>
      <c r="CEU172" s="928"/>
      <c r="CEV172" s="928"/>
      <c r="CEW172" s="928"/>
      <c r="CEX172" s="928"/>
      <c r="CEY172" s="928"/>
      <c r="CEZ172" s="928"/>
      <c r="CFA172" s="928"/>
      <c r="CFB172" s="928"/>
      <c r="CFC172" s="928"/>
      <c r="CFD172" s="928"/>
      <c r="CFE172" s="928"/>
      <c r="CFF172" s="928"/>
      <c r="CFG172" s="928"/>
      <c r="CFH172" s="928"/>
      <c r="CFI172" s="928"/>
      <c r="CFJ172" s="928"/>
      <c r="CFK172" s="928"/>
      <c r="CFL172" s="928"/>
      <c r="CFM172" s="928"/>
      <c r="CFN172" s="928"/>
      <c r="CFO172" s="928"/>
      <c r="CFP172" s="928"/>
      <c r="CFQ172" s="928"/>
      <c r="CFR172" s="928"/>
      <c r="CFS172" s="928"/>
      <c r="CFT172" s="928"/>
      <c r="CFU172" s="928"/>
      <c r="CFV172" s="928"/>
      <c r="CFW172" s="928"/>
      <c r="CFX172" s="928"/>
      <c r="CFY172" s="928"/>
      <c r="CFZ172" s="928"/>
      <c r="CGA172" s="928"/>
      <c r="CGB172" s="928"/>
      <c r="CGC172" s="928"/>
      <c r="CGD172" s="928"/>
      <c r="CGE172" s="928"/>
      <c r="CGF172" s="928"/>
      <c r="CGG172" s="928"/>
      <c r="CGH172" s="928"/>
      <c r="CGI172" s="928"/>
      <c r="CGJ172" s="928"/>
      <c r="CGK172" s="928"/>
      <c r="CGL172" s="928"/>
      <c r="CGM172" s="928"/>
      <c r="CGN172" s="928"/>
      <c r="CGO172" s="928"/>
      <c r="CGP172" s="928"/>
      <c r="CGQ172" s="928"/>
      <c r="CGR172" s="928"/>
      <c r="CGS172" s="928"/>
      <c r="CGT172" s="928"/>
      <c r="CGU172" s="928"/>
      <c r="CGV172" s="928"/>
      <c r="CGW172" s="928"/>
      <c r="CGX172" s="928"/>
      <c r="CGY172" s="928"/>
      <c r="CGZ172" s="928"/>
      <c r="CHA172" s="928"/>
      <c r="CHB172" s="928"/>
      <c r="CHC172" s="928"/>
      <c r="CHD172" s="928"/>
      <c r="CHE172" s="928"/>
      <c r="CHF172" s="928"/>
      <c r="CHG172" s="928"/>
      <c r="CHH172" s="928"/>
      <c r="CHI172" s="928"/>
      <c r="CHJ172" s="928"/>
      <c r="CHK172" s="928"/>
      <c r="CHL172" s="928"/>
      <c r="CHM172" s="928"/>
      <c r="CHN172" s="928"/>
      <c r="CHO172" s="928"/>
      <c r="CHP172" s="928"/>
      <c r="CHQ172" s="928"/>
      <c r="CHR172" s="928"/>
      <c r="CHS172" s="928"/>
      <c r="CHT172" s="928"/>
      <c r="CHU172" s="928"/>
      <c r="CHV172" s="928"/>
      <c r="CHW172" s="928"/>
      <c r="CHX172" s="928"/>
      <c r="CHY172" s="928"/>
      <c r="CHZ172" s="928"/>
      <c r="CIA172" s="928"/>
      <c r="CIB172" s="928"/>
      <c r="CIC172" s="928"/>
      <c r="CID172" s="928"/>
      <c r="CIE172" s="928"/>
      <c r="CIF172" s="928"/>
      <c r="CIG172" s="928"/>
      <c r="CIH172" s="928"/>
      <c r="CII172" s="928"/>
      <c r="CIJ172" s="928"/>
      <c r="CIK172" s="928"/>
      <c r="CIL172" s="928"/>
      <c r="CIM172" s="928"/>
      <c r="CIN172" s="928"/>
      <c r="CIO172" s="928"/>
      <c r="CIP172" s="928"/>
      <c r="CIQ172" s="928"/>
      <c r="CIR172" s="928"/>
      <c r="CIS172" s="928"/>
      <c r="CIT172" s="928"/>
      <c r="CIU172" s="928"/>
      <c r="CIV172" s="928"/>
      <c r="CIW172" s="928"/>
      <c r="CIX172" s="928"/>
      <c r="CIY172" s="928"/>
      <c r="CIZ172" s="928"/>
      <c r="CJA172" s="928"/>
      <c r="CJB172" s="928"/>
      <c r="CJC172" s="928"/>
      <c r="CJD172" s="928"/>
      <c r="CJE172" s="928"/>
      <c r="CJF172" s="928"/>
      <c r="CJG172" s="928"/>
      <c r="CJH172" s="928"/>
      <c r="CJI172" s="928"/>
      <c r="CJJ172" s="928"/>
      <c r="CJK172" s="928"/>
      <c r="CJL172" s="928"/>
      <c r="CJM172" s="928"/>
      <c r="CJN172" s="928"/>
      <c r="CJO172" s="928"/>
      <c r="CJP172" s="928"/>
      <c r="CJQ172" s="928"/>
      <c r="CJR172" s="928"/>
      <c r="CJS172" s="928"/>
      <c r="CJT172" s="928"/>
      <c r="CJU172" s="928"/>
      <c r="CJV172" s="928"/>
      <c r="CJW172" s="928"/>
      <c r="CJX172" s="928"/>
      <c r="CJY172" s="928"/>
      <c r="CJZ172" s="928"/>
      <c r="CKA172" s="928"/>
      <c r="CKB172" s="928"/>
      <c r="CKC172" s="928"/>
      <c r="CKD172" s="928"/>
      <c r="CKE172" s="928"/>
      <c r="CKF172" s="928"/>
      <c r="CKG172" s="928"/>
      <c r="CKH172" s="928"/>
      <c r="CKI172" s="928"/>
      <c r="CKJ172" s="928"/>
      <c r="CKK172" s="928"/>
      <c r="CKL172" s="928"/>
      <c r="CKM172" s="928"/>
      <c r="CKN172" s="928"/>
      <c r="CKO172" s="928"/>
      <c r="CKP172" s="928"/>
      <c r="CKQ172" s="928"/>
      <c r="CKR172" s="928"/>
      <c r="CKS172" s="928"/>
      <c r="CKT172" s="928"/>
      <c r="CKU172" s="928"/>
      <c r="CKV172" s="928"/>
      <c r="CKW172" s="928"/>
      <c r="CKX172" s="928"/>
      <c r="CKY172" s="928"/>
      <c r="CKZ172" s="928"/>
      <c r="CLA172" s="928"/>
      <c r="CLB172" s="928"/>
      <c r="CLC172" s="928"/>
      <c r="CLD172" s="928"/>
      <c r="CLE172" s="928"/>
      <c r="CLF172" s="928"/>
      <c r="CLG172" s="928"/>
      <c r="CLH172" s="928"/>
      <c r="CLI172" s="928"/>
      <c r="CLJ172" s="928"/>
      <c r="CLK172" s="928"/>
      <c r="CLL172" s="928"/>
      <c r="CLM172" s="928"/>
      <c r="CLN172" s="928"/>
      <c r="CLO172" s="928"/>
      <c r="CLP172" s="928"/>
      <c r="CLQ172" s="928"/>
      <c r="CLR172" s="928"/>
      <c r="CLS172" s="928"/>
      <c r="CLT172" s="928"/>
      <c r="CLU172" s="928"/>
      <c r="CLV172" s="928"/>
      <c r="CLW172" s="928"/>
      <c r="CLX172" s="928"/>
      <c r="CLY172" s="928"/>
      <c r="CLZ172" s="928"/>
      <c r="CMA172" s="928"/>
      <c r="CMB172" s="928"/>
      <c r="CMC172" s="928"/>
      <c r="CMD172" s="928"/>
      <c r="CME172" s="928"/>
      <c r="CMF172" s="928"/>
      <c r="CMG172" s="928"/>
      <c r="CMH172" s="928"/>
      <c r="CMI172" s="928"/>
      <c r="CMJ172" s="928"/>
      <c r="CMK172" s="928"/>
      <c r="CML172" s="928"/>
      <c r="CMM172" s="928"/>
      <c r="CMN172" s="928"/>
      <c r="CMO172" s="928"/>
      <c r="CMP172" s="928"/>
      <c r="CMQ172" s="928"/>
      <c r="CMR172" s="928"/>
      <c r="CMS172" s="928"/>
      <c r="CMT172" s="928"/>
      <c r="CMU172" s="928"/>
      <c r="CMV172" s="928"/>
      <c r="CMW172" s="928"/>
      <c r="CMX172" s="928"/>
      <c r="CMY172" s="928"/>
      <c r="CMZ172" s="928"/>
      <c r="CNA172" s="928"/>
      <c r="CNB172" s="928"/>
      <c r="CNC172" s="928"/>
      <c r="CND172" s="928"/>
      <c r="CNE172" s="928"/>
      <c r="CNF172" s="928"/>
      <c r="CNG172" s="928"/>
      <c r="CNH172" s="928"/>
      <c r="CNI172" s="928"/>
      <c r="CNJ172" s="928"/>
      <c r="CNK172" s="928"/>
      <c r="CNL172" s="928"/>
      <c r="CNM172" s="928"/>
      <c r="CNN172" s="928"/>
      <c r="CNO172" s="928"/>
      <c r="CNP172" s="928"/>
      <c r="CNQ172" s="928"/>
      <c r="CNR172" s="928"/>
      <c r="CNS172" s="928"/>
      <c r="CNT172" s="928"/>
      <c r="CNU172" s="928"/>
      <c r="CNV172" s="928"/>
      <c r="CNW172" s="928"/>
      <c r="CNX172" s="928"/>
      <c r="CNY172" s="928"/>
      <c r="CNZ172" s="928"/>
      <c r="COA172" s="928"/>
      <c r="COB172" s="928"/>
      <c r="COC172" s="928"/>
      <c r="COD172" s="928"/>
      <c r="COE172" s="928"/>
      <c r="COF172" s="928"/>
      <c r="COG172" s="928"/>
      <c r="COH172" s="928"/>
      <c r="COI172" s="928"/>
      <c r="COJ172" s="928"/>
      <c r="COK172" s="928"/>
      <c r="COL172" s="928"/>
      <c r="COM172" s="928"/>
      <c r="CON172" s="928"/>
      <c r="COO172" s="928"/>
      <c r="COP172" s="928"/>
      <c r="COQ172" s="928"/>
      <c r="COR172" s="928"/>
      <c r="COS172" s="928"/>
      <c r="COT172" s="928"/>
      <c r="COU172" s="928"/>
      <c r="COV172" s="928"/>
      <c r="COW172" s="928"/>
      <c r="COX172" s="928"/>
      <c r="COY172" s="928"/>
      <c r="COZ172" s="928"/>
      <c r="CPA172" s="928"/>
      <c r="CPB172" s="928"/>
      <c r="CPC172" s="928"/>
      <c r="CPD172" s="928"/>
      <c r="CPE172" s="928"/>
      <c r="CPF172" s="928"/>
      <c r="CPG172" s="928"/>
      <c r="CPH172" s="928"/>
      <c r="CPI172" s="928"/>
      <c r="CPJ172" s="928"/>
      <c r="CPK172" s="928"/>
      <c r="CPL172" s="928"/>
      <c r="CPM172" s="928"/>
      <c r="CPN172" s="928"/>
      <c r="CPO172" s="928"/>
      <c r="CPP172" s="928"/>
      <c r="CPQ172" s="928"/>
      <c r="CPR172" s="928"/>
      <c r="CPS172" s="928"/>
      <c r="CPT172" s="928"/>
      <c r="CPU172" s="928"/>
      <c r="CPV172" s="928"/>
      <c r="CPW172" s="928"/>
      <c r="CPX172" s="928"/>
      <c r="CPY172" s="928"/>
      <c r="CPZ172" s="928"/>
      <c r="CQA172" s="928"/>
      <c r="CQB172" s="928"/>
      <c r="CQC172" s="928"/>
      <c r="CQD172" s="928"/>
      <c r="CQE172" s="928"/>
      <c r="CQF172" s="928"/>
      <c r="CQG172" s="928"/>
      <c r="CQH172" s="928"/>
      <c r="CQI172" s="928"/>
      <c r="CQJ172" s="928"/>
      <c r="CQK172" s="928"/>
      <c r="CQL172" s="928"/>
      <c r="CQM172" s="928"/>
      <c r="CQN172" s="928"/>
      <c r="CQO172" s="928"/>
      <c r="CQP172" s="928"/>
      <c r="CQQ172" s="928"/>
      <c r="CQR172" s="928"/>
      <c r="CQS172" s="928"/>
      <c r="CQT172" s="928"/>
      <c r="CQU172" s="928"/>
      <c r="CQV172" s="928"/>
      <c r="CQW172" s="928"/>
      <c r="CQX172" s="928"/>
      <c r="CQY172" s="928"/>
      <c r="CQZ172" s="928"/>
      <c r="CRA172" s="928"/>
      <c r="CRB172" s="928"/>
      <c r="CRC172" s="928"/>
      <c r="CRD172" s="928"/>
      <c r="CRE172" s="928"/>
      <c r="CRF172" s="928"/>
      <c r="CRG172" s="928"/>
      <c r="CRH172" s="928"/>
      <c r="CRI172" s="928"/>
      <c r="CRJ172" s="928"/>
      <c r="CRK172" s="928"/>
      <c r="CRL172" s="928"/>
      <c r="CRM172" s="928"/>
      <c r="CRN172" s="928"/>
      <c r="CRO172" s="928"/>
      <c r="CRP172" s="928"/>
      <c r="CRQ172" s="928"/>
      <c r="CRR172" s="928"/>
      <c r="CRS172" s="928"/>
      <c r="CRT172" s="928"/>
      <c r="CRU172" s="928"/>
      <c r="CRV172" s="928"/>
      <c r="CRW172" s="928"/>
      <c r="CRX172" s="928"/>
      <c r="CRY172" s="928"/>
      <c r="CRZ172" s="928"/>
      <c r="CSA172" s="928"/>
      <c r="CSB172" s="928"/>
      <c r="CSC172" s="928"/>
      <c r="CSD172" s="928"/>
      <c r="CSE172" s="928"/>
      <c r="CSF172" s="928"/>
      <c r="CSG172" s="928"/>
      <c r="CSH172" s="928"/>
      <c r="CSI172" s="928"/>
      <c r="CSJ172" s="928"/>
      <c r="CSK172" s="928"/>
      <c r="CSL172" s="928"/>
      <c r="CSM172" s="928"/>
      <c r="CSN172" s="928"/>
      <c r="CSO172" s="928"/>
      <c r="CSP172" s="928"/>
      <c r="CSQ172" s="928"/>
      <c r="CSR172" s="928"/>
      <c r="CSS172" s="928"/>
      <c r="CST172" s="928"/>
      <c r="CSU172" s="928"/>
      <c r="CSV172" s="928"/>
      <c r="CSW172" s="928"/>
      <c r="CSX172" s="928"/>
      <c r="CSY172" s="928"/>
      <c r="CSZ172" s="928"/>
      <c r="CTA172" s="928"/>
      <c r="CTB172" s="928"/>
      <c r="CTC172" s="928"/>
      <c r="CTD172" s="928"/>
      <c r="CTE172" s="928"/>
      <c r="CTF172" s="928"/>
      <c r="CTG172" s="928"/>
      <c r="CTH172" s="928"/>
      <c r="CTI172" s="928"/>
      <c r="CTJ172" s="928"/>
      <c r="CTK172" s="928"/>
      <c r="CTL172" s="928"/>
      <c r="CTM172" s="928"/>
      <c r="CTN172" s="928"/>
      <c r="CTO172" s="928"/>
      <c r="CTP172" s="928"/>
      <c r="CTQ172" s="928"/>
      <c r="CTR172" s="928"/>
      <c r="CTS172" s="928"/>
      <c r="CTT172" s="928"/>
      <c r="CTU172" s="928"/>
      <c r="CTV172" s="928"/>
      <c r="CTW172" s="928"/>
      <c r="CTX172" s="928"/>
      <c r="CTY172" s="928"/>
      <c r="CTZ172" s="928"/>
      <c r="CUA172" s="928"/>
      <c r="CUB172" s="928"/>
      <c r="CUC172" s="928"/>
      <c r="CUD172" s="928"/>
      <c r="CUE172" s="928"/>
      <c r="CUF172" s="928"/>
      <c r="CUG172" s="928"/>
      <c r="CUH172" s="928"/>
      <c r="CUI172" s="928"/>
      <c r="CUJ172" s="928"/>
      <c r="CUK172" s="928"/>
      <c r="CUL172" s="928"/>
      <c r="CUM172" s="928"/>
      <c r="CUN172" s="928"/>
      <c r="CUO172" s="928"/>
      <c r="CUP172" s="928"/>
      <c r="CUQ172" s="928"/>
      <c r="CUR172" s="928"/>
      <c r="CUS172" s="928"/>
      <c r="CUT172" s="928"/>
      <c r="CUU172" s="928"/>
      <c r="CUV172" s="928"/>
      <c r="CUW172" s="928"/>
      <c r="CUX172" s="928"/>
      <c r="CUY172" s="928"/>
      <c r="CUZ172" s="928"/>
      <c r="CVA172" s="928"/>
      <c r="CVB172" s="928"/>
      <c r="CVC172" s="928"/>
      <c r="CVD172" s="928"/>
      <c r="CVE172" s="928"/>
      <c r="CVF172" s="928"/>
      <c r="CVG172" s="928"/>
      <c r="CVH172" s="928"/>
      <c r="CVI172" s="928"/>
      <c r="CVJ172" s="928"/>
      <c r="CVK172" s="928"/>
      <c r="CVL172" s="928"/>
      <c r="CVM172" s="928"/>
      <c r="CVN172" s="928"/>
      <c r="CVO172" s="928"/>
      <c r="CVP172" s="928"/>
      <c r="CVQ172" s="928"/>
      <c r="CVR172" s="928"/>
      <c r="CVS172" s="928"/>
      <c r="CVT172" s="928"/>
      <c r="CVU172" s="928"/>
      <c r="CVV172" s="928"/>
      <c r="CVW172" s="928"/>
      <c r="CVX172" s="928"/>
      <c r="CVY172" s="928"/>
      <c r="CVZ172" s="928"/>
      <c r="CWA172" s="928"/>
      <c r="CWB172" s="928"/>
      <c r="CWC172" s="928"/>
      <c r="CWD172" s="928"/>
      <c r="CWE172" s="928"/>
      <c r="CWF172" s="928"/>
      <c r="CWG172" s="928"/>
      <c r="CWH172" s="928"/>
      <c r="CWI172" s="928"/>
      <c r="CWJ172" s="928"/>
      <c r="CWK172" s="928"/>
      <c r="CWL172" s="928"/>
      <c r="CWM172" s="928"/>
      <c r="CWN172" s="928"/>
      <c r="CWO172" s="928"/>
      <c r="CWP172" s="928"/>
      <c r="CWQ172" s="928"/>
      <c r="CWR172" s="928"/>
      <c r="CWS172" s="928"/>
      <c r="CWT172" s="928"/>
      <c r="CWU172" s="928"/>
      <c r="CWV172" s="928"/>
      <c r="CWW172" s="928"/>
      <c r="CWX172" s="928"/>
      <c r="CWY172" s="928"/>
      <c r="CWZ172" s="928"/>
      <c r="CXA172" s="928"/>
      <c r="CXB172" s="928"/>
      <c r="CXC172" s="928"/>
      <c r="CXD172" s="928"/>
      <c r="CXE172" s="928"/>
      <c r="CXF172" s="928"/>
      <c r="CXG172" s="928"/>
      <c r="CXH172" s="928"/>
      <c r="CXI172" s="928"/>
      <c r="CXJ172" s="928"/>
      <c r="CXK172" s="928"/>
      <c r="CXL172" s="928"/>
      <c r="CXM172" s="928"/>
      <c r="CXN172" s="928"/>
      <c r="CXO172" s="928"/>
      <c r="CXP172" s="928"/>
      <c r="CXQ172" s="928"/>
      <c r="CXR172" s="928"/>
      <c r="CXS172" s="928"/>
      <c r="CXT172" s="928"/>
      <c r="CXU172" s="928"/>
      <c r="CXV172" s="928"/>
      <c r="CXW172" s="928"/>
      <c r="CXX172" s="928"/>
      <c r="CXY172" s="928"/>
      <c r="CXZ172" s="928"/>
      <c r="CYA172" s="928"/>
      <c r="CYB172" s="928"/>
      <c r="CYC172" s="928"/>
      <c r="CYD172" s="928"/>
      <c r="CYE172" s="928"/>
      <c r="CYF172" s="928"/>
      <c r="CYG172" s="928"/>
      <c r="CYH172" s="928"/>
      <c r="CYI172" s="928"/>
      <c r="CYJ172" s="928"/>
      <c r="CYK172" s="928"/>
      <c r="CYL172" s="928"/>
      <c r="CYM172" s="928"/>
      <c r="CYN172" s="928"/>
      <c r="CYO172" s="928"/>
      <c r="CYP172" s="928"/>
      <c r="CYQ172" s="928"/>
      <c r="CYR172" s="928"/>
      <c r="CYS172" s="928"/>
      <c r="CYT172" s="928"/>
      <c r="CYU172" s="928"/>
      <c r="CYV172" s="928"/>
      <c r="CYW172" s="928"/>
      <c r="CYX172" s="928"/>
      <c r="CYY172" s="928"/>
      <c r="CYZ172" s="928"/>
      <c r="CZA172" s="928"/>
      <c r="CZB172" s="928"/>
      <c r="CZC172" s="928"/>
      <c r="CZD172" s="928"/>
      <c r="CZE172" s="928"/>
      <c r="CZF172" s="928"/>
      <c r="CZG172" s="928"/>
      <c r="CZH172" s="928"/>
      <c r="CZI172" s="928"/>
      <c r="CZJ172" s="928"/>
      <c r="CZK172" s="928"/>
      <c r="CZL172" s="928"/>
      <c r="CZM172" s="928"/>
      <c r="CZN172" s="928"/>
      <c r="CZO172" s="928"/>
      <c r="CZP172" s="928"/>
      <c r="CZQ172" s="928"/>
      <c r="CZR172" s="928"/>
      <c r="CZS172" s="928"/>
      <c r="CZT172" s="928"/>
      <c r="CZU172" s="928"/>
      <c r="CZV172" s="928"/>
      <c r="CZW172" s="928"/>
      <c r="CZX172" s="928"/>
      <c r="CZY172" s="928"/>
      <c r="CZZ172" s="928"/>
      <c r="DAA172" s="928"/>
      <c r="DAB172" s="928"/>
      <c r="DAC172" s="928"/>
      <c r="DAD172" s="928"/>
      <c r="DAE172" s="928"/>
      <c r="DAF172" s="928"/>
      <c r="DAG172" s="928"/>
      <c r="DAH172" s="928"/>
      <c r="DAI172" s="928"/>
      <c r="DAJ172" s="928"/>
      <c r="DAK172" s="928"/>
      <c r="DAL172" s="928"/>
      <c r="DAM172" s="928"/>
      <c r="DAN172" s="928"/>
      <c r="DAO172" s="928"/>
      <c r="DAP172" s="928"/>
      <c r="DAQ172" s="928"/>
      <c r="DAR172" s="928"/>
      <c r="DAS172" s="928"/>
      <c r="DAT172" s="928"/>
      <c r="DAU172" s="928"/>
      <c r="DAV172" s="928"/>
      <c r="DAW172" s="928"/>
      <c r="DAX172" s="928"/>
      <c r="DAY172" s="928"/>
      <c r="DAZ172" s="928"/>
      <c r="DBA172" s="928"/>
      <c r="DBB172" s="928"/>
      <c r="DBC172" s="928"/>
      <c r="DBD172" s="928"/>
      <c r="DBE172" s="928"/>
      <c r="DBF172" s="928"/>
      <c r="DBG172" s="928"/>
      <c r="DBH172" s="928"/>
      <c r="DBI172" s="928"/>
      <c r="DBJ172" s="928"/>
      <c r="DBK172" s="928"/>
      <c r="DBL172" s="928"/>
      <c r="DBM172" s="928"/>
      <c r="DBN172" s="928"/>
      <c r="DBO172" s="928"/>
      <c r="DBP172" s="928"/>
      <c r="DBQ172" s="928"/>
      <c r="DBR172" s="928"/>
      <c r="DBS172" s="928"/>
      <c r="DBT172" s="928"/>
      <c r="DBU172" s="928"/>
      <c r="DBV172" s="928"/>
      <c r="DBW172" s="928"/>
      <c r="DBX172" s="928"/>
      <c r="DBY172" s="928"/>
      <c r="DBZ172" s="928"/>
      <c r="DCA172" s="928"/>
      <c r="DCB172" s="928"/>
      <c r="DCC172" s="928"/>
      <c r="DCD172" s="928"/>
      <c r="DCE172" s="928"/>
      <c r="DCF172" s="928"/>
      <c r="DCG172" s="928"/>
      <c r="DCH172" s="928"/>
      <c r="DCI172" s="928"/>
      <c r="DCJ172" s="928"/>
      <c r="DCK172" s="928"/>
      <c r="DCL172" s="928"/>
      <c r="DCM172" s="928"/>
      <c r="DCN172" s="928"/>
      <c r="DCO172" s="928"/>
      <c r="DCP172" s="928"/>
      <c r="DCQ172" s="928"/>
      <c r="DCR172" s="928"/>
      <c r="DCS172" s="928"/>
      <c r="DCT172" s="928"/>
      <c r="DCU172" s="928"/>
      <c r="DCV172" s="928"/>
      <c r="DCW172" s="928"/>
      <c r="DCX172" s="928"/>
      <c r="DCY172" s="928"/>
      <c r="DCZ172" s="928"/>
      <c r="DDA172" s="928"/>
      <c r="DDB172" s="928"/>
      <c r="DDC172" s="928"/>
      <c r="DDD172" s="928"/>
      <c r="DDE172" s="928"/>
      <c r="DDF172" s="928"/>
      <c r="DDG172" s="928"/>
      <c r="DDH172" s="928"/>
      <c r="DDI172" s="928"/>
      <c r="DDJ172" s="928"/>
      <c r="DDK172" s="928"/>
      <c r="DDL172" s="928"/>
      <c r="DDM172" s="928"/>
      <c r="DDN172" s="928"/>
      <c r="DDO172" s="928"/>
      <c r="DDP172" s="928"/>
      <c r="DDQ172" s="928"/>
      <c r="DDR172" s="928"/>
      <c r="DDS172" s="928"/>
      <c r="DDT172" s="928"/>
      <c r="DDU172" s="928"/>
      <c r="DDV172" s="928"/>
      <c r="DDW172" s="928"/>
      <c r="DDX172" s="928"/>
      <c r="DDY172" s="928"/>
      <c r="DDZ172" s="928"/>
      <c r="DEA172" s="928"/>
      <c r="DEB172" s="928"/>
      <c r="DEC172" s="928"/>
      <c r="DED172" s="928"/>
      <c r="DEE172" s="928"/>
      <c r="DEF172" s="928"/>
      <c r="DEG172" s="928"/>
      <c r="DEH172" s="928"/>
      <c r="DEI172" s="928"/>
      <c r="DEJ172" s="928"/>
      <c r="DEK172" s="928"/>
      <c r="DEL172" s="928"/>
      <c r="DEM172" s="928"/>
      <c r="DEN172" s="928"/>
      <c r="DEO172" s="928"/>
      <c r="DEP172" s="928"/>
      <c r="DEQ172" s="928"/>
      <c r="DER172" s="928"/>
      <c r="DES172" s="928"/>
      <c r="DET172" s="928"/>
      <c r="DEU172" s="928"/>
      <c r="DEV172" s="928"/>
      <c r="DEW172" s="928"/>
      <c r="DEX172" s="928"/>
      <c r="DEY172" s="928"/>
      <c r="DEZ172" s="928"/>
      <c r="DFA172" s="928"/>
      <c r="DFB172" s="928"/>
      <c r="DFC172" s="928"/>
      <c r="DFD172" s="928"/>
      <c r="DFE172" s="928"/>
      <c r="DFF172" s="928"/>
      <c r="DFG172" s="928"/>
      <c r="DFH172" s="928"/>
      <c r="DFI172" s="928"/>
      <c r="DFJ172" s="928"/>
      <c r="DFK172" s="928"/>
      <c r="DFL172" s="928"/>
      <c r="DFM172" s="928"/>
      <c r="DFN172" s="928"/>
      <c r="DFO172" s="928"/>
      <c r="DFP172" s="928"/>
      <c r="DFQ172" s="928"/>
      <c r="DFR172" s="928"/>
      <c r="DFS172" s="928"/>
      <c r="DFT172" s="928"/>
      <c r="DFU172" s="928"/>
      <c r="DFV172" s="928"/>
      <c r="DFW172" s="928"/>
      <c r="DFX172" s="928"/>
      <c r="DFY172" s="928"/>
      <c r="DFZ172" s="928"/>
      <c r="DGA172" s="928"/>
      <c r="DGB172" s="928"/>
      <c r="DGC172" s="928"/>
      <c r="DGD172" s="928"/>
      <c r="DGE172" s="928"/>
      <c r="DGF172" s="928"/>
      <c r="DGG172" s="928"/>
      <c r="DGH172" s="928"/>
      <c r="DGI172" s="928"/>
      <c r="DGJ172" s="928"/>
      <c r="DGK172" s="928"/>
      <c r="DGL172" s="928"/>
      <c r="DGM172" s="928"/>
      <c r="DGN172" s="928"/>
      <c r="DGO172" s="928"/>
      <c r="DGP172" s="928"/>
      <c r="DGQ172" s="928"/>
      <c r="DGR172" s="928"/>
      <c r="DGS172" s="928"/>
      <c r="DGT172" s="928"/>
      <c r="DGU172" s="928"/>
      <c r="DGV172" s="928"/>
      <c r="DGW172" s="928"/>
      <c r="DGX172" s="928"/>
      <c r="DGY172" s="928"/>
      <c r="DGZ172" s="928"/>
      <c r="DHA172" s="928"/>
      <c r="DHB172" s="928"/>
      <c r="DHC172" s="928"/>
      <c r="DHD172" s="928"/>
      <c r="DHE172" s="928"/>
      <c r="DHF172" s="928"/>
      <c r="DHG172" s="928"/>
      <c r="DHH172" s="928"/>
      <c r="DHI172" s="928"/>
      <c r="DHJ172" s="928"/>
      <c r="DHK172" s="928"/>
      <c r="DHL172" s="928"/>
      <c r="DHM172" s="928"/>
      <c r="DHN172" s="928"/>
      <c r="DHO172" s="928"/>
      <c r="DHP172" s="928"/>
      <c r="DHQ172" s="928"/>
      <c r="DHR172" s="928"/>
      <c r="DHS172" s="928"/>
      <c r="DHT172" s="928"/>
      <c r="DHU172" s="928"/>
      <c r="DHV172" s="928"/>
      <c r="DHW172" s="928"/>
      <c r="DHX172" s="928"/>
      <c r="DHY172" s="928"/>
      <c r="DHZ172" s="928"/>
      <c r="DIA172" s="928"/>
      <c r="DIB172" s="928"/>
      <c r="DIC172" s="928"/>
      <c r="DID172" s="928"/>
      <c r="DIE172" s="928"/>
      <c r="DIF172" s="928"/>
      <c r="DIG172" s="928"/>
      <c r="DIH172" s="928"/>
      <c r="DII172" s="928"/>
      <c r="DIJ172" s="928"/>
      <c r="DIK172" s="928"/>
      <c r="DIL172" s="928"/>
      <c r="DIM172" s="928"/>
      <c r="DIN172" s="928"/>
      <c r="DIO172" s="928"/>
      <c r="DIP172" s="928"/>
      <c r="DIQ172" s="928"/>
      <c r="DIR172" s="928"/>
      <c r="DIS172" s="928"/>
      <c r="DIT172" s="928"/>
      <c r="DIU172" s="928"/>
      <c r="DIV172" s="928"/>
      <c r="DIW172" s="928"/>
      <c r="DIX172" s="928"/>
      <c r="DIY172" s="928"/>
      <c r="DIZ172" s="928"/>
      <c r="DJA172" s="928"/>
      <c r="DJB172" s="928"/>
      <c r="DJC172" s="928"/>
      <c r="DJD172" s="928"/>
      <c r="DJE172" s="928"/>
      <c r="DJF172" s="928"/>
      <c r="DJG172" s="928"/>
      <c r="DJH172" s="928"/>
      <c r="DJI172" s="928"/>
      <c r="DJJ172" s="928"/>
      <c r="DJK172" s="928"/>
      <c r="DJL172" s="928"/>
      <c r="DJM172" s="928"/>
      <c r="DJN172" s="928"/>
      <c r="DJO172" s="928"/>
      <c r="DJP172" s="928"/>
      <c r="DJQ172" s="928"/>
      <c r="DJR172" s="928"/>
      <c r="DJS172" s="928"/>
      <c r="DJT172" s="928"/>
      <c r="DJU172" s="928"/>
      <c r="DJV172" s="928"/>
      <c r="DJW172" s="928"/>
      <c r="DJX172" s="928"/>
      <c r="DJY172" s="928"/>
      <c r="DJZ172" s="928"/>
      <c r="DKA172" s="928"/>
      <c r="DKB172" s="928"/>
      <c r="DKC172" s="928"/>
      <c r="DKD172" s="928"/>
      <c r="DKE172" s="928"/>
      <c r="DKF172" s="928"/>
      <c r="DKG172" s="928"/>
      <c r="DKH172" s="928"/>
      <c r="DKI172" s="928"/>
      <c r="DKJ172" s="928"/>
      <c r="DKK172" s="928"/>
      <c r="DKL172" s="928"/>
      <c r="DKM172" s="928"/>
      <c r="DKN172" s="928"/>
      <c r="DKO172" s="928"/>
      <c r="DKP172" s="928"/>
      <c r="DKQ172" s="928"/>
      <c r="DKR172" s="928"/>
      <c r="DKS172" s="928"/>
      <c r="DKT172" s="928"/>
      <c r="DKU172" s="928"/>
      <c r="DKV172" s="928"/>
      <c r="DKW172" s="928"/>
      <c r="DKX172" s="928"/>
      <c r="DKY172" s="928"/>
      <c r="DKZ172" s="928"/>
      <c r="DLA172" s="928"/>
      <c r="DLB172" s="928"/>
      <c r="DLC172" s="928"/>
      <c r="DLD172" s="928"/>
      <c r="DLE172" s="928"/>
      <c r="DLF172" s="928"/>
      <c r="DLG172" s="928"/>
      <c r="DLH172" s="928"/>
      <c r="DLI172" s="928"/>
      <c r="DLJ172" s="928"/>
      <c r="DLK172" s="928"/>
      <c r="DLL172" s="928"/>
      <c r="DLM172" s="928"/>
      <c r="DLN172" s="928"/>
      <c r="DLO172" s="928"/>
      <c r="DLP172" s="928"/>
      <c r="DLQ172" s="928"/>
      <c r="DLR172" s="928"/>
      <c r="DLS172" s="928"/>
      <c r="DLT172" s="928"/>
      <c r="DLU172" s="928"/>
      <c r="DLV172" s="928"/>
      <c r="DLW172" s="928"/>
      <c r="DLX172" s="928"/>
      <c r="DLY172" s="928"/>
      <c r="DLZ172" s="928"/>
      <c r="DMA172" s="928"/>
      <c r="DMB172" s="928"/>
      <c r="DMC172" s="928"/>
      <c r="DMD172" s="928"/>
      <c r="DME172" s="928"/>
      <c r="DMF172" s="928"/>
      <c r="DMG172" s="928"/>
      <c r="DMH172" s="928"/>
      <c r="DMI172" s="928"/>
      <c r="DMJ172" s="928"/>
      <c r="DMK172" s="928"/>
      <c r="DML172" s="928"/>
      <c r="DMM172" s="928"/>
      <c r="DMN172" s="928"/>
      <c r="DMO172" s="928"/>
      <c r="DMP172" s="928"/>
      <c r="DMQ172" s="928"/>
      <c r="DMR172" s="928"/>
      <c r="DMS172" s="928"/>
      <c r="DMT172" s="928"/>
      <c r="DMU172" s="928"/>
      <c r="DMV172" s="928"/>
      <c r="DMW172" s="928"/>
      <c r="DMX172" s="928"/>
      <c r="DMY172" s="928"/>
      <c r="DMZ172" s="928"/>
      <c r="DNA172" s="928"/>
      <c r="DNB172" s="928"/>
      <c r="DNC172" s="928"/>
      <c r="DND172" s="928"/>
      <c r="DNE172" s="928"/>
      <c r="DNF172" s="928"/>
      <c r="DNG172" s="928"/>
      <c r="DNH172" s="928"/>
      <c r="DNI172" s="928"/>
      <c r="DNJ172" s="928"/>
      <c r="DNK172" s="928"/>
      <c r="DNL172" s="928"/>
      <c r="DNM172" s="928"/>
      <c r="DNN172" s="928"/>
      <c r="DNO172" s="928"/>
      <c r="DNP172" s="928"/>
      <c r="DNQ172" s="928"/>
      <c r="DNR172" s="928"/>
      <c r="DNS172" s="928"/>
      <c r="DNT172" s="928"/>
      <c r="DNU172" s="928"/>
      <c r="DNV172" s="928"/>
      <c r="DNW172" s="928"/>
      <c r="DNX172" s="928"/>
      <c r="DNY172" s="928"/>
      <c r="DNZ172" s="928"/>
      <c r="DOA172" s="928"/>
      <c r="DOB172" s="928"/>
      <c r="DOC172" s="928"/>
      <c r="DOD172" s="928"/>
      <c r="DOE172" s="928"/>
      <c r="DOF172" s="928"/>
      <c r="DOG172" s="928"/>
      <c r="DOH172" s="928"/>
      <c r="DOI172" s="928"/>
      <c r="DOJ172" s="928"/>
      <c r="DOK172" s="928"/>
      <c r="DOL172" s="928"/>
      <c r="DOM172" s="928"/>
      <c r="DON172" s="928"/>
      <c r="DOO172" s="928"/>
      <c r="DOP172" s="928"/>
      <c r="DOQ172" s="928"/>
      <c r="DOR172" s="928"/>
      <c r="DOS172" s="928"/>
      <c r="DOT172" s="928"/>
      <c r="DOU172" s="928"/>
      <c r="DOV172" s="928"/>
      <c r="DOW172" s="928"/>
      <c r="DOX172" s="928"/>
      <c r="DOY172" s="928"/>
      <c r="DOZ172" s="928"/>
      <c r="DPA172" s="928"/>
      <c r="DPB172" s="928"/>
      <c r="DPC172" s="928"/>
      <c r="DPD172" s="928"/>
      <c r="DPE172" s="928"/>
      <c r="DPF172" s="928"/>
      <c r="DPG172" s="928"/>
      <c r="DPH172" s="928"/>
      <c r="DPI172" s="928"/>
      <c r="DPJ172" s="928"/>
      <c r="DPK172" s="928"/>
      <c r="DPL172" s="928"/>
      <c r="DPM172" s="928"/>
      <c r="DPN172" s="928"/>
      <c r="DPO172" s="928"/>
      <c r="DPP172" s="928"/>
      <c r="DPQ172" s="928"/>
      <c r="DPR172" s="928"/>
      <c r="DPS172" s="928"/>
      <c r="DPT172" s="928"/>
      <c r="DPU172" s="928"/>
      <c r="DPV172" s="928"/>
      <c r="DPW172" s="928"/>
      <c r="DPX172" s="928"/>
      <c r="DPY172" s="928"/>
      <c r="DPZ172" s="928"/>
      <c r="DQA172" s="928"/>
      <c r="DQB172" s="928"/>
      <c r="DQC172" s="928"/>
      <c r="DQD172" s="928"/>
      <c r="DQE172" s="928"/>
      <c r="DQF172" s="928"/>
      <c r="DQG172" s="928"/>
      <c r="DQH172" s="928"/>
      <c r="DQI172" s="928"/>
      <c r="DQJ172" s="928"/>
      <c r="DQK172" s="928"/>
      <c r="DQL172" s="928"/>
      <c r="DQM172" s="928"/>
      <c r="DQN172" s="928"/>
      <c r="DQO172" s="928"/>
      <c r="DQP172" s="928"/>
      <c r="DQQ172" s="928"/>
      <c r="DQR172" s="928"/>
      <c r="DQS172" s="928"/>
      <c r="DQT172" s="928"/>
      <c r="DQU172" s="928"/>
      <c r="DQV172" s="928"/>
      <c r="DQW172" s="928"/>
      <c r="DQX172" s="928"/>
      <c r="DQY172" s="928"/>
      <c r="DQZ172" s="928"/>
      <c r="DRA172" s="928"/>
      <c r="DRB172" s="928"/>
      <c r="DRC172" s="928"/>
      <c r="DRD172" s="928"/>
      <c r="DRE172" s="928"/>
      <c r="DRF172" s="928"/>
      <c r="DRG172" s="928"/>
      <c r="DRH172" s="928"/>
      <c r="DRI172" s="928"/>
      <c r="DRJ172" s="928"/>
      <c r="DRK172" s="928"/>
      <c r="DRL172" s="928"/>
      <c r="DRM172" s="928"/>
      <c r="DRN172" s="928"/>
      <c r="DRO172" s="928"/>
      <c r="DRP172" s="928"/>
      <c r="DRQ172" s="928"/>
      <c r="DRR172" s="928"/>
      <c r="DRS172" s="928"/>
      <c r="DRT172" s="928"/>
      <c r="DRU172" s="928"/>
      <c r="DRV172" s="928"/>
      <c r="DRW172" s="928"/>
      <c r="DRX172" s="928"/>
      <c r="DRY172" s="928"/>
      <c r="DRZ172" s="928"/>
      <c r="DSA172" s="928"/>
      <c r="DSB172" s="928"/>
      <c r="DSC172" s="928"/>
      <c r="DSD172" s="928"/>
      <c r="DSE172" s="928"/>
      <c r="DSF172" s="928"/>
      <c r="DSG172" s="928"/>
      <c r="DSH172" s="928"/>
      <c r="DSI172" s="928"/>
      <c r="DSJ172" s="928"/>
      <c r="DSK172" s="928"/>
      <c r="DSL172" s="928"/>
      <c r="DSM172" s="928"/>
      <c r="DSN172" s="928"/>
      <c r="DSO172" s="928"/>
      <c r="DSP172" s="928"/>
      <c r="DSQ172" s="928"/>
      <c r="DSR172" s="928"/>
      <c r="DSS172" s="928"/>
      <c r="DST172" s="928"/>
      <c r="DSU172" s="928"/>
      <c r="DSV172" s="928"/>
      <c r="DSW172" s="928"/>
      <c r="DSX172" s="928"/>
      <c r="DSY172" s="928"/>
      <c r="DSZ172" s="928"/>
      <c r="DTA172" s="928"/>
      <c r="DTB172" s="928"/>
      <c r="DTC172" s="928"/>
      <c r="DTD172" s="928"/>
      <c r="DTE172" s="928"/>
      <c r="DTF172" s="928"/>
      <c r="DTG172" s="928"/>
      <c r="DTH172" s="928"/>
      <c r="DTI172" s="928"/>
      <c r="DTJ172" s="928"/>
      <c r="DTK172" s="928"/>
      <c r="DTL172" s="928"/>
      <c r="DTM172" s="928"/>
      <c r="DTN172" s="928"/>
      <c r="DTO172" s="928"/>
      <c r="DTP172" s="928"/>
      <c r="DTQ172" s="928"/>
      <c r="DTR172" s="928"/>
      <c r="DTS172" s="928"/>
      <c r="DTT172" s="928"/>
      <c r="DTU172" s="928"/>
      <c r="DTV172" s="928"/>
      <c r="DTW172" s="928"/>
      <c r="DTX172" s="928"/>
      <c r="DTY172" s="928"/>
      <c r="DTZ172" s="928"/>
      <c r="DUA172" s="928"/>
      <c r="DUB172" s="928"/>
      <c r="DUC172" s="928"/>
      <c r="DUD172" s="928"/>
      <c r="DUE172" s="928"/>
      <c r="DUF172" s="928"/>
      <c r="DUG172" s="928"/>
      <c r="DUH172" s="928"/>
      <c r="DUI172" s="928"/>
      <c r="DUJ172" s="928"/>
      <c r="DUK172" s="928"/>
      <c r="DUL172" s="928"/>
      <c r="DUM172" s="928"/>
      <c r="DUN172" s="928"/>
      <c r="DUO172" s="928"/>
      <c r="DUP172" s="928"/>
      <c r="DUQ172" s="928"/>
      <c r="DUR172" s="928"/>
      <c r="DUS172" s="928"/>
      <c r="DUT172" s="928"/>
      <c r="DUU172" s="928"/>
      <c r="DUV172" s="928"/>
      <c r="DUW172" s="928"/>
      <c r="DUX172" s="928"/>
      <c r="DUY172" s="928"/>
      <c r="DUZ172" s="928"/>
      <c r="DVA172" s="928"/>
      <c r="DVB172" s="928"/>
      <c r="DVC172" s="928"/>
      <c r="DVD172" s="928"/>
      <c r="DVE172" s="928"/>
      <c r="DVF172" s="928"/>
      <c r="DVG172" s="928"/>
      <c r="DVH172" s="928"/>
      <c r="DVI172" s="928"/>
      <c r="DVJ172" s="928"/>
      <c r="DVK172" s="928"/>
      <c r="DVL172" s="928"/>
      <c r="DVM172" s="928"/>
      <c r="DVN172" s="928"/>
      <c r="DVO172" s="928"/>
      <c r="DVP172" s="928"/>
      <c r="DVQ172" s="928"/>
      <c r="DVR172" s="928"/>
      <c r="DVS172" s="928"/>
      <c r="DVT172" s="928"/>
      <c r="DVU172" s="928"/>
      <c r="DVV172" s="928"/>
      <c r="DVW172" s="928"/>
      <c r="DVX172" s="928"/>
      <c r="DVY172" s="928"/>
      <c r="DVZ172" s="928"/>
      <c r="DWA172" s="928"/>
      <c r="DWB172" s="928"/>
      <c r="DWC172" s="928"/>
      <c r="DWD172" s="928"/>
      <c r="DWE172" s="928"/>
      <c r="DWF172" s="928"/>
      <c r="DWG172" s="928"/>
      <c r="DWH172" s="928"/>
      <c r="DWI172" s="928"/>
      <c r="DWJ172" s="928"/>
      <c r="DWK172" s="928"/>
      <c r="DWL172" s="928"/>
      <c r="DWM172" s="928"/>
      <c r="DWN172" s="928"/>
      <c r="DWO172" s="928"/>
      <c r="DWP172" s="928"/>
      <c r="DWQ172" s="928"/>
      <c r="DWR172" s="928"/>
      <c r="DWS172" s="928"/>
      <c r="DWT172" s="928"/>
      <c r="DWU172" s="928"/>
      <c r="DWV172" s="928"/>
      <c r="DWW172" s="928"/>
      <c r="DWX172" s="928"/>
      <c r="DWY172" s="928"/>
      <c r="DWZ172" s="928"/>
      <c r="DXA172" s="928"/>
      <c r="DXB172" s="928"/>
      <c r="DXC172" s="928"/>
      <c r="DXD172" s="928"/>
      <c r="DXE172" s="928"/>
      <c r="DXF172" s="928"/>
      <c r="DXG172" s="928"/>
      <c r="DXH172" s="928"/>
      <c r="DXI172" s="928"/>
      <c r="DXJ172" s="928"/>
      <c r="DXK172" s="928"/>
      <c r="DXL172" s="928"/>
      <c r="DXM172" s="928"/>
      <c r="DXN172" s="928"/>
      <c r="DXO172" s="928"/>
      <c r="DXP172" s="928"/>
      <c r="DXQ172" s="928"/>
      <c r="DXR172" s="928"/>
      <c r="DXS172" s="928"/>
      <c r="DXT172" s="928"/>
      <c r="DXU172" s="928"/>
      <c r="DXV172" s="928"/>
      <c r="DXW172" s="928"/>
      <c r="DXX172" s="928"/>
      <c r="DXY172" s="928"/>
      <c r="DXZ172" s="928"/>
      <c r="DYA172" s="928"/>
      <c r="DYB172" s="928"/>
      <c r="DYC172" s="928"/>
      <c r="DYD172" s="928"/>
      <c r="DYE172" s="928"/>
      <c r="DYF172" s="928"/>
      <c r="DYG172" s="928"/>
      <c r="DYH172" s="928"/>
      <c r="DYI172" s="928"/>
      <c r="DYJ172" s="928"/>
      <c r="DYK172" s="928"/>
      <c r="DYL172" s="928"/>
      <c r="DYM172" s="928"/>
      <c r="DYN172" s="928"/>
      <c r="DYO172" s="928"/>
      <c r="DYP172" s="928"/>
      <c r="DYQ172" s="928"/>
      <c r="DYR172" s="928"/>
      <c r="DYS172" s="928"/>
      <c r="DYT172" s="928"/>
      <c r="DYU172" s="928"/>
      <c r="DYV172" s="928"/>
      <c r="DYW172" s="928"/>
      <c r="DYX172" s="928"/>
      <c r="DYY172" s="928"/>
      <c r="DYZ172" s="928"/>
      <c r="DZA172" s="928"/>
      <c r="DZB172" s="928"/>
      <c r="DZC172" s="928"/>
      <c r="DZD172" s="928"/>
      <c r="DZE172" s="928"/>
      <c r="DZF172" s="928"/>
      <c r="DZG172" s="928"/>
      <c r="DZH172" s="928"/>
      <c r="DZI172" s="928"/>
      <c r="DZJ172" s="928"/>
      <c r="DZK172" s="928"/>
      <c r="DZL172" s="928"/>
      <c r="DZM172" s="928"/>
      <c r="DZN172" s="928"/>
      <c r="DZO172" s="928"/>
      <c r="DZP172" s="928"/>
      <c r="DZQ172" s="928"/>
      <c r="DZR172" s="928"/>
      <c r="DZS172" s="928"/>
      <c r="DZT172" s="928"/>
      <c r="DZU172" s="928"/>
      <c r="DZV172" s="928"/>
      <c r="DZW172" s="928"/>
      <c r="DZX172" s="928"/>
      <c r="DZY172" s="928"/>
      <c r="DZZ172" s="928"/>
      <c r="EAA172" s="928"/>
      <c r="EAB172" s="928"/>
      <c r="EAC172" s="928"/>
      <c r="EAD172" s="928"/>
      <c r="EAE172" s="928"/>
      <c r="EAF172" s="928"/>
      <c r="EAG172" s="928"/>
      <c r="EAH172" s="928"/>
      <c r="EAI172" s="928"/>
      <c r="EAJ172" s="928"/>
      <c r="EAK172" s="928"/>
      <c r="EAL172" s="928"/>
      <c r="EAM172" s="928"/>
      <c r="EAN172" s="928"/>
      <c r="EAO172" s="928"/>
      <c r="EAP172" s="928"/>
      <c r="EAQ172" s="928"/>
      <c r="EAR172" s="928"/>
      <c r="EAS172" s="928"/>
      <c r="EAT172" s="928"/>
      <c r="EAU172" s="928"/>
      <c r="EAV172" s="928"/>
      <c r="EAW172" s="928"/>
      <c r="EAX172" s="928"/>
      <c r="EAY172" s="928"/>
      <c r="EAZ172" s="928"/>
      <c r="EBA172" s="928"/>
      <c r="EBB172" s="928"/>
      <c r="EBC172" s="928"/>
      <c r="EBD172" s="928"/>
      <c r="EBE172" s="928"/>
      <c r="EBF172" s="928"/>
      <c r="EBG172" s="928"/>
      <c r="EBH172" s="928"/>
      <c r="EBI172" s="928"/>
      <c r="EBJ172" s="928"/>
      <c r="EBK172" s="928"/>
      <c r="EBL172" s="928"/>
      <c r="EBM172" s="928"/>
      <c r="EBN172" s="928"/>
      <c r="EBO172" s="928"/>
      <c r="EBP172" s="928"/>
      <c r="EBQ172" s="928"/>
      <c r="EBR172" s="928"/>
      <c r="EBS172" s="928"/>
      <c r="EBT172" s="928"/>
      <c r="EBU172" s="928"/>
      <c r="EBV172" s="928"/>
      <c r="EBW172" s="928"/>
      <c r="EBX172" s="928"/>
      <c r="EBY172" s="928"/>
      <c r="EBZ172" s="928"/>
      <c r="ECA172" s="928"/>
      <c r="ECB172" s="928"/>
      <c r="ECC172" s="928"/>
      <c r="ECD172" s="928"/>
      <c r="ECE172" s="928"/>
      <c r="ECF172" s="928"/>
      <c r="ECG172" s="928"/>
      <c r="ECH172" s="928"/>
      <c r="ECI172" s="928"/>
      <c r="ECJ172" s="928"/>
      <c r="ECK172" s="928"/>
      <c r="ECL172" s="928"/>
      <c r="ECM172" s="928"/>
      <c r="ECN172" s="928"/>
      <c r="ECO172" s="928"/>
      <c r="ECP172" s="928"/>
      <c r="ECQ172" s="928"/>
      <c r="ECR172" s="928"/>
      <c r="ECS172" s="928"/>
      <c r="ECT172" s="928"/>
      <c r="ECU172" s="928"/>
      <c r="ECV172" s="928"/>
      <c r="ECW172" s="928"/>
      <c r="ECX172" s="928"/>
      <c r="ECY172" s="928"/>
      <c r="ECZ172" s="928"/>
      <c r="EDA172" s="928"/>
      <c r="EDB172" s="928"/>
      <c r="EDC172" s="928"/>
      <c r="EDD172" s="928"/>
      <c r="EDE172" s="928"/>
      <c r="EDF172" s="928"/>
      <c r="EDG172" s="928"/>
      <c r="EDH172" s="928"/>
      <c r="EDI172" s="928"/>
      <c r="EDJ172" s="928"/>
      <c r="EDK172" s="928"/>
      <c r="EDL172" s="928"/>
      <c r="EDM172" s="928"/>
      <c r="EDN172" s="928"/>
      <c r="EDO172" s="928"/>
      <c r="EDP172" s="928"/>
      <c r="EDQ172" s="928"/>
      <c r="EDR172" s="928"/>
      <c r="EDS172" s="928"/>
      <c r="EDT172" s="928"/>
      <c r="EDU172" s="928"/>
      <c r="EDV172" s="928"/>
      <c r="EDW172" s="928"/>
      <c r="EDX172" s="928"/>
      <c r="EDY172" s="928"/>
      <c r="EDZ172" s="928"/>
      <c r="EEA172" s="928"/>
      <c r="EEB172" s="928"/>
      <c r="EEC172" s="928"/>
      <c r="EED172" s="928"/>
      <c r="EEE172" s="928"/>
      <c r="EEF172" s="928"/>
      <c r="EEG172" s="928"/>
      <c r="EEH172" s="928"/>
      <c r="EEI172" s="928"/>
      <c r="EEJ172" s="928"/>
      <c r="EEK172" s="928"/>
      <c r="EEL172" s="928"/>
      <c r="EEM172" s="928"/>
      <c r="EEN172" s="928"/>
      <c r="EEO172" s="928"/>
      <c r="EEP172" s="928"/>
      <c r="EEQ172" s="928"/>
      <c r="EER172" s="928"/>
      <c r="EES172" s="928"/>
      <c r="EET172" s="928"/>
      <c r="EEU172" s="928"/>
      <c r="EEV172" s="928"/>
      <c r="EEW172" s="928"/>
      <c r="EEX172" s="928"/>
      <c r="EEY172" s="928"/>
      <c r="EEZ172" s="928"/>
      <c r="EFA172" s="928"/>
      <c r="EFB172" s="928"/>
      <c r="EFC172" s="928"/>
      <c r="EFD172" s="928"/>
      <c r="EFE172" s="928"/>
      <c r="EFF172" s="928"/>
      <c r="EFG172" s="928"/>
      <c r="EFH172" s="928"/>
      <c r="EFI172" s="928"/>
      <c r="EFJ172" s="928"/>
      <c r="EFK172" s="928"/>
      <c r="EFL172" s="928"/>
      <c r="EFM172" s="928"/>
      <c r="EFN172" s="928"/>
      <c r="EFO172" s="928"/>
      <c r="EFP172" s="928"/>
      <c r="EFQ172" s="928"/>
      <c r="EFR172" s="928"/>
      <c r="EFS172" s="928"/>
      <c r="EFT172" s="928"/>
      <c r="EFU172" s="928"/>
      <c r="EFV172" s="928"/>
      <c r="EFW172" s="928"/>
      <c r="EFX172" s="928"/>
      <c r="EFY172" s="928"/>
      <c r="EFZ172" s="928"/>
      <c r="EGA172" s="928"/>
      <c r="EGB172" s="928"/>
      <c r="EGC172" s="928"/>
      <c r="EGD172" s="928"/>
      <c r="EGE172" s="928"/>
      <c r="EGF172" s="928"/>
      <c r="EGG172" s="928"/>
      <c r="EGH172" s="928"/>
      <c r="EGI172" s="928"/>
      <c r="EGJ172" s="928"/>
      <c r="EGK172" s="928"/>
      <c r="EGL172" s="928"/>
      <c r="EGM172" s="928"/>
      <c r="EGN172" s="928"/>
      <c r="EGO172" s="928"/>
      <c r="EGP172" s="928"/>
      <c r="EGQ172" s="928"/>
      <c r="EGR172" s="928"/>
      <c r="EGS172" s="928"/>
      <c r="EGT172" s="928"/>
      <c r="EGU172" s="928"/>
      <c r="EGV172" s="928"/>
      <c r="EGW172" s="928"/>
      <c r="EGX172" s="928"/>
      <c r="EGY172" s="928"/>
      <c r="EGZ172" s="928"/>
      <c r="EHA172" s="928"/>
      <c r="EHB172" s="928"/>
      <c r="EHC172" s="928"/>
      <c r="EHD172" s="928"/>
      <c r="EHE172" s="928"/>
      <c r="EHF172" s="928"/>
      <c r="EHG172" s="928"/>
      <c r="EHH172" s="928"/>
      <c r="EHI172" s="928"/>
      <c r="EHJ172" s="928"/>
      <c r="EHK172" s="928"/>
      <c r="EHL172" s="928"/>
      <c r="EHM172" s="928"/>
      <c r="EHN172" s="928"/>
      <c r="EHO172" s="928"/>
      <c r="EHP172" s="928"/>
      <c r="EHQ172" s="928"/>
      <c r="EHR172" s="928"/>
      <c r="EHS172" s="928"/>
      <c r="EHT172" s="928"/>
      <c r="EHU172" s="928"/>
      <c r="EHV172" s="928"/>
      <c r="EHW172" s="928"/>
      <c r="EHX172" s="928"/>
      <c r="EHY172" s="928"/>
      <c r="EHZ172" s="928"/>
      <c r="EIA172" s="928"/>
      <c r="EIB172" s="928"/>
      <c r="EIC172" s="928"/>
      <c r="EID172" s="928"/>
      <c r="EIE172" s="928"/>
      <c r="EIF172" s="928"/>
      <c r="EIG172" s="928"/>
      <c r="EIH172" s="928"/>
      <c r="EII172" s="928"/>
      <c r="EIJ172" s="928"/>
      <c r="EIK172" s="928"/>
      <c r="EIL172" s="928"/>
      <c r="EIM172" s="928"/>
      <c r="EIN172" s="928"/>
      <c r="EIO172" s="928"/>
      <c r="EIP172" s="928"/>
      <c r="EIQ172" s="928"/>
      <c r="EIR172" s="928"/>
      <c r="EIS172" s="928"/>
      <c r="EIT172" s="928"/>
      <c r="EIU172" s="928"/>
      <c r="EIV172" s="928"/>
      <c r="EIW172" s="928"/>
      <c r="EIX172" s="928"/>
      <c r="EIY172" s="928"/>
      <c r="EIZ172" s="928"/>
      <c r="EJA172" s="928"/>
      <c r="EJB172" s="928"/>
      <c r="EJC172" s="928"/>
      <c r="EJD172" s="928"/>
      <c r="EJE172" s="928"/>
      <c r="EJF172" s="928"/>
      <c r="EJG172" s="928"/>
      <c r="EJH172" s="928"/>
      <c r="EJI172" s="928"/>
      <c r="EJJ172" s="928"/>
      <c r="EJK172" s="928"/>
      <c r="EJL172" s="928"/>
      <c r="EJM172" s="928"/>
      <c r="EJN172" s="928"/>
      <c r="EJO172" s="928"/>
      <c r="EJP172" s="928"/>
      <c r="EJQ172" s="928"/>
      <c r="EJR172" s="928"/>
      <c r="EJS172" s="928"/>
      <c r="EJT172" s="928"/>
      <c r="EJU172" s="928"/>
      <c r="EJV172" s="928"/>
      <c r="EJW172" s="928"/>
      <c r="EJX172" s="928"/>
      <c r="EJY172" s="928"/>
      <c r="EJZ172" s="928"/>
      <c r="EKA172" s="928"/>
      <c r="EKB172" s="928"/>
      <c r="EKC172" s="928"/>
      <c r="EKD172" s="928"/>
      <c r="EKE172" s="928"/>
      <c r="EKF172" s="928"/>
      <c r="EKG172" s="928"/>
      <c r="EKH172" s="928"/>
      <c r="EKI172" s="928"/>
      <c r="EKJ172" s="928"/>
      <c r="EKK172" s="928"/>
      <c r="EKL172" s="928"/>
      <c r="EKM172" s="928"/>
      <c r="EKN172" s="928"/>
      <c r="EKO172" s="928"/>
      <c r="EKP172" s="928"/>
      <c r="EKQ172" s="928"/>
      <c r="EKR172" s="928"/>
      <c r="EKS172" s="928"/>
      <c r="EKT172" s="928"/>
      <c r="EKU172" s="928"/>
      <c r="EKV172" s="928"/>
      <c r="EKW172" s="928"/>
      <c r="EKX172" s="928"/>
      <c r="EKY172" s="928"/>
      <c r="EKZ172" s="928"/>
      <c r="ELA172" s="928"/>
      <c r="ELB172" s="928"/>
      <c r="ELC172" s="928"/>
      <c r="ELD172" s="928"/>
      <c r="ELE172" s="928"/>
      <c r="ELF172" s="928"/>
      <c r="ELG172" s="928"/>
      <c r="ELH172" s="928"/>
      <c r="ELI172" s="928"/>
      <c r="ELJ172" s="928"/>
      <c r="ELK172" s="928"/>
      <c r="ELL172" s="928"/>
      <c r="ELM172" s="928"/>
      <c r="ELN172" s="928"/>
      <c r="ELO172" s="928"/>
      <c r="ELP172" s="928"/>
      <c r="ELQ172" s="928"/>
      <c r="ELR172" s="928"/>
      <c r="ELS172" s="928"/>
      <c r="ELT172" s="928"/>
      <c r="ELU172" s="928"/>
      <c r="ELV172" s="928"/>
      <c r="ELW172" s="928"/>
      <c r="ELX172" s="928"/>
      <c r="ELY172" s="928"/>
      <c r="ELZ172" s="928"/>
      <c r="EMA172" s="928"/>
      <c r="EMB172" s="928"/>
      <c r="EMC172" s="928"/>
      <c r="EMD172" s="928"/>
      <c r="EME172" s="928"/>
      <c r="EMF172" s="928"/>
      <c r="EMG172" s="928"/>
      <c r="EMH172" s="928"/>
      <c r="EMI172" s="928"/>
      <c r="EMJ172" s="928"/>
      <c r="EMK172" s="928"/>
      <c r="EML172" s="928"/>
      <c r="EMM172" s="928"/>
      <c r="EMN172" s="928"/>
      <c r="EMO172" s="928"/>
      <c r="EMP172" s="928"/>
      <c r="EMQ172" s="928"/>
      <c r="EMR172" s="928"/>
      <c r="EMS172" s="928"/>
      <c r="EMT172" s="928"/>
      <c r="EMU172" s="928"/>
      <c r="EMV172" s="928"/>
      <c r="EMW172" s="928"/>
      <c r="EMX172" s="928"/>
      <c r="EMY172" s="928"/>
      <c r="EMZ172" s="928"/>
      <c r="ENA172" s="928"/>
      <c r="ENB172" s="928"/>
      <c r="ENC172" s="928"/>
      <c r="END172" s="928"/>
      <c r="ENE172" s="928"/>
      <c r="ENF172" s="928"/>
      <c r="ENG172" s="928"/>
      <c r="ENH172" s="928"/>
      <c r="ENI172" s="928"/>
      <c r="ENJ172" s="928"/>
      <c r="ENK172" s="928"/>
      <c r="ENL172" s="928"/>
      <c r="ENM172" s="928"/>
      <c r="ENN172" s="928"/>
      <c r="ENO172" s="928"/>
      <c r="ENP172" s="928"/>
      <c r="ENQ172" s="928"/>
      <c r="ENR172" s="928"/>
      <c r="ENS172" s="928"/>
      <c r="ENT172" s="928"/>
      <c r="ENU172" s="928"/>
      <c r="ENV172" s="928"/>
      <c r="ENW172" s="928"/>
      <c r="ENX172" s="928"/>
      <c r="ENY172" s="928"/>
      <c r="ENZ172" s="928"/>
      <c r="EOA172" s="928"/>
      <c r="EOB172" s="928"/>
      <c r="EOC172" s="928"/>
      <c r="EOD172" s="928"/>
      <c r="EOE172" s="928"/>
      <c r="EOF172" s="928"/>
      <c r="EOG172" s="928"/>
      <c r="EOH172" s="928"/>
      <c r="EOI172" s="928"/>
      <c r="EOJ172" s="928"/>
      <c r="EOK172" s="928"/>
      <c r="EOL172" s="928"/>
      <c r="EOM172" s="928"/>
      <c r="EON172" s="928"/>
      <c r="EOO172" s="928"/>
      <c r="EOP172" s="928"/>
      <c r="EOQ172" s="928"/>
      <c r="EOR172" s="928"/>
      <c r="EOS172" s="928"/>
      <c r="EOT172" s="928"/>
      <c r="EOU172" s="928"/>
      <c r="EOV172" s="928"/>
      <c r="EOW172" s="928"/>
      <c r="EOX172" s="928"/>
      <c r="EOY172" s="928"/>
      <c r="EOZ172" s="928"/>
      <c r="EPA172" s="928"/>
      <c r="EPB172" s="928"/>
      <c r="EPC172" s="928"/>
      <c r="EPD172" s="928"/>
      <c r="EPE172" s="928"/>
      <c r="EPF172" s="928"/>
      <c r="EPG172" s="928"/>
      <c r="EPH172" s="928"/>
      <c r="EPI172" s="928"/>
      <c r="EPJ172" s="928"/>
      <c r="EPK172" s="928"/>
      <c r="EPL172" s="928"/>
      <c r="EPM172" s="928"/>
      <c r="EPN172" s="928"/>
      <c r="EPO172" s="928"/>
      <c r="EPP172" s="928"/>
      <c r="EPQ172" s="928"/>
      <c r="EPR172" s="928"/>
      <c r="EPS172" s="928"/>
      <c r="EPT172" s="928"/>
      <c r="EPU172" s="928"/>
      <c r="EPV172" s="928"/>
      <c r="EPW172" s="928"/>
      <c r="EPX172" s="928"/>
      <c r="EPY172" s="928"/>
      <c r="EPZ172" s="928"/>
      <c r="EQA172" s="928"/>
      <c r="EQB172" s="928"/>
      <c r="EQC172" s="928"/>
      <c r="EQD172" s="928"/>
      <c r="EQE172" s="928"/>
      <c r="EQF172" s="928"/>
      <c r="EQG172" s="928"/>
      <c r="EQH172" s="928"/>
      <c r="EQI172" s="928"/>
      <c r="EQJ172" s="928"/>
      <c r="EQK172" s="928"/>
      <c r="EQL172" s="928"/>
      <c r="EQM172" s="928"/>
      <c r="EQN172" s="928"/>
      <c r="EQO172" s="928"/>
      <c r="EQP172" s="928"/>
      <c r="EQQ172" s="928"/>
      <c r="EQR172" s="928"/>
      <c r="EQS172" s="928"/>
      <c r="EQT172" s="928"/>
      <c r="EQU172" s="928"/>
      <c r="EQV172" s="928"/>
      <c r="EQW172" s="928"/>
      <c r="EQX172" s="928"/>
      <c r="EQY172" s="928"/>
      <c r="EQZ172" s="928"/>
      <c r="ERA172" s="928"/>
      <c r="ERB172" s="928"/>
      <c r="ERC172" s="928"/>
      <c r="ERD172" s="928"/>
      <c r="ERE172" s="928"/>
      <c r="ERF172" s="928"/>
      <c r="ERG172" s="928"/>
      <c r="ERH172" s="928"/>
      <c r="ERI172" s="928"/>
      <c r="ERJ172" s="928"/>
      <c r="ERK172" s="928"/>
      <c r="ERL172" s="928"/>
      <c r="ERM172" s="928"/>
      <c r="ERN172" s="928"/>
      <c r="ERO172" s="928"/>
      <c r="ERP172" s="928"/>
      <c r="ERQ172" s="928"/>
      <c r="ERR172" s="928"/>
      <c r="ERS172" s="928"/>
      <c r="ERT172" s="928"/>
      <c r="ERU172" s="928"/>
      <c r="ERV172" s="928"/>
      <c r="ERW172" s="928"/>
      <c r="ERX172" s="928"/>
      <c r="ERY172" s="928"/>
      <c r="ERZ172" s="928"/>
      <c r="ESA172" s="928"/>
      <c r="ESB172" s="928"/>
      <c r="ESC172" s="928"/>
      <c r="ESD172" s="928"/>
      <c r="ESE172" s="928"/>
      <c r="ESF172" s="928"/>
      <c r="ESG172" s="928"/>
      <c r="ESH172" s="928"/>
      <c r="ESI172" s="928"/>
      <c r="ESJ172" s="928"/>
      <c r="ESK172" s="928"/>
      <c r="ESL172" s="928"/>
      <c r="ESM172" s="928"/>
      <c r="ESN172" s="928"/>
      <c r="ESO172" s="928"/>
      <c r="ESP172" s="928"/>
      <c r="ESQ172" s="928"/>
      <c r="ESR172" s="928"/>
      <c r="ESS172" s="928"/>
      <c r="EST172" s="928"/>
      <c r="ESU172" s="928"/>
      <c r="ESV172" s="928"/>
      <c r="ESW172" s="928"/>
      <c r="ESX172" s="928"/>
      <c r="ESY172" s="928"/>
      <c r="ESZ172" s="928"/>
      <c r="ETA172" s="928"/>
      <c r="ETB172" s="928"/>
      <c r="ETC172" s="928"/>
      <c r="ETD172" s="928"/>
      <c r="ETE172" s="928"/>
      <c r="ETF172" s="928"/>
      <c r="ETG172" s="928"/>
      <c r="ETH172" s="928"/>
      <c r="ETI172" s="928"/>
      <c r="ETJ172" s="928"/>
      <c r="ETK172" s="928"/>
      <c r="ETL172" s="928"/>
      <c r="ETM172" s="928"/>
      <c r="ETN172" s="928"/>
      <c r="ETO172" s="928"/>
      <c r="ETP172" s="928"/>
      <c r="ETQ172" s="928"/>
      <c r="ETR172" s="928"/>
      <c r="ETS172" s="928"/>
      <c r="ETT172" s="928"/>
      <c r="ETU172" s="928"/>
      <c r="ETV172" s="928"/>
      <c r="ETW172" s="928"/>
      <c r="ETX172" s="928"/>
      <c r="ETY172" s="928"/>
      <c r="ETZ172" s="928"/>
      <c r="EUA172" s="928"/>
      <c r="EUB172" s="928"/>
      <c r="EUC172" s="928"/>
      <c r="EUD172" s="928"/>
      <c r="EUE172" s="928"/>
      <c r="EUF172" s="928"/>
      <c r="EUG172" s="928"/>
      <c r="EUH172" s="928"/>
      <c r="EUI172" s="928"/>
      <c r="EUJ172" s="928"/>
      <c r="EUK172" s="928"/>
      <c r="EUL172" s="928"/>
      <c r="EUM172" s="928"/>
      <c r="EUN172" s="928"/>
      <c r="EUO172" s="928"/>
      <c r="EUP172" s="928"/>
      <c r="EUQ172" s="928"/>
      <c r="EUR172" s="928"/>
      <c r="EUS172" s="928"/>
      <c r="EUT172" s="928"/>
      <c r="EUU172" s="928"/>
      <c r="EUV172" s="928"/>
      <c r="EUW172" s="928"/>
      <c r="EUX172" s="928"/>
      <c r="EUY172" s="928"/>
      <c r="EUZ172" s="928"/>
      <c r="EVA172" s="928"/>
      <c r="EVB172" s="928"/>
      <c r="EVC172" s="928"/>
      <c r="EVD172" s="928"/>
      <c r="EVE172" s="928"/>
      <c r="EVF172" s="928"/>
      <c r="EVG172" s="928"/>
      <c r="EVH172" s="928"/>
      <c r="EVI172" s="928"/>
      <c r="EVJ172" s="928"/>
      <c r="EVK172" s="928"/>
      <c r="EVL172" s="928"/>
      <c r="EVM172" s="928"/>
      <c r="EVN172" s="928"/>
      <c r="EVO172" s="928"/>
      <c r="EVP172" s="928"/>
      <c r="EVQ172" s="928"/>
      <c r="EVR172" s="928"/>
      <c r="EVS172" s="928"/>
      <c r="EVT172" s="928"/>
      <c r="EVU172" s="928"/>
      <c r="EVV172" s="928"/>
      <c r="EVW172" s="928"/>
      <c r="EVX172" s="928"/>
      <c r="EVY172" s="928"/>
      <c r="EVZ172" s="928"/>
      <c r="EWA172" s="928"/>
      <c r="EWB172" s="928"/>
      <c r="EWC172" s="928"/>
      <c r="EWD172" s="928"/>
      <c r="EWE172" s="928"/>
      <c r="EWF172" s="928"/>
      <c r="EWG172" s="928"/>
      <c r="EWH172" s="928"/>
      <c r="EWI172" s="928"/>
      <c r="EWJ172" s="928"/>
      <c r="EWK172" s="928"/>
      <c r="EWL172" s="928"/>
      <c r="EWM172" s="928"/>
      <c r="EWN172" s="928"/>
      <c r="EWO172" s="928"/>
      <c r="EWP172" s="928"/>
      <c r="EWQ172" s="928"/>
      <c r="EWR172" s="928"/>
      <c r="EWS172" s="928"/>
      <c r="EWT172" s="928"/>
      <c r="EWU172" s="928"/>
      <c r="EWV172" s="928"/>
      <c r="EWW172" s="928"/>
      <c r="EWX172" s="928"/>
      <c r="EWY172" s="928"/>
      <c r="EWZ172" s="928"/>
      <c r="EXA172" s="928"/>
      <c r="EXB172" s="928"/>
      <c r="EXC172" s="928"/>
      <c r="EXD172" s="928"/>
      <c r="EXE172" s="928"/>
      <c r="EXF172" s="928"/>
      <c r="EXG172" s="928"/>
      <c r="EXH172" s="928"/>
      <c r="EXI172" s="928"/>
      <c r="EXJ172" s="928"/>
      <c r="EXK172" s="928"/>
      <c r="EXL172" s="928"/>
      <c r="EXM172" s="928"/>
      <c r="EXN172" s="928"/>
      <c r="EXO172" s="928"/>
      <c r="EXP172" s="928"/>
      <c r="EXQ172" s="928"/>
      <c r="EXR172" s="928"/>
      <c r="EXS172" s="928"/>
      <c r="EXT172" s="928"/>
      <c r="EXU172" s="928"/>
      <c r="EXV172" s="928"/>
      <c r="EXW172" s="928"/>
      <c r="EXX172" s="928"/>
      <c r="EXY172" s="928"/>
      <c r="EXZ172" s="928"/>
      <c r="EYA172" s="928"/>
      <c r="EYB172" s="928"/>
      <c r="EYC172" s="928"/>
      <c r="EYD172" s="928"/>
      <c r="EYE172" s="928"/>
      <c r="EYF172" s="928"/>
      <c r="EYG172" s="928"/>
      <c r="EYH172" s="928"/>
      <c r="EYI172" s="928"/>
      <c r="EYJ172" s="928"/>
      <c r="EYK172" s="928"/>
      <c r="EYL172" s="928"/>
      <c r="EYM172" s="928"/>
      <c r="EYN172" s="928"/>
      <c r="EYO172" s="928"/>
      <c r="EYP172" s="928"/>
      <c r="EYQ172" s="928"/>
      <c r="EYR172" s="928"/>
      <c r="EYS172" s="928"/>
      <c r="EYT172" s="928"/>
      <c r="EYU172" s="928"/>
      <c r="EYV172" s="928"/>
      <c r="EYW172" s="928"/>
      <c r="EYX172" s="928"/>
      <c r="EYY172" s="928"/>
      <c r="EYZ172" s="928"/>
      <c r="EZA172" s="928"/>
      <c r="EZB172" s="928"/>
      <c r="EZC172" s="928"/>
      <c r="EZD172" s="928"/>
      <c r="EZE172" s="928"/>
      <c r="EZF172" s="928"/>
      <c r="EZG172" s="928"/>
      <c r="EZH172" s="928"/>
      <c r="EZI172" s="928"/>
      <c r="EZJ172" s="928"/>
      <c r="EZK172" s="928"/>
      <c r="EZL172" s="928"/>
      <c r="EZM172" s="928"/>
      <c r="EZN172" s="928"/>
      <c r="EZO172" s="928"/>
      <c r="EZP172" s="928"/>
      <c r="EZQ172" s="928"/>
      <c r="EZR172" s="928"/>
      <c r="EZS172" s="928"/>
      <c r="EZT172" s="928"/>
      <c r="EZU172" s="928"/>
      <c r="EZV172" s="928"/>
      <c r="EZW172" s="928"/>
      <c r="EZX172" s="928"/>
      <c r="EZY172" s="928"/>
      <c r="EZZ172" s="928"/>
      <c r="FAA172" s="928"/>
      <c r="FAB172" s="928"/>
      <c r="FAC172" s="928"/>
      <c r="FAD172" s="928"/>
      <c r="FAE172" s="928"/>
      <c r="FAF172" s="928"/>
      <c r="FAG172" s="928"/>
      <c r="FAH172" s="928"/>
      <c r="FAI172" s="928"/>
      <c r="FAJ172" s="928"/>
      <c r="FAK172" s="928"/>
      <c r="FAL172" s="928"/>
      <c r="FAM172" s="928"/>
      <c r="FAN172" s="928"/>
      <c r="FAO172" s="928"/>
      <c r="FAP172" s="928"/>
      <c r="FAQ172" s="928"/>
      <c r="FAR172" s="928"/>
      <c r="FAS172" s="928"/>
      <c r="FAT172" s="928"/>
      <c r="FAU172" s="928"/>
      <c r="FAV172" s="928"/>
      <c r="FAW172" s="928"/>
      <c r="FAX172" s="928"/>
      <c r="FAY172" s="928"/>
      <c r="FAZ172" s="928"/>
      <c r="FBA172" s="928"/>
      <c r="FBB172" s="928"/>
      <c r="FBC172" s="928"/>
      <c r="FBD172" s="928"/>
      <c r="FBE172" s="928"/>
      <c r="FBF172" s="928"/>
      <c r="FBG172" s="928"/>
      <c r="FBH172" s="928"/>
      <c r="FBI172" s="928"/>
      <c r="FBJ172" s="928"/>
      <c r="FBK172" s="928"/>
      <c r="FBL172" s="928"/>
      <c r="FBM172" s="928"/>
      <c r="FBN172" s="928"/>
      <c r="FBO172" s="928"/>
      <c r="FBP172" s="928"/>
      <c r="FBQ172" s="928"/>
      <c r="FBR172" s="928"/>
      <c r="FBS172" s="928"/>
      <c r="FBT172" s="928"/>
      <c r="FBU172" s="928"/>
      <c r="FBV172" s="928"/>
      <c r="FBW172" s="928"/>
      <c r="FBX172" s="928"/>
      <c r="FBY172" s="928"/>
      <c r="FBZ172" s="928"/>
      <c r="FCA172" s="928"/>
      <c r="FCB172" s="928"/>
      <c r="FCC172" s="928"/>
      <c r="FCD172" s="928"/>
      <c r="FCE172" s="928"/>
      <c r="FCF172" s="928"/>
      <c r="FCG172" s="928"/>
      <c r="FCH172" s="928"/>
      <c r="FCI172" s="928"/>
      <c r="FCJ172" s="928"/>
      <c r="FCK172" s="928"/>
      <c r="FCL172" s="928"/>
      <c r="FCM172" s="928"/>
      <c r="FCN172" s="928"/>
      <c r="FCO172" s="928"/>
      <c r="FCP172" s="928"/>
      <c r="FCQ172" s="928"/>
      <c r="FCR172" s="928"/>
      <c r="FCS172" s="928"/>
      <c r="FCT172" s="928"/>
      <c r="FCU172" s="928"/>
      <c r="FCV172" s="928"/>
      <c r="FCW172" s="928"/>
      <c r="FCX172" s="928"/>
      <c r="FCY172" s="928"/>
      <c r="FCZ172" s="928"/>
      <c r="FDA172" s="928"/>
      <c r="FDB172" s="928"/>
      <c r="FDC172" s="928"/>
      <c r="FDD172" s="928"/>
      <c r="FDE172" s="928"/>
      <c r="FDF172" s="928"/>
      <c r="FDG172" s="928"/>
      <c r="FDH172" s="928"/>
      <c r="FDI172" s="928"/>
      <c r="FDJ172" s="928"/>
      <c r="FDK172" s="928"/>
      <c r="FDL172" s="928"/>
      <c r="FDM172" s="928"/>
      <c r="FDN172" s="928"/>
      <c r="FDO172" s="928"/>
      <c r="FDP172" s="928"/>
      <c r="FDQ172" s="928"/>
      <c r="FDR172" s="928"/>
      <c r="FDS172" s="928"/>
      <c r="FDT172" s="928"/>
      <c r="FDU172" s="928"/>
      <c r="FDV172" s="928"/>
      <c r="FDW172" s="928"/>
      <c r="FDX172" s="928"/>
      <c r="FDY172" s="928"/>
      <c r="FDZ172" s="928"/>
      <c r="FEA172" s="928"/>
      <c r="FEB172" s="928"/>
      <c r="FEC172" s="928"/>
      <c r="FED172" s="928"/>
      <c r="FEE172" s="928"/>
      <c r="FEF172" s="928"/>
      <c r="FEG172" s="928"/>
      <c r="FEH172" s="928"/>
      <c r="FEI172" s="928"/>
      <c r="FEJ172" s="928"/>
      <c r="FEK172" s="928"/>
      <c r="FEL172" s="928"/>
      <c r="FEM172" s="928"/>
      <c r="FEN172" s="928"/>
      <c r="FEO172" s="928"/>
      <c r="FEP172" s="928"/>
      <c r="FEQ172" s="928"/>
      <c r="FER172" s="928"/>
      <c r="FES172" s="928"/>
      <c r="FET172" s="928"/>
      <c r="FEU172" s="928"/>
      <c r="FEV172" s="928"/>
      <c r="FEW172" s="928"/>
      <c r="FEX172" s="928"/>
      <c r="FEY172" s="928"/>
      <c r="FEZ172" s="928"/>
      <c r="FFA172" s="928"/>
      <c r="FFB172" s="928"/>
      <c r="FFC172" s="928"/>
      <c r="FFD172" s="928"/>
      <c r="FFE172" s="928"/>
      <c r="FFF172" s="928"/>
      <c r="FFG172" s="928"/>
      <c r="FFH172" s="928"/>
      <c r="FFI172" s="928"/>
      <c r="FFJ172" s="928"/>
      <c r="FFK172" s="928"/>
      <c r="FFL172" s="928"/>
      <c r="FFM172" s="928"/>
      <c r="FFN172" s="928"/>
      <c r="FFO172" s="928"/>
      <c r="FFP172" s="928"/>
      <c r="FFQ172" s="928"/>
      <c r="FFR172" s="928"/>
      <c r="FFS172" s="928"/>
      <c r="FFT172" s="928"/>
      <c r="FFU172" s="928"/>
      <c r="FFV172" s="928"/>
      <c r="FFW172" s="928"/>
      <c r="FFX172" s="928"/>
      <c r="FFY172" s="928"/>
      <c r="FFZ172" s="928"/>
      <c r="FGA172" s="928"/>
      <c r="FGB172" s="928"/>
      <c r="FGC172" s="928"/>
      <c r="FGD172" s="928"/>
      <c r="FGE172" s="928"/>
      <c r="FGF172" s="928"/>
      <c r="FGG172" s="928"/>
      <c r="FGH172" s="928"/>
      <c r="FGI172" s="928"/>
      <c r="FGJ172" s="928"/>
      <c r="FGK172" s="928"/>
      <c r="FGL172" s="928"/>
      <c r="FGM172" s="928"/>
      <c r="FGN172" s="928"/>
      <c r="FGO172" s="928"/>
      <c r="FGP172" s="928"/>
      <c r="FGQ172" s="928"/>
      <c r="FGR172" s="928"/>
      <c r="FGS172" s="928"/>
      <c r="FGT172" s="928"/>
      <c r="FGU172" s="928"/>
      <c r="FGV172" s="928"/>
      <c r="FGW172" s="928"/>
      <c r="FGX172" s="928"/>
      <c r="FGY172" s="928"/>
      <c r="FGZ172" s="928"/>
      <c r="FHA172" s="928"/>
      <c r="FHB172" s="928"/>
      <c r="FHC172" s="928"/>
      <c r="FHD172" s="928"/>
      <c r="FHE172" s="928"/>
      <c r="FHF172" s="928"/>
      <c r="FHG172" s="928"/>
      <c r="FHH172" s="928"/>
      <c r="FHI172" s="928"/>
      <c r="FHJ172" s="928"/>
      <c r="FHK172" s="928"/>
      <c r="FHL172" s="928"/>
      <c r="FHM172" s="928"/>
      <c r="FHN172" s="928"/>
      <c r="FHO172" s="928"/>
      <c r="FHP172" s="928"/>
      <c r="FHQ172" s="928"/>
      <c r="FHR172" s="928"/>
      <c r="FHS172" s="928"/>
      <c r="FHT172" s="928"/>
      <c r="FHU172" s="928"/>
      <c r="FHV172" s="928"/>
      <c r="FHW172" s="928"/>
      <c r="FHX172" s="928"/>
      <c r="FHY172" s="928"/>
      <c r="FHZ172" s="928"/>
      <c r="FIA172" s="928"/>
      <c r="FIB172" s="928"/>
      <c r="FIC172" s="928"/>
      <c r="FID172" s="928"/>
      <c r="FIE172" s="928"/>
      <c r="FIF172" s="928"/>
      <c r="FIG172" s="928"/>
      <c r="FIH172" s="928"/>
      <c r="FII172" s="928"/>
      <c r="FIJ172" s="928"/>
      <c r="FIK172" s="928"/>
      <c r="FIL172" s="928"/>
      <c r="FIM172" s="928"/>
      <c r="FIN172" s="928"/>
      <c r="FIO172" s="928"/>
      <c r="FIP172" s="928"/>
      <c r="FIQ172" s="928"/>
      <c r="FIR172" s="928"/>
      <c r="FIS172" s="928"/>
      <c r="FIT172" s="928"/>
      <c r="FIU172" s="928"/>
      <c r="FIV172" s="928"/>
      <c r="FIW172" s="928"/>
      <c r="FIX172" s="928"/>
      <c r="FIY172" s="928"/>
      <c r="FIZ172" s="928"/>
      <c r="FJA172" s="928"/>
      <c r="FJB172" s="928"/>
      <c r="FJC172" s="928"/>
      <c r="FJD172" s="928"/>
      <c r="FJE172" s="928"/>
      <c r="FJF172" s="928"/>
      <c r="FJG172" s="928"/>
      <c r="FJH172" s="928"/>
      <c r="FJI172" s="928"/>
      <c r="FJJ172" s="928"/>
      <c r="FJK172" s="928"/>
      <c r="FJL172" s="928"/>
      <c r="FJM172" s="928"/>
      <c r="FJN172" s="928"/>
      <c r="FJO172" s="928"/>
      <c r="FJP172" s="928"/>
      <c r="FJQ172" s="928"/>
      <c r="FJR172" s="928"/>
      <c r="FJS172" s="928"/>
      <c r="FJT172" s="928"/>
      <c r="FJU172" s="928"/>
      <c r="FJV172" s="928"/>
      <c r="FJW172" s="928"/>
      <c r="FJX172" s="928"/>
      <c r="FJY172" s="928"/>
      <c r="FJZ172" s="928"/>
      <c r="FKA172" s="928"/>
      <c r="FKB172" s="928"/>
      <c r="FKC172" s="928"/>
      <c r="FKD172" s="928"/>
      <c r="FKE172" s="928"/>
      <c r="FKF172" s="928"/>
      <c r="FKG172" s="928"/>
      <c r="FKH172" s="928"/>
      <c r="FKI172" s="928"/>
      <c r="FKJ172" s="928"/>
      <c r="FKK172" s="928"/>
      <c r="FKL172" s="928"/>
      <c r="FKM172" s="928"/>
      <c r="FKN172" s="928"/>
      <c r="FKO172" s="928"/>
      <c r="FKP172" s="928"/>
      <c r="FKQ172" s="928"/>
      <c r="FKR172" s="928"/>
      <c r="FKS172" s="928"/>
      <c r="FKT172" s="928"/>
      <c r="FKU172" s="928"/>
      <c r="FKV172" s="928"/>
      <c r="FKW172" s="928"/>
      <c r="FKX172" s="928"/>
      <c r="FKY172" s="928"/>
      <c r="FKZ172" s="928"/>
      <c r="FLA172" s="928"/>
      <c r="FLB172" s="928"/>
      <c r="FLC172" s="928"/>
      <c r="FLD172" s="928"/>
      <c r="FLE172" s="928"/>
      <c r="FLF172" s="928"/>
      <c r="FLG172" s="928"/>
      <c r="FLH172" s="928"/>
      <c r="FLI172" s="928"/>
      <c r="FLJ172" s="928"/>
      <c r="FLK172" s="928"/>
      <c r="FLL172" s="928"/>
      <c r="FLM172" s="928"/>
      <c r="FLN172" s="928"/>
      <c r="FLO172" s="928"/>
      <c r="FLP172" s="928"/>
      <c r="FLQ172" s="928"/>
      <c r="FLR172" s="928"/>
      <c r="FLS172" s="928"/>
      <c r="FLT172" s="928"/>
      <c r="FLU172" s="928"/>
      <c r="FLV172" s="928"/>
      <c r="FLW172" s="928"/>
      <c r="FLX172" s="928"/>
      <c r="FLY172" s="928"/>
      <c r="FLZ172" s="928"/>
      <c r="FMA172" s="928"/>
      <c r="FMB172" s="928"/>
      <c r="FMC172" s="928"/>
      <c r="FMD172" s="928"/>
      <c r="FME172" s="928"/>
      <c r="FMF172" s="928"/>
      <c r="FMG172" s="928"/>
      <c r="FMH172" s="928"/>
      <c r="FMI172" s="928"/>
      <c r="FMJ172" s="928"/>
      <c r="FMK172" s="928"/>
      <c r="FML172" s="928"/>
      <c r="FMM172" s="928"/>
      <c r="FMN172" s="928"/>
      <c r="FMO172" s="928"/>
      <c r="FMP172" s="928"/>
      <c r="FMQ172" s="928"/>
      <c r="FMR172" s="928"/>
      <c r="FMS172" s="928"/>
      <c r="FMT172" s="928"/>
      <c r="FMU172" s="928"/>
      <c r="FMV172" s="928"/>
      <c r="FMW172" s="928"/>
      <c r="FMX172" s="928"/>
      <c r="FMY172" s="928"/>
      <c r="FMZ172" s="928"/>
      <c r="FNA172" s="928"/>
      <c r="FNB172" s="928"/>
      <c r="FNC172" s="928"/>
      <c r="FND172" s="928"/>
      <c r="FNE172" s="928"/>
      <c r="FNF172" s="928"/>
      <c r="FNG172" s="928"/>
      <c r="FNH172" s="928"/>
      <c r="FNI172" s="928"/>
      <c r="FNJ172" s="928"/>
      <c r="FNK172" s="928"/>
      <c r="FNL172" s="928"/>
      <c r="FNM172" s="928"/>
      <c r="FNN172" s="928"/>
      <c r="FNO172" s="928"/>
      <c r="FNP172" s="928"/>
      <c r="FNQ172" s="928"/>
      <c r="FNR172" s="928"/>
      <c r="FNS172" s="928"/>
      <c r="FNT172" s="928"/>
      <c r="FNU172" s="928"/>
      <c r="FNV172" s="928"/>
      <c r="FNW172" s="928"/>
      <c r="FNX172" s="928"/>
      <c r="FNY172" s="928"/>
      <c r="FNZ172" s="928"/>
      <c r="FOA172" s="928"/>
      <c r="FOB172" s="928"/>
      <c r="FOC172" s="928"/>
      <c r="FOD172" s="928"/>
      <c r="FOE172" s="928"/>
      <c r="FOF172" s="928"/>
      <c r="FOG172" s="928"/>
      <c r="FOH172" s="928"/>
      <c r="FOI172" s="928"/>
      <c r="FOJ172" s="928"/>
      <c r="FOK172" s="928"/>
      <c r="FOL172" s="928"/>
      <c r="FOM172" s="928"/>
      <c r="FON172" s="928"/>
      <c r="FOO172" s="928"/>
      <c r="FOP172" s="928"/>
      <c r="FOQ172" s="928"/>
      <c r="FOR172" s="928"/>
      <c r="FOS172" s="928"/>
      <c r="FOT172" s="928"/>
      <c r="FOU172" s="928"/>
      <c r="FOV172" s="928"/>
      <c r="FOW172" s="928"/>
      <c r="FOX172" s="928"/>
      <c r="FOY172" s="928"/>
      <c r="FOZ172" s="928"/>
      <c r="FPA172" s="928"/>
      <c r="FPB172" s="928"/>
      <c r="FPC172" s="928"/>
      <c r="FPD172" s="928"/>
      <c r="FPE172" s="928"/>
      <c r="FPF172" s="928"/>
      <c r="FPG172" s="928"/>
      <c r="FPH172" s="928"/>
      <c r="FPI172" s="928"/>
      <c r="FPJ172" s="928"/>
      <c r="FPK172" s="928"/>
      <c r="FPL172" s="928"/>
      <c r="FPM172" s="928"/>
      <c r="FPN172" s="928"/>
      <c r="FPO172" s="928"/>
      <c r="FPP172" s="928"/>
      <c r="FPQ172" s="928"/>
      <c r="FPR172" s="928"/>
      <c r="FPS172" s="928"/>
      <c r="FPT172" s="928"/>
      <c r="FPU172" s="928"/>
      <c r="FPV172" s="928"/>
      <c r="FPW172" s="928"/>
      <c r="FPX172" s="928"/>
      <c r="FPY172" s="928"/>
      <c r="FPZ172" s="928"/>
      <c r="FQA172" s="928"/>
      <c r="FQB172" s="928"/>
      <c r="FQC172" s="928"/>
      <c r="FQD172" s="928"/>
      <c r="FQE172" s="928"/>
      <c r="FQF172" s="928"/>
      <c r="FQG172" s="928"/>
      <c r="FQH172" s="928"/>
      <c r="FQI172" s="928"/>
      <c r="FQJ172" s="928"/>
      <c r="FQK172" s="928"/>
      <c r="FQL172" s="928"/>
      <c r="FQM172" s="928"/>
      <c r="FQN172" s="928"/>
      <c r="FQO172" s="928"/>
      <c r="FQP172" s="928"/>
      <c r="FQQ172" s="928"/>
      <c r="FQR172" s="928"/>
      <c r="FQS172" s="928"/>
      <c r="FQT172" s="928"/>
      <c r="FQU172" s="928"/>
      <c r="FQV172" s="928"/>
      <c r="FQW172" s="928"/>
      <c r="FQX172" s="928"/>
      <c r="FQY172" s="928"/>
      <c r="FQZ172" s="928"/>
      <c r="FRA172" s="928"/>
      <c r="FRB172" s="928"/>
      <c r="FRC172" s="928"/>
      <c r="FRD172" s="928"/>
      <c r="FRE172" s="928"/>
      <c r="FRF172" s="928"/>
      <c r="FRG172" s="928"/>
      <c r="FRH172" s="928"/>
      <c r="FRI172" s="928"/>
      <c r="FRJ172" s="928"/>
      <c r="FRK172" s="928"/>
      <c r="FRL172" s="928"/>
      <c r="FRM172" s="928"/>
      <c r="FRN172" s="928"/>
      <c r="FRO172" s="928"/>
      <c r="FRP172" s="928"/>
      <c r="FRQ172" s="928"/>
      <c r="FRR172" s="928"/>
      <c r="FRS172" s="928"/>
      <c r="FRT172" s="928"/>
      <c r="FRU172" s="928"/>
      <c r="FRV172" s="928"/>
      <c r="FRW172" s="928"/>
      <c r="FRX172" s="928"/>
      <c r="FRY172" s="928"/>
      <c r="FRZ172" s="928"/>
      <c r="FSA172" s="928"/>
      <c r="FSB172" s="928"/>
      <c r="FSC172" s="928"/>
      <c r="FSD172" s="928"/>
      <c r="FSE172" s="928"/>
      <c r="FSF172" s="928"/>
      <c r="FSG172" s="928"/>
      <c r="FSH172" s="928"/>
      <c r="FSI172" s="928"/>
      <c r="FSJ172" s="928"/>
      <c r="FSK172" s="928"/>
      <c r="FSL172" s="928"/>
      <c r="FSM172" s="928"/>
      <c r="FSN172" s="928"/>
      <c r="FSO172" s="928"/>
      <c r="FSP172" s="928"/>
      <c r="FSQ172" s="928"/>
      <c r="FSR172" s="928"/>
      <c r="FSS172" s="928"/>
      <c r="FST172" s="928"/>
      <c r="FSU172" s="928"/>
      <c r="FSV172" s="928"/>
      <c r="FSW172" s="928"/>
      <c r="FSX172" s="928"/>
      <c r="FSY172" s="928"/>
      <c r="FSZ172" s="928"/>
      <c r="FTA172" s="928"/>
      <c r="FTB172" s="928"/>
      <c r="FTC172" s="928"/>
      <c r="FTD172" s="928"/>
      <c r="FTE172" s="928"/>
      <c r="FTF172" s="928"/>
      <c r="FTG172" s="928"/>
      <c r="FTH172" s="928"/>
      <c r="FTI172" s="928"/>
      <c r="FTJ172" s="928"/>
      <c r="FTK172" s="928"/>
      <c r="FTL172" s="928"/>
      <c r="FTM172" s="928"/>
      <c r="FTN172" s="928"/>
      <c r="FTO172" s="928"/>
      <c r="FTP172" s="928"/>
      <c r="FTQ172" s="928"/>
      <c r="FTR172" s="928"/>
      <c r="FTS172" s="928"/>
      <c r="FTT172" s="928"/>
      <c r="FTU172" s="928"/>
      <c r="FTV172" s="928"/>
      <c r="FTW172" s="928"/>
      <c r="FTX172" s="928"/>
      <c r="FTY172" s="928"/>
      <c r="FTZ172" s="928"/>
      <c r="FUA172" s="928"/>
      <c r="FUB172" s="928"/>
      <c r="FUC172" s="928"/>
      <c r="FUD172" s="928"/>
      <c r="FUE172" s="928"/>
      <c r="FUF172" s="928"/>
      <c r="FUG172" s="928"/>
      <c r="FUH172" s="928"/>
      <c r="FUI172" s="928"/>
      <c r="FUJ172" s="928"/>
      <c r="FUK172" s="928"/>
      <c r="FUL172" s="928"/>
      <c r="FUM172" s="928"/>
      <c r="FUN172" s="928"/>
      <c r="FUO172" s="928"/>
      <c r="FUP172" s="928"/>
      <c r="FUQ172" s="928"/>
      <c r="FUR172" s="928"/>
      <c r="FUS172" s="928"/>
      <c r="FUT172" s="928"/>
      <c r="FUU172" s="928"/>
      <c r="FUV172" s="928"/>
      <c r="FUW172" s="928"/>
      <c r="FUX172" s="928"/>
      <c r="FUY172" s="928"/>
      <c r="FUZ172" s="928"/>
      <c r="FVA172" s="928"/>
      <c r="FVB172" s="928"/>
      <c r="FVC172" s="928"/>
      <c r="FVD172" s="928"/>
      <c r="FVE172" s="928"/>
      <c r="FVF172" s="928"/>
      <c r="FVG172" s="928"/>
      <c r="FVH172" s="928"/>
      <c r="FVI172" s="928"/>
      <c r="FVJ172" s="928"/>
      <c r="FVK172" s="928"/>
      <c r="FVL172" s="928"/>
      <c r="FVM172" s="928"/>
      <c r="FVN172" s="928"/>
      <c r="FVO172" s="928"/>
      <c r="FVP172" s="928"/>
      <c r="FVQ172" s="928"/>
      <c r="FVR172" s="928"/>
      <c r="FVS172" s="928"/>
      <c r="FVT172" s="928"/>
      <c r="FVU172" s="928"/>
      <c r="FVV172" s="928"/>
      <c r="FVW172" s="928"/>
      <c r="FVX172" s="928"/>
      <c r="FVY172" s="928"/>
      <c r="FVZ172" s="928"/>
      <c r="FWA172" s="928"/>
      <c r="FWB172" s="928"/>
      <c r="FWC172" s="928"/>
      <c r="FWD172" s="928"/>
      <c r="FWE172" s="928"/>
      <c r="FWF172" s="928"/>
      <c r="FWG172" s="928"/>
      <c r="FWH172" s="928"/>
      <c r="FWI172" s="928"/>
      <c r="FWJ172" s="928"/>
      <c r="FWK172" s="928"/>
      <c r="FWL172" s="928"/>
      <c r="FWM172" s="928"/>
      <c r="FWN172" s="928"/>
      <c r="FWO172" s="928"/>
      <c r="FWP172" s="928"/>
      <c r="FWQ172" s="928"/>
      <c r="FWR172" s="928"/>
      <c r="FWS172" s="928"/>
      <c r="FWT172" s="928"/>
      <c r="FWU172" s="928"/>
      <c r="FWV172" s="928"/>
      <c r="FWW172" s="928"/>
      <c r="FWX172" s="928"/>
      <c r="FWY172" s="928"/>
      <c r="FWZ172" s="928"/>
      <c r="FXA172" s="928"/>
      <c r="FXB172" s="928"/>
      <c r="FXC172" s="928"/>
      <c r="FXD172" s="928"/>
      <c r="FXE172" s="928"/>
      <c r="FXF172" s="928"/>
      <c r="FXG172" s="928"/>
      <c r="FXH172" s="928"/>
      <c r="FXI172" s="928"/>
      <c r="FXJ172" s="928"/>
      <c r="FXK172" s="928"/>
      <c r="FXL172" s="928"/>
      <c r="FXM172" s="928"/>
      <c r="FXN172" s="928"/>
      <c r="FXO172" s="928"/>
      <c r="FXP172" s="928"/>
      <c r="FXQ172" s="928"/>
      <c r="FXR172" s="928"/>
      <c r="FXS172" s="928"/>
      <c r="FXT172" s="928"/>
      <c r="FXU172" s="928"/>
      <c r="FXV172" s="928"/>
      <c r="FXW172" s="928"/>
      <c r="FXX172" s="928"/>
      <c r="FXY172" s="928"/>
      <c r="FXZ172" s="928"/>
      <c r="FYA172" s="928"/>
      <c r="FYB172" s="928"/>
      <c r="FYC172" s="928"/>
      <c r="FYD172" s="928"/>
      <c r="FYE172" s="928"/>
      <c r="FYF172" s="928"/>
      <c r="FYG172" s="928"/>
      <c r="FYH172" s="928"/>
      <c r="FYI172" s="928"/>
      <c r="FYJ172" s="928"/>
      <c r="FYK172" s="928"/>
      <c r="FYL172" s="928"/>
      <c r="FYM172" s="928"/>
      <c r="FYN172" s="928"/>
      <c r="FYO172" s="928"/>
      <c r="FYP172" s="928"/>
      <c r="FYQ172" s="928"/>
      <c r="FYR172" s="928"/>
      <c r="FYS172" s="928"/>
      <c r="FYT172" s="928"/>
      <c r="FYU172" s="928"/>
      <c r="FYV172" s="928"/>
      <c r="FYW172" s="928"/>
      <c r="FYX172" s="928"/>
      <c r="FYY172" s="928"/>
      <c r="FYZ172" s="928"/>
      <c r="FZA172" s="928"/>
      <c r="FZB172" s="928"/>
      <c r="FZC172" s="928"/>
      <c r="FZD172" s="928"/>
      <c r="FZE172" s="928"/>
      <c r="FZF172" s="928"/>
      <c r="FZG172" s="928"/>
      <c r="FZH172" s="928"/>
      <c r="FZI172" s="928"/>
      <c r="FZJ172" s="928"/>
      <c r="FZK172" s="928"/>
      <c r="FZL172" s="928"/>
      <c r="FZM172" s="928"/>
      <c r="FZN172" s="928"/>
      <c r="FZO172" s="928"/>
      <c r="FZP172" s="928"/>
      <c r="FZQ172" s="928"/>
      <c r="FZR172" s="928"/>
      <c r="FZS172" s="928"/>
      <c r="FZT172" s="928"/>
      <c r="FZU172" s="928"/>
      <c r="FZV172" s="928"/>
      <c r="FZW172" s="928"/>
      <c r="FZX172" s="928"/>
      <c r="FZY172" s="928"/>
      <c r="FZZ172" s="928"/>
      <c r="GAA172" s="928"/>
      <c r="GAB172" s="928"/>
      <c r="GAC172" s="928"/>
      <c r="GAD172" s="928"/>
      <c r="GAE172" s="928"/>
      <c r="GAF172" s="928"/>
      <c r="GAG172" s="928"/>
      <c r="GAH172" s="928"/>
      <c r="GAI172" s="928"/>
      <c r="GAJ172" s="928"/>
      <c r="GAK172" s="928"/>
      <c r="GAL172" s="928"/>
      <c r="GAM172" s="928"/>
      <c r="GAN172" s="928"/>
      <c r="GAO172" s="928"/>
      <c r="GAP172" s="928"/>
      <c r="GAQ172" s="928"/>
      <c r="GAR172" s="928"/>
      <c r="GAS172" s="928"/>
      <c r="GAT172" s="928"/>
      <c r="GAU172" s="928"/>
      <c r="GAV172" s="928"/>
      <c r="GAW172" s="928"/>
      <c r="GAX172" s="928"/>
      <c r="GAY172" s="928"/>
      <c r="GAZ172" s="928"/>
      <c r="GBA172" s="928"/>
      <c r="GBB172" s="928"/>
      <c r="GBC172" s="928"/>
      <c r="GBD172" s="928"/>
      <c r="GBE172" s="928"/>
      <c r="GBF172" s="928"/>
      <c r="GBG172" s="928"/>
      <c r="GBH172" s="928"/>
      <c r="GBI172" s="928"/>
      <c r="GBJ172" s="928"/>
      <c r="GBK172" s="928"/>
      <c r="GBL172" s="928"/>
      <c r="GBM172" s="928"/>
      <c r="GBN172" s="928"/>
      <c r="GBO172" s="928"/>
      <c r="GBP172" s="928"/>
      <c r="GBQ172" s="928"/>
      <c r="GBR172" s="928"/>
      <c r="GBS172" s="928"/>
      <c r="GBT172" s="928"/>
      <c r="GBU172" s="928"/>
      <c r="GBV172" s="928"/>
      <c r="GBW172" s="928"/>
      <c r="GBX172" s="928"/>
      <c r="GBY172" s="928"/>
      <c r="GBZ172" s="928"/>
      <c r="GCA172" s="928"/>
      <c r="GCB172" s="928"/>
      <c r="GCC172" s="928"/>
      <c r="GCD172" s="928"/>
      <c r="GCE172" s="928"/>
      <c r="GCF172" s="928"/>
      <c r="GCG172" s="928"/>
      <c r="GCH172" s="928"/>
      <c r="GCI172" s="928"/>
      <c r="GCJ172" s="928"/>
      <c r="GCK172" s="928"/>
      <c r="GCL172" s="928"/>
      <c r="GCM172" s="928"/>
      <c r="GCN172" s="928"/>
      <c r="GCO172" s="928"/>
      <c r="GCP172" s="928"/>
      <c r="GCQ172" s="928"/>
      <c r="GCR172" s="928"/>
      <c r="GCS172" s="928"/>
      <c r="GCT172" s="928"/>
      <c r="GCU172" s="928"/>
      <c r="GCV172" s="928"/>
      <c r="GCW172" s="928"/>
      <c r="GCX172" s="928"/>
      <c r="GCY172" s="928"/>
      <c r="GCZ172" s="928"/>
      <c r="GDA172" s="928"/>
      <c r="GDB172" s="928"/>
      <c r="GDC172" s="928"/>
      <c r="GDD172" s="928"/>
      <c r="GDE172" s="928"/>
      <c r="GDF172" s="928"/>
      <c r="GDG172" s="928"/>
      <c r="GDH172" s="928"/>
      <c r="GDI172" s="928"/>
      <c r="GDJ172" s="928"/>
      <c r="GDK172" s="928"/>
      <c r="GDL172" s="928"/>
      <c r="GDM172" s="928"/>
      <c r="GDN172" s="928"/>
      <c r="GDO172" s="928"/>
      <c r="GDP172" s="928"/>
      <c r="GDQ172" s="928"/>
      <c r="GDR172" s="928"/>
      <c r="GDS172" s="928"/>
      <c r="GDT172" s="928"/>
      <c r="GDU172" s="928"/>
      <c r="GDV172" s="928"/>
      <c r="GDW172" s="928"/>
      <c r="GDX172" s="928"/>
      <c r="GDY172" s="928"/>
      <c r="GDZ172" s="928"/>
      <c r="GEA172" s="928"/>
      <c r="GEB172" s="928"/>
      <c r="GEC172" s="928"/>
      <c r="GED172" s="928"/>
      <c r="GEE172" s="928"/>
      <c r="GEF172" s="928"/>
      <c r="GEG172" s="928"/>
      <c r="GEH172" s="928"/>
      <c r="GEI172" s="928"/>
      <c r="GEJ172" s="928"/>
      <c r="GEK172" s="928"/>
      <c r="GEL172" s="928"/>
      <c r="GEM172" s="928"/>
      <c r="GEN172" s="928"/>
      <c r="GEO172" s="928"/>
      <c r="GEP172" s="928"/>
      <c r="GEQ172" s="928"/>
      <c r="GER172" s="928"/>
      <c r="GES172" s="928"/>
      <c r="GET172" s="928"/>
      <c r="GEU172" s="928"/>
      <c r="GEV172" s="928"/>
      <c r="GEW172" s="928"/>
      <c r="GEX172" s="928"/>
      <c r="GEY172" s="928"/>
      <c r="GEZ172" s="928"/>
      <c r="GFA172" s="928"/>
      <c r="GFB172" s="928"/>
      <c r="GFC172" s="928"/>
      <c r="GFD172" s="928"/>
      <c r="GFE172" s="928"/>
      <c r="GFF172" s="928"/>
      <c r="GFG172" s="928"/>
      <c r="GFH172" s="928"/>
      <c r="GFI172" s="928"/>
      <c r="GFJ172" s="928"/>
      <c r="GFK172" s="928"/>
      <c r="GFL172" s="928"/>
      <c r="GFM172" s="928"/>
      <c r="GFN172" s="928"/>
      <c r="GFO172" s="928"/>
      <c r="GFP172" s="928"/>
      <c r="GFQ172" s="928"/>
      <c r="GFR172" s="928"/>
      <c r="GFS172" s="928"/>
      <c r="GFT172" s="928"/>
      <c r="GFU172" s="928"/>
      <c r="GFV172" s="928"/>
      <c r="GFW172" s="928"/>
      <c r="GFX172" s="928"/>
      <c r="GFY172" s="928"/>
      <c r="GFZ172" s="928"/>
      <c r="GGA172" s="928"/>
      <c r="GGB172" s="928"/>
      <c r="GGC172" s="928"/>
      <c r="GGD172" s="928"/>
      <c r="GGE172" s="928"/>
      <c r="GGF172" s="928"/>
      <c r="GGG172" s="928"/>
      <c r="GGH172" s="928"/>
      <c r="GGI172" s="928"/>
      <c r="GGJ172" s="928"/>
      <c r="GGK172" s="928"/>
      <c r="GGL172" s="928"/>
      <c r="GGM172" s="928"/>
      <c r="GGN172" s="928"/>
      <c r="GGO172" s="928"/>
      <c r="GGP172" s="928"/>
      <c r="GGQ172" s="928"/>
      <c r="GGR172" s="928"/>
      <c r="GGS172" s="928"/>
      <c r="GGT172" s="928"/>
      <c r="GGU172" s="928"/>
      <c r="GGV172" s="928"/>
      <c r="GGW172" s="928"/>
      <c r="GGX172" s="928"/>
      <c r="GGY172" s="928"/>
      <c r="GGZ172" s="928"/>
      <c r="GHA172" s="928"/>
      <c r="GHB172" s="928"/>
      <c r="GHC172" s="928"/>
      <c r="GHD172" s="928"/>
      <c r="GHE172" s="928"/>
      <c r="GHF172" s="928"/>
      <c r="GHG172" s="928"/>
      <c r="GHH172" s="928"/>
      <c r="GHI172" s="928"/>
      <c r="GHJ172" s="928"/>
      <c r="GHK172" s="928"/>
      <c r="GHL172" s="928"/>
      <c r="GHM172" s="928"/>
      <c r="GHN172" s="928"/>
      <c r="GHO172" s="928"/>
      <c r="GHP172" s="928"/>
      <c r="GHQ172" s="928"/>
      <c r="GHR172" s="928"/>
      <c r="GHS172" s="928"/>
      <c r="GHT172" s="928"/>
      <c r="GHU172" s="928"/>
      <c r="GHV172" s="928"/>
      <c r="GHW172" s="928"/>
      <c r="GHX172" s="928"/>
      <c r="GHY172" s="928"/>
      <c r="GHZ172" s="928"/>
      <c r="GIA172" s="928"/>
      <c r="GIB172" s="928"/>
      <c r="GIC172" s="928"/>
      <c r="GID172" s="928"/>
      <c r="GIE172" s="928"/>
      <c r="GIF172" s="928"/>
      <c r="GIG172" s="928"/>
      <c r="GIH172" s="928"/>
      <c r="GII172" s="928"/>
      <c r="GIJ172" s="928"/>
      <c r="GIK172" s="928"/>
      <c r="GIL172" s="928"/>
      <c r="GIM172" s="928"/>
      <c r="GIN172" s="928"/>
      <c r="GIO172" s="928"/>
      <c r="GIP172" s="928"/>
      <c r="GIQ172" s="928"/>
      <c r="GIR172" s="928"/>
      <c r="GIS172" s="928"/>
      <c r="GIT172" s="928"/>
      <c r="GIU172" s="928"/>
      <c r="GIV172" s="928"/>
      <c r="GIW172" s="928"/>
      <c r="GIX172" s="928"/>
      <c r="GIY172" s="928"/>
      <c r="GIZ172" s="928"/>
      <c r="GJA172" s="928"/>
      <c r="GJB172" s="928"/>
      <c r="GJC172" s="928"/>
      <c r="GJD172" s="928"/>
      <c r="GJE172" s="928"/>
      <c r="GJF172" s="928"/>
      <c r="GJG172" s="928"/>
      <c r="GJH172" s="928"/>
      <c r="GJI172" s="928"/>
      <c r="GJJ172" s="928"/>
      <c r="GJK172" s="928"/>
      <c r="GJL172" s="928"/>
      <c r="GJM172" s="928"/>
      <c r="GJN172" s="928"/>
      <c r="GJO172" s="928"/>
      <c r="GJP172" s="928"/>
      <c r="GJQ172" s="928"/>
      <c r="GJR172" s="928"/>
      <c r="GJS172" s="928"/>
      <c r="GJT172" s="928"/>
      <c r="GJU172" s="928"/>
      <c r="GJV172" s="928"/>
      <c r="GJW172" s="928"/>
      <c r="GJX172" s="928"/>
      <c r="GJY172" s="928"/>
      <c r="GJZ172" s="928"/>
      <c r="GKA172" s="928"/>
      <c r="GKB172" s="928"/>
      <c r="GKC172" s="928"/>
      <c r="GKD172" s="928"/>
      <c r="GKE172" s="928"/>
      <c r="GKF172" s="928"/>
      <c r="GKG172" s="928"/>
      <c r="GKH172" s="928"/>
      <c r="GKI172" s="928"/>
      <c r="GKJ172" s="928"/>
      <c r="GKK172" s="928"/>
      <c r="GKL172" s="928"/>
      <c r="GKM172" s="928"/>
      <c r="GKN172" s="928"/>
      <c r="GKO172" s="928"/>
      <c r="GKP172" s="928"/>
      <c r="GKQ172" s="928"/>
      <c r="GKR172" s="928"/>
      <c r="GKS172" s="928"/>
      <c r="GKT172" s="928"/>
      <c r="GKU172" s="928"/>
      <c r="GKV172" s="928"/>
      <c r="GKW172" s="928"/>
      <c r="GKX172" s="928"/>
      <c r="GKY172" s="928"/>
      <c r="GKZ172" s="928"/>
      <c r="GLA172" s="928"/>
      <c r="GLB172" s="928"/>
      <c r="GLC172" s="928"/>
      <c r="GLD172" s="928"/>
      <c r="GLE172" s="928"/>
      <c r="GLF172" s="928"/>
      <c r="GLG172" s="928"/>
      <c r="GLH172" s="928"/>
      <c r="GLI172" s="928"/>
      <c r="GLJ172" s="928"/>
      <c r="GLK172" s="928"/>
      <c r="GLL172" s="928"/>
      <c r="GLM172" s="928"/>
      <c r="GLN172" s="928"/>
      <c r="GLO172" s="928"/>
      <c r="GLP172" s="928"/>
      <c r="GLQ172" s="928"/>
      <c r="GLR172" s="928"/>
      <c r="GLS172" s="928"/>
      <c r="GLT172" s="928"/>
      <c r="GLU172" s="928"/>
      <c r="GLV172" s="928"/>
      <c r="GLW172" s="928"/>
      <c r="GLX172" s="928"/>
      <c r="GLY172" s="928"/>
      <c r="GLZ172" s="928"/>
      <c r="GMA172" s="928"/>
      <c r="GMB172" s="928"/>
      <c r="GMC172" s="928"/>
      <c r="GMD172" s="928"/>
      <c r="GME172" s="928"/>
      <c r="GMF172" s="928"/>
      <c r="GMG172" s="928"/>
      <c r="GMH172" s="928"/>
      <c r="GMI172" s="928"/>
      <c r="GMJ172" s="928"/>
      <c r="GMK172" s="928"/>
      <c r="GML172" s="928"/>
      <c r="GMM172" s="928"/>
      <c r="GMN172" s="928"/>
      <c r="GMO172" s="928"/>
      <c r="GMP172" s="928"/>
      <c r="GMQ172" s="928"/>
      <c r="GMR172" s="928"/>
      <c r="GMS172" s="928"/>
      <c r="GMT172" s="928"/>
      <c r="GMU172" s="928"/>
      <c r="GMV172" s="928"/>
      <c r="GMW172" s="928"/>
      <c r="GMX172" s="928"/>
      <c r="GMY172" s="928"/>
      <c r="GMZ172" s="928"/>
      <c r="GNA172" s="928"/>
      <c r="GNB172" s="928"/>
      <c r="GNC172" s="928"/>
      <c r="GND172" s="928"/>
      <c r="GNE172" s="928"/>
      <c r="GNF172" s="928"/>
      <c r="GNG172" s="928"/>
      <c r="GNH172" s="928"/>
      <c r="GNI172" s="928"/>
      <c r="GNJ172" s="928"/>
      <c r="GNK172" s="928"/>
      <c r="GNL172" s="928"/>
      <c r="GNM172" s="928"/>
      <c r="GNN172" s="928"/>
      <c r="GNO172" s="928"/>
      <c r="GNP172" s="928"/>
      <c r="GNQ172" s="928"/>
      <c r="GNR172" s="928"/>
      <c r="GNS172" s="928"/>
      <c r="GNT172" s="928"/>
      <c r="GNU172" s="928"/>
      <c r="GNV172" s="928"/>
      <c r="GNW172" s="928"/>
      <c r="GNX172" s="928"/>
      <c r="GNY172" s="928"/>
      <c r="GNZ172" s="928"/>
      <c r="GOA172" s="928"/>
      <c r="GOB172" s="928"/>
      <c r="GOC172" s="928"/>
      <c r="GOD172" s="928"/>
      <c r="GOE172" s="928"/>
      <c r="GOF172" s="928"/>
      <c r="GOG172" s="928"/>
      <c r="GOH172" s="928"/>
      <c r="GOI172" s="928"/>
      <c r="GOJ172" s="928"/>
      <c r="GOK172" s="928"/>
      <c r="GOL172" s="928"/>
      <c r="GOM172" s="928"/>
      <c r="GON172" s="928"/>
      <c r="GOO172" s="928"/>
      <c r="GOP172" s="928"/>
      <c r="GOQ172" s="928"/>
      <c r="GOR172" s="928"/>
      <c r="GOS172" s="928"/>
      <c r="GOT172" s="928"/>
      <c r="GOU172" s="928"/>
      <c r="GOV172" s="928"/>
      <c r="GOW172" s="928"/>
      <c r="GOX172" s="928"/>
      <c r="GOY172" s="928"/>
      <c r="GOZ172" s="928"/>
      <c r="GPA172" s="928"/>
      <c r="GPB172" s="928"/>
      <c r="GPC172" s="928"/>
      <c r="GPD172" s="928"/>
      <c r="GPE172" s="928"/>
      <c r="GPF172" s="928"/>
      <c r="GPG172" s="928"/>
      <c r="GPH172" s="928"/>
      <c r="GPI172" s="928"/>
      <c r="GPJ172" s="928"/>
      <c r="GPK172" s="928"/>
      <c r="GPL172" s="928"/>
      <c r="GPM172" s="928"/>
      <c r="GPN172" s="928"/>
      <c r="GPO172" s="928"/>
      <c r="GPP172" s="928"/>
      <c r="GPQ172" s="928"/>
      <c r="GPR172" s="928"/>
      <c r="GPS172" s="928"/>
      <c r="GPT172" s="928"/>
      <c r="GPU172" s="928"/>
      <c r="GPV172" s="928"/>
      <c r="GPW172" s="928"/>
      <c r="GPX172" s="928"/>
      <c r="GPY172" s="928"/>
      <c r="GPZ172" s="928"/>
      <c r="GQA172" s="928"/>
      <c r="GQB172" s="928"/>
      <c r="GQC172" s="928"/>
      <c r="GQD172" s="928"/>
      <c r="GQE172" s="928"/>
      <c r="GQF172" s="928"/>
      <c r="GQG172" s="928"/>
      <c r="GQH172" s="928"/>
      <c r="GQI172" s="928"/>
      <c r="GQJ172" s="928"/>
      <c r="GQK172" s="928"/>
      <c r="GQL172" s="928"/>
      <c r="GQM172" s="928"/>
      <c r="GQN172" s="928"/>
      <c r="GQO172" s="928"/>
      <c r="GQP172" s="928"/>
      <c r="GQQ172" s="928"/>
      <c r="GQR172" s="928"/>
      <c r="GQS172" s="928"/>
      <c r="GQT172" s="928"/>
      <c r="GQU172" s="928"/>
      <c r="GQV172" s="928"/>
      <c r="GQW172" s="928"/>
      <c r="GQX172" s="928"/>
      <c r="GQY172" s="928"/>
      <c r="GQZ172" s="928"/>
      <c r="GRA172" s="928"/>
      <c r="GRB172" s="928"/>
      <c r="GRC172" s="928"/>
      <c r="GRD172" s="928"/>
      <c r="GRE172" s="928"/>
      <c r="GRF172" s="928"/>
      <c r="GRG172" s="928"/>
      <c r="GRH172" s="928"/>
      <c r="GRI172" s="928"/>
      <c r="GRJ172" s="928"/>
      <c r="GRK172" s="928"/>
      <c r="GRL172" s="928"/>
      <c r="GRM172" s="928"/>
      <c r="GRN172" s="928"/>
      <c r="GRO172" s="928"/>
      <c r="GRP172" s="928"/>
      <c r="GRQ172" s="928"/>
      <c r="GRR172" s="928"/>
      <c r="GRS172" s="928"/>
      <c r="GRT172" s="928"/>
      <c r="GRU172" s="928"/>
      <c r="GRV172" s="928"/>
      <c r="GRW172" s="928"/>
      <c r="GRX172" s="928"/>
      <c r="GRY172" s="928"/>
      <c r="GRZ172" s="928"/>
      <c r="GSA172" s="928"/>
      <c r="GSB172" s="928"/>
      <c r="GSC172" s="928"/>
      <c r="GSD172" s="928"/>
      <c r="GSE172" s="928"/>
      <c r="GSF172" s="928"/>
      <c r="GSG172" s="928"/>
      <c r="GSH172" s="928"/>
      <c r="GSI172" s="928"/>
      <c r="GSJ172" s="928"/>
      <c r="GSK172" s="928"/>
      <c r="GSL172" s="928"/>
      <c r="GSM172" s="928"/>
      <c r="GSN172" s="928"/>
      <c r="GSO172" s="928"/>
      <c r="GSP172" s="928"/>
      <c r="GSQ172" s="928"/>
      <c r="GSR172" s="928"/>
      <c r="GSS172" s="928"/>
      <c r="GST172" s="928"/>
      <c r="GSU172" s="928"/>
      <c r="GSV172" s="928"/>
      <c r="GSW172" s="928"/>
      <c r="GSX172" s="928"/>
      <c r="GSY172" s="928"/>
      <c r="GSZ172" s="928"/>
      <c r="GTA172" s="928"/>
      <c r="GTB172" s="928"/>
      <c r="GTC172" s="928"/>
      <c r="GTD172" s="928"/>
      <c r="GTE172" s="928"/>
      <c r="GTF172" s="928"/>
      <c r="GTG172" s="928"/>
      <c r="GTH172" s="928"/>
      <c r="GTI172" s="928"/>
      <c r="GTJ172" s="928"/>
      <c r="GTK172" s="928"/>
      <c r="GTL172" s="928"/>
      <c r="GTM172" s="928"/>
      <c r="GTN172" s="928"/>
      <c r="GTO172" s="928"/>
      <c r="GTP172" s="928"/>
      <c r="GTQ172" s="928"/>
      <c r="GTR172" s="928"/>
      <c r="GTS172" s="928"/>
      <c r="GTT172" s="928"/>
      <c r="GTU172" s="928"/>
      <c r="GTV172" s="928"/>
      <c r="GTW172" s="928"/>
      <c r="GTX172" s="928"/>
      <c r="GTY172" s="928"/>
      <c r="GTZ172" s="928"/>
      <c r="GUA172" s="928"/>
      <c r="GUB172" s="928"/>
      <c r="GUC172" s="928"/>
      <c r="GUD172" s="928"/>
      <c r="GUE172" s="928"/>
      <c r="GUF172" s="928"/>
      <c r="GUG172" s="928"/>
      <c r="GUH172" s="928"/>
      <c r="GUI172" s="928"/>
      <c r="GUJ172" s="928"/>
      <c r="GUK172" s="928"/>
      <c r="GUL172" s="928"/>
      <c r="GUM172" s="928"/>
      <c r="GUN172" s="928"/>
      <c r="GUO172" s="928"/>
      <c r="GUP172" s="928"/>
      <c r="GUQ172" s="928"/>
      <c r="GUR172" s="928"/>
      <c r="GUS172" s="928"/>
      <c r="GUT172" s="928"/>
      <c r="GUU172" s="928"/>
      <c r="GUV172" s="928"/>
      <c r="GUW172" s="928"/>
      <c r="GUX172" s="928"/>
      <c r="GUY172" s="928"/>
      <c r="GUZ172" s="928"/>
      <c r="GVA172" s="928"/>
      <c r="GVB172" s="928"/>
      <c r="GVC172" s="928"/>
      <c r="GVD172" s="928"/>
      <c r="GVE172" s="928"/>
      <c r="GVF172" s="928"/>
      <c r="GVG172" s="928"/>
      <c r="GVH172" s="928"/>
      <c r="GVI172" s="928"/>
      <c r="GVJ172" s="928"/>
      <c r="GVK172" s="928"/>
      <c r="GVL172" s="928"/>
      <c r="GVM172" s="928"/>
      <c r="GVN172" s="928"/>
      <c r="GVO172" s="928"/>
      <c r="GVP172" s="928"/>
      <c r="GVQ172" s="928"/>
      <c r="GVR172" s="928"/>
      <c r="GVS172" s="928"/>
      <c r="GVT172" s="928"/>
      <c r="GVU172" s="928"/>
      <c r="GVV172" s="928"/>
      <c r="GVW172" s="928"/>
      <c r="GVX172" s="928"/>
      <c r="GVY172" s="928"/>
      <c r="GVZ172" s="928"/>
      <c r="GWA172" s="928"/>
      <c r="GWB172" s="928"/>
      <c r="GWC172" s="928"/>
      <c r="GWD172" s="928"/>
      <c r="GWE172" s="928"/>
      <c r="GWF172" s="928"/>
      <c r="GWG172" s="928"/>
      <c r="GWH172" s="928"/>
      <c r="GWI172" s="928"/>
      <c r="GWJ172" s="928"/>
      <c r="GWK172" s="928"/>
      <c r="GWL172" s="928"/>
      <c r="GWM172" s="928"/>
      <c r="GWN172" s="928"/>
      <c r="GWO172" s="928"/>
      <c r="GWP172" s="928"/>
      <c r="GWQ172" s="928"/>
      <c r="GWR172" s="928"/>
      <c r="GWS172" s="928"/>
      <c r="GWT172" s="928"/>
      <c r="GWU172" s="928"/>
      <c r="GWV172" s="928"/>
      <c r="GWW172" s="928"/>
      <c r="GWX172" s="928"/>
      <c r="GWY172" s="928"/>
      <c r="GWZ172" s="928"/>
      <c r="GXA172" s="928"/>
      <c r="GXB172" s="928"/>
      <c r="GXC172" s="928"/>
      <c r="GXD172" s="928"/>
      <c r="GXE172" s="928"/>
      <c r="GXF172" s="928"/>
      <c r="GXG172" s="928"/>
      <c r="GXH172" s="928"/>
      <c r="GXI172" s="928"/>
      <c r="GXJ172" s="928"/>
      <c r="GXK172" s="928"/>
      <c r="GXL172" s="928"/>
      <c r="GXM172" s="928"/>
      <c r="GXN172" s="928"/>
      <c r="GXO172" s="928"/>
      <c r="GXP172" s="928"/>
      <c r="GXQ172" s="928"/>
      <c r="GXR172" s="928"/>
      <c r="GXS172" s="928"/>
      <c r="GXT172" s="928"/>
      <c r="GXU172" s="928"/>
      <c r="GXV172" s="928"/>
      <c r="GXW172" s="928"/>
      <c r="GXX172" s="928"/>
      <c r="GXY172" s="928"/>
      <c r="GXZ172" s="928"/>
      <c r="GYA172" s="928"/>
      <c r="GYB172" s="928"/>
      <c r="GYC172" s="928"/>
      <c r="GYD172" s="928"/>
      <c r="GYE172" s="928"/>
      <c r="GYF172" s="928"/>
      <c r="GYG172" s="928"/>
      <c r="GYH172" s="928"/>
      <c r="GYI172" s="928"/>
      <c r="GYJ172" s="928"/>
      <c r="GYK172" s="928"/>
      <c r="GYL172" s="928"/>
      <c r="GYM172" s="928"/>
      <c r="GYN172" s="928"/>
      <c r="GYO172" s="928"/>
      <c r="GYP172" s="928"/>
      <c r="GYQ172" s="928"/>
      <c r="GYR172" s="928"/>
      <c r="GYS172" s="928"/>
      <c r="GYT172" s="928"/>
      <c r="GYU172" s="928"/>
      <c r="GYV172" s="928"/>
      <c r="GYW172" s="928"/>
      <c r="GYX172" s="928"/>
      <c r="GYY172" s="928"/>
      <c r="GYZ172" s="928"/>
      <c r="GZA172" s="928"/>
      <c r="GZB172" s="928"/>
      <c r="GZC172" s="928"/>
      <c r="GZD172" s="928"/>
      <c r="GZE172" s="928"/>
      <c r="GZF172" s="928"/>
      <c r="GZG172" s="928"/>
      <c r="GZH172" s="928"/>
      <c r="GZI172" s="928"/>
      <c r="GZJ172" s="928"/>
      <c r="GZK172" s="928"/>
      <c r="GZL172" s="928"/>
      <c r="GZM172" s="928"/>
      <c r="GZN172" s="928"/>
      <c r="GZO172" s="928"/>
      <c r="GZP172" s="928"/>
      <c r="GZQ172" s="928"/>
      <c r="GZR172" s="928"/>
      <c r="GZS172" s="928"/>
      <c r="GZT172" s="928"/>
      <c r="GZU172" s="928"/>
      <c r="GZV172" s="928"/>
      <c r="GZW172" s="928"/>
      <c r="GZX172" s="928"/>
      <c r="GZY172" s="928"/>
      <c r="GZZ172" s="928"/>
      <c r="HAA172" s="928"/>
      <c r="HAB172" s="928"/>
      <c r="HAC172" s="928"/>
      <c r="HAD172" s="928"/>
      <c r="HAE172" s="928"/>
      <c r="HAF172" s="928"/>
      <c r="HAG172" s="928"/>
      <c r="HAH172" s="928"/>
      <c r="HAI172" s="928"/>
      <c r="HAJ172" s="928"/>
      <c r="HAK172" s="928"/>
      <c r="HAL172" s="928"/>
      <c r="HAM172" s="928"/>
      <c r="HAN172" s="928"/>
      <c r="HAO172" s="928"/>
      <c r="HAP172" s="928"/>
      <c r="HAQ172" s="928"/>
      <c r="HAR172" s="928"/>
      <c r="HAS172" s="928"/>
      <c r="HAT172" s="928"/>
      <c r="HAU172" s="928"/>
      <c r="HAV172" s="928"/>
      <c r="HAW172" s="928"/>
      <c r="HAX172" s="928"/>
      <c r="HAY172" s="928"/>
      <c r="HAZ172" s="928"/>
      <c r="HBA172" s="928"/>
      <c r="HBB172" s="928"/>
      <c r="HBC172" s="928"/>
      <c r="HBD172" s="928"/>
      <c r="HBE172" s="928"/>
      <c r="HBF172" s="928"/>
      <c r="HBG172" s="928"/>
      <c r="HBH172" s="928"/>
      <c r="HBI172" s="928"/>
      <c r="HBJ172" s="928"/>
      <c r="HBK172" s="928"/>
      <c r="HBL172" s="928"/>
      <c r="HBM172" s="928"/>
      <c r="HBN172" s="928"/>
      <c r="HBO172" s="928"/>
      <c r="HBP172" s="928"/>
      <c r="HBQ172" s="928"/>
      <c r="HBR172" s="928"/>
      <c r="HBS172" s="928"/>
      <c r="HBT172" s="928"/>
      <c r="HBU172" s="928"/>
      <c r="HBV172" s="928"/>
      <c r="HBW172" s="928"/>
      <c r="HBX172" s="928"/>
      <c r="HBY172" s="928"/>
      <c r="HBZ172" s="928"/>
      <c r="HCA172" s="928"/>
      <c r="HCB172" s="928"/>
      <c r="HCC172" s="928"/>
      <c r="HCD172" s="928"/>
      <c r="HCE172" s="928"/>
      <c r="HCF172" s="928"/>
      <c r="HCG172" s="928"/>
      <c r="HCH172" s="928"/>
      <c r="HCI172" s="928"/>
      <c r="HCJ172" s="928"/>
      <c r="HCK172" s="928"/>
      <c r="HCL172" s="928"/>
      <c r="HCM172" s="928"/>
      <c r="HCN172" s="928"/>
      <c r="HCO172" s="928"/>
      <c r="HCP172" s="928"/>
      <c r="HCQ172" s="928"/>
      <c r="HCR172" s="928"/>
      <c r="HCS172" s="928"/>
      <c r="HCT172" s="928"/>
      <c r="HCU172" s="928"/>
      <c r="HCV172" s="928"/>
      <c r="HCW172" s="928"/>
      <c r="HCX172" s="928"/>
      <c r="HCY172" s="928"/>
      <c r="HCZ172" s="928"/>
      <c r="HDA172" s="928"/>
      <c r="HDB172" s="928"/>
      <c r="HDC172" s="928"/>
      <c r="HDD172" s="928"/>
      <c r="HDE172" s="928"/>
      <c r="HDF172" s="928"/>
      <c r="HDG172" s="928"/>
      <c r="HDH172" s="928"/>
      <c r="HDI172" s="928"/>
      <c r="HDJ172" s="928"/>
      <c r="HDK172" s="928"/>
      <c r="HDL172" s="928"/>
      <c r="HDM172" s="928"/>
      <c r="HDN172" s="928"/>
      <c r="HDO172" s="928"/>
      <c r="HDP172" s="928"/>
      <c r="HDQ172" s="928"/>
      <c r="HDR172" s="928"/>
      <c r="HDS172" s="928"/>
      <c r="HDT172" s="928"/>
      <c r="HDU172" s="928"/>
      <c r="HDV172" s="928"/>
      <c r="HDW172" s="928"/>
      <c r="HDX172" s="928"/>
      <c r="HDY172" s="928"/>
      <c r="HDZ172" s="928"/>
      <c r="HEA172" s="928"/>
      <c r="HEB172" s="928"/>
      <c r="HEC172" s="928"/>
      <c r="HED172" s="928"/>
      <c r="HEE172" s="928"/>
      <c r="HEF172" s="928"/>
      <c r="HEG172" s="928"/>
      <c r="HEH172" s="928"/>
      <c r="HEI172" s="928"/>
      <c r="HEJ172" s="928"/>
      <c r="HEK172" s="928"/>
      <c r="HEL172" s="928"/>
      <c r="HEM172" s="928"/>
      <c r="HEN172" s="928"/>
      <c r="HEO172" s="928"/>
      <c r="HEP172" s="928"/>
      <c r="HEQ172" s="928"/>
      <c r="HER172" s="928"/>
      <c r="HES172" s="928"/>
      <c r="HET172" s="928"/>
      <c r="HEU172" s="928"/>
      <c r="HEV172" s="928"/>
      <c r="HEW172" s="928"/>
      <c r="HEX172" s="928"/>
      <c r="HEY172" s="928"/>
      <c r="HEZ172" s="928"/>
      <c r="HFA172" s="928"/>
      <c r="HFB172" s="928"/>
      <c r="HFC172" s="928"/>
      <c r="HFD172" s="928"/>
      <c r="HFE172" s="928"/>
      <c r="HFF172" s="928"/>
      <c r="HFG172" s="928"/>
      <c r="HFH172" s="928"/>
      <c r="HFI172" s="928"/>
      <c r="HFJ172" s="928"/>
      <c r="HFK172" s="928"/>
      <c r="HFL172" s="928"/>
      <c r="HFM172" s="928"/>
      <c r="HFN172" s="928"/>
      <c r="HFO172" s="928"/>
      <c r="HFP172" s="928"/>
      <c r="HFQ172" s="928"/>
      <c r="HFR172" s="928"/>
      <c r="HFS172" s="928"/>
      <c r="HFT172" s="928"/>
      <c r="HFU172" s="928"/>
      <c r="HFV172" s="928"/>
      <c r="HFW172" s="928"/>
      <c r="HFX172" s="928"/>
      <c r="HFY172" s="928"/>
      <c r="HFZ172" s="928"/>
      <c r="HGA172" s="928"/>
      <c r="HGB172" s="928"/>
      <c r="HGC172" s="928"/>
      <c r="HGD172" s="928"/>
      <c r="HGE172" s="928"/>
      <c r="HGF172" s="928"/>
      <c r="HGG172" s="928"/>
      <c r="HGH172" s="928"/>
      <c r="HGI172" s="928"/>
      <c r="HGJ172" s="928"/>
      <c r="HGK172" s="928"/>
      <c r="HGL172" s="928"/>
      <c r="HGM172" s="928"/>
      <c r="HGN172" s="928"/>
      <c r="HGO172" s="928"/>
      <c r="HGP172" s="928"/>
      <c r="HGQ172" s="928"/>
      <c r="HGR172" s="928"/>
      <c r="HGS172" s="928"/>
      <c r="HGT172" s="928"/>
      <c r="HGU172" s="928"/>
      <c r="HGV172" s="928"/>
      <c r="HGW172" s="928"/>
      <c r="HGX172" s="928"/>
      <c r="HGY172" s="928"/>
      <c r="HGZ172" s="928"/>
      <c r="HHA172" s="928"/>
      <c r="HHB172" s="928"/>
      <c r="HHC172" s="928"/>
      <c r="HHD172" s="928"/>
      <c r="HHE172" s="928"/>
      <c r="HHF172" s="928"/>
      <c r="HHG172" s="928"/>
      <c r="HHH172" s="928"/>
      <c r="HHI172" s="928"/>
      <c r="HHJ172" s="928"/>
      <c r="HHK172" s="928"/>
      <c r="HHL172" s="928"/>
      <c r="HHM172" s="928"/>
      <c r="HHN172" s="928"/>
      <c r="HHO172" s="928"/>
      <c r="HHP172" s="928"/>
      <c r="HHQ172" s="928"/>
      <c r="HHR172" s="928"/>
      <c r="HHS172" s="928"/>
      <c r="HHT172" s="928"/>
      <c r="HHU172" s="928"/>
      <c r="HHV172" s="928"/>
      <c r="HHW172" s="928"/>
      <c r="HHX172" s="928"/>
      <c r="HHY172" s="928"/>
      <c r="HHZ172" s="928"/>
      <c r="HIA172" s="928"/>
      <c r="HIB172" s="928"/>
      <c r="HIC172" s="928"/>
      <c r="HID172" s="928"/>
      <c r="HIE172" s="928"/>
      <c r="HIF172" s="928"/>
      <c r="HIG172" s="928"/>
      <c r="HIH172" s="928"/>
      <c r="HII172" s="928"/>
      <c r="HIJ172" s="928"/>
      <c r="HIK172" s="928"/>
      <c r="HIL172" s="928"/>
      <c r="HIM172" s="928"/>
      <c r="HIN172" s="928"/>
      <c r="HIO172" s="928"/>
      <c r="HIP172" s="928"/>
      <c r="HIQ172" s="928"/>
      <c r="HIR172" s="928"/>
      <c r="HIS172" s="928"/>
      <c r="HIT172" s="928"/>
      <c r="HIU172" s="928"/>
      <c r="HIV172" s="928"/>
      <c r="HIW172" s="928"/>
      <c r="HIX172" s="928"/>
      <c r="HIY172" s="928"/>
      <c r="HIZ172" s="928"/>
      <c r="HJA172" s="928"/>
      <c r="HJB172" s="928"/>
      <c r="HJC172" s="928"/>
      <c r="HJD172" s="928"/>
      <c r="HJE172" s="928"/>
      <c r="HJF172" s="928"/>
      <c r="HJG172" s="928"/>
      <c r="HJH172" s="928"/>
      <c r="HJI172" s="928"/>
      <c r="HJJ172" s="928"/>
      <c r="HJK172" s="928"/>
      <c r="HJL172" s="928"/>
      <c r="HJM172" s="928"/>
      <c r="HJN172" s="928"/>
      <c r="HJO172" s="928"/>
      <c r="HJP172" s="928"/>
      <c r="HJQ172" s="928"/>
      <c r="HJR172" s="928"/>
      <c r="HJS172" s="928"/>
      <c r="HJT172" s="928"/>
      <c r="HJU172" s="928"/>
      <c r="HJV172" s="928"/>
      <c r="HJW172" s="928"/>
      <c r="HJX172" s="928"/>
      <c r="HJY172" s="928"/>
      <c r="HJZ172" s="928"/>
      <c r="HKA172" s="928"/>
      <c r="HKB172" s="928"/>
      <c r="HKC172" s="928"/>
      <c r="HKD172" s="928"/>
      <c r="HKE172" s="928"/>
      <c r="HKF172" s="928"/>
      <c r="HKG172" s="928"/>
      <c r="HKH172" s="928"/>
      <c r="HKI172" s="928"/>
      <c r="HKJ172" s="928"/>
      <c r="HKK172" s="928"/>
      <c r="HKL172" s="928"/>
      <c r="HKM172" s="928"/>
      <c r="HKN172" s="928"/>
      <c r="HKO172" s="928"/>
      <c r="HKP172" s="928"/>
      <c r="HKQ172" s="928"/>
      <c r="HKR172" s="928"/>
      <c r="HKS172" s="928"/>
      <c r="HKT172" s="928"/>
      <c r="HKU172" s="928"/>
      <c r="HKV172" s="928"/>
      <c r="HKW172" s="928"/>
      <c r="HKX172" s="928"/>
      <c r="HKY172" s="928"/>
      <c r="HKZ172" s="928"/>
      <c r="HLA172" s="928"/>
      <c r="HLB172" s="928"/>
      <c r="HLC172" s="928"/>
      <c r="HLD172" s="928"/>
      <c r="HLE172" s="928"/>
      <c r="HLF172" s="928"/>
      <c r="HLG172" s="928"/>
      <c r="HLH172" s="928"/>
      <c r="HLI172" s="928"/>
      <c r="HLJ172" s="928"/>
      <c r="HLK172" s="928"/>
      <c r="HLL172" s="928"/>
      <c r="HLM172" s="928"/>
      <c r="HLN172" s="928"/>
      <c r="HLO172" s="928"/>
      <c r="HLP172" s="928"/>
      <c r="HLQ172" s="928"/>
      <c r="HLR172" s="928"/>
      <c r="HLS172" s="928"/>
      <c r="HLT172" s="928"/>
      <c r="HLU172" s="928"/>
      <c r="HLV172" s="928"/>
      <c r="HLW172" s="928"/>
      <c r="HLX172" s="928"/>
      <c r="HLY172" s="928"/>
      <c r="HLZ172" s="928"/>
      <c r="HMA172" s="928"/>
      <c r="HMB172" s="928"/>
      <c r="HMC172" s="928"/>
      <c r="HMD172" s="928"/>
      <c r="HME172" s="928"/>
      <c r="HMF172" s="928"/>
      <c r="HMG172" s="928"/>
      <c r="HMH172" s="928"/>
      <c r="HMI172" s="928"/>
      <c r="HMJ172" s="928"/>
      <c r="HMK172" s="928"/>
      <c r="HML172" s="928"/>
      <c r="HMM172" s="928"/>
      <c r="HMN172" s="928"/>
      <c r="HMO172" s="928"/>
      <c r="HMP172" s="928"/>
      <c r="HMQ172" s="928"/>
      <c r="HMR172" s="928"/>
      <c r="HMS172" s="928"/>
      <c r="HMT172" s="928"/>
      <c r="HMU172" s="928"/>
      <c r="HMV172" s="928"/>
      <c r="HMW172" s="928"/>
      <c r="HMX172" s="928"/>
      <c r="HMY172" s="928"/>
      <c r="HMZ172" s="928"/>
      <c r="HNA172" s="928"/>
      <c r="HNB172" s="928"/>
      <c r="HNC172" s="928"/>
      <c r="HND172" s="928"/>
      <c r="HNE172" s="928"/>
      <c r="HNF172" s="928"/>
      <c r="HNG172" s="928"/>
      <c r="HNH172" s="928"/>
      <c r="HNI172" s="928"/>
      <c r="HNJ172" s="928"/>
      <c r="HNK172" s="928"/>
      <c r="HNL172" s="928"/>
      <c r="HNM172" s="928"/>
      <c r="HNN172" s="928"/>
      <c r="HNO172" s="928"/>
      <c r="HNP172" s="928"/>
      <c r="HNQ172" s="928"/>
      <c r="HNR172" s="928"/>
      <c r="HNS172" s="928"/>
      <c r="HNT172" s="928"/>
      <c r="HNU172" s="928"/>
      <c r="HNV172" s="928"/>
      <c r="HNW172" s="928"/>
      <c r="HNX172" s="928"/>
      <c r="HNY172" s="928"/>
      <c r="HNZ172" s="928"/>
      <c r="HOA172" s="928"/>
      <c r="HOB172" s="928"/>
      <c r="HOC172" s="928"/>
      <c r="HOD172" s="928"/>
      <c r="HOE172" s="928"/>
      <c r="HOF172" s="928"/>
      <c r="HOG172" s="928"/>
      <c r="HOH172" s="928"/>
      <c r="HOI172" s="928"/>
      <c r="HOJ172" s="928"/>
      <c r="HOK172" s="928"/>
      <c r="HOL172" s="928"/>
      <c r="HOM172" s="928"/>
      <c r="HON172" s="928"/>
      <c r="HOO172" s="928"/>
      <c r="HOP172" s="928"/>
      <c r="HOQ172" s="928"/>
      <c r="HOR172" s="928"/>
      <c r="HOS172" s="928"/>
      <c r="HOT172" s="928"/>
      <c r="HOU172" s="928"/>
      <c r="HOV172" s="928"/>
      <c r="HOW172" s="928"/>
      <c r="HOX172" s="928"/>
      <c r="HOY172" s="928"/>
      <c r="HOZ172" s="928"/>
      <c r="HPA172" s="928"/>
      <c r="HPB172" s="928"/>
      <c r="HPC172" s="928"/>
      <c r="HPD172" s="928"/>
      <c r="HPE172" s="928"/>
      <c r="HPF172" s="928"/>
      <c r="HPG172" s="928"/>
      <c r="HPH172" s="928"/>
      <c r="HPI172" s="928"/>
      <c r="HPJ172" s="928"/>
      <c r="HPK172" s="928"/>
      <c r="HPL172" s="928"/>
      <c r="HPM172" s="928"/>
      <c r="HPN172" s="928"/>
      <c r="HPO172" s="928"/>
      <c r="HPP172" s="928"/>
      <c r="HPQ172" s="928"/>
      <c r="HPR172" s="928"/>
      <c r="HPS172" s="928"/>
      <c r="HPT172" s="928"/>
      <c r="HPU172" s="928"/>
      <c r="HPV172" s="928"/>
      <c r="HPW172" s="928"/>
      <c r="HPX172" s="928"/>
      <c r="HPY172" s="928"/>
      <c r="HPZ172" s="928"/>
      <c r="HQA172" s="928"/>
      <c r="HQB172" s="928"/>
      <c r="HQC172" s="928"/>
      <c r="HQD172" s="928"/>
      <c r="HQE172" s="928"/>
      <c r="HQF172" s="928"/>
      <c r="HQG172" s="928"/>
      <c r="HQH172" s="928"/>
      <c r="HQI172" s="928"/>
      <c r="HQJ172" s="928"/>
      <c r="HQK172" s="928"/>
      <c r="HQL172" s="928"/>
      <c r="HQM172" s="928"/>
      <c r="HQN172" s="928"/>
      <c r="HQO172" s="928"/>
      <c r="HQP172" s="928"/>
      <c r="HQQ172" s="928"/>
      <c r="HQR172" s="928"/>
      <c r="HQS172" s="928"/>
      <c r="HQT172" s="928"/>
      <c r="HQU172" s="928"/>
      <c r="HQV172" s="928"/>
      <c r="HQW172" s="928"/>
      <c r="HQX172" s="928"/>
      <c r="HQY172" s="928"/>
      <c r="HQZ172" s="928"/>
      <c r="HRA172" s="928"/>
      <c r="HRB172" s="928"/>
      <c r="HRC172" s="928"/>
      <c r="HRD172" s="928"/>
      <c r="HRE172" s="928"/>
      <c r="HRF172" s="928"/>
      <c r="HRG172" s="928"/>
      <c r="HRH172" s="928"/>
      <c r="HRI172" s="928"/>
      <c r="HRJ172" s="928"/>
      <c r="HRK172" s="928"/>
      <c r="HRL172" s="928"/>
      <c r="HRM172" s="928"/>
      <c r="HRN172" s="928"/>
      <c r="HRO172" s="928"/>
      <c r="HRP172" s="928"/>
      <c r="HRQ172" s="928"/>
      <c r="HRR172" s="928"/>
      <c r="HRS172" s="928"/>
      <c r="HRT172" s="928"/>
      <c r="HRU172" s="928"/>
      <c r="HRV172" s="928"/>
      <c r="HRW172" s="928"/>
      <c r="HRX172" s="928"/>
      <c r="HRY172" s="928"/>
      <c r="HRZ172" s="928"/>
      <c r="HSA172" s="928"/>
      <c r="HSB172" s="928"/>
      <c r="HSC172" s="928"/>
      <c r="HSD172" s="928"/>
      <c r="HSE172" s="928"/>
      <c r="HSF172" s="928"/>
      <c r="HSG172" s="928"/>
      <c r="HSH172" s="928"/>
      <c r="HSI172" s="928"/>
      <c r="HSJ172" s="928"/>
      <c r="HSK172" s="928"/>
      <c r="HSL172" s="928"/>
      <c r="HSM172" s="928"/>
      <c r="HSN172" s="928"/>
      <c r="HSO172" s="928"/>
      <c r="HSP172" s="928"/>
      <c r="HSQ172" s="928"/>
      <c r="HSR172" s="928"/>
      <c r="HSS172" s="928"/>
      <c r="HST172" s="928"/>
      <c r="HSU172" s="928"/>
      <c r="HSV172" s="928"/>
      <c r="HSW172" s="928"/>
      <c r="HSX172" s="928"/>
      <c r="HSY172" s="928"/>
      <c r="HSZ172" s="928"/>
      <c r="HTA172" s="928"/>
      <c r="HTB172" s="928"/>
      <c r="HTC172" s="928"/>
      <c r="HTD172" s="928"/>
      <c r="HTE172" s="928"/>
      <c r="HTF172" s="928"/>
      <c r="HTG172" s="928"/>
      <c r="HTH172" s="928"/>
      <c r="HTI172" s="928"/>
      <c r="HTJ172" s="928"/>
      <c r="HTK172" s="928"/>
      <c r="HTL172" s="928"/>
      <c r="HTM172" s="928"/>
      <c r="HTN172" s="928"/>
      <c r="HTO172" s="928"/>
      <c r="HTP172" s="928"/>
      <c r="HTQ172" s="928"/>
      <c r="HTR172" s="928"/>
      <c r="HTS172" s="928"/>
      <c r="HTT172" s="928"/>
      <c r="HTU172" s="928"/>
      <c r="HTV172" s="928"/>
      <c r="HTW172" s="928"/>
      <c r="HTX172" s="928"/>
      <c r="HTY172" s="928"/>
      <c r="HTZ172" s="928"/>
      <c r="HUA172" s="928"/>
      <c r="HUB172" s="928"/>
      <c r="HUC172" s="928"/>
      <c r="HUD172" s="928"/>
      <c r="HUE172" s="928"/>
      <c r="HUF172" s="928"/>
      <c r="HUG172" s="928"/>
      <c r="HUH172" s="928"/>
      <c r="HUI172" s="928"/>
      <c r="HUJ172" s="928"/>
      <c r="HUK172" s="928"/>
      <c r="HUL172" s="928"/>
      <c r="HUM172" s="928"/>
      <c r="HUN172" s="928"/>
      <c r="HUO172" s="928"/>
      <c r="HUP172" s="928"/>
      <c r="HUQ172" s="928"/>
      <c r="HUR172" s="928"/>
      <c r="HUS172" s="928"/>
      <c r="HUT172" s="928"/>
      <c r="HUU172" s="928"/>
      <c r="HUV172" s="928"/>
      <c r="HUW172" s="928"/>
      <c r="HUX172" s="928"/>
      <c r="HUY172" s="928"/>
      <c r="HUZ172" s="928"/>
      <c r="HVA172" s="928"/>
      <c r="HVB172" s="928"/>
      <c r="HVC172" s="928"/>
      <c r="HVD172" s="928"/>
      <c r="HVE172" s="928"/>
      <c r="HVF172" s="928"/>
      <c r="HVG172" s="928"/>
      <c r="HVH172" s="928"/>
      <c r="HVI172" s="928"/>
      <c r="HVJ172" s="928"/>
      <c r="HVK172" s="928"/>
      <c r="HVL172" s="928"/>
      <c r="HVM172" s="928"/>
      <c r="HVN172" s="928"/>
      <c r="HVO172" s="928"/>
      <c r="HVP172" s="928"/>
      <c r="HVQ172" s="928"/>
      <c r="HVR172" s="928"/>
      <c r="HVS172" s="928"/>
      <c r="HVT172" s="928"/>
      <c r="HVU172" s="928"/>
      <c r="HVV172" s="928"/>
      <c r="HVW172" s="928"/>
      <c r="HVX172" s="928"/>
      <c r="HVY172" s="928"/>
      <c r="HVZ172" s="928"/>
      <c r="HWA172" s="928"/>
      <c r="HWB172" s="928"/>
      <c r="HWC172" s="928"/>
      <c r="HWD172" s="928"/>
      <c r="HWE172" s="928"/>
      <c r="HWF172" s="928"/>
      <c r="HWG172" s="928"/>
      <c r="HWH172" s="928"/>
      <c r="HWI172" s="928"/>
      <c r="HWJ172" s="928"/>
      <c r="HWK172" s="928"/>
      <c r="HWL172" s="928"/>
      <c r="HWM172" s="928"/>
      <c r="HWN172" s="928"/>
      <c r="HWO172" s="928"/>
      <c r="HWP172" s="928"/>
      <c r="HWQ172" s="928"/>
      <c r="HWR172" s="928"/>
      <c r="HWS172" s="928"/>
      <c r="HWT172" s="928"/>
      <c r="HWU172" s="928"/>
      <c r="HWV172" s="928"/>
      <c r="HWW172" s="928"/>
      <c r="HWX172" s="928"/>
      <c r="HWY172" s="928"/>
      <c r="HWZ172" s="928"/>
      <c r="HXA172" s="928"/>
      <c r="HXB172" s="928"/>
      <c r="HXC172" s="928"/>
      <c r="HXD172" s="928"/>
      <c r="HXE172" s="928"/>
      <c r="HXF172" s="928"/>
      <c r="HXG172" s="928"/>
      <c r="HXH172" s="928"/>
      <c r="HXI172" s="928"/>
      <c r="HXJ172" s="928"/>
      <c r="HXK172" s="928"/>
      <c r="HXL172" s="928"/>
      <c r="HXM172" s="928"/>
      <c r="HXN172" s="928"/>
      <c r="HXO172" s="928"/>
      <c r="HXP172" s="928"/>
      <c r="HXQ172" s="928"/>
      <c r="HXR172" s="928"/>
      <c r="HXS172" s="928"/>
      <c r="HXT172" s="928"/>
      <c r="HXU172" s="928"/>
      <c r="HXV172" s="928"/>
      <c r="HXW172" s="928"/>
      <c r="HXX172" s="928"/>
      <c r="HXY172" s="928"/>
      <c r="HXZ172" s="928"/>
      <c r="HYA172" s="928"/>
      <c r="HYB172" s="928"/>
      <c r="HYC172" s="928"/>
      <c r="HYD172" s="928"/>
      <c r="HYE172" s="928"/>
      <c r="HYF172" s="928"/>
      <c r="HYG172" s="928"/>
      <c r="HYH172" s="928"/>
      <c r="HYI172" s="928"/>
      <c r="HYJ172" s="928"/>
      <c r="HYK172" s="928"/>
      <c r="HYL172" s="928"/>
      <c r="HYM172" s="928"/>
      <c r="HYN172" s="928"/>
      <c r="HYO172" s="928"/>
      <c r="HYP172" s="928"/>
      <c r="HYQ172" s="928"/>
      <c r="HYR172" s="928"/>
      <c r="HYS172" s="928"/>
      <c r="HYT172" s="928"/>
      <c r="HYU172" s="928"/>
      <c r="HYV172" s="928"/>
      <c r="HYW172" s="928"/>
      <c r="HYX172" s="928"/>
      <c r="HYY172" s="928"/>
      <c r="HYZ172" s="928"/>
      <c r="HZA172" s="928"/>
      <c r="HZB172" s="928"/>
      <c r="HZC172" s="928"/>
      <c r="HZD172" s="928"/>
      <c r="HZE172" s="928"/>
      <c r="HZF172" s="928"/>
      <c r="HZG172" s="928"/>
      <c r="HZH172" s="928"/>
      <c r="HZI172" s="928"/>
      <c r="HZJ172" s="928"/>
      <c r="HZK172" s="928"/>
      <c r="HZL172" s="928"/>
      <c r="HZM172" s="928"/>
      <c r="HZN172" s="928"/>
      <c r="HZO172" s="928"/>
      <c r="HZP172" s="928"/>
      <c r="HZQ172" s="928"/>
      <c r="HZR172" s="928"/>
      <c r="HZS172" s="928"/>
      <c r="HZT172" s="928"/>
      <c r="HZU172" s="928"/>
      <c r="HZV172" s="928"/>
      <c r="HZW172" s="928"/>
      <c r="HZX172" s="928"/>
      <c r="HZY172" s="928"/>
      <c r="HZZ172" s="928"/>
      <c r="IAA172" s="928"/>
      <c r="IAB172" s="928"/>
      <c r="IAC172" s="928"/>
      <c r="IAD172" s="928"/>
      <c r="IAE172" s="928"/>
      <c r="IAF172" s="928"/>
      <c r="IAG172" s="928"/>
      <c r="IAH172" s="928"/>
      <c r="IAI172" s="928"/>
      <c r="IAJ172" s="928"/>
      <c r="IAK172" s="928"/>
      <c r="IAL172" s="928"/>
      <c r="IAM172" s="928"/>
      <c r="IAN172" s="928"/>
      <c r="IAO172" s="928"/>
      <c r="IAP172" s="928"/>
      <c r="IAQ172" s="928"/>
      <c r="IAR172" s="928"/>
      <c r="IAS172" s="928"/>
      <c r="IAT172" s="928"/>
      <c r="IAU172" s="928"/>
      <c r="IAV172" s="928"/>
      <c r="IAW172" s="928"/>
      <c r="IAX172" s="928"/>
      <c r="IAY172" s="928"/>
      <c r="IAZ172" s="928"/>
      <c r="IBA172" s="928"/>
      <c r="IBB172" s="928"/>
      <c r="IBC172" s="928"/>
      <c r="IBD172" s="928"/>
      <c r="IBE172" s="928"/>
      <c r="IBF172" s="928"/>
      <c r="IBG172" s="928"/>
      <c r="IBH172" s="928"/>
      <c r="IBI172" s="928"/>
      <c r="IBJ172" s="928"/>
      <c r="IBK172" s="928"/>
      <c r="IBL172" s="928"/>
      <c r="IBM172" s="928"/>
      <c r="IBN172" s="928"/>
      <c r="IBO172" s="928"/>
      <c r="IBP172" s="928"/>
      <c r="IBQ172" s="928"/>
      <c r="IBR172" s="928"/>
      <c r="IBS172" s="928"/>
      <c r="IBT172" s="928"/>
      <c r="IBU172" s="928"/>
      <c r="IBV172" s="928"/>
      <c r="IBW172" s="928"/>
      <c r="IBX172" s="928"/>
      <c r="IBY172" s="928"/>
      <c r="IBZ172" s="928"/>
      <c r="ICA172" s="928"/>
      <c r="ICB172" s="928"/>
      <c r="ICC172" s="928"/>
      <c r="ICD172" s="928"/>
      <c r="ICE172" s="928"/>
      <c r="ICF172" s="928"/>
      <c r="ICG172" s="928"/>
      <c r="ICH172" s="928"/>
      <c r="ICI172" s="928"/>
      <c r="ICJ172" s="928"/>
      <c r="ICK172" s="928"/>
      <c r="ICL172" s="928"/>
      <c r="ICM172" s="928"/>
      <c r="ICN172" s="928"/>
      <c r="ICO172" s="928"/>
      <c r="ICP172" s="928"/>
      <c r="ICQ172" s="928"/>
      <c r="ICR172" s="928"/>
      <c r="ICS172" s="928"/>
      <c r="ICT172" s="928"/>
      <c r="ICU172" s="928"/>
      <c r="ICV172" s="928"/>
      <c r="ICW172" s="928"/>
      <c r="ICX172" s="928"/>
      <c r="ICY172" s="928"/>
      <c r="ICZ172" s="928"/>
      <c r="IDA172" s="928"/>
      <c r="IDB172" s="928"/>
      <c r="IDC172" s="928"/>
      <c r="IDD172" s="928"/>
      <c r="IDE172" s="928"/>
      <c r="IDF172" s="928"/>
      <c r="IDG172" s="928"/>
      <c r="IDH172" s="928"/>
      <c r="IDI172" s="928"/>
      <c r="IDJ172" s="928"/>
      <c r="IDK172" s="928"/>
      <c r="IDL172" s="928"/>
      <c r="IDM172" s="928"/>
      <c r="IDN172" s="928"/>
      <c r="IDO172" s="928"/>
      <c r="IDP172" s="928"/>
      <c r="IDQ172" s="928"/>
      <c r="IDR172" s="928"/>
      <c r="IDS172" s="928"/>
      <c r="IDT172" s="928"/>
      <c r="IDU172" s="928"/>
      <c r="IDV172" s="928"/>
      <c r="IDW172" s="928"/>
      <c r="IDX172" s="928"/>
      <c r="IDY172" s="928"/>
      <c r="IDZ172" s="928"/>
      <c r="IEA172" s="928"/>
      <c r="IEB172" s="928"/>
      <c r="IEC172" s="928"/>
      <c r="IED172" s="928"/>
      <c r="IEE172" s="928"/>
      <c r="IEF172" s="928"/>
      <c r="IEG172" s="928"/>
      <c r="IEH172" s="928"/>
      <c r="IEI172" s="928"/>
      <c r="IEJ172" s="928"/>
      <c r="IEK172" s="928"/>
      <c r="IEL172" s="928"/>
      <c r="IEM172" s="928"/>
      <c r="IEN172" s="928"/>
      <c r="IEO172" s="928"/>
      <c r="IEP172" s="928"/>
      <c r="IEQ172" s="928"/>
      <c r="IER172" s="928"/>
      <c r="IES172" s="928"/>
      <c r="IET172" s="928"/>
      <c r="IEU172" s="928"/>
      <c r="IEV172" s="928"/>
      <c r="IEW172" s="928"/>
      <c r="IEX172" s="928"/>
      <c r="IEY172" s="928"/>
      <c r="IEZ172" s="928"/>
      <c r="IFA172" s="928"/>
      <c r="IFB172" s="928"/>
      <c r="IFC172" s="928"/>
      <c r="IFD172" s="928"/>
      <c r="IFE172" s="928"/>
      <c r="IFF172" s="928"/>
      <c r="IFG172" s="928"/>
      <c r="IFH172" s="928"/>
      <c r="IFI172" s="928"/>
      <c r="IFJ172" s="928"/>
      <c r="IFK172" s="928"/>
      <c r="IFL172" s="928"/>
      <c r="IFM172" s="928"/>
      <c r="IFN172" s="928"/>
      <c r="IFO172" s="928"/>
      <c r="IFP172" s="928"/>
      <c r="IFQ172" s="928"/>
      <c r="IFR172" s="928"/>
      <c r="IFS172" s="928"/>
      <c r="IFT172" s="928"/>
      <c r="IFU172" s="928"/>
      <c r="IFV172" s="928"/>
      <c r="IFW172" s="928"/>
      <c r="IFX172" s="928"/>
      <c r="IFY172" s="928"/>
      <c r="IFZ172" s="928"/>
      <c r="IGA172" s="928"/>
      <c r="IGB172" s="928"/>
      <c r="IGC172" s="928"/>
      <c r="IGD172" s="928"/>
      <c r="IGE172" s="928"/>
      <c r="IGF172" s="928"/>
      <c r="IGG172" s="928"/>
      <c r="IGH172" s="928"/>
      <c r="IGI172" s="928"/>
      <c r="IGJ172" s="928"/>
      <c r="IGK172" s="928"/>
      <c r="IGL172" s="928"/>
      <c r="IGM172" s="928"/>
      <c r="IGN172" s="928"/>
      <c r="IGO172" s="928"/>
      <c r="IGP172" s="928"/>
      <c r="IGQ172" s="928"/>
      <c r="IGR172" s="928"/>
      <c r="IGS172" s="928"/>
      <c r="IGT172" s="928"/>
      <c r="IGU172" s="928"/>
      <c r="IGV172" s="928"/>
      <c r="IGW172" s="928"/>
      <c r="IGX172" s="928"/>
      <c r="IGY172" s="928"/>
      <c r="IGZ172" s="928"/>
      <c r="IHA172" s="928"/>
      <c r="IHB172" s="928"/>
      <c r="IHC172" s="928"/>
      <c r="IHD172" s="928"/>
      <c r="IHE172" s="928"/>
      <c r="IHF172" s="928"/>
      <c r="IHG172" s="928"/>
      <c r="IHH172" s="928"/>
      <c r="IHI172" s="928"/>
      <c r="IHJ172" s="928"/>
      <c r="IHK172" s="928"/>
      <c r="IHL172" s="928"/>
      <c r="IHM172" s="928"/>
      <c r="IHN172" s="928"/>
      <c r="IHO172" s="928"/>
      <c r="IHP172" s="928"/>
      <c r="IHQ172" s="928"/>
      <c r="IHR172" s="928"/>
      <c r="IHS172" s="928"/>
      <c r="IHT172" s="928"/>
      <c r="IHU172" s="928"/>
      <c r="IHV172" s="928"/>
      <c r="IHW172" s="928"/>
      <c r="IHX172" s="928"/>
      <c r="IHY172" s="928"/>
      <c r="IHZ172" s="928"/>
      <c r="IIA172" s="928"/>
      <c r="IIB172" s="928"/>
      <c r="IIC172" s="928"/>
      <c r="IID172" s="928"/>
      <c r="IIE172" s="928"/>
      <c r="IIF172" s="928"/>
      <c r="IIG172" s="928"/>
      <c r="IIH172" s="928"/>
      <c r="III172" s="928"/>
      <c r="IIJ172" s="928"/>
      <c r="IIK172" s="928"/>
      <c r="IIL172" s="928"/>
      <c r="IIM172" s="928"/>
      <c r="IIN172" s="928"/>
      <c r="IIO172" s="928"/>
      <c r="IIP172" s="928"/>
      <c r="IIQ172" s="928"/>
      <c r="IIR172" s="928"/>
      <c r="IIS172" s="928"/>
      <c r="IIT172" s="928"/>
      <c r="IIU172" s="928"/>
      <c r="IIV172" s="928"/>
      <c r="IIW172" s="928"/>
      <c r="IIX172" s="928"/>
      <c r="IIY172" s="928"/>
      <c r="IIZ172" s="928"/>
      <c r="IJA172" s="928"/>
      <c r="IJB172" s="928"/>
      <c r="IJC172" s="928"/>
      <c r="IJD172" s="928"/>
      <c r="IJE172" s="928"/>
      <c r="IJF172" s="928"/>
      <c r="IJG172" s="928"/>
      <c r="IJH172" s="928"/>
      <c r="IJI172" s="928"/>
      <c r="IJJ172" s="928"/>
      <c r="IJK172" s="928"/>
      <c r="IJL172" s="928"/>
      <c r="IJM172" s="928"/>
      <c r="IJN172" s="928"/>
      <c r="IJO172" s="928"/>
      <c r="IJP172" s="928"/>
      <c r="IJQ172" s="928"/>
      <c r="IJR172" s="928"/>
      <c r="IJS172" s="928"/>
      <c r="IJT172" s="928"/>
      <c r="IJU172" s="928"/>
      <c r="IJV172" s="928"/>
      <c r="IJW172" s="928"/>
      <c r="IJX172" s="928"/>
      <c r="IJY172" s="928"/>
      <c r="IJZ172" s="928"/>
      <c r="IKA172" s="928"/>
      <c r="IKB172" s="928"/>
      <c r="IKC172" s="928"/>
      <c r="IKD172" s="928"/>
      <c r="IKE172" s="928"/>
      <c r="IKF172" s="928"/>
      <c r="IKG172" s="928"/>
      <c r="IKH172" s="928"/>
      <c r="IKI172" s="928"/>
      <c r="IKJ172" s="928"/>
      <c r="IKK172" s="928"/>
      <c r="IKL172" s="928"/>
      <c r="IKM172" s="928"/>
      <c r="IKN172" s="928"/>
      <c r="IKO172" s="928"/>
      <c r="IKP172" s="928"/>
      <c r="IKQ172" s="928"/>
      <c r="IKR172" s="928"/>
      <c r="IKS172" s="928"/>
      <c r="IKT172" s="928"/>
      <c r="IKU172" s="928"/>
      <c r="IKV172" s="928"/>
      <c r="IKW172" s="928"/>
      <c r="IKX172" s="928"/>
      <c r="IKY172" s="928"/>
      <c r="IKZ172" s="928"/>
      <c r="ILA172" s="928"/>
      <c r="ILB172" s="928"/>
      <c r="ILC172" s="928"/>
      <c r="ILD172" s="928"/>
      <c r="ILE172" s="928"/>
      <c r="ILF172" s="928"/>
      <c r="ILG172" s="928"/>
      <c r="ILH172" s="928"/>
      <c r="ILI172" s="928"/>
      <c r="ILJ172" s="928"/>
      <c r="ILK172" s="928"/>
      <c r="ILL172" s="928"/>
      <c r="ILM172" s="928"/>
      <c r="ILN172" s="928"/>
      <c r="ILO172" s="928"/>
      <c r="ILP172" s="928"/>
      <c r="ILQ172" s="928"/>
      <c r="ILR172" s="928"/>
      <c r="ILS172" s="928"/>
      <c r="ILT172" s="928"/>
      <c r="ILU172" s="928"/>
      <c r="ILV172" s="928"/>
      <c r="ILW172" s="928"/>
      <c r="ILX172" s="928"/>
      <c r="ILY172" s="928"/>
      <c r="ILZ172" s="928"/>
      <c r="IMA172" s="928"/>
      <c r="IMB172" s="928"/>
      <c r="IMC172" s="928"/>
      <c r="IMD172" s="928"/>
      <c r="IME172" s="928"/>
      <c r="IMF172" s="928"/>
      <c r="IMG172" s="928"/>
      <c r="IMH172" s="928"/>
      <c r="IMI172" s="928"/>
      <c r="IMJ172" s="928"/>
      <c r="IMK172" s="928"/>
      <c r="IML172" s="928"/>
      <c r="IMM172" s="928"/>
      <c r="IMN172" s="928"/>
      <c r="IMO172" s="928"/>
      <c r="IMP172" s="928"/>
      <c r="IMQ172" s="928"/>
      <c r="IMR172" s="928"/>
      <c r="IMS172" s="928"/>
      <c r="IMT172" s="928"/>
      <c r="IMU172" s="928"/>
      <c r="IMV172" s="928"/>
      <c r="IMW172" s="928"/>
      <c r="IMX172" s="928"/>
      <c r="IMY172" s="928"/>
      <c r="IMZ172" s="928"/>
      <c r="INA172" s="928"/>
      <c r="INB172" s="928"/>
      <c r="INC172" s="928"/>
      <c r="IND172" s="928"/>
      <c r="INE172" s="928"/>
      <c r="INF172" s="928"/>
      <c r="ING172" s="928"/>
      <c r="INH172" s="928"/>
      <c r="INI172" s="928"/>
      <c r="INJ172" s="928"/>
      <c r="INK172" s="928"/>
      <c r="INL172" s="928"/>
      <c r="INM172" s="928"/>
      <c r="INN172" s="928"/>
      <c r="INO172" s="928"/>
      <c r="INP172" s="928"/>
      <c r="INQ172" s="928"/>
      <c r="INR172" s="928"/>
      <c r="INS172" s="928"/>
      <c r="INT172" s="928"/>
      <c r="INU172" s="928"/>
      <c r="INV172" s="928"/>
      <c r="INW172" s="928"/>
      <c r="INX172" s="928"/>
      <c r="INY172" s="928"/>
      <c r="INZ172" s="928"/>
      <c r="IOA172" s="928"/>
      <c r="IOB172" s="928"/>
      <c r="IOC172" s="928"/>
      <c r="IOD172" s="928"/>
      <c r="IOE172" s="928"/>
      <c r="IOF172" s="928"/>
      <c r="IOG172" s="928"/>
      <c r="IOH172" s="928"/>
      <c r="IOI172" s="928"/>
      <c r="IOJ172" s="928"/>
      <c r="IOK172" s="928"/>
      <c r="IOL172" s="928"/>
      <c r="IOM172" s="928"/>
      <c r="ION172" s="928"/>
      <c r="IOO172" s="928"/>
      <c r="IOP172" s="928"/>
      <c r="IOQ172" s="928"/>
      <c r="IOR172" s="928"/>
      <c r="IOS172" s="928"/>
      <c r="IOT172" s="928"/>
      <c r="IOU172" s="928"/>
      <c r="IOV172" s="928"/>
      <c r="IOW172" s="928"/>
      <c r="IOX172" s="928"/>
      <c r="IOY172" s="928"/>
      <c r="IOZ172" s="928"/>
      <c r="IPA172" s="928"/>
      <c r="IPB172" s="928"/>
      <c r="IPC172" s="928"/>
      <c r="IPD172" s="928"/>
      <c r="IPE172" s="928"/>
      <c r="IPF172" s="928"/>
      <c r="IPG172" s="928"/>
      <c r="IPH172" s="928"/>
      <c r="IPI172" s="928"/>
      <c r="IPJ172" s="928"/>
      <c r="IPK172" s="928"/>
      <c r="IPL172" s="928"/>
      <c r="IPM172" s="928"/>
      <c r="IPN172" s="928"/>
      <c r="IPO172" s="928"/>
      <c r="IPP172" s="928"/>
      <c r="IPQ172" s="928"/>
      <c r="IPR172" s="928"/>
      <c r="IPS172" s="928"/>
      <c r="IPT172" s="928"/>
      <c r="IPU172" s="928"/>
      <c r="IPV172" s="928"/>
      <c r="IPW172" s="928"/>
      <c r="IPX172" s="928"/>
      <c r="IPY172" s="928"/>
      <c r="IPZ172" s="928"/>
      <c r="IQA172" s="928"/>
      <c r="IQB172" s="928"/>
      <c r="IQC172" s="928"/>
      <c r="IQD172" s="928"/>
      <c r="IQE172" s="928"/>
      <c r="IQF172" s="928"/>
      <c r="IQG172" s="928"/>
      <c r="IQH172" s="928"/>
      <c r="IQI172" s="928"/>
      <c r="IQJ172" s="928"/>
      <c r="IQK172" s="928"/>
      <c r="IQL172" s="928"/>
      <c r="IQM172" s="928"/>
      <c r="IQN172" s="928"/>
      <c r="IQO172" s="928"/>
      <c r="IQP172" s="928"/>
      <c r="IQQ172" s="928"/>
      <c r="IQR172" s="928"/>
      <c r="IQS172" s="928"/>
      <c r="IQT172" s="928"/>
      <c r="IQU172" s="928"/>
      <c r="IQV172" s="928"/>
      <c r="IQW172" s="928"/>
      <c r="IQX172" s="928"/>
      <c r="IQY172" s="928"/>
      <c r="IQZ172" s="928"/>
      <c r="IRA172" s="928"/>
      <c r="IRB172" s="928"/>
      <c r="IRC172" s="928"/>
      <c r="IRD172" s="928"/>
      <c r="IRE172" s="928"/>
      <c r="IRF172" s="928"/>
      <c r="IRG172" s="928"/>
      <c r="IRH172" s="928"/>
      <c r="IRI172" s="928"/>
      <c r="IRJ172" s="928"/>
      <c r="IRK172" s="928"/>
      <c r="IRL172" s="928"/>
      <c r="IRM172" s="928"/>
      <c r="IRN172" s="928"/>
      <c r="IRO172" s="928"/>
      <c r="IRP172" s="928"/>
      <c r="IRQ172" s="928"/>
      <c r="IRR172" s="928"/>
      <c r="IRS172" s="928"/>
      <c r="IRT172" s="928"/>
      <c r="IRU172" s="928"/>
      <c r="IRV172" s="928"/>
      <c r="IRW172" s="928"/>
      <c r="IRX172" s="928"/>
      <c r="IRY172" s="928"/>
      <c r="IRZ172" s="928"/>
      <c r="ISA172" s="928"/>
      <c r="ISB172" s="928"/>
      <c r="ISC172" s="928"/>
      <c r="ISD172" s="928"/>
      <c r="ISE172" s="928"/>
      <c r="ISF172" s="928"/>
      <c r="ISG172" s="928"/>
      <c r="ISH172" s="928"/>
      <c r="ISI172" s="928"/>
      <c r="ISJ172" s="928"/>
      <c r="ISK172" s="928"/>
      <c r="ISL172" s="928"/>
      <c r="ISM172" s="928"/>
      <c r="ISN172" s="928"/>
      <c r="ISO172" s="928"/>
      <c r="ISP172" s="928"/>
      <c r="ISQ172" s="928"/>
      <c r="ISR172" s="928"/>
      <c r="ISS172" s="928"/>
      <c r="IST172" s="928"/>
      <c r="ISU172" s="928"/>
      <c r="ISV172" s="928"/>
      <c r="ISW172" s="928"/>
      <c r="ISX172" s="928"/>
      <c r="ISY172" s="928"/>
      <c r="ISZ172" s="928"/>
      <c r="ITA172" s="928"/>
      <c r="ITB172" s="928"/>
      <c r="ITC172" s="928"/>
      <c r="ITD172" s="928"/>
      <c r="ITE172" s="928"/>
      <c r="ITF172" s="928"/>
      <c r="ITG172" s="928"/>
      <c r="ITH172" s="928"/>
      <c r="ITI172" s="928"/>
      <c r="ITJ172" s="928"/>
      <c r="ITK172" s="928"/>
      <c r="ITL172" s="928"/>
      <c r="ITM172" s="928"/>
      <c r="ITN172" s="928"/>
      <c r="ITO172" s="928"/>
      <c r="ITP172" s="928"/>
      <c r="ITQ172" s="928"/>
      <c r="ITR172" s="928"/>
      <c r="ITS172" s="928"/>
      <c r="ITT172" s="928"/>
      <c r="ITU172" s="928"/>
      <c r="ITV172" s="928"/>
      <c r="ITW172" s="928"/>
      <c r="ITX172" s="928"/>
      <c r="ITY172" s="928"/>
      <c r="ITZ172" s="928"/>
      <c r="IUA172" s="928"/>
      <c r="IUB172" s="928"/>
      <c r="IUC172" s="928"/>
      <c r="IUD172" s="928"/>
      <c r="IUE172" s="928"/>
      <c r="IUF172" s="928"/>
      <c r="IUG172" s="928"/>
      <c r="IUH172" s="928"/>
      <c r="IUI172" s="928"/>
      <c r="IUJ172" s="928"/>
      <c r="IUK172" s="928"/>
      <c r="IUL172" s="928"/>
      <c r="IUM172" s="928"/>
      <c r="IUN172" s="928"/>
      <c r="IUO172" s="928"/>
      <c r="IUP172" s="928"/>
      <c r="IUQ172" s="928"/>
      <c r="IUR172" s="928"/>
      <c r="IUS172" s="928"/>
      <c r="IUT172" s="928"/>
      <c r="IUU172" s="928"/>
      <c r="IUV172" s="928"/>
      <c r="IUW172" s="928"/>
      <c r="IUX172" s="928"/>
      <c r="IUY172" s="928"/>
      <c r="IUZ172" s="928"/>
      <c r="IVA172" s="928"/>
      <c r="IVB172" s="928"/>
      <c r="IVC172" s="928"/>
      <c r="IVD172" s="928"/>
      <c r="IVE172" s="928"/>
      <c r="IVF172" s="928"/>
      <c r="IVG172" s="928"/>
      <c r="IVH172" s="928"/>
      <c r="IVI172" s="928"/>
      <c r="IVJ172" s="928"/>
      <c r="IVK172" s="928"/>
      <c r="IVL172" s="928"/>
      <c r="IVM172" s="928"/>
      <c r="IVN172" s="928"/>
      <c r="IVO172" s="928"/>
      <c r="IVP172" s="928"/>
      <c r="IVQ172" s="928"/>
      <c r="IVR172" s="928"/>
      <c r="IVS172" s="928"/>
      <c r="IVT172" s="928"/>
      <c r="IVU172" s="928"/>
      <c r="IVV172" s="928"/>
      <c r="IVW172" s="928"/>
      <c r="IVX172" s="928"/>
      <c r="IVY172" s="928"/>
      <c r="IVZ172" s="928"/>
      <c r="IWA172" s="928"/>
      <c r="IWB172" s="928"/>
      <c r="IWC172" s="928"/>
      <c r="IWD172" s="928"/>
      <c r="IWE172" s="928"/>
      <c r="IWF172" s="928"/>
      <c r="IWG172" s="928"/>
      <c r="IWH172" s="928"/>
      <c r="IWI172" s="928"/>
      <c r="IWJ172" s="928"/>
      <c r="IWK172" s="928"/>
      <c r="IWL172" s="928"/>
      <c r="IWM172" s="928"/>
      <c r="IWN172" s="928"/>
      <c r="IWO172" s="928"/>
      <c r="IWP172" s="928"/>
      <c r="IWQ172" s="928"/>
      <c r="IWR172" s="928"/>
      <c r="IWS172" s="928"/>
      <c r="IWT172" s="928"/>
      <c r="IWU172" s="928"/>
      <c r="IWV172" s="928"/>
      <c r="IWW172" s="928"/>
      <c r="IWX172" s="928"/>
      <c r="IWY172" s="928"/>
      <c r="IWZ172" s="928"/>
      <c r="IXA172" s="928"/>
      <c r="IXB172" s="928"/>
      <c r="IXC172" s="928"/>
      <c r="IXD172" s="928"/>
      <c r="IXE172" s="928"/>
      <c r="IXF172" s="928"/>
      <c r="IXG172" s="928"/>
      <c r="IXH172" s="928"/>
      <c r="IXI172" s="928"/>
      <c r="IXJ172" s="928"/>
      <c r="IXK172" s="928"/>
      <c r="IXL172" s="928"/>
      <c r="IXM172" s="928"/>
      <c r="IXN172" s="928"/>
      <c r="IXO172" s="928"/>
      <c r="IXP172" s="928"/>
      <c r="IXQ172" s="928"/>
      <c r="IXR172" s="928"/>
      <c r="IXS172" s="928"/>
      <c r="IXT172" s="928"/>
      <c r="IXU172" s="928"/>
      <c r="IXV172" s="928"/>
      <c r="IXW172" s="928"/>
      <c r="IXX172" s="928"/>
      <c r="IXY172" s="928"/>
      <c r="IXZ172" s="928"/>
      <c r="IYA172" s="928"/>
      <c r="IYB172" s="928"/>
      <c r="IYC172" s="928"/>
      <c r="IYD172" s="928"/>
      <c r="IYE172" s="928"/>
      <c r="IYF172" s="928"/>
      <c r="IYG172" s="928"/>
      <c r="IYH172" s="928"/>
      <c r="IYI172" s="928"/>
      <c r="IYJ172" s="928"/>
      <c r="IYK172" s="928"/>
      <c r="IYL172" s="928"/>
      <c r="IYM172" s="928"/>
      <c r="IYN172" s="928"/>
      <c r="IYO172" s="928"/>
      <c r="IYP172" s="928"/>
      <c r="IYQ172" s="928"/>
      <c r="IYR172" s="928"/>
      <c r="IYS172" s="928"/>
      <c r="IYT172" s="928"/>
      <c r="IYU172" s="928"/>
      <c r="IYV172" s="928"/>
      <c r="IYW172" s="928"/>
      <c r="IYX172" s="928"/>
      <c r="IYY172" s="928"/>
      <c r="IYZ172" s="928"/>
      <c r="IZA172" s="928"/>
      <c r="IZB172" s="928"/>
      <c r="IZC172" s="928"/>
      <c r="IZD172" s="928"/>
      <c r="IZE172" s="928"/>
      <c r="IZF172" s="928"/>
      <c r="IZG172" s="928"/>
      <c r="IZH172" s="928"/>
      <c r="IZI172" s="928"/>
      <c r="IZJ172" s="928"/>
      <c r="IZK172" s="928"/>
      <c r="IZL172" s="928"/>
      <c r="IZM172" s="928"/>
      <c r="IZN172" s="928"/>
      <c r="IZO172" s="928"/>
      <c r="IZP172" s="928"/>
      <c r="IZQ172" s="928"/>
      <c r="IZR172" s="928"/>
      <c r="IZS172" s="928"/>
      <c r="IZT172" s="928"/>
      <c r="IZU172" s="928"/>
      <c r="IZV172" s="928"/>
      <c r="IZW172" s="928"/>
      <c r="IZX172" s="928"/>
      <c r="IZY172" s="928"/>
      <c r="IZZ172" s="928"/>
      <c r="JAA172" s="928"/>
      <c r="JAB172" s="928"/>
      <c r="JAC172" s="928"/>
      <c r="JAD172" s="928"/>
      <c r="JAE172" s="928"/>
      <c r="JAF172" s="928"/>
      <c r="JAG172" s="928"/>
      <c r="JAH172" s="928"/>
      <c r="JAI172" s="928"/>
      <c r="JAJ172" s="928"/>
      <c r="JAK172" s="928"/>
      <c r="JAL172" s="928"/>
      <c r="JAM172" s="928"/>
      <c r="JAN172" s="928"/>
      <c r="JAO172" s="928"/>
      <c r="JAP172" s="928"/>
      <c r="JAQ172" s="928"/>
      <c r="JAR172" s="928"/>
      <c r="JAS172" s="928"/>
      <c r="JAT172" s="928"/>
      <c r="JAU172" s="928"/>
      <c r="JAV172" s="928"/>
      <c r="JAW172" s="928"/>
      <c r="JAX172" s="928"/>
      <c r="JAY172" s="928"/>
      <c r="JAZ172" s="928"/>
      <c r="JBA172" s="928"/>
      <c r="JBB172" s="928"/>
      <c r="JBC172" s="928"/>
      <c r="JBD172" s="928"/>
      <c r="JBE172" s="928"/>
      <c r="JBF172" s="928"/>
      <c r="JBG172" s="928"/>
      <c r="JBH172" s="928"/>
      <c r="JBI172" s="928"/>
      <c r="JBJ172" s="928"/>
      <c r="JBK172" s="928"/>
      <c r="JBL172" s="928"/>
      <c r="JBM172" s="928"/>
      <c r="JBN172" s="928"/>
      <c r="JBO172" s="928"/>
      <c r="JBP172" s="928"/>
      <c r="JBQ172" s="928"/>
      <c r="JBR172" s="928"/>
      <c r="JBS172" s="928"/>
      <c r="JBT172" s="928"/>
      <c r="JBU172" s="928"/>
      <c r="JBV172" s="928"/>
      <c r="JBW172" s="928"/>
      <c r="JBX172" s="928"/>
      <c r="JBY172" s="928"/>
      <c r="JBZ172" s="928"/>
      <c r="JCA172" s="928"/>
      <c r="JCB172" s="928"/>
      <c r="JCC172" s="928"/>
      <c r="JCD172" s="928"/>
      <c r="JCE172" s="928"/>
      <c r="JCF172" s="928"/>
      <c r="JCG172" s="928"/>
      <c r="JCH172" s="928"/>
      <c r="JCI172" s="928"/>
      <c r="JCJ172" s="928"/>
      <c r="JCK172" s="928"/>
      <c r="JCL172" s="928"/>
      <c r="JCM172" s="928"/>
      <c r="JCN172" s="928"/>
      <c r="JCO172" s="928"/>
      <c r="JCP172" s="928"/>
      <c r="JCQ172" s="928"/>
      <c r="JCR172" s="928"/>
      <c r="JCS172" s="928"/>
      <c r="JCT172" s="928"/>
      <c r="JCU172" s="928"/>
      <c r="JCV172" s="928"/>
      <c r="JCW172" s="928"/>
      <c r="JCX172" s="928"/>
      <c r="JCY172" s="928"/>
      <c r="JCZ172" s="928"/>
      <c r="JDA172" s="928"/>
      <c r="JDB172" s="928"/>
      <c r="JDC172" s="928"/>
      <c r="JDD172" s="928"/>
      <c r="JDE172" s="928"/>
      <c r="JDF172" s="928"/>
      <c r="JDG172" s="928"/>
      <c r="JDH172" s="928"/>
      <c r="JDI172" s="928"/>
      <c r="JDJ172" s="928"/>
      <c r="JDK172" s="928"/>
      <c r="JDL172" s="928"/>
      <c r="JDM172" s="928"/>
      <c r="JDN172" s="928"/>
      <c r="JDO172" s="928"/>
      <c r="JDP172" s="928"/>
      <c r="JDQ172" s="928"/>
      <c r="JDR172" s="928"/>
      <c r="JDS172" s="928"/>
      <c r="JDT172" s="928"/>
      <c r="JDU172" s="928"/>
      <c r="JDV172" s="928"/>
      <c r="JDW172" s="928"/>
      <c r="JDX172" s="928"/>
      <c r="JDY172" s="928"/>
      <c r="JDZ172" s="928"/>
      <c r="JEA172" s="928"/>
      <c r="JEB172" s="928"/>
      <c r="JEC172" s="928"/>
      <c r="JED172" s="928"/>
      <c r="JEE172" s="928"/>
      <c r="JEF172" s="928"/>
      <c r="JEG172" s="928"/>
      <c r="JEH172" s="928"/>
      <c r="JEI172" s="928"/>
      <c r="JEJ172" s="928"/>
      <c r="JEK172" s="928"/>
      <c r="JEL172" s="928"/>
      <c r="JEM172" s="928"/>
      <c r="JEN172" s="928"/>
      <c r="JEO172" s="928"/>
      <c r="JEP172" s="928"/>
      <c r="JEQ172" s="928"/>
      <c r="JER172" s="928"/>
      <c r="JES172" s="928"/>
      <c r="JET172" s="928"/>
      <c r="JEU172" s="928"/>
      <c r="JEV172" s="928"/>
      <c r="JEW172" s="928"/>
      <c r="JEX172" s="928"/>
      <c r="JEY172" s="928"/>
      <c r="JEZ172" s="928"/>
      <c r="JFA172" s="928"/>
      <c r="JFB172" s="928"/>
      <c r="JFC172" s="928"/>
      <c r="JFD172" s="928"/>
      <c r="JFE172" s="928"/>
      <c r="JFF172" s="928"/>
      <c r="JFG172" s="928"/>
      <c r="JFH172" s="928"/>
      <c r="JFI172" s="928"/>
      <c r="JFJ172" s="928"/>
      <c r="JFK172" s="928"/>
      <c r="JFL172" s="928"/>
      <c r="JFM172" s="928"/>
      <c r="JFN172" s="928"/>
      <c r="JFO172" s="928"/>
      <c r="JFP172" s="928"/>
      <c r="JFQ172" s="928"/>
      <c r="JFR172" s="928"/>
      <c r="JFS172" s="928"/>
      <c r="JFT172" s="928"/>
      <c r="JFU172" s="928"/>
      <c r="JFV172" s="928"/>
      <c r="JFW172" s="928"/>
      <c r="JFX172" s="928"/>
      <c r="JFY172" s="928"/>
      <c r="JFZ172" s="928"/>
      <c r="JGA172" s="928"/>
      <c r="JGB172" s="928"/>
      <c r="JGC172" s="928"/>
      <c r="JGD172" s="928"/>
      <c r="JGE172" s="928"/>
      <c r="JGF172" s="928"/>
      <c r="JGG172" s="928"/>
      <c r="JGH172" s="928"/>
      <c r="JGI172" s="928"/>
      <c r="JGJ172" s="928"/>
      <c r="JGK172" s="928"/>
      <c r="JGL172" s="928"/>
      <c r="JGM172" s="928"/>
      <c r="JGN172" s="928"/>
      <c r="JGO172" s="928"/>
      <c r="JGP172" s="928"/>
      <c r="JGQ172" s="928"/>
      <c r="JGR172" s="928"/>
      <c r="JGS172" s="928"/>
      <c r="JGT172" s="928"/>
      <c r="JGU172" s="928"/>
      <c r="JGV172" s="928"/>
      <c r="JGW172" s="928"/>
      <c r="JGX172" s="928"/>
      <c r="JGY172" s="928"/>
      <c r="JGZ172" s="928"/>
      <c r="JHA172" s="928"/>
      <c r="JHB172" s="928"/>
      <c r="JHC172" s="928"/>
      <c r="JHD172" s="928"/>
      <c r="JHE172" s="928"/>
      <c r="JHF172" s="928"/>
      <c r="JHG172" s="928"/>
      <c r="JHH172" s="928"/>
      <c r="JHI172" s="928"/>
      <c r="JHJ172" s="928"/>
      <c r="JHK172" s="928"/>
      <c r="JHL172" s="928"/>
      <c r="JHM172" s="928"/>
      <c r="JHN172" s="928"/>
      <c r="JHO172" s="928"/>
      <c r="JHP172" s="928"/>
      <c r="JHQ172" s="928"/>
      <c r="JHR172" s="928"/>
      <c r="JHS172" s="928"/>
      <c r="JHT172" s="928"/>
      <c r="JHU172" s="928"/>
      <c r="JHV172" s="928"/>
      <c r="JHW172" s="928"/>
      <c r="JHX172" s="928"/>
      <c r="JHY172" s="928"/>
      <c r="JHZ172" s="928"/>
      <c r="JIA172" s="928"/>
      <c r="JIB172" s="928"/>
      <c r="JIC172" s="928"/>
      <c r="JID172" s="928"/>
      <c r="JIE172" s="928"/>
      <c r="JIF172" s="928"/>
      <c r="JIG172" s="928"/>
      <c r="JIH172" s="928"/>
      <c r="JII172" s="928"/>
      <c r="JIJ172" s="928"/>
      <c r="JIK172" s="928"/>
      <c r="JIL172" s="928"/>
      <c r="JIM172" s="928"/>
      <c r="JIN172" s="928"/>
      <c r="JIO172" s="928"/>
      <c r="JIP172" s="928"/>
      <c r="JIQ172" s="928"/>
      <c r="JIR172" s="928"/>
      <c r="JIS172" s="928"/>
      <c r="JIT172" s="928"/>
      <c r="JIU172" s="928"/>
      <c r="JIV172" s="928"/>
      <c r="JIW172" s="928"/>
      <c r="JIX172" s="928"/>
      <c r="JIY172" s="928"/>
      <c r="JIZ172" s="928"/>
      <c r="JJA172" s="928"/>
      <c r="JJB172" s="928"/>
      <c r="JJC172" s="928"/>
      <c r="JJD172" s="928"/>
      <c r="JJE172" s="928"/>
      <c r="JJF172" s="928"/>
      <c r="JJG172" s="928"/>
      <c r="JJH172" s="928"/>
      <c r="JJI172" s="928"/>
      <c r="JJJ172" s="928"/>
      <c r="JJK172" s="928"/>
      <c r="JJL172" s="928"/>
      <c r="JJM172" s="928"/>
      <c r="JJN172" s="928"/>
      <c r="JJO172" s="928"/>
      <c r="JJP172" s="928"/>
      <c r="JJQ172" s="928"/>
      <c r="JJR172" s="928"/>
      <c r="JJS172" s="928"/>
      <c r="JJT172" s="928"/>
      <c r="JJU172" s="928"/>
      <c r="JJV172" s="928"/>
      <c r="JJW172" s="928"/>
      <c r="JJX172" s="928"/>
      <c r="JJY172" s="928"/>
      <c r="JJZ172" s="928"/>
      <c r="JKA172" s="928"/>
      <c r="JKB172" s="928"/>
      <c r="JKC172" s="928"/>
      <c r="JKD172" s="928"/>
      <c r="JKE172" s="928"/>
      <c r="JKF172" s="928"/>
      <c r="JKG172" s="928"/>
      <c r="JKH172" s="928"/>
      <c r="JKI172" s="928"/>
      <c r="JKJ172" s="928"/>
      <c r="JKK172" s="928"/>
      <c r="JKL172" s="928"/>
      <c r="JKM172" s="928"/>
      <c r="JKN172" s="928"/>
      <c r="JKO172" s="928"/>
      <c r="JKP172" s="928"/>
      <c r="JKQ172" s="928"/>
      <c r="JKR172" s="928"/>
      <c r="JKS172" s="928"/>
      <c r="JKT172" s="928"/>
      <c r="JKU172" s="928"/>
      <c r="JKV172" s="928"/>
      <c r="JKW172" s="928"/>
      <c r="JKX172" s="928"/>
      <c r="JKY172" s="928"/>
      <c r="JKZ172" s="928"/>
      <c r="JLA172" s="928"/>
      <c r="JLB172" s="928"/>
      <c r="JLC172" s="928"/>
      <c r="JLD172" s="928"/>
      <c r="JLE172" s="928"/>
      <c r="JLF172" s="928"/>
      <c r="JLG172" s="928"/>
      <c r="JLH172" s="928"/>
      <c r="JLI172" s="928"/>
      <c r="JLJ172" s="928"/>
      <c r="JLK172" s="928"/>
      <c r="JLL172" s="928"/>
      <c r="JLM172" s="928"/>
      <c r="JLN172" s="928"/>
      <c r="JLO172" s="928"/>
      <c r="JLP172" s="928"/>
      <c r="JLQ172" s="928"/>
      <c r="JLR172" s="928"/>
      <c r="JLS172" s="928"/>
      <c r="JLT172" s="928"/>
      <c r="JLU172" s="928"/>
      <c r="JLV172" s="928"/>
      <c r="JLW172" s="928"/>
      <c r="JLX172" s="928"/>
      <c r="JLY172" s="928"/>
      <c r="JLZ172" s="928"/>
      <c r="JMA172" s="928"/>
      <c r="JMB172" s="928"/>
      <c r="JMC172" s="928"/>
      <c r="JMD172" s="928"/>
      <c r="JME172" s="928"/>
      <c r="JMF172" s="928"/>
      <c r="JMG172" s="928"/>
      <c r="JMH172" s="928"/>
      <c r="JMI172" s="928"/>
      <c r="JMJ172" s="928"/>
      <c r="JMK172" s="928"/>
      <c r="JML172" s="928"/>
      <c r="JMM172" s="928"/>
      <c r="JMN172" s="928"/>
      <c r="JMO172" s="928"/>
      <c r="JMP172" s="928"/>
      <c r="JMQ172" s="928"/>
      <c r="JMR172" s="928"/>
      <c r="JMS172" s="928"/>
      <c r="JMT172" s="928"/>
      <c r="JMU172" s="928"/>
      <c r="JMV172" s="928"/>
      <c r="JMW172" s="928"/>
      <c r="JMX172" s="928"/>
      <c r="JMY172" s="928"/>
      <c r="JMZ172" s="928"/>
      <c r="JNA172" s="928"/>
      <c r="JNB172" s="928"/>
      <c r="JNC172" s="928"/>
      <c r="JND172" s="928"/>
      <c r="JNE172" s="928"/>
      <c r="JNF172" s="928"/>
      <c r="JNG172" s="928"/>
      <c r="JNH172" s="928"/>
      <c r="JNI172" s="928"/>
      <c r="JNJ172" s="928"/>
      <c r="JNK172" s="928"/>
      <c r="JNL172" s="928"/>
      <c r="JNM172" s="928"/>
      <c r="JNN172" s="928"/>
      <c r="JNO172" s="928"/>
      <c r="JNP172" s="928"/>
      <c r="JNQ172" s="928"/>
      <c r="JNR172" s="928"/>
      <c r="JNS172" s="928"/>
      <c r="JNT172" s="928"/>
      <c r="JNU172" s="928"/>
      <c r="JNV172" s="928"/>
      <c r="JNW172" s="928"/>
      <c r="JNX172" s="928"/>
      <c r="JNY172" s="928"/>
      <c r="JNZ172" s="928"/>
      <c r="JOA172" s="928"/>
      <c r="JOB172" s="928"/>
      <c r="JOC172" s="928"/>
      <c r="JOD172" s="928"/>
      <c r="JOE172" s="928"/>
      <c r="JOF172" s="928"/>
      <c r="JOG172" s="928"/>
      <c r="JOH172" s="928"/>
      <c r="JOI172" s="928"/>
      <c r="JOJ172" s="928"/>
      <c r="JOK172" s="928"/>
      <c r="JOL172" s="928"/>
      <c r="JOM172" s="928"/>
      <c r="JON172" s="928"/>
      <c r="JOO172" s="928"/>
      <c r="JOP172" s="928"/>
      <c r="JOQ172" s="928"/>
      <c r="JOR172" s="928"/>
      <c r="JOS172" s="928"/>
      <c r="JOT172" s="928"/>
      <c r="JOU172" s="928"/>
      <c r="JOV172" s="928"/>
      <c r="JOW172" s="928"/>
      <c r="JOX172" s="928"/>
      <c r="JOY172" s="928"/>
      <c r="JOZ172" s="928"/>
      <c r="JPA172" s="928"/>
      <c r="JPB172" s="928"/>
      <c r="JPC172" s="928"/>
      <c r="JPD172" s="928"/>
      <c r="JPE172" s="928"/>
      <c r="JPF172" s="928"/>
      <c r="JPG172" s="928"/>
      <c r="JPH172" s="928"/>
      <c r="JPI172" s="928"/>
      <c r="JPJ172" s="928"/>
      <c r="JPK172" s="928"/>
      <c r="JPL172" s="928"/>
      <c r="JPM172" s="928"/>
      <c r="JPN172" s="928"/>
      <c r="JPO172" s="928"/>
      <c r="JPP172" s="928"/>
      <c r="JPQ172" s="928"/>
      <c r="JPR172" s="928"/>
      <c r="JPS172" s="928"/>
      <c r="JPT172" s="928"/>
      <c r="JPU172" s="928"/>
      <c r="JPV172" s="928"/>
      <c r="JPW172" s="928"/>
      <c r="JPX172" s="928"/>
      <c r="JPY172" s="928"/>
      <c r="JPZ172" s="928"/>
      <c r="JQA172" s="928"/>
      <c r="JQB172" s="928"/>
      <c r="JQC172" s="928"/>
      <c r="JQD172" s="928"/>
      <c r="JQE172" s="928"/>
      <c r="JQF172" s="928"/>
      <c r="JQG172" s="928"/>
      <c r="JQH172" s="928"/>
      <c r="JQI172" s="928"/>
      <c r="JQJ172" s="928"/>
      <c r="JQK172" s="928"/>
      <c r="JQL172" s="928"/>
      <c r="JQM172" s="928"/>
      <c r="JQN172" s="928"/>
      <c r="JQO172" s="928"/>
      <c r="JQP172" s="928"/>
      <c r="JQQ172" s="928"/>
      <c r="JQR172" s="928"/>
      <c r="JQS172" s="928"/>
      <c r="JQT172" s="928"/>
      <c r="JQU172" s="928"/>
      <c r="JQV172" s="928"/>
      <c r="JQW172" s="928"/>
      <c r="JQX172" s="928"/>
      <c r="JQY172" s="928"/>
      <c r="JQZ172" s="928"/>
      <c r="JRA172" s="928"/>
      <c r="JRB172" s="928"/>
      <c r="JRC172" s="928"/>
      <c r="JRD172" s="928"/>
      <c r="JRE172" s="928"/>
      <c r="JRF172" s="928"/>
      <c r="JRG172" s="928"/>
      <c r="JRH172" s="928"/>
      <c r="JRI172" s="928"/>
      <c r="JRJ172" s="928"/>
      <c r="JRK172" s="928"/>
      <c r="JRL172" s="928"/>
      <c r="JRM172" s="928"/>
      <c r="JRN172" s="928"/>
      <c r="JRO172" s="928"/>
      <c r="JRP172" s="928"/>
      <c r="JRQ172" s="928"/>
      <c r="JRR172" s="928"/>
      <c r="JRS172" s="928"/>
      <c r="JRT172" s="928"/>
      <c r="JRU172" s="928"/>
      <c r="JRV172" s="928"/>
      <c r="JRW172" s="928"/>
      <c r="JRX172" s="928"/>
      <c r="JRY172" s="928"/>
      <c r="JRZ172" s="928"/>
      <c r="JSA172" s="928"/>
      <c r="JSB172" s="928"/>
      <c r="JSC172" s="928"/>
      <c r="JSD172" s="928"/>
      <c r="JSE172" s="928"/>
      <c r="JSF172" s="928"/>
      <c r="JSG172" s="928"/>
      <c r="JSH172" s="928"/>
      <c r="JSI172" s="928"/>
      <c r="JSJ172" s="928"/>
      <c r="JSK172" s="928"/>
      <c r="JSL172" s="928"/>
      <c r="JSM172" s="928"/>
      <c r="JSN172" s="928"/>
      <c r="JSO172" s="928"/>
      <c r="JSP172" s="928"/>
      <c r="JSQ172" s="928"/>
      <c r="JSR172" s="928"/>
      <c r="JSS172" s="928"/>
      <c r="JST172" s="928"/>
      <c r="JSU172" s="928"/>
      <c r="JSV172" s="928"/>
      <c r="JSW172" s="928"/>
      <c r="JSX172" s="928"/>
      <c r="JSY172" s="928"/>
      <c r="JSZ172" s="928"/>
      <c r="JTA172" s="928"/>
      <c r="JTB172" s="928"/>
      <c r="JTC172" s="928"/>
      <c r="JTD172" s="928"/>
      <c r="JTE172" s="928"/>
      <c r="JTF172" s="928"/>
      <c r="JTG172" s="928"/>
      <c r="JTH172" s="928"/>
      <c r="JTI172" s="928"/>
      <c r="JTJ172" s="928"/>
      <c r="JTK172" s="928"/>
      <c r="JTL172" s="928"/>
      <c r="JTM172" s="928"/>
      <c r="JTN172" s="928"/>
      <c r="JTO172" s="928"/>
      <c r="JTP172" s="928"/>
      <c r="JTQ172" s="928"/>
      <c r="JTR172" s="928"/>
      <c r="JTS172" s="928"/>
      <c r="JTT172" s="928"/>
      <c r="JTU172" s="928"/>
      <c r="JTV172" s="928"/>
      <c r="JTW172" s="928"/>
      <c r="JTX172" s="928"/>
      <c r="JTY172" s="928"/>
      <c r="JTZ172" s="928"/>
      <c r="JUA172" s="928"/>
      <c r="JUB172" s="928"/>
      <c r="JUC172" s="928"/>
      <c r="JUD172" s="928"/>
      <c r="JUE172" s="928"/>
      <c r="JUF172" s="928"/>
      <c r="JUG172" s="928"/>
      <c r="JUH172" s="928"/>
      <c r="JUI172" s="928"/>
      <c r="JUJ172" s="928"/>
      <c r="JUK172" s="928"/>
      <c r="JUL172" s="928"/>
      <c r="JUM172" s="928"/>
      <c r="JUN172" s="928"/>
      <c r="JUO172" s="928"/>
      <c r="JUP172" s="928"/>
      <c r="JUQ172" s="928"/>
      <c r="JUR172" s="928"/>
      <c r="JUS172" s="928"/>
      <c r="JUT172" s="928"/>
      <c r="JUU172" s="928"/>
      <c r="JUV172" s="928"/>
      <c r="JUW172" s="928"/>
      <c r="JUX172" s="928"/>
      <c r="JUY172" s="928"/>
      <c r="JUZ172" s="928"/>
      <c r="JVA172" s="928"/>
      <c r="JVB172" s="928"/>
      <c r="JVC172" s="928"/>
      <c r="JVD172" s="928"/>
      <c r="JVE172" s="928"/>
      <c r="JVF172" s="928"/>
      <c r="JVG172" s="928"/>
      <c r="JVH172" s="928"/>
      <c r="JVI172" s="928"/>
      <c r="JVJ172" s="928"/>
      <c r="JVK172" s="928"/>
      <c r="JVL172" s="928"/>
      <c r="JVM172" s="928"/>
      <c r="JVN172" s="928"/>
      <c r="JVO172" s="928"/>
      <c r="JVP172" s="928"/>
      <c r="JVQ172" s="928"/>
      <c r="JVR172" s="928"/>
      <c r="JVS172" s="928"/>
      <c r="JVT172" s="928"/>
      <c r="JVU172" s="928"/>
      <c r="JVV172" s="928"/>
      <c r="JVW172" s="928"/>
      <c r="JVX172" s="928"/>
      <c r="JVY172" s="928"/>
      <c r="JVZ172" s="928"/>
      <c r="JWA172" s="928"/>
      <c r="JWB172" s="928"/>
      <c r="JWC172" s="928"/>
      <c r="JWD172" s="928"/>
      <c r="JWE172" s="928"/>
      <c r="JWF172" s="928"/>
      <c r="JWG172" s="928"/>
      <c r="JWH172" s="928"/>
      <c r="JWI172" s="928"/>
      <c r="JWJ172" s="928"/>
      <c r="JWK172" s="928"/>
      <c r="JWL172" s="928"/>
      <c r="JWM172" s="928"/>
      <c r="JWN172" s="928"/>
      <c r="JWO172" s="928"/>
      <c r="JWP172" s="928"/>
      <c r="JWQ172" s="928"/>
      <c r="JWR172" s="928"/>
      <c r="JWS172" s="928"/>
      <c r="JWT172" s="928"/>
      <c r="JWU172" s="928"/>
      <c r="JWV172" s="928"/>
      <c r="JWW172" s="928"/>
      <c r="JWX172" s="928"/>
      <c r="JWY172" s="928"/>
      <c r="JWZ172" s="928"/>
      <c r="JXA172" s="928"/>
      <c r="JXB172" s="928"/>
      <c r="JXC172" s="928"/>
      <c r="JXD172" s="928"/>
      <c r="JXE172" s="928"/>
      <c r="JXF172" s="928"/>
      <c r="JXG172" s="928"/>
      <c r="JXH172" s="928"/>
      <c r="JXI172" s="928"/>
      <c r="JXJ172" s="928"/>
      <c r="JXK172" s="928"/>
      <c r="JXL172" s="928"/>
      <c r="JXM172" s="928"/>
      <c r="JXN172" s="928"/>
      <c r="JXO172" s="928"/>
      <c r="JXP172" s="928"/>
      <c r="JXQ172" s="928"/>
      <c r="JXR172" s="928"/>
      <c r="JXS172" s="928"/>
      <c r="JXT172" s="928"/>
      <c r="JXU172" s="928"/>
      <c r="JXV172" s="928"/>
      <c r="JXW172" s="928"/>
      <c r="JXX172" s="928"/>
      <c r="JXY172" s="928"/>
      <c r="JXZ172" s="928"/>
      <c r="JYA172" s="928"/>
      <c r="JYB172" s="928"/>
      <c r="JYC172" s="928"/>
      <c r="JYD172" s="928"/>
      <c r="JYE172" s="928"/>
      <c r="JYF172" s="928"/>
      <c r="JYG172" s="928"/>
      <c r="JYH172" s="928"/>
      <c r="JYI172" s="928"/>
      <c r="JYJ172" s="928"/>
      <c r="JYK172" s="928"/>
      <c r="JYL172" s="928"/>
      <c r="JYM172" s="928"/>
      <c r="JYN172" s="928"/>
      <c r="JYO172" s="928"/>
      <c r="JYP172" s="928"/>
      <c r="JYQ172" s="928"/>
      <c r="JYR172" s="928"/>
      <c r="JYS172" s="928"/>
      <c r="JYT172" s="928"/>
      <c r="JYU172" s="928"/>
      <c r="JYV172" s="928"/>
      <c r="JYW172" s="928"/>
      <c r="JYX172" s="928"/>
      <c r="JYY172" s="928"/>
      <c r="JYZ172" s="928"/>
      <c r="JZA172" s="928"/>
      <c r="JZB172" s="928"/>
      <c r="JZC172" s="928"/>
      <c r="JZD172" s="928"/>
      <c r="JZE172" s="928"/>
      <c r="JZF172" s="928"/>
      <c r="JZG172" s="928"/>
      <c r="JZH172" s="928"/>
      <c r="JZI172" s="928"/>
      <c r="JZJ172" s="928"/>
      <c r="JZK172" s="928"/>
      <c r="JZL172" s="928"/>
      <c r="JZM172" s="928"/>
      <c r="JZN172" s="928"/>
      <c r="JZO172" s="928"/>
      <c r="JZP172" s="928"/>
      <c r="JZQ172" s="928"/>
      <c r="JZR172" s="928"/>
      <c r="JZS172" s="928"/>
      <c r="JZT172" s="928"/>
      <c r="JZU172" s="928"/>
      <c r="JZV172" s="928"/>
      <c r="JZW172" s="928"/>
      <c r="JZX172" s="928"/>
      <c r="JZY172" s="928"/>
      <c r="JZZ172" s="928"/>
      <c r="KAA172" s="928"/>
      <c r="KAB172" s="928"/>
      <c r="KAC172" s="928"/>
      <c r="KAD172" s="928"/>
      <c r="KAE172" s="928"/>
      <c r="KAF172" s="928"/>
      <c r="KAG172" s="928"/>
      <c r="KAH172" s="928"/>
      <c r="KAI172" s="928"/>
      <c r="KAJ172" s="928"/>
      <c r="KAK172" s="928"/>
      <c r="KAL172" s="928"/>
      <c r="KAM172" s="928"/>
      <c r="KAN172" s="928"/>
      <c r="KAO172" s="928"/>
      <c r="KAP172" s="928"/>
      <c r="KAQ172" s="928"/>
      <c r="KAR172" s="928"/>
      <c r="KAS172" s="928"/>
      <c r="KAT172" s="928"/>
      <c r="KAU172" s="928"/>
      <c r="KAV172" s="928"/>
      <c r="KAW172" s="928"/>
      <c r="KAX172" s="928"/>
      <c r="KAY172" s="928"/>
      <c r="KAZ172" s="928"/>
      <c r="KBA172" s="928"/>
      <c r="KBB172" s="928"/>
      <c r="KBC172" s="928"/>
      <c r="KBD172" s="928"/>
      <c r="KBE172" s="928"/>
      <c r="KBF172" s="928"/>
      <c r="KBG172" s="928"/>
      <c r="KBH172" s="928"/>
      <c r="KBI172" s="928"/>
      <c r="KBJ172" s="928"/>
      <c r="KBK172" s="928"/>
      <c r="KBL172" s="928"/>
      <c r="KBM172" s="928"/>
      <c r="KBN172" s="928"/>
      <c r="KBO172" s="928"/>
      <c r="KBP172" s="928"/>
      <c r="KBQ172" s="928"/>
      <c r="KBR172" s="928"/>
      <c r="KBS172" s="928"/>
      <c r="KBT172" s="928"/>
      <c r="KBU172" s="928"/>
      <c r="KBV172" s="928"/>
      <c r="KBW172" s="928"/>
      <c r="KBX172" s="928"/>
      <c r="KBY172" s="928"/>
      <c r="KBZ172" s="928"/>
      <c r="KCA172" s="928"/>
      <c r="KCB172" s="928"/>
      <c r="KCC172" s="928"/>
      <c r="KCD172" s="928"/>
      <c r="KCE172" s="928"/>
      <c r="KCF172" s="928"/>
      <c r="KCG172" s="928"/>
      <c r="KCH172" s="928"/>
      <c r="KCI172" s="928"/>
      <c r="KCJ172" s="928"/>
      <c r="KCK172" s="928"/>
      <c r="KCL172" s="928"/>
      <c r="KCM172" s="928"/>
      <c r="KCN172" s="928"/>
      <c r="KCO172" s="928"/>
      <c r="KCP172" s="928"/>
      <c r="KCQ172" s="928"/>
      <c r="KCR172" s="928"/>
      <c r="KCS172" s="928"/>
      <c r="KCT172" s="928"/>
      <c r="KCU172" s="928"/>
      <c r="KCV172" s="928"/>
      <c r="KCW172" s="928"/>
      <c r="KCX172" s="928"/>
      <c r="KCY172" s="928"/>
      <c r="KCZ172" s="928"/>
      <c r="KDA172" s="928"/>
      <c r="KDB172" s="928"/>
      <c r="KDC172" s="928"/>
      <c r="KDD172" s="928"/>
      <c r="KDE172" s="928"/>
      <c r="KDF172" s="928"/>
      <c r="KDG172" s="928"/>
      <c r="KDH172" s="928"/>
      <c r="KDI172" s="928"/>
      <c r="KDJ172" s="928"/>
      <c r="KDK172" s="928"/>
      <c r="KDL172" s="928"/>
      <c r="KDM172" s="928"/>
      <c r="KDN172" s="928"/>
      <c r="KDO172" s="928"/>
      <c r="KDP172" s="928"/>
      <c r="KDQ172" s="928"/>
      <c r="KDR172" s="928"/>
      <c r="KDS172" s="928"/>
      <c r="KDT172" s="928"/>
      <c r="KDU172" s="928"/>
      <c r="KDV172" s="928"/>
      <c r="KDW172" s="928"/>
      <c r="KDX172" s="928"/>
      <c r="KDY172" s="928"/>
      <c r="KDZ172" s="928"/>
      <c r="KEA172" s="928"/>
      <c r="KEB172" s="928"/>
      <c r="KEC172" s="928"/>
      <c r="KED172" s="928"/>
      <c r="KEE172" s="928"/>
      <c r="KEF172" s="928"/>
      <c r="KEG172" s="928"/>
      <c r="KEH172" s="928"/>
      <c r="KEI172" s="928"/>
      <c r="KEJ172" s="928"/>
      <c r="KEK172" s="928"/>
      <c r="KEL172" s="928"/>
      <c r="KEM172" s="928"/>
      <c r="KEN172" s="928"/>
      <c r="KEO172" s="928"/>
      <c r="KEP172" s="928"/>
      <c r="KEQ172" s="928"/>
      <c r="KER172" s="928"/>
      <c r="KES172" s="928"/>
      <c r="KET172" s="928"/>
      <c r="KEU172" s="928"/>
      <c r="KEV172" s="928"/>
      <c r="KEW172" s="928"/>
      <c r="KEX172" s="928"/>
      <c r="KEY172" s="928"/>
      <c r="KEZ172" s="928"/>
      <c r="KFA172" s="928"/>
      <c r="KFB172" s="928"/>
      <c r="KFC172" s="928"/>
      <c r="KFD172" s="928"/>
      <c r="KFE172" s="928"/>
      <c r="KFF172" s="928"/>
      <c r="KFG172" s="928"/>
      <c r="KFH172" s="928"/>
      <c r="KFI172" s="928"/>
      <c r="KFJ172" s="928"/>
      <c r="KFK172" s="928"/>
      <c r="KFL172" s="928"/>
      <c r="KFM172" s="928"/>
      <c r="KFN172" s="928"/>
      <c r="KFO172" s="928"/>
      <c r="KFP172" s="928"/>
      <c r="KFQ172" s="928"/>
      <c r="KFR172" s="928"/>
      <c r="KFS172" s="928"/>
      <c r="KFT172" s="928"/>
      <c r="KFU172" s="928"/>
      <c r="KFV172" s="928"/>
      <c r="KFW172" s="928"/>
      <c r="KFX172" s="928"/>
      <c r="KFY172" s="928"/>
      <c r="KFZ172" s="928"/>
      <c r="KGA172" s="928"/>
      <c r="KGB172" s="928"/>
      <c r="KGC172" s="928"/>
      <c r="KGD172" s="928"/>
      <c r="KGE172" s="928"/>
      <c r="KGF172" s="928"/>
      <c r="KGG172" s="928"/>
      <c r="KGH172" s="928"/>
      <c r="KGI172" s="928"/>
      <c r="KGJ172" s="928"/>
      <c r="KGK172" s="928"/>
      <c r="KGL172" s="928"/>
      <c r="KGM172" s="928"/>
      <c r="KGN172" s="928"/>
      <c r="KGO172" s="928"/>
      <c r="KGP172" s="928"/>
      <c r="KGQ172" s="928"/>
      <c r="KGR172" s="928"/>
      <c r="KGS172" s="928"/>
      <c r="KGT172" s="928"/>
      <c r="KGU172" s="928"/>
      <c r="KGV172" s="928"/>
      <c r="KGW172" s="928"/>
      <c r="KGX172" s="928"/>
      <c r="KGY172" s="928"/>
      <c r="KGZ172" s="928"/>
      <c r="KHA172" s="928"/>
      <c r="KHB172" s="928"/>
      <c r="KHC172" s="928"/>
      <c r="KHD172" s="928"/>
      <c r="KHE172" s="928"/>
      <c r="KHF172" s="928"/>
      <c r="KHG172" s="928"/>
      <c r="KHH172" s="928"/>
      <c r="KHI172" s="928"/>
      <c r="KHJ172" s="928"/>
      <c r="KHK172" s="928"/>
      <c r="KHL172" s="928"/>
      <c r="KHM172" s="928"/>
      <c r="KHN172" s="928"/>
      <c r="KHO172" s="928"/>
      <c r="KHP172" s="928"/>
      <c r="KHQ172" s="928"/>
      <c r="KHR172" s="928"/>
      <c r="KHS172" s="928"/>
      <c r="KHT172" s="928"/>
      <c r="KHU172" s="928"/>
      <c r="KHV172" s="928"/>
      <c r="KHW172" s="928"/>
      <c r="KHX172" s="928"/>
      <c r="KHY172" s="928"/>
      <c r="KHZ172" s="928"/>
      <c r="KIA172" s="928"/>
      <c r="KIB172" s="928"/>
      <c r="KIC172" s="928"/>
      <c r="KID172" s="928"/>
      <c r="KIE172" s="928"/>
      <c r="KIF172" s="928"/>
      <c r="KIG172" s="928"/>
      <c r="KIH172" s="928"/>
      <c r="KII172" s="928"/>
      <c r="KIJ172" s="928"/>
      <c r="KIK172" s="928"/>
      <c r="KIL172" s="928"/>
      <c r="KIM172" s="928"/>
      <c r="KIN172" s="928"/>
      <c r="KIO172" s="928"/>
      <c r="KIP172" s="928"/>
      <c r="KIQ172" s="928"/>
      <c r="KIR172" s="928"/>
      <c r="KIS172" s="928"/>
      <c r="KIT172" s="928"/>
      <c r="KIU172" s="928"/>
      <c r="KIV172" s="928"/>
      <c r="KIW172" s="928"/>
      <c r="KIX172" s="928"/>
      <c r="KIY172" s="928"/>
      <c r="KIZ172" s="928"/>
      <c r="KJA172" s="928"/>
      <c r="KJB172" s="928"/>
      <c r="KJC172" s="928"/>
      <c r="KJD172" s="928"/>
      <c r="KJE172" s="928"/>
      <c r="KJF172" s="928"/>
      <c r="KJG172" s="928"/>
      <c r="KJH172" s="928"/>
      <c r="KJI172" s="928"/>
      <c r="KJJ172" s="928"/>
      <c r="KJK172" s="928"/>
      <c r="KJL172" s="928"/>
      <c r="KJM172" s="928"/>
      <c r="KJN172" s="928"/>
      <c r="KJO172" s="928"/>
      <c r="KJP172" s="928"/>
      <c r="KJQ172" s="928"/>
      <c r="KJR172" s="928"/>
      <c r="KJS172" s="928"/>
      <c r="KJT172" s="928"/>
      <c r="KJU172" s="928"/>
      <c r="KJV172" s="928"/>
      <c r="KJW172" s="928"/>
      <c r="KJX172" s="928"/>
      <c r="KJY172" s="928"/>
      <c r="KJZ172" s="928"/>
      <c r="KKA172" s="928"/>
      <c r="KKB172" s="928"/>
      <c r="KKC172" s="928"/>
      <c r="KKD172" s="928"/>
      <c r="KKE172" s="928"/>
      <c r="KKF172" s="928"/>
      <c r="KKG172" s="928"/>
      <c r="KKH172" s="928"/>
      <c r="KKI172" s="928"/>
      <c r="KKJ172" s="928"/>
      <c r="KKK172" s="928"/>
      <c r="KKL172" s="928"/>
      <c r="KKM172" s="928"/>
      <c r="KKN172" s="928"/>
      <c r="KKO172" s="928"/>
      <c r="KKP172" s="928"/>
      <c r="KKQ172" s="928"/>
      <c r="KKR172" s="928"/>
      <c r="KKS172" s="928"/>
      <c r="KKT172" s="928"/>
      <c r="KKU172" s="928"/>
      <c r="KKV172" s="928"/>
      <c r="KKW172" s="928"/>
      <c r="KKX172" s="928"/>
      <c r="KKY172" s="928"/>
      <c r="KKZ172" s="928"/>
      <c r="KLA172" s="928"/>
      <c r="KLB172" s="928"/>
      <c r="KLC172" s="928"/>
      <c r="KLD172" s="928"/>
      <c r="KLE172" s="928"/>
      <c r="KLF172" s="928"/>
      <c r="KLG172" s="928"/>
      <c r="KLH172" s="928"/>
      <c r="KLI172" s="928"/>
      <c r="KLJ172" s="928"/>
      <c r="KLK172" s="928"/>
      <c r="KLL172" s="928"/>
      <c r="KLM172" s="928"/>
      <c r="KLN172" s="928"/>
      <c r="KLO172" s="928"/>
      <c r="KLP172" s="928"/>
      <c r="KLQ172" s="928"/>
      <c r="KLR172" s="928"/>
      <c r="KLS172" s="928"/>
      <c r="KLT172" s="928"/>
      <c r="KLU172" s="928"/>
      <c r="KLV172" s="928"/>
      <c r="KLW172" s="928"/>
      <c r="KLX172" s="928"/>
      <c r="KLY172" s="928"/>
      <c r="KLZ172" s="928"/>
      <c r="KMA172" s="928"/>
      <c r="KMB172" s="928"/>
      <c r="KMC172" s="928"/>
      <c r="KMD172" s="928"/>
      <c r="KME172" s="928"/>
      <c r="KMF172" s="928"/>
      <c r="KMG172" s="928"/>
      <c r="KMH172" s="928"/>
      <c r="KMI172" s="928"/>
      <c r="KMJ172" s="928"/>
      <c r="KMK172" s="928"/>
      <c r="KML172" s="928"/>
      <c r="KMM172" s="928"/>
      <c r="KMN172" s="928"/>
      <c r="KMO172" s="928"/>
      <c r="KMP172" s="928"/>
      <c r="KMQ172" s="928"/>
      <c r="KMR172" s="928"/>
      <c r="KMS172" s="928"/>
      <c r="KMT172" s="928"/>
      <c r="KMU172" s="928"/>
      <c r="KMV172" s="928"/>
      <c r="KMW172" s="928"/>
      <c r="KMX172" s="928"/>
      <c r="KMY172" s="928"/>
      <c r="KMZ172" s="928"/>
      <c r="KNA172" s="928"/>
      <c r="KNB172" s="928"/>
      <c r="KNC172" s="928"/>
      <c r="KND172" s="928"/>
      <c r="KNE172" s="928"/>
      <c r="KNF172" s="928"/>
      <c r="KNG172" s="928"/>
      <c r="KNH172" s="928"/>
      <c r="KNI172" s="928"/>
      <c r="KNJ172" s="928"/>
      <c r="KNK172" s="928"/>
      <c r="KNL172" s="928"/>
      <c r="KNM172" s="928"/>
      <c r="KNN172" s="928"/>
      <c r="KNO172" s="928"/>
      <c r="KNP172" s="928"/>
      <c r="KNQ172" s="928"/>
      <c r="KNR172" s="928"/>
      <c r="KNS172" s="928"/>
      <c r="KNT172" s="928"/>
      <c r="KNU172" s="928"/>
      <c r="KNV172" s="928"/>
      <c r="KNW172" s="928"/>
      <c r="KNX172" s="928"/>
      <c r="KNY172" s="928"/>
      <c r="KNZ172" s="928"/>
      <c r="KOA172" s="928"/>
      <c r="KOB172" s="928"/>
      <c r="KOC172" s="928"/>
      <c r="KOD172" s="928"/>
      <c r="KOE172" s="928"/>
      <c r="KOF172" s="928"/>
      <c r="KOG172" s="928"/>
      <c r="KOH172" s="928"/>
      <c r="KOI172" s="928"/>
      <c r="KOJ172" s="928"/>
      <c r="KOK172" s="928"/>
      <c r="KOL172" s="928"/>
      <c r="KOM172" s="928"/>
      <c r="KON172" s="928"/>
      <c r="KOO172" s="928"/>
      <c r="KOP172" s="928"/>
      <c r="KOQ172" s="928"/>
      <c r="KOR172" s="928"/>
      <c r="KOS172" s="928"/>
      <c r="KOT172" s="928"/>
      <c r="KOU172" s="928"/>
      <c r="KOV172" s="928"/>
      <c r="KOW172" s="928"/>
      <c r="KOX172" s="928"/>
      <c r="KOY172" s="928"/>
      <c r="KOZ172" s="928"/>
      <c r="KPA172" s="928"/>
      <c r="KPB172" s="928"/>
      <c r="KPC172" s="928"/>
      <c r="KPD172" s="928"/>
      <c r="KPE172" s="928"/>
      <c r="KPF172" s="928"/>
      <c r="KPG172" s="928"/>
      <c r="KPH172" s="928"/>
      <c r="KPI172" s="928"/>
      <c r="KPJ172" s="928"/>
      <c r="KPK172" s="928"/>
      <c r="KPL172" s="928"/>
      <c r="KPM172" s="928"/>
      <c r="KPN172" s="928"/>
      <c r="KPO172" s="928"/>
      <c r="KPP172" s="928"/>
      <c r="KPQ172" s="928"/>
      <c r="KPR172" s="928"/>
      <c r="KPS172" s="928"/>
      <c r="KPT172" s="928"/>
      <c r="KPU172" s="928"/>
      <c r="KPV172" s="928"/>
      <c r="KPW172" s="928"/>
      <c r="KPX172" s="928"/>
      <c r="KPY172" s="928"/>
      <c r="KPZ172" s="928"/>
      <c r="KQA172" s="928"/>
      <c r="KQB172" s="928"/>
      <c r="KQC172" s="928"/>
      <c r="KQD172" s="928"/>
      <c r="KQE172" s="928"/>
      <c r="KQF172" s="928"/>
      <c r="KQG172" s="928"/>
      <c r="KQH172" s="928"/>
      <c r="KQI172" s="928"/>
      <c r="KQJ172" s="928"/>
      <c r="KQK172" s="928"/>
      <c r="KQL172" s="928"/>
      <c r="KQM172" s="928"/>
      <c r="KQN172" s="928"/>
      <c r="KQO172" s="928"/>
      <c r="KQP172" s="928"/>
      <c r="KQQ172" s="928"/>
      <c r="KQR172" s="928"/>
      <c r="KQS172" s="928"/>
      <c r="KQT172" s="928"/>
      <c r="KQU172" s="928"/>
      <c r="KQV172" s="928"/>
      <c r="KQW172" s="928"/>
      <c r="KQX172" s="928"/>
      <c r="KQY172" s="928"/>
      <c r="KQZ172" s="928"/>
      <c r="KRA172" s="928"/>
      <c r="KRB172" s="928"/>
      <c r="KRC172" s="928"/>
      <c r="KRD172" s="928"/>
      <c r="KRE172" s="928"/>
      <c r="KRF172" s="928"/>
      <c r="KRG172" s="928"/>
      <c r="KRH172" s="928"/>
      <c r="KRI172" s="928"/>
      <c r="KRJ172" s="928"/>
      <c r="KRK172" s="928"/>
      <c r="KRL172" s="928"/>
      <c r="KRM172" s="928"/>
      <c r="KRN172" s="928"/>
      <c r="KRO172" s="928"/>
      <c r="KRP172" s="928"/>
      <c r="KRQ172" s="928"/>
      <c r="KRR172" s="928"/>
      <c r="KRS172" s="928"/>
      <c r="KRT172" s="928"/>
      <c r="KRU172" s="928"/>
      <c r="KRV172" s="928"/>
      <c r="KRW172" s="928"/>
      <c r="KRX172" s="928"/>
      <c r="KRY172" s="928"/>
      <c r="KRZ172" s="928"/>
      <c r="KSA172" s="928"/>
      <c r="KSB172" s="928"/>
      <c r="KSC172" s="928"/>
      <c r="KSD172" s="928"/>
      <c r="KSE172" s="928"/>
      <c r="KSF172" s="928"/>
      <c r="KSG172" s="928"/>
      <c r="KSH172" s="928"/>
      <c r="KSI172" s="928"/>
      <c r="KSJ172" s="928"/>
      <c r="KSK172" s="928"/>
      <c r="KSL172" s="928"/>
      <c r="KSM172" s="928"/>
      <c r="KSN172" s="928"/>
      <c r="KSO172" s="928"/>
      <c r="KSP172" s="928"/>
      <c r="KSQ172" s="928"/>
      <c r="KSR172" s="928"/>
      <c r="KSS172" s="928"/>
      <c r="KST172" s="928"/>
      <c r="KSU172" s="928"/>
      <c r="KSV172" s="928"/>
      <c r="KSW172" s="928"/>
      <c r="KSX172" s="928"/>
      <c r="KSY172" s="928"/>
      <c r="KSZ172" s="928"/>
      <c r="KTA172" s="928"/>
      <c r="KTB172" s="928"/>
      <c r="KTC172" s="928"/>
      <c r="KTD172" s="928"/>
      <c r="KTE172" s="928"/>
      <c r="KTF172" s="928"/>
      <c r="KTG172" s="928"/>
      <c r="KTH172" s="928"/>
      <c r="KTI172" s="928"/>
      <c r="KTJ172" s="928"/>
      <c r="KTK172" s="928"/>
      <c r="KTL172" s="928"/>
      <c r="KTM172" s="928"/>
      <c r="KTN172" s="928"/>
      <c r="KTO172" s="928"/>
      <c r="KTP172" s="928"/>
      <c r="KTQ172" s="928"/>
      <c r="KTR172" s="928"/>
      <c r="KTS172" s="928"/>
      <c r="KTT172" s="928"/>
      <c r="KTU172" s="928"/>
      <c r="KTV172" s="928"/>
      <c r="KTW172" s="928"/>
      <c r="KTX172" s="928"/>
      <c r="KTY172" s="928"/>
      <c r="KTZ172" s="928"/>
      <c r="KUA172" s="928"/>
      <c r="KUB172" s="928"/>
      <c r="KUC172" s="928"/>
      <c r="KUD172" s="928"/>
      <c r="KUE172" s="928"/>
      <c r="KUF172" s="928"/>
      <c r="KUG172" s="928"/>
      <c r="KUH172" s="928"/>
      <c r="KUI172" s="928"/>
      <c r="KUJ172" s="928"/>
      <c r="KUK172" s="928"/>
      <c r="KUL172" s="928"/>
      <c r="KUM172" s="928"/>
      <c r="KUN172" s="928"/>
      <c r="KUO172" s="928"/>
      <c r="KUP172" s="928"/>
      <c r="KUQ172" s="928"/>
      <c r="KUR172" s="928"/>
      <c r="KUS172" s="928"/>
      <c r="KUT172" s="928"/>
      <c r="KUU172" s="928"/>
      <c r="KUV172" s="928"/>
      <c r="KUW172" s="928"/>
      <c r="KUX172" s="928"/>
      <c r="KUY172" s="928"/>
      <c r="KUZ172" s="928"/>
      <c r="KVA172" s="928"/>
      <c r="KVB172" s="928"/>
      <c r="KVC172" s="928"/>
      <c r="KVD172" s="928"/>
      <c r="KVE172" s="928"/>
      <c r="KVF172" s="928"/>
      <c r="KVG172" s="928"/>
      <c r="KVH172" s="928"/>
      <c r="KVI172" s="928"/>
      <c r="KVJ172" s="928"/>
      <c r="KVK172" s="928"/>
      <c r="KVL172" s="928"/>
      <c r="KVM172" s="928"/>
      <c r="KVN172" s="928"/>
      <c r="KVO172" s="928"/>
      <c r="KVP172" s="928"/>
      <c r="KVQ172" s="928"/>
      <c r="KVR172" s="928"/>
      <c r="KVS172" s="928"/>
      <c r="KVT172" s="928"/>
      <c r="KVU172" s="928"/>
      <c r="KVV172" s="928"/>
      <c r="KVW172" s="928"/>
      <c r="KVX172" s="928"/>
      <c r="KVY172" s="928"/>
      <c r="KVZ172" s="928"/>
      <c r="KWA172" s="928"/>
      <c r="KWB172" s="928"/>
      <c r="KWC172" s="928"/>
      <c r="KWD172" s="928"/>
      <c r="KWE172" s="928"/>
      <c r="KWF172" s="928"/>
      <c r="KWG172" s="928"/>
      <c r="KWH172" s="928"/>
      <c r="KWI172" s="928"/>
      <c r="KWJ172" s="928"/>
      <c r="KWK172" s="928"/>
      <c r="KWL172" s="928"/>
      <c r="KWM172" s="928"/>
      <c r="KWN172" s="928"/>
      <c r="KWO172" s="928"/>
      <c r="KWP172" s="928"/>
      <c r="KWQ172" s="928"/>
      <c r="KWR172" s="928"/>
      <c r="KWS172" s="928"/>
      <c r="KWT172" s="928"/>
      <c r="KWU172" s="928"/>
      <c r="KWV172" s="928"/>
      <c r="KWW172" s="928"/>
      <c r="KWX172" s="928"/>
      <c r="KWY172" s="928"/>
      <c r="KWZ172" s="928"/>
      <c r="KXA172" s="928"/>
      <c r="KXB172" s="928"/>
      <c r="KXC172" s="928"/>
      <c r="KXD172" s="928"/>
      <c r="KXE172" s="928"/>
      <c r="KXF172" s="928"/>
      <c r="KXG172" s="928"/>
      <c r="KXH172" s="928"/>
      <c r="KXI172" s="928"/>
      <c r="KXJ172" s="928"/>
      <c r="KXK172" s="928"/>
      <c r="KXL172" s="928"/>
      <c r="KXM172" s="928"/>
      <c r="KXN172" s="928"/>
      <c r="KXO172" s="928"/>
      <c r="KXP172" s="928"/>
      <c r="KXQ172" s="928"/>
      <c r="KXR172" s="928"/>
      <c r="KXS172" s="928"/>
      <c r="KXT172" s="928"/>
      <c r="KXU172" s="928"/>
      <c r="KXV172" s="928"/>
      <c r="KXW172" s="928"/>
      <c r="KXX172" s="928"/>
      <c r="KXY172" s="928"/>
      <c r="KXZ172" s="928"/>
      <c r="KYA172" s="928"/>
      <c r="KYB172" s="928"/>
      <c r="KYC172" s="928"/>
      <c r="KYD172" s="928"/>
      <c r="KYE172" s="928"/>
      <c r="KYF172" s="928"/>
      <c r="KYG172" s="928"/>
      <c r="KYH172" s="928"/>
      <c r="KYI172" s="928"/>
      <c r="KYJ172" s="928"/>
      <c r="KYK172" s="928"/>
      <c r="KYL172" s="928"/>
      <c r="KYM172" s="928"/>
      <c r="KYN172" s="928"/>
      <c r="KYO172" s="928"/>
      <c r="KYP172" s="928"/>
      <c r="KYQ172" s="928"/>
      <c r="KYR172" s="928"/>
      <c r="KYS172" s="928"/>
      <c r="KYT172" s="928"/>
      <c r="KYU172" s="928"/>
      <c r="KYV172" s="928"/>
      <c r="KYW172" s="928"/>
      <c r="KYX172" s="928"/>
      <c r="KYY172" s="928"/>
      <c r="KYZ172" s="928"/>
      <c r="KZA172" s="928"/>
      <c r="KZB172" s="928"/>
      <c r="KZC172" s="928"/>
      <c r="KZD172" s="928"/>
      <c r="KZE172" s="928"/>
      <c r="KZF172" s="928"/>
      <c r="KZG172" s="928"/>
      <c r="KZH172" s="928"/>
      <c r="KZI172" s="928"/>
      <c r="KZJ172" s="928"/>
      <c r="KZK172" s="928"/>
      <c r="KZL172" s="928"/>
      <c r="KZM172" s="928"/>
      <c r="KZN172" s="928"/>
      <c r="KZO172" s="928"/>
      <c r="KZP172" s="928"/>
      <c r="KZQ172" s="928"/>
      <c r="KZR172" s="928"/>
      <c r="KZS172" s="928"/>
      <c r="KZT172" s="928"/>
      <c r="KZU172" s="928"/>
      <c r="KZV172" s="928"/>
      <c r="KZW172" s="928"/>
      <c r="KZX172" s="928"/>
      <c r="KZY172" s="928"/>
      <c r="KZZ172" s="928"/>
      <c r="LAA172" s="928"/>
      <c r="LAB172" s="928"/>
      <c r="LAC172" s="928"/>
      <c r="LAD172" s="928"/>
      <c r="LAE172" s="928"/>
      <c r="LAF172" s="928"/>
      <c r="LAG172" s="928"/>
      <c r="LAH172" s="928"/>
      <c r="LAI172" s="928"/>
      <c r="LAJ172" s="928"/>
      <c r="LAK172" s="928"/>
      <c r="LAL172" s="928"/>
      <c r="LAM172" s="928"/>
      <c r="LAN172" s="928"/>
      <c r="LAO172" s="928"/>
      <c r="LAP172" s="928"/>
      <c r="LAQ172" s="928"/>
      <c r="LAR172" s="928"/>
      <c r="LAS172" s="928"/>
      <c r="LAT172" s="928"/>
      <c r="LAU172" s="928"/>
      <c r="LAV172" s="928"/>
      <c r="LAW172" s="928"/>
      <c r="LAX172" s="928"/>
      <c r="LAY172" s="928"/>
      <c r="LAZ172" s="928"/>
      <c r="LBA172" s="928"/>
      <c r="LBB172" s="928"/>
      <c r="LBC172" s="928"/>
      <c r="LBD172" s="928"/>
      <c r="LBE172" s="928"/>
      <c r="LBF172" s="928"/>
      <c r="LBG172" s="928"/>
      <c r="LBH172" s="928"/>
      <c r="LBI172" s="928"/>
      <c r="LBJ172" s="928"/>
      <c r="LBK172" s="928"/>
      <c r="LBL172" s="928"/>
      <c r="LBM172" s="928"/>
      <c r="LBN172" s="928"/>
      <c r="LBO172" s="928"/>
      <c r="LBP172" s="928"/>
      <c r="LBQ172" s="928"/>
      <c r="LBR172" s="928"/>
      <c r="LBS172" s="928"/>
      <c r="LBT172" s="928"/>
      <c r="LBU172" s="928"/>
      <c r="LBV172" s="928"/>
      <c r="LBW172" s="928"/>
      <c r="LBX172" s="928"/>
      <c r="LBY172" s="928"/>
      <c r="LBZ172" s="928"/>
      <c r="LCA172" s="928"/>
      <c r="LCB172" s="928"/>
      <c r="LCC172" s="928"/>
      <c r="LCD172" s="928"/>
      <c r="LCE172" s="928"/>
      <c r="LCF172" s="928"/>
      <c r="LCG172" s="928"/>
      <c r="LCH172" s="928"/>
      <c r="LCI172" s="928"/>
      <c r="LCJ172" s="928"/>
      <c r="LCK172" s="928"/>
      <c r="LCL172" s="928"/>
      <c r="LCM172" s="928"/>
      <c r="LCN172" s="928"/>
      <c r="LCO172" s="928"/>
      <c r="LCP172" s="928"/>
      <c r="LCQ172" s="928"/>
      <c r="LCR172" s="928"/>
      <c r="LCS172" s="928"/>
      <c r="LCT172" s="928"/>
      <c r="LCU172" s="928"/>
      <c r="LCV172" s="928"/>
      <c r="LCW172" s="928"/>
      <c r="LCX172" s="928"/>
      <c r="LCY172" s="928"/>
      <c r="LCZ172" s="928"/>
      <c r="LDA172" s="928"/>
      <c r="LDB172" s="928"/>
      <c r="LDC172" s="928"/>
      <c r="LDD172" s="928"/>
      <c r="LDE172" s="928"/>
      <c r="LDF172" s="928"/>
      <c r="LDG172" s="928"/>
      <c r="LDH172" s="928"/>
      <c r="LDI172" s="928"/>
      <c r="LDJ172" s="928"/>
      <c r="LDK172" s="928"/>
      <c r="LDL172" s="928"/>
      <c r="LDM172" s="928"/>
      <c r="LDN172" s="928"/>
      <c r="LDO172" s="928"/>
      <c r="LDP172" s="928"/>
      <c r="LDQ172" s="928"/>
      <c r="LDR172" s="928"/>
      <c r="LDS172" s="928"/>
      <c r="LDT172" s="928"/>
      <c r="LDU172" s="928"/>
      <c r="LDV172" s="928"/>
      <c r="LDW172" s="928"/>
      <c r="LDX172" s="928"/>
      <c r="LDY172" s="928"/>
      <c r="LDZ172" s="928"/>
      <c r="LEA172" s="928"/>
      <c r="LEB172" s="928"/>
      <c r="LEC172" s="928"/>
      <c r="LED172" s="928"/>
      <c r="LEE172" s="928"/>
      <c r="LEF172" s="928"/>
      <c r="LEG172" s="928"/>
      <c r="LEH172" s="928"/>
      <c r="LEI172" s="928"/>
      <c r="LEJ172" s="928"/>
      <c r="LEK172" s="928"/>
      <c r="LEL172" s="928"/>
      <c r="LEM172" s="928"/>
      <c r="LEN172" s="928"/>
      <c r="LEO172" s="928"/>
      <c r="LEP172" s="928"/>
      <c r="LEQ172" s="928"/>
      <c r="LER172" s="928"/>
      <c r="LES172" s="928"/>
      <c r="LET172" s="928"/>
      <c r="LEU172" s="928"/>
      <c r="LEV172" s="928"/>
      <c r="LEW172" s="928"/>
      <c r="LEX172" s="928"/>
      <c r="LEY172" s="928"/>
      <c r="LEZ172" s="928"/>
      <c r="LFA172" s="928"/>
      <c r="LFB172" s="928"/>
      <c r="LFC172" s="928"/>
      <c r="LFD172" s="928"/>
      <c r="LFE172" s="928"/>
      <c r="LFF172" s="928"/>
      <c r="LFG172" s="928"/>
      <c r="LFH172" s="928"/>
      <c r="LFI172" s="928"/>
      <c r="LFJ172" s="928"/>
      <c r="LFK172" s="928"/>
      <c r="LFL172" s="928"/>
      <c r="LFM172" s="928"/>
      <c r="LFN172" s="928"/>
      <c r="LFO172" s="928"/>
      <c r="LFP172" s="928"/>
      <c r="LFQ172" s="928"/>
      <c r="LFR172" s="928"/>
      <c r="LFS172" s="928"/>
      <c r="LFT172" s="928"/>
      <c r="LFU172" s="928"/>
      <c r="LFV172" s="928"/>
      <c r="LFW172" s="928"/>
      <c r="LFX172" s="928"/>
      <c r="LFY172" s="928"/>
      <c r="LFZ172" s="928"/>
      <c r="LGA172" s="928"/>
      <c r="LGB172" s="928"/>
      <c r="LGC172" s="928"/>
      <c r="LGD172" s="928"/>
      <c r="LGE172" s="928"/>
      <c r="LGF172" s="928"/>
      <c r="LGG172" s="928"/>
      <c r="LGH172" s="928"/>
      <c r="LGI172" s="928"/>
      <c r="LGJ172" s="928"/>
      <c r="LGK172" s="928"/>
      <c r="LGL172" s="928"/>
      <c r="LGM172" s="928"/>
      <c r="LGN172" s="928"/>
      <c r="LGO172" s="928"/>
      <c r="LGP172" s="928"/>
      <c r="LGQ172" s="928"/>
      <c r="LGR172" s="928"/>
      <c r="LGS172" s="928"/>
      <c r="LGT172" s="928"/>
      <c r="LGU172" s="928"/>
      <c r="LGV172" s="928"/>
      <c r="LGW172" s="928"/>
      <c r="LGX172" s="928"/>
      <c r="LGY172" s="928"/>
      <c r="LGZ172" s="928"/>
      <c r="LHA172" s="928"/>
      <c r="LHB172" s="928"/>
      <c r="LHC172" s="928"/>
      <c r="LHD172" s="928"/>
      <c r="LHE172" s="928"/>
      <c r="LHF172" s="928"/>
      <c r="LHG172" s="928"/>
      <c r="LHH172" s="928"/>
      <c r="LHI172" s="928"/>
      <c r="LHJ172" s="928"/>
      <c r="LHK172" s="928"/>
      <c r="LHL172" s="928"/>
      <c r="LHM172" s="928"/>
      <c r="LHN172" s="928"/>
      <c r="LHO172" s="928"/>
      <c r="LHP172" s="928"/>
      <c r="LHQ172" s="928"/>
      <c r="LHR172" s="928"/>
      <c r="LHS172" s="928"/>
      <c r="LHT172" s="928"/>
      <c r="LHU172" s="928"/>
      <c r="LHV172" s="928"/>
      <c r="LHW172" s="928"/>
      <c r="LHX172" s="928"/>
      <c r="LHY172" s="928"/>
      <c r="LHZ172" s="928"/>
      <c r="LIA172" s="928"/>
      <c r="LIB172" s="928"/>
      <c r="LIC172" s="928"/>
      <c r="LID172" s="928"/>
      <c r="LIE172" s="928"/>
      <c r="LIF172" s="928"/>
      <c r="LIG172" s="928"/>
      <c r="LIH172" s="928"/>
      <c r="LII172" s="928"/>
      <c r="LIJ172" s="928"/>
      <c r="LIK172" s="928"/>
      <c r="LIL172" s="928"/>
      <c r="LIM172" s="928"/>
      <c r="LIN172" s="928"/>
      <c r="LIO172" s="928"/>
      <c r="LIP172" s="928"/>
      <c r="LIQ172" s="928"/>
      <c r="LIR172" s="928"/>
      <c r="LIS172" s="928"/>
      <c r="LIT172" s="928"/>
      <c r="LIU172" s="928"/>
      <c r="LIV172" s="928"/>
      <c r="LIW172" s="928"/>
      <c r="LIX172" s="928"/>
      <c r="LIY172" s="928"/>
      <c r="LIZ172" s="928"/>
      <c r="LJA172" s="928"/>
      <c r="LJB172" s="928"/>
      <c r="LJC172" s="928"/>
      <c r="LJD172" s="928"/>
      <c r="LJE172" s="928"/>
      <c r="LJF172" s="928"/>
      <c r="LJG172" s="928"/>
      <c r="LJH172" s="928"/>
      <c r="LJI172" s="928"/>
      <c r="LJJ172" s="928"/>
      <c r="LJK172" s="928"/>
      <c r="LJL172" s="928"/>
      <c r="LJM172" s="928"/>
      <c r="LJN172" s="928"/>
      <c r="LJO172" s="928"/>
      <c r="LJP172" s="928"/>
      <c r="LJQ172" s="928"/>
      <c r="LJR172" s="928"/>
      <c r="LJS172" s="928"/>
      <c r="LJT172" s="928"/>
      <c r="LJU172" s="928"/>
      <c r="LJV172" s="928"/>
      <c r="LJW172" s="928"/>
      <c r="LJX172" s="928"/>
      <c r="LJY172" s="928"/>
      <c r="LJZ172" s="928"/>
      <c r="LKA172" s="928"/>
      <c r="LKB172" s="928"/>
      <c r="LKC172" s="928"/>
      <c r="LKD172" s="928"/>
      <c r="LKE172" s="928"/>
      <c r="LKF172" s="928"/>
      <c r="LKG172" s="928"/>
      <c r="LKH172" s="928"/>
      <c r="LKI172" s="928"/>
      <c r="LKJ172" s="928"/>
      <c r="LKK172" s="928"/>
      <c r="LKL172" s="928"/>
      <c r="LKM172" s="928"/>
      <c r="LKN172" s="928"/>
      <c r="LKO172" s="928"/>
      <c r="LKP172" s="928"/>
      <c r="LKQ172" s="928"/>
      <c r="LKR172" s="928"/>
      <c r="LKS172" s="928"/>
      <c r="LKT172" s="928"/>
      <c r="LKU172" s="928"/>
      <c r="LKV172" s="928"/>
      <c r="LKW172" s="928"/>
      <c r="LKX172" s="928"/>
      <c r="LKY172" s="928"/>
      <c r="LKZ172" s="928"/>
      <c r="LLA172" s="928"/>
      <c r="LLB172" s="928"/>
      <c r="LLC172" s="928"/>
      <c r="LLD172" s="928"/>
      <c r="LLE172" s="928"/>
      <c r="LLF172" s="928"/>
      <c r="LLG172" s="928"/>
      <c r="LLH172" s="928"/>
      <c r="LLI172" s="928"/>
      <c r="LLJ172" s="928"/>
      <c r="LLK172" s="928"/>
      <c r="LLL172" s="928"/>
      <c r="LLM172" s="928"/>
      <c r="LLN172" s="928"/>
      <c r="LLO172" s="928"/>
      <c r="LLP172" s="928"/>
      <c r="LLQ172" s="928"/>
      <c r="LLR172" s="928"/>
      <c r="LLS172" s="928"/>
      <c r="LLT172" s="928"/>
      <c r="LLU172" s="928"/>
      <c r="LLV172" s="928"/>
      <c r="LLW172" s="928"/>
      <c r="LLX172" s="928"/>
      <c r="LLY172" s="928"/>
      <c r="LLZ172" s="928"/>
      <c r="LMA172" s="928"/>
      <c r="LMB172" s="928"/>
      <c r="LMC172" s="928"/>
      <c r="LMD172" s="928"/>
      <c r="LME172" s="928"/>
      <c r="LMF172" s="928"/>
      <c r="LMG172" s="928"/>
      <c r="LMH172" s="928"/>
      <c r="LMI172" s="928"/>
      <c r="LMJ172" s="928"/>
      <c r="LMK172" s="928"/>
      <c r="LML172" s="928"/>
      <c r="LMM172" s="928"/>
      <c r="LMN172" s="928"/>
      <c r="LMO172" s="928"/>
      <c r="LMP172" s="928"/>
      <c r="LMQ172" s="928"/>
      <c r="LMR172" s="928"/>
      <c r="LMS172" s="928"/>
      <c r="LMT172" s="928"/>
      <c r="LMU172" s="928"/>
      <c r="LMV172" s="928"/>
      <c r="LMW172" s="928"/>
      <c r="LMX172" s="928"/>
      <c r="LMY172" s="928"/>
      <c r="LMZ172" s="928"/>
      <c r="LNA172" s="928"/>
      <c r="LNB172" s="928"/>
      <c r="LNC172" s="928"/>
      <c r="LND172" s="928"/>
      <c r="LNE172" s="928"/>
      <c r="LNF172" s="928"/>
      <c r="LNG172" s="928"/>
      <c r="LNH172" s="928"/>
      <c r="LNI172" s="928"/>
      <c r="LNJ172" s="928"/>
      <c r="LNK172" s="928"/>
      <c r="LNL172" s="928"/>
      <c r="LNM172" s="928"/>
      <c r="LNN172" s="928"/>
      <c r="LNO172" s="928"/>
      <c r="LNP172" s="928"/>
      <c r="LNQ172" s="928"/>
      <c r="LNR172" s="928"/>
      <c r="LNS172" s="928"/>
      <c r="LNT172" s="928"/>
      <c r="LNU172" s="928"/>
      <c r="LNV172" s="928"/>
      <c r="LNW172" s="928"/>
      <c r="LNX172" s="928"/>
      <c r="LNY172" s="928"/>
      <c r="LNZ172" s="928"/>
      <c r="LOA172" s="928"/>
      <c r="LOB172" s="928"/>
      <c r="LOC172" s="928"/>
      <c r="LOD172" s="928"/>
      <c r="LOE172" s="928"/>
      <c r="LOF172" s="928"/>
      <c r="LOG172" s="928"/>
      <c r="LOH172" s="928"/>
      <c r="LOI172" s="928"/>
      <c r="LOJ172" s="928"/>
      <c r="LOK172" s="928"/>
      <c r="LOL172" s="928"/>
      <c r="LOM172" s="928"/>
      <c r="LON172" s="928"/>
      <c r="LOO172" s="928"/>
      <c r="LOP172" s="928"/>
      <c r="LOQ172" s="928"/>
      <c r="LOR172" s="928"/>
      <c r="LOS172" s="928"/>
      <c r="LOT172" s="928"/>
      <c r="LOU172" s="928"/>
      <c r="LOV172" s="928"/>
      <c r="LOW172" s="928"/>
      <c r="LOX172" s="928"/>
      <c r="LOY172" s="928"/>
      <c r="LOZ172" s="928"/>
      <c r="LPA172" s="928"/>
      <c r="LPB172" s="928"/>
      <c r="LPC172" s="928"/>
      <c r="LPD172" s="928"/>
      <c r="LPE172" s="928"/>
      <c r="LPF172" s="928"/>
      <c r="LPG172" s="928"/>
      <c r="LPH172" s="928"/>
      <c r="LPI172" s="928"/>
      <c r="LPJ172" s="928"/>
      <c r="LPK172" s="928"/>
      <c r="LPL172" s="928"/>
      <c r="LPM172" s="928"/>
      <c r="LPN172" s="928"/>
      <c r="LPO172" s="928"/>
      <c r="LPP172" s="928"/>
      <c r="LPQ172" s="928"/>
      <c r="LPR172" s="928"/>
      <c r="LPS172" s="928"/>
      <c r="LPT172" s="928"/>
      <c r="LPU172" s="928"/>
      <c r="LPV172" s="928"/>
      <c r="LPW172" s="928"/>
      <c r="LPX172" s="928"/>
      <c r="LPY172" s="928"/>
      <c r="LPZ172" s="928"/>
      <c r="LQA172" s="928"/>
      <c r="LQB172" s="928"/>
      <c r="LQC172" s="928"/>
      <c r="LQD172" s="928"/>
      <c r="LQE172" s="928"/>
      <c r="LQF172" s="928"/>
      <c r="LQG172" s="928"/>
      <c r="LQH172" s="928"/>
      <c r="LQI172" s="928"/>
      <c r="LQJ172" s="928"/>
      <c r="LQK172" s="928"/>
      <c r="LQL172" s="928"/>
      <c r="LQM172" s="928"/>
      <c r="LQN172" s="928"/>
      <c r="LQO172" s="928"/>
      <c r="LQP172" s="928"/>
      <c r="LQQ172" s="928"/>
      <c r="LQR172" s="928"/>
      <c r="LQS172" s="928"/>
      <c r="LQT172" s="928"/>
      <c r="LQU172" s="928"/>
      <c r="LQV172" s="928"/>
      <c r="LQW172" s="928"/>
      <c r="LQX172" s="928"/>
      <c r="LQY172" s="928"/>
      <c r="LQZ172" s="928"/>
      <c r="LRA172" s="928"/>
      <c r="LRB172" s="928"/>
      <c r="LRC172" s="928"/>
      <c r="LRD172" s="928"/>
      <c r="LRE172" s="928"/>
      <c r="LRF172" s="928"/>
      <c r="LRG172" s="928"/>
      <c r="LRH172" s="928"/>
      <c r="LRI172" s="928"/>
      <c r="LRJ172" s="928"/>
      <c r="LRK172" s="928"/>
      <c r="LRL172" s="928"/>
      <c r="LRM172" s="928"/>
      <c r="LRN172" s="928"/>
      <c r="LRO172" s="928"/>
      <c r="LRP172" s="928"/>
      <c r="LRQ172" s="928"/>
      <c r="LRR172" s="928"/>
      <c r="LRS172" s="928"/>
      <c r="LRT172" s="928"/>
      <c r="LRU172" s="928"/>
      <c r="LRV172" s="928"/>
      <c r="LRW172" s="928"/>
      <c r="LRX172" s="928"/>
      <c r="LRY172" s="928"/>
      <c r="LRZ172" s="928"/>
      <c r="LSA172" s="928"/>
      <c r="LSB172" s="928"/>
      <c r="LSC172" s="928"/>
      <c r="LSD172" s="928"/>
      <c r="LSE172" s="928"/>
      <c r="LSF172" s="928"/>
      <c r="LSG172" s="928"/>
      <c r="LSH172" s="928"/>
      <c r="LSI172" s="928"/>
      <c r="LSJ172" s="928"/>
      <c r="LSK172" s="928"/>
      <c r="LSL172" s="928"/>
      <c r="LSM172" s="928"/>
      <c r="LSN172" s="928"/>
      <c r="LSO172" s="928"/>
      <c r="LSP172" s="928"/>
      <c r="LSQ172" s="928"/>
      <c r="LSR172" s="928"/>
      <c r="LSS172" s="928"/>
      <c r="LST172" s="928"/>
      <c r="LSU172" s="928"/>
      <c r="LSV172" s="928"/>
      <c r="LSW172" s="928"/>
      <c r="LSX172" s="928"/>
      <c r="LSY172" s="928"/>
      <c r="LSZ172" s="928"/>
      <c r="LTA172" s="928"/>
      <c r="LTB172" s="928"/>
      <c r="LTC172" s="928"/>
      <c r="LTD172" s="928"/>
      <c r="LTE172" s="928"/>
      <c r="LTF172" s="928"/>
      <c r="LTG172" s="928"/>
      <c r="LTH172" s="928"/>
      <c r="LTI172" s="928"/>
      <c r="LTJ172" s="928"/>
      <c r="LTK172" s="928"/>
      <c r="LTL172" s="928"/>
      <c r="LTM172" s="928"/>
      <c r="LTN172" s="928"/>
      <c r="LTO172" s="928"/>
      <c r="LTP172" s="928"/>
      <c r="LTQ172" s="928"/>
      <c r="LTR172" s="928"/>
      <c r="LTS172" s="928"/>
      <c r="LTT172" s="928"/>
      <c r="LTU172" s="928"/>
      <c r="LTV172" s="928"/>
      <c r="LTW172" s="928"/>
      <c r="LTX172" s="928"/>
      <c r="LTY172" s="928"/>
      <c r="LTZ172" s="928"/>
      <c r="LUA172" s="928"/>
      <c r="LUB172" s="928"/>
      <c r="LUC172" s="928"/>
      <c r="LUD172" s="928"/>
      <c r="LUE172" s="928"/>
      <c r="LUF172" s="928"/>
      <c r="LUG172" s="928"/>
      <c r="LUH172" s="928"/>
      <c r="LUI172" s="928"/>
      <c r="LUJ172" s="928"/>
      <c r="LUK172" s="928"/>
      <c r="LUL172" s="928"/>
      <c r="LUM172" s="928"/>
      <c r="LUN172" s="928"/>
      <c r="LUO172" s="928"/>
      <c r="LUP172" s="928"/>
      <c r="LUQ172" s="928"/>
      <c r="LUR172" s="928"/>
      <c r="LUS172" s="928"/>
      <c r="LUT172" s="928"/>
      <c r="LUU172" s="928"/>
      <c r="LUV172" s="928"/>
      <c r="LUW172" s="928"/>
      <c r="LUX172" s="928"/>
      <c r="LUY172" s="928"/>
      <c r="LUZ172" s="928"/>
      <c r="LVA172" s="928"/>
      <c r="LVB172" s="928"/>
      <c r="LVC172" s="928"/>
      <c r="LVD172" s="928"/>
      <c r="LVE172" s="928"/>
      <c r="LVF172" s="928"/>
      <c r="LVG172" s="928"/>
      <c r="LVH172" s="928"/>
      <c r="LVI172" s="928"/>
      <c r="LVJ172" s="928"/>
      <c r="LVK172" s="928"/>
      <c r="LVL172" s="928"/>
      <c r="LVM172" s="928"/>
      <c r="LVN172" s="928"/>
      <c r="LVO172" s="928"/>
      <c r="LVP172" s="928"/>
      <c r="LVQ172" s="928"/>
      <c r="LVR172" s="928"/>
      <c r="LVS172" s="928"/>
      <c r="LVT172" s="928"/>
      <c r="LVU172" s="928"/>
      <c r="LVV172" s="928"/>
      <c r="LVW172" s="928"/>
      <c r="LVX172" s="928"/>
      <c r="LVY172" s="928"/>
      <c r="LVZ172" s="928"/>
      <c r="LWA172" s="928"/>
      <c r="LWB172" s="928"/>
      <c r="LWC172" s="928"/>
      <c r="LWD172" s="928"/>
      <c r="LWE172" s="928"/>
      <c r="LWF172" s="928"/>
      <c r="LWG172" s="928"/>
      <c r="LWH172" s="928"/>
      <c r="LWI172" s="928"/>
      <c r="LWJ172" s="928"/>
      <c r="LWK172" s="928"/>
      <c r="LWL172" s="928"/>
      <c r="LWM172" s="928"/>
      <c r="LWN172" s="928"/>
      <c r="LWO172" s="928"/>
      <c r="LWP172" s="928"/>
      <c r="LWQ172" s="928"/>
      <c r="LWR172" s="928"/>
      <c r="LWS172" s="928"/>
      <c r="LWT172" s="928"/>
      <c r="LWU172" s="928"/>
      <c r="LWV172" s="928"/>
      <c r="LWW172" s="928"/>
      <c r="LWX172" s="928"/>
      <c r="LWY172" s="928"/>
      <c r="LWZ172" s="928"/>
      <c r="LXA172" s="928"/>
      <c r="LXB172" s="928"/>
      <c r="LXC172" s="928"/>
      <c r="LXD172" s="928"/>
      <c r="LXE172" s="928"/>
      <c r="LXF172" s="928"/>
      <c r="LXG172" s="928"/>
      <c r="LXH172" s="928"/>
      <c r="LXI172" s="928"/>
      <c r="LXJ172" s="928"/>
      <c r="LXK172" s="928"/>
      <c r="LXL172" s="928"/>
      <c r="LXM172" s="928"/>
      <c r="LXN172" s="928"/>
      <c r="LXO172" s="928"/>
      <c r="LXP172" s="928"/>
      <c r="LXQ172" s="928"/>
      <c r="LXR172" s="928"/>
      <c r="LXS172" s="928"/>
      <c r="LXT172" s="928"/>
      <c r="LXU172" s="928"/>
      <c r="LXV172" s="928"/>
      <c r="LXW172" s="928"/>
      <c r="LXX172" s="928"/>
      <c r="LXY172" s="928"/>
      <c r="LXZ172" s="928"/>
      <c r="LYA172" s="928"/>
      <c r="LYB172" s="928"/>
      <c r="LYC172" s="928"/>
      <c r="LYD172" s="928"/>
      <c r="LYE172" s="928"/>
      <c r="LYF172" s="928"/>
      <c r="LYG172" s="928"/>
      <c r="LYH172" s="928"/>
      <c r="LYI172" s="928"/>
      <c r="LYJ172" s="928"/>
      <c r="LYK172" s="928"/>
      <c r="LYL172" s="928"/>
      <c r="LYM172" s="928"/>
      <c r="LYN172" s="928"/>
      <c r="LYO172" s="928"/>
      <c r="LYP172" s="928"/>
      <c r="LYQ172" s="928"/>
      <c r="LYR172" s="928"/>
      <c r="LYS172" s="928"/>
      <c r="LYT172" s="928"/>
      <c r="LYU172" s="928"/>
      <c r="LYV172" s="928"/>
      <c r="LYW172" s="928"/>
      <c r="LYX172" s="928"/>
      <c r="LYY172" s="928"/>
      <c r="LYZ172" s="928"/>
      <c r="LZA172" s="928"/>
      <c r="LZB172" s="928"/>
      <c r="LZC172" s="928"/>
      <c r="LZD172" s="928"/>
      <c r="LZE172" s="928"/>
      <c r="LZF172" s="928"/>
      <c r="LZG172" s="928"/>
      <c r="LZH172" s="928"/>
      <c r="LZI172" s="928"/>
      <c r="LZJ172" s="928"/>
      <c r="LZK172" s="928"/>
      <c r="LZL172" s="928"/>
      <c r="LZM172" s="928"/>
      <c r="LZN172" s="928"/>
      <c r="LZO172" s="928"/>
      <c r="LZP172" s="928"/>
      <c r="LZQ172" s="928"/>
      <c r="LZR172" s="928"/>
      <c r="LZS172" s="928"/>
      <c r="LZT172" s="928"/>
      <c r="LZU172" s="928"/>
      <c r="LZV172" s="928"/>
      <c r="LZW172" s="928"/>
      <c r="LZX172" s="928"/>
      <c r="LZY172" s="928"/>
      <c r="LZZ172" s="928"/>
      <c r="MAA172" s="928"/>
      <c r="MAB172" s="928"/>
      <c r="MAC172" s="928"/>
      <c r="MAD172" s="928"/>
      <c r="MAE172" s="928"/>
      <c r="MAF172" s="928"/>
      <c r="MAG172" s="928"/>
      <c r="MAH172" s="928"/>
      <c r="MAI172" s="928"/>
      <c r="MAJ172" s="928"/>
      <c r="MAK172" s="928"/>
      <c r="MAL172" s="928"/>
      <c r="MAM172" s="928"/>
      <c r="MAN172" s="928"/>
      <c r="MAO172" s="928"/>
      <c r="MAP172" s="928"/>
      <c r="MAQ172" s="928"/>
      <c r="MAR172" s="928"/>
      <c r="MAS172" s="928"/>
      <c r="MAT172" s="928"/>
      <c r="MAU172" s="928"/>
      <c r="MAV172" s="928"/>
      <c r="MAW172" s="928"/>
      <c r="MAX172" s="928"/>
      <c r="MAY172" s="928"/>
      <c r="MAZ172" s="928"/>
      <c r="MBA172" s="928"/>
      <c r="MBB172" s="928"/>
      <c r="MBC172" s="928"/>
      <c r="MBD172" s="928"/>
      <c r="MBE172" s="928"/>
      <c r="MBF172" s="928"/>
      <c r="MBG172" s="928"/>
      <c r="MBH172" s="928"/>
      <c r="MBI172" s="928"/>
      <c r="MBJ172" s="928"/>
      <c r="MBK172" s="928"/>
      <c r="MBL172" s="928"/>
      <c r="MBM172" s="928"/>
      <c r="MBN172" s="928"/>
      <c r="MBO172" s="928"/>
      <c r="MBP172" s="928"/>
      <c r="MBQ172" s="928"/>
      <c r="MBR172" s="928"/>
      <c r="MBS172" s="928"/>
      <c r="MBT172" s="928"/>
      <c r="MBU172" s="928"/>
      <c r="MBV172" s="928"/>
      <c r="MBW172" s="928"/>
      <c r="MBX172" s="928"/>
      <c r="MBY172" s="928"/>
      <c r="MBZ172" s="928"/>
      <c r="MCA172" s="928"/>
      <c r="MCB172" s="928"/>
      <c r="MCC172" s="928"/>
      <c r="MCD172" s="928"/>
      <c r="MCE172" s="928"/>
      <c r="MCF172" s="928"/>
      <c r="MCG172" s="928"/>
      <c r="MCH172" s="928"/>
      <c r="MCI172" s="928"/>
      <c r="MCJ172" s="928"/>
      <c r="MCK172" s="928"/>
      <c r="MCL172" s="928"/>
      <c r="MCM172" s="928"/>
      <c r="MCN172" s="928"/>
      <c r="MCO172" s="928"/>
      <c r="MCP172" s="928"/>
      <c r="MCQ172" s="928"/>
      <c r="MCR172" s="928"/>
      <c r="MCS172" s="928"/>
      <c r="MCT172" s="928"/>
      <c r="MCU172" s="928"/>
      <c r="MCV172" s="928"/>
      <c r="MCW172" s="928"/>
      <c r="MCX172" s="928"/>
      <c r="MCY172" s="928"/>
      <c r="MCZ172" s="928"/>
      <c r="MDA172" s="928"/>
      <c r="MDB172" s="928"/>
      <c r="MDC172" s="928"/>
      <c r="MDD172" s="928"/>
      <c r="MDE172" s="928"/>
      <c r="MDF172" s="928"/>
      <c r="MDG172" s="928"/>
      <c r="MDH172" s="928"/>
      <c r="MDI172" s="928"/>
      <c r="MDJ172" s="928"/>
      <c r="MDK172" s="928"/>
      <c r="MDL172" s="928"/>
      <c r="MDM172" s="928"/>
      <c r="MDN172" s="928"/>
      <c r="MDO172" s="928"/>
      <c r="MDP172" s="928"/>
      <c r="MDQ172" s="928"/>
      <c r="MDR172" s="928"/>
      <c r="MDS172" s="928"/>
      <c r="MDT172" s="928"/>
      <c r="MDU172" s="928"/>
      <c r="MDV172" s="928"/>
      <c r="MDW172" s="928"/>
      <c r="MDX172" s="928"/>
      <c r="MDY172" s="928"/>
      <c r="MDZ172" s="928"/>
      <c r="MEA172" s="928"/>
      <c r="MEB172" s="928"/>
      <c r="MEC172" s="928"/>
      <c r="MED172" s="928"/>
      <c r="MEE172" s="928"/>
      <c r="MEF172" s="928"/>
      <c r="MEG172" s="928"/>
      <c r="MEH172" s="928"/>
      <c r="MEI172" s="928"/>
      <c r="MEJ172" s="928"/>
      <c r="MEK172" s="928"/>
      <c r="MEL172" s="928"/>
      <c r="MEM172" s="928"/>
      <c r="MEN172" s="928"/>
      <c r="MEO172" s="928"/>
      <c r="MEP172" s="928"/>
      <c r="MEQ172" s="928"/>
      <c r="MER172" s="928"/>
      <c r="MES172" s="928"/>
      <c r="MET172" s="928"/>
      <c r="MEU172" s="928"/>
      <c r="MEV172" s="928"/>
      <c r="MEW172" s="928"/>
      <c r="MEX172" s="928"/>
      <c r="MEY172" s="928"/>
      <c r="MEZ172" s="928"/>
      <c r="MFA172" s="928"/>
      <c r="MFB172" s="928"/>
      <c r="MFC172" s="928"/>
      <c r="MFD172" s="928"/>
      <c r="MFE172" s="928"/>
      <c r="MFF172" s="928"/>
      <c r="MFG172" s="928"/>
      <c r="MFH172" s="928"/>
      <c r="MFI172" s="928"/>
      <c r="MFJ172" s="928"/>
      <c r="MFK172" s="928"/>
      <c r="MFL172" s="928"/>
      <c r="MFM172" s="928"/>
      <c r="MFN172" s="928"/>
      <c r="MFO172" s="928"/>
      <c r="MFP172" s="928"/>
      <c r="MFQ172" s="928"/>
      <c r="MFR172" s="928"/>
      <c r="MFS172" s="928"/>
      <c r="MFT172" s="928"/>
      <c r="MFU172" s="928"/>
      <c r="MFV172" s="928"/>
      <c r="MFW172" s="928"/>
      <c r="MFX172" s="928"/>
      <c r="MFY172" s="928"/>
      <c r="MFZ172" s="928"/>
      <c r="MGA172" s="928"/>
      <c r="MGB172" s="928"/>
      <c r="MGC172" s="928"/>
      <c r="MGD172" s="928"/>
      <c r="MGE172" s="928"/>
      <c r="MGF172" s="928"/>
      <c r="MGG172" s="928"/>
      <c r="MGH172" s="928"/>
      <c r="MGI172" s="928"/>
      <c r="MGJ172" s="928"/>
      <c r="MGK172" s="928"/>
      <c r="MGL172" s="928"/>
      <c r="MGM172" s="928"/>
      <c r="MGN172" s="928"/>
      <c r="MGO172" s="928"/>
      <c r="MGP172" s="928"/>
      <c r="MGQ172" s="928"/>
      <c r="MGR172" s="928"/>
      <c r="MGS172" s="928"/>
      <c r="MGT172" s="928"/>
      <c r="MGU172" s="928"/>
      <c r="MGV172" s="928"/>
      <c r="MGW172" s="928"/>
      <c r="MGX172" s="928"/>
      <c r="MGY172" s="928"/>
      <c r="MGZ172" s="928"/>
      <c r="MHA172" s="928"/>
      <c r="MHB172" s="928"/>
      <c r="MHC172" s="928"/>
      <c r="MHD172" s="928"/>
      <c r="MHE172" s="928"/>
      <c r="MHF172" s="928"/>
      <c r="MHG172" s="928"/>
      <c r="MHH172" s="928"/>
      <c r="MHI172" s="928"/>
      <c r="MHJ172" s="928"/>
      <c r="MHK172" s="928"/>
      <c r="MHL172" s="928"/>
      <c r="MHM172" s="928"/>
      <c r="MHN172" s="928"/>
      <c r="MHO172" s="928"/>
      <c r="MHP172" s="928"/>
      <c r="MHQ172" s="928"/>
      <c r="MHR172" s="928"/>
      <c r="MHS172" s="928"/>
      <c r="MHT172" s="928"/>
      <c r="MHU172" s="928"/>
      <c r="MHV172" s="928"/>
      <c r="MHW172" s="928"/>
      <c r="MHX172" s="928"/>
      <c r="MHY172" s="928"/>
      <c r="MHZ172" s="928"/>
      <c r="MIA172" s="928"/>
      <c r="MIB172" s="928"/>
      <c r="MIC172" s="928"/>
      <c r="MID172" s="928"/>
      <c r="MIE172" s="928"/>
      <c r="MIF172" s="928"/>
      <c r="MIG172" s="928"/>
      <c r="MIH172" s="928"/>
      <c r="MII172" s="928"/>
      <c r="MIJ172" s="928"/>
      <c r="MIK172" s="928"/>
      <c r="MIL172" s="928"/>
      <c r="MIM172" s="928"/>
      <c r="MIN172" s="928"/>
      <c r="MIO172" s="928"/>
      <c r="MIP172" s="928"/>
      <c r="MIQ172" s="928"/>
      <c r="MIR172" s="928"/>
      <c r="MIS172" s="928"/>
      <c r="MIT172" s="928"/>
      <c r="MIU172" s="928"/>
      <c r="MIV172" s="928"/>
      <c r="MIW172" s="928"/>
      <c r="MIX172" s="928"/>
      <c r="MIY172" s="928"/>
      <c r="MIZ172" s="928"/>
      <c r="MJA172" s="928"/>
      <c r="MJB172" s="928"/>
      <c r="MJC172" s="928"/>
      <c r="MJD172" s="928"/>
      <c r="MJE172" s="928"/>
      <c r="MJF172" s="928"/>
      <c r="MJG172" s="928"/>
      <c r="MJH172" s="928"/>
      <c r="MJI172" s="928"/>
      <c r="MJJ172" s="928"/>
      <c r="MJK172" s="928"/>
      <c r="MJL172" s="928"/>
      <c r="MJM172" s="928"/>
      <c r="MJN172" s="928"/>
      <c r="MJO172" s="928"/>
      <c r="MJP172" s="928"/>
      <c r="MJQ172" s="928"/>
      <c r="MJR172" s="928"/>
      <c r="MJS172" s="928"/>
      <c r="MJT172" s="928"/>
      <c r="MJU172" s="928"/>
      <c r="MJV172" s="928"/>
      <c r="MJW172" s="928"/>
      <c r="MJX172" s="928"/>
      <c r="MJY172" s="928"/>
      <c r="MJZ172" s="928"/>
      <c r="MKA172" s="928"/>
      <c r="MKB172" s="928"/>
      <c r="MKC172" s="928"/>
      <c r="MKD172" s="928"/>
      <c r="MKE172" s="928"/>
      <c r="MKF172" s="928"/>
      <c r="MKG172" s="928"/>
      <c r="MKH172" s="928"/>
      <c r="MKI172" s="928"/>
      <c r="MKJ172" s="928"/>
      <c r="MKK172" s="928"/>
      <c r="MKL172" s="928"/>
      <c r="MKM172" s="928"/>
      <c r="MKN172" s="928"/>
      <c r="MKO172" s="928"/>
      <c r="MKP172" s="928"/>
      <c r="MKQ172" s="928"/>
      <c r="MKR172" s="928"/>
      <c r="MKS172" s="928"/>
      <c r="MKT172" s="928"/>
      <c r="MKU172" s="928"/>
      <c r="MKV172" s="928"/>
      <c r="MKW172" s="928"/>
      <c r="MKX172" s="928"/>
      <c r="MKY172" s="928"/>
      <c r="MKZ172" s="928"/>
      <c r="MLA172" s="928"/>
      <c r="MLB172" s="928"/>
      <c r="MLC172" s="928"/>
      <c r="MLD172" s="928"/>
      <c r="MLE172" s="928"/>
      <c r="MLF172" s="928"/>
      <c r="MLG172" s="928"/>
      <c r="MLH172" s="928"/>
      <c r="MLI172" s="928"/>
      <c r="MLJ172" s="928"/>
      <c r="MLK172" s="928"/>
      <c r="MLL172" s="928"/>
      <c r="MLM172" s="928"/>
      <c r="MLN172" s="928"/>
      <c r="MLO172" s="928"/>
      <c r="MLP172" s="928"/>
      <c r="MLQ172" s="928"/>
      <c r="MLR172" s="928"/>
      <c r="MLS172" s="928"/>
      <c r="MLT172" s="928"/>
      <c r="MLU172" s="928"/>
      <c r="MLV172" s="928"/>
      <c r="MLW172" s="928"/>
      <c r="MLX172" s="928"/>
      <c r="MLY172" s="928"/>
      <c r="MLZ172" s="928"/>
      <c r="MMA172" s="928"/>
      <c r="MMB172" s="928"/>
      <c r="MMC172" s="928"/>
      <c r="MMD172" s="928"/>
      <c r="MME172" s="928"/>
      <c r="MMF172" s="928"/>
      <c r="MMG172" s="928"/>
      <c r="MMH172" s="928"/>
      <c r="MMI172" s="928"/>
      <c r="MMJ172" s="928"/>
      <c r="MMK172" s="928"/>
      <c r="MML172" s="928"/>
      <c r="MMM172" s="928"/>
      <c r="MMN172" s="928"/>
      <c r="MMO172" s="928"/>
      <c r="MMP172" s="928"/>
      <c r="MMQ172" s="928"/>
      <c r="MMR172" s="928"/>
      <c r="MMS172" s="928"/>
      <c r="MMT172" s="928"/>
      <c r="MMU172" s="928"/>
      <c r="MMV172" s="928"/>
      <c r="MMW172" s="928"/>
      <c r="MMX172" s="928"/>
      <c r="MMY172" s="928"/>
      <c r="MMZ172" s="928"/>
      <c r="MNA172" s="928"/>
      <c r="MNB172" s="928"/>
      <c r="MNC172" s="928"/>
      <c r="MND172" s="928"/>
      <c r="MNE172" s="928"/>
      <c r="MNF172" s="928"/>
      <c r="MNG172" s="928"/>
      <c r="MNH172" s="928"/>
      <c r="MNI172" s="928"/>
      <c r="MNJ172" s="928"/>
      <c r="MNK172" s="928"/>
      <c r="MNL172" s="928"/>
      <c r="MNM172" s="928"/>
      <c r="MNN172" s="928"/>
      <c r="MNO172" s="928"/>
      <c r="MNP172" s="928"/>
      <c r="MNQ172" s="928"/>
      <c r="MNR172" s="928"/>
      <c r="MNS172" s="928"/>
      <c r="MNT172" s="928"/>
      <c r="MNU172" s="928"/>
      <c r="MNV172" s="928"/>
      <c r="MNW172" s="928"/>
      <c r="MNX172" s="928"/>
      <c r="MNY172" s="928"/>
      <c r="MNZ172" s="928"/>
      <c r="MOA172" s="928"/>
      <c r="MOB172" s="928"/>
      <c r="MOC172" s="928"/>
      <c r="MOD172" s="928"/>
      <c r="MOE172" s="928"/>
      <c r="MOF172" s="928"/>
      <c r="MOG172" s="928"/>
      <c r="MOH172" s="928"/>
      <c r="MOI172" s="928"/>
      <c r="MOJ172" s="928"/>
      <c r="MOK172" s="928"/>
      <c r="MOL172" s="928"/>
      <c r="MOM172" s="928"/>
      <c r="MON172" s="928"/>
      <c r="MOO172" s="928"/>
      <c r="MOP172" s="928"/>
      <c r="MOQ172" s="928"/>
      <c r="MOR172" s="928"/>
      <c r="MOS172" s="928"/>
      <c r="MOT172" s="928"/>
      <c r="MOU172" s="928"/>
      <c r="MOV172" s="928"/>
      <c r="MOW172" s="928"/>
      <c r="MOX172" s="928"/>
      <c r="MOY172" s="928"/>
      <c r="MOZ172" s="928"/>
      <c r="MPA172" s="928"/>
      <c r="MPB172" s="928"/>
      <c r="MPC172" s="928"/>
      <c r="MPD172" s="928"/>
      <c r="MPE172" s="928"/>
      <c r="MPF172" s="928"/>
      <c r="MPG172" s="928"/>
      <c r="MPH172" s="928"/>
      <c r="MPI172" s="928"/>
      <c r="MPJ172" s="928"/>
      <c r="MPK172" s="928"/>
      <c r="MPL172" s="928"/>
      <c r="MPM172" s="928"/>
      <c r="MPN172" s="928"/>
      <c r="MPO172" s="928"/>
      <c r="MPP172" s="928"/>
      <c r="MPQ172" s="928"/>
      <c r="MPR172" s="928"/>
      <c r="MPS172" s="928"/>
      <c r="MPT172" s="928"/>
      <c r="MPU172" s="928"/>
      <c r="MPV172" s="928"/>
      <c r="MPW172" s="928"/>
      <c r="MPX172" s="928"/>
      <c r="MPY172" s="928"/>
      <c r="MPZ172" s="928"/>
      <c r="MQA172" s="928"/>
      <c r="MQB172" s="928"/>
      <c r="MQC172" s="928"/>
      <c r="MQD172" s="928"/>
      <c r="MQE172" s="928"/>
      <c r="MQF172" s="928"/>
      <c r="MQG172" s="928"/>
      <c r="MQH172" s="928"/>
      <c r="MQI172" s="928"/>
      <c r="MQJ172" s="928"/>
      <c r="MQK172" s="928"/>
      <c r="MQL172" s="928"/>
      <c r="MQM172" s="928"/>
      <c r="MQN172" s="928"/>
      <c r="MQO172" s="928"/>
      <c r="MQP172" s="928"/>
      <c r="MQQ172" s="928"/>
      <c r="MQR172" s="928"/>
      <c r="MQS172" s="928"/>
      <c r="MQT172" s="928"/>
      <c r="MQU172" s="928"/>
      <c r="MQV172" s="928"/>
      <c r="MQW172" s="928"/>
      <c r="MQX172" s="928"/>
      <c r="MQY172" s="928"/>
      <c r="MQZ172" s="928"/>
      <c r="MRA172" s="928"/>
      <c r="MRB172" s="928"/>
      <c r="MRC172" s="928"/>
      <c r="MRD172" s="928"/>
      <c r="MRE172" s="928"/>
      <c r="MRF172" s="928"/>
      <c r="MRG172" s="928"/>
      <c r="MRH172" s="928"/>
      <c r="MRI172" s="928"/>
      <c r="MRJ172" s="928"/>
      <c r="MRK172" s="928"/>
      <c r="MRL172" s="928"/>
      <c r="MRM172" s="928"/>
      <c r="MRN172" s="928"/>
      <c r="MRO172" s="928"/>
      <c r="MRP172" s="928"/>
      <c r="MRQ172" s="928"/>
      <c r="MRR172" s="928"/>
      <c r="MRS172" s="928"/>
      <c r="MRT172" s="928"/>
      <c r="MRU172" s="928"/>
      <c r="MRV172" s="928"/>
      <c r="MRW172" s="928"/>
      <c r="MRX172" s="928"/>
      <c r="MRY172" s="928"/>
      <c r="MRZ172" s="928"/>
      <c r="MSA172" s="928"/>
      <c r="MSB172" s="928"/>
      <c r="MSC172" s="928"/>
      <c r="MSD172" s="928"/>
      <c r="MSE172" s="928"/>
      <c r="MSF172" s="928"/>
      <c r="MSG172" s="928"/>
      <c r="MSH172" s="928"/>
      <c r="MSI172" s="928"/>
      <c r="MSJ172" s="928"/>
      <c r="MSK172" s="928"/>
      <c r="MSL172" s="928"/>
      <c r="MSM172" s="928"/>
      <c r="MSN172" s="928"/>
      <c r="MSO172" s="928"/>
      <c r="MSP172" s="928"/>
      <c r="MSQ172" s="928"/>
      <c r="MSR172" s="928"/>
      <c r="MSS172" s="928"/>
      <c r="MST172" s="928"/>
      <c r="MSU172" s="928"/>
      <c r="MSV172" s="928"/>
      <c r="MSW172" s="928"/>
      <c r="MSX172" s="928"/>
      <c r="MSY172" s="928"/>
      <c r="MSZ172" s="928"/>
      <c r="MTA172" s="928"/>
      <c r="MTB172" s="928"/>
      <c r="MTC172" s="928"/>
      <c r="MTD172" s="928"/>
      <c r="MTE172" s="928"/>
      <c r="MTF172" s="928"/>
      <c r="MTG172" s="928"/>
      <c r="MTH172" s="928"/>
      <c r="MTI172" s="928"/>
      <c r="MTJ172" s="928"/>
      <c r="MTK172" s="928"/>
      <c r="MTL172" s="928"/>
      <c r="MTM172" s="928"/>
      <c r="MTN172" s="928"/>
      <c r="MTO172" s="928"/>
      <c r="MTP172" s="928"/>
      <c r="MTQ172" s="928"/>
      <c r="MTR172" s="928"/>
      <c r="MTS172" s="928"/>
      <c r="MTT172" s="928"/>
      <c r="MTU172" s="928"/>
      <c r="MTV172" s="928"/>
      <c r="MTW172" s="928"/>
      <c r="MTX172" s="928"/>
      <c r="MTY172" s="928"/>
      <c r="MTZ172" s="928"/>
      <c r="MUA172" s="928"/>
      <c r="MUB172" s="928"/>
      <c r="MUC172" s="928"/>
      <c r="MUD172" s="928"/>
      <c r="MUE172" s="928"/>
      <c r="MUF172" s="928"/>
      <c r="MUG172" s="928"/>
      <c r="MUH172" s="928"/>
      <c r="MUI172" s="928"/>
      <c r="MUJ172" s="928"/>
      <c r="MUK172" s="928"/>
      <c r="MUL172" s="928"/>
      <c r="MUM172" s="928"/>
      <c r="MUN172" s="928"/>
      <c r="MUO172" s="928"/>
      <c r="MUP172" s="928"/>
      <c r="MUQ172" s="928"/>
      <c r="MUR172" s="928"/>
      <c r="MUS172" s="928"/>
      <c r="MUT172" s="928"/>
      <c r="MUU172" s="928"/>
      <c r="MUV172" s="928"/>
      <c r="MUW172" s="928"/>
      <c r="MUX172" s="928"/>
      <c r="MUY172" s="928"/>
      <c r="MUZ172" s="928"/>
      <c r="MVA172" s="928"/>
      <c r="MVB172" s="928"/>
      <c r="MVC172" s="928"/>
      <c r="MVD172" s="928"/>
      <c r="MVE172" s="928"/>
      <c r="MVF172" s="928"/>
      <c r="MVG172" s="928"/>
      <c r="MVH172" s="928"/>
      <c r="MVI172" s="928"/>
      <c r="MVJ172" s="928"/>
      <c r="MVK172" s="928"/>
      <c r="MVL172" s="928"/>
      <c r="MVM172" s="928"/>
      <c r="MVN172" s="928"/>
      <c r="MVO172" s="928"/>
      <c r="MVP172" s="928"/>
      <c r="MVQ172" s="928"/>
      <c r="MVR172" s="928"/>
      <c r="MVS172" s="928"/>
      <c r="MVT172" s="928"/>
      <c r="MVU172" s="928"/>
      <c r="MVV172" s="928"/>
      <c r="MVW172" s="928"/>
      <c r="MVX172" s="928"/>
      <c r="MVY172" s="928"/>
      <c r="MVZ172" s="928"/>
      <c r="MWA172" s="928"/>
      <c r="MWB172" s="928"/>
      <c r="MWC172" s="928"/>
      <c r="MWD172" s="928"/>
      <c r="MWE172" s="928"/>
      <c r="MWF172" s="928"/>
      <c r="MWG172" s="928"/>
      <c r="MWH172" s="928"/>
      <c r="MWI172" s="928"/>
      <c r="MWJ172" s="928"/>
      <c r="MWK172" s="928"/>
      <c r="MWL172" s="928"/>
      <c r="MWM172" s="928"/>
      <c r="MWN172" s="928"/>
      <c r="MWO172" s="928"/>
      <c r="MWP172" s="928"/>
      <c r="MWQ172" s="928"/>
      <c r="MWR172" s="928"/>
      <c r="MWS172" s="928"/>
      <c r="MWT172" s="928"/>
      <c r="MWU172" s="928"/>
      <c r="MWV172" s="928"/>
      <c r="MWW172" s="928"/>
      <c r="MWX172" s="928"/>
      <c r="MWY172" s="928"/>
      <c r="MWZ172" s="928"/>
      <c r="MXA172" s="928"/>
      <c r="MXB172" s="928"/>
      <c r="MXC172" s="928"/>
      <c r="MXD172" s="928"/>
      <c r="MXE172" s="928"/>
      <c r="MXF172" s="928"/>
      <c r="MXG172" s="928"/>
      <c r="MXH172" s="928"/>
      <c r="MXI172" s="928"/>
      <c r="MXJ172" s="928"/>
      <c r="MXK172" s="928"/>
      <c r="MXL172" s="928"/>
      <c r="MXM172" s="928"/>
      <c r="MXN172" s="928"/>
      <c r="MXO172" s="928"/>
      <c r="MXP172" s="928"/>
      <c r="MXQ172" s="928"/>
      <c r="MXR172" s="928"/>
      <c r="MXS172" s="928"/>
      <c r="MXT172" s="928"/>
      <c r="MXU172" s="928"/>
      <c r="MXV172" s="928"/>
      <c r="MXW172" s="928"/>
      <c r="MXX172" s="928"/>
      <c r="MXY172" s="928"/>
      <c r="MXZ172" s="928"/>
      <c r="MYA172" s="928"/>
      <c r="MYB172" s="928"/>
      <c r="MYC172" s="928"/>
      <c r="MYD172" s="928"/>
      <c r="MYE172" s="928"/>
      <c r="MYF172" s="928"/>
      <c r="MYG172" s="928"/>
      <c r="MYH172" s="928"/>
      <c r="MYI172" s="928"/>
      <c r="MYJ172" s="928"/>
      <c r="MYK172" s="928"/>
      <c r="MYL172" s="928"/>
      <c r="MYM172" s="928"/>
      <c r="MYN172" s="928"/>
      <c r="MYO172" s="928"/>
      <c r="MYP172" s="928"/>
      <c r="MYQ172" s="928"/>
      <c r="MYR172" s="928"/>
      <c r="MYS172" s="928"/>
      <c r="MYT172" s="928"/>
      <c r="MYU172" s="928"/>
      <c r="MYV172" s="928"/>
      <c r="MYW172" s="928"/>
      <c r="MYX172" s="928"/>
      <c r="MYY172" s="928"/>
      <c r="MYZ172" s="928"/>
      <c r="MZA172" s="928"/>
      <c r="MZB172" s="928"/>
      <c r="MZC172" s="928"/>
      <c r="MZD172" s="928"/>
      <c r="MZE172" s="928"/>
      <c r="MZF172" s="928"/>
      <c r="MZG172" s="928"/>
      <c r="MZH172" s="928"/>
      <c r="MZI172" s="928"/>
      <c r="MZJ172" s="928"/>
      <c r="MZK172" s="928"/>
      <c r="MZL172" s="928"/>
      <c r="MZM172" s="928"/>
      <c r="MZN172" s="928"/>
      <c r="MZO172" s="928"/>
      <c r="MZP172" s="928"/>
      <c r="MZQ172" s="928"/>
      <c r="MZR172" s="928"/>
      <c r="MZS172" s="928"/>
      <c r="MZT172" s="928"/>
      <c r="MZU172" s="928"/>
      <c r="MZV172" s="928"/>
      <c r="MZW172" s="928"/>
      <c r="MZX172" s="928"/>
      <c r="MZY172" s="928"/>
      <c r="MZZ172" s="928"/>
      <c r="NAA172" s="928"/>
      <c r="NAB172" s="928"/>
      <c r="NAC172" s="928"/>
      <c r="NAD172" s="928"/>
      <c r="NAE172" s="928"/>
      <c r="NAF172" s="928"/>
      <c r="NAG172" s="928"/>
      <c r="NAH172" s="928"/>
      <c r="NAI172" s="928"/>
      <c r="NAJ172" s="928"/>
      <c r="NAK172" s="928"/>
      <c r="NAL172" s="928"/>
      <c r="NAM172" s="928"/>
      <c r="NAN172" s="928"/>
      <c r="NAO172" s="928"/>
      <c r="NAP172" s="928"/>
      <c r="NAQ172" s="928"/>
      <c r="NAR172" s="928"/>
      <c r="NAS172" s="928"/>
      <c r="NAT172" s="928"/>
      <c r="NAU172" s="928"/>
      <c r="NAV172" s="928"/>
      <c r="NAW172" s="928"/>
      <c r="NAX172" s="928"/>
      <c r="NAY172" s="928"/>
      <c r="NAZ172" s="928"/>
      <c r="NBA172" s="928"/>
      <c r="NBB172" s="928"/>
      <c r="NBC172" s="928"/>
      <c r="NBD172" s="928"/>
      <c r="NBE172" s="928"/>
      <c r="NBF172" s="928"/>
      <c r="NBG172" s="928"/>
      <c r="NBH172" s="928"/>
      <c r="NBI172" s="928"/>
      <c r="NBJ172" s="928"/>
      <c r="NBK172" s="928"/>
      <c r="NBL172" s="928"/>
      <c r="NBM172" s="928"/>
      <c r="NBN172" s="928"/>
      <c r="NBO172" s="928"/>
      <c r="NBP172" s="928"/>
      <c r="NBQ172" s="928"/>
      <c r="NBR172" s="928"/>
      <c r="NBS172" s="928"/>
      <c r="NBT172" s="928"/>
      <c r="NBU172" s="928"/>
      <c r="NBV172" s="928"/>
      <c r="NBW172" s="928"/>
      <c r="NBX172" s="928"/>
      <c r="NBY172" s="928"/>
      <c r="NBZ172" s="928"/>
      <c r="NCA172" s="928"/>
      <c r="NCB172" s="928"/>
      <c r="NCC172" s="928"/>
      <c r="NCD172" s="928"/>
      <c r="NCE172" s="928"/>
      <c r="NCF172" s="928"/>
      <c r="NCG172" s="928"/>
      <c r="NCH172" s="928"/>
      <c r="NCI172" s="928"/>
      <c r="NCJ172" s="928"/>
      <c r="NCK172" s="928"/>
      <c r="NCL172" s="928"/>
      <c r="NCM172" s="928"/>
      <c r="NCN172" s="928"/>
      <c r="NCO172" s="928"/>
      <c r="NCP172" s="928"/>
      <c r="NCQ172" s="928"/>
      <c r="NCR172" s="928"/>
      <c r="NCS172" s="928"/>
      <c r="NCT172" s="928"/>
      <c r="NCU172" s="928"/>
      <c r="NCV172" s="928"/>
      <c r="NCW172" s="928"/>
      <c r="NCX172" s="928"/>
      <c r="NCY172" s="928"/>
      <c r="NCZ172" s="928"/>
      <c r="NDA172" s="928"/>
      <c r="NDB172" s="928"/>
      <c r="NDC172" s="928"/>
      <c r="NDD172" s="928"/>
      <c r="NDE172" s="928"/>
      <c r="NDF172" s="928"/>
      <c r="NDG172" s="928"/>
      <c r="NDH172" s="928"/>
      <c r="NDI172" s="928"/>
      <c r="NDJ172" s="928"/>
      <c r="NDK172" s="928"/>
      <c r="NDL172" s="928"/>
      <c r="NDM172" s="928"/>
      <c r="NDN172" s="928"/>
      <c r="NDO172" s="928"/>
      <c r="NDP172" s="928"/>
      <c r="NDQ172" s="928"/>
      <c r="NDR172" s="928"/>
      <c r="NDS172" s="928"/>
      <c r="NDT172" s="928"/>
      <c r="NDU172" s="928"/>
      <c r="NDV172" s="928"/>
      <c r="NDW172" s="928"/>
      <c r="NDX172" s="928"/>
      <c r="NDY172" s="928"/>
      <c r="NDZ172" s="928"/>
      <c r="NEA172" s="928"/>
      <c r="NEB172" s="928"/>
      <c r="NEC172" s="928"/>
      <c r="NED172" s="928"/>
      <c r="NEE172" s="928"/>
      <c r="NEF172" s="928"/>
      <c r="NEG172" s="928"/>
      <c r="NEH172" s="928"/>
      <c r="NEI172" s="928"/>
      <c r="NEJ172" s="928"/>
      <c r="NEK172" s="928"/>
      <c r="NEL172" s="928"/>
      <c r="NEM172" s="928"/>
      <c r="NEN172" s="928"/>
      <c r="NEO172" s="928"/>
      <c r="NEP172" s="928"/>
      <c r="NEQ172" s="928"/>
      <c r="NER172" s="928"/>
      <c r="NES172" s="928"/>
      <c r="NET172" s="928"/>
      <c r="NEU172" s="928"/>
      <c r="NEV172" s="928"/>
      <c r="NEW172" s="928"/>
      <c r="NEX172" s="928"/>
      <c r="NEY172" s="928"/>
      <c r="NEZ172" s="928"/>
      <c r="NFA172" s="928"/>
      <c r="NFB172" s="928"/>
      <c r="NFC172" s="928"/>
      <c r="NFD172" s="928"/>
      <c r="NFE172" s="928"/>
      <c r="NFF172" s="928"/>
      <c r="NFG172" s="928"/>
      <c r="NFH172" s="928"/>
      <c r="NFI172" s="928"/>
      <c r="NFJ172" s="928"/>
      <c r="NFK172" s="928"/>
      <c r="NFL172" s="928"/>
      <c r="NFM172" s="928"/>
      <c r="NFN172" s="928"/>
      <c r="NFO172" s="928"/>
      <c r="NFP172" s="928"/>
      <c r="NFQ172" s="928"/>
      <c r="NFR172" s="928"/>
      <c r="NFS172" s="928"/>
      <c r="NFT172" s="928"/>
      <c r="NFU172" s="928"/>
      <c r="NFV172" s="928"/>
      <c r="NFW172" s="928"/>
      <c r="NFX172" s="928"/>
      <c r="NFY172" s="928"/>
      <c r="NFZ172" s="928"/>
      <c r="NGA172" s="928"/>
      <c r="NGB172" s="928"/>
      <c r="NGC172" s="928"/>
      <c r="NGD172" s="928"/>
      <c r="NGE172" s="928"/>
      <c r="NGF172" s="928"/>
      <c r="NGG172" s="928"/>
      <c r="NGH172" s="928"/>
      <c r="NGI172" s="928"/>
      <c r="NGJ172" s="928"/>
      <c r="NGK172" s="928"/>
      <c r="NGL172" s="928"/>
      <c r="NGM172" s="928"/>
      <c r="NGN172" s="928"/>
      <c r="NGO172" s="928"/>
      <c r="NGP172" s="928"/>
      <c r="NGQ172" s="928"/>
      <c r="NGR172" s="928"/>
      <c r="NGS172" s="928"/>
      <c r="NGT172" s="928"/>
      <c r="NGU172" s="928"/>
      <c r="NGV172" s="928"/>
      <c r="NGW172" s="928"/>
      <c r="NGX172" s="928"/>
      <c r="NGY172" s="928"/>
      <c r="NGZ172" s="928"/>
      <c r="NHA172" s="928"/>
      <c r="NHB172" s="928"/>
      <c r="NHC172" s="928"/>
      <c r="NHD172" s="928"/>
      <c r="NHE172" s="928"/>
      <c r="NHF172" s="928"/>
      <c r="NHG172" s="928"/>
      <c r="NHH172" s="928"/>
      <c r="NHI172" s="928"/>
      <c r="NHJ172" s="928"/>
      <c r="NHK172" s="928"/>
      <c r="NHL172" s="928"/>
      <c r="NHM172" s="928"/>
      <c r="NHN172" s="928"/>
      <c r="NHO172" s="928"/>
      <c r="NHP172" s="928"/>
      <c r="NHQ172" s="928"/>
      <c r="NHR172" s="928"/>
      <c r="NHS172" s="928"/>
      <c r="NHT172" s="928"/>
      <c r="NHU172" s="928"/>
      <c r="NHV172" s="928"/>
      <c r="NHW172" s="928"/>
      <c r="NHX172" s="928"/>
      <c r="NHY172" s="928"/>
      <c r="NHZ172" s="928"/>
      <c r="NIA172" s="928"/>
      <c r="NIB172" s="928"/>
      <c r="NIC172" s="928"/>
      <c r="NID172" s="928"/>
      <c r="NIE172" s="928"/>
      <c r="NIF172" s="928"/>
      <c r="NIG172" s="928"/>
      <c r="NIH172" s="928"/>
      <c r="NII172" s="928"/>
      <c r="NIJ172" s="928"/>
      <c r="NIK172" s="928"/>
      <c r="NIL172" s="928"/>
      <c r="NIM172" s="928"/>
      <c r="NIN172" s="928"/>
      <c r="NIO172" s="928"/>
      <c r="NIP172" s="928"/>
      <c r="NIQ172" s="928"/>
      <c r="NIR172" s="928"/>
      <c r="NIS172" s="928"/>
      <c r="NIT172" s="928"/>
      <c r="NIU172" s="928"/>
      <c r="NIV172" s="928"/>
      <c r="NIW172" s="928"/>
      <c r="NIX172" s="928"/>
      <c r="NIY172" s="928"/>
      <c r="NIZ172" s="928"/>
      <c r="NJA172" s="928"/>
      <c r="NJB172" s="928"/>
      <c r="NJC172" s="928"/>
      <c r="NJD172" s="928"/>
      <c r="NJE172" s="928"/>
      <c r="NJF172" s="928"/>
      <c r="NJG172" s="928"/>
      <c r="NJH172" s="928"/>
      <c r="NJI172" s="928"/>
      <c r="NJJ172" s="928"/>
      <c r="NJK172" s="928"/>
      <c r="NJL172" s="928"/>
      <c r="NJM172" s="928"/>
      <c r="NJN172" s="928"/>
      <c r="NJO172" s="928"/>
      <c r="NJP172" s="928"/>
      <c r="NJQ172" s="928"/>
      <c r="NJR172" s="928"/>
      <c r="NJS172" s="928"/>
      <c r="NJT172" s="928"/>
      <c r="NJU172" s="928"/>
      <c r="NJV172" s="928"/>
      <c r="NJW172" s="928"/>
      <c r="NJX172" s="928"/>
      <c r="NJY172" s="928"/>
      <c r="NJZ172" s="928"/>
      <c r="NKA172" s="928"/>
      <c r="NKB172" s="928"/>
      <c r="NKC172" s="928"/>
      <c r="NKD172" s="928"/>
      <c r="NKE172" s="928"/>
      <c r="NKF172" s="928"/>
      <c r="NKG172" s="928"/>
      <c r="NKH172" s="928"/>
      <c r="NKI172" s="928"/>
      <c r="NKJ172" s="928"/>
      <c r="NKK172" s="928"/>
      <c r="NKL172" s="928"/>
      <c r="NKM172" s="928"/>
      <c r="NKN172" s="928"/>
      <c r="NKO172" s="928"/>
      <c r="NKP172" s="928"/>
      <c r="NKQ172" s="928"/>
      <c r="NKR172" s="928"/>
      <c r="NKS172" s="928"/>
      <c r="NKT172" s="928"/>
      <c r="NKU172" s="928"/>
      <c r="NKV172" s="928"/>
      <c r="NKW172" s="928"/>
      <c r="NKX172" s="928"/>
      <c r="NKY172" s="928"/>
      <c r="NKZ172" s="928"/>
      <c r="NLA172" s="928"/>
      <c r="NLB172" s="928"/>
      <c r="NLC172" s="928"/>
      <c r="NLD172" s="928"/>
      <c r="NLE172" s="928"/>
      <c r="NLF172" s="928"/>
      <c r="NLG172" s="928"/>
      <c r="NLH172" s="928"/>
      <c r="NLI172" s="928"/>
      <c r="NLJ172" s="928"/>
      <c r="NLK172" s="928"/>
      <c r="NLL172" s="928"/>
      <c r="NLM172" s="928"/>
      <c r="NLN172" s="928"/>
      <c r="NLO172" s="928"/>
      <c r="NLP172" s="928"/>
      <c r="NLQ172" s="928"/>
      <c r="NLR172" s="928"/>
      <c r="NLS172" s="928"/>
      <c r="NLT172" s="928"/>
      <c r="NLU172" s="928"/>
      <c r="NLV172" s="928"/>
      <c r="NLW172" s="928"/>
      <c r="NLX172" s="928"/>
      <c r="NLY172" s="928"/>
      <c r="NLZ172" s="928"/>
      <c r="NMA172" s="928"/>
      <c r="NMB172" s="928"/>
      <c r="NMC172" s="928"/>
      <c r="NMD172" s="928"/>
      <c r="NME172" s="928"/>
      <c r="NMF172" s="928"/>
      <c r="NMG172" s="928"/>
      <c r="NMH172" s="928"/>
      <c r="NMI172" s="928"/>
      <c r="NMJ172" s="928"/>
      <c r="NMK172" s="928"/>
      <c r="NML172" s="928"/>
      <c r="NMM172" s="928"/>
      <c r="NMN172" s="928"/>
      <c r="NMO172" s="928"/>
      <c r="NMP172" s="928"/>
      <c r="NMQ172" s="928"/>
      <c r="NMR172" s="928"/>
      <c r="NMS172" s="928"/>
      <c r="NMT172" s="928"/>
      <c r="NMU172" s="928"/>
      <c r="NMV172" s="928"/>
      <c r="NMW172" s="928"/>
      <c r="NMX172" s="928"/>
      <c r="NMY172" s="928"/>
      <c r="NMZ172" s="928"/>
      <c r="NNA172" s="928"/>
      <c r="NNB172" s="928"/>
      <c r="NNC172" s="928"/>
      <c r="NND172" s="928"/>
      <c r="NNE172" s="928"/>
      <c r="NNF172" s="928"/>
      <c r="NNG172" s="928"/>
      <c r="NNH172" s="928"/>
      <c r="NNI172" s="928"/>
      <c r="NNJ172" s="928"/>
      <c r="NNK172" s="928"/>
      <c r="NNL172" s="928"/>
      <c r="NNM172" s="928"/>
      <c r="NNN172" s="928"/>
      <c r="NNO172" s="928"/>
      <c r="NNP172" s="928"/>
      <c r="NNQ172" s="928"/>
      <c r="NNR172" s="928"/>
      <c r="NNS172" s="928"/>
      <c r="NNT172" s="928"/>
      <c r="NNU172" s="928"/>
      <c r="NNV172" s="928"/>
      <c r="NNW172" s="928"/>
      <c r="NNX172" s="928"/>
      <c r="NNY172" s="928"/>
      <c r="NNZ172" s="928"/>
      <c r="NOA172" s="928"/>
      <c r="NOB172" s="928"/>
      <c r="NOC172" s="928"/>
      <c r="NOD172" s="928"/>
      <c r="NOE172" s="928"/>
      <c r="NOF172" s="928"/>
      <c r="NOG172" s="928"/>
      <c r="NOH172" s="928"/>
      <c r="NOI172" s="928"/>
      <c r="NOJ172" s="928"/>
      <c r="NOK172" s="928"/>
      <c r="NOL172" s="928"/>
      <c r="NOM172" s="928"/>
      <c r="NON172" s="928"/>
      <c r="NOO172" s="928"/>
      <c r="NOP172" s="928"/>
      <c r="NOQ172" s="928"/>
      <c r="NOR172" s="928"/>
      <c r="NOS172" s="928"/>
      <c r="NOT172" s="928"/>
      <c r="NOU172" s="928"/>
      <c r="NOV172" s="928"/>
      <c r="NOW172" s="928"/>
      <c r="NOX172" s="928"/>
      <c r="NOY172" s="928"/>
      <c r="NOZ172" s="928"/>
      <c r="NPA172" s="928"/>
      <c r="NPB172" s="928"/>
      <c r="NPC172" s="928"/>
      <c r="NPD172" s="928"/>
      <c r="NPE172" s="928"/>
      <c r="NPF172" s="928"/>
      <c r="NPG172" s="928"/>
      <c r="NPH172" s="928"/>
      <c r="NPI172" s="928"/>
      <c r="NPJ172" s="928"/>
      <c r="NPK172" s="928"/>
      <c r="NPL172" s="928"/>
      <c r="NPM172" s="928"/>
      <c r="NPN172" s="928"/>
      <c r="NPO172" s="928"/>
      <c r="NPP172" s="928"/>
      <c r="NPQ172" s="928"/>
      <c r="NPR172" s="928"/>
      <c r="NPS172" s="928"/>
      <c r="NPT172" s="928"/>
      <c r="NPU172" s="928"/>
      <c r="NPV172" s="928"/>
      <c r="NPW172" s="928"/>
      <c r="NPX172" s="928"/>
      <c r="NPY172" s="928"/>
      <c r="NPZ172" s="928"/>
      <c r="NQA172" s="928"/>
      <c r="NQB172" s="928"/>
      <c r="NQC172" s="928"/>
      <c r="NQD172" s="928"/>
      <c r="NQE172" s="928"/>
      <c r="NQF172" s="928"/>
      <c r="NQG172" s="928"/>
      <c r="NQH172" s="928"/>
      <c r="NQI172" s="928"/>
      <c r="NQJ172" s="928"/>
      <c r="NQK172" s="928"/>
      <c r="NQL172" s="928"/>
      <c r="NQM172" s="928"/>
      <c r="NQN172" s="928"/>
      <c r="NQO172" s="928"/>
      <c r="NQP172" s="928"/>
      <c r="NQQ172" s="928"/>
      <c r="NQR172" s="928"/>
      <c r="NQS172" s="928"/>
      <c r="NQT172" s="928"/>
      <c r="NQU172" s="928"/>
      <c r="NQV172" s="928"/>
      <c r="NQW172" s="928"/>
      <c r="NQX172" s="928"/>
      <c r="NQY172" s="928"/>
      <c r="NQZ172" s="928"/>
      <c r="NRA172" s="928"/>
      <c r="NRB172" s="928"/>
      <c r="NRC172" s="928"/>
      <c r="NRD172" s="928"/>
      <c r="NRE172" s="928"/>
      <c r="NRF172" s="928"/>
      <c r="NRG172" s="928"/>
      <c r="NRH172" s="928"/>
      <c r="NRI172" s="928"/>
      <c r="NRJ172" s="928"/>
      <c r="NRK172" s="928"/>
      <c r="NRL172" s="928"/>
      <c r="NRM172" s="928"/>
      <c r="NRN172" s="928"/>
      <c r="NRO172" s="928"/>
      <c r="NRP172" s="928"/>
      <c r="NRQ172" s="928"/>
      <c r="NRR172" s="928"/>
      <c r="NRS172" s="928"/>
      <c r="NRT172" s="928"/>
      <c r="NRU172" s="928"/>
      <c r="NRV172" s="928"/>
      <c r="NRW172" s="928"/>
      <c r="NRX172" s="928"/>
      <c r="NRY172" s="928"/>
      <c r="NRZ172" s="928"/>
      <c r="NSA172" s="928"/>
      <c r="NSB172" s="928"/>
      <c r="NSC172" s="928"/>
      <c r="NSD172" s="928"/>
      <c r="NSE172" s="928"/>
      <c r="NSF172" s="928"/>
      <c r="NSG172" s="928"/>
      <c r="NSH172" s="928"/>
      <c r="NSI172" s="928"/>
      <c r="NSJ172" s="928"/>
      <c r="NSK172" s="928"/>
      <c r="NSL172" s="928"/>
      <c r="NSM172" s="928"/>
      <c r="NSN172" s="928"/>
      <c r="NSO172" s="928"/>
      <c r="NSP172" s="928"/>
      <c r="NSQ172" s="928"/>
      <c r="NSR172" s="928"/>
      <c r="NSS172" s="928"/>
      <c r="NST172" s="928"/>
      <c r="NSU172" s="928"/>
      <c r="NSV172" s="928"/>
      <c r="NSW172" s="928"/>
      <c r="NSX172" s="928"/>
      <c r="NSY172" s="928"/>
      <c r="NSZ172" s="928"/>
      <c r="NTA172" s="928"/>
      <c r="NTB172" s="928"/>
      <c r="NTC172" s="928"/>
      <c r="NTD172" s="928"/>
      <c r="NTE172" s="928"/>
      <c r="NTF172" s="928"/>
      <c r="NTG172" s="928"/>
      <c r="NTH172" s="928"/>
      <c r="NTI172" s="928"/>
      <c r="NTJ172" s="928"/>
      <c r="NTK172" s="928"/>
      <c r="NTL172" s="928"/>
      <c r="NTM172" s="928"/>
      <c r="NTN172" s="928"/>
      <c r="NTO172" s="928"/>
      <c r="NTP172" s="928"/>
      <c r="NTQ172" s="928"/>
      <c r="NTR172" s="928"/>
      <c r="NTS172" s="928"/>
      <c r="NTT172" s="928"/>
      <c r="NTU172" s="928"/>
      <c r="NTV172" s="928"/>
      <c r="NTW172" s="928"/>
      <c r="NTX172" s="928"/>
      <c r="NTY172" s="928"/>
      <c r="NTZ172" s="928"/>
      <c r="NUA172" s="928"/>
      <c r="NUB172" s="928"/>
      <c r="NUC172" s="928"/>
      <c r="NUD172" s="928"/>
      <c r="NUE172" s="928"/>
      <c r="NUF172" s="928"/>
      <c r="NUG172" s="928"/>
      <c r="NUH172" s="928"/>
      <c r="NUI172" s="928"/>
      <c r="NUJ172" s="928"/>
      <c r="NUK172" s="928"/>
      <c r="NUL172" s="928"/>
      <c r="NUM172" s="928"/>
      <c r="NUN172" s="928"/>
      <c r="NUO172" s="928"/>
      <c r="NUP172" s="928"/>
      <c r="NUQ172" s="928"/>
      <c r="NUR172" s="928"/>
      <c r="NUS172" s="928"/>
      <c r="NUT172" s="928"/>
      <c r="NUU172" s="928"/>
      <c r="NUV172" s="928"/>
      <c r="NUW172" s="928"/>
      <c r="NUX172" s="928"/>
      <c r="NUY172" s="928"/>
      <c r="NUZ172" s="928"/>
      <c r="NVA172" s="928"/>
      <c r="NVB172" s="928"/>
      <c r="NVC172" s="928"/>
      <c r="NVD172" s="928"/>
      <c r="NVE172" s="928"/>
      <c r="NVF172" s="928"/>
      <c r="NVG172" s="928"/>
      <c r="NVH172" s="928"/>
      <c r="NVI172" s="928"/>
      <c r="NVJ172" s="928"/>
      <c r="NVK172" s="928"/>
      <c r="NVL172" s="928"/>
      <c r="NVM172" s="928"/>
      <c r="NVN172" s="928"/>
      <c r="NVO172" s="928"/>
      <c r="NVP172" s="928"/>
      <c r="NVQ172" s="928"/>
      <c r="NVR172" s="928"/>
      <c r="NVS172" s="928"/>
      <c r="NVT172" s="928"/>
      <c r="NVU172" s="928"/>
      <c r="NVV172" s="928"/>
      <c r="NVW172" s="928"/>
      <c r="NVX172" s="928"/>
      <c r="NVY172" s="928"/>
      <c r="NVZ172" s="928"/>
      <c r="NWA172" s="928"/>
      <c r="NWB172" s="928"/>
      <c r="NWC172" s="928"/>
      <c r="NWD172" s="928"/>
      <c r="NWE172" s="928"/>
      <c r="NWF172" s="928"/>
      <c r="NWG172" s="928"/>
      <c r="NWH172" s="928"/>
      <c r="NWI172" s="928"/>
      <c r="NWJ172" s="928"/>
      <c r="NWK172" s="928"/>
      <c r="NWL172" s="928"/>
      <c r="NWM172" s="928"/>
      <c r="NWN172" s="928"/>
      <c r="NWO172" s="928"/>
      <c r="NWP172" s="928"/>
      <c r="NWQ172" s="928"/>
      <c r="NWR172" s="928"/>
      <c r="NWS172" s="928"/>
      <c r="NWT172" s="928"/>
      <c r="NWU172" s="928"/>
      <c r="NWV172" s="928"/>
      <c r="NWW172" s="928"/>
      <c r="NWX172" s="928"/>
      <c r="NWY172" s="928"/>
      <c r="NWZ172" s="928"/>
      <c r="NXA172" s="928"/>
      <c r="NXB172" s="928"/>
      <c r="NXC172" s="928"/>
      <c r="NXD172" s="928"/>
      <c r="NXE172" s="928"/>
      <c r="NXF172" s="928"/>
      <c r="NXG172" s="928"/>
      <c r="NXH172" s="928"/>
      <c r="NXI172" s="928"/>
      <c r="NXJ172" s="928"/>
      <c r="NXK172" s="928"/>
      <c r="NXL172" s="928"/>
      <c r="NXM172" s="928"/>
      <c r="NXN172" s="928"/>
      <c r="NXO172" s="928"/>
      <c r="NXP172" s="928"/>
      <c r="NXQ172" s="928"/>
      <c r="NXR172" s="928"/>
      <c r="NXS172" s="928"/>
      <c r="NXT172" s="928"/>
      <c r="NXU172" s="928"/>
      <c r="NXV172" s="928"/>
      <c r="NXW172" s="928"/>
      <c r="NXX172" s="928"/>
      <c r="NXY172" s="928"/>
      <c r="NXZ172" s="928"/>
      <c r="NYA172" s="928"/>
      <c r="NYB172" s="928"/>
      <c r="NYC172" s="928"/>
      <c r="NYD172" s="928"/>
      <c r="NYE172" s="928"/>
      <c r="NYF172" s="928"/>
      <c r="NYG172" s="928"/>
      <c r="NYH172" s="928"/>
      <c r="NYI172" s="928"/>
      <c r="NYJ172" s="928"/>
      <c r="NYK172" s="928"/>
      <c r="NYL172" s="928"/>
      <c r="NYM172" s="928"/>
      <c r="NYN172" s="928"/>
      <c r="NYO172" s="928"/>
      <c r="NYP172" s="928"/>
      <c r="NYQ172" s="928"/>
      <c r="NYR172" s="928"/>
      <c r="NYS172" s="928"/>
      <c r="NYT172" s="928"/>
      <c r="NYU172" s="928"/>
      <c r="NYV172" s="928"/>
      <c r="NYW172" s="928"/>
      <c r="NYX172" s="928"/>
      <c r="NYY172" s="928"/>
      <c r="NYZ172" s="928"/>
      <c r="NZA172" s="928"/>
      <c r="NZB172" s="928"/>
      <c r="NZC172" s="928"/>
      <c r="NZD172" s="928"/>
      <c r="NZE172" s="928"/>
      <c r="NZF172" s="928"/>
      <c r="NZG172" s="928"/>
      <c r="NZH172" s="928"/>
      <c r="NZI172" s="928"/>
      <c r="NZJ172" s="928"/>
      <c r="NZK172" s="928"/>
      <c r="NZL172" s="928"/>
      <c r="NZM172" s="928"/>
      <c r="NZN172" s="928"/>
      <c r="NZO172" s="928"/>
      <c r="NZP172" s="928"/>
      <c r="NZQ172" s="928"/>
      <c r="NZR172" s="928"/>
      <c r="NZS172" s="928"/>
      <c r="NZT172" s="928"/>
      <c r="NZU172" s="928"/>
      <c r="NZV172" s="928"/>
      <c r="NZW172" s="928"/>
      <c r="NZX172" s="928"/>
      <c r="NZY172" s="928"/>
      <c r="NZZ172" s="928"/>
      <c r="OAA172" s="928"/>
      <c r="OAB172" s="928"/>
      <c r="OAC172" s="928"/>
      <c r="OAD172" s="928"/>
      <c r="OAE172" s="928"/>
      <c r="OAF172" s="928"/>
      <c r="OAG172" s="928"/>
      <c r="OAH172" s="928"/>
      <c r="OAI172" s="928"/>
      <c r="OAJ172" s="928"/>
      <c r="OAK172" s="928"/>
      <c r="OAL172" s="928"/>
      <c r="OAM172" s="928"/>
      <c r="OAN172" s="928"/>
      <c r="OAO172" s="928"/>
      <c r="OAP172" s="928"/>
      <c r="OAQ172" s="928"/>
      <c r="OAR172" s="928"/>
      <c r="OAS172" s="928"/>
      <c r="OAT172" s="928"/>
      <c r="OAU172" s="928"/>
      <c r="OAV172" s="928"/>
      <c r="OAW172" s="928"/>
      <c r="OAX172" s="928"/>
      <c r="OAY172" s="928"/>
      <c r="OAZ172" s="928"/>
      <c r="OBA172" s="928"/>
      <c r="OBB172" s="928"/>
      <c r="OBC172" s="928"/>
      <c r="OBD172" s="928"/>
      <c r="OBE172" s="928"/>
      <c r="OBF172" s="928"/>
      <c r="OBG172" s="928"/>
      <c r="OBH172" s="928"/>
      <c r="OBI172" s="928"/>
      <c r="OBJ172" s="928"/>
      <c r="OBK172" s="928"/>
      <c r="OBL172" s="928"/>
      <c r="OBM172" s="928"/>
      <c r="OBN172" s="928"/>
      <c r="OBO172" s="928"/>
      <c r="OBP172" s="928"/>
      <c r="OBQ172" s="928"/>
      <c r="OBR172" s="928"/>
      <c r="OBS172" s="928"/>
      <c r="OBT172" s="928"/>
      <c r="OBU172" s="928"/>
      <c r="OBV172" s="928"/>
      <c r="OBW172" s="928"/>
      <c r="OBX172" s="928"/>
      <c r="OBY172" s="928"/>
      <c r="OBZ172" s="928"/>
      <c r="OCA172" s="928"/>
      <c r="OCB172" s="928"/>
      <c r="OCC172" s="928"/>
      <c r="OCD172" s="928"/>
      <c r="OCE172" s="928"/>
      <c r="OCF172" s="928"/>
      <c r="OCG172" s="928"/>
      <c r="OCH172" s="928"/>
      <c r="OCI172" s="928"/>
      <c r="OCJ172" s="928"/>
      <c r="OCK172" s="928"/>
      <c r="OCL172" s="928"/>
      <c r="OCM172" s="928"/>
      <c r="OCN172" s="928"/>
      <c r="OCO172" s="928"/>
      <c r="OCP172" s="928"/>
      <c r="OCQ172" s="928"/>
      <c r="OCR172" s="928"/>
      <c r="OCS172" s="928"/>
      <c r="OCT172" s="928"/>
      <c r="OCU172" s="928"/>
      <c r="OCV172" s="928"/>
      <c r="OCW172" s="928"/>
      <c r="OCX172" s="928"/>
      <c r="OCY172" s="928"/>
      <c r="OCZ172" s="928"/>
      <c r="ODA172" s="928"/>
      <c r="ODB172" s="928"/>
      <c r="ODC172" s="928"/>
      <c r="ODD172" s="928"/>
      <c r="ODE172" s="928"/>
      <c r="ODF172" s="928"/>
      <c r="ODG172" s="928"/>
      <c r="ODH172" s="928"/>
      <c r="ODI172" s="928"/>
      <c r="ODJ172" s="928"/>
      <c r="ODK172" s="928"/>
      <c r="ODL172" s="928"/>
      <c r="ODM172" s="928"/>
      <c r="ODN172" s="928"/>
      <c r="ODO172" s="928"/>
      <c r="ODP172" s="928"/>
      <c r="ODQ172" s="928"/>
      <c r="ODR172" s="928"/>
      <c r="ODS172" s="928"/>
      <c r="ODT172" s="928"/>
      <c r="ODU172" s="928"/>
      <c r="ODV172" s="928"/>
      <c r="ODW172" s="928"/>
      <c r="ODX172" s="928"/>
      <c r="ODY172" s="928"/>
      <c r="ODZ172" s="928"/>
      <c r="OEA172" s="928"/>
      <c r="OEB172" s="928"/>
      <c r="OEC172" s="928"/>
      <c r="OED172" s="928"/>
      <c r="OEE172" s="928"/>
      <c r="OEF172" s="928"/>
      <c r="OEG172" s="928"/>
      <c r="OEH172" s="928"/>
      <c r="OEI172" s="928"/>
      <c r="OEJ172" s="928"/>
      <c r="OEK172" s="928"/>
      <c r="OEL172" s="928"/>
      <c r="OEM172" s="928"/>
      <c r="OEN172" s="928"/>
      <c r="OEO172" s="928"/>
      <c r="OEP172" s="928"/>
      <c r="OEQ172" s="928"/>
      <c r="OER172" s="928"/>
      <c r="OES172" s="928"/>
      <c r="OET172" s="928"/>
      <c r="OEU172" s="928"/>
      <c r="OEV172" s="928"/>
      <c r="OEW172" s="928"/>
      <c r="OEX172" s="928"/>
      <c r="OEY172" s="928"/>
      <c r="OEZ172" s="928"/>
      <c r="OFA172" s="928"/>
      <c r="OFB172" s="928"/>
      <c r="OFC172" s="928"/>
      <c r="OFD172" s="928"/>
      <c r="OFE172" s="928"/>
      <c r="OFF172" s="928"/>
      <c r="OFG172" s="928"/>
      <c r="OFH172" s="928"/>
      <c r="OFI172" s="928"/>
      <c r="OFJ172" s="928"/>
      <c r="OFK172" s="928"/>
      <c r="OFL172" s="928"/>
      <c r="OFM172" s="928"/>
      <c r="OFN172" s="928"/>
      <c r="OFO172" s="928"/>
      <c r="OFP172" s="928"/>
      <c r="OFQ172" s="928"/>
      <c r="OFR172" s="928"/>
      <c r="OFS172" s="928"/>
      <c r="OFT172" s="928"/>
      <c r="OFU172" s="928"/>
      <c r="OFV172" s="928"/>
      <c r="OFW172" s="928"/>
      <c r="OFX172" s="928"/>
      <c r="OFY172" s="928"/>
      <c r="OFZ172" s="928"/>
      <c r="OGA172" s="928"/>
      <c r="OGB172" s="928"/>
      <c r="OGC172" s="928"/>
      <c r="OGD172" s="928"/>
      <c r="OGE172" s="928"/>
      <c r="OGF172" s="928"/>
      <c r="OGG172" s="928"/>
      <c r="OGH172" s="928"/>
      <c r="OGI172" s="928"/>
      <c r="OGJ172" s="928"/>
      <c r="OGK172" s="928"/>
      <c r="OGL172" s="928"/>
      <c r="OGM172" s="928"/>
      <c r="OGN172" s="928"/>
      <c r="OGO172" s="928"/>
      <c r="OGP172" s="928"/>
      <c r="OGQ172" s="928"/>
      <c r="OGR172" s="928"/>
      <c r="OGS172" s="928"/>
      <c r="OGT172" s="928"/>
      <c r="OGU172" s="928"/>
      <c r="OGV172" s="928"/>
      <c r="OGW172" s="928"/>
      <c r="OGX172" s="928"/>
      <c r="OGY172" s="928"/>
      <c r="OGZ172" s="928"/>
      <c r="OHA172" s="928"/>
      <c r="OHB172" s="928"/>
      <c r="OHC172" s="928"/>
      <c r="OHD172" s="928"/>
      <c r="OHE172" s="928"/>
      <c r="OHF172" s="928"/>
      <c r="OHG172" s="928"/>
      <c r="OHH172" s="928"/>
      <c r="OHI172" s="928"/>
      <c r="OHJ172" s="928"/>
      <c r="OHK172" s="928"/>
      <c r="OHL172" s="928"/>
      <c r="OHM172" s="928"/>
      <c r="OHN172" s="928"/>
      <c r="OHO172" s="928"/>
      <c r="OHP172" s="928"/>
      <c r="OHQ172" s="928"/>
      <c r="OHR172" s="928"/>
      <c r="OHS172" s="928"/>
      <c r="OHT172" s="928"/>
      <c r="OHU172" s="928"/>
      <c r="OHV172" s="928"/>
      <c r="OHW172" s="928"/>
      <c r="OHX172" s="928"/>
      <c r="OHY172" s="928"/>
      <c r="OHZ172" s="928"/>
      <c r="OIA172" s="928"/>
      <c r="OIB172" s="928"/>
      <c r="OIC172" s="928"/>
      <c r="OID172" s="928"/>
      <c r="OIE172" s="928"/>
      <c r="OIF172" s="928"/>
      <c r="OIG172" s="928"/>
      <c r="OIH172" s="928"/>
      <c r="OII172" s="928"/>
      <c r="OIJ172" s="928"/>
      <c r="OIK172" s="928"/>
      <c r="OIL172" s="928"/>
      <c r="OIM172" s="928"/>
      <c r="OIN172" s="928"/>
      <c r="OIO172" s="928"/>
      <c r="OIP172" s="928"/>
      <c r="OIQ172" s="928"/>
      <c r="OIR172" s="928"/>
      <c r="OIS172" s="928"/>
      <c r="OIT172" s="928"/>
      <c r="OIU172" s="928"/>
      <c r="OIV172" s="928"/>
      <c r="OIW172" s="928"/>
      <c r="OIX172" s="928"/>
      <c r="OIY172" s="928"/>
      <c r="OIZ172" s="928"/>
      <c r="OJA172" s="928"/>
      <c r="OJB172" s="928"/>
      <c r="OJC172" s="928"/>
      <c r="OJD172" s="928"/>
      <c r="OJE172" s="928"/>
      <c r="OJF172" s="928"/>
      <c r="OJG172" s="928"/>
      <c r="OJH172" s="928"/>
      <c r="OJI172" s="928"/>
      <c r="OJJ172" s="928"/>
      <c r="OJK172" s="928"/>
      <c r="OJL172" s="928"/>
      <c r="OJM172" s="928"/>
      <c r="OJN172" s="928"/>
      <c r="OJO172" s="928"/>
      <c r="OJP172" s="928"/>
      <c r="OJQ172" s="928"/>
      <c r="OJR172" s="928"/>
      <c r="OJS172" s="928"/>
      <c r="OJT172" s="928"/>
      <c r="OJU172" s="928"/>
      <c r="OJV172" s="928"/>
      <c r="OJW172" s="928"/>
      <c r="OJX172" s="928"/>
      <c r="OJY172" s="928"/>
      <c r="OJZ172" s="928"/>
      <c r="OKA172" s="928"/>
      <c r="OKB172" s="928"/>
      <c r="OKC172" s="928"/>
      <c r="OKD172" s="928"/>
      <c r="OKE172" s="928"/>
      <c r="OKF172" s="928"/>
      <c r="OKG172" s="928"/>
      <c r="OKH172" s="928"/>
      <c r="OKI172" s="928"/>
      <c r="OKJ172" s="928"/>
      <c r="OKK172" s="928"/>
      <c r="OKL172" s="928"/>
      <c r="OKM172" s="928"/>
      <c r="OKN172" s="928"/>
      <c r="OKO172" s="928"/>
      <c r="OKP172" s="928"/>
      <c r="OKQ172" s="928"/>
      <c r="OKR172" s="928"/>
      <c r="OKS172" s="928"/>
      <c r="OKT172" s="928"/>
      <c r="OKU172" s="928"/>
      <c r="OKV172" s="928"/>
      <c r="OKW172" s="928"/>
      <c r="OKX172" s="928"/>
      <c r="OKY172" s="928"/>
      <c r="OKZ172" s="928"/>
      <c r="OLA172" s="928"/>
      <c r="OLB172" s="928"/>
      <c r="OLC172" s="928"/>
      <c r="OLD172" s="928"/>
      <c r="OLE172" s="928"/>
      <c r="OLF172" s="928"/>
      <c r="OLG172" s="928"/>
      <c r="OLH172" s="928"/>
      <c r="OLI172" s="928"/>
      <c r="OLJ172" s="928"/>
      <c r="OLK172" s="928"/>
      <c r="OLL172" s="928"/>
      <c r="OLM172" s="928"/>
      <c r="OLN172" s="928"/>
      <c r="OLO172" s="928"/>
      <c r="OLP172" s="928"/>
      <c r="OLQ172" s="928"/>
      <c r="OLR172" s="928"/>
      <c r="OLS172" s="928"/>
      <c r="OLT172" s="928"/>
      <c r="OLU172" s="928"/>
      <c r="OLV172" s="928"/>
      <c r="OLW172" s="928"/>
      <c r="OLX172" s="928"/>
      <c r="OLY172" s="928"/>
      <c r="OLZ172" s="928"/>
      <c r="OMA172" s="928"/>
      <c r="OMB172" s="928"/>
      <c r="OMC172" s="928"/>
      <c r="OMD172" s="928"/>
      <c r="OME172" s="928"/>
      <c r="OMF172" s="928"/>
      <c r="OMG172" s="928"/>
      <c r="OMH172" s="928"/>
      <c r="OMI172" s="928"/>
      <c r="OMJ172" s="928"/>
      <c r="OMK172" s="928"/>
      <c r="OML172" s="928"/>
      <c r="OMM172" s="928"/>
      <c r="OMN172" s="928"/>
      <c r="OMO172" s="928"/>
      <c r="OMP172" s="928"/>
      <c r="OMQ172" s="928"/>
      <c r="OMR172" s="928"/>
      <c r="OMS172" s="928"/>
      <c r="OMT172" s="928"/>
      <c r="OMU172" s="928"/>
      <c r="OMV172" s="928"/>
      <c r="OMW172" s="928"/>
      <c r="OMX172" s="928"/>
      <c r="OMY172" s="928"/>
      <c r="OMZ172" s="928"/>
      <c r="ONA172" s="928"/>
      <c r="ONB172" s="928"/>
      <c r="ONC172" s="928"/>
      <c r="OND172" s="928"/>
      <c r="ONE172" s="928"/>
      <c r="ONF172" s="928"/>
      <c r="ONG172" s="928"/>
      <c r="ONH172" s="928"/>
      <c r="ONI172" s="928"/>
      <c r="ONJ172" s="928"/>
      <c r="ONK172" s="928"/>
      <c r="ONL172" s="928"/>
      <c r="ONM172" s="928"/>
      <c r="ONN172" s="928"/>
      <c r="ONO172" s="928"/>
      <c r="ONP172" s="928"/>
      <c r="ONQ172" s="928"/>
      <c r="ONR172" s="928"/>
      <c r="ONS172" s="928"/>
      <c r="ONT172" s="928"/>
      <c r="ONU172" s="928"/>
      <c r="ONV172" s="928"/>
      <c r="ONW172" s="928"/>
      <c r="ONX172" s="928"/>
      <c r="ONY172" s="928"/>
      <c r="ONZ172" s="928"/>
      <c r="OOA172" s="928"/>
      <c r="OOB172" s="928"/>
      <c r="OOC172" s="928"/>
      <c r="OOD172" s="928"/>
      <c r="OOE172" s="928"/>
      <c r="OOF172" s="928"/>
      <c r="OOG172" s="928"/>
      <c r="OOH172" s="928"/>
      <c r="OOI172" s="928"/>
      <c r="OOJ172" s="928"/>
      <c r="OOK172" s="928"/>
      <c r="OOL172" s="928"/>
      <c r="OOM172" s="928"/>
      <c r="OON172" s="928"/>
      <c r="OOO172" s="928"/>
      <c r="OOP172" s="928"/>
      <c r="OOQ172" s="928"/>
      <c r="OOR172" s="928"/>
      <c r="OOS172" s="928"/>
      <c r="OOT172" s="928"/>
      <c r="OOU172" s="928"/>
      <c r="OOV172" s="928"/>
      <c r="OOW172" s="928"/>
      <c r="OOX172" s="928"/>
      <c r="OOY172" s="928"/>
      <c r="OOZ172" s="928"/>
      <c r="OPA172" s="928"/>
      <c r="OPB172" s="928"/>
      <c r="OPC172" s="928"/>
      <c r="OPD172" s="928"/>
      <c r="OPE172" s="928"/>
      <c r="OPF172" s="928"/>
      <c r="OPG172" s="928"/>
      <c r="OPH172" s="928"/>
      <c r="OPI172" s="928"/>
      <c r="OPJ172" s="928"/>
      <c r="OPK172" s="928"/>
      <c r="OPL172" s="928"/>
      <c r="OPM172" s="928"/>
      <c r="OPN172" s="928"/>
      <c r="OPO172" s="928"/>
      <c r="OPP172" s="928"/>
      <c r="OPQ172" s="928"/>
      <c r="OPR172" s="928"/>
      <c r="OPS172" s="928"/>
      <c r="OPT172" s="928"/>
      <c r="OPU172" s="928"/>
      <c r="OPV172" s="928"/>
      <c r="OPW172" s="928"/>
      <c r="OPX172" s="928"/>
      <c r="OPY172" s="928"/>
      <c r="OPZ172" s="928"/>
      <c r="OQA172" s="928"/>
      <c r="OQB172" s="928"/>
      <c r="OQC172" s="928"/>
      <c r="OQD172" s="928"/>
      <c r="OQE172" s="928"/>
      <c r="OQF172" s="928"/>
      <c r="OQG172" s="928"/>
      <c r="OQH172" s="928"/>
      <c r="OQI172" s="928"/>
      <c r="OQJ172" s="928"/>
      <c r="OQK172" s="928"/>
      <c r="OQL172" s="928"/>
      <c r="OQM172" s="928"/>
      <c r="OQN172" s="928"/>
      <c r="OQO172" s="928"/>
      <c r="OQP172" s="928"/>
      <c r="OQQ172" s="928"/>
      <c r="OQR172" s="928"/>
      <c r="OQS172" s="928"/>
      <c r="OQT172" s="928"/>
      <c r="OQU172" s="928"/>
      <c r="OQV172" s="928"/>
      <c r="OQW172" s="928"/>
      <c r="OQX172" s="928"/>
      <c r="OQY172" s="928"/>
      <c r="OQZ172" s="928"/>
      <c r="ORA172" s="928"/>
      <c r="ORB172" s="928"/>
      <c r="ORC172" s="928"/>
      <c r="ORD172" s="928"/>
      <c r="ORE172" s="928"/>
      <c r="ORF172" s="928"/>
      <c r="ORG172" s="928"/>
      <c r="ORH172" s="928"/>
      <c r="ORI172" s="928"/>
      <c r="ORJ172" s="928"/>
      <c r="ORK172" s="928"/>
      <c r="ORL172" s="928"/>
      <c r="ORM172" s="928"/>
      <c r="ORN172" s="928"/>
      <c r="ORO172" s="928"/>
      <c r="ORP172" s="928"/>
      <c r="ORQ172" s="928"/>
      <c r="ORR172" s="928"/>
      <c r="ORS172" s="928"/>
      <c r="ORT172" s="928"/>
      <c r="ORU172" s="928"/>
      <c r="ORV172" s="928"/>
      <c r="ORW172" s="928"/>
      <c r="ORX172" s="928"/>
      <c r="ORY172" s="928"/>
      <c r="ORZ172" s="928"/>
      <c r="OSA172" s="928"/>
      <c r="OSB172" s="928"/>
      <c r="OSC172" s="928"/>
      <c r="OSD172" s="928"/>
      <c r="OSE172" s="928"/>
      <c r="OSF172" s="928"/>
      <c r="OSG172" s="928"/>
      <c r="OSH172" s="928"/>
      <c r="OSI172" s="928"/>
      <c r="OSJ172" s="928"/>
      <c r="OSK172" s="928"/>
      <c r="OSL172" s="928"/>
      <c r="OSM172" s="928"/>
      <c r="OSN172" s="928"/>
      <c r="OSO172" s="928"/>
      <c r="OSP172" s="928"/>
      <c r="OSQ172" s="928"/>
      <c r="OSR172" s="928"/>
      <c r="OSS172" s="928"/>
      <c r="OST172" s="928"/>
      <c r="OSU172" s="928"/>
      <c r="OSV172" s="928"/>
      <c r="OSW172" s="928"/>
      <c r="OSX172" s="928"/>
      <c r="OSY172" s="928"/>
      <c r="OSZ172" s="928"/>
      <c r="OTA172" s="928"/>
      <c r="OTB172" s="928"/>
      <c r="OTC172" s="928"/>
      <c r="OTD172" s="928"/>
      <c r="OTE172" s="928"/>
      <c r="OTF172" s="928"/>
      <c r="OTG172" s="928"/>
      <c r="OTH172" s="928"/>
      <c r="OTI172" s="928"/>
      <c r="OTJ172" s="928"/>
      <c r="OTK172" s="928"/>
      <c r="OTL172" s="928"/>
      <c r="OTM172" s="928"/>
      <c r="OTN172" s="928"/>
      <c r="OTO172" s="928"/>
      <c r="OTP172" s="928"/>
      <c r="OTQ172" s="928"/>
      <c r="OTR172" s="928"/>
      <c r="OTS172" s="928"/>
      <c r="OTT172" s="928"/>
      <c r="OTU172" s="928"/>
      <c r="OTV172" s="928"/>
      <c r="OTW172" s="928"/>
      <c r="OTX172" s="928"/>
      <c r="OTY172" s="928"/>
      <c r="OTZ172" s="928"/>
      <c r="OUA172" s="928"/>
      <c r="OUB172" s="928"/>
      <c r="OUC172" s="928"/>
      <c r="OUD172" s="928"/>
      <c r="OUE172" s="928"/>
      <c r="OUF172" s="928"/>
      <c r="OUG172" s="928"/>
      <c r="OUH172" s="928"/>
      <c r="OUI172" s="928"/>
      <c r="OUJ172" s="928"/>
      <c r="OUK172" s="928"/>
      <c r="OUL172" s="928"/>
      <c r="OUM172" s="928"/>
      <c r="OUN172" s="928"/>
      <c r="OUO172" s="928"/>
      <c r="OUP172" s="928"/>
      <c r="OUQ172" s="928"/>
      <c r="OUR172" s="928"/>
      <c r="OUS172" s="928"/>
      <c r="OUT172" s="928"/>
      <c r="OUU172" s="928"/>
      <c r="OUV172" s="928"/>
      <c r="OUW172" s="928"/>
      <c r="OUX172" s="928"/>
      <c r="OUY172" s="928"/>
      <c r="OUZ172" s="928"/>
      <c r="OVA172" s="928"/>
      <c r="OVB172" s="928"/>
      <c r="OVC172" s="928"/>
      <c r="OVD172" s="928"/>
      <c r="OVE172" s="928"/>
      <c r="OVF172" s="928"/>
      <c r="OVG172" s="928"/>
      <c r="OVH172" s="928"/>
      <c r="OVI172" s="928"/>
      <c r="OVJ172" s="928"/>
      <c r="OVK172" s="928"/>
      <c r="OVL172" s="928"/>
      <c r="OVM172" s="928"/>
      <c r="OVN172" s="928"/>
      <c r="OVO172" s="928"/>
      <c r="OVP172" s="928"/>
      <c r="OVQ172" s="928"/>
      <c r="OVR172" s="928"/>
      <c r="OVS172" s="928"/>
      <c r="OVT172" s="928"/>
      <c r="OVU172" s="928"/>
      <c r="OVV172" s="928"/>
      <c r="OVW172" s="928"/>
      <c r="OVX172" s="928"/>
      <c r="OVY172" s="928"/>
      <c r="OVZ172" s="928"/>
      <c r="OWA172" s="928"/>
      <c r="OWB172" s="928"/>
      <c r="OWC172" s="928"/>
      <c r="OWD172" s="928"/>
      <c r="OWE172" s="928"/>
      <c r="OWF172" s="928"/>
      <c r="OWG172" s="928"/>
      <c r="OWH172" s="928"/>
      <c r="OWI172" s="928"/>
      <c r="OWJ172" s="928"/>
      <c r="OWK172" s="928"/>
      <c r="OWL172" s="928"/>
      <c r="OWM172" s="928"/>
      <c r="OWN172" s="928"/>
      <c r="OWO172" s="928"/>
      <c r="OWP172" s="928"/>
      <c r="OWQ172" s="928"/>
      <c r="OWR172" s="928"/>
      <c r="OWS172" s="928"/>
      <c r="OWT172" s="928"/>
      <c r="OWU172" s="928"/>
      <c r="OWV172" s="928"/>
      <c r="OWW172" s="928"/>
      <c r="OWX172" s="928"/>
      <c r="OWY172" s="928"/>
      <c r="OWZ172" s="928"/>
      <c r="OXA172" s="928"/>
      <c r="OXB172" s="928"/>
      <c r="OXC172" s="928"/>
      <c r="OXD172" s="928"/>
      <c r="OXE172" s="928"/>
      <c r="OXF172" s="928"/>
      <c r="OXG172" s="928"/>
      <c r="OXH172" s="928"/>
      <c r="OXI172" s="928"/>
      <c r="OXJ172" s="928"/>
      <c r="OXK172" s="928"/>
      <c r="OXL172" s="928"/>
      <c r="OXM172" s="928"/>
      <c r="OXN172" s="928"/>
      <c r="OXO172" s="928"/>
      <c r="OXP172" s="928"/>
      <c r="OXQ172" s="928"/>
      <c r="OXR172" s="928"/>
      <c r="OXS172" s="928"/>
      <c r="OXT172" s="928"/>
      <c r="OXU172" s="928"/>
      <c r="OXV172" s="928"/>
      <c r="OXW172" s="928"/>
      <c r="OXX172" s="928"/>
      <c r="OXY172" s="928"/>
      <c r="OXZ172" s="928"/>
      <c r="OYA172" s="928"/>
      <c r="OYB172" s="928"/>
      <c r="OYC172" s="928"/>
      <c r="OYD172" s="928"/>
      <c r="OYE172" s="928"/>
      <c r="OYF172" s="928"/>
      <c r="OYG172" s="928"/>
      <c r="OYH172" s="928"/>
      <c r="OYI172" s="928"/>
      <c r="OYJ172" s="928"/>
      <c r="OYK172" s="928"/>
      <c r="OYL172" s="928"/>
      <c r="OYM172" s="928"/>
      <c r="OYN172" s="928"/>
      <c r="OYO172" s="928"/>
      <c r="OYP172" s="928"/>
      <c r="OYQ172" s="928"/>
      <c r="OYR172" s="928"/>
      <c r="OYS172" s="928"/>
      <c r="OYT172" s="928"/>
      <c r="OYU172" s="928"/>
      <c r="OYV172" s="928"/>
      <c r="OYW172" s="928"/>
      <c r="OYX172" s="928"/>
      <c r="OYY172" s="928"/>
      <c r="OYZ172" s="928"/>
      <c r="OZA172" s="928"/>
      <c r="OZB172" s="928"/>
      <c r="OZC172" s="928"/>
      <c r="OZD172" s="928"/>
      <c r="OZE172" s="928"/>
      <c r="OZF172" s="928"/>
      <c r="OZG172" s="928"/>
      <c r="OZH172" s="928"/>
      <c r="OZI172" s="928"/>
      <c r="OZJ172" s="928"/>
      <c r="OZK172" s="928"/>
      <c r="OZL172" s="928"/>
      <c r="OZM172" s="928"/>
      <c r="OZN172" s="928"/>
      <c r="OZO172" s="928"/>
      <c r="OZP172" s="928"/>
      <c r="OZQ172" s="928"/>
      <c r="OZR172" s="928"/>
      <c r="OZS172" s="928"/>
      <c r="OZT172" s="928"/>
      <c r="OZU172" s="928"/>
      <c r="OZV172" s="928"/>
      <c r="OZW172" s="928"/>
      <c r="OZX172" s="928"/>
      <c r="OZY172" s="928"/>
      <c r="OZZ172" s="928"/>
      <c r="PAA172" s="928"/>
      <c r="PAB172" s="928"/>
      <c r="PAC172" s="928"/>
      <c r="PAD172" s="928"/>
      <c r="PAE172" s="928"/>
      <c r="PAF172" s="928"/>
      <c r="PAG172" s="928"/>
      <c r="PAH172" s="928"/>
      <c r="PAI172" s="928"/>
      <c r="PAJ172" s="928"/>
      <c r="PAK172" s="928"/>
      <c r="PAL172" s="928"/>
      <c r="PAM172" s="928"/>
      <c r="PAN172" s="928"/>
      <c r="PAO172" s="928"/>
      <c r="PAP172" s="928"/>
      <c r="PAQ172" s="928"/>
      <c r="PAR172" s="928"/>
      <c r="PAS172" s="928"/>
      <c r="PAT172" s="928"/>
      <c r="PAU172" s="928"/>
      <c r="PAV172" s="928"/>
      <c r="PAW172" s="928"/>
      <c r="PAX172" s="928"/>
      <c r="PAY172" s="928"/>
      <c r="PAZ172" s="928"/>
      <c r="PBA172" s="928"/>
      <c r="PBB172" s="928"/>
      <c r="PBC172" s="928"/>
      <c r="PBD172" s="928"/>
      <c r="PBE172" s="928"/>
      <c r="PBF172" s="928"/>
      <c r="PBG172" s="928"/>
      <c r="PBH172" s="928"/>
      <c r="PBI172" s="928"/>
      <c r="PBJ172" s="928"/>
      <c r="PBK172" s="928"/>
      <c r="PBL172" s="928"/>
      <c r="PBM172" s="928"/>
      <c r="PBN172" s="928"/>
      <c r="PBO172" s="928"/>
      <c r="PBP172" s="928"/>
      <c r="PBQ172" s="928"/>
      <c r="PBR172" s="928"/>
      <c r="PBS172" s="928"/>
      <c r="PBT172" s="928"/>
      <c r="PBU172" s="928"/>
      <c r="PBV172" s="928"/>
      <c r="PBW172" s="928"/>
      <c r="PBX172" s="928"/>
      <c r="PBY172" s="928"/>
      <c r="PBZ172" s="928"/>
      <c r="PCA172" s="928"/>
      <c r="PCB172" s="928"/>
      <c r="PCC172" s="928"/>
      <c r="PCD172" s="928"/>
      <c r="PCE172" s="928"/>
      <c r="PCF172" s="928"/>
      <c r="PCG172" s="928"/>
      <c r="PCH172" s="928"/>
      <c r="PCI172" s="928"/>
      <c r="PCJ172" s="928"/>
      <c r="PCK172" s="928"/>
      <c r="PCL172" s="928"/>
      <c r="PCM172" s="928"/>
      <c r="PCN172" s="928"/>
      <c r="PCO172" s="928"/>
      <c r="PCP172" s="928"/>
      <c r="PCQ172" s="928"/>
      <c r="PCR172" s="928"/>
      <c r="PCS172" s="928"/>
      <c r="PCT172" s="928"/>
      <c r="PCU172" s="928"/>
      <c r="PCV172" s="928"/>
      <c r="PCW172" s="928"/>
      <c r="PCX172" s="928"/>
      <c r="PCY172" s="928"/>
      <c r="PCZ172" s="928"/>
      <c r="PDA172" s="928"/>
      <c r="PDB172" s="928"/>
      <c r="PDC172" s="928"/>
      <c r="PDD172" s="928"/>
      <c r="PDE172" s="928"/>
      <c r="PDF172" s="928"/>
      <c r="PDG172" s="928"/>
      <c r="PDH172" s="928"/>
      <c r="PDI172" s="928"/>
      <c r="PDJ172" s="928"/>
      <c r="PDK172" s="928"/>
      <c r="PDL172" s="928"/>
      <c r="PDM172" s="928"/>
      <c r="PDN172" s="928"/>
      <c r="PDO172" s="928"/>
      <c r="PDP172" s="928"/>
      <c r="PDQ172" s="928"/>
      <c r="PDR172" s="928"/>
      <c r="PDS172" s="928"/>
      <c r="PDT172" s="928"/>
      <c r="PDU172" s="928"/>
      <c r="PDV172" s="928"/>
      <c r="PDW172" s="928"/>
      <c r="PDX172" s="928"/>
      <c r="PDY172" s="928"/>
      <c r="PDZ172" s="928"/>
      <c r="PEA172" s="928"/>
      <c r="PEB172" s="928"/>
      <c r="PEC172" s="928"/>
      <c r="PED172" s="928"/>
      <c r="PEE172" s="928"/>
      <c r="PEF172" s="928"/>
      <c r="PEG172" s="928"/>
      <c r="PEH172" s="928"/>
      <c r="PEI172" s="928"/>
      <c r="PEJ172" s="928"/>
      <c r="PEK172" s="928"/>
      <c r="PEL172" s="928"/>
      <c r="PEM172" s="928"/>
      <c r="PEN172" s="928"/>
      <c r="PEO172" s="928"/>
      <c r="PEP172" s="928"/>
      <c r="PEQ172" s="928"/>
      <c r="PER172" s="928"/>
      <c r="PES172" s="928"/>
      <c r="PET172" s="928"/>
      <c r="PEU172" s="928"/>
      <c r="PEV172" s="928"/>
      <c r="PEW172" s="928"/>
      <c r="PEX172" s="928"/>
      <c r="PEY172" s="928"/>
      <c r="PEZ172" s="928"/>
      <c r="PFA172" s="928"/>
      <c r="PFB172" s="928"/>
      <c r="PFC172" s="928"/>
      <c r="PFD172" s="928"/>
      <c r="PFE172" s="928"/>
      <c r="PFF172" s="928"/>
      <c r="PFG172" s="928"/>
      <c r="PFH172" s="928"/>
      <c r="PFI172" s="928"/>
      <c r="PFJ172" s="928"/>
      <c r="PFK172" s="928"/>
      <c r="PFL172" s="928"/>
      <c r="PFM172" s="928"/>
      <c r="PFN172" s="928"/>
      <c r="PFO172" s="928"/>
      <c r="PFP172" s="928"/>
      <c r="PFQ172" s="928"/>
      <c r="PFR172" s="928"/>
      <c r="PFS172" s="928"/>
      <c r="PFT172" s="928"/>
      <c r="PFU172" s="928"/>
      <c r="PFV172" s="928"/>
      <c r="PFW172" s="928"/>
      <c r="PFX172" s="928"/>
      <c r="PFY172" s="928"/>
      <c r="PFZ172" s="928"/>
      <c r="PGA172" s="928"/>
      <c r="PGB172" s="928"/>
      <c r="PGC172" s="928"/>
      <c r="PGD172" s="928"/>
      <c r="PGE172" s="928"/>
      <c r="PGF172" s="928"/>
      <c r="PGG172" s="928"/>
      <c r="PGH172" s="928"/>
      <c r="PGI172" s="928"/>
      <c r="PGJ172" s="928"/>
      <c r="PGK172" s="928"/>
      <c r="PGL172" s="928"/>
      <c r="PGM172" s="928"/>
      <c r="PGN172" s="928"/>
      <c r="PGO172" s="928"/>
      <c r="PGP172" s="928"/>
      <c r="PGQ172" s="928"/>
      <c r="PGR172" s="928"/>
      <c r="PGS172" s="928"/>
      <c r="PGT172" s="928"/>
      <c r="PGU172" s="928"/>
      <c r="PGV172" s="928"/>
      <c r="PGW172" s="928"/>
      <c r="PGX172" s="928"/>
      <c r="PGY172" s="928"/>
      <c r="PGZ172" s="928"/>
      <c r="PHA172" s="928"/>
      <c r="PHB172" s="928"/>
      <c r="PHC172" s="928"/>
      <c r="PHD172" s="928"/>
      <c r="PHE172" s="928"/>
      <c r="PHF172" s="928"/>
      <c r="PHG172" s="928"/>
      <c r="PHH172" s="928"/>
      <c r="PHI172" s="928"/>
      <c r="PHJ172" s="928"/>
      <c r="PHK172" s="928"/>
      <c r="PHL172" s="928"/>
      <c r="PHM172" s="928"/>
      <c r="PHN172" s="928"/>
      <c r="PHO172" s="928"/>
      <c r="PHP172" s="928"/>
      <c r="PHQ172" s="928"/>
      <c r="PHR172" s="928"/>
      <c r="PHS172" s="928"/>
      <c r="PHT172" s="928"/>
      <c r="PHU172" s="928"/>
      <c r="PHV172" s="928"/>
      <c r="PHW172" s="928"/>
      <c r="PHX172" s="928"/>
      <c r="PHY172" s="928"/>
      <c r="PHZ172" s="928"/>
      <c r="PIA172" s="928"/>
      <c r="PIB172" s="928"/>
      <c r="PIC172" s="928"/>
      <c r="PID172" s="928"/>
      <c r="PIE172" s="928"/>
      <c r="PIF172" s="928"/>
      <c r="PIG172" s="928"/>
      <c r="PIH172" s="928"/>
      <c r="PII172" s="928"/>
      <c r="PIJ172" s="928"/>
      <c r="PIK172" s="928"/>
      <c r="PIL172" s="928"/>
      <c r="PIM172" s="928"/>
      <c r="PIN172" s="928"/>
      <c r="PIO172" s="928"/>
      <c r="PIP172" s="928"/>
      <c r="PIQ172" s="928"/>
      <c r="PIR172" s="928"/>
      <c r="PIS172" s="928"/>
      <c r="PIT172" s="928"/>
      <c r="PIU172" s="928"/>
      <c r="PIV172" s="928"/>
      <c r="PIW172" s="928"/>
      <c r="PIX172" s="928"/>
      <c r="PIY172" s="928"/>
      <c r="PIZ172" s="928"/>
      <c r="PJA172" s="928"/>
      <c r="PJB172" s="928"/>
      <c r="PJC172" s="928"/>
      <c r="PJD172" s="928"/>
      <c r="PJE172" s="928"/>
      <c r="PJF172" s="928"/>
      <c r="PJG172" s="928"/>
      <c r="PJH172" s="928"/>
      <c r="PJI172" s="928"/>
      <c r="PJJ172" s="928"/>
      <c r="PJK172" s="928"/>
      <c r="PJL172" s="928"/>
      <c r="PJM172" s="928"/>
      <c r="PJN172" s="928"/>
      <c r="PJO172" s="928"/>
      <c r="PJP172" s="928"/>
      <c r="PJQ172" s="928"/>
      <c r="PJR172" s="928"/>
      <c r="PJS172" s="928"/>
      <c r="PJT172" s="928"/>
      <c r="PJU172" s="928"/>
      <c r="PJV172" s="928"/>
      <c r="PJW172" s="928"/>
      <c r="PJX172" s="928"/>
      <c r="PJY172" s="928"/>
      <c r="PJZ172" s="928"/>
      <c r="PKA172" s="928"/>
      <c r="PKB172" s="928"/>
      <c r="PKC172" s="928"/>
      <c r="PKD172" s="928"/>
      <c r="PKE172" s="928"/>
      <c r="PKF172" s="928"/>
      <c r="PKG172" s="928"/>
      <c r="PKH172" s="928"/>
      <c r="PKI172" s="928"/>
      <c r="PKJ172" s="928"/>
      <c r="PKK172" s="928"/>
      <c r="PKL172" s="928"/>
      <c r="PKM172" s="928"/>
      <c r="PKN172" s="928"/>
      <c r="PKO172" s="928"/>
      <c r="PKP172" s="928"/>
      <c r="PKQ172" s="928"/>
      <c r="PKR172" s="928"/>
      <c r="PKS172" s="928"/>
      <c r="PKT172" s="928"/>
      <c r="PKU172" s="928"/>
      <c r="PKV172" s="928"/>
      <c r="PKW172" s="928"/>
      <c r="PKX172" s="928"/>
      <c r="PKY172" s="928"/>
      <c r="PKZ172" s="928"/>
      <c r="PLA172" s="928"/>
      <c r="PLB172" s="928"/>
      <c r="PLC172" s="928"/>
      <c r="PLD172" s="928"/>
      <c r="PLE172" s="928"/>
      <c r="PLF172" s="928"/>
      <c r="PLG172" s="928"/>
      <c r="PLH172" s="928"/>
      <c r="PLI172" s="928"/>
      <c r="PLJ172" s="928"/>
      <c r="PLK172" s="928"/>
      <c r="PLL172" s="928"/>
      <c r="PLM172" s="928"/>
      <c r="PLN172" s="928"/>
      <c r="PLO172" s="928"/>
      <c r="PLP172" s="928"/>
      <c r="PLQ172" s="928"/>
      <c r="PLR172" s="928"/>
      <c r="PLS172" s="928"/>
      <c r="PLT172" s="928"/>
      <c r="PLU172" s="928"/>
      <c r="PLV172" s="928"/>
      <c r="PLW172" s="928"/>
      <c r="PLX172" s="928"/>
      <c r="PLY172" s="928"/>
      <c r="PLZ172" s="928"/>
      <c r="PMA172" s="928"/>
      <c r="PMB172" s="928"/>
      <c r="PMC172" s="928"/>
      <c r="PMD172" s="928"/>
      <c r="PME172" s="928"/>
      <c r="PMF172" s="928"/>
      <c r="PMG172" s="928"/>
      <c r="PMH172" s="928"/>
      <c r="PMI172" s="928"/>
      <c r="PMJ172" s="928"/>
      <c r="PMK172" s="928"/>
      <c r="PML172" s="928"/>
      <c r="PMM172" s="928"/>
      <c r="PMN172" s="928"/>
      <c r="PMO172" s="928"/>
      <c r="PMP172" s="928"/>
      <c r="PMQ172" s="928"/>
      <c r="PMR172" s="928"/>
      <c r="PMS172" s="928"/>
      <c r="PMT172" s="928"/>
      <c r="PMU172" s="928"/>
      <c r="PMV172" s="928"/>
      <c r="PMW172" s="928"/>
      <c r="PMX172" s="928"/>
      <c r="PMY172" s="928"/>
      <c r="PMZ172" s="928"/>
      <c r="PNA172" s="928"/>
      <c r="PNB172" s="928"/>
      <c r="PNC172" s="928"/>
      <c r="PND172" s="928"/>
      <c r="PNE172" s="928"/>
      <c r="PNF172" s="928"/>
      <c r="PNG172" s="928"/>
      <c r="PNH172" s="928"/>
      <c r="PNI172" s="928"/>
      <c r="PNJ172" s="928"/>
      <c r="PNK172" s="928"/>
      <c r="PNL172" s="928"/>
      <c r="PNM172" s="928"/>
      <c r="PNN172" s="928"/>
      <c r="PNO172" s="928"/>
      <c r="PNP172" s="928"/>
      <c r="PNQ172" s="928"/>
      <c r="PNR172" s="928"/>
      <c r="PNS172" s="928"/>
      <c r="PNT172" s="928"/>
      <c r="PNU172" s="928"/>
      <c r="PNV172" s="928"/>
      <c r="PNW172" s="928"/>
      <c r="PNX172" s="928"/>
      <c r="PNY172" s="928"/>
      <c r="PNZ172" s="928"/>
      <c r="POA172" s="928"/>
      <c r="POB172" s="928"/>
      <c r="POC172" s="928"/>
      <c r="POD172" s="928"/>
      <c r="POE172" s="928"/>
      <c r="POF172" s="928"/>
      <c r="POG172" s="928"/>
      <c r="POH172" s="928"/>
      <c r="POI172" s="928"/>
      <c r="POJ172" s="928"/>
      <c r="POK172" s="928"/>
      <c r="POL172" s="928"/>
      <c r="POM172" s="928"/>
      <c r="PON172" s="928"/>
      <c r="POO172" s="928"/>
      <c r="POP172" s="928"/>
      <c r="POQ172" s="928"/>
      <c r="POR172" s="928"/>
      <c r="POS172" s="928"/>
      <c r="POT172" s="928"/>
      <c r="POU172" s="928"/>
      <c r="POV172" s="928"/>
      <c r="POW172" s="928"/>
      <c r="POX172" s="928"/>
      <c r="POY172" s="928"/>
      <c r="POZ172" s="928"/>
      <c r="PPA172" s="928"/>
      <c r="PPB172" s="928"/>
      <c r="PPC172" s="928"/>
      <c r="PPD172" s="928"/>
      <c r="PPE172" s="928"/>
      <c r="PPF172" s="928"/>
      <c r="PPG172" s="928"/>
      <c r="PPH172" s="928"/>
      <c r="PPI172" s="928"/>
      <c r="PPJ172" s="928"/>
      <c r="PPK172" s="928"/>
      <c r="PPL172" s="928"/>
      <c r="PPM172" s="928"/>
      <c r="PPN172" s="928"/>
      <c r="PPO172" s="928"/>
      <c r="PPP172" s="928"/>
      <c r="PPQ172" s="928"/>
      <c r="PPR172" s="928"/>
      <c r="PPS172" s="928"/>
      <c r="PPT172" s="928"/>
      <c r="PPU172" s="928"/>
      <c r="PPV172" s="928"/>
      <c r="PPW172" s="928"/>
      <c r="PPX172" s="928"/>
      <c r="PPY172" s="928"/>
      <c r="PPZ172" s="928"/>
      <c r="PQA172" s="928"/>
      <c r="PQB172" s="928"/>
      <c r="PQC172" s="928"/>
      <c r="PQD172" s="928"/>
      <c r="PQE172" s="928"/>
      <c r="PQF172" s="928"/>
      <c r="PQG172" s="928"/>
      <c r="PQH172" s="928"/>
      <c r="PQI172" s="928"/>
      <c r="PQJ172" s="928"/>
      <c r="PQK172" s="928"/>
      <c r="PQL172" s="928"/>
      <c r="PQM172" s="928"/>
      <c r="PQN172" s="928"/>
      <c r="PQO172" s="928"/>
      <c r="PQP172" s="928"/>
      <c r="PQQ172" s="928"/>
      <c r="PQR172" s="928"/>
      <c r="PQS172" s="928"/>
      <c r="PQT172" s="928"/>
      <c r="PQU172" s="928"/>
      <c r="PQV172" s="928"/>
      <c r="PQW172" s="928"/>
      <c r="PQX172" s="928"/>
      <c r="PQY172" s="928"/>
      <c r="PQZ172" s="928"/>
      <c r="PRA172" s="928"/>
      <c r="PRB172" s="928"/>
      <c r="PRC172" s="928"/>
      <c r="PRD172" s="928"/>
      <c r="PRE172" s="928"/>
      <c r="PRF172" s="928"/>
      <c r="PRG172" s="928"/>
      <c r="PRH172" s="928"/>
      <c r="PRI172" s="928"/>
      <c r="PRJ172" s="928"/>
      <c r="PRK172" s="928"/>
      <c r="PRL172" s="928"/>
      <c r="PRM172" s="928"/>
      <c r="PRN172" s="928"/>
      <c r="PRO172" s="928"/>
      <c r="PRP172" s="928"/>
      <c r="PRQ172" s="928"/>
      <c r="PRR172" s="928"/>
      <c r="PRS172" s="928"/>
      <c r="PRT172" s="928"/>
      <c r="PRU172" s="928"/>
      <c r="PRV172" s="928"/>
      <c r="PRW172" s="928"/>
      <c r="PRX172" s="928"/>
      <c r="PRY172" s="928"/>
      <c r="PRZ172" s="928"/>
      <c r="PSA172" s="928"/>
      <c r="PSB172" s="928"/>
      <c r="PSC172" s="928"/>
      <c r="PSD172" s="928"/>
      <c r="PSE172" s="928"/>
      <c r="PSF172" s="928"/>
      <c r="PSG172" s="928"/>
      <c r="PSH172" s="928"/>
      <c r="PSI172" s="928"/>
      <c r="PSJ172" s="928"/>
      <c r="PSK172" s="928"/>
      <c r="PSL172" s="928"/>
      <c r="PSM172" s="928"/>
      <c r="PSN172" s="928"/>
      <c r="PSO172" s="928"/>
      <c r="PSP172" s="928"/>
      <c r="PSQ172" s="928"/>
      <c r="PSR172" s="928"/>
      <c r="PSS172" s="928"/>
      <c r="PST172" s="928"/>
      <c r="PSU172" s="928"/>
      <c r="PSV172" s="928"/>
      <c r="PSW172" s="928"/>
      <c r="PSX172" s="928"/>
      <c r="PSY172" s="928"/>
      <c r="PSZ172" s="928"/>
      <c r="PTA172" s="928"/>
      <c r="PTB172" s="928"/>
      <c r="PTC172" s="928"/>
      <c r="PTD172" s="928"/>
      <c r="PTE172" s="928"/>
      <c r="PTF172" s="928"/>
      <c r="PTG172" s="928"/>
      <c r="PTH172" s="928"/>
      <c r="PTI172" s="928"/>
      <c r="PTJ172" s="928"/>
      <c r="PTK172" s="928"/>
      <c r="PTL172" s="928"/>
      <c r="PTM172" s="928"/>
      <c r="PTN172" s="928"/>
      <c r="PTO172" s="928"/>
      <c r="PTP172" s="928"/>
      <c r="PTQ172" s="928"/>
      <c r="PTR172" s="928"/>
      <c r="PTS172" s="928"/>
      <c r="PTT172" s="928"/>
      <c r="PTU172" s="928"/>
      <c r="PTV172" s="928"/>
      <c r="PTW172" s="928"/>
      <c r="PTX172" s="928"/>
      <c r="PTY172" s="928"/>
      <c r="PTZ172" s="928"/>
      <c r="PUA172" s="928"/>
      <c r="PUB172" s="928"/>
      <c r="PUC172" s="928"/>
      <c r="PUD172" s="928"/>
      <c r="PUE172" s="928"/>
      <c r="PUF172" s="928"/>
      <c r="PUG172" s="928"/>
      <c r="PUH172" s="928"/>
      <c r="PUI172" s="928"/>
      <c r="PUJ172" s="928"/>
      <c r="PUK172" s="928"/>
      <c r="PUL172" s="928"/>
      <c r="PUM172" s="928"/>
      <c r="PUN172" s="928"/>
      <c r="PUO172" s="928"/>
      <c r="PUP172" s="928"/>
      <c r="PUQ172" s="928"/>
      <c r="PUR172" s="928"/>
      <c r="PUS172" s="928"/>
      <c r="PUT172" s="928"/>
      <c r="PUU172" s="928"/>
      <c r="PUV172" s="928"/>
      <c r="PUW172" s="928"/>
      <c r="PUX172" s="928"/>
      <c r="PUY172" s="928"/>
      <c r="PUZ172" s="928"/>
      <c r="PVA172" s="928"/>
      <c r="PVB172" s="928"/>
      <c r="PVC172" s="928"/>
      <c r="PVD172" s="928"/>
      <c r="PVE172" s="928"/>
      <c r="PVF172" s="928"/>
      <c r="PVG172" s="928"/>
      <c r="PVH172" s="928"/>
      <c r="PVI172" s="928"/>
      <c r="PVJ172" s="928"/>
      <c r="PVK172" s="928"/>
      <c r="PVL172" s="928"/>
      <c r="PVM172" s="928"/>
      <c r="PVN172" s="928"/>
      <c r="PVO172" s="928"/>
      <c r="PVP172" s="928"/>
      <c r="PVQ172" s="928"/>
      <c r="PVR172" s="928"/>
      <c r="PVS172" s="928"/>
      <c r="PVT172" s="928"/>
      <c r="PVU172" s="928"/>
      <c r="PVV172" s="928"/>
      <c r="PVW172" s="928"/>
      <c r="PVX172" s="928"/>
      <c r="PVY172" s="928"/>
      <c r="PVZ172" s="928"/>
      <c r="PWA172" s="928"/>
      <c r="PWB172" s="928"/>
      <c r="PWC172" s="928"/>
      <c r="PWD172" s="928"/>
      <c r="PWE172" s="928"/>
      <c r="PWF172" s="928"/>
      <c r="PWG172" s="928"/>
      <c r="PWH172" s="928"/>
      <c r="PWI172" s="928"/>
      <c r="PWJ172" s="928"/>
      <c r="PWK172" s="928"/>
      <c r="PWL172" s="928"/>
      <c r="PWM172" s="928"/>
      <c r="PWN172" s="928"/>
      <c r="PWO172" s="928"/>
      <c r="PWP172" s="928"/>
      <c r="PWQ172" s="928"/>
      <c r="PWR172" s="928"/>
      <c r="PWS172" s="928"/>
      <c r="PWT172" s="928"/>
      <c r="PWU172" s="928"/>
      <c r="PWV172" s="928"/>
      <c r="PWW172" s="928"/>
      <c r="PWX172" s="928"/>
      <c r="PWY172" s="928"/>
      <c r="PWZ172" s="928"/>
      <c r="PXA172" s="928"/>
      <c r="PXB172" s="928"/>
      <c r="PXC172" s="928"/>
      <c r="PXD172" s="928"/>
      <c r="PXE172" s="928"/>
      <c r="PXF172" s="928"/>
      <c r="PXG172" s="928"/>
      <c r="PXH172" s="928"/>
      <c r="PXI172" s="928"/>
      <c r="PXJ172" s="928"/>
      <c r="PXK172" s="928"/>
      <c r="PXL172" s="928"/>
      <c r="PXM172" s="928"/>
      <c r="PXN172" s="928"/>
      <c r="PXO172" s="928"/>
      <c r="PXP172" s="928"/>
      <c r="PXQ172" s="928"/>
      <c r="PXR172" s="928"/>
      <c r="PXS172" s="928"/>
      <c r="PXT172" s="928"/>
      <c r="PXU172" s="928"/>
      <c r="PXV172" s="928"/>
      <c r="PXW172" s="928"/>
      <c r="PXX172" s="928"/>
      <c r="PXY172" s="928"/>
      <c r="PXZ172" s="928"/>
      <c r="PYA172" s="928"/>
      <c r="PYB172" s="928"/>
      <c r="PYC172" s="928"/>
      <c r="PYD172" s="928"/>
      <c r="PYE172" s="928"/>
      <c r="PYF172" s="928"/>
      <c r="PYG172" s="928"/>
      <c r="PYH172" s="928"/>
      <c r="PYI172" s="928"/>
      <c r="PYJ172" s="928"/>
      <c r="PYK172" s="928"/>
      <c r="PYL172" s="928"/>
      <c r="PYM172" s="928"/>
      <c r="PYN172" s="928"/>
      <c r="PYO172" s="928"/>
      <c r="PYP172" s="928"/>
      <c r="PYQ172" s="928"/>
      <c r="PYR172" s="928"/>
      <c r="PYS172" s="928"/>
      <c r="PYT172" s="928"/>
      <c r="PYU172" s="928"/>
      <c r="PYV172" s="928"/>
      <c r="PYW172" s="928"/>
      <c r="PYX172" s="928"/>
      <c r="PYY172" s="928"/>
      <c r="PYZ172" s="928"/>
      <c r="PZA172" s="928"/>
      <c r="PZB172" s="928"/>
      <c r="PZC172" s="928"/>
      <c r="PZD172" s="928"/>
      <c r="PZE172" s="928"/>
      <c r="PZF172" s="928"/>
      <c r="PZG172" s="928"/>
      <c r="PZH172" s="928"/>
      <c r="PZI172" s="928"/>
      <c r="PZJ172" s="928"/>
      <c r="PZK172" s="928"/>
      <c r="PZL172" s="928"/>
      <c r="PZM172" s="928"/>
      <c r="PZN172" s="928"/>
      <c r="PZO172" s="928"/>
      <c r="PZP172" s="928"/>
      <c r="PZQ172" s="928"/>
      <c r="PZR172" s="928"/>
      <c r="PZS172" s="928"/>
      <c r="PZT172" s="928"/>
      <c r="PZU172" s="928"/>
      <c r="PZV172" s="928"/>
      <c r="PZW172" s="928"/>
      <c r="PZX172" s="928"/>
      <c r="PZY172" s="928"/>
      <c r="PZZ172" s="928"/>
      <c r="QAA172" s="928"/>
      <c r="QAB172" s="928"/>
      <c r="QAC172" s="928"/>
      <c r="QAD172" s="928"/>
      <c r="QAE172" s="928"/>
      <c r="QAF172" s="928"/>
      <c r="QAG172" s="928"/>
      <c r="QAH172" s="928"/>
      <c r="QAI172" s="928"/>
      <c r="QAJ172" s="928"/>
      <c r="QAK172" s="928"/>
      <c r="QAL172" s="928"/>
      <c r="QAM172" s="928"/>
      <c r="QAN172" s="928"/>
      <c r="QAO172" s="928"/>
      <c r="QAP172" s="928"/>
      <c r="QAQ172" s="928"/>
      <c r="QAR172" s="928"/>
      <c r="QAS172" s="928"/>
      <c r="QAT172" s="928"/>
      <c r="QAU172" s="928"/>
      <c r="QAV172" s="928"/>
      <c r="QAW172" s="928"/>
      <c r="QAX172" s="928"/>
      <c r="QAY172" s="928"/>
      <c r="QAZ172" s="928"/>
      <c r="QBA172" s="928"/>
      <c r="QBB172" s="928"/>
      <c r="QBC172" s="928"/>
      <c r="QBD172" s="928"/>
      <c r="QBE172" s="928"/>
      <c r="QBF172" s="928"/>
      <c r="QBG172" s="928"/>
      <c r="QBH172" s="928"/>
      <c r="QBI172" s="928"/>
      <c r="QBJ172" s="928"/>
      <c r="QBK172" s="928"/>
      <c r="QBL172" s="928"/>
      <c r="QBM172" s="928"/>
      <c r="QBN172" s="928"/>
      <c r="QBO172" s="928"/>
      <c r="QBP172" s="928"/>
      <c r="QBQ172" s="928"/>
      <c r="QBR172" s="928"/>
      <c r="QBS172" s="928"/>
      <c r="QBT172" s="928"/>
      <c r="QBU172" s="928"/>
      <c r="QBV172" s="928"/>
      <c r="QBW172" s="928"/>
      <c r="QBX172" s="928"/>
      <c r="QBY172" s="928"/>
      <c r="QBZ172" s="928"/>
      <c r="QCA172" s="928"/>
      <c r="QCB172" s="928"/>
      <c r="QCC172" s="928"/>
      <c r="QCD172" s="928"/>
      <c r="QCE172" s="928"/>
      <c r="QCF172" s="928"/>
      <c r="QCG172" s="928"/>
      <c r="QCH172" s="928"/>
      <c r="QCI172" s="928"/>
      <c r="QCJ172" s="928"/>
      <c r="QCK172" s="928"/>
      <c r="QCL172" s="928"/>
      <c r="QCM172" s="928"/>
      <c r="QCN172" s="928"/>
      <c r="QCO172" s="928"/>
      <c r="QCP172" s="928"/>
      <c r="QCQ172" s="928"/>
      <c r="QCR172" s="928"/>
      <c r="QCS172" s="928"/>
      <c r="QCT172" s="928"/>
      <c r="QCU172" s="928"/>
      <c r="QCV172" s="928"/>
      <c r="QCW172" s="928"/>
      <c r="QCX172" s="928"/>
      <c r="QCY172" s="928"/>
      <c r="QCZ172" s="928"/>
      <c r="QDA172" s="928"/>
      <c r="QDB172" s="928"/>
      <c r="QDC172" s="928"/>
      <c r="QDD172" s="928"/>
      <c r="QDE172" s="928"/>
      <c r="QDF172" s="928"/>
      <c r="QDG172" s="928"/>
      <c r="QDH172" s="928"/>
      <c r="QDI172" s="928"/>
      <c r="QDJ172" s="928"/>
      <c r="QDK172" s="928"/>
      <c r="QDL172" s="928"/>
      <c r="QDM172" s="928"/>
      <c r="QDN172" s="928"/>
      <c r="QDO172" s="928"/>
      <c r="QDP172" s="928"/>
      <c r="QDQ172" s="928"/>
      <c r="QDR172" s="928"/>
      <c r="QDS172" s="928"/>
      <c r="QDT172" s="928"/>
      <c r="QDU172" s="928"/>
      <c r="QDV172" s="928"/>
      <c r="QDW172" s="928"/>
      <c r="QDX172" s="928"/>
      <c r="QDY172" s="928"/>
      <c r="QDZ172" s="928"/>
      <c r="QEA172" s="928"/>
      <c r="QEB172" s="928"/>
      <c r="QEC172" s="928"/>
      <c r="QED172" s="928"/>
      <c r="QEE172" s="928"/>
      <c r="QEF172" s="928"/>
      <c r="QEG172" s="928"/>
      <c r="QEH172" s="928"/>
      <c r="QEI172" s="928"/>
      <c r="QEJ172" s="928"/>
      <c r="QEK172" s="928"/>
      <c r="QEL172" s="928"/>
      <c r="QEM172" s="928"/>
      <c r="QEN172" s="928"/>
      <c r="QEO172" s="928"/>
      <c r="QEP172" s="928"/>
      <c r="QEQ172" s="928"/>
      <c r="QER172" s="928"/>
      <c r="QES172" s="928"/>
      <c r="QET172" s="928"/>
      <c r="QEU172" s="928"/>
      <c r="QEV172" s="928"/>
      <c r="QEW172" s="928"/>
      <c r="QEX172" s="928"/>
      <c r="QEY172" s="928"/>
      <c r="QEZ172" s="928"/>
      <c r="QFA172" s="928"/>
      <c r="QFB172" s="928"/>
      <c r="QFC172" s="928"/>
      <c r="QFD172" s="928"/>
      <c r="QFE172" s="928"/>
      <c r="QFF172" s="928"/>
      <c r="QFG172" s="928"/>
      <c r="QFH172" s="928"/>
      <c r="QFI172" s="928"/>
      <c r="QFJ172" s="928"/>
      <c r="QFK172" s="928"/>
      <c r="QFL172" s="928"/>
      <c r="QFM172" s="928"/>
      <c r="QFN172" s="928"/>
      <c r="QFO172" s="928"/>
      <c r="QFP172" s="928"/>
      <c r="QFQ172" s="928"/>
      <c r="QFR172" s="928"/>
      <c r="QFS172" s="928"/>
      <c r="QFT172" s="928"/>
      <c r="QFU172" s="928"/>
      <c r="QFV172" s="928"/>
      <c r="QFW172" s="928"/>
      <c r="QFX172" s="928"/>
      <c r="QFY172" s="928"/>
      <c r="QFZ172" s="928"/>
      <c r="QGA172" s="928"/>
      <c r="QGB172" s="928"/>
      <c r="QGC172" s="928"/>
      <c r="QGD172" s="928"/>
      <c r="QGE172" s="928"/>
      <c r="QGF172" s="928"/>
      <c r="QGG172" s="928"/>
      <c r="QGH172" s="928"/>
      <c r="QGI172" s="928"/>
      <c r="QGJ172" s="928"/>
      <c r="QGK172" s="928"/>
      <c r="QGL172" s="928"/>
      <c r="QGM172" s="928"/>
      <c r="QGN172" s="928"/>
      <c r="QGO172" s="928"/>
      <c r="QGP172" s="928"/>
      <c r="QGQ172" s="928"/>
      <c r="QGR172" s="928"/>
      <c r="QGS172" s="928"/>
      <c r="QGT172" s="928"/>
      <c r="QGU172" s="928"/>
      <c r="QGV172" s="928"/>
      <c r="QGW172" s="928"/>
      <c r="QGX172" s="928"/>
      <c r="QGY172" s="928"/>
      <c r="QGZ172" s="928"/>
      <c r="QHA172" s="928"/>
      <c r="QHB172" s="928"/>
      <c r="QHC172" s="928"/>
      <c r="QHD172" s="928"/>
      <c r="QHE172" s="928"/>
      <c r="QHF172" s="928"/>
      <c r="QHG172" s="928"/>
      <c r="QHH172" s="928"/>
      <c r="QHI172" s="928"/>
      <c r="QHJ172" s="928"/>
      <c r="QHK172" s="928"/>
      <c r="QHL172" s="928"/>
      <c r="QHM172" s="928"/>
      <c r="QHN172" s="928"/>
      <c r="QHO172" s="928"/>
      <c r="QHP172" s="928"/>
      <c r="QHQ172" s="928"/>
      <c r="QHR172" s="928"/>
      <c r="QHS172" s="928"/>
      <c r="QHT172" s="928"/>
      <c r="QHU172" s="928"/>
      <c r="QHV172" s="928"/>
      <c r="QHW172" s="928"/>
      <c r="QHX172" s="928"/>
      <c r="QHY172" s="928"/>
      <c r="QHZ172" s="928"/>
      <c r="QIA172" s="928"/>
      <c r="QIB172" s="928"/>
      <c r="QIC172" s="928"/>
      <c r="QID172" s="928"/>
      <c r="QIE172" s="928"/>
      <c r="QIF172" s="928"/>
      <c r="QIG172" s="928"/>
      <c r="QIH172" s="928"/>
      <c r="QII172" s="928"/>
      <c r="QIJ172" s="928"/>
      <c r="QIK172" s="928"/>
      <c r="QIL172" s="928"/>
      <c r="QIM172" s="928"/>
      <c r="QIN172" s="928"/>
      <c r="QIO172" s="928"/>
      <c r="QIP172" s="928"/>
      <c r="QIQ172" s="928"/>
      <c r="QIR172" s="928"/>
      <c r="QIS172" s="928"/>
      <c r="QIT172" s="928"/>
      <c r="QIU172" s="928"/>
      <c r="QIV172" s="928"/>
      <c r="QIW172" s="928"/>
      <c r="QIX172" s="928"/>
      <c r="QIY172" s="928"/>
      <c r="QIZ172" s="928"/>
      <c r="QJA172" s="928"/>
      <c r="QJB172" s="928"/>
      <c r="QJC172" s="928"/>
      <c r="QJD172" s="928"/>
      <c r="QJE172" s="928"/>
      <c r="QJF172" s="928"/>
      <c r="QJG172" s="928"/>
      <c r="QJH172" s="928"/>
      <c r="QJI172" s="928"/>
      <c r="QJJ172" s="928"/>
      <c r="QJK172" s="928"/>
      <c r="QJL172" s="928"/>
      <c r="QJM172" s="928"/>
      <c r="QJN172" s="928"/>
      <c r="QJO172" s="928"/>
      <c r="QJP172" s="928"/>
      <c r="QJQ172" s="928"/>
      <c r="QJR172" s="928"/>
      <c r="QJS172" s="928"/>
      <c r="QJT172" s="928"/>
      <c r="QJU172" s="928"/>
      <c r="QJV172" s="928"/>
      <c r="QJW172" s="928"/>
      <c r="QJX172" s="928"/>
      <c r="QJY172" s="928"/>
      <c r="QJZ172" s="928"/>
      <c r="QKA172" s="928"/>
      <c r="QKB172" s="928"/>
      <c r="QKC172" s="928"/>
      <c r="QKD172" s="928"/>
      <c r="QKE172" s="928"/>
      <c r="QKF172" s="928"/>
      <c r="QKG172" s="928"/>
      <c r="QKH172" s="928"/>
      <c r="QKI172" s="928"/>
      <c r="QKJ172" s="928"/>
      <c r="QKK172" s="928"/>
      <c r="QKL172" s="928"/>
      <c r="QKM172" s="928"/>
      <c r="QKN172" s="928"/>
      <c r="QKO172" s="928"/>
      <c r="QKP172" s="928"/>
      <c r="QKQ172" s="928"/>
      <c r="QKR172" s="928"/>
      <c r="QKS172" s="928"/>
      <c r="QKT172" s="928"/>
      <c r="QKU172" s="928"/>
      <c r="QKV172" s="928"/>
      <c r="QKW172" s="928"/>
      <c r="QKX172" s="928"/>
      <c r="QKY172" s="928"/>
      <c r="QKZ172" s="928"/>
      <c r="QLA172" s="928"/>
      <c r="QLB172" s="928"/>
      <c r="QLC172" s="928"/>
      <c r="QLD172" s="928"/>
      <c r="QLE172" s="928"/>
      <c r="QLF172" s="928"/>
      <c r="QLG172" s="928"/>
      <c r="QLH172" s="928"/>
      <c r="QLI172" s="928"/>
      <c r="QLJ172" s="928"/>
      <c r="QLK172" s="928"/>
      <c r="QLL172" s="928"/>
      <c r="QLM172" s="928"/>
      <c r="QLN172" s="928"/>
      <c r="QLO172" s="928"/>
      <c r="QLP172" s="928"/>
      <c r="QLQ172" s="928"/>
      <c r="QLR172" s="928"/>
      <c r="QLS172" s="928"/>
      <c r="QLT172" s="928"/>
      <c r="QLU172" s="928"/>
      <c r="QLV172" s="928"/>
      <c r="QLW172" s="928"/>
      <c r="QLX172" s="928"/>
      <c r="QLY172" s="928"/>
      <c r="QLZ172" s="928"/>
      <c r="QMA172" s="928"/>
      <c r="QMB172" s="928"/>
      <c r="QMC172" s="928"/>
      <c r="QMD172" s="928"/>
      <c r="QME172" s="928"/>
      <c r="QMF172" s="928"/>
      <c r="QMG172" s="928"/>
      <c r="QMH172" s="928"/>
      <c r="QMI172" s="928"/>
      <c r="QMJ172" s="928"/>
      <c r="QMK172" s="928"/>
      <c r="QML172" s="928"/>
      <c r="QMM172" s="928"/>
      <c r="QMN172" s="928"/>
      <c r="QMO172" s="928"/>
      <c r="QMP172" s="928"/>
      <c r="QMQ172" s="928"/>
      <c r="QMR172" s="928"/>
      <c r="QMS172" s="928"/>
      <c r="QMT172" s="928"/>
      <c r="QMU172" s="928"/>
      <c r="QMV172" s="928"/>
      <c r="QMW172" s="928"/>
      <c r="QMX172" s="928"/>
      <c r="QMY172" s="928"/>
      <c r="QMZ172" s="928"/>
      <c r="QNA172" s="928"/>
      <c r="QNB172" s="928"/>
      <c r="QNC172" s="928"/>
      <c r="QND172" s="928"/>
      <c r="QNE172" s="928"/>
      <c r="QNF172" s="928"/>
      <c r="QNG172" s="928"/>
      <c r="QNH172" s="928"/>
      <c r="QNI172" s="928"/>
      <c r="QNJ172" s="928"/>
      <c r="QNK172" s="928"/>
      <c r="QNL172" s="928"/>
      <c r="QNM172" s="928"/>
      <c r="QNN172" s="928"/>
      <c r="QNO172" s="928"/>
      <c r="QNP172" s="928"/>
      <c r="QNQ172" s="928"/>
      <c r="QNR172" s="928"/>
      <c r="QNS172" s="928"/>
      <c r="QNT172" s="928"/>
      <c r="QNU172" s="928"/>
      <c r="QNV172" s="928"/>
      <c r="QNW172" s="928"/>
      <c r="QNX172" s="928"/>
      <c r="QNY172" s="928"/>
      <c r="QNZ172" s="928"/>
      <c r="QOA172" s="928"/>
      <c r="QOB172" s="928"/>
      <c r="QOC172" s="928"/>
      <c r="QOD172" s="928"/>
      <c r="QOE172" s="928"/>
      <c r="QOF172" s="928"/>
      <c r="QOG172" s="928"/>
      <c r="QOH172" s="928"/>
      <c r="QOI172" s="928"/>
      <c r="QOJ172" s="928"/>
      <c r="QOK172" s="928"/>
      <c r="QOL172" s="928"/>
      <c r="QOM172" s="928"/>
      <c r="QON172" s="928"/>
      <c r="QOO172" s="928"/>
      <c r="QOP172" s="928"/>
      <c r="QOQ172" s="928"/>
      <c r="QOR172" s="928"/>
      <c r="QOS172" s="928"/>
      <c r="QOT172" s="928"/>
      <c r="QOU172" s="928"/>
      <c r="QOV172" s="928"/>
      <c r="QOW172" s="928"/>
      <c r="QOX172" s="928"/>
      <c r="QOY172" s="928"/>
      <c r="QOZ172" s="928"/>
      <c r="QPA172" s="928"/>
      <c r="QPB172" s="928"/>
      <c r="QPC172" s="928"/>
      <c r="QPD172" s="928"/>
      <c r="QPE172" s="928"/>
      <c r="QPF172" s="928"/>
      <c r="QPG172" s="928"/>
      <c r="QPH172" s="928"/>
      <c r="QPI172" s="928"/>
      <c r="QPJ172" s="928"/>
      <c r="QPK172" s="928"/>
      <c r="QPL172" s="928"/>
      <c r="QPM172" s="928"/>
      <c r="QPN172" s="928"/>
      <c r="QPO172" s="928"/>
      <c r="QPP172" s="928"/>
      <c r="QPQ172" s="928"/>
      <c r="QPR172" s="928"/>
      <c r="QPS172" s="928"/>
      <c r="QPT172" s="928"/>
      <c r="QPU172" s="928"/>
      <c r="QPV172" s="928"/>
      <c r="QPW172" s="928"/>
      <c r="QPX172" s="928"/>
      <c r="QPY172" s="928"/>
      <c r="QPZ172" s="928"/>
      <c r="QQA172" s="928"/>
      <c r="QQB172" s="928"/>
      <c r="QQC172" s="928"/>
      <c r="QQD172" s="928"/>
      <c r="QQE172" s="928"/>
      <c r="QQF172" s="928"/>
      <c r="QQG172" s="928"/>
      <c r="QQH172" s="928"/>
      <c r="QQI172" s="928"/>
      <c r="QQJ172" s="928"/>
      <c r="QQK172" s="928"/>
      <c r="QQL172" s="928"/>
      <c r="QQM172" s="928"/>
      <c r="QQN172" s="928"/>
      <c r="QQO172" s="928"/>
      <c r="QQP172" s="928"/>
      <c r="QQQ172" s="928"/>
      <c r="QQR172" s="928"/>
      <c r="QQS172" s="928"/>
      <c r="QQT172" s="928"/>
      <c r="QQU172" s="928"/>
      <c r="QQV172" s="928"/>
      <c r="QQW172" s="928"/>
      <c r="QQX172" s="928"/>
      <c r="QQY172" s="928"/>
      <c r="QQZ172" s="928"/>
      <c r="QRA172" s="928"/>
      <c r="QRB172" s="928"/>
      <c r="QRC172" s="928"/>
      <c r="QRD172" s="928"/>
      <c r="QRE172" s="928"/>
      <c r="QRF172" s="928"/>
      <c r="QRG172" s="928"/>
      <c r="QRH172" s="928"/>
      <c r="QRI172" s="928"/>
      <c r="QRJ172" s="928"/>
      <c r="QRK172" s="928"/>
      <c r="QRL172" s="928"/>
      <c r="QRM172" s="928"/>
      <c r="QRN172" s="928"/>
      <c r="QRO172" s="928"/>
      <c r="QRP172" s="928"/>
      <c r="QRQ172" s="928"/>
      <c r="QRR172" s="928"/>
      <c r="QRS172" s="928"/>
      <c r="QRT172" s="928"/>
      <c r="QRU172" s="928"/>
      <c r="QRV172" s="928"/>
      <c r="QRW172" s="928"/>
      <c r="QRX172" s="928"/>
      <c r="QRY172" s="928"/>
      <c r="QRZ172" s="928"/>
      <c r="QSA172" s="928"/>
      <c r="QSB172" s="928"/>
      <c r="QSC172" s="928"/>
      <c r="QSD172" s="928"/>
      <c r="QSE172" s="928"/>
      <c r="QSF172" s="928"/>
      <c r="QSG172" s="928"/>
      <c r="QSH172" s="928"/>
      <c r="QSI172" s="928"/>
      <c r="QSJ172" s="928"/>
      <c r="QSK172" s="928"/>
      <c r="QSL172" s="928"/>
      <c r="QSM172" s="928"/>
      <c r="QSN172" s="928"/>
      <c r="QSO172" s="928"/>
      <c r="QSP172" s="928"/>
      <c r="QSQ172" s="928"/>
      <c r="QSR172" s="928"/>
      <c r="QSS172" s="928"/>
      <c r="QST172" s="928"/>
      <c r="QSU172" s="928"/>
      <c r="QSV172" s="928"/>
      <c r="QSW172" s="928"/>
      <c r="QSX172" s="928"/>
      <c r="QSY172" s="928"/>
      <c r="QSZ172" s="928"/>
      <c r="QTA172" s="928"/>
      <c r="QTB172" s="928"/>
      <c r="QTC172" s="928"/>
      <c r="QTD172" s="928"/>
      <c r="QTE172" s="928"/>
      <c r="QTF172" s="928"/>
      <c r="QTG172" s="928"/>
      <c r="QTH172" s="928"/>
      <c r="QTI172" s="928"/>
      <c r="QTJ172" s="928"/>
      <c r="QTK172" s="928"/>
      <c r="QTL172" s="928"/>
      <c r="QTM172" s="928"/>
      <c r="QTN172" s="928"/>
      <c r="QTO172" s="928"/>
      <c r="QTP172" s="928"/>
      <c r="QTQ172" s="928"/>
      <c r="QTR172" s="928"/>
      <c r="QTS172" s="928"/>
      <c r="QTT172" s="928"/>
      <c r="QTU172" s="928"/>
      <c r="QTV172" s="928"/>
      <c r="QTW172" s="928"/>
      <c r="QTX172" s="928"/>
      <c r="QTY172" s="928"/>
      <c r="QTZ172" s="928"/>
      <c r="QUA172" s="928"/>
      <c r="QUB172" s="928"/>
      <c r="QUC172" s="928"/>
      <c r="QUD172" s="928"/>
      <c r="QUE172" s="928"/>
      <c r="QUF172" s="928"/>
      <c r="QUG172" s="928"/>
      <c r="QUH172" s="928"/>
      <c r="QUI172" s="928"/>
      <c r="QUJ172" s="928"/>
      <c r="QUK172" s="928"/>
      <c r="QUL172" s="928"/>
      <c r="QUM172" s="928"/>
      <c r="QUN172" s="928"/>
      <c r="QUO172" s="928"/>
      <c r="QUP172" s="928"/>
      <c r="QUQ172" s="928"/>
      <c r="QUR172" s="928"/>
      <c r="QUS172" s="928"/>
      <c r="QUT172" s="928"/>
      <c r="QUU172" s="928"/>
      <c r="QUV172" s="928"/>
      <c r="QUW172" s="928"/>
      <c r="QUX172" s="928"/>
      <c r="QUY172" s="928"/>
      <c r="QUZ172" s="928"/>
      <c r="QVA172" s="928"/>
      <c r="QVB172" s="928"/>
      <c r="QVC172" s="928"/>
      <c r="QVD172" s="928"/>
      <c r="QVE172" s="928"/>
      <c r="QVF172" s="928"/>
      <c r="QVG172" s="928"/>
      <c r="QVH172" s="928"/>
      <c r="QVI172" s="928"/>
      <c r="QVJ172" s="928"/>
      <c r="QVK172" s="928"/>
      <c r="QVL172" s="928"/>
      <c r="QVM172" s="928"/>
      <c r="QVN172" s="928"/>
      <c r="QVO172" s="928"/>
      <c r="QVP172" s="928"/>
      <c r="QVQ172" s="928"/>
      <c r="QVR172" s="928"/>
      <c r="QVS172" s="928"/>
      <c r="QVT172" s="928"/>
      <c r="QVU172" s="928"/>
      <c r="QVV172" s="928"/>
      <c r="QVW172" s="928"/>
      <c r="QVX172" s="928"/>
      <c r="QVY172" s="928"/>
      <c r="QVZ172" s="928"/>
      <c r="QWA172" s="928"/>
      <c r="QWB172" s="928"/>
      <c r="QWC172" s="928"/>
      <c r="QWD172" s="928"/>
      <c r="QWE172" s="928"/>
      <c r="QWF172" s="928"/>
      <c r="QWG172" s="928"/>
      <c r="QWH172" s="928"/>
      <c r="QWI172" s="928"/>
      <c r="QWJ172" s="928"/>
      <c r="QWK172" s="928"/>
      <c r="QWL172" s="928"/>
      <c r="QWM172" s="928"/>
      <c r="QWN172" s="928"/>
      <c r="QWO172" s="928"/>
      <c r="QWP172" s="928"/>
      <c r="QWQ172" s="928"/>
      <c r="QWR172" s="928"/>
      <c r="QWS172" s="928"/>
      <c r="QWT172" s="928"/>
      <c r="QWU172" s="928"/>
      <c r="QWV172" s="928"/>
      <c r="QWW172" s="928"/>
      <c r="QWX172" s="928"/>
      <c r="QWY172" s="928"/>
      <c r="QWZ172" s="928"/>
      <c r="QXA172" s="928"/>
      <c r="QXB172" s="928"/>
      <c r="QXC172" s="928"/>
      <c r="QXD172" s="928"/>
      <c r="QXE172" s="928"/>
      <c r="QXF172" s="928"/>
      <c r="QXG172" s="928"/>
      <c r="QXH172" s="928"/>
      <c r="QXI172" s="928"/>
      <c r="QXJ172" s="928"/>
      <c r="QXK172" s="928"/>
      <c r="QXL172" s="928"/>
      <c r="QXM172" s="928"/>
      <c r="QXN172" s="928"/>
      <c r="QXO172" s="928"/>
      <c r="QXP172" s="928"/>
      <c r="QXQ172" s="928"/>
      <c r="QXR172" s="928"/>
      <c r="QXS172" s="928"/>
      <c r="QXT172" s="928"/>
      <c r="QXU172" s="928"/>
      <c r="QXV172" s="928"/>
      <c r="QXW172" s="928"/>
      <c r="QXX172" s="928"/>
      <c r="QXY172" s="928"/>
      <c r="QXZ172" s="928"/>
      <c r="QYA172" s="928"/>
      <c r="QYB172" s="928"/>
      <c r="QYC172" s="928"/>
      <c r="QYD172" s="928"/>
      <c r="QYE172" s="928"/>
      <c r="QYF172" s="928"/>
      <c r="QYG172" s="928"/>
      <c r="QYH172" s="928"/>
      <c r="QYI172" s="928"/>
      <c r="QYJ172" s="928"/>
      <c r="QYK172" s="928"/>
      <c r="QYL172" s="928"/>
      <c r="QYM172" s="928"/>
      <c r="QYN172" s="928"/>
      <c r="QYO172" s="928"/>
      <c r="QYP172" s="928"/>
      <c r="QYQ172" s="928"/>
      <c r="QYR172" s="928"/>
      <c r="QYS172" s="928"/>
      <c r="QYT172" s="928"/>
      <c r="QYU172" s="928"/>
      <c r="QYV172" s="928"/>
      <c r="QYW172" s="928"/>
      <c r="QYX172" s="928"/>
      <c r="QYY172" s="928"/>
      <c r="QYZ172" s="928"/>
      <c r="QZA172" s="928"/>
      <c r="QZB172" s="928"/>
      <c r="QZC172" s="928"/>
      <c r="QZD172" s="928"/>
      <c r="QZE172" s="928"/>
      <c r="QZF172" s="928"/>
      <c r="QZG172" s="928"/>
      <c r="QZH172" s="928"/>
      <c r="QZI172" s="928"/>
      <c r="QZJ172" s="928"/>
      <c r="QZK172" s="928"/>
      <c r="QZL172" s="928"/>
      <c r="QZM172" s="928"/>
      <c r="QZN172" s="928"/>
      <c r="QZO172" s="928"/>
      <c r="QZP172" s="928"/>
      <c r="QZQ172" s="928"/>
      <c r="QZR172" s="928"/>
      <c r="QZS172" s="928"/>
      <c r="QZT172" s="928"/>
      <c r="QZU172" s="928"/>
      <c r="QZV172" s="928"/>
      <c r="QZW172" s="928"/>
      <c r="QZX172" s="928"/>
      <c r="QZY172" s="928"/>
      <c r="QZZ172" s="928"/>
      <c r="RAA172" s="928"/>
      <c r="RAB172" s="928"/>
      <c r="RAC172" s="928"/>
      <c r="RAD172" s="928"/>
      <c r="RAE172" s="928"/>
      <c r="RAF172" s="928"/>
      <c r="RAG172" s="928"/>
      <c r="RAH172" s="928"/>
      <c r="RAI172" s="928"/>
      <c r="RAJ172" s="928"/>
      <c r="RAK172" s="928"/>
      <c r="RAL172" s="928"/>
      <c r="RAM172" s="928"/>
      <c r="RAN172" s="928"/>
      <c r="RAO172" s="928"/>
      <c r="RAP172" s="928"/>
      <c r="RAQ172" s="928"/>
      <c r="RAR172" s="928"/>
      <c r="RAS172" s="928"/>
      <c r="RAT172" s="928"/>
      <c r="RAU172" s="928"/>
      <c r="RAV172" s="928"/>
      <c r="RAW172" s="928"/>
      <c r="RAX172" s="928"/>
      <c r="RAY172" s="928"/>
      <c r="RAZ172" s="928"/>
      <c r="RBA172" s="928"/>
      <c r="RBB172" s="928"/>
      <c r="RBC172" s="928"/>
      <c r="RBD172" s="928"/>
      <c r="RBE172" s="928"/>
      <c r="RBF172" s="928"/>
      <c r="RBG172" s="928"/>
      <c r="RBH172" s="928"/>
      <c r="RBI172" s="928"/>
      <c r="RBJ172" s="928"/>
      <c r="RBK172" s="928"/>
      <c r="RBL172" s="928"/>
      <c r="RBM172" s="928"/>
      <c r="RBN172" s="928"/>
      <c r="RBO172" s="928"/>
      <c r="RBP172" s="928"/>
      <c r="RBQ172" s="928"/>
      <c r="RBR172" s="928"/>
      <c r="RBS172" s="928"/>
      <c r="RBT172" s="928"/>
      <c r="RBU172" s="928"/>
      <c r="RBV172" s="928"/>
      <c r="RBW172" s="928"/>
      <c r="RBX172" s="928"/>
      <c r="RBY172" s="928"/>
      <c r="RBZ172" s="928"/>
      <c r="RCA172" s="928"/>
      <c r="RCB172" s="928"/>
      <c r="RCC172" s="928"/>
      <c r="RCD172" s="928"/>
      <c r="RCE172" s="928"/>
      <c r="RCF172" s="928"/>
      <c r="RCG172" s="928"/>
      <c r="RCH172" s="928"/>
      <c r="RCI172" s="928"/>
      <c r="RCJ172" s="928"/>
      <c r="RCK172" s="928"/>
      <c r="RCL172" s="928"/>
      <c r="RCM172" s="928"/>
      <c r="RCN172" s="928"/>
      <c r="RCO172" s="928"/>
      <c r="RCP172" s="928"/>
      <c r="RCQ172" s="928"/>
      <c r="RCR172" s="928"/>
      <c r="RCS172" s="928"/>
      <c r="RCT172" s="928"/>
      <c r="RCU172" s="928"/>
      <c r="RCV172" s="928"/>
      <c r="RCW172" s="928"/>
      <c r="RCX172" s="928"/>
      <c r="RCY172" s="928"/>
      <c r="RCZ172" s="928"/>
      <c r="RDA172" s="928"/>
      <c r="RDB172" s="928"/>
      <c r="RDC172" s="928"/>
      <c r="RDD172" s="928"/>
      <c r="RDE172" s="928"/>
      <c r="RDF172" s="928"/>
      <c r="RDG172" s="928"/>
      <c r="RDH172" s="928"/>
      <c r="RDI172" s="928"/>
      <c r="RDJ172" s="928"/>
      <c r="RDK172" s="928"/>
      <c r="RDL172" s="928"/>
      <c r="RDM172" s="928"/>
      <c r="RDN172" s="928"/>
      <c r="RDO172" s="928"/>
      <c r="RDP172" s="928"/>
      <c r="RDQ172" s="928"/>
      <c r="RDR172" s="928"/>
      <c r="RDS172" s="928"/>
      <c r="RDT172" s="928"/>
      <c r="RDU172" s="928"/>
      <c r="RDV172" s="928"/>
      <c r="RDW172" s="928"/>
      <c r="RDX172" s="928"/>
      <c r="RDY172" s="928"/>
      <c r="RDZ172" s="928"/>
      <c r="REA172" s="928"/>
      <c r="REB172" s="928"/>
      <c r="REC172" s="928"/>
      <c r="RED172" s="928"/>
      <c r="REE172" s="928"/>
      <c r="REF172" s="928"/>
      <c r="REG172" s="928"/>
      <c r="REH172" s="928"/>
      <c r="REI172" s="928"/>
      <c r="REJ172" s="928"/>
      <c r="REK172" s="928"/>
      <c r="REL172" s="928"/>
      <c r="REM172" s="928"/>
      <c r="REN172" s="928"/>
      <c r="REO172" s="928"/>
      <c r="REP172" s="928"/>
      <c r="REQ172" s="928"/>
      <c r="RER172" s="928"/>
      <c r="RES172" s="928"/>
      <c r="RET172" s="928"/>
      <c r="REU172" s="928"/>
      <c r="REV172" s="928"/>
      <c r="REW172" s="928"/>
      <c r="REX172" s="928"/>
      <c r="REY172" s="928"/>
      <c r="REZ172" s="928"/>
      <c r="RFA172" s="928"/>
      <c r="RFB172" s="928"/>
      <c r="RFC172" s="928"/>
      <c r="RFD172" s="928"/>
      <c r="RFE172" s="928"/>
      <c r="RFF172" s="928"/>
      <c r="RFG172" s="928"/>
      <c r="RFH172" s="928"/>
      <c r="RFI172" s="928"/>
      <c r="RFJ172" s="928"/>
      <c r="RFK172" s="928"/>
      <c r="RFL172" s="928"/>
      <c r="RFM172" s="928"/>
      <c r="RFN172" s="928"/>
      <c r="RFO172" s="928"/>
      <c r="RFP172" s="928"/>
      <c r="RFQ172" s="928"/>
      <c r="RFR172" s="928"/>
      <c r="RFS172" s="928"/>
      <c r="RFT172" s="928"/>
      <c r="RFU172" s="928"/>
      <c r="RFV172" s="928"/>
      <c r="RFW172" s="928"/>
      <c r="RFX172" s="928"/>
      <c r="RFY172" s="928"/>
      <c r="RFZ172" s="928"/>
      <c r="RGA172" s="928"/>
      <c r="RGB172" s="928"/>
      <c r="RGC172" s="928"/>
      <c r="RGD172" s="928"/>
      <c r="RGE172" s="928"/>
      <c r="RGF172" s="928"/>
      <c r="RGG172" s="928"/>
      <c r="RGH172" s="928"/>
      <c r="RGI172" s="928"/>
      <c r="RGJ172" s="928"/>
      <c r="RGK172" s="928"/>
      <c r="RGL172" s="928"/>
      <c r="RGM172" s="928"/>
      <c r="RGN172" s="928"/>
      <c r="RGO172" s="928"/>
      <c r="RGP172" s="928"/>
      <c r="RGQ172" s="928"/>
      <c r="RGR172" s="928"/>
      <c r="RGS172" s="928"/>
      <c r="RGT172" s="928"/>
      <c r="RGU172" s="928"/>
      <c r="RGV172" s="928"/>
      <c r="RGW172" s="928"/>
      <c r="RGX172" s="928"/>
      <c r="RGY172" s="928"/>
      <c r="RGZ172" s="928"/>
      <c r="RHA172" s="928"/>
      <c r="RHB172" s="928"/>
      <c r="RHC172" s="928"/>
      <c r="RHD172" s="928"/>
      <c r="RHE172" s="928"/>
      <c r="RHF172" s="928"/>
      <c r="RHG172" s="928"/>
      <c r="RHH172" s="928"/>
      <c r="RHI172" s="928"/>
      <c r="RHJ172" s="928"/>
      <c r="RHK172" s="928"/>
      <c r="RHL172" s="928"/>
      <c r="RHM172" s="928"/>
      <c r="RHN172" s="928"/>
      <c r="RHO172" s="928"/>
      <c r="RHP172" s="928"/>
      <c r="RHQ172" s="928"/>
      <c r="RHR172" s="928"/>
      <c r="RHS172" s="928"/>
      <c r="RHT172" s="928"/>
      <c r="RHU172" s="928"/>
      <c r="RHV172" s="928"/>
      <c r="RHW172" s="928"/>
      <c r="RHX172" s="928"/>
      <c r="RHY172" s="928"/>
      <c r="RHZ172" s="928"/>
      <c r="RIA172" s="928"/>
      <c r="RIB172" s="928"/>
      <c r="RIC172" s="928"/>
      <c r="RID172" s="928"/>
      <c r="RIE172" s="928"/>
      <c r="RIF172" s="928"/>
      <c r="RIG172" s="928"/>
      <c r="RIH172" s="928"/>
      <c r="RII172" s="928"/>
      <c r="RIJ172" s="928"/>
      <c r="RIK172" s="928"/>
      <c r="RIL172" s="928"/>
      <c r="RIM172" s="928"/>
      <c r="RIN172" s="928"/>
      <c r="RIO172" s="928"/>
      <c r="RIP172" s="928"/>
      <c r="RIQ172" s="928"/>
      <c r="RIR172" s="928"/>
      <c r="RIS172" s="928"/>
      <c r="RIT172" s="928"/>
      <c r="RIU172" s="928"/>
      <c r="RIV172" s="928"/>
      <c r="RIW172" s="928"/>
      <c r="RIX172" s="928"/>
      <c r="RIY172" s="928"/>
      <c r="RIZ172" s="928"/>
      <c r="RJA172" s="928"/>
      <c r="RJB172" s="928"/>
      <c r="RJC172" s="928"/>
      <c r="RJD172" s="928"/>
      <c r="RJE172" s="928"/>
      <c r="RJF172" s="928"/>
      <c r="RJG172" s="928"/>
      <c r="RJH172" s="928"/>
      <c r="RJI172" s="928"/>
      <c r="RJJ172" s="928"/>
      <c r="RJK172" s="928"/>
      <c r="RJL172" s="928"/>
      <c r="RJM172" s="928"/>
      <c r="RJN172" s="928"/>
      <c r="RJO172" s="928"/>
      <c r="RJP172" s="928"/>
      <c r="RJQ172" s="928"/>
      <c r="RJR172" s="928"/>
      <c r="RJS172" s="928"/>
      <c r="RJT172" s="928"/>
      <c r="RJU172" s="928"/>
      <c r="RJV172" s="928"/>
      <c r="RJW172" s="928"/>
      <c r="RJX172" s="928"/>
      <c r="RJY172" s="928"/>
      <c r="RJZ172" s="928"/>
      <c r="RKA172" s="928"/>
      <c r="RKB172" s="928"/>
      <c r="RKC172" s="928"/>
      <c r="RKD172" s="928"/>
      <c r="RKE172" s="928"/>
      <c r="RKF172" s="928"/>
      <c r="RKG172" s="928"/>
      <c r="RKH172" s="928"/>
      <c r="RKI172" s="928"/>
      <c r="RKJ172" s="928"/>
      <c r="RKK172" s="928"/>
      <c r="RKL172" s="928"/>
      <c r="RKM172" s="928"/>
      <c r="RKN172" s="928"/>
      <c r="RKO172" s="928"/>
      <c r="RKP172" s="928"/>
      <c r="RKQ172" s="928"/>
      <c r="RKR172" s="928"/>
      <c r="RKS172" s="928"/>
      <c r="RKT172" s="928"/>
      <c r="RKU172" s="928"/>
      <c r="RKV172" s="928"/>
      <c r="RKW172" s="928"/>
      <c r="RKX172" s="928"/>
      <c r="RKY172" s="928"/>
      <c r="RKZ172" s="928"/>
      <c r="RLA172" s="928"/>
      <c r="RLB172" s="928"/>
      <c r="RLC172" s="928"/>
      <c r="RLD172" s="928"/>
      <c r="RLE172" s="928"/>
      <c r="RLF172" s="928"/>
      <c r="RLG172" s="928"/>
      <c r="RLH172" s="928"/>
      <c r="RLI172" s="928"/>
      <c r="RLJ172" s="928"/>
      <c r="RLK172" s="928"/>
      <c r="RLL172" s="928"/>
      <c r="RLM172" s="928"/>
      <c r="RLN172" s="928"/>
      <c r="RLO172" s="928"/>
      <c r="RLP172" s="928"/>
      <c r="RLQ172" s="928"/>
      <c r="RLR172" s="928"/>
      <c r="RLS172" s="928"/>
      <c r="RLT172" s="928"/>
      <c r="RLU172" s="928"/>
      <c r="RLV172" s="928"/>
      <c r="RLW172" s="928"/>
      <c r="RLX172" s="928"/>
      <c r="RLY172" s="928"/>
      <c r="RLZ172" s="928"/>
      <c r="RMA172" s="928"/>
      <c r="RMB172" s="928"/>
      <c r="RMC172" s="928"/>
      <c r="RMD172" s="928"/>
      <c r="RME172" s="928"/>
      <c r="RMF172" s="928"/>
      <c r="RMG172" s="928"/>
      <c r="RMH172" s="928"/>
      <c r="RMI172" s="928"/>
      <c r="RMJ172" s="928"/>
      <c r="RMK172" s="928"/>
      <c r="RML172" s="928"/>
      <c r="RMM172" s="928"/>
      <c r="RMN172" s="928"/>
      <c r="RMO172" s="928"/>
      <c r="RMP172" s="928"/>
      <c r="RMQ172" s="928"/>
      <c r="RMR172" s="928"/>
      <c r="RMS172" s="928"/>
      <c r="RMT172" s="928"/>
      <c r="RMU172" s="928"/>
      <c r="RMV172" s="928"/>
      <c r="RMW172" s="928"/>
      <c r="RMX172" s="928"/>
      <c r="RMY172" s="928"/>
      <c r="RMZ172" s="928"/>
      <c r="RNA172" s="928"/>
      <c r="RNB172" s="928"/>
      <c r="RNC172" s="928"/>
      <c r="RND172" s="928"/>
      <c r="RNE172" s="928"/>
      <c r="RNF172" s="928"/>
      <c r="RNG172" s="928"/>
      <c r="RNH172" s="928"/>
      <c r="RNI172" s="928"/>
      <c r="RNJ172" s="928"/>
      <c r="RNK172" s="928"/>
      <c r="RNL172" s="928"/>
      <c r="RNM172" s="928"/>
      <c r="RNN172" s="928"/>
      <c r="RNO172" s="928"/>
      <c r="RNP172" s="928"/>
      <c r="RNQ172" s="928"/>
      <c r="RNR172" s="928"/>
      <c r="RNS172" s="928"/>
      <c r="RNT172" s="928"/>
      <c r="RNU172" s="928"/>
      <c r="RNV172" s="928"/>
      <c r="RNW172" s="928"/>
      <c r="RNX172" s="928"/>
      <c r="RNY172" s="928"/>
      <c r="RNZ172" s="928"/>
      <c r="ROA172" s="928"/>
      <c r="ROB172" s="928"/>
      <c r="ROC172" s="928"/>
      <c r="ROD172" s="928"/>
      <c r="ROE172" s="928"/>
      <c r="ROF172" s="928"/>
      <c r="ROG172" s="928"/>
      <c r="ROH172" s="928"/>
      <c r="ROI172" s="928"/>
      <c r="ROJ172" s="928"/>
      <c r="ROK172" s="928"/>
      <c r="ROL172" s="928"/>
      <c r="ROM172" s="928"/>
      <c r="RON172" s="928"/>
      <c r="ROO172" s="928"/>
      <c r="ROP172" s="928"/>
      <c r="ROQ172" s="928"/>
      <c r="ROR172" s="928"/>
      <c r="ROS172" s="928"/>
      <c r="ROT172" s="928"/>
      <c r="ROU172" s="928"/>
      <c r="ROV172" s="928"/>
      <c r="ROW172" s="928"/>
      <c r="ROX172" s="928"/>
      <c r="ROY172" s="928"/>
      <c r="ROZ172" s="928"/>
      <c r="RPA172" s="928"/>
      <c r="RPB172" s="928"/>
      <c r="RPC172" s="928"/>
      <c r="RPD172" s="928"/>
      <c r="RPE172" s="928"/>
      <c r="RPF172" s="928"/>
      <c r="RPG172" s="928"/>
      <c r="RPH172" s="928"/>
      <c r="RPI172" s="928"/>
      <c r="RPJ172" s="928"/>
      <c r="RPK172" s="928"/>
      <c r="RPL172" s="928"/>
      <c r="RPM172" s="928"/>
      <c r="RPN172" s="928"/>
      <c r="RPO172" s="928"/>
      <c r="RPP172" s="928"/>
      <c r="RPQ172" s="928"/>
      <c r="RPR172" s="928"/>
      <c r="RPS172" s="928"/>
      <c r="RPT172" s="928"/>
      <c r="RPU172" s="928"/>
      <c r="RPV172" s="928"/>
      <c r="RPW172" s="928"/>
      <c r="RPX172" s="928"/>
      <c r="RPY172" s="928"/>
      <c r="RPZ172" s="928"/>
      <c r="RQA172" s="928"/>
      <c r="RQB172" s="928"/>
      <c r="RQC172" s="928"/>
      <c r="RQD172" s="928"/>
      <c r="RQE172" s="928"/>
      <c r="RQF172" s="928"/>
      <c r="RQG172" s="928"/>
      <c r="RQH172" s="928"/>
      <c r="RQI172" s="928"/>
      <c r="RQJ172" s="928"/>
      <c r="RQK172" s="928"/>
      <c r="RQL172" s="928"/>
      <c r="RQM172" s="928"/>
      <c r="RQN172" s="928"/>
      <c r="RQO172" s="928"/>
      <c r="RQP172" s="928"/>
      <c r="RQQ172" s="928"/>
      <c r="RQR172" s="928"/>
      <c r="RQS172" s="928"/>
      <c r="RQT172" s="928"/>
      <c r="RQU172" s="928"/>
      <c r="RQV172" s="928"/>
      <c r="RQW172" s="928"/>
      <c r="RQX172" s="928"/>
      <c r="RQY172" s="928"/>
      <c r="RQZ172" s="928"/>
      <c r="RRA172" s="928"/>
      <c r="RRB172" s="928"/>
      <c r="RRC172" s="928"/>
      <c r="RRD172" s="928"/>
      <c r="RRE172" s="928"/>
      <c r="RRF172" s="928"/>
      <c r="RRG172" s="928"/>
      <c r="RRH172" s="928"/>
      <c r="RRI172" s="928"/>
      <c r="RRJ172" s="928"/>
      <c r="RRK172" s="928"/>
      <c r="RRL172" s="928"/>
      <c r="RRM172" s="928"/>
      <c r="RRN172" s="928"/>
      <c r="RRO172" s="928"/>
      <c r="RRP172" s="928"/>
      <c r="RRQ172" s="928"/>
      <c r="RRR172" s="928"/>
      <c r="RRS172" s="928"/>
      <c r="RRT172" s="928"/>
      <c r="RRU172" s="928"/>
      <c r="RRV172" s="928"/>
      <c r="RRW172" s="928"/>
      <c r="RRX172" s="928"/>
      <c r="RRY172" s="928"/>
      <c r="RRZ172" s="928"/>
      <c r="RSA172" s="928"/>
      <c r="RSB172" s="928"/>
      <c r="RSC172" s="928"/>
      <c r="RSD172" s="928"/>
      <c r="RSE172" s="928"/>
      <c r="RSF172" s="928"/>
      <c r="RSG172" s="928"/>
      <c r="RSH172" s="928"/>
      <c r="RSI172" s="928"/>
      <c r="RSJ172" s="928"/>
      <c r="RSK172" s="928"/>
      <c r="RSL172" s="928"/>
      <c r="RSM172" s="928"/>
      <c r="RSN172" s="928"/>
      <c r="RSO172" s="928"/>
      <c r="RSP172" s="928"/>
      <c r="RSQ172" s="928"/>
      <c r="RSR172" s="928"/>
      <c r="RSS172" s="928"/>
      <c r="RST172" s="928"/>
      <c r="RSU172" s="928"/>
      <c r="RSV172" s="928"/>
      <c r="RSW172" s="928"/>
      <c r="RSX172" s="928"/>
      <c r="RSY172" s="928"/>
      <c r="RSZ172" s="928"/>
      <c r="RTA172" s="928"/>
      <c r="RTB172" s="928"/>
      <c r="RTC172" s="928"/>
      <c r="RTD172" s="928"/>
      <c r="RTE172" s="928"/>
      <c r="RTF172" s="928"/>
      <c r="RTG172" s="928"/>
      <c r="RTH172" s="928"/>
      <c r="RTI172" s="928"/>
      <c r="RTJ172" s="928"/>
      <c r="RTK172" s="928"/>
      <c r="RTL172" s="928"/>
      <c r="RTM172" s="928"/>
      <c r="RTN172" s="928"/>
      <c r="RTO172" s="928"/>
      <c r="RTP172" s="928"/>
      <c r="RTQ172" s="928"/>
      <c r="RTR172" s="928"/>
      <c r="RTS172" s="928"/>
      <c r="RTT172" s="928"/>
      <c r="RTU172" s="928"/>
      <c r="RTV172" s="928"/>
      <c r="RTW172" s="928"/>
      <c r="RTX172" s="928"/>
      <c r="RTY172" s="928"/>
      <c r="RTZ172" s="928"/>
      <c r="RUA172" s="928"/>
      <c r="RUB172" s="928"/>
      <c r="RUC172" s="928"/>
      <c r="RUD172" s="928"/>
      <c r="RUE172" s="928"/>
      <c r="RUF172" s="928"/>
      <c r="RUG172" s="928"/>
      <c r="RUH172" s="928"/>
      <c r="RUI172" s="928"/>
      <c r="RUJ172" s="928"/>
      <c r="RUK172" s="928"/>
      <c r="RUL172" s="928"/>
      <c r="RUM172" s="928"/>
      <c r="RUN172" s="928"/>
      <c r="RUO172" s="928"/>
      <c r="RUP172" s="928"/>
      <c r="RUQ172" s="928"/>
      <c r="RUR172" s="928"/>
      <c r="RUS172" s="928"/>
      <c r="RUT172" s="928"/>
      <c r="RUU172" s="928"/>
      <c r="RUV172" s="928"/>
      <c r="RUW172" s="928"/>
      <c r="RUX172" s="928"/>
      <c r="RUY172" s="928"/>
      <c r="RUZ172" s="928"/>
      <c r="RVA172" s="928"/>
      <c r="RVB172" s="928"/>
      <c r="RVC172" s="928"/>
      <c r="RVD172" s="928"/>
      <c r="RVE172" s="928"/>
      <c r="RVF172" s="928"/>
      <c r="RVG172" s="928"/>
      <c r="RVH172" s="928"/>
      <c r="RVI172" s="928"/>
      <c r="RVJ172" s="928"/>
      <c r="RVK172" s="928"/>
      <c r="RVL172" s="928"/>
      <c r="RVM172" s="928"/>
      <c r="RVN172" s="928"/>
      <c r="RVO172" s="928"/>
      <c r="RVP172" s="928"/>
      <c r="RVQ172" s="928"/>
      <c r="RVR172" s="928"/>
      <c r="RVS172" s="928"/>
      <c r="RVT172" s="928"/>
      <c r="RVU172" s="928"/>
      <c r="RVV172" s="928"/>
      <c r="RVW172" s="928"/>
      <c r="RVX172" s="928"/>
      <c r="RVY172" s="928"/>
      <c r="RVZ172" s="928"/>
      <c r="RWA172" s="928"/>
      <c r="RWB172" s="928"/>
      <c r="RWC172" s="928"/>
      <c r="RWD172" s="928"/>
      <c r="RWE172" s="928"/>
      <c r="RWF172" s="928"/>
      <c r="RWG172" s="928"/>
      <c r="RWH172" s="928"/>
      <c r="RWI172" s="928"/>
      <c r="RWJ172" s="928"/>
      <c r="RWK172" s="928"/>
      <c r="RWL172" s="928"/>
      <c r="RWM172" s="928"/>
      <c r="RWN172" s="928"/>
      <c r="RWO172" s="928"/>
      <c r="RWP172" s="928"/>
      <c r="RWQ172" s="928"/>
      <c r="RWR172" s="928"/>
      <c r="RWS172" s="928"/>
      <c r="RWT172" s="928"/>
      <c r="RWU172" s="928"/>
      <c r="RWV172" s="928"/>
      <c r="RWW172" s="928"/>
      <c r="RWX172" s="928"/>
      <c r="RWY172" s="928"/>
      <c r="RWZ172" s="928"/>
      <c r="RXA172" s="928"/>
      <c r="RXB172" s="928"/>
      <c r="RXC172" s="928"/>
      <c r="RXD172" s="928"/>
      <c r="RXE172" s="928"/>
      <c r="RXF172" s="928"/>
      <c r="RXG172" s="928"/>
      <c r="RXH172" s="928"/>
      <c r="RXI172" s="928"/>
      <c r="RXJ172" s="928"/>
      <c r="RXK172" s="928"/>
      <c r="RXL172" s="928"/>
      <c r="RXM172" s="928"/>
      <c r="RXN172" s="928"/>
      <c r="RXO172" s="928"/>
      <c r="RXP172" s="928"/>
      <c r="RXQ172" s="928"/>
      <c r="RXR172" s="928"/>
      <c r="RXS172" s="928"/>
      <c r="RXT172" s="928"/>
      <c r="RXU172" s="928"/>
      <c r="RXV172" s="928"/>
      <c r="RXW172" s="928"/>
      <c r="RXX172" s="928"/>
      <c r="RXY172" s="928"/>
      <c r="RXZ172" s="928"/>
      <c r="RYA172" s="928"/>
      <c r="RYB172" s="928"/>
      <c r="RYC172" s="928"/>
      <c r="RYD172" s="928"/>
      <c r="RYE172" s="928"/>
      <c r="RYF172" s="928"/>
      <c r="RYG172" s="928"/>
      <c r="RYH172" s="928"/>
      <c r="RYI172" s="928"/>
      <c r="RYJ172" s="928"/>
      <c r="RYK172" s="928"/>
      <c r="RYL172" s="928"/>
      <c r="RYM172" s="928"/>
      <c r="RYN172" s="928"/>
      <c r="RYO172" s="928"/>
      <c r="RYP172" s="928"/>
      <c r="RYQ172" s="928"/>
      <c r="RYR172" s="928"/>
      <c r="RYS172" s="928"/>
      <c r="RYT172" s="928"/>
      <c r="RYU172" s="928"/>
      <c r="RYV172" s="928"/>
      <c r="RYW172" s="928"/>
      <c r="RYX172" s="928"/>
      <c r="RYY172" s="928"/>
      <c r="RYZ172" s="928"/>
      <c r="RZA172" s="928"/>
      <c r="RZB172" s="928"/>
      <c r="RZC172" s="928"/>
      <c r="RZD172" s="928"/>
      <c r="RZE172" s="928"/>
      <c r="RZF172" s="928"/>
      <c r="RZG172" s="928"/>
      <c r="RZH172" s="928"/>
      <c r="RZI172" s="928"/>
      <c r="RZJ172" s="928"/>
      <c r="RZK172" s="928"/>
      <c r="RZL172" s="928"/>
      <c r="RZM172" s="928"/>
      <c r="RZN172" s="928"/>
      <c r="RZO172" s="928"/>
      <c r="RZP172" s="928"/>
      <c r="RZQ172" s="928"/>
      <c r="RZR172" s="928"/>
      <c r="RZS172" s="928"/>
      <c r="RZT172" s="928"/>
      <c r="RZU172" s="928"/>
      <c r="RZV172" s="928"/>
      <c r="RZW172" s="928"/>
      <c r="RZX172" s="928"/>
      <c r="RZY172" s="928"/>
      <c r="RZZ172" s="928"/>
      <c r="SAA172" s="928"/>
      <c r="SAB172" s="928"/>
      <c r="SAC172" s="928"/>
      <c r="SAD172" s="928"/>
      <c r="SAE172" s="928"/>
      <c r="SAF172" s="928"/>
      <c r="SAG172" s="928"/>
      <c r="SAH172" s="928"/>
      <c r="SAI172" s="928"/>
      <c r="SAJ172" s="928"/>
      <c r="SAK172" s="928"/>
      <c r="SAL172" s="928"/>
      <c r="SAM172" s="928"/>
      <c r="SAN172" s="928"/>
      <c r="SAO172" s="928"/>
      <c r="SAP172" s="928"/>
      <c r="SAQ172" s="928"/>
      <c r="SAR172" s="928"/>
      <c r="SAS172" s="928"/>
      <c r="SAT172" s="928"/>
      <c r="SAU172" s="928"/>
      <c r="SAV172" s="928"/>
      <c r="SAW172" s="928"/>
      <c r="SAX172" s="928"/>
      <c r="SAY172" s="928"/>
      <c r="SAZ172" s="928"/>
      <c r="SBA172" s="928"/>
      <c r="SBB172" s="928"/>
      <c r="SBC172" s="928"/>
      <c r="SBD172" s="928"/>
      <c r="SBE172" s="928"/>
      <c r="SBF172" s="928"/>
      <c r="SBG172" s="928"/>
      <c r="SBH172" s="928"/>
      <c r="SBI172" s="928"/>
      <c r="SBJ172" s="928"/>
      <c r="SBK172" s="928"/>
      <c r="SBL172" s="928"/>
      <c r="SBM172" s="928"/>
      <c r="SBN172" s="928"/>
      <c r="SBO172" s="928"/>
      <c r="SBP172" s="928"/>
      <c r="SBQ172" s="928"/>
      <c r="SBR172" s="928"/>
      <c r="SBS172" s="928"/>
      <c r="SBT172" s="928"/>
      <c r="SBU172" s="928"/>
      <c r="SBV172" s="928"/>
      <c r="SBW172" s="928"/>
      <c r="SBX172" s="928"/>
      <c r="SBY172" s="928"/>
      <c r="SBZ172" s="928"/>
      <c r="SCA172" s="928"/>
      <c r="SCB172" s="928"/>
      <c r="SCC172" s="928"/>
      <c r="SCD172" s="928"/>
      <c r="SCE172" s="928"/>
      <c r="SCF172" s="928"/>
      <c r="SCG172" s="928"/>
      <c r="SCH172" s="928"/>
      <c r="SCI172" s="928"/>
      <c r="SCJ172" s="928"/>
      <c r="SCK172" s="928"/>
      <c r="SCL172" s="928"/>
      <c r="SCM172" s="928"/>
      <c r="SCN172" s="928"/>
      <c r="SCO172" s="928"/>
      <c r="SCP172" s="928"/>
      <c r="SCQ172" s="928"/>
      <c r="SCR172" s="928"/>
      <c r="SCS172" s="928"/>
      <c r="SCT172" s="928"/>
      <c r="SCU172" s="928"/>
      <c r="SCV172" s="928"/>
      <c r="SCW172" s="928"/>
      <c r="SCX172" s="928"/>
      <c r="SCY172" s="928"/>
      <c r="SCZ172" s="928"/>
      <c r="SDA172" s="928"/>
      <c r="SDB172" s="928"/>
      <c r="SDC172" s="928"/>
      <c r="SDD172" s="928"/>
      <c r="SDE172" s="928"/>
      <c r="SDF172" s="928"/>
      <c r="SDG172" s="928"/>
      <c r="SDH172" s="928"/>
      <c r="SDI172" s="928"/>
      <c r="SDJ172" s="928"/>
      <c r="SDK172" s="928"/>
      <c r="SDL172" s="928"/>
      <c r="SDM172" s="928"/>
      <c r="SDN172" s="928"/>
      <c r="SDO172" s="928"/>
      <c r="SDP172" s="928"/>
      <c r="SDQ172" s="928"/>
      <c r="SDR172" s="928"/>
      <c r="SDS172" s="928"/>
      <c r="SDT172" s="928"/>
      <c r="SDU172" s="928"/>
      <c r="SDV172" s="928"/>
      <c r="SDW172" s="928"/>
      <c r="SDX172" s="928"/>
      <c r="SDY172" s="928"/>
      <c r="SDZ172" s="928"/>
      <c r="SEA172" s="928"/>
      <c r="SEB172" s="928"/>
      <c r="SEC172" s="928"/>
      <c r="SED172" s="928"/>
      <c r="SEE172" s="928"/>
      <c r="SEF172" s="928"/>
      <c r="SEG172" s="928"/>
      <c r="SEH172" s="928"/>
      <c r="SEI172" s="928"/>
      <c r="SEJ172" s="928"/>
      <c r="SEK172" s="928"/>
      <c r="SEL172" s="928"/>
      <c r="SEM172" s="928"/>
      <c r="SEN172" s="928"/>
      <c r="SEO172" s="928"/>
      <c r="SEP172" s="928"/>
      <c r="SEQ172" s="928"/>
      <c r="SER172" s="928"/>
      <c r="SES172" s="928"/>
      <c r="SET172" s="928"/>
      <c r="SEU172" s="928"/>
      <c r="SEV172" s="928"/>
      <c r="SEW172" s="928"/>
      <c r="SEX172" s="928"/>
      <c r="SEY172" s="928"/>
      <c r="SEZ172" s="928"/>
      <c r="SFA172" s="928"/>
      <c r="SFB172" s="928"/>
      <c r="SFC172" s="928"/>
      <c r="SFD172" s="928"/>
      <c r="SFE172" s="928"/>
      <c r="SFF172" s="928"/>
      <c r="SFG172" s="928"/>
      <c r="SFH172" s="928"/>
      <c r="SFI172" s="928"/>
      <c r="SFJ172" s="928"/>
      <c r="SFK172" s="928"/>
      <c r="SFL172" s="928"/>
      <c r="SFM172" s="928"/>
      <c r="SFN172" s="928"/>
      <c r="SFO172" s="928"/>
      <c r="SFP172" s="928"/>
      <c r="SFQ172" s="928"/>
      <c r="SFR172" s="928"/>
      <c r="SFS172" s="928"/>
      <c r="SFT172" s="928"/>
      <c r="SFU172" s="928"/>
      <c r="SFV172" s="928"/>
      <c r="SFW172" s="928"/>
      <c r="SFX172" s="928"/>
      <c r="SFY172" s="928"/>
      <c r="SFZ172" s="928"/>
      <c r="SGA172" s="928"/>
      <c r="SGB172" s="928"/>
      <c r="SGC172" s="928"/>
      <c r="SGD172" s="928"/>
      <c r="SGE172" s="928"/>
      <c r="SGF172" s="928"/>
      <c r="SGG172" s="928"/>
      <c r="SGH172" s="928"/>
      <c r="SGI172" s="928"/>
      <c r="SGJ172" s="928"/>
      <c r="SGK172" s="928"/>
      <c r="SGL172" s="928"/>
      <c r="SGM172" s="928"/>
      <c r="SGN172" s="928"/>
      <c r="SGO172" s="928"/>
      <c r="SGP172" s="928"/>
      <c r="SGQ172" s="928"/>
      <c r="SGR172" s="928"/>
      <c r="SGS172" s="928"/>
      <c r="SGT172" s="928"/>
      <c r="SGU172" s="928"/>
      <c r="SGV172" s="928"/>
      <c r="SGW172" s="928"/>
      <c r="SGX172" s="928"/>
      <c r="SGY172" s="928"/>
      <c r="SGZ172" s="928"/>
      <c r="SHA172" s="928"/>
      <c r="SHB172" s="928"/>
      <c r="SHC172" s="928"/>
      <c r="SHD172" s="928"/>
      <c r="SHE172" s="928"/>
      <c r="SHF172" s="928"/>
      <c r="SHG172" s="928"/>
      <c r="SHH172" s="928"/>
      <c r="SHI172" s="928"/>
      <c r="SHJ172" s="928"/>
      <c r="SHK172" s="928"/>
      <c r="SHL172" s="928"/>
      <c r="SHM172" s="928"/>
      <c r="SHN172" s="928"/>
      <c r="SHO172" s="928"/>
      <c r="SHP172" s="928"/>
      <c r="SHQ172" s="928"/>
      <c r="SHR172" s="928"/>
      <c r="SHS172" s="928"/>
      <c r="SHT172" s="928"/>
      <c r="SHU172" s="928"/>
      <c r="SHV172" s="928"/>
      <c r="SHW172" s="928"/>
      <c r="SHX172" s="928"/>
      <c r="SHY172" s="928"/>
      <c r="SHZ172" s="928"/>
      <c r="SIA172" s="928"/>
      <c r="SIB172" s="928"/>
      <c r="SIC172" s="928"/>
      <c r="SID172" s="928"/>
      <c r="SIE172" s="928"/>
      <c r="SIF172" s="928"/>
      <c r="SIG172" s="928"/>
      <c r="SIH172" s="928"/>
      <c r="SII172" s="928"/>
      <c r="SIJ172" s="928"/>
      <c r="SIK172" s="928"/>
      <c r="SIL172" s="928"/>
      <c r="SIM172" s="928"/>
      <c r="SIN172" s="928"/>
      <c r="SIO172" s="928"/>
      <c r="SIP172" s="928"/>
      <c r="SIQ172" s="928"/>
      <c r="SIR172" s="928"/>
      <c r="SIS172" s="928"/>
      <c r="SIT172" s="928"/>
      <c r="SIU172" s="928"/>
      <c r="SIV172" s="928"/>
      <c r="SIW172" s="928"/>
      <c r="SIX172" s="928"/>
      <c r="SIY172" s="928"/>
      <c r="SIZ172" s="928"/>
      <c r="SJA172" s="928"/>
      <c r="SJB172" s="928"/>
      <c r="SJC172" s="928"/>
      <c r="SJD172" s="928"/>
      <c r="SJE172" s="928"/>
      <c r="SJF172" s="928"/>
      <c r="SJG172" s="928"/>
      <c r="SJH172" s="928"/>
      <c r="SJI172" s="928"/>
      <c r="SJJ172" s="928"/>
      <c r="SJK172" s="928"/>
      <c r="SJL172" s="928"/>
      <c r="SJM172" s="928"/>
      <c r="SJN172" s="928"/>
      <c r="SJO172" s="928"/>
      <c r="SJP172" s="928"/>
      <c r="SJQ172" s="928"/>
      <c r="SJR172" s="928"/>
      <c r="SJS172" s="928"/>
      <c r="SJT172" s="928"/>
      <c r="SJU172" s="928"/>
      <c r="SJV172" s="928"/>
      <c r="SJW172" s="928"/>
      <c r="SJX172" s="928"/>
      <c r="SJY172" s="928"/>
      <c r="SJZ172" s="928"/>
      <c r="SKA172" s="928"/>
      <c r="SKB172" s="928"/>
      <c r="SKC172" s="928"/>
      <c r="SKD172" s="928"/>
      <c r="SKE172" s="928"/>
      <c r="SKF172" s="928"/>
      <c r="SKG172" s="928"/>
      <c r="SKH172" s="928"/>
      <c r="SKI172" s="928"/>
      <c r="SKJ172" s="928"/>
      <c r="SKK172" s="928"/>
      <c r="SKL172" s="928"/>
      <c r="SKM172" s="928"/>
      <c r="SKN172" s="928"/>
      <c r="SKO172" s="928"/>
      <c r="SKP172" s="928"/>
      <c r="SKQ172" s="928"/>
      <c r="SKR172" s="928"/>
      <c r="SKS172" s="928"/>
      <c r="SKT172" s="928"/>
      <c r="SKU172" s="928"/>
      <c r="SKV172" s="928"/>
      <c r="SKW172" s="928"/>
      <c r="SKX172" s="928"/>
      <c r="SKY172" s="928"/>
      <c r="SKZ172" s="928"/>
      <c r="SLA172" s="928"/>
      <c r="SLB172" s="928"/>
      <c r="SLC172" s="928"/>
      <c r="SLD172" s="928"/>
      <c r="SLE172" s="928"/>
      <c r="SLF172" s="928"/>
      <c r="SLG172" s="928"/>
      <c r="SLH172" s="928"/>
      <c r="SLI172" s="928"/>
      <c r="SLJ172" s="928"/>
      <c r="SLK172" s="928"/>
      <c r="SLL172" s="928"/>
      <c r="SLM172" s="928"/>
      <c r="SLN172" s="928"/>
      <c r="SLO172" s="928"/>
      <c r="SLP172" s="928"/>
      <c r="SLQ172" s="928"/>
      <c r="SLR172" s="928"/>
      <c r="SLS172" s="928"/>
      <c r="SLT172" s="928"/>
      <c r="SLU172" s="928"/>
      <c r="SLV172" s="928"/>
      <c r="SLW172" s="928"/>
      <c r="SLX172" s="928"/>
      <c r="SLY172" s="928"/>
      <c r="SLZ172" s="928"/>
      <c r="SMA172" s="928"/>
      <c r="SMB172" s="928"/>
      <c r="SMC172" s="928"/>
      <c r="SMD172" s="928"/>
      <c r="SME172" s="928"/>
      <c r="SMF172" s="928"/>
      <c r="SMG172" s="928"/>
      <c r="SMH172" s="928"/>
      <c r="SMI172" s="928"/>
      <c r="SMJ172" s="928"/>
      <c r="SMK172" s="928"/>
      <c r="SML172" s="928"/>
      <c r="SMM172" s="928"/>
      <c r="SMN172" s="928"/>
      <c r="SMO172" s="928"/>
      <c r="SMP172" s="928"/>
      <c r="SMQ172" s="928"/>
      <c r="SMR172" s="928"/>
      <c r="SMS172" s="928"/>
      <c r="SMT172" s="928"/>
      <c r="SMU172" s="928"/>
      <c r="SMV172" s="928"/>
      <c r="SMW172" s="928"/>
      <c r="SMX172" s="928"/>
      <c r="SMY172" s="928"/>
      <c r="SMZ172" s="928"/>
      <c r="SNA172" s="928"/>
      <c r="SNB172" s="928"/>
      <c r="SNC172" s="928"/>
      <c r="SND172" s="928"/>
      <c r="SNE172" s="928"/>
      <c r="SNF172" s="928"/>
      <c r="SNG172" s="928"/>
      <c r="SNH172" s="928"/>
      <c r="SNI172" s="928"/>
      <c r="SNJ172" s="928"/>
      <c r="SNK172" s="928"/>
      <c r="SNL172" s="928"/>
      <c r="SNM172" s="928"/>
      <c r="SNN172" s="928"/>
      <c r="SNO172" s="928"/>
      <c r="SNP172" s="928"/>
      <c r="SNQ172" s="928"/>
      <c r="SNR172" s="928"/>
      <c r="SNS172" s="928"/>
      <c r="SNT172" s="928"/>
      <c r="SNU172" s="928"/>
      <c r="SNV172" s="928"/>
      <c r="SNW172" s="928"/>
      <c r="SNX172" s="928"/>
      <c r="SNY172" s="928"/>
      <c r="SNZ172" s="928"/>
      <c r="SOA172" s="928"/>
      <c r="SOB172" s="928"/>
      <c r="SOC172" s="928"/>
      <c r="SOD172" s="928"/>
      <c r="SOE172" s="928"/>
      <c r="SOF172" s="928"/>
      <c r="SOG172" s="928"/>
      <c r="SOH172" s="928"/>
      <c r="SOI172" s="928"/>
      <c r="SOJ172" s="928"/>
      <c r="SOK172" s="928"/>
      <c r="SOL172" s="928"/>
      <c r="SOM172" s="928"/>
      <c r="SON172" s="928"/>
      <c r="SOO172" s="928"/>
      <c r="SOP172" s="928"/>
      <c r="SOQ172" s="928"/>
      <c r="SOR172" s="928"/>
      <c r="SOS172" s="928"/>
      <c r="SOT172" s="928"/>
      <c r="SOU172" s="928"/>
      <c r="SOV172" s="928"/>
      <c r="SOW172" s="928"/>
      <c r="SOX172" s="928"/>
      <c r="SOY172" s="928"/>
      <c r="SOZ172" s="928"/>
      <c r="SPA172" s="928"/>
      <c r="SPB172" s="928"/>
      <c r="SPC172" s="928"/>
      <c r="SPD172" s="928"/>
      <c r="SPE172" s="928"/>
      <c r="SPF172" s="928"/>
      <c r="SPG172" s="928"/>
      <c r="SPH172" s="928"/>
      <c r="SPI172" s="928"/>
      <c r="SPJ172" s="928"/>
      <c r="SPK172" s="928"/>
      <c r="SPL172" s="928"/>
      <c r="SPM172" s="928"/>
      <c r="SPN172" s="928"/>
      <c r="SPO172" s="928"/>
      <c r="SPP172" s="928"/>
      <c r="SPQ172" s="928"/>
      <c r="SPR172" s="928"/>
      <c r="SPS172" s="928"/>
      <c r="SPT172" s="928"/>
      <c r="SPU172" s="928"/>
      <c r="SPV172" s="928"/>
      <c r="SPW172" s="928"/>
      <c r="SPX172" s="928"/>
      <c r="SPY172" s="928"/>
      <c r="SPZ172" s="928"/>
      <c r="SQA172" s="928"/>
      <c r="SQB172" s="928"/>
      <c r="SQC172" s="928"/>
      <c r="SQD172" s="928"/>
      <c r="SQE172" s="928"/>
      <c r="SQF172" s="928"/>
      <c r="SQG172" s="928"/>
      <c r="SQH172" s="928"/>
      <c r="SQI172" s="928"/>
      <c r="SQJ172" s="928"/>
      <c r="SQK172" s="928"/>
      <c r="SQL172" s="928"/>
      <c r="SQM172" s="928"/>
      <c r="SQN172" s="928"/>
      <c r="SQO172" s="928"/>
      <c r="SQP172" s="928"/>
      <c r="SQQ172" s="928"/>
      <c r="SQR172" s="928"/>
      <c r="SQS172" s="928"/>
      <c r="SQT172" s="928"/>
      <c r="SQU172" s="928"/>
      <c r="SQV172" s="928"/>
      <c r="SQW172" s="928"/>
      <c r="SQX172" s="928"/>
      <c r="SQY172" s="928"/>
      <c r="SQZ172" s="928"/>
      <c r="SRA172" s="928"/>
      <c r="SRB172" s="928"/>
      <c r="SRC172" s="928"/>
      <c r="SRD172" s="928"/>
      <c r="SRE172" s="928"/>
      <c r="SRF172" s="928"/>
      <c r="SRG172" s="928"/>
      <c r="SRH172" s="928"/>
      <c r="SRI172" s="928"/>
      <c r="SRJ172" s="928"/>
      <c r="SRK172" s="928"/>
      <c r="SRL172" s="928"/>
      <c r="SRM172" s="928"/>
      <c r="SRN172" s="928"/>
      <c r="SRO172" s="928"/>
      <c r="SRP172" s="928"/>
      <c r="SRQ172" s="928"/>
      <c r="SRR172" s="928"/>
      <c r="SRS172" s="928"/>
      <c r="SRT172" s="928"/>
      <c r="SRU172" s="928"/>
      <c r="SRV172" s="928"/>
      <c r="SRW172" s="928"/>
      <c r="SRX172" s="928"/>
      <c r="SRY172" s="928"/>
      <c r="SRZ172" s="928"/>
      <c r="SSA172" s="928"/>
      <c r="SSB172" s="928"/>
      <c r="SSC172" s="928"/>
      <c r="SSD172" s="928"/>
      <c r="SSE172" s="928"/>
      <c r="SSF172" s="928"/>
      <c r="SSG172" s="928"/>
      <c r="SSH172" s="928"/>
      <c r="SSI172" s="928"/>
      <c r="SSJ172" s="928"/>
      <c r="SSK172" s="928"/>
      <c r="SSL172" s="928"/>
      <c r="SSM172" s="928"/>
      <c r="SSN172" s="928"/>
      <c r="SSO172" s="928"/>
      <c r="SSP172" s="928"/>
      <c r="SSQ172" s="928"/>
      <c r="SSR172" s="928"/>
      <c r="SSS172" s="928"/>
      <c r="SST172" s="928"/>
      <c r="SSU172" s="928"/>
      <c r="SSV172" s="928"/>
      <c r="SSW172" s="928"/>
      <c r="SSX172" s="928"/>
      <c r="SSY172" s="928"/>
      <c r="SSZ172" s="928"/>
      <c r="STA172" s="928"/>
      <c r="STB172" s="928"/>
      <c r="STC172" s="928"/>
      <c r="STD172" s="928"/>
      <c r="STE172" s="928"/>
      <c r="STF172" s="928"/>
      <c r="STG172" s="928"/>
      <c r="STH172" s="928"/>
      <c r="STI172" s="928"/>
      <c r="STJ172" s="928"/>
      <c r="STK172" s="928"/>
      <c r="STL172" s="928"/>
      <c r="STM172" s="928"/>
      <c r="STN172" s="928"/>
      <c r="STO172" s="928"/>
      <c r="STP172" s="928"/>
      <c r="STQ172" s="928"/>
      <c r="STR172" s="928"/>
      <c r="STS172" s="928"/>
      <c r="STT172" s="928"/>
      <c r="STU172" s="928"/>
      <c r="STV172" s="928"/>
      <c r="STW172" s="928"/>
      <c r="STX172" s="928"/>
      <c r="STY172" s="928"/>
      <c r="STZ172" s="928"/>
      <c r="SUA172" s="928"/>
      <c r="SUB172" s="928"/>
      <c r="SUC172" s="928"/>
      <c r="SUD172" s="928"/>
      <c r="SUE172" s="928"/>
      <c r="SUF172" s="928"/>
      <c r="SUG172" s="928"/>
      <c r="SUH172" s="928"/>
      <c r="SUI172" s="928"/>
      <c r="SUJ172" s="928"/>
      <c r="SUK172" s="928"/>
      <c r="SUL172" s="928"/>
      <c r="SUM172" s="928"/>
      <c r="SUN172" s="928"/>
      <c r="SUO172" s="928"/>
      <c r="SUP172" s="928"/>
      <c r="SUQ172" s="928"/>
      <c r="SUR172" s="928"/>
      <c r="SUS172" s="928"/>
      <c r="SUT172" s="928"/>
      <c r="SUU172" s="928"/>
      <c r="SUV172" s="928"/>
      <c r="SUW172" s="928"/>
      <c r="SUX172" s="928"/>
      <c r="SUY172" s="928"/>
      <c r="SUZ172" s="928"/>
      <c r="SVA172" s="928"/>
      <c r="SVB172" s="928"/>
      <c r="SVC172" s="928"/>
      <c r="SVD172" s="928"/>
      <c r="SVE172" s="928"/>
      <c r="SVF172" s="928"/>
      <c r="SVG172" s="928"/>
      <c r="SVH172" s="928"/>
      <c r="SVI172" s="928"/>
      <c r="SVJ172" s="928"/>
      <c r="SVK172" s="928"/>
      <c r="SVL172" s="928"/>
      <c r="SVM172" s="928"/>
      <c r="SVN172" s="928"/>
      <c r="SVO172" s="928"/>
      <c r="SVP172" s="928"/>
      <c r="SVQ172" s="928"/>
      <c r="SVR172" s="928"/>
      <c r="SVS172" s="928"/>
      <c r="SVT172" s="928"/>
      <c r="SVU172" s="928"/>
      <c r="SVV172" s="928"/>
      <c r="SVW172" s="928"/>
      <c r="SVX172" s="928"/>
      <c r="SVY172" s="928"/>
      <c r="SVZ172" s="928"/>
      <c r="SWA172" s="928"/>
      <c r="SWB172" s="928"/>
      <c r="SWC172" s="928"/>
      <c r="SWD172" s="928"/>
      <c r="SWE172" s="928"/>
      <c r="SWF172" s="928"/>
      <c r="SWG172" s="928"/>
      <c r="SWH172" s="928"/>
      <c r="SWI172" s="928"/>
      <c r="SWJ172" s="928"/>
      <c r="SWK172" s="928"/>
      <c r="SWL172" s="928"/>
      <c r="SWM172" s="928"/>
      <c r="SWN172" s="928"/>
      <c r="SWO172" s="928"/>
      <c r="SWP172" s="928"/>
      <c r="SWQ172" s="928"/>
      <c r="SWR172" s="928"/>
      <c r="SWS172" s="928"/>
      <c r="SWT172" s="928"/>
      <c r="SWU172" s="928"/>
      <c r="SWV172" s="928"/>
      <c r="SWW172" s="928"/>
      <c r="SWX172" s="928"/>
      <c r="SWY172" s="928"/>
      <c r="SWZ172" s="928"/>
      <c r="SXA172" s="928"/>
      <c r="SXB172" s="928"/>
      <c r="SXC172" s="928"/>
      <c r="SXD172" s="928"/>
      <c r="SXE172" s="928"/>
      <c r="SXF172" s="928"/>
      <c r="SXG172" s="928"/>
      <c r="SXH172" s="928"/>
      <c r="SXI172" s="928"/>
      <c r="SXJ172" s="928"/>
      <c r="SXK172" s="928"/>
      <c r="SXL172" s="928"/>
      <c r="SXM172" s="928"/>
      <c r="SXN172" s="928"/>
      <c r="SXO172" s="928"/>
      <c r="SXP172" s="928"/>
      <c r="SXQ172" s="928"/>
      <c r="SXR172" s="928"/>
      <c r="SXS172" s="928"/>
      <c r="SXT172" s="928"/>
      <c r="SXU172" s="928"/>
      <c r="SXV172" s="928"/>
      <c r="SXW172" s="928"/>
      <c r="SXX172" s="928"/>
      <c r="SXY172" s="928"/>
      <c r="SXZ172" s="928"/>
      <c r="SYA172" s="928"/>
      <c r="SYB172" s="928"/>
      <c r="SYC172" s="928"/>
      <c r="SYD172" s="928"/>
      <c r="SYE172" s="928"/>
      <c r="SYF172" s="928"/>
      <c r="SYG172" s="928"/>
      <c r="SYH172" s="928"/>
      <c r="SYI172" s="928"/>
      <c r="SYJ172" s="928"/>
      <c r="SYK172" s="928"/>
      <c r="SYL172" s="928"/>
      <c r="SYM172" s="928"/>
      <c r="SYN172" s="928"/>
      <c r="SYO172" s="928"/>
      <c r="SYP172" s="928"/>
      <c r="SYQ172" s="928"/>
      <c r="SYR172" s="928"/>
      <c r="SYS172" s="928"/>
      <c r="SYT172" s="928"/>
      <c r="SYU172" s="928"/>
      <c r="SYV172" s="928"/>
      <c r="SYW172" s="928"/>
      <c r="SYX172" s="928"/>
      <c r="SYY172" s="928"/>
      <c r="SYZ172" s="928"/>
      <c r="SZA172" s="928"/>
      <c r="SZB172" s="928"/>
      <c r="SZC172" s="928"/>
      <c r="SZD172" s="928"/>
      <c r="SZE172" s="928"/>
      <c r="SZF172" s="928"/>
      <c r="SZG172" s="928"/>
      <c r="SZH172" s="928"/>
      <c r="SZI172" s="928"/>
      <c r="SZJ172" s="928"/>
      <c r="SZK172" s="928"/>
      <c r="SZL172" s="928"/>
      <c r="SZM172" s="928"/>
      <c r="SZN172" s="928"/>
      <c r="SZO172" s="928"/>
      <c r="SZP172" s="928"/>
      <c r="SZQ172" s="928"/>
      <c r="SZR172" s="928"/>
      <c r="SZS172" s="928"/>
      <c r="SZT172" s="928"/>
      <c r="SZU172" s="928"/>
      <c r="SZV172" s="928"/>
      <c r="SZW172" s="928"/>
      <c r="SZX172" s="928"/>
      <c r="SZY172" s="928"/>
      <c r="SZZ172" s="928"/>
      <c r="TAA172" s="928"/>
      <c r="TAB172" s="928"/>
      <c r="TAC172" s="928"/>
      <c r="TAD172" s="928"/>
      <c r="TAE172" s="928"/>
      <c r="TAF172" s="928"/>
      <c r="TAG172" s="928"/>
      <c r="TAH172" s="928"/>
      <c r="TAI172" s="928"/>
      <c r="TAJ172" s="928"/>
      <c r="TAK172" s="928"/>
      <c r="TAL172" s="928"/>
      <c r="TAM172" s="928"/>
      <c r="TAN172" s="928"/>
      <c r="TAO172" s="928"/>
      <c r="TAP172" s="928"/>
      <c r="TAQ172" s="928"/>
      <c r="TAR172" s="928"/>
      <c r="TAS172" s="928"/>
      <c r="TAT172" s="928"/>
      <c r="TAU172" s="928"/>
      <c r="TAV172" s="928"/>
      <c r="TAW172" s="928"/>
      <c r="TAX172" s="928"/>
      <c r="TAY172" s="928"/>
      <c r="TAZ172" s="928"/>
      <c r="TBA172" s="928"/>
      <c r="TBB172" s="928"/>
      <c r="TBC172" s="928"/>
      <c r="TBD172" s="928"/>
      <c r="TBE172" s="928"/>
      <c r="TBF172" s="928"/>
      <c r="TBG172" s="928"/>
      <c r="TBH172" s="928"/>
      <c r="TBI172" s="928"/>
      <c r="TBJ172" s="928"/>
      <c r="TBK172" s="928"/>
      <c r="TBL172" s="928"/>
      <c r="TBM172" s="928"/>
      <c r="TBN172" s="928"/>
      <c r="TBO172" s="928"/>
      <c r="TBP172" s="928"/>
      <c r="TBQ172" s="928"/>
      <c r="TBR172" s="928"/>
      <c r="TBS172" s="928"/>
      <c r="TBT172" s="928"/>
      <c r="TBU172" s="928"/>
      <c r="TBV172" s="928"/>
      <c r="TBW172" s="928"/>
      <c r="TBX172" s="928"/>
      <c r="TBY172" s="928"/>
      <c r="TBZ172" s="928"/>
      <c r="TCA172" s="928"/>
      <c r="TCB172" s="928"/>
      <c r="TCC172" s="928"/>
      <c r="TCD172" s="928"/>
      <c r="TCE172" s="928"/>
      <c r="TCF172" s="928"/>
      <c r="TCG172" s="928"/>
      <c r="TCH172" s="928"/>
      <c r="TCI172" s="928"/>
      <c r="TCJ172" s="928"/>
      <c r="TCK172" s="928"/>
      <c r="TCL172" s="928"/>
      <c r="TCM172" s="928"/>
      <c r="TCN172" s="928"/>
      <c r="TCO172" s="928"/>
      <c r="TCP172" s="928"/>
      <c r="TCQ172" s="928"/>
      <c r="TCR172" s="928"/>
      <c r="TCS172" s="928"/>
      <c r="TCT172" s="928"/>
      <c r="TCU172" s="928"/>
      <c r="TCV172" s="928"/>
      <c r="TCW172" s="928"/>
      <c r="TCX172" s="928"/>
      <c r="TCY172" s="928"/>
      <c r="TCZ172" s="928"/>
      <c r="TDA172" s="928"/>
      <c r="TDB172" s="928"/>
      <c r="TDC172" s="928"/>
      <c r="TDD172" s="928"/>
      <c r="TDE172" s="928"/>
      <c r="TDF172" s="928"/>
      <c r="TDG172" s="928"/>
      <c r="TDH172" s="928"/>
      <c r="TDI172" s="928"/>
      <c r="TDJ172" s="928"/>
      <c r="TDK172" s="928"/>
      <c r="TDL172" s="928"/>
      <c r="TDM172" s="928"/>
      <c r="TDN172" s="928"/>
      <c r="TDO172" s="928"/>
      <c r="TDP172" s="928"/>
      <c r="TDQ172" s="928"/>
      <c r="TDR172" s="928"/>
      <c r="TDS172" s="928"/>
      <c r="TDT172" s="928"/>
      <c r="TDU172" s="928"/>
      <c r="TDV172" s="928"/>
      <c r="TDW172" s="928"/>
      <c r="TDX172" s="928"/>
      <c r="TDY172" s="928"/>
      <c r="TDZ172" s="928"/>
      <c r="TEA172" s="928"/>
      <c r="TEB172" s="928"/>
      <c r="TEC172" s="928"/>
      <c r="TED172" s="928"/>
      <c r="TEE172" s="928"/>
      <c r="TEF172" s="928"/>
      <c r="TEG172" s="928"/>
      <c r="TEH172" s="928"/>
      <c r="TEI172" s="928"/>
      <c r="TEJ172" s="928"/>
      <c r="TEK172" s="928"/>
      <c r="TEL172" s="928"/>
      <c r="TEM172" s="928"/>
      <c r="TEN172" s="928"/>
      <c r="TEO172" s="928"/>
      <c r="TEP172" s="928"/>
      <c r="TEQ172" s="928"/>
      <c r="TER172" s="928"/>
      <c r="TES172" s="928"/>
      <c r="TET172" s="928"/>
      <c r="TEU172" s="928"/>
      <c r="TEV172" s="928"/>
      <c r="TEW172" s="928"/>
      <c r="TEX172" s="928"/>
      <c r="TEY172" s="928"/>
      <c r="TEZ172" s="928"/>
      <c r="TFA172" s="928"/>
      <c r="TFB172" s="928"/>
      <c r="TFC172" s="928"/>
      <c r="TFD172" s="928"/>
      <c r="TFE172" s="928"/>
      <c r="TFF172" s="928"/>
      <c r="TFG172" s="928"/>
      <c r="TFH172" s="928"/>
      <c r="TFI172" s="928"/>
      <c r="TFJ172" s="928"/>
      <c r="TFK172" s="928"/>
      <c r="TFL172" s="928"/>
      <c r="TFM172" s="928"/>
      <c r="TFN172" s="928"/>
      <c r="TFO172" s="928"/>
      <c r="TFP172" s="928"/>
      <c r="TFQ172" s="928"/>
      <c r="TFR172" s="928"/>
      <c r="TFS172" s="928"/>
      <c r="TFT172" s="928"/>
      <c r="TFU172" s="928"/>
      <c r="TFV172" s="928"/>
      <c r="TFW172" s="928"/>
      <c r="TFX172" s="928"/>
      <c r="TFY172" s="928"/>
      <c r="TFZ172" s="928"/>
      <c r="TGA172" s="928"/>
      <c r="TGB172" s="928"/>
      <c r="TGC172" s="928"/>
      <c r="TGD172" s="928"/>
      <c r="TGE172" s="928"/>
      <c r="TGF172" s="928"/>
      <c r="TGG172" s="928"/>
      <c r="TGH172" s="928"/>
      <c r="TGI172" s="928"/>
      <c r="TGJ172" s="928"/>
      <c r="TGK172" s="928"/>
      <c r="TGL172" s="928"/>
      <c r="TGM172" s="928"/>
      <c r="TGN172" s="928"/>
      <c r="TGO172" s="928"/>
      <c r="TGP172" s="928"/>
      <c r="TGQ172" s="928"/>
      <c r="TGR172" s="928"/>
      <c r="TGS172" s="928"/>
      <c r="TGT172" s="928"/>
      <c r="TGU172" s="928"/>
      <c r="TGV172" s="928"/>
      <c r="TGW172" s="928"/>
      <c r="TGX172" s="928"/>
      <c r="TGY172" s="928"/>
      <c r="TGZ172" s="928"/>
      <c r="THA172" s="928"/>
      <c r="THB172" s="928"/>
      <c r="THC172" s="928"/>
      <c r="THD172" s="928"/>
      <c r="THE172" s="928"/>
      <c r="THF172" s="928"/>
      <c r="THG172" s="928"/>
      <c r="THH172" s="928"/>
      <c r="THI172" s="928"/>
      <c r="THJ172" s="928"/>
      <c r="THK172" s="928"/>
      <c r="THL172" s="928"/>
      <c r="THM172" s="928"/>
      <c r="THN172" s="928"/>
      <c r="THO172" s="928"/>
      <c r="THP172" s="928"/>
      <c r="THQ172" s="928"/>
      <c r="THR172" s="928"/>
      <c r="THS172" s="928"/>
      <c r="THT172" s="928"/>
      <c r="THU172" s="928"/>
      <c r="THV172" s="928"/>
      <c r="THW172" s="928"/>
      <c r="THX172" s="928"/>
      <c r="THY172" s="928"/>
      <c r="THZ172" s="928"/>
      <c r="TIA172" s="928"/>
      <c r="TIB172" s="928"/>
      <c r="TIC172" s="928"/>
      <c r="TID172" s="928"/>
      <c r="TIE172" s="928"/>
      <c r="TIF172" s="928"/>
      <c r="TIG172" s="928"/>
      <c r="TIH172" s="928"/>
      <c r="TII172" s="928"/>
      <c r="TIJ172" s="928"/>
      <c r="TIK172" s="928"/>
      <c r="TIL172" s="928"/>
      <c r="TIM172" s="928"/>
      <c r="TIN172" s="928"/>
      <c r="TIO172" s="928"/>
      <c r="TIP172" s="928"/>
      <c r="TIQ172" s="928"/>
      <c r="TIR172" s="928"/>
      <c r="TIS172" s="928"/>
      <c r="TIT172" s="928"/>
      <c r="TIU172" s="928"/>
      <c r="TIV172" s="928"/>
      <c r="TIW172" s="928"/>
      <c r="TIX172" s="928"/>
      <c r="TIY172" s="928"/>
      <c r="TIZ172" s="928"/>
      <c r="TJA172" s="928"/>
      <c r="TJB172" s="928"/>
      <c r="TJC172" s="928"/>
      <c r="TJD172" s="928"/>
      <c r="TJE172" s="928"/>
      <c r="TJF172" s="928"/>
      <c r="TJG172" s="928"/>
      <c r="TJH172" s="928"/>
      <c r="TJI172" s="928"/>
      <c r="TJJ172" s="928"/>
      <c r="TJK172" s="928"/>
      <c r="TJL172" s="928"/>
      <c r="TJM172" s="928"/>
      <c r="TJN172" s="928"/>
      <c r="TJO172" s="928"/>
      <c r="TJP172" s="928"/>
      <c r="TJQ172" s="928"/>
      <c r="TJR172" s="928"/>
      <c r="TJS172" s="928"/>
      <c r="TJT172" s="928"/>
      <c r="TJU172" s="928"/>
      <c r="TJV172" s="928"/>
      <c r="TJW172" s="928"/>
      <c r="TJX172" s="928"/>
      <c r="TJY172" s="928"/>
      <c r="TJZ172" s="928"/>
      <c r="TKA172" s="928"/>
      <c r="TKB172" s="928"/>
      <c r="TKC172" s="928"/>
      <c r="TKD172" s="928"/>
      <c r="TKE172" s="928"/>
      <c r="TKF172" s="928"/>
      <c r="TKG172" s="928"/>
      <c r="TKH172" s="928"/>
      <c r="TKI172" s="928"/>
      <c r="TKJ172" s="928"/>
      <c r="TKK172" s="928"/>
      <c r="TKL172" s="928"/>
      <c r="TKM172" s="928"/>
      <c r="TKN172" s="928"/>
      <c r="TKO172" s="928"/>
      <c r="TKP172" s="928"/>
      <c r="TKQ172" s="928"/>
      <c r="TKR172" s="928"/>
      <c r="TKS172" s="928"/>
      <c r="TKT172" s="928"/>
      <c r="TKU172" s="928"/>
      <c r="TKV172" s="928"/>
      <c r="TKW172" s="928"/>
      <c r="TKX172" s="928"/>
      <c r="TKY172" s="928"/>
      <c r="TKZ172" s="928"/>
      <c r="TLA172" s="928"/>
      <c r="TLB172" s="928"/>
      <c r="TLC172" s="928"/>
      <c r="TLD172" s="928"/>
      <c r="TLE172" s="928"/>
      <c r="TLF172" s="928"/>
      <c r="TLG172" s="928"/>
      <c r="TLH172" s="928"/>
      <c r="TLI172" s="928"/>
      <c r="TLJ172" s="928"/>
      <c r="TLK172" s="928"/>
      <c r="TLL172" s="928"/>
      <c r="TLM172" s="928"/>
      <c r="TLN172" s="928"/>
      <c r="TLO172" s="928"/>
      <c r="TLP172" s="928"/>
      <c r="TLQ172" s="928"/>
      <c r="TLR172" s="928"/>
      <c r="TLS172" s="928"/>
      <c r="TLT172" s="928"/>
      <c r="TLU172" s="928"/>
      <c r="TLV172" s="928"/>
      <c r="TLW172" s="928"/>
      <c r="TLX172" s="928"/>
      <c r="TLY172" s="928"/>
      <c r="TLZ172" s="928"/>
      <c r="TMA172" s="928"/>
      <c r="TMB172" s="928"/>
      <c r="TMC172" s="928"/>
      <c r="TMD172" s="928"/>
      <c r="TME172" s="928"/>
      <c r="TMF172" s="928"/>
      <c r="TMG172" s="928"/>
      <c r="TMH172" s="928"/>
      <c r="TMI172" s="928"/>
      <c r="TMJ172" s="928"/>
      <c r="TMK172" s="928"/>
      <c r="TML172" s="928"/>
      <c r="TMM172" s="928"/>
      <c r="TMN172" s="928"/>
      <c r="TMO172" s="928"/>
      <c r="TMP172" s="928"/>
      <c r="TMQ172" s="928"/>
      <c r="TMR172" s="928"/>
      <c r="TMS172" s="928"/>
      <c r="TMT172" s="928"/>
      <c r="TMU172" s="928"/>
      <c r="TMV172" s="928"/>
      <c r="TMW172" s="928"/>
      <c r="TMX172" s="928"/>
      <c r="TMY172" s="928"/>
      <c r="TMZ172" s="928"/>
      <c r="TNA172" s="928"/>
      <c r="TNB172" s="928"/>
      <c r="TNC172" s="928"/>
      <c r="TND172" s="928"/>
      <c r="TNE172" s="928"/>
      <c r="TNF172" s="928"/>
      <c r="TNG172" s="928"/>
      <c r="TNH172" s="928"/>
      <c r="TNI172" s="928"/>
      <c r="TNJ172" s="928"/>
      <c r="TNK172" s="928"/>
      <c r="TNL172" s="928"/>
      <c r="TNM172" s="928"/>
      <c r="TNN172" s="928"/>
      <c r="TNO172" s="928"/>
      <c r="TNP172" s="928"/>
      <c r="TNQ172" s="928"/>
      <c r="TNR172" s="928"/>
      <c r="TNS172" s="928"/>
      <c r="TNT172" s="928"/>
      <c r="TNU172" s="928"/>
      <c r="TNV172" s="928"/>
      <c r="TNW172" s="928"/>
      <c r="TNX172" s="928"/>
      <c r="TNY172" s="928"/>
      <c r="TNZ172" s="928"/>
      <c r="TOA172" s="928"/>
      <c r="TOB172" s="928"/>
      <c r="TOC172" s="928"/>
      <c r="TOD172" s="928"/>
      <c r="TOE172" s="928"/>
      <c r="TOF172" s="928"/>
      <c r="TOG172" s="928"/>
      <c r="TOH172" s="928"/>
      <c r="TOI172" s="928"/>
      <c r="TOJ172" s="928"/>
      <c r="TOK172" s="928"/>
      <c r="TOL172" s="928"/>
      <c r="TOM172" s="928"/>
      <c r="TON172" s="928"/>
      <c r="TOO172" s="928"/>
      <c r="TOP172" s="928"/>
      <c r="TOQ172" s="928"/>
      <c r="TOR172" s="928"/>
      <c r="TOS172" s="928"/>
      <c r="TOT172" s="928"/>
      <c r="TOU172" s="928"/>
      <c r="TOV172" s="928"/>
      <c r="TOW172" s="928"/>
      <c r="TOX172" s="928"/>
      <c r="TOY172" s="928"/>
      <c r="TOZ172" s="928"/>
      <c r="TPA172" s="928"/>
      <c r="TPB172" s="928"/>
      <c r="TPC172" s="928"/>
      <c r="TPD172" s="928"/>
      <c r="TPE172" s="928"/>
      <c r="TPF172" s="928"/>
      <c r="TPG172" s="928"/>
      <c r="TPH172" s="928"/>
      <c r="TPI172" s="928"/>
      <c r="TPJ172" s="928"/>
      <c r="TPK172" s="928"/>
      <c r="TPL172" s="928"/>
      <c r="TPM172" s="928"/>
      <c r="TPN172" s="928"/>
      <c r="TPO172" s="928"/>
      <c r="TPP172" s="928"/>
      <c r="TPQ172" s="928"/>
      <c r="TPR172" s="928"/>
      <c r="TPS172" s="928"/>
      <c r="TPT172" s="928"/>
      <c r="TPU172" s="928"/>
      <c r="TPV172" s="928"/>
      <c r="TPW172" s="928"/>
      <c r="TPX172" s="928"/>
      <c r="TPY172" s="928"/>
      <c r="TPZ172" s="928"/>
      <c r="TQA172" s="928"/>
      <c r="TQB172" s="928"/>
      <c r="TQC172" s="928"/>
      <c r="TQD172" s="928"/>
      <c r="TQE172" s="928"/>
      <c r="TQF172" s="928"/>
      <c r="TQG172" s="928"/>
      <c r="TQH172" s="928"/>
      <c r="TQI172" s="928"/>
      <c r="TQJ172" s="928"/>
      <c r="TQK172" s="928"/>
      <c r="TQL172" s="928"/>
      <c r="TQM172" s="928"/>
      <c r="TQN172" s="928"/>
      <c r="TQO172" s="928"/>
      <c r="TQP172" s="928"/>
      <c r="TQQ172" s="928"/>
      <c r="TQR172" s="928"/>
      <c r="TQS172" s="928"/>
      <c r="TQT172" s="928"/>
      <c r="TQU172" s="928"/>
      <c r="TQV172" s="928"/>
      <c r="TQW172" s="928"/>
      <c r="TQX172" s="928"/>
      <c r="TQY172" s="928"/>
      <c r="TQZ172" s="928"/>
      <c r="TRA172" s="928"/>
      <c r="TRB172" s="928"/>
      <c r="TRC172" s="928"/>
      <c r="TRD172" s="928"/>
      <c r="TRE172" s="928"/>
      <c r="TRF172" s="928"/>
      <c r="TRG172" s="928"/>
      <c r="TRH172" s="928"/>
      <c r="TRI172" s="928"/>
      <c r="TRJ172" s="928"/>
      <c r="TRK172" s="928"/>
      <c r="TRL172" s="928"/>
      <c r="TRM172" s="928"/>
      <c r="TRN172" s="928"/>
      <c r="TRO172" s="928"/>
      <c r="TRP172" s="928"/>
      <c r="TRQ172" s="928"/>
      <c r="TRR172" s="928"/>
      <c r="TRS172" s="928"/>
      <c r="TRT172" s="928"/>
      <c r="TRU172" s="928"/>
      <c r="TRV172" s="928"/>
      <c r="TRW172" s="928"/>
      <c r="TRX172" s="928"/>
      <c r="TRY172" s="928"/>
      <c r="TRZ172" s="928"/>
      <c r="TSA172" s="928"/>
      <c r="TSB172" s="928"/>
      <c r="TSC172" s="928"/>
      <c r="TSD172" s="928"/>
      <c r="TSE172" s="928"/>
      <c r="TSF172" s="928"/>
      <c r="TSG172" s="928"/>
      <c r="TSH172" s="928"/>
      <c r="TSI172" s="928"/>
      <c r="TSJ172" s="928"/>
      <c r="TSK172" s="928"/>
      <c r="TSL172" s="928"/>
      <c r="TSM172" s="928"/>
      <c r="TSN172" s="928"/>
      <c r="TSO172" s="928"/>
      <c r="TSP172" s="928"/>
      <c r="TSQ172" s="928"/>
      <c r="TSR172" s="928"/>
      <c r="TSS172" s="928"/>
      <c r="TST172" s="928"/>
      <c r="TSU172" s="928"/>
      <c r="TSV172" s="928"/>
      <c r="TSW172" s="928"/>
      <c r="TSX172" s="928"/>
      <c r="TSY172" s="928"/>
      <c r="TSZ172" s="928"/>
      <c r="TTA172" s="928"/>
      <c r="TTB172" s="928"/>
      <c r="TTC172" s="928"/>
      <c r="TTD172" s="928"/>
      <c r="TTE172" s="928"/>
      <c r="TTF172" s="928"/>
      <c r="TTG172" s="928"/>
      <c r="TTH172" s="928"/>
      <c r="TTI172" s="928"/>
      <c r="TTJ172" s="928"/>
      <c r="TTK172" s="928"/>
      <c r="TTL172" s="928"/>
      <c r="TTM172" s="928"/>
      <c r="TTN172" s="928"/>
      <c r="TTO172" s="928"/>
      <c r="TTP172" s="928"/>
      <c r="TTQ172" s="928"/>
      <c r="TTR172" s="928"/>
      <c r="TTS172" s="928"/>
      <c r="TTT172" s="928"/>
      <c r="TTU172" s="928"/>
      <c r="TTV172" s="928"/>
      <c r="TTW172" s="928"/>
      <c r="TTX172" s="928"/>
      <c r="TTY172" s="928"/>
      <c r="TTZ172" s="928"/>
      <c r="TUA172" s="928"/>
      <c r="TUB172" s="928"/>
      <c r="TUC172" s="928"/>
      <c r="TUD172" s="928"/>
      <c r="TUE172" s="928"/>
      <c r="TUF172" s="928"/>
      <c r="TUG172" s="928"/>
      <c r="TUH172" s="928"/>
      <c r="TUI172" s="928"/>
      <c r="TUJ172" s="928"/>
      <c r="TUK172" s="928"/>
      <c r="TUL172" s="928"/>
      <c r="TUM172" s="928"/>
      <c r="TUN172" s="928"/>
      <c r="TUO172" s="928"/>
      <c r="TUP172" s="928"/>
      <c r="TUQ172" s="928"/>
      <c r="TUR172" s="928"/>
      <c r="TUS172" s="928"/>
      <c r="TUT172" s="928"/>
      <c r="TUU172" s="928"/>
      <c r="TUV172" s="928"/>
      <c r="TUW172" s="928"/>
      <c r="TUX172" s="928"/>
      <c r="TUY172" s="928"/>
      <c r="TUZ172" s="928"/>
      <c r="TVA172" s="928"/>
      <c r="TVB172" s="928"/>
      <c r="TVC172" s="928"/>
      <c r="TVD172" s="928"/>
      <c r="TVE172" s="928"/>
      <c r="TVF172" s="928"/>
      <c r="TVG172" s="928"/>
      <c r="TVH172" s="928"/>
      <c r="TVI172" s="928"/>
      <c r="TVJ172" s="928"/>
      <c r="TVK172" s="928"/>
      <c r="TVL172" s="928"/>
      <c r="TVM172" s="928"/>
      <c r="TVN172" s="928"/>
      <c r="TVO172" s="928"/>
      <c r="TVP172" s="928"/>
      <c r="TVQ172" s="928"/>
      <c r="TVR172" s="928"/>
      <c r="TVS172" s="928"/>
      <c r="TVT172" s="928"/>
      <c r="TVU172" s="928"/>
      <c r="TVV172" s="928"/>
      <c r="TVW172" s="928"/>
      <c r="TVX172" s="928"/>
      <c r="TVY172" s="928"/>
      <c r="TVZ172" s="928"/>
      <c r="TWA172" s="928"/>
      <c r="TWB172" s="928"/>
      <c r="TWC172" s="928"/>
      <c r="TWD172" s="928"/>
      <c r="TWE172" s="928"/>
      <c r="TWF172" s="928"/>
      <c r="TWG172" s="928"/>
      <c r="TWH172" s="928"/>
      <c r="TWI172" s="928"/>
      <c r="TWJ172" s="928"/>
      <c r="TWK172" s="928"/>
      <c r="TWL172" s="928"/>
      <c r="TWM172" s="928"/>
      <c r="TWN172" s="928"/>
      <c r="TWO172" s="928"/>
      <c r="TWP172" s="928"/>
      <c r="TWQ172" s="928"/>
      <c r="TWR172" s="928"/>
      <c r="TWS172" s="928"/>
      <c r="TWT172" s="928"/>
      <c r="TWU172" s="928"/>
      <c r="TWV172" s="928"/>
      <c r="TWW172" s="928"/>
      <c r="TWX172" s="928"/>
      <c r="TWY172" s="928"/>
      <c r="TWZ172" s="928"/>
      <c r="TXA172" s="928"/>
      <c r="TXB172" s="928"/>
      <c r="TXC172" s="928"/>
      <c r="TXD172" s="928"/>
      <c r="TXE172" s="928"/>
      <c r="TXF172" s="928"/>
      <c r="TXG172" s="928"/>
      <c r="TXH172" s="928"/>
      <c r="TXI172" s="928"/>
      <c r="TXJ172" s="928"/>
      <c r="TXK172" s="928"/>
      <c r="TXL172" s="928"/>
      <c r="TXM172" s="928"/>
      <c r="TXN172" s="928"/>
      <c r="TXO172" s="928"/>
      <c r="TXP172" s="928"/>
      <c r="TXQ172" s="928"/>
      <c r="TXR172" s="928"/>
      <c r="TXS172" s="928"/>
      <c r="TXT172" s="928"/>
      <c r="TXU172" s="928"/>
      <c r="TXV172" s="928"/>
      <c r="TXW172" s="928"/>
      <c r="TXX172" s="928"/>
      <c r="TXY172" s="928"/>
      <c r="TXZ172" s="928"/>
      <c r="TYA172" s="928"/>
      <c r="TYB172" s="928"/>
      <c r="TYC172" s="928"/>
      <c r="TYD172" s="928"/>
      <c r="TYE172" s="928"/>
      <c r="TYF172" s="928"/>
      <c r="TYG172" s="928"/>
      <c r="TYH172" s="928"/>
      <c r="TYI172" s="928"/>
      <c r="TYJ172" s="928"/>
      <c r="TYK172" s="928"/>
      <c r="TYL172" s="928"/>
      <c r="TYM172" s="928"/>
      <c r="TYN172" s="928"/>
      <c r="TYO172" s="928"/>
      <c r="TYP172" s="928"/>
      <c r="TYQ172" s="928"/>
      <c r="TYR172" s="928"/>
      <c r="TYS172" s="928"/>
      <c r="TYT172" s="928"/>
      <c r="TYU172" s="928"/>
      <c r="TYV172" s="928"/>
      <c r="TYW172" s="928"/>
      <c r="TYX172" s="928"/>
      <c r="TYY172" s="928"/>
      <c r="TYZ172" s="928"/>
      <c r="TZA172" s="928"/>
      <c r="TZB172" s="928"/>
      <c r="TZC172" s="928"/>
      <c r="TZD172" s="928"/>
      <c r="TZE172" s="928"/>
      <c r="TZF172" s="928"/>
      <c r="TZG172" s="928"/>
      <c r="TZH172" s="928"/>
      <c r="TZI172" s="928"/>
      <c r="TZJ172" s="928"/>
      <c r="TZK172" s="928"/>
      <c r="TZL172" s="928"/>
      <c r="TZM172" s="928"/>
      <c r="TZN172" s="928"/>
      <c r="TZO172" s="928"/>
      <c r="TZP172" s="928"/>
      <c r="TZQ172" s="928"/>
      <c r="TZR172" s="928"/>
      <c r="TZS172" s="928"/>
      <c r="TZT172" s="928"/>
      <c r="TZU172" s="928"/>
      <c r="TZV172" s="928"/>
      <c r="TZW172" s="928"/>
      <c r="TZX172" s="928"/>
      <c r="TZY172" s="928"/>
      <c r="TZZ172" s="928"/>
      <c r="UAA172" s="928"/>
      <c r="UAB172" s="928"/>
      <c r="UAC172" s="928"/>
      <c r="UAD172" s="928"/>
      <c r="UAE172" s="928"/>
      <c r="UAF172" s="928"/>
      <c r="UAG172" s="928"/>
      <c r="UAH172" s="928"/>
      <c r="UAI172" s="928"/>
      <c r="UAJ172" s="928"/>
      <c r="UAK172" s="928"/>
      <c r="UAL172" s="928"/>
      <c r="UAM172" s="928"/>
      <c r="UAN172" s="928"/>
      <c r="UAO172" s="928"/>
      <c r="UAP172" s="928"/>
      <c r="UAQ172" s="928"/>
      <c r="UAR172" s="928"/>
      <c r="UAS172" s="928"/>
      <c r="UAT172" s="928"/>
      <c r="UAU172" s="928"/>
      <c r="UAV172" s="928"/>
      <c r="UAW172" s="928"/>
      <c r="UAX172" s="928"/>
      <c r="UAY172" s="928"/>
      <c r="UAZ172" s="928"/>
      <c r="UBA172" s="928"/>
      <c r="UBB172" s="928"/>
      <c r="UBC172" s="928"/>
      <c r="UBD172" s="928"/>
      <c r="UBE172" s="928"/>
      <c r="UBF172" s="928"/>
      <c r="UBG172" s="928"/>
      <c r="UBH172" s="928"/>
      <c r="UBI172" s="928"/>
      <c r="UBJ172" s="928"/>
      <c r="UBK172" s="928"/>
      <c r="UBL172" s="928"/>
      <c r="UBM172" s="928"/>
      <c r="UBN172" s="928"/>
      <c r="UBO172" s="928"/>
      <c r="UBP172" s="928"/>
      <c r="UBQ172" s="928"/>
      <c r="UBR172" s="928"/>
      <c r="UBS172" s="928"/>
      <c r="UBT172" s="928"/>
      <c r="UBU172" s="928"/>
      <c r="UBV172" s="928"/>
      <c r="UBW172" s="928"/>
      <c r="UBX172" s="928"/>
      <c r="UBY172" s="928"/>
      <c r="UBZ172" s="928"/>
      <c r="UCA172" s="928"/>
      <c r="UCB172" s="928"/>
      <c r="UCC172" s="928"/>
      <c r="UCD172" s="928"/>
      <c r="UCE172" s="928"/>
      <c r="UCF172" s="928"/>
      <c r="UCG172" s="928"/>
      <c r="UCH172" s="928"/>
      <c r="UCI172" s="928"/>
      <c r="UCJ172" s="928"/>
      <c r="UCK172" s="928"/>
      <c r="UCL172" s="928"/>
      <c r="UCM172" s="928"/>
      <c r="UCN172" s="928"/>
      <c r="UCO172" s="928"/>
      <c r="UCP172" s="928"/>
      <c r="UCQ172" s="928"/>
      <c r="UCR172" s="928"/>
      <c r="UCS172" s="928"/>
      <c r="UCT172" s="928"/>
      <c r="UCU172" s="928"/>
      <c r="UCV172" s="928"/>
      <c r="UCW172" s="928"/>
      <c r="UCX172" s="928"/>
      <c r="UCY172" s="928"/>
      <c r="UCZ172" s="928"/>
      <c r="UDA172" s="928"/>
      <c r="UDB172" s="928"/>
      <c r="UDC172" s="928"/>
      <c r="UDD172" s="928"/>
      <c r="UDE172" s="928"/>
      <c r="UDF172" s="928"/>
      <c r="UDG172" s="928"/>
      <c r="UDH172" s="928"/>
      <c r="UDI172" s="928"/>
      <c r="UDJ172" s="928"/>
      <c r="UDK172" s="928"/>
      <c r="UDL172" s="928"/>
      <c r="UDM172" s="928"/>
      <c r="UDN172" s="928"/>
      <c r="UDO172" s="928"/>
      <c r="UDP172" s="928"/>
      <c r="UDQ172" s="928"/>
      <c r="UDR172" s="928"/>
      <c r="UDS172" s="928"/>
      <c r="UDT172" s="928"/>
      <c r="UDU172" s="928"/>
      <c r="UDV172" s="928"/>
      <c r="UDW172" s="928"/>
      <c r="UDX172" s="928"/>
      <c r="UDY172" s="928"/>
      <c r="UDZ172" s="928"/>
      <c r="UEA172" s="928"/>
      <c r="UEB172" s="928"/>
      <c r="UEC172" s="928"/>
      <c r="UED172" s="928"/>
      <c r="UEE172" s="928"/>
      <c r="UEF172" s="928"/>
      <c r="UEG172" s="928"/>
      <c r="UEH172" s="928"/>
      <c r="UEI172" s="928"/>
      <c r="UEJ172" s="928"/>
      <c r="UEK172" s="928"/>
      <c r="UEL172" s="928"/>
      <c r="UEM172" s="928"/>
      <c r="UEN172" s="928"/>
      <c r="UEO172" s="928"/>
      <c r="UEP172" s="928"/>
      <c r="UEQ172" s="928"/>
      <c r="UER172" s="928"/>
      <c r="UES172" s="928"/>
      <c r="UET172" s="928"/>
      <c r="UEU172" s="928"/>
      <c r="UEV172" s="928"/>
      <c r="UEW172" s="928"/>
      <c r="UEX172" s="928"/>
      <c r="UEY172" s="928"/>
      <c r="UEZ172" s="928"/>
      <c r="UFA172" s="928"/>
      <c r="UFB172" s="928"/>
      <c r="UFC172" s="928"/>
      <c r="UFD172" s="928"/>
      <c r="UFE172" s="928"/>
      <c r="UFF172" s="928"/>
      <c r="UFG172" s="928"/>
      <c r="UFH172" s="928"/>
      <c r="UFI172" s="928"/>
      <c r="UFJ172" s="928"/>
      <c r="UFK172" s="928"/>
      <c r="UFL172" s="928"/>
      <c r="UFM172" s="928"/>
      <c r="UFN172" s="928"/>
      <c r="UFO172" s="928"/>
      <c r="UFP172" s="928"/>
      <c r="UFQ172" s="928"/>
      <c r="UFR172" s="928"/>
      <c r="UFS172" s="928"/>
      <c r="UFT172" s="928"/>
      <c r="UFU172" s="928"/>
      <c r="UFV172" s="928"/>
      <c r="UFW172" s="928"/>
      <c r="UFX172" s="928"/>
      <c r="UFY172" s="928"/>
      <c r="UFZ172" s="928"/>
      <c r="UGA172" s="928"/>
      <c r="UGB172" s="928"/>
      <c r="UGC172" s="928"/>
      <c r="UGD172" s="928"/>
      <c r="UGE172" s="928"/>
      <c r="UGF172" s="928"/>
      <c r="UGG172" s="928"/>
      <c r="UGH172" s="928"/>
      <c r="UGI172" s="928"/>
      <c r="UGJ172" s="928"/>
      <c r="UGK172" s="928"/>
      <c r="UGL172" s="928"/>
      <c r="UGM172" s="928"/>
      <c r="UGN172" s="928"/>
      <c r="UGO172" s="928"/>
      <c r="UGP172" s="928"/>
      <c r="UGQ172" s="928"/>
      <c r="UGR172" s="928"/>
      <c r="UGS172" s="928"/>
      <c r="UGT172" s="928"/>
      <c r="UGU172" s="928"/>
      <c r="UGV172" s="928"/>
      <c r="UGW172" s="928"/>
      <c r="UGX172" s="928"/>
      <c r="UGY172" s="928"/>
      <c r="UGZ172" s="928"/>
      <c r="UHA172" s="928"/>
      <c r="UHB172" s="928"/>
      <c r="UHC172" s="928"/>
      <c r="UHD172" s="928"/>
      <c r="UHE172" s="928"/>
      <c r="UHF172" s="928"/>
      <c r="UHG172" s="928"/>
      <c r="UHH172" s="928"/>
      <c r="UHI172" s="928"/>
      <c r="UHJ172" s="928"/>
      <c r="UHK172" s="928"/>
      <c r="UHL172" s="928"/>
      <c r="UHM172" s="928"/>
      <c r="UHN172" s="928"/>
      <c r="UHO172" s="928"/>
      <c r="UHP172" s="928"/>
      <c r="UHQ172" s="928"/>
      <c r="UHR172" s="928"/>
      <c r="UHS172" s="928"/>
      <c r="UHT172" s="928"/>
      <c r="UHU172" s="928"/>
      <c r="UHV172" s="928"/>
      <c r="UHW172" s="928"/>
      <c r="UHX172" s="928"/>
      <c r="UHY172" s="928"/>
      <c r="UHZ172" s="928"/>
      <c r="UIA172" s="928"/>
      <c r="UIB172" s="928"/>
      <c r="UIC172" s="928"/>
      <c r="UID172" s="928"/>
      <c r="UIE172" s="928"/>
      <c r="UIF172" s="928"/>
      <c r="UIG172" s="928"/>
      <c r="UIH172" s="928"/>
      <c r="UII172" s="928"/>
      <c r="UIJ172" s="928"/>
      <c r="UIK172" s="928"/>
      <c r="UIL172" s="928"/>
      <c r="UIM172" s="928"/>
      <c r="UIN172" s="928"/>
      <c r="UIO172" s="928"/>
      <c r="UIP172" s="928"/>
      <c r="UIQ172" s="928"/>
      <c r="UIR172" s="928"/>
      <c r="UIS172" s="928"/>
      <c r="UIT172" s="928"/>
      <c r="UIU172" s="928"/>
      <c r="UIV172" s="928"/>
      <c r="UIW172" s="928"/>
      <c r="UIX172" s="928"/>
      <c r="UIY172" s="928"/>
      <c r="UIZ172" s="928"/>
      <c r="UJA172" s="928"/>
      <c r="UJB172" s="928"/>
      <c r="UJC172" s="928"/>
      <c r="UJD172" s="928"/>
      <c r="UJE172" s="928"/>
      <c r="UJF172" s="928"/>
      <c r="UJG172" s="928"/>
      <c r="UJH172" s="928"/>
      <c r="UJI172" s="928"/>
      <c r="UJJ172" s="928"/>
      <c r="UJK172" s="928"/>
      <c r="UJL172" s="928"/>
      <c r="UJM172" s="928"/>
      <c r="UJN172" s="928"/>
      <c r="UJO172" s="928"/>
      <c r="UJP172" s="928"/>
      <c r="UJQ172" s="928"/>
      <c r="UJR172" s="928"/>
      <c r="UJS172" s="928"/>
      <c r="UJT172" s="928"/>
      <c r="UJU172" s="928"/>
      <c r="UJV172" s="928"/>
      <c r="UJW172" s="928"/>
      <c r="UJX172" s="928"/>
      <c r="UJY172" s="928"/>
      <c r="UJZ172" s="928"/>
      <c r="UKA172" s="928"/>
      <c r="UKB172" s="928"/>
      <c r="UKC172" s="928"/>
      <c r="UKD172" s="928"/>
      <c r="UKE172" s="928"/>
      <c r="UKF172" s="928"/>
      <c r="UKG172" s="928"/>
      <c r="UKH172" s="928"/>
      <c r="UKI172" s="928"/>
      <c r="UKJ172" s="928"/>
      <c r="UKK172" s="928"/>
      <c r="UKL172" s="928"/>
      <c r="UKM172" s="928"/>
      <c r="UKN172" s="928"/>
      <c r="UKO172" s="928"/>
      <c r="UKP172" s="928"/>
      <c r="UKQ172" s="928"/>
      <c r="UKR172" s="928"/>
      <c r="UKS172" s="928"/>
      <c r="UKT172" s="928"/>
      <c r="UKU172" s="928"/>
      <c r="UKV172" s="928"/>
      <c r="UKW172" s="928"/>
      <c r="UKX172" s="928"/>
      <c r="UKY172" s="928"/>
      <c r="UKZ172" s="928"/>
      <c r="ULA172" s="928"/>
      <c r="ULB172" s="928"/>
      <c r="ULC172" s="928"/>
      <c r="ULD172" s="928"/>
      <c r="ULE172" s="928"/>
      <c r="ULF172" s="928"/>
      <c r="ULG172" s="928"/>
      <c r="ULH172" s="928"/>
      <c r="ULI172" s="928"/>
      <c r="ULJ172" s="928"/>
      <c r="ULK172" s="928"/>
      <c r="ULL172" s="928"/>
      <c r="ULM172" s="928"/>
      <c r="ULN172" s="928"/>
      <c r="ULO172" s="928"/>
      <c r="ULP172" s="928"/>
      <c r="ULQ172" s="928"/>
      <c r="ULR172" s="928"/>
      <c r="ULS172" s="928"/>
      <c r="ULT172" s="928"/>
      <c r="ULU172" s="928"/>
      <c r="ULV172" s="928"/>
      <c r="ULW172" s="928"/>
      <c r="ULX172" s="928"/>
      <c r="ULY172" s="928"/>
      <c r="ULZ172" s="928"/>
      <c r="UMA172" s="928"/>
      <c r="UMB172" s="928"/>
      <c r="UMC172" s="928"/>
      <c r="UMD172" s="928"/>
      <c r="UME172" s="928"/>
      <c r="UMF172" s="928"/>
      <c r="UMG172" s="928"/>
      <c r="UMH172" s="928"/>
      <c r="UMI172" s="928"/>
      <c r="UMJ172" s="928"/>
      <c r="UMK172" s="928"/>
      <c r="UML172" s="928"/>
      <c r="UMM172" s="928"/>
      <c r="UMN172" s="928"/>
      <c r="UMO172" s="928"/>
      <c r="UMP172" s="928"/>
      <c r="UMQ172" s="928"/>
      <c r="UMR172" s="928"/>
      <c r="UMS172" s="928"/>
      <c r="UMT172" s="928"/>
      <c r="UMU172" s="928"/>
      <c r="UMV172" s="928"/>
      <c r="UMW172" s="928"/>
      <c r="UMX172" s="928"/>
      <c r="UMY172" s="928"/>
      <c r="UMZ172" s="928"/>
      <c r="UNA172" s="928"/>
      <c r="UNB172" s="928"/>
      <c r="UNC172" s="928"/>
      <c r="UND172" s="928"/>
      <c r="UNE172" s="928"/>
      <c r="UNF172" s="928"/>
      <c r="UNG172" s="928"/>
      <c r="UNH172" s="928"/>
      <c r="UNI172" s="928"/>
      <c r="UNJ172" s="928"/>
      <c r="UNK172" s="928"/>
      <c r="UNL172" s="928"/>
      <c r="UNM172" s="928"/>
      <c r="UNN172" s="928"/>
      <c r="UNO172" s="928"/>
      <c r="UNP172" s="928"/>
      <c r="UNQ172" s="928"/>
      <c r="UNR172" s="928"/>
      <c r="UNS172" s="928"/>
      <c r="UNT172" s="928"/>
      <c r="UNU172" s="928"/>
      <c r="UNV172" s="928"/>
      <c r="UNW172" s="928"/>
      <c r="UNX172" s="928"/>
      <c r="UNY172" s="928"/>
      <c r="UNZ172" s="928"/>
      <c r="UOA172" s="928"/>
      <c r="UOB172" s="928"/>
      <c r="UOC172" s="928"/>
      <c r="UOD172" s="928"/>
      <c r="UOE172" s="928"/>
      <c r="UOF172" s="928"/>
      <c r="UOG172" s="928"/>
      <c r="UOH172" s="928"/>
      <c r="UOI172" s="928"/>
      <c r="UOJ172" s="928"/>
      <c r="UOK172" s="928"/>
      <c r="UOL172" s="928"/>
      <c r="UOM172" s="928"/>
      <c r="UON172" s="928"/>
      <c r="UOO172" s="928"/>
      <c r="UOP172" s="928"/>
      <c r="UOQ172" s="928"/>
      <c r="UOR172" s="928"/>
      <c r="UOS172" s="928"/>
      <c r="UOT172" s="928"/>
      <c r="UOU172" s="928"/>
      <c r="UOV172" s="928"/>
      <c r="UOW172" s="928"/>
      <c r="UOX172" s="928"/>
      <c r="UOY172" s="928"/>
      <c r="UOZ172" s="928"/>
      <c r="UPA172" s="928"/>
      <c r="UPB172" s="928"/>
      <c r="UPC172" s="928"/>
      <c r="UPD172" s="928"/>
      <c r="UPE172" s="928"/>
      <c r="UPF172" s="928"/>
      <c r="UPG172" s="928"/>
      <c r="UPH172" s="928"/>
      <c r="UPI172" s="928"/>
      <c r="UPJ172" s="928"/>
      <c r="UPK172" s="928"/>
      <c r="UPL172" s="928"/>
      <c r="UPM172" s="928"/>
      <c r="UPN172" s="928"/>
      <c r="UPO172" s="928"/>
      <c r="UPP172" s="928"/>
      <c r="UPQ172" s="928"/>
      <c r="UPR172" s="928"/>
      <c r="UPS172" s="928"/>
      <c r="UPT172" s="928"/>
      <c r="UPU172" s="928"/>
      <c r="UPV172" s="928"/>
      <c r="UPW172" s="928"/>
      <c r="UPX172" s="928"/>
      <c r="UPY172" s="928"/>
      <c r="UPZ172" s="928"/>
      <c r="UQA172" s="928"/>
      <c r="UQB172" s="928"/>
      <c r="UQC172" s="928"/>
      <c r="UQD172" s="928"/>
      <c r="UQE172" s="928"/>
      <c r="UQF172" s="928"/>
      <c r="UQG172" s="928"/>
      <c r="UQH172" s="928"/>
      <c r="UQI172" s="928"/>
      <c r="UQJ172" s="928"/>
      <c r="UQK172" s="928"/>
      <c r="UQL172" s="928"/>
      <c r="UQM172" s="928"/>
      <c r="UQN172" s="928"/>
      <c r="UQO172" s="928"/>
      <c r="UQP172" s="928"/>
      <c r="UQQ172" s="928"/>
      <c r="UQR172" s="928"/>
      <c r="UQS172" s="928"/>
      <c r="UQT172" s="928"/>
      <c r="UQU172" s="928"/>
      <c r="UQV172" s="928"/>
      <c r="UQW172" s="928"/>
      <c r="UQX172" s="928"/>
      <c r="UQY172" s="928"/>
      <c r="UQZ172" s="928"/>
      <c r="URA172" s="928"/>
      <c r="URB172" s="928"/>
      <c r="URC172" s="928"/>
      <c r="URD172" s="928"/>
      <c r="URE172" s="928"/>
      <c r="URF172" s="928"/>
      <c r="URG172" s="928"/>
      <c r="URH172" s="928"/>
      <c r="URI172" s="928"/>
      <c r="URJ172" s="928"/>
      <c r="URK172" s="928"/>
      <c r="URL172" s="928"/>
      <c r="URM172" s="928"/>
      <c r="URN172" s="928"/>
      <c r="URO172" s="928"/>
      <c r="URP172" s="928"/>
      <c r="URQ172" s="928"/>
      <c r="URR172" s="928"/>
      <c r="URS172" s="928"/>
      <c r="URT172" s="928"/>
      <c r="URU172" s="928"/>
      <c r="URV172" s="928"/>
      <c r="URW172" s="928"/>
      <c r="URX172" s="928"/>
      <c r="URY172" s="928"/>
      <c r="URZ172" s="928"/>
      <c r="USA172" s="928"/>
      <c r="USB172" s="928"/>
      <c r="USC172" s="928"/>
      <c r="USD172" s="928"/>
      <c r="USE172" s="928"/>
      <c r="USF172" s="928"/>
      <c r="USG172" s="928"/>
      <c r="USH172" s="928"/>
      <c r="USI172" s="928"/>
      <c r="USJ172" s="928"/>
      <c r="USK172" s="928"/>
      <c r="USL172" s="928"/>
      <c r="USM172" s="928"/>
      <c r="USN172" s="928"/>
      <c r="USO172" s="928"/>
      <c r="USP172" s="928"/>
      <c r="USQ172" s="928"/>
      <c r="USR172" s="928"/>
      <c r="USS172" s="928"/>
      <c r="UST172" s="928"/>
      <c r="USU172" s="928"/>
      <c r="USV172" s="928"/>
      <c r="USW172" s="928"/>
      <c r="USX172" s="928"/>
      <c r="USY172" s="928"/>
      <c r="USZ172" s="928"/>
      <c r="UTA172" s="928"/>
      <c r="UTB172" s="928"/>
      <c r="UTC172" s="928"/>
      <c r="UTD172" s="928"/>
      <c r="UTE172" s="928"/>
      <c r="UTF172" s="928"/>
      <c r="UTG172" s="928"/>
      <c r="UTH172" s="928"/>
      <c r="UTI172" s="928"/>
      <c r="UTJ172" s="928"/>
      <c r="UTK172" s="928"/>
      <c r="UTL172" s="928"/>
      <c r="UTM172" s="928"/>
      <c r="UTN172" s="928"/>
      <c r="UTO172" s="928"/>
      <c r="UTP172" s="928"/>
      <c r="UTQ172" s="928"/>
      <c r="UTR172" s="928"/>
      <c r="UTS172" s="928"/>
      <c r="UTT172" s="928"/>
      <c r="UTU172" s="928"/>
      <c r="UTV172" s="928"/>
      <c r="UTW172" s="928"/>
      <c r="UTX172" s="928"/>
      <c r="UTY172" s="928"/>
      <c r="UTZ172" s="928"/>
      <c r="UUA172" s="928"/>
      <c r="UUB172" s="928"/>
      <c r="UUC172" s="928"/>
      <c r="UUD172" s="928"/>
      <c r="UUE172" s="928"/>
      <c r="UUF172" s="928"/>
      <c r="UUG172" s="928"/>
      <c r="UUH172" s="928"/>
      <c r="UUI172" s="928"/>
      <c r="UUJ172" s="928"/>
      <c r="UUK172" s="928"/>
      <c r="UUL172" s="928"/>
      <c r="UUM172" s="928"/>
      <c r="UUN172" s="928"/>
      <c r="UUO172" s="928"/>
      <c r="UUP172" s="928"/>
      <c r="UUQ172" s="928"/>
      <c r="UUR172" s="928"/>
      <c r="UUS172" s="928"/>
      <c r="UUT172" s="928"/>
      <c r="UUU172" s="928"/>
      <c r="UUV172" s="928"/>
      <c r="UUW172" s="928"/>
      <c r="UUX172" s="928"/>
      <c r="UUY172" s="928"/>
      <c r="UUZ172" s="928"/>
      <c r="UVA172" s="928"/>
      <c r="UVB172" s="928"/>
      <c r="UVC172" s="928"/>
      <c r="UVD172" s="928"/>
      <c r="UVE172" s="928"/>
      <c r="UVF172" s="928"/>
      <c r="UVG172" s="928"/>
      <c r="UVH172" s="928"/>
      <c r="UVI172" s="928"/>
      <c r="UVJ172" s="928"/>
      <c r="UVK172" s="928"/>
      <c r="UVL172" s="928"/>
      <c r="UVM172" s="928"/>
      <c r="UVN172" s="928"/>
      <c r="UVO172" s="928"/>
      <c r="UVP172" s="928"/>
      <c r="UVQ172" s="928"/>
      <c r="UVR172" s="928"/>
      <c r="UVS172" s="928"/>
      <c r="UVT172" s="928"/>
      <c r="UVU172" s="928"/>
      <c r="UVV172" s="928"/>
      <c r="UVW172" s="928"/>
      <c r="UVX172" s="928"/>
      <c r="UVY172" s="928"/>
      <c r="UVZ172" s="928"/>
      <c r="UWA172" s="928"/>
      <c r="UWB172" s="928"/>
      <c r="UWC172" s="928"/>
      <c r="UWD172" s="928"/>
      <c r="UWE172" s="928"/>
      <c r="UWF172" s="928"/>
      <c r="UWG172" s="928"/>
      <c r="UWH172" s="928"/>
      <c r="UWI172" s="928"/>
      <c r="UWJ172" s="928"/>
      <c r="UWK172" s="928"/>
      <c r="UWL172" s="928"/>
      <c r="UWM172" s="928"/>
      <c r="UWN172" s="928"/>
      <c r="UWO172" s="928"/>
      <c r="UWP172" s="928"/>
      <c r="UWQ172" s="928"/>
      <c r="UWR172" s="928"/>
      <c r="UWS172" s="928"/>
      <c r="UWT172" s="928"/>
      <c r="UWU172" s="928"/>
      <c r="UWV172" s="928"/>
      <c r="UWW172" s="928"/>
      <c r="UWX172" s="928"/>
      <c r="UWY172" s="928"/>
      <c r="UWZ172" s="928"/>
      <c r="UXA172" s="928"/>
      <c r="UXB172" s="928"/>
      <c r="UXC172" s="928"/>
      <c r="UXD172" s="928"/>
      <c r="UXE172" s="928"/>
      <c r="UXF172" s="928"/>
      <c r="UXG172" s="928"/>
      <c r="UXH172" s="928"/>
      <c r="UXI172" s="928"/>
      <c r="UXJ172" s="928"/>
      <c r="UXK172" s="928"/>
      <c r="UXL172" s="928"/>
      <c r="UXM172" s="928"/>
      <c r="UXN172" s="928"/>
      <c r="UXO172" s="928"/>
      <c r="UXP172" s="928"/>
      <c r="UXQ172" s="928"/>
      <c r="UXR172" s="928"/>
      <c r="UXS172" s="928"/>
      <c r="UXT172" s="928"/>
      <c r="UXU172" s="928"/>
      <c r="UXV172" s="928"/>
      <c r="UXW172" s="928"/>
      <c r="UXX172" s="928"/>
      <c r="UXY172" s="928"/>
      <c r="UXZ172" s="928"/>
      <c r="UYA172" s="928"/>
      <c r="UYB172" s="928"/>
      <c r="UYC172" s="928"/>
      <c r="UYD172" s="928"/>
      <c r="UYE172" s="928"/>
      <c r="UYF172" s="928"/>
      <c r="UYG172" s="928"/>
      <c r="UYH172" s="928"/>
      <c r="UYI172" s="928"/>
      <c r="UYJ172" s="928"/>
      <c r="UYK172" s="928"/>
      <c r="UYL172" s="928"/>
      <c r="UYM172" s="928"/>
      <c r="UYN172" s="928"/>
      <c r="UYO172" s="928"/>
      <c r="UYP172" s="928"/>
      <c r="UYQ172" s="928"/>
      <c r="UYR172" s="928"/>
      <c r="UYS172" s="928"/>
      <c r="UYT172" s="928"/>
      <c r="UYU172" s="928"/>
      <c r="UYV172" s="928"/>
      <c r="UYW172" s="928"/>
      <c r="UYX172" s="928"/>
      <c r="UYY172" s="928"/>
      <c r="UYZ172" s="928"/>
      <c r="UZA172" s="928"/>
      <c r="UZB172" s="928"/>
      <c r="UZC172" s="928"/>
      <c r="UZD172" s="928"/>
      <c r="UZE172" s="928"/>
      <c r="UZF172" s="928"/>
      <c r="UZG172" s="928"/>
      <c r="UZH172" s="928"/>
      <c r="UZI172" s="928"/>
      <c r="UZJ172" s="928"/>
      <c r="UZK172" s="928"/>
      <c r="UZL172" s="928"/>
      <c r="UZM172" s="928"/>
      <c r="UZN172" s="928"/>
      <c r="UZO172" s="928"/>
      <c r="UZP172" s="928"/>
      <c r="UZQ172" s="928"/>
      <c r="UZR172" s="928"/>
      <c r="UZS172" s="928"/>
      <c r="UZT172" s="928"/>
      <c r="UZU172" s="928"/>
      <c r="UZV172" s="928"/>
      <c r="UZW172" s="928"/>
      <c r="UZX172" s="928"/>
      <c r="UZY172" s="928"/>
      <c r="UZZ172" s="928"/>
      <c r="VAA172" s="928"/>
      <c r="VAB172" s="928"/>
      <c r="VAC172" s="928"/>
      <c r="VAD172" s="928"/>
      <c r="VAE172" s="928"/>
      <c r="VAF172" s="928"/>
      <c r="VAG172" s="928"/>
      <c r="VAH172" s="928"/>
      <c r="VAI172" s="928"/>
      <c r="VAJ172" s="928"/>
      <c r="VAK172" s="928"/>
      <c r="VAL172" s="928"/>
      <c r="VAM172" s="928"/>
      <c r="VAN172" s="928"/>
      <c r="VAO172" s="928"/>
      <c r="VAP172" s="928"/>
      <c r="VAQ172" s="928"/>
      <c r="VAR172" s="928"/>
      <c r="VAS172" s="928"/>
      <c r="VAT172" s="928"/>
      <c r="VAU172" s="928"/>
      <c r="VAV172" s="928"/>
      <c r="VAW172" s="928"/>
      <c r="VAX172" s="928"/>
      <c r="VAY172" s="928"/>
      <c r="VAZ172" s="928"/>
      <c r="VBA172" s="928"/>
      <c r="VBB172" s="928"/>
      <c r="VBC172" s="928"/>
      <c r="VBD172" s="928"/>
      <c r="VBE172" s="928"/>
      <c r="VBF172" s="928"/>
      <c r="VBG172" s="928"/>
      <c r="VBH172" s="928"/>
      <c r="VBI172" s="928"/>
      <c r="VBJ172" s="928"/>
      <c r="VBK172" s="928"/>
      <c r="VBL172" s="928"/>
      <c r="VBM172" s="928"/>
      <c r="VBN172" s="928"/>
      <c r="VBO172" s="928"/>
      <c r="VBP172" s="928"/>
      <c r="VBQ172" s="928"/>
      <c r="VBR172" s="928"/>
      <c r="VBS172" s="928"/>
      <c r="VBT172" s="928"/>
      <c r="VBU172" s="928"/>
      <c r="VBV172" s="928"/>
      <c r="VBW172" s="928"/>
      <c r="VBX172" s="928"/>
      <c r="VBY172" s="928"/>
      <c r="VBZ172" s="928"/>
      <c r="VCA172" s="928"/>
      <c r="VCB172" s="928"/>
      <c r="VCC172" s="928"/>
      <c r="VCD172" s="928"/>
      <c r="VCE172" s="928"/>
      <c r="VCF172" s="928"/>
      <c r="VCG172" s="928"/>
      <c r="VCH172" s="928"/>
      <c r="VCI172" s="928"/>
      <c r="VCJ172" s="928"/>
      <c r="VCK172" s="928"/>
      <c r="VCL172" s="928"/>
      <c r="VCM172" s="928"/>
      <c r="VCN172" s="928"/>
      <c r="VCO172" s="928"/>
      <c r="VCP172" s="928"/>
      <c r="VCQ172" s="928"/>
      <c r="VCR172" s="928"/>
      <c r="VCS172" s="928"/>
      <c r="VCT172" s="928"/>
      <c r="VCU172" s="928"/>
      <c r="VCV172" s="928"/>
      <c r="VCW172" s="928"/>
      <c r="VCX172" s="928"/>
      <c r="VCY172" s="928"/>
      <c r="VCZ172" s="928"/>
      <c r="VDA172" s="928"/>
      <c r="VDB172" s="928"/>
      <c r="VDC172" s="928"/>
      <c r="VDD172" s="928"/>
      <c r="VDE172" s="928"/>
      <c r="VDF172" s="928"/>
      <c r="VDG172" s="928"/>
      <c r="VDH172" s="928"/>
      <c r="VDI172" s="928"/>
      <c r="VDJ172" s="928"/>
      <c r="VDK172" s="928"/>
      <c r="VDL172" s="928"/>
      <c r="VDM172" s="928"/>
      <c r="VDN172" s="928"/>
      <c r="VDO172" s="928"/>
      <c r="VDP172" s="928"/>
      <c r="VDQ172" s="928"/>
      <c r="VDR172" s="928"/>
      <c r="VDS172" s="928"/>
      <c r="VDT172" s="928"/>
      <c r="VDU172" s="928"/>
      <c r="VDV172" s="928"/>
      <c r="VDW172" s="928"/>
      <c r="VDX172" s="928"/>
      <c r="VDY172" s="928"/>
      <c r="VDZ172" s="928"/>
      <c r="VEA172" s="928"/>
      <c r="VEB172" s="928"/>
      <c r="VEC172" s="928"/>
      <c r="VED172" s="928"/>
      <c r="VEE172" s="928"/>
      <c r="VEF172" s="928"/>
      <c r="VEG172" s="928"/>
      <c r="VEH172" s="928"/>
      <c r="VEI172" s="928"/>
      <c r="VEJ172" s="928"/>
      <c r="VEK172" s="928"/>
      <c r="VEL172" s="928"/>
      <c r="VEM172" s="928"/>
      <c r="VEN172" s="928"/>
      <c r="VEO172" s="928"/>
      <c r="VEP172" s="928"/>
      <c r="VEQ172" s="928"/>
      <c r="VER172" s="928"/>
      <c r="VES172" s="928"/>
      <c r="VET172" s="928"/>
      <c r="VEU172" s="928"/>
      <c r="VEV172" s="928"/>
      <c r="VEW172" s="928"/>
      <c r="VEX172" s="928"/>
      <c r="VEY172" s="928"/>
      <c r="VEZ172" s="928"/>
      <c r="VFA172" s="928"/>
      <c r="VFB172" s="928"/>
      <c r="VFC172" s="928"/>
      <c r="VFD172" s="928"/>
      <c r="VFE172" s="928"/>
      <c r="VFF172" s="928"/>
      <c r="VFG172" s="928"/>
      <c r="VFH172" s="928"/>
      <c r="VFI172" s="928"/>
      <c r="VFJ172" s="928"/>
      <c r="VFK172" s="928"/>
      <c r="VFL172" s="928"/>
      <c r="VFM172" s="928"/>
      <c r="VFN172" s="928"/>
      <c r="VFO172" s="928"/>
      <c r="VFP172" s="928"/>
      <c r="VFQ172" s="928"/>
      <c r="VFR172" s="928"/>
      <c r="VFS172" s="928"/>
      <c r="VFT172" s="928"/>
      <c r="VFU172" s="928"/>
      <c r="VFV172" s="928"/>
      <c r="VFW172" s="928"/>
      <c r="VFX172" s="928"/>
      <c r="VFY172" s="928"/>
      <c r="VFZ172" s="928"/>
      <c r="VGA172" s="928"/>
      <c r="VGB172" s="928"/>
      <c r="VGC172" s="928"/>
      <c r="VGD172" s="928"/>
      <c r="VGE172" s="928"/>
      <c r="VGF172" s="928"/>
      <c r="VGG172" s="928"/>
      <c r="VGH172" s="928"/>
      <c r="VGI172" s="928"/>
      <c r="VGJ172" s="928"/>
      <c r="VGK172" s="928"/>
      <c r="VGL172" s="928"/>
      <c r="VGM172" s="928"/>
      <c r="VGN172" s="928"/>
      <c r="VGO172" s="928"/>
      <c r="VGP172" s="928"/>
      <c r="VGQ172" s="928"/>
      <c r="VGR172" s="928"/>
      <c r="VGS172" s="928"/>
      <c r="VGT172" s="928"/>
      <c r="VGU172" s="928"/>
      <c r="VGV172" s="928"/>
      <c r="VGW172" s="928"/>
      <c r="VGX172" s="928"/>
      <c r="VGY172" s="928"/>
      <c r="VGZ172" s="928"/>
      <c r="VHA172" s="928"/>
      <c r="VHB172" s="928"/>
      <c r="VHC172" s="928"/>
      <c r="VHD172" s="928"/>
      <c r="VHE172" s="928"/>
      <c r="VHF172" s="928"/>
      <c r="VHG172" s="928"/>
      <c r="VHH172" s="928"/>
      <c r="VHI172" s="928"/>
      <c r="VHJ172" s="928"/>
      <c r="VHK172" s="928"/>
      <c r="VHL172" s="928"/>
      <c r="VHM172" s="928"/>
      <c r="VHN172" s="928"/>
      <c r="VHO172" s="928"/>
      <c r="VHP172" s="928"/>
      <c r="VHQ172" s="928"/>
      <c r="VHR172" s="928"/>
      <c r="VHS172" s="928"/>
      <c r="VHT172" s="928"/>
      <c r="VHU172" s="928"/>
      <c r="VHV172" s="928"/>
      <c r="VHW172" s="928"/>
      <c r="VHX172" s="928"/>
      <c r="VHY172" s="928"/>
      <c r="VHZ172" s="928"/>
      <c r="VIA172" s="928"/>
      <c r="VIB172" s="928"/>
      <c r="VIC172" s="928"/>
      <c r="VID172" s="928"/>
      <c r="VIE172" s="928"/>
      <c r="VIF172" s="928"/>
      <c r="VIG172" s="928"/>
      <c r="VIH172" s="928"/>
      <c r="VII172" s="928"/>
      <c r="VIJ172" s="928"/>
      <c r="VIK172" s="928"/>
      <c r="VIL172" s="928"/>
      <c r="VIM172" s="928"/>
      <c r="VIN172" s="928"/>
      <c r="VIO172" s="928"/>
      <c r="VIP172" s="928"/>
      <c r="VIQ172" s="928"/>
      <c r="VIR172" s="928"/>
      <c r="VIS172" s="928"/>
      <c r="VIT172" s="928"/>
      <c r="VIU172" s="928"/>
      <c r="VIV172" s="928"/>
      <c r="VIW172" s="928"/>
      <c r="VIX172" s="928"/>
      <c r="VIY172" s="928"/>
      <c r="VIZ172" s="928"/>
      <c r="VJA172" s="928"/>
      <c r="VJB172" s="928"/>
      <c r="VJC172" s="928"/>
      <c r="VJD172" s="928"/>
      <c r="VJE172" s="928"/>
      <c r="VJF172" s="928"/>
      <c r="VJG172" s="928"/>
      <c r="VJH172" s="928"/>
      <c r="VJI172" s="928"/>
      <c r="VJJ172" s="928"/>
      <c r="VJK172" s="928"/>
      <c r="VJL172" s="928"/>
      <c r="VJM172" s="928"/>
      <c r="VJN172" s="928"/>
      <c r="VJO172" s="928"/>
      <c r="VJP172" s="928"/>
      <c r="VJQ172" s="928"/>
      <c r="VJR172" s="928"/>
      <c r="VJS172" s="928"/>
      <c r="VJT172" s="928"/>
      <c r="VJU172" s="928"/>
      <c r="VJV172" s="928"/>
      <c r="VJW172" s="928"/>
      <c r="VJX172" s="928"/>
      <c r="VJY172" s="928"/>
      <c r="VJZ172" s="928"/>
      <c r="VKA172" s="928"/>
      <c r="VKB172" s="928"/>
      <c r="VKC172" s="928"/>
      <c r="VKD172" s="928"/>
      <c r="VKE172" s="928"/>
      <c r="VKF172" s="928"/>
      <c r="VKG172" s="928"/>
      <c r="VKH172" s="928"/>
      <c r="VKI172" s="928"/>
      <c r="VKJ172" s="928"/>
      <c r="VKK172" s="928"/>
      <c r="VKL172" s="928"/>
      <c r="VKM172" s="928"/>
      <c r="VKN172" s="928"/>
      <c r="VKO172" s="928"/>
      <c r="VKP172" s="928"/>
      <c r="VKQ172" s="928"/>
      <c r="VKR172" s="928"/>
      <c r="VKS172" s="928"/>
      <c r="VKT172" s="928"/>
      <c r="VKU172" s="928"/>
      <c r="VKV172" s="928"/>
      <c r="VKW172" s="928"/>
      <c r="VKX172" s="928"/>
      <c r="VKY172" s="928"/>
      <c r="VKZ172" s="928"/>
      <c r="VLA172" s="928"/>
      <c r="VLB172" s="928"/>
      <c r="VLC172" s="928"/>
      <c r="VLD172" s="928"/>
      <c r="VLE172" s="928"/>
      <c r="VLF172" s="928"/>
      <c r="VLG172" s="928"/>
      <c r="VLH172" s="928"/>
      <c r="VLI172" s="928"/>
      <c r="VLJ172" s="928"/>
      <c r="VLK172" s="928"/>
      <c r="VLL172" s="928"/>
      <c r="VLM172" s="928"/>
      <c r="VLN172" s="928"/>
      <c r="VLO172" s="928"/>
      <c r="VLP172" s="928"/>
      <c r="VLQ172" s="928"/>
      <c r="VLR172" s="928"/>
      <c r="VLS172" s="928"/>
      <c r="VLT172" s="928"/>
      <c r="VLU172" s="928"/>
      <c r="VLV172" s="928"/>
      <c r="VLW172" s="928"/>
      <c r="VLX172" s="928"/>
      <c r="VLY172" s="928"/>
      <c r="VLZ172" s="928"/>
      <c r="VMA172" s="928"/>
      <c r="VMB172" s="928"/>
      <c r="VMC172" s="928"/>
      <c r="VMD172" s="928"/>
      <c r="VME172" s="928"/>
      <c r="VMF172" s="928"/>
      <c r="VMG172" s="928"/>
      <c r="VMH172" s="928"/>
      <c r="VMI172" s="928"/>
      <c r="VMJ172" s="928"/>
      <c r="VMK172" s="928"/>
      <c r="VML172" s="928"/>
      <c r="VMM172" s="928"/>
      <c r="VMN172" s="928"/>
      <c r="VMO172" s="928"/>
      <c r="VMP172" s="928"/>
      <c r="VMQ172" s="928"/>
      <c r="VMR172" s="928"/>
      <c r="VMS172" s="928"/>
      <c r="VMT172" s="928"/>
      <c r="VMU172" s="928"/>
      <c r="VMV172" s="928"/>
      <c r="VMW172" s="928"/>
      <c r="VMX172" s="928"/>
      <c r="VMY172" s="928"/>
      <c r="VMZ172" s="928"/>
      <c r="VNA172" s="928"/>
      <c r="VNB172" s="928"/>
      <c r="VNC172" s="928"/>
      <c r="VND172" s="928"/>
      <c r="VNE172" s="928"/>
      <c r="VNF172" s="928"/>
      <c r="VNG172" s="928"/>
      <c r="VNH172" s="928"/>
      <c r="VNI172" s="928"/>
      <c r="VNJ172" s="928"/>
      <c r="VNK172" s="928"/>
      <c r="VNL172" s="928"/>
      <c r="VNM172" s="928"/>
      <c r="VNN172" s="928"/>
      <c r="VNO172" s="928"/>
      <c r="VNP172" s="928"/>
      <c r="VNQ172" s="928"/>
      <c r="VNR172" s="928"/>
      <c r="VNS172" s="928"/>
      <c r="VNT172" s="928"/>
      <c r="VNU172" s="928"/>
      <c r="VNV172" s="928"/>
      <c r="VNW172" s="928"/>
      <c r="VNX172" s="928"/>
      <c r="VNY172" s="928"/>
      <c r="VNZ172" s="928"/>
      <c r="VOA172" s="928"/>
      <c r="VOB172" s="928"/>
      <c r="VOC172" s="928"/>
      <c r="VOD172" s="928"/>
      <c r="VOE172" s="928"/>
      <c r="VOF172" s="928"/>
      <c r="VOG172" s="928"/>
      <c r="VOH172" s="928"/>
      <c r="VOI172" s="928"/>
      <c r="VOJ172" s="928"/>
      <c r="VOK172" s="928"/>
      <c r="VOL172" s="928"/>
      <c r="VOM172" s="928"/>
      <c r="VON172" s="928"/>
      <c r="VOO172" s="928"/>
      <c r="VOP172" s="928"/>
      <c r="VOQ172" s="928"/>
      <c r="VOR172" s="928"/>
      <c r="VOS172" s="928"/>
      <c r="VOT172" s="928"/>
      <c r="VOU172" s="928"/>
      <c r="VOV172" s="928"/>
      <c r="VOW172" s="928"/>
      <c r="VOX172" s="928"/>
      <c r="VOY172" s="928"/>
      <c r="VOZ172" s="928"/>
      <c r="VPA172" s="928"/>
      <c r="VPB172" s="928"/>
      <c r="VPC172" s="928"/>
      <c r="VPD172" s="928"/>
      <c r="VPE172" s="928"/>
      <c r="VPF172" s="928"/>
      <c r="VPG172" s="928"/>
      <c r="VPH172" s="928"/>
      <c r="VPI172" s="928"/>
      <c r="VPJ172" s="928"/>
      <c r="VPK172" s="928"/>
      <c r="VPL172" s="928"/>
      <c r="VPM172" s="928"/>
      <c r="VPN172" s="928"/>
      <c r="VPO172" s="928"/>
      <c r="VPP172" s="928"/>
      <c r="VPQ172" s="928"/>
      <c r="VPR172" s="928"/>
      <c r="VPS172" s="928"/>
      <c r="VPT172" s="928"/>
      <c r="VPU172" s="928"/>
      <c r="VPV172" s="928"/>
      <c r="VPW172" s="928"/>
      <c r="VPX172" s="928"/>
      <c r="VPY172" s="928"/>
      <c r="VPZ172" s="928"/>
      <c r="VQA172" s="928"/>
      <c r="VQB172" s="928"/>
      <c r="VQC172" s="928"/>
      <c r="VQD172" s="928"/>
      <c r="VQE172" s="928"/>
      <c r="VQF172" s="928"/>
      <c r="VQG172" s="928"/>
      <c r="VQH172" s="928"/>
      <c r="VQI172" s="928"/>
      <c r="VQJ172" s="928"/>
      <c r="VQK172" s="928"/>
      <c r="VQL172" s="928"/>
      <c r="VQM172" s="928"/>
      <c r="VQN172" s="928"/>
      <c r="VQO172" s="928"/>
      <c r="VQP172" s="928"/>
      <c r="VQQ172" s="928"/>
      <c r="VQR172" s="928"/>
      <c r="VQS172" s="928"/>
      <c r="VQT172" s="928"/>
      <c r="VQU172" s="928"/>
      <c r="VQV172" s="928"/>
      <c r="VQW172" s="928"/>
      <c r="VQX172" s="928"/>
      <c r="VQY172" s="928"/>
      <c r="VQZ172" s="928"/>
      <c r="VRA172" s="928"/>
      <c r="VRB172" s="928"/>
      <c r="VRC172" s="928"/>
      <c r="VRD172" s="928"/>
      <c r="VRE172" s="928"/>
      <c r="VRF172" s="928"/>
      <c r="VRG172" s="928"/>
      <c r="VRH172" s="928"/>
      <c r="VRI172" s="928"/>
      <c r="VRJ172" s="928"/>
      <c r="VRK172" s="928"/>
      <c r="VRL172" s="928"/>
      <c r="VRM172" s="928"/>
      <c r="VRN172" s="928"/>
      <c r="VRO172" s="928"/>
      <c r="VRP172" s="928"/>
      <c r="VRQ172" s="928"/>
      <c r="VRR172" s="928"/>
      <c r="VRS172" s="928"/>
      <c r="VRT172" s="928"/>
      <c r="VRU172" s="928"/>
      <c r="VRV172" s="928"/>
      <c r="VRW172" s="928"/>
      <c r="VRX172" s="928"/>
      <c r="VRY172" s="928"/>
      <c r="VRZ172" s="928"/>
      <c r="VSA172" s="928"/>
      <c r="VSB172" s="928"/>
      <c r="VSC172" s="928"/>
      <c r="VSD172" s="928"/>
      <c r="VSE172" s="928"/>
      <c r="VSF172" s="928"/>
      <c r="VSG172" s="928"/>
      <c r="VSH172" s="928"/>
      <c r="VSI172" s="928"/>
      <c r="VSJ172" s="928"/>
      <c r="VSK172" s="928"/>
      <c r="VSL172" s="928"/>
      <c r="VSM172" s="928"/>
      <c r="VSN172" s="928"/>
      <c r="VSO172" s="928"/>
      <c r="VSP172" s="928"/>
      <c r="VSQ172" s="928"/>
      <c r="VSR172" s="928"/>
      <c r="VSS172" s="928"/>
      <c r="VST172" s="928"/>
      <c r="VSU172" s="928"/>
      <c r="VSV172" s="928"/>
      <c r="VSW172" s="928"/>
      <c r="VSX172" s="928"/>
      <c r="VSY172" s="928"/>
      <c r="VSZ172" s="928"/>
      <c r="VTA172" s="928"/>
      <c r="VTB172" s="928"/>
      <c r="VTC172" s="928"/>
      <c r="VTD172" s="928"/>
      <c r="VTE172" s="928"/>
      <c r="VTF172" s="928"/>
      <c r="VTG172" s="928"/>
      <c r="VTH172" s="928"/>
      <c r="VTI172" s="928"/>
      <c r="VTJ172" s="928"/>
      <c r="VTK172" s="928"/>
      <c r="VTL172" s="928"/>
      <c r="VTM172" s="928"/>
      <c r="VTN172" s="928"/>
      <c r="VTO172" s="928"/>
      <c r="VTP172" s="928"/>
      <c r="VTQ172" s="928"/>
      <c r="VTR172" s="928"/>
      <c r="VTS172" s="928"/>
      <c r="VTT172" s="928"/>
      <c r="VTU172" s="928"/>
      <c r="VTV172" s="928"/>
      <c r="VTW172" s="928"/>
      <c r="VTX172" s="928"/>
      <c r="VTY172" s="928"/>
      <c r="VTZ172" s="928"/>
      <c r="VUA172" s="928"/>
      <c r="VUB172" s="928"/>
      <c r="VUC172" s="928"/>
      <c r="VUD172" s="928"/>
      <c r="VUE172" s="928"/>
      <c r="VUF172" s="928"/>
      <c r="VUG172" s="928"/>
      <c r="VUH172" s="928"/>
      <c r="VUI172" s="928"/>
      <c r="VUJ172" s="928"/>
      <c r="VUK172" s="928"/>
      <c r="VUL172" s="928"/>
      <c r="VUM172" s="928"/>
      <c r="VUN172" s="928"/>
      <c r="VUO172" s="928"/>
      <c r="VUP172" s="928"/>
      <c r="VUQ172" s="928"/>
      <c r="VUR172" s="928"/>
      <c r="VUS172" s="928"/>
      <c r="VUT172" s="928"/>
      <c r="VUU172" s="928"/>
      <c r="VUV172" s="928"/>
      <c r="VUW172" s="928"/>
      <c r="VUX172" s="928"/>
      <c r="VUY172" s="928"/>
      <c r="VUZ172" s="928"/>
      <c r="VVA172" s="928"/>
      <c r="VVB172" s="928"/>
      <c r="VVC172" s="928"/>
      <c r="VVD172" s="928"/>
      <c r="VVE172" s="928"/>
      <c r="VVF172" s="928"/>
      <c r="VVG172" s="928"/>
      <c r="VVH172" s="928"/>
      <c r="VVI172" s="928"/>
      <c r="VVJ172" s="928"/>
      <c r="VVK172" s="928"/>
      <c r="VVL172" s="928"/>
      <c r="VVM172" s="928"/>
      <c r="VVN172" s="928"/>
      <c r="VVO172" s="928"/>
      <c r="VVP172" s="928"/>
      <c r="VVQ172" s="928"/>
      <c r="VVR172" s="928"/>
      <c r="VVS172" s="928"/>
      <c r="VVT172" s="928"/>
      <c r="VVU172" s="928"/>
      <c r="VVV172" s="928"/>
      <c r="VVW172" s="928"/>
      <c r="VVX172" s="928"/>
      <c r="VVY172" s="928"/>
      <c r="VVZ172" s="928"/>
      <c r="VWA172" s="928"/>
      <c r="VWB172" s="928"/>
      <c r="VWC172" s="928"/>
      <c r="VWD172" s="928"/>
      <c r="VWE172" s="928"/>
      <c r="VWF172" s="928"/>
      <c r="VWG172" s="928"/>
      <c r="VWH172" s="928"/>
      <c r="VWI172" s="928"/>
      <c r="VWJ172" s="928"/>
      <c r="VWK172" s="928"/>
      <c r="VWL172" s="928"/>
      <c r="VWM172" s="928"/>
      <c r="VWN172" s="928"/>
      <c r="VWO172" s="928"/>
      <c r="VWP172" s="928"/>
      <c r="VWQ172" s="928"/>
      <c r="VWR172" s="928"/>
      <c r="VWS172" s="928"/>
      <c r="VWT172" s="928"/>
      <c r="VWU172" s="928"/>
      <c r="VWV172" s="928"/>
      <c r="VWW172" s="928"/>
      <c r="VWX172" s="928"/>
      <c r="VWY172" s="928"/>
      <c r="VWZ172" s="928"/>
      <c r="VXA172" s="928"/>
      <c r="VXB172" s="928"/>
      <c r="VXC172" s="928"/>
      <c r="VXD172" s="928"/>
      <c r="VXE172" s="928"/>
      <c r="VXF172" s="928"/>
      <c r="VXG172" s="928"/>
      <c r="VXH172" s="928"/>
      <c r="VXI172" s="928"/>
      <c r="VXJ172" s="928"/>
      <c r="VXK172" s="928"/>
      <c r="VXL172" s="928"/>
      <c r="VXM172" s="928"/>
      <c r="VXN172" s="928"/>
      <c r="VXO172" s="928"/>
      <c r="VXP172" s="928"/>
      <c r="VXQ172" s="928"/>
      <c r="VXR172" s="928"/>
      <c r="VXS172" s="928"/>
      <c r="VXT172" s="928"/>
      <c r="VXU172" s="928"/>
      <c r="VXV172" s="928"/>
      <c r="VXW172" s="928"/>
      <c r="VXX172" s="928"/>
      <c r="VXY172" s="928"/>
      <c r="VXZ172" s="928"/>
      <c r="VYA172" s="928"/>
      <c r="VYB172" s="928"/>
      <c r="VYC172" s="928"/>
      <c r="VYD172" s="928"/>
      <c r="VYE172" s="928"/>
      <c r="VYF172" s="928"/>
      <c r="VYG172" s="928"/>
      <c r="VYH172" s="928"/>
      <c r="VYI172" s="928"/>
      <c r="VYJ172" s="928"/>
      <c r="VYK172" s="928"/>
      <c r="VYL172" s="928"/>
      <c r="VYM172" s="928"/>
      <c r="VYN172" s="928"/>
      <c r="VYO172" s="928"/>
      <c r="VYP172" s="928"/>
      <c r="VYQ172" s="928"/>
      <c r="VYR172" s="928"/>
      <c r="VYS172" s="928"/>
      <c r="VYT172" s="928"/>
      <c r="VYU172" s="928"/>
      <c r="VYV172" s="928"/>
      <c r="VYW172" s="928"/>
      <c r="VYX172" s="928"/>
      <c r="VYY172" s="928"/>
      <c r="VYZ172" s="928"/>
      <c r="VZA172" s="928"/>
      <c r="VZB172" s="928"/>
      <c r="VZC172" s="928"/>
      <c r="VZD172" s="928"/>
      <c r="VZE172" s="928"/>
      <c r="VZF172" s="928"/>
      <c r="VZG172" s="928"/>
      <c r="VZH172" s="928"/>
      <c r="VZI172" s="928"/>
      <c r="VZJ172" s="928"/>
      <c r="VZK172" s="928"/>
      <c r="VZL172" s="928"/>
      <c r="VZM172" s="928"/>
      <c r="VZN172" s="928"/>
      <c r="VZO172" s="928"/>
      <c r="VZP172" s="928"/>
      <c r="VZQ172" s="928"/>
      <c r="VZR172" s="928"/>
      <c r="VZS172" s="928"/>
      <c r="VZT172" s="928"/>
      <c r="VZU172" s="928"/>
      <c r="VZV172" s="928"/>
      <c r="VZW172" s="928"/>
      <c r="VZX172" s="928"/>
      <c r="VZY172" s="928"/>
      <c r="VZZ172" s="928"/>
      <c r="WAA172" s="928"/>
      <c r="WAB172" s="928"/>
      <c r="WAC172" s="928"/>
      <c r="WAD172" s="928"/>
      <c r="WAE172" s="928"/>
      <c r="WAF172" s="928"/>
      <c r="WAG172" s="928"/>
      <c r="WAH172" s="928"/>
      <c r="WAI172" s="928"/>
      <c r="WAJ172" s="928"/>
      <c r="WAK172" s="928"/>
      <c r="WAL172" s="928"/>
      <c r="WAM172" s="928"/>
      <c r="WAN172" s="928"/>
      <c r="WAO172" s="928"/>
      <c r="WAP172" s="928"/>
      <c r="WAQ172" s="928"/>
      <c r="WAR172" s="928"/>
      <c r="WAS172" s="928"/>
      <c r="WAT172" s="928"/>
      <c r="WAU172" s="928"/>
      <c r="WAV172" s="928"/>
      <c r="WAW172" s="928"/>
      <c r="WAX172" s="928"/>
      <c r="WAY172" s="928"/>
      <c r="WAZ172" s="928"/>
      <c r="WBA172" s="928"/>
      <c r="WBB172" s="928"/>
      <c r="WBC172" s="928"/>
      <c r="WBD172" s="928"/>
      <c r="WBE172" s="928"/>
      <c r="WBF172" s="928"/>
      <c r="WBG172" s="928"/>
      <c r="WBH172" s="928"/>
      <c r="WBI172" s="928"/>
      <c r="WBJ172" s="928"/>
      <c r="WBK172" s="928"/>
      <c r="WBL172" s="928"/>
      <c r="WBM172" s="928"/>
      <c r="WBN172" s="928"/>
      <c r="WBO172" s="928"/>
      <c r="WBP172" s="928"/>
      <c r="WBQ172" s="928"/>
      <c r="WBR172" s="928"/>
      <c r="WBS172" s="928"/>
      <c r="WBT172" s="928"/>
      <c r="WBU172" s="928"/>
      <c r="WBV172" s="928"/>
      <c r="WBW172" s="928"/>
      <c r="WBX172" s="928"/>
      <c r="WBY172" s="928"/>
      <c r="WBZ172" s="928"/>
      <c r="WCA172" s="928"/>
      <c r="WCB172" s="928"/>
      <c r="WCC172" s="928"/>
      <c r="WCD172" s="928"/>
      <c r="WCE172" s="928"/>
      <c r="WCF172" s="928"/>
      <c r="WCG172" s="928"/>
      <c r="WCH172" s="928"/>
      <c r="WCI172" s="928"/>
      <c r="WCJ172" s="928"/>
      <c r="WCK172" s="928"/>
      <c r="WCL172" s="928"/>
      <c r="WCM172" s="928"/>
      <c r="WCN172" s="928"/>
      <c r="WCO172" s="928"/>
      <c r="WCP172" s="928"/>
      <c r="WCQ172" s="928"/>
      <c r="WCR172" s="928"/>
      <c r="WCS172" s="928"/>
      <c r="WCT172" s="928"/>
      <c r="WCU172" s="928"/>
      <c r="WCV172" s="928"/>
      <c r="WCW172" s="928"/>
      <c r="WCX172" s="928"/>
      <c r="WCY172" s="928"/>
      <c r="WCZ172" s="928"/>
      <c r="WDA172" s="928"/>
      <c r="WDB172" s="928"/>
      <c r="WDC172" s="928"/>
      <c r="WDD172" s="928"/>
      <c r="WDE172" s="928"/>
      <c r="WDF172" s="928"/>
      <c r="WDG172" s="928"/>
      <c r="WDH172" s="928"/>
      <c r="WDI172" s="928"/>
      <c r="WDJ172" s="928"/>
      <c r="WDK172" s="928"/>
      <c r="WDL172" s="928"/>
      <c r="WDM172" s="928"/>
      <c r="WDN172" s="928"/>
      <c r="WDO172" s="928"/>
      <c r="WDP172" s="928"/>
      <c r="WDQ172" s="928"/>
      <c r="WDR172" s="928"/>
      <c r="WDS172" s="928"/>
      <c r="WDT172" s="928"/>
      <c r="WDU172" s="928"/>
      <c r="WDV172" s="928"/>
      <c r="WDW172" s="928"/>
      <c r="WDX172" s="928"/>
      <c r="WDY172" s="928"/>
      <c r="WDZ172" s="928"/>
      <c r="WEA172" s="928"/>
      <c r="WEB172" s="928"/>
      <c r="WEC172" s="928"/>
      <c r="WED172" s="928"/>
      <c r="WEE172" s="928"/>
      <c r="WEF172" s="928"/>
      <c r="WEG172" s="928"/>
      <c r="WEH172" s="928"/>
      <c r="WEI172" s="928"/>
      <c r="WEJ172" s="928"/>
      <c r="WEK172" s="928"/>
      <c r="WEL172" s="928"/>
      <c r="WEM172" s="928"/>
      <c r="WEN172" s="928"/>
      <c r="WEO172" s="928"/>
      <c r="WEP172" s="928"/>
      <c r="WEQ172" s="928"/>
      <c r="WER172" s="928"/>
      <c r="WES172" s="928"/>
      <c r="WET172" s="928"/>
      <c r="WEU172" s="928"/>
      <c r="WEV172" s="928"/>
      <c r="WEW172" s="928"/>
      <c r="WEX172" s="928"/>
      <c r="WEY172" s="928"/>
      <c r="WEZ172" s="928"/>
      <c r="WFA172" s="928"/>
      <c r="WFB172" s="928"/>
      <c r="WFC172" s="928"/>
      <c r="WFD172" s="928"/>
      <c r="WFE172" s="928"/>
      <c r="WFF172" s="928"/>
      <c r="WFG172" s="928"/>
      <c r="WFH172" s="928"/>
      <c r="WFI172" s="928"/>
      <c r="WFJ172" s="928"/>
      <c r="WFK172" s="928"/>
      <c r="WFL172" s="928"/>
      <c r="WFM172" s="928"/>
      <c r="WFN172" s="928"/>
      <c r="WFO172" s="928"/>
      <c r="WFP172" s="928"/>
      <c r="WFQ172" s="928"/>
      <c r="WFR172" s="928"/>
      <c r="WFS172" s="928"/>
      <c r="WFT172" s="928"/>
      <c r="WFU172" s="928"/>
      <c r="WFV172" s="928"/>
      <c r="WFW172" s="928"/>
      <c r="WFX172" s="928"/>
      <c r="WFY172" s="928"/>
      <c r="WFZ172" s="928"/>
      <c r="WGA172" s="928"/>
      <c r="WGB172" s="928"/>
      <c r="WGC172" s="928"/>
      <c r="WGD172" s="928"/>
      <c r="WGE172" s="928"/>
      <c r="WGF172" s="928"/>
      <c r="WGG172" s="928"/>
      <c r="WGH172" s="928"/>
      <c r="WGI172" s="928"/>
      <c r="WGJ172" s="928"/>
      <c r="WGK172" s="928"/>
      <c r="WGL172" s="928"/>
      <c r="WGM172" s="928"/>
      <c r="WGN172" s="928"/>
      <c r="WGO172" s="928"/>
      <c r="WGP172" s="928"/>
      <c r="WGQ172" s="928"/>
      <c r="WGR172" s="928"/>
      <c r="WGS172" s="928"/>
      <c r="WGT172" s="928"/>
      <c r="WGU172" s="928"/>
      <c r="WGV172" s="928"/>
      <c r="WGW172" s="928"/>
      <c r="WGX172" s="928"/>
      <c r="WGY172" s="928"/>
      <c r="WGZ172" s="928"/>
      <c r="WHA172" s="928"/>
      <c r="WHB172" s="928"/>
      <c r="WHC172" s="928"/>
      <c r="WHD172" s="928"/>
      <c r="WHE172" s="928"/>
      <c r="WHF172" s="928"/>
      <c r="WHG172" s="928"/>
      <c r="WHH172" s="928"/>
      <c r="WHI172" s="928"/>
      <c r="WHJ172" s="928"/>
      <c r="WHK172" s="928"/>
      <c r="WHL172" s="928"/>
      <c r="WHM172" s="928"/>
      <c r="WHN172" s="928"/>
      <c r="WHO172" s="928"/>
      <c r="WHP172" s="928"/>
      <c r="WHQ172" s="928"/>
      <c r="WHR172" s="928"/>
      <c r="WHS172" s="928"/>
      <c r="WHT172" s="928"/>
      <c r="WHU172" s="928"/>
      <c r="WHV172" s="928"/>
      <c r="WHW172" s="928"/>
      <c r="WHX172" s="928"/>
      <c r="WHY172" s="928"/>
      <c r="WHZ172" s="928"/>
      <c r="WIA172" s="928"/>
      <c r="WIB172" s="928"/>
      <c r="WIC172" s="928"/>
      <c r="WID172" s="928"/>
      <c r="WIE172" s="928"/>
      <c r="WIF172" s="928"/>
      <c r="WIG172" s="928"/>
      <c r="WIH172" s="928"/>
      <c r="WII172" s="928"/>
      <c r="WIJ172" s="928"/>
      <c r="WIK172" s="928"/>
      <c r="WIL172" s="928"/>
      <c r="WIM172" s="928"/>
      <c r="WIN172" s="928"/>
      <c r="WIO172" s="928"/>
      <c r="WIP172" s="928"/>
      <c r="WIQ172" s="928"/>
      <c r="WIR172" s="928"/>
      <c r="WIS172" s="928"/>
      <c r="WIT172" s="928"/>
      <c r="WIU172" s="928"/>
      <c r="WIV172" s="928"/>
      <c r="WIW172" s="928"/>
      <c r="WIX172" s="928"/>
      <c r="WIY172" s="928"/>
      <c r="WIZ172" s="928"/>
      <c r="WJA172" s="928"/>
      <c r="WJB172" s="928"/>
      <c r="WJC172" s="928"/>
      <c r="WJD172" s="928"/>
      <c r="WJE172" s="928"/>
      <c r="WJF172" s="928"/>
      <c r="WJG172" s="928"/>
      <c r="WJH172" s="928"/>
      <c r="WJI172" s="928"/>
      <c r="WJJ172" s="928"/>
      <c r="WJK172" s="928"/>
      <c r="WJL172" s="928"/>
      <c r="WJM172" s="928"/>
      <c r="WJN172" s="928"/>
      <c r="WJO172" s="928"/>
      <c r="WJP172" s="928"/>
      <c r="WJQ172" s="928"/>
      <c r="WJR172" s="928"/>
      <c r="WJS172" s="928"/>
      <c r="WJT172" s="928"/>
      <c r="WJU172" s="928"/>
      <c r="WJV172" s="928"/>
      <c r="WJW172" s="928"/>
      <c r="WJX172" s="928"/>
      <c r="WJY172" s="928"/>
      <c r="WJZ172" s="928"/>
      <c r="WKA172" s="928"/>
      <c r="WKB172" s="928"/>
      <c r="WKC172" s="928"/>
      <c r="WKD172" s="928"/>
      <c r="WKE172" s="928"/>
      <c r="WKF172" s="928"/>
      <c r="WKG172" s="928"/>
      <c r="WKH172" s="928"/>
      <c r="WKI172" s="928"/>
      <c r="WKJ172" s="928"/>
      <c r="WKK172" s="928"/>
      <c r="WKL172" s="928"/>
      <c r="WKM172" s="928"/>
      <c r="WKN172" s="928"/>
      <c r="WKO172" s="928"/>
      <c r="WKP172" s="928"/>
      <c r="WKQ172" s="928"/>
      <c r="WKR172" s="928"/>
      <c r="WKS172" s="928"/>
      <c r="WKT172" s="928"/>
      <c r="WKU172" s="928"/>
      <c r="WKV172" s="928"/>
      <c r="WKW172" s="928"/>
      <c r="WKX172" s="928"/>
      <c r="WKY172" s="928"/>
      <c r="WKZ172" s="928"/>
      <c r="WLA172" s="928"/>
      <c r="WLB172" s="928"/>
      <c r="WLC172" s="928"/>
      <c r="WLD172" s="928"/>
      <c r="WLE172" s="928"/>
      <c r="WLF172" s="928"/>
      <c r="WLG172" s="928"/>
      <c r="WLH172" s="928"/>
      <c r="WLI172" s="928"/>
      <c r="WLJ172" s="928"/>
      <c r="WLK172" s="928"/>
      <c r="WLL172" s="928"/>
      <c r="WLM172" s="928"/>
      <c r="WLN172" s="928"/>
      <c r="WLO172" s="928"/>
      <c r="WLP172" s="928"/>
      <c r="WLQ172" s="928"/>
      <c r="WLR172" s="928"/>
      <c r="WLS172" s="928"/>
      <c r="WLT172" s="928"/>
      <c r="WLU172" s="928"/>
      <c r="WLV172" s="928"/>
      <c r="WLW172" s="928"/>
      <c r="WLX172" s="928"/>
      <c r="WLY172" s="928"/>
      <c r="WLZ172" s="928"/>
      <c r="WMA172" s="928"/>
      <c r="WMB172" s="928"/>
      <c r="WMC172" s="928"/>
      <c r="WMD172" s="928"/>
      <c r="WME172" s="928"/>
      <c r="WMF172" s="928"/>
      <c r="WMG172" s="928"/>
      <c r="WMH172" s="928"/>
      <c r="WMI172" s="928"/>
      <c r="WMJ172" s="928"/>
      <c r="WMK172" s="928"/>
      <c r="WML172" s="928"/>
      <c r="WMM172" s="928"/>
      <c r="WMN172" s="928"/>
      <c r="WMO172" s="928"/>
      <c r="WMP172" s="928"/>
      <c r="WMQ172" s="928"/>
      <c r="WMR172" s="928"/>
      <c r="WMS172" s="928"/>
      <c r="WMT172" s="928"/>
      <c r="WMU172" s="928"/>
      <c r="WMV172" s="928"/>
      <c r="WMW172" s="928"/>
      <c r="WMX172" s="928"/>
      <c r="WMY172" s="928"/>
      <c r="WMZ172" s="928"/>
      <c r="WNA172" s="928"/>
      <c r="WNB172" s="928"/>
      <c r="WNC172" s="928"/>
      <c r="WND172" s="928"/>
      <c r="WNE172" s="928"/>
      <c r="WNF172" s="928"/>
      <c r="WNG172" s="928"/>
      <c r="WNH172" s="928"/>
      <c r="WNI172" s="928"/>
      <c r="WNJ172" s="928"/>
      <c r="WNK172" s="928"/>
      <c r="WNL172" s="928"/>
      <c r="WNM172" s="928"/>
      <c r="WNN172" s="928"/>
      <c r="WNO172" s="928"/>
      <c r="WNP172" s="928"/>
      <c r="WNQ172" s="928"/>
      <c r="WNR172" s="928"/>
      <c r="WNS172" s="928"/>
      <c r="WNT172" s="928"/>
      <c r="WNU172" s="928"/>
      <c r="WNV172" s="928"/>
      <c r="WNW172" s="928"/>
      <c r="WNX172" s="928"/>
      <c r="WNY172" s="928"/>
      <c r="WNZ172" s="928"/>
      <c r="WOA172" s="928"/>
      <c r="WOB172" s="928"/>
      <c r="WOC172" s="928"/>
      <c r="WOD172" s="928"/>
      <c r="WOE172" s="928"/>
      <c r="WOF172" s="928"/>
      <c r="WOG172" s="928"/>
      <c r="WOH172" s="928"/>
      <c r="WOI172" s="928"/>
      <c r="WOJ172" s="928"/>
      <c r="WOK172" s="928"/>
      <c r="WOL172" s="928"/>
      <c r="WOM172" s="928"/>
      <c r="WON172" s="928"/>
      <c r="WOO172" s="928"/>
      <c r="WOP172" s="928"/>
      <c r="WOQ172" s="928"/>
      <c r="WOR172" s="928"/>
      <c r="WOS172" s="928"/>
      <c r="WOT172" s="928"/>
      <c r="WOU172" s="928"/>
      <c r="WOV172" s="928"/>
      <c r="WOW172" s="928"/>
      <c r="WOX172" s="928"/>
      <c r="WOY172" s="928"/>
      <c r="WOZ172" s="928"/>
      <c r="WPA172" s="928"/>
      <c r="WPB172" s="928"/>
      <c r="WPC172" s="928"/>
      <c r="WPD172" s="928"/>
      <c r="WPE172" s="928"/>
      <c r="WPF172" s="928"/>
      <c r="WPG172" s="928"/>
      <c r="WPH172" s="928"/>
      <c r="WPI172" s="928"/>
      <c r="WPJ172" s="928"/>
      <c r="WPK172" s="928"/>
      <c r="WPL172" s="928"/>
      <c r="WPM172" s="928"/>
      <c r="WPN172" s="928"/>
      <c r="WPO172" s="928"/>
      <c r="WPP172" s="928"/>
      <c r="WPQ172" s="928"/>
      <c r="WPR172" s="928"/>
      <c r="WPS172" s="928"/>
      <c r="WPT172" s="928"/>
      <c r="WPU172" s="928"/>
      <c r="WPV172" s="928"/>
      <c r="WPW172" s="928"/>
      <c r="WPX172" s="928"/>
      <c r="WPY172" s="928"/>
      <c r="WPZ172" s="928"/>
      <c r="WQA172" s="928"/>
      <c r="WQB172" s="928"/>
      <c r="WQC172" s="928"/>
      <c r="WQD172" s="928"/>
      <c r="WQE172" s="928"/>
      <c r="WQF172" s="928"/>
      <c r="WQG172" s="928"/>
      <c r="WQH172" s="928"/>
      <c r="WQI172" s="928"/>
      <c r="WQJ172" s="928"/>
      <c r="WQK172" s="928"/>
      <c r="WQL172" s="928"/>
      <c r="WQM172" s="928"/>
      <c r="WQN172" s="928"/>
      <c r="WQO172" s="928"/>
      <c r="WQP172" s="928"/>
      <c r="WQQ172" s="928"/>
      <c r="WQR172" s="928"/>
      <c r="WQS172" s="928"/>
      <c r="WQT172" s="928"/>
      <c r="WQU172" s="928"/>
      <c r="WQV172" s="928"/>
      <c r="WQW172" s="928"/>
      <c r="WQX172" s="928"/>
      <c r="WQY172" s="928"/>
      <c r="WQZ172" s="928"/>
      <c r="WRA172" s="928"/>
      <c r="WRB172" s="928"/>
      <c r="WRC172" s="928"/>
      <c r="WRD172" s="928"/>
      <c r="WRE172" s="928"/>
      <c r="WRF172" s="928"/>
      <c r="WRG172" s="928"/>
      <c r="WRH172" s="928"/>
      <c r="WRI172" s="928"/>
      <c r="WRJ172" s="928"/>
      <c r="WRK172" s="928"/>
      <c r="WRL172" s="928"/>
      <c r="WRM172" s="928"/>
      <c r="WRN172" s="928"/>
      <c r="WRO172" s="928"/>
      <c r="WRP172" s="928"/>
      <c r="WRQ172" s="928"/>
      <c r="WRR172" s="928"/>
      <c r="WRS172" s="928"/>
      <c r="WRT172" s="928"/>
      <c r="WRU172" s="928"/>
      <c r="WRV172" s="928"/>
      <c r="WRW172" s="928"/>
      <c r="WRX172" s="928"/>
      <c r="WRY172" s="928"/>
      <c r="WRZ172" s="928"/>
      <c r="WSA172" s="928"/>
      <c r="WSB172" s="928"/>
      <c r="WSC172" s="928"/>
      <c r="WSD172" s="928"/>
      <c r="WSE172" s="928"/>
      <c r="WSF172" s="928"/>
      <c r="WSG172" s="928"/>
      <c r="WSH172" s="928"/>
      <c r="WSI172" s="928"/>
      <c r="WSJ172" s="928"/>
      <c r="WSK172" s="928"/>
      <c r="WSL172" s="928"/>
      <c r="WSM172" s="928"/>
      <c r="WSN172" s="928"/>
      <c r="WSO172" s="928"/>
      <c r="WSP172" s="928"/>
      <c r="WSQ172" s="928"/>
      <c r="WSR172" s="928"/>
      <c r="WSS172" s="928"/>
      <c r="WST172" s="928"/>
      <c r="WSU172" s="928"/>
      <c r="WSV172" s="928"/>
      <c r="WSW172" s="928"/>
      <c r="WSX172" s="928"/>
      <c r="WSY172" s="928"/>
      <c r="WSZ172" s="928"/>
      <c r="WTA172" s="928"/>
      <c r="WTB172" s="928"/>
      <c r="WTC172" s="928"/>
      <c r="WTD172" s="928"/>
      <c r="WTE172" s="928"/>
      <c r="WTF172" s="928"/>
      <c r="WTG172" s="928"/>
      <c r="WTH172" s="928"/>
      <c r="WTI172" s="928"/>
      <c r="WTJ172" s="928"/>
      <c r="WTK172" s="928"/>
      <c r="WTL172" s="928"/>
      <c r="WTM172" s="928"/>
      <c r="WTN172" s="928"/>
      <c r="WTO172" s="928"/>
      <c r="WTP172" s="928"/>
      <c r="WTQ172" s="928"/>
      <c r="WTR172" s="928"/>
      <c r="WTS172" s="928"/>
      <c r="WTT172" s="928"/>
      <c r="WTU172" s="928"/>
      <c r="WTV172" s="928"/>
      <c r="WTW172" s="928"/>
      <c r="WTX172" s="928"/>
      <c r="WTY172" s="928"/>
      <c r="WTZ172" s="928"/>
      <c r="WUA172" s="928"/>
      <c r="WUB172" s="928"/>
      <c r="WUC172" s="928"/>
      <c r="WUD172" s="928"/>
      <c r="WUE172" s="928"/>
      <c r="WUF172" s="928"/>
      <c r="WUG172" s="928"/>
      <c r="WUH172" s="928"/>
      <c r="WUI172" s="928"/>
      <c r="WUJ172" s="928"/>
      <c r="WUK172" s="928"/>
      <c r="WUL172" s="928"/>
      <c r="WUM172" s="928"/>
      <c r="WUN172" s="928"/>
      <c r="WUO172" s="928"/>
      <c r="WUP172" s="928"/>
      <c r="WUQ172" s="928"/>
      <c r="WUR172" s="928"/>
      <c r="WUS172" s="928"/>
      <c r="WUT172" s="928"/>
      <c r="WUU172" s="928"/>
      <c r="WUV172" s="928"/>
      <c r="WUW172" s="928"/>
      <c r="WUX172" s="928"/>
      <c r="WUY172" s="928"/>
      <c r="WUZ172" s="928"/>
      <c r="WVA172" s="928"/>
      <c r="WVB172" s="928"/>
      <c r="WVC172" s="928"/>
      <c r="WVD172" s="928"/>
      <c r="WVE172" s="928"/>
      <c r="WVF172" s="928"/>
      <c r="WVG172" s="928"/>
      <c r="WVH172" s="928"/>
      <c r="WVI172" s="928"/>
      <c r="WVJ172" s="928"/>
      <c r="WVK172" s="928"/>
      <c r="WVL172" s="928"/>
      <c r="WVM172" s="928"/>
      <c r="WVN172" s="928"/>
      <c r="WVO172" s="928"/>
      <c r="WVP172" s="928"/>
      <c r="WVQ172" s="928"/>
      <c r="WVR172" s="928"/>
      <c r="WVS172" s="928"/>
      <c r="WVT172" s="928"/>
      <c r="WVU172" s="928"/>
      <c r="WVV172" s="928"/>
      <c r="WVW172" s="928"/>
      <c r="WVX172" s="928"/>
      <c r="WVY172" s="928"/>
      <c r="WVZ172" s="928"/>
      <c r="WWA172" s="928"/>
      <c r="WWB172" s="928"/>
      <c r="WWC172" s="928"/>
      <c r="WWD172" s="928"/>
      <c r="WWE172" s="928"/>
      <c r="WWF172" s="928"/>
      <c r="WWG172" s="928"/>
      <c r="WWH172" s="928"/>
      <c r="WWI172" s="928"/>
      <c r="WWJ172" s="928"/>
      <c r="WWK172" s="928"/>
      <c r="WWL172" s="928"/>
      <c r="WWM172" s="928"/>
      <c r="WWN172" s="928"/>
      <c r="WWO172" s="928"/>
      <c r="WWP172" s="928"/>
      <c r="WWQ172" s="928"/>
      <c r="WWR172" s="928"/>
      <c r="WWS172" s="928"/>
      <c r="WWT172" s="928"/>
      <c r="WWU172" s="928"/>
      <c r="WWV172" s="928"/>
      <c r="WWW172" s="928"/>
      <c r="WWX172" s="928"/>
      <c r="WWY172" s="928"/>
      <c r="WWZ172" s="928"/>
      <c r="WXA172" s="928"/>
      <c r="WXB172" s="928"/>
      <c r="WXC172" s="928"/>
      <c r="WXD172" s="928"/>
      <c r="WXE172" s="928"/>
      <c r="WXF172" s="928"/>
      <c r="WXG172" s="928"/>
      <c r="WXH172" s="928"/>
      <c r="WXI172" s="928"/>
      <c r="WXJ172" s="928"/>
      <c r="WXK172" s="928"/>
      <c r="WXL172" s="928"/>
      <c r="WXM172" s="928"/>
      <c r="WXN172" s="928"/>
      <c r="WXO172" s="928"/>
      <c r="WXP172" s="928"/>
      <c r="WXQ172" s="928"/>
      <c r="WXR172" s="928"/>
      <c r="WXS172" s="928"/>
      <c r="WXT172" s="928"/>
      <c r="WXU172" s="928"/>
      <c r="WXV172" s="928"/>
      <c r="WXW172" s="928"/>
      <c r="WXX172" s="928"/>
      <c r="WXY172" s="928"/>
      <c r="WXZ172" s="928"/>
      <c r="WYA172" s="928"/>
      <c r="WYB172" s="928"/>
      <c r="WYC172" s="928"/>
      <c r="WYD172" s="928"/>
      <c r="WYE172" s="928"/>
      <c r="WYF172" s="928"/>
      <c r="WYG172" s="928"/>
      <c r="WYH172" s="928"/>
      <c r="WYI172" s="928"/>
      <c r="WYJ172" s="928"/>
      <c r="WYK172" s="928"/>
      <c r="WYL172" s="928"/>
      <c r="WYM172" s="928"/>
      <c r="WYN172" s="928"/>
      <c r="WYO172" s="928"/>
      <c r="WYP172" s="928"/>
      <c r="WYQ172" s="928"/>
      <c r="WYR172" s="928"/>
      <c r="WYS172" s="928"/>
      <c r="WYT172" s="928"/>
      <c r="WYU172" s="928"/>
      <c r="WYV172" s="928"/>
      <c r="WYW172" s="928"/>
      <c r="WYX172" s="928"/>
      <c r="WYY172" s="928"/>
      <c r="WYZ172" s="928"/>
      <c r="WZA172" s="928"/>
      <c r="WZB172" s="928"/>
      <c r="WZC172" s="928"/>
      <c r="WZD172" s="928"/>
      <c r="WZE172" s="928"/>
      <c r="WZF172" s="928"/>
      <c r="WZG172" s="928"/>
      <c r="WZH172" s="928"/>
      <c r="WZI172" s="928"/>
      <c r="WZJ172" s="928"/>
      <c r="WZK172" s="928"/>
      <c r="WZL172" s="928"/>
      <c r="WZM172" s="928"/>
      <c r="WZN172" s="928"/>
      <c r="WZO172" s="928"/>
      <c r="WZP172" s="928"/>
      <c r="WZQ172" s="928"/>
      <c r="WZR172" s="928"/>
      <c r="WZS172" s="928"/>
      <c r="WZT172" s="928"/>
      <c r="WZU172" s="928"/>
      <c r="WZV172" s="928"/>
      <c r="WZW172" s="928"/>
      <c r="WZX172" s="928"/>
      <c r="WZY172" s="928"/>
      <c r="WZZ172" s="928"/>
      <c r="XAA172" s="928"/>
      <c r="XAB172" s="928"/>
      <c r="XAC172" s="928"/>
      <c r="XAD172" s="928"/>
      <c r="XAE172" s="928"/>
      <c r="XAF172" s="928"/>
      <c r="XAG172" s="928"/>
      <c r="XAH172" s="928"/>
      <c r="XAI172" s="928"/>
      <c r="XAJ172" s="928"/>
      <c r="XAK172" s="928"/>
      <c r="XAL172" s="928"/>
      <c r="XAM172" s="928"/>
      <c r="XAN172" s="928"/>
      <c r="XAO172" s="928"/>
      <c r="XAP172" s="928"/>
      <c r="XAQ172" s="928"/>
      <c r="XAR172" s="928"/>
      <c r="XAS172" s="928"/>
      <c r="XAT172" s="928"/>
      <c r="XAU172" s="928"/>
      <c r="XAV172" s="928"/>
      <c r="XAW172" s="928"/>
      <c r="XAX172" s="928"/>
      <c r="XAY172" s="928"/>
      <c r="XAZ172" s="928"/>
      <c r="XBA172" s="928"/>
      <c r="XBB172" s="928"/>
      <c r="XBC172" s="928"/>
      <c r="XBD172" s="928"/>
      <c r="XBE172" s="928"/>
      <c r="XBF172" s="928"/>
      <c r="XBG172" s="928"/>
      <c r="XBH172" s="928"/>
      <c r="XBI172" s="928"/>
      <c r="XBJ172" s="928"/>
      <c r="XBK172" s="928"/>
      <c r="XBL172" s="928"/>
      <c r="XBM172" s="928"/>
      <c r="XBN172" s="928"/>
      <c r="XBO172" s="928"/>
      <c r="XBP172" s="928"/>
      <c r="XBQ172" s="928"/>
      <c r="XBR172" s="928"/>
      <c r="XBS172" s="928"/>
      <c r="XBT172" s="928"/>
      <c r="XBU172" s="928"/>
      <c r="XBV172" s="928"/>
      <c r="XBW172" s="928"/>
      <c r="XBX172" s="928"/>
      <c r="XBY172" s="928"/>
      <c r="XBZ172" s="928"/>
      <c r="XCA172" s="928"/>
      <c r="XCB172" s="928"/>
      <c r="XCC172" s="928"/>
      <c r="XCD172" s="928"/>
      <c r="XCE172" s="928"/>
      <c r="XCF172" s="928"/>
      <c r="XCG172" s="928"/>
      <c r="XCH172" s="928"/>
      <c r="XCI172" s="928"/>
      <c r="XCJ172" s="928"/>
      <c r="XCK172" s="928"/>
      <c r="XCL172" s="928"/>
      <c r="XCM172" s="928"/>
      <c r="XCN172" s="928"/>
      <c r="XCO172" s="928"/>
      <c r="XCP172" s="928"/>
      <c r="XCQ172" s="928"/>
      <c r="XCR172" s="928"/>
      <c r="XCS172" s="928"/>
      <c r="XCT172" s="928"/>
      <c r="XCU172" s="928"/>
      <c r="XCV172" s="928"/>
      <c r="XCW172" s="928"/>
      <c r="XCX172" s="928"/>
      <c r="XCY172" s="928"/>
      <c r="XCZ172" s="928"/>
      <c r="XDA172" s="928"/>
      <c r="XDB172" s="928"/>
      <c r="XDC172" s="928"/>
      <c r="XDD172" s="928"/>
      <c r="XDE172" s="928"/>
      <c r="XDF172" s="928"/>
      <c r="XDG172" s="928"/>
      <c r="XDH172" s="928"/>
      <c r="XDI172" s="928"/>
      <c r="XDJ172" s="928"/>
      <c r="XDK172" s="928"/>
      <c r="XDL172" s="928"/>
      <c r="XDM172" s="928"/>
      <c r="XDN172" s="928"/>
      <c r="XDO172" s="928"/>
      <c r="XDP172" s="928"/>
      <c r="XDQ172" s="928"/>
      <c r="XDR172" s="928"/>
      <c r="XDS172" s="928"/>
      <c r="XDT172" s="928"/>
      <c r="XDU172" s="928"/>
      <c r="XDV172" s="928"/>
      <c r="XDW172" s="928"/>
      <c r="XDX172" s="928"/>
      <c r="XDY172" s="928"/>
      <c r="XDZ172" s="928"/>
      <c r="XEA172" s="928"/>
      <c r="XEB172" s="928"/>
      <c r="XEC172" s="928"/>
      <c r="XED172" s="928"/>
      <c r="XEE172" s="928"/>
      <c r="XEF172" s="928"/>
      <c r="XEG172" s="928"/>
      <c r="XEH172" s="928"/>
      <c r="XEI172" s="928"/>
      <c r="XEJ172" s="928"/>
      <c r="XEK172" s="928"/>
      <c r="XEL172" s="928"/>
      <c r="XEM172" s="928"/>
      <c r="XEN172" s="928"/>
      <c r="XEO172" s="928"/>
      <c r="XEP172" s="928"/>
      <c r="XEQ172" s="928"/>
      <c r="XER172" s="928"/>
      <c r="XES172" s="928"/>
      <c r="XET172" s="928"/>
      <c r="XEU172" s="928"/>
      <c r="XEV172" s="928"/>
      <c r="XEW172" s="928"/>
      <c r="XEX172" s="928"/>
      <c r="XEY172" s="928"/>
      <c r="XEZ172" s="928"/>
      <c r="XFA172" s="928"/>
      <c r="XFB172" s="928"/>
      <c r="XFC172" s="928"/>
      <c r="XFD172" s="928"/>
    </row>
    <row r="173" spans="1:16384" s="19" customFormat="1" ht="11.25" customHeight="1" outlineLevel="1" x14ac:dyDescent="0.2">
      <c r="A173" s="408"/>
      <c r="B173" s="1693" t="s">
        <v>761</v>
      </c>
      <c r="C173" s="1584"/>
      <c r="D173" s="1585"/>
      <c r="E173" s="1585"/>
      <c r="F173" s="1586"/>
      <c r="G173" s="1579"/>
      <c r="H173" s="1587"/>
      <c r="I173" s="1584"/>
      <c r="J173" s="1585"/>
      <c r="K173" s="1585"/>
      <c r="L173" s="1586"/>
      <c r="M173" s="1579"/>
      <c r="N173" s="1587"/>
      <c r="O173" s="1584"/>
      <c r="P173" s="1585"/>
      <c r="Q173" s="1585"/>
      <c r="R173" s="1586"/>
      <c r="S173" s="1579"/>
      <c r="T173" s="1587"/>
      <c r="U173" s="1584"/>
      <c r="V173" s="1585"/>
      <c r="W173" s="1585"/>
      <c r="X173" s="1586"/>
      <c r="Y173" s="1579"/>
      <c r="Z173" s="1587"/>
      <c r="AA173" s="1584"/>
      <c r="AB173" s="1585"/>
      <c r="AC173" s="1585"/>
      <c r="AD173" s="1586"/>
      <c r="AE173" s="1579"/>
      <c r="AF173" s="1580"/>
      <c r="AG173" s="1584"/>
      <c r="AH173" s="1585"/>
      <c r="AI173" s="1585"/>
      <c r="AJ173" s="1586"/>
      <c r="AK173" s="1579"/>
      <c r="AL173" s="1580"/>
      <c r="AM173" s="1584"/>
      <c r="AN173" s="1585"/>
      <c r="AO173" s="1585"/>
      <c r="AP173" s="1586"/>
      <c r="AQ173" s="1579"/>
      <c r="AR173" s="1580"/>
      <c r="AS173" s="1584"/>
      <c r="AT173" s="1585"/>
      <c r="AU173" s="1585"/>
      <c r="AV173" s="1586"/>
      <c r="AW173" s="1588"/>
      <c r="AX173" s="1580"/>
      <c r="AY173" s="1591"/>
      <c r="AZ173" s="1585"/>
      <c r="BA173" s="1585"/>
      <c r="BB173" s="1585"/>
      <c r="BC173" s="1579"/>
      <c r="BD173" s="1580"/>
      <c r="BE173" s="1694">
        <f>+BE172/BE156</f>
        <v>9.0164528440095773E-2</v>
      </c>
      <c r="BF173" s="1695">
        <f>+BF172/BF156</f>
        <v>0.10667162848926978</v>
      </c>
      <c r="BG173" s="1695">
        <f>+BG172/BG156</f>
        <v>0.12208067940552017</v>
      </c>
      <c r="BH173" s="1585"/>
      <c r="BI173" s="1579"/>
      <c r="BJ173" s="1580"/>
      <c r="BK173" s="1694">
        <f>+BK172/BK156</f>
        <v>0.19804759697761928</v>
      </c>
      <c r="BL173" s="1695">
        <f>+BL172/BL156</f>
        <v>0.17489386312457517</v>
      </c>
      <c r="BM173" s="1695">
        <f>+BM172/BM156</f>
        <v>0.19792182088075211</v>
      </c>
      <c r="BN173" s="1596"/>
      <c r="BO173" s="1579"/>
      <c r="BP173" s="1580"/>
      <c r="BQ173" s="1591"/>
      <c r="BR173" s="1592"/>
      <c r="BS173" s="1592"/>
      <c r="BT173" s="1596"/>
      <c r="BU173" s="1579"/>
      <c r="BV173" s="1580"/>
      <c r="BW173" s="1591"/>
      <c r="BX173" s="1592"/>
      <c r="BY173" s="1592"/>
      <c r="BZ173" s="1596"/>
      <c r="CA173" s="1579"/>
      <c r="CB173" s="1580"/>
      <c r="CC173" s="1591"/>
      <c r="CD173" s="1592"/>
      <c r="CE173" s="1592"/>
      <c r="CF173" s="1596"/>
      <c r="CG173" s="1579"/>
      <c r="CH173" s="1580"/>
      <c r="CI173" s="1591"/>
      <c r="CJ173" s="1592"/>
      <c r="CK173" s="1592"/>
      <c r="CL173" s="1596"/>
      <c r="CM173" s="1579"/>
    </row>
    <row r="174" spans="1:16384" s="928" customFormat="1" ht="11.25" customHeight="1" outlineLevel="1" x14ac:dyDescent="0.2">
      <c r="A174" s="27"/>
      <c r="B174" s="1561" t="s">
        <v>759</v>
      </c>
      <c r="C174" s="1566"/>
      <c r="D174" s="1567"/>
      <c r="E174" s="1567"/>
      <c r="F174" s="1567"/>
      <c r="G174" s="1568"/>
      <c r="H174" s="1567"/>
      <c r="I174" s="1566"/>
      <c r="J174" s="1567"/>
      <c r="K174" s="1567"/>
      <c r="L174" s="1567"/>
      <c r="M174" s="1568"/>
      <c r="N174" s="1569"/>
      <c r="O174" s="1566"/>
      <c r="P174" s="1567"/>
      <c r="Q174" s="1567"/>
      <c r="R174" s="1567"/>
      <c r="S174" s="1568"/>
      <c r="T174" s="1570"/>
      <c r="U174" s="1566"/>
      <c r="V174" s="1567"/>
      <c r="W174" s="1567"/>
      <c r="X174" s="1567"/>
      <c r="Y174" s="1568"/>
      <c r="Z174" s="1570"/>
      <c r="AA174" s="1566"/>
      <c r="AB174" s="1567"/>
      <c r="AC174" s="1567"/>
      <c r="AD174" s="1567"/>
      <c r="AE174" s="1568"/>
      <c r="AF174" s="1571"/>
      <c r="AG174" s="1566"/>
      <c r="AH174" s="1567"/>
      <c r="AI174" s="1567"/>
      <c r="AJ174" s="1567"/>
      <c r="AK174" s="1568"/>
      <c r="AL174" s="1571"/>
      <c r="AM174" s="1566"/>
      <c r="AN174" s="1567"/>
      <c r="AO174" s="1567"/>
      <c r="AP174" s="1567"/>
      <c r="AQ174" s="1568"/>
      <c r="AR174" s="1571"/>
      <c r="AS174" s="1572"/>
      <c r="AT174" s="1573"/>
      <c r="AU174" s="1573"/>
      <c r="AV174" s="1573"/>
      <c r="AW174" s="1568"/>
      <c r="AX174" s="1571"/>
      <c r="AY174" s="1664"/>
      <c r="AZ174" s="1689"/>
      <c r="BA174" s="1689"/>
      <c r="BB174" s="1689"/>
      <c r="BC174" s="1667"/>
      <c r="BD174" s="1690"/>
      <c r="BE174" s="1691">
        <f>(571.7-BG174)*(BE175/SUM(BE175:BF175))</f>
        <v>148.95369669613251</v>
      </c>
      <c r="BF174" s="1689">
        <f>(571.7-BG174)*(BF175/SUM(BE175:BF175))</f>
        <v>204.22913930490384</v>
      </c>
      <c r="BG174" s="1692">
        <f>SUM(BG168:BG172)</f>
        <v>218.51716399896375</v>
      </c>
      <c r="BH174" s="1689"/>
      <c r="BI174" s="1667"/>
      <c r="BJ174" s="1690"/>
      <c r="BK174" s="1691">
        <f>(638.7-BM174)*(BK175/SUM(BK175:BL175))</f>
        <v>166.47234629583096</v>
      </c>
      <c r="BL174" s="1689">
        <f>(638.7-BM174)*(BL175/SUM(BK175:BL175))</f>
        <v>219.59942368030164</v>
      </c>
      <c r="BM174" s="1692">
        <f>SUM(BM168:BM172)</f>
        <v>252.62823002386745</v>
      </c>
      <c r="BN174" s="1689"/>
      <c r="BO174" s="1667"/>
      <c r="BP174" s="1690"/>
      <c r="BQ174" s="1664"/>
      <c r="BR174" s="1689"/>
      <c r="BS174" s="1689"/>
      <c r="BT174" s="1573"/>
      <c r="BU174" s="1568"/>
      <c r="BV174" s="1574"/>
      <c r="BW174" s="1572"/>
      <c r="BX174" s="1573"/>
      <c r="BY174" s="1573"/>
      <c r="BZ174" s="1573"/>
      <c r="CA174" s="1568"/>
      <c r="CB174" s="1574"/>
      <c r="CC174" s="1572"/>
      <c r="CD174" s="1573"/>
      <c r="CE174" s="1573"/>
      <c r="CF174" s="1573"/>
      <c r="CG174" s="1568"/>
      <c r="CH174" s="1574"/>
      <c r="CI174" s="1572"/>
      <c r="CJ174" s="1573"/>
      <c r="CK174" s="1573"/>
      <c r="CL174" s="1573"/>
      <c r="CM174" s="1568"/>
      <c r="CN174" s="62"/>
      <c r="CQ174"/>
      <c r="CR174"/>
      <c r="CS174"/>
      <c r="CT174"/>
      <c r="CU174"/>
      <c r="CV174"/>
    </row>
    <row r="175" spans="1:16384" s="928" customFormat="1" ht="11.25" customHeight="1" outlineLevel="1" x14ac:dyDescent="0.2">
      <c r="A175" s="27"/>
      <c r="B175" s="1702" t="s">
        <v>760</v>
      </c>
      <c r="C175" s="1577"/>
      <c r="D175" s="1590"/>
      <c r="E175" s="1590"/>
      <c r="F175" s="1590"/>
      <c r="G175" s="1579"/>
      <c r="H175" s="1580"/>
      <c r="I175" s="1577"/>
      <c r="J175" s="1590"/>
      <c r="K175" s="1590"/>
      <c r="L175" s="1590"/>
      <c r="M175" s="1579"/>
      <c r="N175" s="1580"/>
      <c r="O175" s="1577"/>
      <c r="P175" s="1590"/>
      <c r="Q175" s="1590"/>
      <c r="R175" s="1590"/>
      <c r="S175" s="1579"/>
      <c r="T175" s="1580"/>
      <c r="U175" s="1577"/>
      <c r="V175" s="1590"/>
      <c r="W175" s="1590"/>
      <c r="X175" s="1590"/>
      <c r="Y175" s="1579"/>
      <c r="Z175" s="1580"/>
      <c r="AA175" s="1577"/>
      <c r="AB175" s="1589"/>
      <c r="AC175" s="1589"/>
      <c r="AD175" s="1589"/>
      <c r="AE175" s="1579"/>
      <c r="AF175" s="1580"/>
      <c r="AG175" s="1582"/>
      <c r="AH175" s="1589"/>
      <c r="AI175" s="1589"/>
      <c r="AJ175" s="1589"/>
      <c r="AK175" s="1579"/>
      <c r="AL175" s="1580"/>
      <c r="AM175" s="1582"/>
      <c r="AN175" s="1589"/>
      <c r="AO175" s="1589"/>
      <c r="AP175" s="1589"/>
      <c r="AQ175" s="1579"/>
      <c r="AR175" s="1580"/>
      <c r="AS175" s="1582"/>
      <c r="AT175" s="1589"/>
      <c r="AU175" s="1589"/>
      <c r="AV175" s="1589"/>
      <c r="AW175" s="1579"/>
      <c r="AX175" s="1580"/>
      <c r="AY175" s="1577"/>
      <c r="AZ175" s="1590"/>
      <c r="BA175" s="1590"/>
      <c r="BB175" s="1590"/>
      <c r="BC175" s="1579"/>
      <c r="BD175" s="1580"/>
      <c r="BE175" s="1703">
        <f>'P&amp;L'!BE18</f>
        <v>169.5</v>
      </c>
      <c r="BF175" s="1704">
        <f>'P&amp;L'!BF18</f>
        <v>232.4</v>
      </c>
      <c r="BG175" s="1704">
        <f>'P&amp;L'!BG18</f>
        <v>195.8</v>
      </c>
      <c r="BH175" s="1705"/>
      <c r="BI175" s="1706"/>
      <c r="BJ175" s="1707"/>
      <c r="BK175" s="1703">
        <f>'P&amp;L'!BK18</f>
        <v>147.9</v>
      </c>
      <c r="BL175" s="1704">
        <f>'P&amp;L'!BL18</f>
        <v>195.1</v>
      </c>
      <c r="BM175" s="1704">
        <f>'P&amp;L'!BM18</f>
        <v>211.70000000000002</v>
      </c>
      <c r="BN175" s="1590"/>
      <c r="BO175" s="1579"/>
      <c r="BP175" s="1580"/>
      <c r="BQ175" s="1577"/>
      <c r="BR175" s="1590"/>
      <c r="BS175" s="1590"/>
      <c r="BT175" s="1590"/>
      <c r="BU175" s="1579"/>
      <c r="BV175" s="1580"/>
      <c r="BW175" s="1577"/>
      <c r="BX175" s="1590"/>
      <c r="BY175" s="1590"/>
      <c r="BZ175" s="1590"/>
      <c r="CA175" s="1579"/>
      <c r="CB175" s="1580"/>
      <c r="CC175" s="1577"/>
      <c r="CD175" s="1590"/>
      <c r="CE175" s="1590"/>
      <c r="CF175" s="1590"/>
      <c r="CG175" s="1579"/>
      <c r="CH175" s="1580"/>
      <c r="CI175" s="1577"/>
      <c r="CJ175" s="1590"/>
      <c r="CK175" s="1590"/>
      <c r="CL175" s="1590"/>
      <c r="CM175" s="1579"/>
      <c r="CN175" s="62"/>
      <c r="CQ175"/>
      <c r="CR175"/>
      <c r="CS175"/>
      <c r="CT175"/>
      <c r="CU175"/>
      <c r="CV175"/>
    </row>
    <row r="176" spans="1:16384" s="1016" customFormat="1" ht="11.25" customHeight="1" outlineLevel="1" x14ac:dyDescent="0.2">
      <c r="A176" s="27"/>
      <c r="B176" s="1576"/>
      <c r="C176" s="1584"/>
      <c r="D176" s="1597"/>
      <c r="E176" s="1597"/>
      <c r="F176" s="1586"/>
      <c r="G176" s="1579"/>
      <c r="H176" s="1587"/>
      <c r="I176" s="1584"/>
      <c r="J176" s="1597"/>
      <c r="K176" s="1597"/>
      <c r="L176" s="1586"/>
      <c r="M176" s="1579"/>
      <c r="N176" s="1587"/>
      <c r="O176" s="1584"/>
      <c r="P176" s="1597"/>
      <c r="Q176" s="1597"/>
      <c r="R176" s="1586"/>
      <c r="S176" s="1579"/>
      <c r="T176" s="1587"/>
      <c r="U176" s="1584"/>
      <c r="V176" s="1597"/>
      <c r="W176" s="1597"/>
      <c r="X176" s="1586"/>
      <c r="Y176" s="1579"/>
      <c r="Z176" s="1587"/>
      <c r="AA176" s="1584"/>
      <c r="AB176" s="1597"/>
      <c r="AC176" s="1597"/>
      <c r="AD176" s="1586"/>
      <c r="AE176" s="1579"/>
      <c r="AF176" s="1580"/>
      <c r="AG176" s="1584"/>
      <c r="AH176" s="1597"/>
      <c r="AI176" s="1597"/>
      <c r="AJ176" s="1586"/>
      <c r="AK176" s="1579"/>
      <c r="AL176" s="1580"/>
      <c r="AM176" s="1584"/>
      <c r="AN176" s="1597"/>
      <c r="AO176" s="1597"/>
      <c r="AP176" s="1586"/>
      <c r="AQ176" s="1579"/>
      <c r="AR176" s="1580"/>
      <c r="AS176" s="1584"/>
      <c r="AT176" s="1597"/>
      <c r="AU176" s="1597"/>
      <c r="AV176" s="1586"/>
      <c r="AW176" s="1588"/>
      <c r="AX176" s="1580"/>
      <c r="AY176" s="1584"/>
      <c r="AZ176" s="1597"/>
      <c r="BA176" s="1597"/>
      <c r="BB176" s="1597"/>
      <c r="BC176" s="1579"/>
      <c r="BD176" s="1580"/>
      <c r="BE176" s="1708">
        <f>+BE174-BE175</f>
        <v>-20.546303303867489</v>
      </c>
      <c r="BF176" s="1709">
        <f t="shared" ref="BF176:BG176" si="331">+BF174-BF175</f>
        <v>-28.170860695096167</v>
      </c>
      <c r="BG176" s="1709">
        <f t="shared" si="331"/>
        <v>22.717163998963741</v>
      </c>
      <c r="BH176" s="1590"/>
      <c r="BI176" s="1579"/>
      <c r="BJ176" s="1580"/>
      <c r="BK176" s="1708">
        <f>+BK174-BK175</f>
        <v>18.572346295830954</v>
      </c>
      <c r="BL176" s="1709">
        <f t="shared" ref="BL176" si="332">+BL174-BL175</f>
        <v>24.499423680301646</v>
      </c>
      <c r="BM176" s="1709">
        <f t="shared" ref="BM176" si="333">+BM174-BM175</f>
        <v>40.928230023867428</v>
      </c>
      <c r="BN176" s="1598"/>
      <c r="BO176" s="1579"/>
      <c r="BP176" s="1580"/>
      <c r="BQ176" s="1591"/>
      <c r="BR176" s="1598"/>
      <c r="BS176" s="1598"/>
      <c r="BT176" s="1598"/>
      <c r="BU176" s="1579"/>
      <c r="BV176" s="1580"/>
      <c r="BW176" s="1591"/>
      <c r="BX176" s="1598"/>
      <c r="BY176" s="1598"/>
      <c r="BZ176" s="1598"/>
      <c r="CA176" s="1579"/>
      <c r="CB176" s="1580"/>
      <c r="CC176" s="1591"/>
      <c r="CD176" s="1598"/>
      <c r="CE176" s="1598"/>
      <c r="CF176" s="1598"/>
      <c r="CG176" s="1579"/>
      <c r="CH176" s="1580"/>
      <c r="CI176" s="1591"/>
      <c r="CJ176" s="1598"/>
      <c r="CK176" s="1598"/>
      <c r="CL176" s="1598"/>
      <c r="CM176" s="1579"/>
      <c r="CN176" s="62"/>
      <c r="CQ176"/>
      <c r="CR176"/>
      <c r="CS176"/>
      <c r="CT176"/>
      <c r="CU176"/>
      <c r="CV176"/>
    </row>
    <row r="177" spans="1:16384" s="928" customFormat="1" ht="11.25" customHeight="1" x14ac:dyDescent="0.2">
      <c r="A177" s="27"/>
      <c r="B177" s="1553"/>
      <c r="C177" s="407"/>
      <c r="D177" s="407"/>
      <c r="E177" s="407"/>
      <c r="F177" s="407"/>
      <c r="G177" s="407"/>
      <c r="H177" s="254"/>
      <c r="I177" s="407"/>
      <c r="J177" s="407"/>
      <c r="K177" s="407"/>
      <c r="L177" s="407"/>
      <c r="M177" s="407"/>
      <c r="N177" s="254"/>
      <c r="O177" s="407"/>
      <c r="P177" s="407"/>
      <c r="Q177" s="407"/>
      <c r="R177" s="407"/>
      <c r="S177" s="407"/>
      <c r="T177" s="254"/>
      <c r="U177" s="407"/>
      <c r="V177" s="407"/>
      <c r="W177" s="407"/>
      <c r="X177" s="407"/>
      <c r="Y177" s="407"/>
      <c r="Z177" s="254"/>
      <c r="AA177" s="407"/>
      <c r="AB177" s="407"/>
      <c r="AC177" s="407"/>
      <c r="AD177" s="407"/>
      <c r="AE177" s="407"/>
      <c r="AF177" s="254"/>
      <c r="AG177" s="407"/>
      <c r="AH177" s="407"/>
      <c r="AI177" s="407"/>
      <c r="AJ177" s="407"/>
      <c r="AK177" s="407"/>
      <c r="AL177" s="254"/>
      <c r="AM177" s="407"/>
      <c r="AN177" s="407"/>
      <c r="AO177" s="407"/>
      <c r="AP177" s="407"/>
      <c r="AQ177" s="407"/>
      <c r="AR177" s="254"/>
      <c r="AS177" s="407"/>
      <c r="AT177" s="407"/>
      <c r="AU177" s="407"/>
      <c r="AV177" s="407"/>
      <c r="AW177" s="407"/>
      <c r="AX177" s="254"/>
      <c r="AY177" s="407"/>
      <c r="AZ177" s="407"/>
      <c r="BA177" s="407"/>
      <c r="BB177" s="407"/>
      <c r="BC177" s="407"/>
      <c r="BD177" s="254"/>
      <c r="BE177" s="407"/>
      <c r="BF177" s="407"/>
      <c r="BG177" s="407"/>
      <c r="BH177" s="407"/>
      <c r="BI177" s="407"/>
      <c r="BJ177" s="254"/>
      <c r="BK177" s="407"/>
      <c r="BL177" s="407"/>
      <c r="BM177" s="407"/>
      <c r="BN177" s="1256"/>
      <c r="BO177" s="407"/>
      <c r="BP177" s="254"/>
      <c r="BQ177" s="1256"/>
      <c r="BR177" s="1256"/>
      <c r="BS177" s="1256"/>
      <c r="BT177" s="1256"/>
      <c r="BU177" s="407"/>
      <c r="BV177" s="254"/>
      <c r="BW177" s="1256"/>
      <c r="BX177" s="1256"/>
      <c r="BY177" s="1256"/>
      <c r="BZ177" s="1256"/>
      <c r="CA177" s="407"/>
      <c r="CB177" s="254"/>
      <c r="CC177" s="1256"/>
      <c r="CD177" s="1256"/>
      <c r="CE177" s="1256"/>
      <c r="CF177" s="1256"/>
      <c r="CG177" s="407"/>
      <c r="CH177" s="254"/>
      <c r="CI177" s="1256"/>
      <c r="CJ177" s="1256"/>
      <c r="CK177" s="1256"/>
      <c r="CL177" s="1256"/>
      <c r="CM177" s="407"/>
      <c r="CN177" s="62"/>
      <c r="CQ177"/>
      <c r="CR177"/>
      <c r="CS177"/>
      <c r="CT177"/>
      <c r="CU177"/>
      <c r="CV177"/>
    </row>
    <row r="178" spans="1:16384" s="928" customFormat="1" ht="11.25" customHeight="1" x14ac:dyDescent="0.2">
      <c r="A178" s="27"/>
      <c r="B178" s="1553"/>
      <c r="C178" s="798"/>
      <c r="D178" s="798"/>
      <c r="E178" s="798"/>
      <c r="F178" s="1026"/>
      <c r="G178" s="798"/>
      <c r="H178" s="254"/>
      <c r="I178" s="798"/>
      <c r="J178" s="798"/>
      <c r="K178" s="798"/>
      <c r="L178" s="1026"/>
      <c r="M178" s="798"/>
      <c r="N178" s="254"/>
      <c r="O178" s="798"/>
      <c r="P178" s="798"/>
      <c r="Q178" s="798"/>
      <c r="R178" s="1026"/>
      <c r="S178" s="798"/>
      <c r="T178" s="254"/>
      <c r="U178" s="798"/>
      <c r="V178" s="798"/>
      <c r="W178" s="798"/>
      <c r="X178" s="1026"/>
      <c r="Y178" s="798"/>
      <c r="Z178" s="254"/>
      <c r="AA178" s="798"/>
      <c r="AB178" s="798"/>
      <c r="AC178" s="798"/>
      <c r="AD178" s="1026"/>
      <c r="AE178" s="798"/>
      <c r="AF178" s="254"/>
      <c r="AG178" s="798"/>
      <c r="AH178" s="798"/>
      <c r="AI178" s="798"/>
      <c r="AJ178" s="1026"/>
      <c r="AK178" s="798"/>
      <c r="AL178" s="254"/>
      <c r="AM178" s="798"/>
      <c r="AN178" s="798"/>
      <c r="AO178" s="798"/>
      <c r="AP178" s="1026"/>
      <c r="AQ178" s="798"/>
      <c r="AR178" s="254"/>
      <c r="AS178" s="798"/>
      <c r="AT178" s="798"/>
      <c r="AU178" s="798"/>
      <c r="AV178" s="1026"/>
      <c r="AW178" s="798"/>
      <c r="AX178" s="254"/>
      <c r="AY178" s="798"/>
      <c r="AZ178" s="798"/>
      <c r="BA178" s="798"/>
      <c r="BB178" s="798"/>
      <c r="BC178" s="407"/>
      <c r="BD178" s="254"/>
      <c r="BE178" s="407"/>
      <c r="BF178" s="407"/>
      <c r="BG178" s="407"/>
      <c r="BH178" s="407"/>
      <c r="BI178" s="407"/>
      <c r="BJ178" s="254"/>
      <c r="BK178" s="407"/>
      <c r="BL178" s="407"/>
      <c r="BM178" s="798"/>
      <c r="BN178" s="1256"/>
      <c r="BO178" s="407"/>
      <c r="BP178" s="254"/>
      <c r="BQ178" s="1256"/>
      <c r="BR178" s="1256"/>
      <c r="BS178" s="1256"/>
      <c r="BT178" s="1256"/>
      <c r="BU178" s="407"/>
      <c r="BV178" s="254"/>
      <c r="BW178" s="1256"/>
      <c r="BX178" s="1256"/>
      <c r="BY178" s="1256"/>
      <c r="BZ178" s="1256"/>
      <c r="CA178" s="407"/>
      <c r="CB178" s="254"/>
      <c r="CC178" s="1256"/>
      <c r="CD178" s="1256"/>
      <c r="CE178" s="1256"/>
      <c r="CF178" s="1256"/>
      <c r="CG178" s="407"/>
      <c r="CH178" s="254"/>
      <c r="CI178" s="1256"/>
      <c r="CJ178" s="1256"/>
      <c r="CK178" s="1256"/>
      <c r="CL178" s="1256"/>
      <c r="CM178" s="407"/>
      <c r="CN178" s="62"/>
      <c r="CQ178"/>
      <c r="CR178"/>
      <c r="CS178"/>
      <c r="CT178"/>
      <c r="CU178"/>
      <c r="CV178"/>
    </row>
    <row r="179" spans="1:16384" s="928" customFormat="1" ht="11.25" customHeight="1" x14ac:dyDescent="0.2">
      <c r="A179" s="27"/>
      <c r="B179" s="1551"/>
      <c r="C179" s="407"/>
      <c r="D179" s="407"/>
      <c r="E179" s="407"/>
      <c r="F179" s="407"/>
      <c r="G179" s="407"/>
      <c r="H179" s="1552"/>
      <c r="I179" s="407"/>
      <c r="J179" s="407"/>
      <c r="K179" s="407"/>
      <c r="L179" s="407"/>
      <c r="M179" s="407"/>
      <c r="N179" s="1552"/>
      <c r="O179" s="407"/>
      <c r="P179" s="407"/>
      <c r="Q179" s="407"/>
      <c r="R179" s="407"/>
      <c r="S179" s="407"/>
      <c r="T179" s="1552"/>
      <c r="U179" s="407"/>
      <c r="V179" s="407"/>
      <c r="W179" s="407"/>
      <c r="X179" s="407"/>
      <c r="Y179" s="407"/>
      <c r="Z179" s="1552"/>
      <c r="AA179" s="407"/>
      <c r="AB179" s="407"/>
      <c r="AC179" s="407"/>
      <c r="AD179" s="407"/>
      <c r="AE179" s="407"/>
      <c r="AF179" s="1552"/>
      <c r="AG179" s="407"/>
      <c r="AH179" s="407"/>
      <c r="AI179" s="407"/>
      <c r="AJ179" s="407"/>
      <c r="AK179" s="407"/>
      <c r="AL179" s="1552"/>
      <c r="AM179" s="407"/>
      <c r="AN179" s="407"/>
      <c r="AO179" s="407"/>
      <c r="AP179" s="407"/>
      <c r="AQ179" s="407"/>
      <c r="AR179" s="1552"/>
      <c r="AS179" s="407"/>
      <c r="AT179" s="407"/>
      <c r="AU179" s="407"/>
      <c r="AV179" s="407"/>
      <c r="AW179" s="407"/>
      <c r="AX179" s="1552"/>
      <c r="AY179" s="407"/>
      <c r="AZ179" s="407"/>
      <c r="BA179" s="407"/>
      <c r="BB179" s="407"/>
      <c r="BC179" s="407"/>
      <c r="BD179" s="1552"/>
      <c r="BE179" s="407"/>
      <c r="BF179" s="407"/>
      <c r="BG179" s="407"/>
      <c r="BH179" s="407"/>
      <c r="BI179" s="407"/>
      <c r="BJ179" s="1552"/>
      <c r="BK179" s="407"/>
      <c r="BL179" s="407"/>
      <c r="BM179" s="407"/>
      <c r="BN179" s="407"/>
      <c r="BO179" s="407"/>
      <c r="BP179" s="1552"/>
      <c r="BQ179" s="407"/>
      <c r="BR179" s="407"/>
      <c r="BS179" s="407"/>
      <c r="BT179" s="407"/>
      <c r="BU179" s="407"/>
      <c r="BV179" s="1552"/>
      <c r="BW179" s="407"/>
      <c r="BX179" s="407"/>
      <c r="BY179" s="407"/>
      <c r="BZ179" s="407"/>
      <c r="CA179" s="407"/>
      <c r="CB179" s="1552"/>
      <c r="CC179" s="407"/>
      <c r="CD179" s="407"/>
      <c r="CE179" s="407"/>
      <c r="CF179" s="407"/>
      <c r="CG179" s="407"/>
      <c r="CH179" s="1552"/>
      <c r="CI179" s="407"/>
      <c r="CJ179" s="407"/>
      <c r="CK179" s="407"/>
      <c r="CL179" s="407"/>
      <c r="CM179" s="407"/>
      <c r="CN179" s="62"/>
      <c r="CQ179"/>
      <c r="CR179"/>
      <c r="CS179"/>
      <c r="CT179"/>
      <c r="CU179"/>
      <c r="CV179"/>
    </row>
    <row r="180" spans="1:16384" s="1016" customFormat="1" ht="11.25" customHeight="1" x14ac:dyDescent="0.2">
      <c r="A180" s="27"/>
      <c r="B180" s="1553"/>
      <c r="C180" s="798"/>
      <c r="D180" s="798"/>
      <c r="E180" s="798"/>
      <c r="F180" s="1026"/>
      <c r="G180" s="407"/>
      <c r="H180" s="723"/>
      <c r="I180" s="798"/>
      <c r="J180" s="798"/>
      <c r="K180" s="798"/>
      <c r="L180" s="1026"/>
      <c r="M180" s="407"/>
      <c r="N180" s="723"/>
      <c r="O180" s="798"/>
      <c r="P180" s="798"/>
      <c r="Q180" s="798"/>
      <c r="R180" s="1026"/>
      <c r="S180" s="407"/>
      <c r="T180" s="723"/>
      <c r="U180" s="798"/>
      <c r="V180" s="798"/>
      <c r="W180" s="798"/>
      <c r="X180" s="1026"/>
      <c r="Y180" s="407"/>
      <c r="Z180" s="723"/>
      <c r="AA180" s="798"/>
      <c r="AB180" s="798"/>
      <c r="AC180" s="798"/>
      <c r="AD180" s="1026"/>
      <c r="AE180" s="407"/>
      <c r="AF180" s="254"/>
      <c r="AG180" s="798"/>
      <c r="AH180" s="798"/>
      <c r="AI180" s="798"/>
      <c r="AJ180" s="1026"/>
      <c r="AK180" s="407"/>
      <c r="AL180" s="254"/>
      <c r="AM180" s="798"/>
      <c r="AN180" s="798"/>
      <c r="AO180" s="798"/>
      <c r="AP180" s="1026"/>
      <c r="AQ180" s="407"/>
      <c r="AR180" s="254"/>
      <c r="AS180" s="798"/>
      <c r="AT180" s="798"/>
      <c r="AU180" s="798"/>
      <c r="AV180" s="1026"/>
      <c r="AW180" s="798"/>
      <c r="AX180" s="254"/>
      <c r="AY180" s="798"/>
      <c r="AZ180" s="798"/>
      <c r="BA180" s="798"/>
      <c r="BB180" s="1026"/>
      <c r="BC180" s="407"/>
      <c r="BD180" s="254"/>
      <c r="BE180" s="1256"/>
      <c r="BF180" s="798"/>
      <c r="BG180" s="798"/>
      <c r="BH180" s="798"/>
      <c r="BI180" s="407"/>
      <c r="BJ180" s="254"/>
      <c r="BK180" s="1256"/>
      <c r="BL180" s="798"/>
      <c r="BM180" s="798"/>
      <c r="BN180" s="1041"/>
      <c r="BO180" s="407"/>
      <c r="BP180" s="254"/>
      <c r="BQ180" s="1256"/>
      <c r="BR180" s="1256"/>
      <c r="BS180" s="1256"/>
      <c r="BT180" s="1041"/>
      <c r="BU180" s="407"/>
      <c r="BV180" s="254"/>
      <c r="BW180" s="1256"/>
      <c r="BX180" s="1256"/>
      <c r="BY180" s="1256"/>
      <c r="BZ180" s="1041"/>
      <c r="CA180" s="407"/>
      <c r="CB180" s="254"/>
      <c r="CC180" s="1256"/>
      <c r="CD180" s="1256"/>
      <c r="CE180" s="1256"/>
      <c r="CF180" s="1041"/>
      <c r="CG180" s="407"/>
      <c r="CH180" s="254"/>
      <c r="CI180" s="1256"/>
      <c r="CJ180" s="1256"/>
      <c r="CK180" s="1256"/>
      <c r="CL180" s="1041"/>
      <c r="CM180" s="407"/>
      <c r="CN180" s="62"/>
      <c r="CQ180"/>
      <c r="CR180"/>
      <c r="CS180"/>
      <c r="CT180"/>
      <c r="CU180"/>
      <c r="CV180"/>
    </row>
    <row r="181" spans="1:16384" s="928" customFormat="1" ht="11.25" customHeight="1" x14ac:dyDescent="0.2">
      <c r="A181" s="27"/>
      <c r="B181" s="1550"/>
      <c r="C181" s="1030"/>
      <c r="D181" s="1030"/>
      <c r="E181" s="1030"/>
      <c r="F181" s="1030"/>
      <c r="G181" s="1031"/>
      <c r="H181" s="1030"/>
      <c r="I181" s="1030"/>
      <c r="J181" s="1030"/>
      <c r="K181" s="1030"/>
      <c r="L181" s="1030"/>
      <c r="M181" s="1031"/>
      <c r="N181" s="22"/>
      <c r="O181" s="1030"/>
      <c r="P181" s="1030"/>
      <c r="Q181" s="1030"/>
      <c r="R181" s="1030"/>
      <c r="S181" s="1031"/>
      <c r="T181" s="22"/>
      <c r="U181" s="1030"/>
      <c r="V181" s="1030"/>
      <c r="W181" s="1030"/>
      <c r="X181" s="1030"/>
      <c r="Y181" s="1031"/>
      <c r="Z181" s="22"/>
      <c r="AA181" s="1030"/>
      <c r="AB181" s="1030"/>
      <c r="AC181" s="1030"/>
      <c r="AD181" s="1030"/>
      <c r="AE181" s="1031"/>
      <c r="AF181" s="1032"/>
      <c r="AG181" s="1030"/>
      <c r="AH181" s="1030"/>
      <c r="AI181" s="1030"/>
      <c r="AJ181" s="1030"/>
      <c r="AK181" s="1031"/>
      <c r="AL181" s="1032"/>
      <c r="AM181" s="1030"/>
      <c r="AN181" s="1030"/>
      <c r="AO181" s="1030"/>
      <c r="AP181" s="1030"/>
      <c r="AQ181" s="1031"/>
      <c r="AR181" s="1032"/>
      <c r="AS181" s="1031"/>
      <c r="AT181" s="1031"/>
      <c r="AU181" s="1031"/>
      <c r="AV181" s="1031"/>
      <c r="AW181" s="1031"/>
      <c r="AX181" s="1032"/>
      <c r="AY181" s="1031"/>
      <c r="AZ181" s="1031"/>
      <c r="BA181" s="1031"/>
      <c r="BB181" s="1031"/>
      <c r="BC181" s="1031"/>
      <c r="BD181" s="954"/>
      <c r="BE181" s="1554"/>
      <c r="BF181" s="1031"/>
      <c r="BG181" s="1030"/>
      <c r="BH181" s="1031"/>
      <c r="BI181" s="1031"/>
      <c r="BJ181" s="954"/>
      <c r="BK181" s="1554"/>
      <c r="BL181" s="1031"/>
      <c r="BM181" s="1030"/>
      <c r="BN181" s="1031"/>
      <c r="BO181" s="1031"/>
      <c r="BP181" s="954"/>
      <c r="BQ181" s="1031"/>
      <c r="BR181" s="1031"/>
      <c r="BS181" s="1031"/>
      <c r="BT181" s="1031"/>
      <c r="BU181" s="1031"/>
      <c r="BV181" s="954"/>
      <c r="BW181" s="1031"/>
      <c r="BX181" s="1031"/>
      <c r="BY181" s="1031"/>
      <c r="BZ181" s="1031"/>
      <c r="CA181" s="1031"/>
      <c r="CB181" s="954"/>
      <c r="CC181" s="1031"/>
      <c r="CD181" s="1031"/>
      <c r="CE181" s="1031"/>
      <c r="CF181" s="1031"/>
      <c r="CG181" s="1031"/>
      <c r="CH181" s="954"/>
      <c r="CI181" s="1031"/>
      <c r="CJ181" s="1031"/>
      <c r="CK181" s="1031"/>
      <c r="CL181" s="1031"/>
      <c r="CM181" s="1031"/>
      <c r="CN181" s="62"/>
      <c r="CQ181"/>
      <c r="CR181"/>
      <c r="CS181"/>
      <c r="CT181"/>
      <c r="CU181"/>
      <c r="CV181"/>
    </row>
    <row r="182" spans="1:16384" ht="11.25" customHeight="1" x14ac:dyDescent="0.2">
      <c r="A182" s="27"/>
      <c r="B182" s="1553"/>
      <c r="C182" s="407"/>
      <c r="D182" s="407"/>
      <c r="E182" s="407"/>
      <c r="F182" s="407"/>
      <c r="G182" s="407"/>
      <c r="H182" s="254"/>
      <c r="I182" s="407"/>
      <c r="J182" s="407"/>
      <c r="K182" s="407"/>
      <c r="L182" s="407"/>
      <c r="M182" s="407"/>
      <c r="N182" s="254"/>
      <c r="O182" s="407"/>
      <c r="P182" s="407"/>
      <c r="Q182" s="407"/>
      <c r="R182" s="407"/>
      <c r="S182" s="407"/>
      <c r="T182" s="254"/>
      <c r="U182" s="407"/>
      <c r="V182" s="407"/>
      <c r="W182" s="407"/>
      <c r="X182" s="407"/>
      <c r="Y182" s="407"/>
      <c r="Z182" s="254"/>
      <c r="AA182" s="407"/>
      <c r="AB182" s="1254"/>
      <c r="AC182" s="1254"/>
      <c r="AD182" s="1254"/>
      <c r="AE182" s="407"/>
      <c r="AF182" s="254"/>
      <c r="AG182" s="1254"/>
      <c r="AH182" s="1254"/>
      <c r="AI182" s="1254"/>
      <c r="AJ182" s="1254"/>
      <c r="AK182" s="407"/>
      <c r="AL182" s="254"/>
      <c r="AM182" s="1254"/>
      <c r="AN182" s="1254"/>
      <c r="AO182" s="1254"/>
      <c r="AP182" s="1254"/>
      <c r="AQ182" s="407"/>
      <c r="AR182" s="254"/>
      <c r="AS182" s="1254"/>
      <c r="AT182" s="1254"/>
      <c r="AU182" s="1254"/>
      <c r="AV182" s="1254"/>
      <c r="AW182" s="407"/>
      <c r="AX182" s="254"/>
      <c r="AY182" s="407"/>
      <c r="AZ182" s="407"/>
      <c r="BA182" s="407"/>
      <c r="BB182" s="407"/>
      <c r="BC182" s="407"/>
      <c r="BD182" s="254"/>
      <c r="BE182" s="407"/>
      <c r="BF182" s="407"/>
      <c r="BG182" s="407"/>
      <c r="BH182" s="407"/>
      <c r="BI182" s="407"/>
      <c r="BJ182" s="254"/>
      <c r="BK182" s="407"/>
      <c r="BL182" s="407"/>
      <c r="BM182" s="407"/>
      <c r="BN182" s="407"/>
      <c r="BO182" s="407"/>
      <c r="BP182" s="254"/>
      <c r="BQ182" s="407"/>
      <c r="BR182" s="407"/>
      <c r="BS182" s="407"/>
      <c r="BT182" s="407"/>
      <c r="BU182" s="407"/>
      <c r="BV182" s="254"/>
      <c r="BW182" s="407"/>
      <c r="BX182" s="407"/>
      <c r="BY182" s="407"/>
      <c r="BZ182" s="407"/>
      <c r="CA182" s="407"/>
      <c r="CB182" s="254"/>
      <c r="CC182" s="407"/>
      <c r="CD182" s="407"/>
      <c r="CE182" s="407"/>
      <c r="CF182" s="407"/>
      <c r="CG182" s="407"/>
      <c r="CH182" s="254"/>
      <c r="CI182" s="407"/>
      <c r="CJ182" s="407"/>
      <c r="CK182" s="407"/>
      <c r="CL182" s="407"/>
      <c r="CM182" s="407"/>
    </row>
    <row r="183" spans="1:16384" s="1069" customFormat="1" ht="11.25" customHeight="1" x14ac:dyDescent="0.2">
      <c r="A183" s="27"/>
      <c r="B183" s="19"/>
      <c r="C183" s="19"/>
      <c r="D183" s="19"/>
      <c r="E183" s="19"/>
      <c r="F183" s="19"/>
      <c r="G183" s="19"/>
      <c r="H183" s="19"/>
      <c r="I183" s="19"/>
      <c r="J183" s="19"/>
      <c r="K183" s="19"/>
      <c r="L183" s="19"/>
      <c r="M183" s="19"/>
      <c r="N183" s="19"/>
      <c r="O183" s="19"/>
      <c r="P183" s="19"/>
      <c r="Q183" s="19"/>
      <c r="R183" s="19"/>
      <c r="S183" s="19"/>
      <c r="T183" s="19"/>
      <c r="U183" s="19"/>
      <c r="V183" s="19"/>
      <c r="W183" s="19"/>
      <c r="X183" s="19"/>
      <c r="Y183" s="19"/>
      <c r="Z183" s="19"/>
      <c r="AA183" s="19"/>
      <c r="AB183" s="19"/>
      <c r="AC183" s="19"/>
      <c r="AD183" s="19"/>
      <c r="AE183" s="19"/>
      <c r="AF183" s="19"/>
      <c r="AG183" s="19"/>
      <c r="AH183" s="19"/>
      <c r="AI183" s="19"/>
      <c r="AJ183" s="19"/>
      <c r="AK183" s="19"/>
      <c r="AL183" s="19"/>
      <c r="AM183" s="19"/>
      <c r="AN183" s="19"/>
      <c r="AO183" s="19"/>
      <c r="AP183" s="19"/>
      <c r="AQ183" s="19"/>
      <c r="AR183" s="19"/>
      <c r="AS183" s="19"/>
      <c r="AT183" s="19"/>
      <c r="AU183" s="19"/>
      <c r="AV183" s="19"/>
      <c r="AW183" s="19"/>
      <c r="AX183" s="19"/>
      <c r="AY183" s="19"/>
      <c r="AZ183" s="19"/>
      <c r="BA183" s="19"/>
      <c r="BB183" s="19"/>
      <c r="BC183" s="19"/>
      <c r="BD183" s="19"/>
      <c r="BE183" s="19"/>
      <c r="BF183" s="19"/>
      <c r="BG183" s="19"/>
      <c r="BH183" s="19"/>
      <c r="BI183" s="19"/>
      <c r="BJ183" s="19"/>
      <c r="BK183" s="19"/>
      <c r="BL183" s="19"/>
      <c r="BM183" s="19"/>
      <c r="BN183" s="19"/>
      <c r="BO183" s="19"/>
      <c r="BP183" s="19"/>
      <c r="BQ183" s="19"/>
      <c r="BR183" s="19"/>
      <c r="BS183" s="19"/>
      <c r="BT183" s="19"/>
      <c r="BU183" s="19"/>
      <c r="BV183" s="19"/>
      <c r="BW183" s="19"/>
      <c r="BX183" s="19"/>
      <c r="BY183" s="19"/>
      <c r="BZ183" s="19"/>
      <c r="CA183" s="19"/>
      <c r="CB183" s="19"/>
      <c r="CC183" s="19"/>
      <c r="CD183" s="19"/>
      <c r="CE183" s="19"/>
      <c r="CF183" s="19"/>
      <c r="CG183" s="19"/>
      <c r="CH183" s="19"/>
      <c r="CI183" s="19"/>
      <c r="CJ183" s="19"/>
      <c r="CK183" s="19"/>
      <c r="CL183" s="19"/>
      <c r="CM183" s="19"/>
      <c r="CN183" s="62"/>
      <c r="CQ183"/>
      <c r="CR183"/>
      <c r="CS183"/>
      <c r="CT183"/>
      <c r="CU183"/>
      <c r="CV183"/>
    </row>
    <row r="184" spans="1:16384" ht="11.25" customHeight="1" x14ac:dyDescent="0.2">
      <c r="A184" s="27"/>
      <c r="BI184" s="1548"/>
      <c r="BJ184" s="1548"/>
      <c r="BK184" s="1548"/>
      <c r="BL184" s="1548"/>
      <c r="BM184" s="1548"/>
    </row>
    <row r="185" spans="1:16384" ht="11.25" customHeight="1" x14ac:dyDescent="0.2">
      <c r="A185" s="27"/>
      <c r="BI185" s="1548"/>
      <c r="BJ185" s="1548"/>
      <c r="BK185" s="1548"/>
      <c r="BL185" s="1548"/>
      <c r="BM185" s="1548"/>
    </row>
    <row r="186" spans="1:16384" s="1016" customFormat="1" ht="11.25" customHeight="1" x14ac:dyDescent="0.2">
      <c r="A186" s="27"/>
      <c r="BI186" s="1548"/>
      <c r="BJ186" s="1548"/>
      <c r="BK186" s="1548"/>
      <c r="BL186" s="1548"/>
      <c r="BM186" s="1548"/>
      <c r="CN186" s="62"/>
      <c r="CQ186"/>
      <c r="CR186"/>
      <c r="CS186"/>
      <c r="CT186"/>
      <c r="CU186"/>
      <c r="CV186"/>
    </row>
    <row r="187" spans="1:16384" ht="11.25" customHeight="1" x14ac:dyDescent="0.2">
      <c r="A187" s="27"/>
    </row>
    <row r="188" spans="1:16384" x14ac:dyDescent="0.2">
      <c r="A188" s="79"/>
      <c r="CO188" s="1016"/>
      <c r="CP188" s="1016"/>
      <c r="CW188" s="1016"/>
      <c r="CX188" s="1016"/>
      <c r="CY188" s="1016"/>
      <c r="CZ188" s="1016"/>
      <c r="DA188" s="1016"/>
      <c r="DB188" s="1016"/>
      <c r="DC188" s="1016"/>
      <c r="DD188" s="1016"/>
      <c r="DE188" s="1016"/>
      <c r="DF188" s="1016"/>
      <c r="DG188" s="1016"/>
      <c r="DH188" s="1016"/>
      <c r="DI188" s="1016"/>
      <c r="DJ188" s="1016"/>
      <c r="DK188" s="1016"/>
      <c r="DL188" s="1016"/>
      <c r="DM188" s="1016"/>
      <c r="DN188" s="1016"/>
      <c r="DO188" s="1016"/>
      <c r="DP188" s="1016"/>
      <c r="DQ188" s="1016"/>
      <c r="DR188" s="1016"/>
      <c r="DS188" s="1016"/>
      <c r="DT188" s="1016"/>
      <c r="DU188" s="1016"/>
      <c r="DV188" s="1016"/>
      <c r="DW188" s="1016"/>
      <c r="DX188" s="1016"/>
      <c r="DY188" s="1016"/>
      <c r="DZ188" s="1016"/>
      <c r="EA188" s="1016"/>
      <c r="EB188" s="1016"/>
      <c r="EC188" s="1016"/>
      <c r="ED188" s="1016"/>
      <c r="EE188" s="1016"/>
      <c r="EF188" s="1016"/>
      <c r="EG188" s="1016"/>
      <c r="EH188" s="1016"/>
      <c r="EI188" s="1016"/>
      <c r="EJ188" s="1016"/>
      <c r="EK188" s="1016"/>
      <c r="EL188" s="1016"/>
      <c r="EM188" s="1016"/>
      <c r="EN188" s="1016"/>
      <c r="EO188" s="1016"/>
      <c r="EP188" s="1016"/>
      <c r="EQ188" s="1016"/>
      <c r="ER188" s="1016"/>
      <c r="ES188" s="1016"/>
      <c r="ET188" s="1016"/>
      <c r="EU188" s="1016"/>
      <c r="EV188" s="1016"/>
      <c r="EW188" s="1016"/>
      <c r="EX188" s="1016"/>
      <c r="EY188" s="1016"/>
      <c r="EZ188" s="1016"/>
      <c r="FA188" s="1016"/>
      <c r="FB188" s="1016"/>
      <c r="FC188" s="1016"/>
      <c r="FD188" s="1016"/>
      <c r="FE188" s="1016"/>
      <c r="FF188" s="1016"/>
      <c r="FG188" s="1016"/>
      <c r="FH188" s="1016"/>
      <c r="FI188" s="1016"/>
      <c r="FJ188" s="1016"/>
      <c r="FK188" s="1016"/>
      <c r="FL188" s="1016"/>
      <c r="FM188" s="1016"/>
      <c r="FN188" s="1016"/>
      <c r="FO188" s="1016"/>
      <c r="FP188" s="1016"/>
      <c r="FQ188" s="1016"/>
      <c r="FR188" s="1016"/>
      <c r="FS188" s="1016"/>
      <c r="FT188" s="1016"/>
      <c r="FU188" s="1016"/>
      <c r="FV188" s="1016"/>
      <c r="FW188" s="1016"/>
      <c r="FX188" s="1016"/>
      <c r="FY188" s="1016"/>
      <c r="FZ188" s="1016"/>
      <c r="GA188" s="1016"/>
      <c r="GB188" s="1016"/>
      <c r="GC188" s="1016"/>
      <c r="GD188" s="1016"/>
      <c r="GE188" s="1016"/>
      <c r="GF188" s="1016"/>
      <c r="GG188" s="1016"/>
      <c r="GH188" s="1016"/>
      <c r="GI188" s="1016"/>
      <c r="GJ188" s="1016"/>
      <c r="GK188" s="1016"/>
      <c r="GL188" s="1016"/>
      <c r="GM188" s="1016"/>
      <c r="GN188" s="1016"/>
      <c r="GO188" s="1016"/>
      <c r="GP188" s="1016"/>
      <c r="GQ188" s="1016"/>
      <c r="GR188" s="1016"/>
      <c r="GS188" s="1016"/>
      <c r="GT188" s="1016"/>
      <c r="GU188" s="1016"/>
      <c r="GV188" s="1016"/>
      <c r="GW188" s="1016"/>
      <c r="GX188" s="1016"/>
      <c r="GY188" s="1016"/>
      <c r="GZ188" s="1016"/>
      <c r="HA188" s="1016"/>
      <c r="HB188" s="1016"/>
      <c r="HC188" s="1016"/>
      <c r="HD188" s="1016"/>
      <c r="HE188" s="1016"/>
      <c r="HF188" s="1016"/>
      <c r="HG188" s="1016"/>
      <c r="HH188" s="1016"/>
      <c r="HI188" s="1016"/>
      <c r="HJ188" s="1016"/>
      <c r="HK188" s="1016"/>
      <c r="HL188" s="1016"/>
      <c r="HM188" s="1016"/>
      <c r="HN188" s="1016"/>
      <c r="HO188" s="1016"/>
      <c r="HP188" s="1016"/>
      <c r="HQ188" s="1016"/>
      <c r="HR188" s="1016"/>
      <c r="HS188" s="1016"/>
      <c r="HT188" s="1016"/>
      <c r="HU188" s="1016"/>
      <c r="HV188" s="1016"/>
      <c r="HW188" s="1016"/>
      <c r="HX188" s="1016"/>
      <c r="HY188" s="1016"/>
      <c r="HZ188" s="1016"/>
      <c r="IA188" s="1016"/>
      <c r="IB188" s="1016"/>
      <c r="IC188" s="1016"/>
      <c r="ID188" s="1016"/>
      <c r="IE188" s="1016"/>
      <c r="IF188" s="1016"/>
      <c r="IG188" s="1016"/>
      <c r="IH188" s="1016"/>
      <c r="II188" s="1016"/>
      <c r="IJ188" s="1016"/>
      <c r="IK188" s="1016"/>
      <c r="IL188" s="1016"/>
      <c r="IM188" s="1016"/>
      <c r="IN188" s="1016"/>
      <c r="IO188" s="1016"/>
      <c r="IP188" s="1016"/>
      <c r="IQ188" s="1016"/>
      <c r="IR188" s="1016"/>
      <c r="IS188" s="1016"/>
      <c r="IT188" s="1016"/>
      <c r="IU188" s="1016"/>
      <c r="IV188" s="1016"/>
      <c r="IW188" s="1016"/>
      <c r="IX188" s="1016"/>
      <c r="IY188" s="1016"/>
      <c r="IZ188" s="1016"/>
      <c r="JA188" s="1016"/>
      <c r="JB188" s="1016"/>
      <c r="JC188" s="1016"/>
      <c r="JD188" s="1016"/>
      <c r="JE188" s="1016"/>
      <c r="JF188" s="1016"/>
      <c r="JG188" s="1016"/>
      <c r="JH188" s="1016"/>
      <c r="JI188" s="1016"/>
      <c r="JJ188" s="1016"/>
      <c r="JK188" s="1016"/>
      <c r="JL188" s="1016"/>
      <c r="JM188" s="1016"/>
      <c r="JN188" s="1016"/>
      <c r="JO188" s="1016"/>
      <c r="JP188" s="1016"/>
      <c r="JQ188" s="1016"/>
      <c r="JR188" s="1016"/>
      <c r="JS188" s="1016"/>
      <c r="JT188" s="1016"/>
      <c r="JU188" s="1016"/>
      <c r="JV188" s="1016"/>
      <c r="JW188" s="1016"/>
      <c r="JX188" s="1016"/>
      <c r="JY188" s="1016"/>
      <c r="JZ188" s="1016"/>
      <c r="KA188" s="1016"/>
      <c r="KB188" s="1016"/>
      <c r="KC188" s="1016"/>
      <c r="KD188" s="1016"/>
      <c r="KE188" s="1016"/>
      <c r="KF188" s="1016"/>
      <c r="KG188" s="1016"/>
      <c r="KH188" s="1016"/>
      <c r="KI188" s="1016"/>
      <c r="KJ188" s="1016"/>
      <c r="KK188" s="1016"/>
      <c r="KL188" s="1016"/>
      <c r="KM188" s="1016"/>
      <c r="KN188" s="1016"/>
      <c r="KO188" s="1016"/>
      <c r="KP188" s="1016"/>
      <c r="KQ188" s="1016"/>
      <c r="KR188" s="1016"/>
      <c r="KS188" s="1016"/>
      <c r="KT188" s="1016"/>
      <c r="KU188" s="1016"/>
      <c r="KV188" s="1016"/>
      <c r="KW188" s="1016"/>
      <c r="KX188" s="1016"/>
      <c r="KY188" s="1016"/>
      <c r="KZ188" s="1016"/>
      <c r="LA188" s="1016"/>
      <c r="LB188" s="1016"/>
      <c r="LC188" s="1016"/>
      <c r="LD188" s="1016"/>
      <c r="LE188" s="1016"/>
      <c r="LF188" s="1016"/>
      <c r="LG188" s="1016"/>
      <c r="LH188" s="1016"/>
      <c r="LI188" s="1016"/>
      <c r="LJ188" s="1016"/>
      <c r="LK188" s="1016"/>
      <c r="LL188" s="1016"/>
      <c r="LM188" s="1016"/>
      <c r="LN188" s="1016"/>
      <c r="LO188" s="1016"/>
      <c r="LP188" s="1016"/>
      <c r="LQ188" s="1016"/>
      <c r="LR188" s="1016"/>
      <c r="LS188" s="1016"/>
      <c r="LT188" s="1016"/>
      <c r="LU188" s="1016"/>
      <c r="LV188" s="1016"/>
      <c r="LW188" s="1016"/>
      <c r="LX188" s="1016"/>
      <c r="LY188" s="1016"/>
      <c r="LZ188" s="1016"/>
      <c r="MA188" s="1016"/>
      <c r="MB188" s="1016"/>
      <c r="MC188" s="1016"/>
      <c r="MD188" s="1016"/>
      <c r="ME188" s="1016"/>
      <c r="MF188" s="1016"/>
      <c r="MG188" s="1016"/>
      <c r="MH188" s="1016"/>
      <c r="MI188" s="1016"/>
      <c r="MJ188" s="1016"/>
      <c r="MK188" s="1016"/>
      <c r="ML188" s="1016"/>
      <c r="MM188" s="1016"/>
      <c r="MN188" s="1016"/>
      <c r="MO188" s="1016"/>
      <c r="MP188" s="1016"/>
      <c r="MQ188" s="1016"/>
      <c r="MR188" s="1016"/>
      <c r="MS188" s="1016"/>
      <c r="MT188" s="1016"/>
      <c r="MU188" s="1016"/>
      <c r="MV188" s="1016"/>
      <c r="MW188" s="1016"/>
      <c r="MX188" s="1016"/>
      <c r="MY188" s="1016"/>
      <c r="MZ188" s="1016"/>
      <c r="NA188" s="1016"/>
      <c r="NB188" s="1016"/>
      <c r="NC188" s="1016"/>
      <c r="ND188" s="1016"/>
      <c r="NE188" s="1016"/>
      <c r="NF188" s="1016"/>
      <c r="NG188" s="1016"/>
      <c r="NH188" s="1016"/>
      <c r="NI188" s="1016"/>
      <c r="NJ188" s="1016"/>
      <c r="NK188" s="1016"/>
      <c r="NL188" s="1016"/>
      <c r="NM188" s="1016"/>
      <c r="NN188" s="1016"/>
      <c r="NO188" s="1016"/>
      <c r="NP188" s="1016"/>
      <c r="NQ188" s="1016"/>
      <c r="NR188" s="1016"/>
      <c r="NS188" s="1016"/>
      <c r="NT188" s="1016"/>
      <c r="NU188" s="1016"/>
      <c r="NV188" s="1016"/>
      <c r="NW188" s="1016"/>
      <c r="NX188" s="1016"/>
      <c r="NY188" s="1016"/>
      <c r="NZ188" s="1016"/>
      <c r="OA188" s="1016"/>
      <c r="OB188" s="1016"/>
      <c r="OC188" s="1016"/>
      <c r="OD188" s="1016"/>
      <c r="OE188" s="1016"/>
      <c r="OF188" s="1016"/>
      <c r="OG188" s="1016"/>
      <c r="OH188" s="1016"/>
      <c r="OI188" s="1016"/>
      <c r="OJ188" s="1016"/>
      <c r="OK188" s="1016"/>
      <c r="OL188" s="1016"/>
      <c r="OM188" s="1016"/>
      <c r="ON188" s="1016"/>
      <c r="OO188" s="1016"/>
      <c r="OP188" s="1016"/>
      <c r="OQ188" s="1016"/>
      <c r="OR188" s="1016"/>
      <c r="OS188" s="1016"/>
      <c r="OT188" s="1016"/>
      <c r="OU188" s="1016"/>
      <c r="OV188" s="1016"/>
      <c r="OW188" s="1016"/>
      <c r="OX188" s="1016"/>
      <c r="OY188" s="1016"/>
      <c r="OZ188" s="1016"/>
      <c r="PA188" s="1016"/>
      <c r="PB188" s="1016"/>
      <c r="PC188" s="1016"/>
      <c r="PD188" s="1016"/>
      <c r="PE188" s="1016"/>
      <c r="PF188" s="1016"/>
      <c r="PG188" s="1016"/>
      <c r="PH188" s="1016"/>
      <c r="PI188" s="1016"/>
      <c r="PJ188" s="1016"/>
      <c r="PK188" s="1016"/>
      <c r="PL188" s="1016"/>
      <c r="PM188" s="1016"/>
      <c r="PN188" s="1016"/>
      <c r="PO188" s="1016"/>
      <c r="PP188" s="1016"/>
      <c r="PQ188" s="1016"/>
      <c r="PR188" s="1016"/>
      <c r="PS188" s="1016"/>
      <c r="PT188" s="1016"/>
      <c r="PU188" s="1016"/>
      <c r="PV188" s="1016"/>
      <c r="PW188" s="1016"/>
      <c r="PX188" s="1016"/>
      <c r="PY188" s="1016"/>
      <c r="PZ188" s="1016"/>
      <c r="QA188" s="1016"/>
      <c r="QB188" s="1016"/>
      <c r="QC188" s="1016"/>
      <c r="QD188" s="1016"/>
      <c r="QE188" s="1016"/>
      <c r="QF188" s="1016"/>
      <c r="QG188" s="1016"/>
      <c r="QH188" s="1016"/>
      <c r="QI188" s="1016"/>
      <c r="QJ188" s="1016"/>
      <c r="QK188" s="1016"/>
      <c r="QL188" s="1016"/>
      <c r="QM188" s="1016"/>
      <c r="QN188" s="1016"/>
      <c r="QO188" s="1016"/>
      <c r="QP188" s="1016"/>
      <c r="QQ188" s="1016"/>
      <c r="QR188" s="1016"/>
      <c r="QS188" s="1016"/>
      <c r="QT188" s="1016"/>
      <c r="QU188" s="1016"/>
      <c r="QV188" s="1016"/>
      <c r="QW188" s="1016"/>
      <c r="QX188" s="1016"/>
      <c r="QY188" s="1016"/>
      <c r="QZ188" s="1016"/>
      <c r="RA188" s="1016"/>
      <c r="RB188" s="1016"/>
      <c r="RC188" s="1016"/>
      <c r="RD188" s="1016"/>
      <c r="RE188" s="1016"/>
      <c r="RF188" s="1016"/>
      <c r="RG188" s="1016"/>
      <c r="RH188" s="1016"/>
      <c r="RI188" s="1016"/>
      <c r="RJ188" s="1016"/>
      <c r="RK188" s="1016"/>
      <c r="RL188" s="1016"/>
      <c r="RM188" s="1016"/>
      <c r="RN188" s="1016"/>
      <c r="RO188" s="1016"/>
      <c r="RP188" s="1016"/>
      <c r="RQ188" s="1016"/>
      <c r="RR188" s="1016"/>
      <c r="RS188" s="1016"/>
      <c r="RT188" s="1016"/>
      <c r="RU188" s="1016"/>
      <c r="RV188" s="1016"/>
      <c r="RW188" s="1016"/>
      <c r="RX188" s="1016"/>
      <c r="RY188" s="1016"/>
      <c r="RZ188" s="1016"/>
      <c r="SA188" s="1016"/>
      <c r="SB188" s="1016"/>
      <c r="SC188" s="1016"/>
      <c r="SD188" s="1016"/>
      <c r="SE188" s="1016"/>
      <c r="SF188" s="1016"/>
      <c r="SG188" s="1016"/>
      <c r="SH188" s="1016"/>
      <c r="SI188" s="1016"/>
      <c r="SJ188" s="1016"/>
      <c r="SK188" s="1016"/>
      <c r="SL188" s="1016"/>
      <c r="SM188" s="1016"/>
      <c r="SN188" s="1016"/>
      <c r="SO188" s="1016"/>
      <c r="SP188" s="1016"/>
      <c r="SQ188" s="1016"/>
      <c r="SR188" s="1016"/>
      <c r="SS188" s="1016"/>
      <c r="ST188" s="1016"/>
      <c r="SU188" s="1016"/>
      <c r="SV188" s="1016"/>
      <c r="SW188" s="1016"/>
      <c r="SX188" s="1016"/>
      <c r="SY188" s="1016"/>
      <c r="SZ188" s="1016"/>
      <c r="TA188" s="1016"/>
      <c r="TB188" s="1016"/>
      <c r="TC188" s="1016"/>
      <c r="TD188" s="1016"/>
      <c r="TE188" s="1016"/>
      <c r="TF188" s="1016"/>
      <c r="TG188" s="1016"/>
      <c r="TH188" s="1016"/>
      <c r="TI188" s="1016"/>
      <c r="TJ188" s="1016"/>
      <c r="TK188" s="1016"/>
      <c r="TL188" s="1016"/>
      <c r="TM188" s="1016"/>
      <c r="TN188" s="1016"/>
      <c r="TO188" s="1016"/>
      <c r="TP188" s="1016"/>
      <c r="TQ188" s="1016"/>
      <c r="TR188" s="1016"/>
      <c r="TS188" s="1016"/>
      <c r="TT188" s="1016"/>
      <c r="TU188" s="1016"/>
      <c r="TV188" s="1016"/>
      <c r="TW188" s="1016"/>
      <c r="TX188" s="1016"/>
      <c r="TY188" s="1016"/>
      <c r="TZ188" s="1016"/>
      <c r="UA188" s="1016"/>
      <c r="UB188" s="1016"/>
      <c r="UC188" s="1016"/>
      <c r="UD188" s="1016"/>
      <c r="UE188" s="1016"/>
      <c r="UF188" s="1016"/>
      <c r="UG188" s="1016"/>
      <c r="UH188" s="1016"/>
      <c r="UI188" s="1016"/>
      <c r="UJ188" s="1016"/>
      <c r="UK188" s="1016"/>
      <c r="UL188" s="1016"/>
      <c r="UM188" s="1016"/>
      <c r="UN188" s="1016"/>
      <c r="UO188" s="1016"/>
      <c r="UP188" s="1016"/>
      <c r="UQ188" s="1016"/>
      <c r="UR188" s="1016"/>
      <c r="US188" s="1016"/>
      <c r="UT188" s="1016"/>
      <c r="UU188" s="1016"/>
      <c r="UV188" s="1016"/>
      <c r="UW188" s="1016"/>
      <c r="UX188" s="1016"/>
      <c r="UY188" s="1016"/>
      <c r="UZ188" s="1016"/>
      <c r="VA188" s="1016"/>
      <c r="VB188" s="1016"/>
      <c r="VC188" s="1016"/>
      <c r="VD188" s="1016"/>
      <c r="VE188" s="1016"/>
      <c r="VF188" s="1016"/>
      <c r="VG188" s="1016"/>
      <c r="VH188" s="1016"/>
      <c r="VI188" s="1016"/>
      <c r="VJ188" s="1016"/>
      <c r="VK188" s="1016"/>
      <c r="VL188" s="1016"/>
      <c r="VM188" s="1016"/>
      <c r="VN188" s="1016"/>
      <c r="VO188" s="1016"/>
      <c r="VP188" s="1016"/>
      <c r="VQ188" s="1016"/>
      <c r="VR188" s="1016"/>
      <c r="VS188" s="1016"/>
      <c r="VT188" s="1016"/>
      <c r="VU188" s="1016"/>
      <c r="VV188" s="1016"/>
      <c r="VW188" s="1016"/>
      <c r="VX188" s="1016"/>
      <c r="VY188" s="1016"/>
      <c r="VZ188" s="1016"/>
      <c r="WA188" s="1016"/>
      <c r="WB188" s="1016"/>
      <c r="WC188" s="1016"/>
      <c r="WD188" s="1016"/>
      <c r="WE188" s="1016"/>
      <c r="WF188" s="1016"/>
      <c r="WG188" s="1016"/>
      <c r="WH188" s="1016"/>
      <c r="WI188" s="1016"/>
      <c r="WJ188" s="1016"/>
      <c r="WK188" s="1016"/>
      <c r="WL188" s="1016"/>
      <c r="WM188" s="1016"/>
      <c r="WN188" s="1016"/>
      <c r="WO188" s="1016"/>
      <c r="WP188" s="1016"/>
      <c r="WQ188" s="1016"/>
      <c r="WR188" s="1016"/>
      <c r="WS188" s="1016"/>
      <c r="WT188" s="1016"/>
      <c r="WU188" s="1016"/>
      <c r="WV188" s="1016"/>
      <c r="WW188" s="1016"/>
      <c r="WX188" s="1016"/>
      <c r="WY188" s="1016"/>
      <c r="WZ188" s="1016"/>
      <c r="XA188" s="1016"/>
      <c r="XB188" s="1016"/>
      <c r="XC188" s="1016"/>
      <c r="XD188" s="1016"/>
      <c r="XE188" s="1016"/>
      <c r="XF188" s="1016"/>
      <c r="XG188" s="1016"/>
      <c r="XH188" s="1016"/>
      <c r="XI188" s="1016"/>
      <c r="XJ188" s="1016"/>
      <c r="XK188" s="1016"/>
      <c r="XL188" s="1016"/>
      <c r="XM188" s="1016"/>
      <c r="XN188" s="1016"/>
      <c r="XO188" s="1016"/>
      <c r="XP188" s="1016"/>
      <c r="XQ188" s="1016"/>
      <c r="XR188" s="1016"/>
      <c r="XS188" s="1016"/>
      <c r="XT188" s="1016"/>
      <c r="XU188" s="1016"/>
      <c r="XV188" s="1016"/>
      <c r="XW188" s="1016"/>
      <c r="XX188" s="1016"/>
      <c r="XY188" s="1016"/>
      <c r="XZ188" s="1016"/>
      <c r="YA188" s="1016"/>
      <c r="YB188" s="1016"/>
      <c r="YC188" s="1016"/>
      <c r="YD188" s="1016"/>
      <c r="YE188" s="1016"/>
      <c r="YF188" s="1016"/>
      <c r="YG188" s="1016"/>
      <c r="YH188" s="1016"/>
      <c r="YI188" s="1016"/>
      <c r="YJ188" s="1016"/>
      <c r="YK188" s="1016"/>
      <c r="YL188" s="1016"/>
      <c r="YM188" s="1016"/>
      <c r="YN188" s="1016"/>
      <c r="YO188" s="1016"/>
      <c r="YP188" s="1016"/>
      <c r="YQ188" s="1016"/>
      <c r="YR188" s="1016"/>
      <c r="YS188" s="1016"/>
      <c r="YT188" s="1016"/>
      <c r="YU188" s="1016"/>
      <c r="YV188" s="1016"/>
      <c r="YW188" s="1016"/>
      <c r="YX188" s="1016"/>
      <c r="YY188" s="1016"/>
      <c r="YZ188" s="1016"/>
      <c r="ZA188" s="1016"/>
      <c r="ZB188" s="1016"/>
      <c r="ZC188" s="1016"/>
      <c r="ZD188" s="1016"/>
      <c r="ZE188" s="1016"/>
      <c r="ZF188" s="1016"/>
      <c r="ZG188" s="1016"/>
      <c r="ZH188" s="1016"/>
      <c r="ZI188" s="1016"/>
      <c r="ZJ188" s="1016"/>
      <c r="ZK188" s="1016"/>
      <c r="ZL188" s="1016"/>
      <c r="ZM188" s="1016"/>
      <c r="ZN188" s="1016"/>
      <c r="ZO188" s="1016"/>
      <c r="ZP188" s="1016"/>
      <c r="ZQ188" s="1016"/>
      <c r="ZR188" s="1016"/>
      <c r="ZS188" s="1016"/>
      <c r="ZT188" s="1016"/>
      <c r="ZU188" s="1016"/>
      <c r="ZV188" s="1016"/>
      <c r="ZW188" s="1016"/>
      <c r="ZX188" s="1016"/>
      <c r="ZY188" s="1016"/>
      <c r="ZZ188" s="1016"/>
      <c r="AAA188" s="1016"/>
      <c r="AAB188" s="1016"/>
      <c r="AAC188" s="1016"/>
      <c r="AAD188" s="1016"/>
      <c r="AAE188" s="1016"/>
      <c r="AAF188" s="1016"/>
      <c r="AAG188" s="1016"/>
      <c r="AAH188" s="1016"/>
      <c r="AAI188" s="1016"/>
      <c r="AAJ188" s="1016"/>
      <c r="AAK188" s="1016"/>
      <c r="AAL188" s="1016"/>
      <c r="AAM188" s="1016"/>
      <c r="AAN188" s="1016"/>
      <c r="AAO188" s="1016"/>
      <c r="AAP188" s="1016"/>
      <c r="AAQ188" s="1016"/>
      <c r="AAR188" s="1016"/>
      <c r="AAS188" s="1016"/>
      <c r="AAT188" s="1016"/>
      <c r="AAU188" s="1016"/>
      <c r="AAV188" s="1016"/>
      <c r="AAW188" s="1016"/>
      <c r="AAX188" s="1016"/>
      <c r="AAY188" s="1016"/>
      <c r="AAZ188" s="1016"/>
      <c r="ABA188" s="1016"/>
      <c r="ABB188" s="1016"/>
      <c r="ABC188" s="1016"/>
      <c r="ABD188" s="1016"/>
      <c r="ABE188" s="1016"/>
      <c r="ABF188" s="1016"/>
      <c r="ABG188" s="1016"/>
      <c r="ABH188" s="1016"/>
      <c r="ABI188" s="1016"/>
      <c r="ABJ188" s="1016"/>
      <c r="ABK188" s="1016"/>
      <c r="ABL188" s="1016"/>
      <c r="ABM188" s="1016"/>
      <c r="ABN188" s="1016"/>
      <c r="ABO188" s="1016"/>
      <c r="ABP188" s="1016"/>
      <c r="ABQ188" s="1016"/>
      <c r="ABR188" s="1016"/>
      <c r="ABS188" s="1016"/>
      <c r="ABT188" s="1016"/>
      <c r="ABU188" s="1016"/>
      <c r="ABV188" s="1016"/>
      <c r="ABW188" s="1016"/>
      <c r="ABX188" s="1016"/>
      <c r="ABY188" s="1016"/>
      <c r="ABZ188" s="1016"/>
      <c r="ACA188" s="1016"/>
      <c r="ACB188" s="1016"/>
      <c r="ACC188" s="1016"/>
      <c r="ACD188" s="1016"/>
      <c r="ACE188" s="1016"/>
      <c r="ACF188" s="1016"/>
      <c r="ACG188" s="1016"/>
      <c r="ACH188" s="1016"/>
      <c r="ACI188" s="1016"/>
      <c r="ACJ188" s="1016"/>
      <c r="ACK188" s="1016"/>
      <c r="ACL188" s="1016"/>
      <c r="ACM188" s="1016"/>
      <c r="ACN188" s="1016"/>
      <c r="ACO188" s="1016"/>
      <c r="ACP188" s="1016"/>
      <c r="ACQ188" s="1016"/>
      <c r="ACR188" s="1016"/>
      <c r="ACS188" s="1016"/>
      <c r="ACT188" s="1016"/>
      <c r="ACU188" s="1016"/>
      <c r="ACV188" s="1016"/>
      <c r="ACW188" s="1016"/>
      <c r="ACX188" s="1016"/>
      <c r="ACY188" s="1016"/>
      <c r="ACZ188" s="1016"/>
      <c r="ADA188" s="1016"/>
      <c r="ADB188" s="1016"/>
      <c r="ADC188" s="1016"/>
      <c r="ADD188" s="1016"/>
      <c r="ADE188" s="1016"/>
      <c r="ADF188" s="1016"/>
      <c r="ADG188" s="1016"/>
      <c r="ADH188" s="1016"/>
      <c r="ADI188" s="1016"/>
      <c r="ADJ188" s="1016"/>
      <c r="ADK188" s="1016"/>
      <c r="ADL188" s="1016"/>
      <c r="ADM188" s="1016"/>
      <c r="ADN188" s="1016"/>
      <c r="ADO188" s="1016"/>
      <c r="ADP188" s="1016"/>
      <c r="ADQ188" s="1016"/>
      <c r="ADR188" s="1016"/>
      <c r="ADS188" s="1016"/>
      <c r="ADT188" s="1016"/>
      <c r="ADU188" s="1016"/>
      <c r="ADV188" s="1016"/>
      <c r="ADW188" s="1016"/>
      <c r="ADX188" s="1016"/>
      <c r="ADY188" s="1016"/>
      <c r="ADZ188" s="1016"/>
      <c r="AEA188" s="1016"/>
      <c r="AEB188" s="1016"/>
      <c r="AEC188" s="1016"/>
      <c r="AED188" s="1016"/>
      <c r="AEE188" s="1016"/>
      <c r="AEF188" s="1016"/>
      <c r="AEG188" s="1016"/>
      <c r="AEH188" s="1016"/>
      <c r="AEI188" s="1016"/>
      <c r="AEJ188" s="1016"/>
      <c r="AEK188" s="1016"/>
      <c r="AEL188" s="1016"/>
      <c r="AEM188" s="1016"/>
      <c r="AEN188" s="1016"/>
      <c r="AEO188" s="1016"/>
      <c r="AEP188" s="1016"/>
      <c r="AEQ188" s="1016"/>
      <c r="AER188" s="1016"/>
      <c r="AES188" s="1016"/>
      <c r="AET188" s="1016"/>
      <c r="AEU188" s="1016"/>
      <c r="AEV188" s="1016"/>
      <c r="AEW188" s="1016"/>
      <c r="AEX188" s="1016"/>
      <c r="AEY188" s="1016"/>
      <c r="AEZ188" s="1016"/>
      <c r="AFA188" s="1016"/>
      <c r="AFB188" s="1016"/>
      <c r="AFC188" s="1016"/>
      <c r="AFD188" s="1016"/>
      <c r="AFE188" s="1016"/>
      <c r="AFF188" s="1016"/>
      <c r="AFG188" s="1016"/>
      <c r="AFH188" s="1016"/>
      <c r="AFI188" s="1016"/>
      <c r="AFJ188" s="1016"/>
      <c r="AFK188" s="1016"/>
      <c r="AFL188" s="1016"/>
      <c r="AFM188" s="1016"/>
      <c r="AFN188" s="1016"/>
      <c r="AFO188" s="1016"/>
      <c r="AFP188" s="1016"/>
      <c r="AFQ188" s="1016"/>
      <c r="AFR188" s="1016"/>
      <c r="AFS188" s="1016"/>
      <c r="AFT188" s="1016"/>
      <c r="AFU188" s="1016"/>
      <c r="AFV188" s="1016"/>
      <c r="AFW188" s="1016"/>
      <c r="AFX188" s="1016"/>
      <c r="AFY188" s="1016"/>
      <c r="AFZ188" s="1016"/>
      <c r="AGA188" s="1016"/>
      <c r="AGB188" s="1016"/>
      <c r="AGC188" s="1016"/>
      <c r="AGD188" s="1016"/>
      <c r="AGE188" s="1016"/>
      <c r="AGF188" s="1016"/>
      <c r="AGG188" s="1016"/>
      <c r="AGH188" s="1016"/>
      <c r="AGI188" s="1016"/>
      <c r="AGJ188" s="1016"/>
      <c r="AGK188" s="1016"/>
      <c r="AGL188" s="1016"/>
      <c r="AGM188" s="1016"/>
      <c r="AGN188" s="1016"/>
      <c r="AGO188" s="1016"/>
      <c r="AGP188" s="1016"/>
      <c r="AGQ188" s="1016"/>
      <c r="AGR188" s="1016"/>
      <c r="AGS188" s="1016"/>
      <c r="AGT188" s="1016"/>
      <c r="AGU188" s="1016"/>
      <c r="AGV188" s="1016"/>
      <c r="AGW188" s="1016"/>
      <c r="AGX188" s="1016"/>
      <c r="AGY188" s="1016"/>
      <c r="AGZ188" s="1016"/>
      <c r="AHA188" s="1016"/>
      <c r="AHB188" s="1016"/>
      <c r="AHC188" s="1016"/>
      <c r="AHD188" s="1016"/>
      <c r="AHE188" s="1016"/>
      <c r="AHF188" s="1016"/>
      <c r="AHG188" s="1016"/>
      <c r="AHH188" s="1016"/>
      <c r="AHI188" s="1016"/>
      <c r="AHJ188" s="1016"/>
      <c r="AHK188" s="1016"/>
      <c r="AHL188" s="1016"/>
      <c r="AHM188" s="1016"/>
      <c r="AHN188" s="1016"/>
      <c r="AHO188" s="1016"/>
      <c r="AHP188" s="1016"/>
      <c r="AHQ188" s="1016"/>
      <c r="AHR188" s="1016"/>
      <c r="AHS188" s="1016"/>
      <c r="AHT188" s="1016"/>
      <c r="AHU188" s="1016"/>
      <c r="AHV188" s="1016"/>
      <c r="AHW188" s="1016"/>
      <c r="AHX188" s="1016"/>
      <c r="AHY188" s="1016"/>
      <c r="AHZ188" s="1016"/>
      <c r="AIA188" s="1016"/>
      <c r="AIB188" s="1016"/>
      <c r="AIC188" s="1016"/>
      <c r="AID188" s="1016"/>
      <c r="AIE188" s="1016"/>
      <c r="AIF188" s="1016"/>
      <c r="AIG188" s="1016"/>
      <c r="AIH188" s="1016"/>
      <c r="AII188" s="1016"/>
      <c r="AIJ188" s="1016"/>
      <c r="AIK188" s="1016"/>
      <c r="AIL188" s="1016"/>
      <c r="AIM188" s="1016"/>
      <c r="AIN188" s="1016"/>
      <c r="AIO188" s="1016"/>
      <c r="AIP188" s="1016"/>
      <c r="AIQ188" s="1016"/>
      <c r="AIR188" s="1016"/>
      <c r="AIS188" s="1016"/>
      <c r="AIT188" s="1016"/>
      <c r="AIU188" s="1016"/>
      <c r="AIV188" s="1016"/>
      <c r="AIW188" s="1016"/>
      <c r="AIX188" s="1016"/>
      <c r="AIY188" s="1016"/>
      <c r="AIZ188" s="1016"/>
      <c r="AJA188" s="1016"/>
      <c r="AJB188" s="1016"/>
      <c r="AJC188" s="1016"/>
      <c r="AJD188" s="1016"/>
      <c r="AJE188" s="1016"/>
      <c r="AJF188" s="1016"/>
      <c r="AJG188" s="1016"/>
      <c r="AJH188" s="1016"/>
      <c r="AJI188" s="1016"/>
      <c r="AJJ188" s="1016"/>
      <c r="AJK188" s="1016"/>
      <c r="AJL188" s="1016"/>
      <c r="AJM188" s="1016"/>
      <c r="AJN188" s="1016"/>
      <c r="AJO188" s="1016"/>
      <c r="AJP188" s="1016"/>
      <c r="AJQ188" s="1016"/>
      <c r="AJR188" s="1016"/>
      <c r="AJS188" s="1016"/>
      <c r="AJT188" s="1016"/>
      <c r="AJU188" s="1016"/>
      <c r="AJV188" s="1016"/>
      <c r="AJW188" s="1016"/>
      <c r="AJX188" s="1016"/>
      <c r="AJY188" s="1016"/>
      <c r="AJZ188" s="1016"/>
      <c r="AKA188" s="1016"/>
      <c r="AKB188" s="1016"/>
      <c r="AKC188" s="1016"/>
      <c r="AKD188" s="1016"/>
      <c r="AKE188" s="1016"/>
      <c r="AKF188" s="1016"/>
      <c r="AKG188" s="1016"/>
      <c r="AKH188" s="1016"/>
      <c r="AKI188" s="1016"/>
      <c r="AKJ188" s="1016"/>
      <c r="AKK188" s="1016"/>
      <c r="AKL188" s="1016"/>
      <c r="AKM188" s="1016"/>
      <c r="AKN188" s="1016"/>
      <c r="AKO188" s="1016"/>
      <c r="AKP188" s="1016"/>
      <c r="AKQ188" s="1016"/>
      <c r="AKR188" s="1016"/>
      <c r="AKS188" s="1016"/>
      <c r="AKT188" s="1016"/>
      <c r="AKU188" s="1016"/>
      <c r="AKV188" s="1016"/>
      <c r="AKW188" s="1016"/>
      <c r="AKX188" s="1016"/>
      <c r="AKY188" s="1016"/>
      <c r="AKZ188" s="1016"/>
      <c r="ALA188" s="1016"/>
      <c r="ALB188" s="1016"/>
      <c r="ALC188" s="1016"/>
      <c r="ALD188" s="1016"/>
      <c r="ALE188" s="1016"/>
      <c r="ALF188" s="1016"/>
      <c r="ALG188" s="1016"/>
      <c r="ALH188" s="1016"/>
      <c r="ALI188" s="1016"/>
      <c r="ALJ188" s="1016"/>
      <c r="ALK188" s="1016"/>
      <c r="ALL188" s="1016"/>
      <c r="ALM188" s="1016"/>
      <c r="ALN188" s="1016"/>
      <c r="ALO188" s="1016"/>
      <c r="ALP188" s="1016"/>
      <c r="ALQ188" s="1016"/>
      <c r="ALR188" s="1016"/>
      <c r="ALS188" s="1016"/>
      <c r="ALT188" s="1016"/>
      <c r="ALU188" s="1016"/>
      <c r="ALV188" s="1016"/>
      <c r="ALW188" s="1016"/>
      <c r="ALX188" s="1016"/>
      <c r="ALY188" s="1016"/>
      <c r="ALZ188" s="1016"/>
      <c r="AMA188" s="1016"/>
      <c r="AMB188" s="1016"/>
      <c r="AMC188" s="1016"/>
      <c r="AMD188" s="1016"/>
      <c r="AME188" s="1016"/>
      <c r="AMF188" s="1016"/>
      <c r="AMG188" s="1016"/>
      <c r="AMH188" s="1016"/>
      <c r="AMI188" s="1016"/>
      <c r="AMJ188" s="1016"/>
      <c r="AMK188" s="1016"/>
      <c r="AML188" s="1016"/>
      <c r="AMM188" s="1016"/>
      <c r="AMN188" s="1016"/>
      <c r="AMO188" s="1016"/>
      <c r="AMP188" s="1016"/>
      <c r="AMQ188" s="1016"/>
      <c r="AMR188" s="1016"/>
      <c r="AMS188" s="1016"/>
      <c r="AMT188" s="1016"/>
      <c r="AMU188" s="1016"/>
      <c r="AMV188" s="1016"/>
      <c r="AMW188" s="1016"/>
      <c r="AMX188" s="1016"/>
      <c r="AMY188" s="1016"/>
      <c r="AMZ188" s="1016"/>
      <c r="ANA188" s="1016"/>
      <c r="ANB188" s="1016"/>
      <c r="ANC188" s="1016"/>
      <c r="AND188" s="1016"/>
      <c r="ANE188" s="1016"/>
      <c r="ANF188" s="1016"/>
      <c r="ANG188" s="1016"/>
      <c r="ANH188" s="1016"/>
      <c r="ANI188" s="1016"/>
      <c r="ANJ188" s="1016"/>
      <c r="ANK188" s="1016"/>
      <c r="ANL188" s="1016"/>
      <c r="ANM188" s="1016"/>
      <c r="ANN188" s="1016"/>
      <c r="ANO188" s="1016"/>
      <c r="ANP188" s="1016"/>
      <c r="ANQ188" s="1016"/>
      <c r="ANR188" s="1016"/>
      <c r="ANS188" s="1016"/>
      <c r="ANT188" s="1016"/>
      <c r="ANU188" s="1016"/>
      <c r="ANV188" s="1016"/>
      <c r="ANW188" s="1016"/>
      <c r="ANX188" s="1016"/>
      <c r="ANY188" s="1016"/>
      <c r="ANZ188" s="1016"/>
      <c r="AOA188" s="1016"/>
      <c r="AOB188" s="1016"/>
      <c r="AOC188" s="1016"/>
      <c r="AOD188" s="1016"/>
      <c r="AOE188" s="1016"/>
      <c r="AOF188" s="1016"/>
      <c r="AOG188" s="1016"/>
      <c r="AOH188" s="1016"/>
      <c r="AOI188" s="1016"/>
      <c r="AOJ188" s="1016"/>
      <c r="AOK188" s="1016"/>
      <c r="AOL188" s="1016"/>
      <c r="AOM188" s="1016"/>
      <c r="AON188" s="1016"/>
      <c r="AOO188" s="1016"/>
      <c r="AOP188" s="1016"/>
      <c r="AOQ188" s="1016"/>
      <c r="AOR188" s="1016"/>
      <c r="AOS188" s="1016"/>
      <c r="AOT188" s="1016"/>
      <c r="AOU188" s="1016"/>
      <c r="AOV188" s="1016"/>
      <c r="AOW188" s="1016"/>
      <c r="AOX188" s="1016"/>
      <c r="AOY188" s="1016"/>
      <c r="AOZ188" s="1016"/>
      <c r="APA188" s="1016"/>
      <c r="APB188" s="1016"/>
      <c r="APC188" s="1016"/>
      <c r="APD188" s="1016"/>
      <c r="APE188" s="1016"/>
      <c r="APF188" s="1016"/>
      <c r="APG188" s="1016"/>
      <c r="APH188" s="1016"/>
      <c r="API188" s="1016"/>
      <c r="APJ188" s="1016"/>
      <c r="APK188" s="1016"/>
      <c r="APL188" s="1016"/>
      <c r="APM188" s="1016"/>
      <c r="APN188" s="1016"/>
      <c r="APO188" s="1016"/>
      <c r="APP188" s="1016"/>
      <c r="APQ188" s="1016"/>
      <c r="APR188" s="1016"/>
      <c r="APS188" s="1016"/>
      <c r="APT188" s="1016"/>
      <c r="APU188" s="1016"/>
      <c r="APV188" s="1016"/>
      <c r="APW188" s="1016"/>
      <c r="APX188" s="1016"/>
      <c r="APY188" s="1016"/>
      <c r="APZ188" s="1016"/>
      <c r="AQA188" s="1016"/>
      <c r="AQB188" s="1016"/>
      <c r="AQC188" s="1016"/>
      <c r="AQD188" s="1016"/>
      <c r="AQE188" s="1016"/>
      <c r="AQF188" s="1016"/>
      <c r="AQG188" s="1016"/>
      <c r="AQH188" s="1016"/>
      <c r="AQI188" s="1016"/>
      <c r="AQJ188" s="1016"/>
      <c r="AQK188" s="1016"/>
      <c r="AQL188" s="1016"/>
      <c r="AQM188" s="1016"/>
      <c r="AQN188" s="1016"/>
      <c r="AQO188" s="1016"/>
      <c r="AQP188" s="1016"/>
      <c r="AQQ188" s="1016"/>
      <c r="AQR188" s="1016"/>
      <c r="AQS188" s="1016"/>
      <c r="AQT188" s="1016"/>
      <c r="AQU188" s="1016"/>
      <c r="AQV188" s="1016"/>
      <c r="AQW188" s="1016"/>
      <c r="AQX188" s="1016"/>
      <c r="AQY188" s="1016"/>
      <c r="AQZ188" s="1016"/>
      <c r="ARA188" s="1016"/>
      <c r="ARB188" s="1016"/>
      <c r="ARC188" s="1016"/>
      <c r="ARD188" s="1016"/>
      <c r="ARE188" s="1016"/>
      <c r="ARF188" s="1016"/>
      <c r="ARG188" s="1016"/>
      <c r="ARH188" s="1016"/>
      <c r="ARI188" s="1016"/>
      <c r="ARJ188" s="1016"/>
      <c r="ARK188" s="1016"/>
      <c r="ARL188" s="1016"/>
      <c r="ARM188" s="1016"/>
      <c r="ARN188" s="1016"/>
      <c r="ARO188" s="1016"/>
      <c r="ARP188" s="1016"/>
      <c r="ARQ188" s="1016"/>
      <c r="ARR188" s="1016"/>
      <c r="ARS188" s="1016"/>
      <c r="ART188" s="1016"/>
      <c r="ARU188" s="1016"/>
      <c r="ARV188" s="1016"/>
      <c r="ARW188" s="1016"/>
      <c r="ARX188" s="1016"/>
      <c r="ARY188" s="1016"/>
      <c r="ARZ188" s="1016"/>
      <c r="ASA188" s="1016"/>
      <c r="ASB188" s="1016"/>
      <c r="ASC188" s="1016"/>
      <c r="ASD188" s="1016"/>
      <c r="ASE188" s="1016"/>
      <c r="ASF188" s="1016"/>
      <c r="ASG188" s="1016"/>
      <c r="ASH188" s="1016"/>
      <c r="ASI188" s="1016"/>
      <c r="ASJ188" s="1016"/>
      <c r="ASK188" s="1016"/>
      <c r="ASL188" s="1016"/>
      <c r="ASM188" s="1016"/>
      <c r="ASN188" s="1016"/>
      <c r="ASO188" s="1016"/>
      <c r="ASP188" s="1016"/>
      <c r="ASQ188" s="1016"/>
      <c r="ASR188" s="1016"/>
      <c r="ASS188" s="1016"/>
      <c r="AST188" s="1016"/>
      <c r="ASU188" s="1016"/>
      <c r="ASV188" s="1016"/>
      <c r="ASW188" s="1016"/>
      <c r="ASX188" s="1016"/>
      <c r="ASY188" s="1016"/>
      <c r="ASZ188" s="1016"/>
      <c r="ATA188" s="1016"/>
      <c r="ATB188" s="1016"/>
      <c r="ATC188" s="1016"/>
      <c r="ATD188" s="1016"/>
      <c r="ATE188" s="1016"/>
      <c r="ATF188" s="1016"/>
      <c r="ATG188" s="1016"/>
      <c r="ATH188" s="1016"/>
      <c r="ATI188" s="1016"/>
      <c r="ATJ188" s="1016"/>
      <c r="ATK188" s="1016"/>
      <c r="ATL188" s="1016"/>
      <c r="ATM188" s="1016"/>
      <c r="ATN188" s="1016"/>
      <c r="ATO188" s="1016"/>
      <c r="ATP188" s="1016"/>
      <c r="ATQ188" s="1016"/>
      <c r="ATR188" s="1016"/>
      <c r="ATS188" s="1016"/>
      <c r="ATT188" s="1016"/>
      <c r="ATU188" s="1016"/>
      <c r="ATV188" s="1016"/>
      <c r="ATW188" s="1016"/>
      <c r="ATX188" s="1016"/>
      <c r="ATY188" s="1016"/>
      <c r="ATZ188" s="1016"/>
      <c r="AUA188" s="1016"/>
      <c r="AUB188" s="1016"/>
      <c r="AUC188" s="1016"/>
      <c r="AUD188" s="1016"/>
      <c r="AUE188" s="1016"/>
      <c r="AUF188" s="1016"/>
      <c r="AUG188" s="1016"/>
      <c r="AUH188" s="1016"/>
      <c r="AUI188" s="1016"/>
      <c r="AUJ188" s="1016"/>
      <c r="AUK188" s="1016"/>
      <c r="AUL188" s="1016"/>
      <c r="AUM188" s="1016"/>
      <c r="AUN188" s="1016"/>
      <c r="AUO188" s="1016"/>
      <c r="AUP188" s="1016"/>
      <c r="AUQ188" s="1016"/>
      <c r="AUR188" s="1016"/>
      <c r="AUS188" s="1016"/>
      <c r="AUT188" s="1016"/>
      <c r="AUU188" s="1016"/>
      <c r="AUV188" s="1016"/>
      <c r="AUW188" s="1016"/>
      <c r="AUX188" s="1016"/>
      <c r="AUY188" s="1016"/>
      <c r="AUZ188" s="1016"/>
      <c r="AVA188" s="1016"/>
      <c r="AVB188" s="1016"/>
      <c r="AVC188" s="1016"/>
      <c r="AVD188" s="1016"/>
      <c r="AVE188" s="1016"/>
      <c r="AVF188" s="1016"/>
      <c r="AVG188" s="1016"/>
      <c r="AVH188" s="1016"/>
      <c r="AVI188" s="1016"/>
      <c r="AVJ188" s="1016"/>
      <c r="AVK188" s="1016"/>
      <c r="AVL188" s="1016"/>
      <c r="AVM188" s="1016"/>
      <c r="AVN188" s="1016"/>
      <c r="AVO188" s="1016"/>
      <c r="AVP188" s="1016"/>
      <c r="AVQ188" s="1016"/>
      <c r="AVR188" s="1016"/>
      <c r="AVS188" s="1016"/>
      <c r="AVT188" s="1016"/>
      <c r="AVU188" s="1016"/>
      <c r="AVV188" s="1016"/>
      <c r="AVW188" s="1016"/>
      <c r="AVX188" s="1016"/>
      <c r="AVY188" s="1016"/>
      <c r="AVZ188" s="1016"/>
      <c r="AWA188" s="1016"/>
      <c r="AWB188" s="1016"/>
      <c r="AWC188" s="1016"/>
      <c r="AWD188" s="1016"/>
      <c r="AWE188" s="1016"/>
      <c r="AWF188" s="1016"/>
      <c r="AWG188" s="1016"/>
      <c r="AWH188" s="1016"/>
      <c r="AWI188" s="1016"/>
      <c r="AWJ188" s="1016"/>
      <c r="AWK188" s="1016"/>
      <c r="AWL188" s="1016"/>
      <c r="AWM188" s="1016"/>
      <c r="AWN188" s="1016"/>
      <c r="AWO188" s="1016"/>
      <c r="AWP188" s="1016"/>
      <c r="AWQ188" s="1016"/>
      <c r="AWR188" s="1016"/>
      <c r="AWS188" s="1016"/>
      <c r="AWT188" s="1016"/>
      <c r="AWU188" s="1016"/>
      <c r="AWV188" s="1016"/>
      <c r="AWW188" s="1016"/>
      <c r="AWX188" s="1016"/>
      <c r="AWY188" s="1016"/>
      <c r="AWZ188" s="1016"/>
      <c r="AXA188" s="1016"/>
      <c r="AXB188" s="1016"/>
      <c r="AXC188" s="1016"/>
      <c r="AXD188" s="1016"/>
      <c r="AXE188" s="1016"/>
      <c r="AXF188" s="1016"/>
      <c r="AXG188" s="1016"/>
      <c r="AXH188" s="1016"/>
      <c r="AXI188" s="1016"/>
      <c r="AXJ188" s="1016"/>
      <c r="AXK188" s="1016"/>
      <c r="AXL188" s="1016"/>
      <c r="AXM188" s="1016"/>
      <c r="AXN188" s="1016"/>
      <c r="AXO188" s="1016"/>
      <c r="AXP188" s="1016"/>
      <c r="AXQ188" s="1016"/>
      <c r="AXR188" s="1016"/>
      <c r="AXS188" s="1016"/>
      <c r="AXT188" s="1016"/>
      <c r="AXU188" s="1016"/>
      <c r="AXV188" s="1016"/>
      <c r="AXW188" s="1016"/>
      <c r="AXX188" s="1016"/>
      <c r="AXY188" s="1016"/>
      <c r="AXZ188" s="1016"/>
      <c r="AYA188" s="1016"/>
      <c r="AYB188" s="1016"/>
      <c r="AYC188" s="1016"/>
      <c r="AYD188" s="1016"/>
      <c r="AYE188" s="1016"/>
      <c r="AYF188" s="1016"/>
      <c r="AYG188" s="1016"/>
      <c r="AYH188" s="1016"/>
      <c r="AYI188" s="1016"/>
      <c r="AYJ188" s="1016"/>
      <c r="AYK188" s="1016"/>
      <c r="AYL188" s="1016"/>
      <c r="AYM188" s="1016"/>
      <c r="AYN188" s="1016"/>
      <c r="AYO188" s="1016"/>
      <c r="AYP188" s="1016"/>
      <c r="AYQ188" s="1016"/>
      <c r="AYR188" s="1016"/>
      <c r="AYS188" s="1016"/>
      <c r="AYT188" s="1016"/>
      <c r="AYU188" s="1016"/>
      <c r="AYV188" s="1016"/>
      <c r="AYW188" s="1016"/>
      <c r="AYX188" s="1016"/>
      <c r="AYY188" s="1016"/>
      <c r="AYZ188" s="1016"/>
      <c r="AZA188" s="1016"/>
      <c r="AZB188" s="1016"/>
      <c r="AZC188" s="1016"/>
      <c r="AZD188" s="1016"/>
      <c r="AZE188" s="1016"/>
      <c r="AZF188" s="1016"/>
      <c r="AZG188" s="1016"/>
      <c r="AZH188" s="1016"/>
      <c r="AZI188" s="1016"/>
      <c r="AZJ188" s="1016"/>
      <c r="AZK188" s="1016"/>
      <c r="AZL188" s="1016"/>
      <c r="AZM188" s="1016"/>
      <c r="AZN188" s="1016"/>
      <c r="AZO188" s="1016"/>
      <c r="AZP188" s="1016"/>
      <c r="AZQ188" s="1016"/>
      <c r="AZR188" s="1016"/>
      <c r="AZS188" s="1016"/>
      <c r="AZT188" s="1016"/>
      <c r="AZU188" s="1016"/>
      <c r="AZV188" s="1016"/>
      <c r="AZW188" s="1016"/>
      <c r="AZX188" s="1016"/>
      <c r="AZY188" s="1016"/>
      <c r="AZZ188" s="1016"/>
      <c r="BAA188" s="1016"/>
      <c r="BAB188" s="1016"/>
      <c r="BAC188" s="1016"/>
      <c r="BAD188" s="1016"/>
      <c r="BAE188" s="1016"/>
      <c r="BAF188" s="1016"/>
      <c r="BAG188" s="1016"/>
      <c r="BAH188" s="1016"/>
      <c r="BAI188" s="1016"/>
      <c r="BAJ188" s="1016"/>
      <c r="BAK188" s="1016"/>
      <c r="BAL188" s="1016"/>
      <c r="BAM188" s="1016"/>
      <c r="BAN188" s="1016"/>
      <c r="BAO188" s="1016"/>
      <c r="BAP188" s="1016"/>
      <c r="BAQ188" s="1016"/>
      <c r="BAR188" s="1016"/>
      <c r="BAS188" s="1016"/>
      <c r="BAT188" s="1016"/>
      <c r="BAU188" s="1016"/>
      <c r="BAV188" s="1016"/>
      <c r="BAW188" s="1016"/>
      <c r="BAX188" s="1016"/>
      <c r="BAY188" s="1016"/>
      <c r="BAZ188" s="1016"/>
      <c r="BBA188" s="1016"/>
      <c r="BBB188" s="1016"/>
      <c r="BBC188" s="1016"/>
      <c r="BBD188" s="1016"/>
      <c r="BBE188" s="1016"/>
      <c r="BBF188" s="1016"/>
      <c r="BBG188" s="1016"/>
      <c r="BBH188" s="1016"/>
      <c r="BBI188" s="1016"/>
      <c r="BBJ188" s="1016"/>
      <c r="BBK188" s="1016"/>
      <c r="BBL188" s="1016"/>
      <c r="BBM188" s="1016"/>
      <c r="BBN188" s="1016"/>
      <c r="BBO188" s="1016"/>
      <c r="BBP188" s="1016"/>
      <c r="BBQ188" s="1016"/>
      <c r="BBR188" s="1016"/>
      <c r="BBS188" s="1016"/>
      <c r="BBT188" s="1016"/>
      <c r="BBU188" s="1016"/>
      <c r="BBV188" s="1016"/>
      <c r="BBW188" s="1016"/>
      <c r="BBX188" s="1016"/>
      <c r="BBY188" s="1016"/>
      <c r="BBZ188" s="1016"/>
      <c r="BCA188" s="1016"/>
      <c r="BCB188" s="1016"/>
      <c r="BCC188" s="1016"/>
      <c r="BCD188" s="1016"/>
      <c r="BCE188" s="1016"/>
      <c r="BCF188" s="1016"/>
      <c r="BCG188" s="1016"/>
      <c r="BCH188" s="1016"/>
      <c r="BCI188" s="1016"/>
      <c r="BCJ188" s="1016"/>
      <c r="BCK188" s="1016"/>
      <c r="BCL188" s="1016"/>
      <c r="BCM188" s="1016"/>
      <c r="BCN188" s="1016"/>
      <c r="BCO188" s="1016"/>
      <c r="BCP188" s="1016"/>
      <c r="BCQ188" s="1016"/>
      <c r="BCR188" s="1016"/>
      <c r="BCS188" s="1016"/>
      <c r="BCT188" s="1016"/>
      <c r="BCU188" s="1016"/>
      <c r="BCV188" s="1016"/>
      <c r="BCW188" s="1016"/>
      <c r="BCX188" s="1016"/>
      <c r="BCY188" s="1016"/>
      <c r="BCZ188" s="1016"/>
      <c r="BDA188" s="1016"/>
      <c r="BDB188" s="1016"/>
      <c r="BDC188" s="1016"/>
      <c r="BDD188" s="1016"/>
      <c r="BDE188" s="1016"/>
      <c r="BDF188" s="1016"/>
      <c r="BDG188" s="1016"/>
      <c r="BDH188" s="1016"/>
      <c r="BDI188" s="1016"/>
      <c r="BDJ188" s="1016"/>
      <c r="BDK188" s="1016"/>
      <c r="BDL188" s="1016"/>
      <c r="BDM188" s="1016"/>
      <c r="BDN188" s="1016"/>
      <c r="BDO188" s="1016"/>
      <c r="BDP188" s="1016"/>
      <c r="BDQ188" s="1016"/>
      <c r="BDR188" s="1016"/>
      <c r="BDS188" s="1016"/>
      <c r="BDT188" s="1016"/>
      <c r="BDU188" s="1016"/>
      <c r="BDV188" s="1016"/>
      <c r="BDW188" s="1016"/>
      <c r="BDX188" s="1016"/>
      <c r="BDY188" s="1016"/>
      <c r="BDZ188" s="1016"/>
      <c r="BEA188" s="1016"/>
      <c r="BEB188" s="1016"/>
      <c r="BEC188" s="1016"/>
      <c r="BED188" s="1016"/>
      <c r="BEE188" s="1016"/>
      <c r="BEF188" s="1016"/>
      <c r="BEG188" s="1016"/>
      <c r="BEH188" s="1016"/>
      <c r="BEI188" s="1016"/>
      <c r="BEJ188" s="1016"/>
      <c r="BEK188" s="1016"/>
      <c r="BEL188" s="1016"/>
      <c r="BEM188" s="1016"/>
      <c r="BEN188" s="1016"/>
      <c r="BEO188" s="1016"/>
      <c r="BEP188" s="1016"/>
      <c r="BEQ188" s="1016"/>
      <c r="BER188" s="1016"/>
      <c r="BES188" s="1016"/>
      <c r="BET188" s="1016"/>
      <c r="BEU188" s="1016"/>
      <c r="BEV188" s="1016"/>
      <c r="BEW188" s="1016"/>
      <c r="BEX188" s="1016"/>
      <c r="BEY188" s="1016"/>
      <c r="BEZ188" s="1016"/>
      <c r="BFA188" s="1016"/>
      <c r="BFB188" s="1016"/>
      <c r="BFC188" s="1016"/>
      <c r="BFD188" s="1016"/>
      <c r="BFE188" s="1016"/>
      <c r="BFF188" s="1016"/>
      <c r="BFG188" s="1016"/>
      <c r="BFH188" s="1016"/>
      <c r="BFI188" s="1016"/>
      <c r="BFJ188" s="1016"/>
      <c r="BFK188" s="1016"/>
      <c r="BFL188" s="1016"/>
      <c r="BFM188" s="1016"/>
      <c r="BFN188" s="1016"/>
      <c r="BFO188" s="1016"/>
      <c r="BFP188" s="1016"/>
      <c r="BFQ188" s="1016"/>
      <c r="BFR188" s="1016"/>
      <c r="BFS188" s="1016"/>
      <c r="BFT188" s="1016"/>
      <c r="BFU188" s="1016"/>
      <c r="BFV188" s="1016"/>
      <c r="BFW188" s="1016"/>
      <c r="BFX188" s="1016"/>
      <c r="BFY188" s="1016"/>
      <c r="BFZ188" s="1016"/>
      <c r="BGA188" s="1016"/>
      <c r="BGB188" s="1016"/>
      <c r="BGC188" s="1016"/>
      <c r="BGD188" s="1016"/>
      <c r="BGE188" s="1016"/>
      <c r="BGF188" s="1016"/>
      <c r="BGG188" s="1016"/>
      <c r="BGH188" s="1016"/>
      <c r="BGI188" s="1016"/>
      <c r="BGJ188" s="1016"/>
      <c r="BGK188" s="1016"/>
      <c r="BGL188" s="1016"/>
      <c r="BGM188" s="1016"/>
      <c r="BGN188" s="1016"/>
      <c r="BGO188" s="1016"/>
      <c r="BGP188" s="1016"/>
      <c r="BGQ188" s="1016"/>
      <c r="BGR188" s="1016"/>
      <c r="BGS188" s="1016"/>
      <c r="BGT188" s="1016"/>
      <c r="BGU188" s="1016"/>
      <c r="BGV188" s="1016"/>
      <c r="BGW188" s="1016"/>
      <c r="BGX188" s="1016"/>
      <c r="BGY188" s="1016"/>
      <c r="BGZ188" s="1016"/>
      <c r="BHA188" s="1016"/>
      <c r="BHB188" s="1016"/>
      <c r="BHC188" s="1016"/>
      <c r="BHD188" s="1016"/>
      <c r="BHE188" s="1016"/>
      <c r="BHF188" s="1016"/>
      <c r="BHG188" s="1016"/>
      <c r="BHH188" s="1016"/>
      <c r="BHI188" s="1016"/>
      <c r="BHJ188" s="1016"/>
      <c r="BHK188" s="1016"/>
      <c r="BHL188" s="1016"/>
      <c r="BHM188" s="1016"/>
      <c r="BHN188" s="1016"/>
      <c r="BHO188" s="1016"/>
      <c r="BHP188" s="1016"/>
      <c r="BHQ188" s="1016"/>
      <c r="BHR188" s="1016"/>
      <c r="BHS188" s="1016"/>
      <c r="BHT188" s="1016"/>
      <c r="BHU188" s="1016"/>
      <c r="BHV188" s="1016"/>
      <c r="BHW188" s="1016"/>
      <c r="BHX188" s="1016"/>
      <c r="BHY188" s="1016"/>
      <c r="BHZ188" s="1016"/>
      <c r="BIA188" s="1016"/>
      <c r="BIB188" s="1016"/>
      <c r="BIC188" s="1016"/>
      <c r="BID188" s="1016"/>
      <c r="BIE188" s="1016"/>
      <c r="BIF188" s="1016"/>
      <c r="BIG188" s="1016"/>
      <c r="BIH188" s="1016"/>
      <c r="BII188" s="1016"/>
      <c r="BIJ188" s="1016"/>
      <c r="BIK188" s="1016"/>
      <c r="BIL188" s="1016"/>
      <c r="BIM188" s="1016"/>
      <c r="BIN188" s="1016"/>
      <c r="BIO188" s="1016"/>
      <c r="BIP188" s="1016"/>
      <c r="BIQ188" s="1016"/>
      <c r="BIR188" s="1016"/>
      <c r="BIS188" s="1016"/>
      <c r="BIT188" s="1016"/>
      <c r="BIU188" s="1016"/>
      <c r="BIV188" s="1016"/>
      <c r="BIW188" s="1016"/>
      <c r="BIX188" s="1016"/>
      <c r="BIY188" s="1016"/>
      <c r="BIZ188" s="1016"/>
      <c r="BJA188" s="1016"/>
      <c r="BJB188" s="1016"/>
      <c r="BJC188" s="1016"/>
      <c r="BJD188" s="1016"/>
      <c r="BJE188" s="1016"/>
      <c r="BJF188" s="1016"/>
      <c r="BJG188" s="1016"/>
      <c r="BJH188" s="1016"/>
      <c r="BJI188" s="1016"/>
      <c r="BJJ188" s="1016"/>
      <c r="BJK188" s="1016"/>
      <c r="BJL188" s="1016"/>
      <c r="BJM188" s="1016"/>
      <c r="BJN188" s="1016"/>
      <c r="BJO188" s="1016"/>
      <c r="BJP188" s="1016"/>
      <c r="BJQ188" s="1016"/>
      <c r="BJR188" s="1016"/>
      <c r="BJS188" s="1016"/>
      <c r="BJT188" s="1016"/>
      <c r="BJU188" s="1016"/>
      <c r="BJV188" s="1016"/>
      <c r="BJW188" s="1016"/>
      <c r="BJX188" s="1016"/>
      <c r="BJY188" s="1016"/>
      <c r="BJZ188" s="1016"/>
      <c r="BKA188" s="1016"/>
      <c r="BKB188" s="1016"/>
      <c r="BKC188" s="1016"/>
      <c r="BKD188" s="1016"/>
      <c r="BKE188" s="1016"/>
      <c r="BKF188" s="1016"/>
      <c r="BKG188" s="1016"/>
      <c r="BKH188" s="1016"/>
      <c r="BKI188" s="1016"/>
      <c r="BKJ188" s="1016"/>
      <c r="BKK188" s="1016"/>
      <c r="BKL188" s="1016"/>
      <c r="BKM188" s="1016"/>
      <c r="BKN188" s="1016"/>
      <c r="BKO188" s="1016"/>
      <c r="BKP188" s="1016"/>
      <c r="BKQ188" s="1016"/>
      <c r="BKR188" s="1016"/>
      <c r="BKS188" s="1016"/>
      <c r="BKT188" s="1016"/>
      <c r="BKU188" s="1016"/>
      <c r="BKV188" s="1016"/>
      <c r="BKW188" s="1016"/>
      <c r="BKX188" s="1016"/>
      <c r="BKY188" s="1016"/>
      <c r="BKZ188" s="1016"/>
      <c r="BLA188" s="1016"/>
      <c r="BLB188" s="1016"/>
      <c r="BLC188" s="1016"/>
      <c r="BLD188" s="1016"/>
      <c r="BLE188" s="1016"/>
      <c r="BLF188" s="1016"/>
      <c r="BLG188" s="1016"/>
      <c r="BLH188" s="1016"/>
      <c r="BLI188" s="1016"/>
      <c r="BLJ188" s="1016"/>
      <c r="BLK188" s="1016"/>
      <c r="BLL188" s="1016"/>
      <c r="BLM188" s="1016"/>
      <c r="BLN188" s="1016"/>
      <c r="BLO188" s="1016"/>
      <c r="BLP188" s="1016"/>
      <c r="BLQ188" s="1016"/>
      <c r="BLR188" s="1016"/>
      <c r="BLS188" s="1016"/>
      <c r="BLT188" s="1016"/>
      <c r="BLU188" s="1016"/>
      <c r="BLV188" s="1016"/>
      <c r="BLW188" s="1016"/>
      <c r="BLX188" s="1016"/>
      <c r="BLY188" s="1016"/>
      <c r="BLZ188" s="1016"/>
      <c r="BMA188" s="1016"/>
      <c r="BMB188" s="1016"/>
      <c r="BMC188" s="1016"/>
      <c r="BMD188" s="1016"/>
      <c r="BME188" s="1016"/>
      <c r="BMF188" s="1016"/>
      <c r="BMG188" s="1016"/>
      <c r="BMH188" s="1016"/>
      <c r="BMI188" s="1016"/>
      <c r="BMJ188" s="1016"/>
      <c r="BMK188" s="1016"/>
      <c r="BML188" s="1016"/>
      <c r="BMM188" s="1016"/>
      <c r="BMN188" s="1016"/>
      <c r="BMO188" s="1016"/>
      <c r="BMP188" s="1016"/>
      <c r="BMQ188" s="1016"/>
      <c r="BMR188" s="1016"/>
      <c r="BMS188" s="1016"/>
      <c r="BMT188" s="1016"/>
      <c r="BMU188" s="1016"/>
      <c r="BMV188" s="1016"/>
      <c r="BMW188" s="1016"/>
      <c r="BMX188" s="1016"/>
      <c r="BMY188" s="1016"/>
      <c r="BMZ188" s="1016"/>
      <c r="BNA188" s="1016"/>
      <c r="BNB188" s="1016"/>
      <c r="BNC188" s="1016"/>
      <c r="BND188" s="1016"/>
      <c r="BNE188" s="1016"/>
      <c r="BNF188" s="1016"/>
      <c r="BNG188" s="1016"/>
      <c r="BNH188" s="1016"/>
      <c r="BNI188" s="1016"/>
      <c r="BNJ188" s="1016"/>
      <c r="BNK188" s="1016"/>
      <c r="BNL188" s="1016"/>
      <c r="BNM188" s="1016"/>
      <c r="BNN188" s="1016"/>
      <c r="BNO188" s="1016"/>
      <c r="BNP188" s="1016"/>
      <c r="BNQ188" s="1016"/>
      <c r="BNR188" s="1016"/>
      <c r="BNS188" s="1016"/>
      <c r="BNT188" s="1016"/>
      <c r="BNU188" s="1016"/>
      <c r="BNV188" s="1016"/>
      <c r="BNW188" s="1016"/>
      <c r="BNX188" s="1016"/>
      <c r="BNY188" s="1016"/>
      <c r="BNZ188" s="1016"/>
      <c r="BOA188" s="1016"/>
      <c r="BOB188" s="1016"/>
      <c r="BOC188" s="1016"/>
      <c r="BOD188" s="1016"/>
      <c r="BOE188" s="1016"/>
      <c r="BOF188" s="1016"/>
      <c r="BOG188" s="1016"/>
      <c r="BOH188" s="1016"/>
      <c r="BOI188" s="1016"/>
      <c r="BOJ188" s="1016"/>
      <c r="BOK188" s="1016"/>
      <c r="BOL188" s="1016"/>
      <c r="BOM188" s="1016"/>
      <c r="BON188" s="1016"/>
      <c r="BOO188" s="1016"/>
      <c r="BOP188" s="1016"/>
      <c r="BOQ188" s="1016"/>
      <c r="BOR188" s="1016"/>
      <c r="BOS188" s="1016"/>
      <c r="BOT188" s="1016"/>
      <c r="BOU188" s="1016"/>
      <c r="BOV188" s="1016"/>
      <c r="BOW188" s="1016"/>
      <c r="BOX188" s="1016"/>
      <c r="BOY188" s="1016"/>
      <c r="BOZ188" s="1016"/>
      <c r="BPA188" s="1016"/>
      <c r="BPB188" s="1016"/>
      <c r="BPC188" s="1016"/>
      <c r="BPD188" s="1016"/>
      <c r="BPE188" s="1016"/>
      <c r="BPF188" s="1016"/>
      <c r="BPG188" s="1016"/>
      <c r="BPH188" s="1016"/>
      <c r="BPI188" s="1016"/>
      <c r="BPJ188" s="1016"/>
      <c r="BPK188" s="1016"/>
      <c r="BPL188" s="1016"/>
      <c r="BPM188" s="1016"/>
      <c r="BPN188" s="1016"/>
      <c r="BPO188" s="1016"/>
      <c r="BPP188" s="1016"/>
      <c r="BPQ188" s="1016"/>
      <c r="BPR188" s="1016"/>
      <c r="BPS188" s="1016"/>
      <c r="BPT188" s="1016"/>
      <c r="BPU188" s="1016"/>
      <c r="BPV188" s="1016"/>
      <c r="BPW188" s="1016"/>
      <c r="BPX188" s="1016"/>
      <c r="BPY188" s="1016"/>
      <c r="BPZ188" s="1016"/>
      <c r="BQA188" s="1016"/>
      <c r="BQB188" s="1016"/>
      <c r="BQC188" s="1016"/>
      <c r="BQD188" s="1016"/>
      <c r="BQE188" s="1016"/>
      <c r="BQF188" s="1016"/>
      <c r="BQG188" s="1016"/>
      <c r="BQH188" s="1016"/>
      <c r="BQI188" s="1016"/>
      <c r="BQJ188" s="1016"/>
      <c r="BQK188" s="1016"/>
      <c r="BQL188" s="1016"/>
      <c r="BQM188" s="1016"/>
      <c r="BQN188" s="1016"/>
      <c r="BQO188" s="1016"/>
      <c r="BQP188" s="1016"/>
      <c r="BQQ188" s="1016"/>
      <c r="BQR188" s="1016"/>
      <c r="BQS188" s="1016"/>
      <c r="BQT188" s="1016"/>
      <c r="BQU188" s="1016"/>
      <c r="BQV188" s="1016"/>
      <c r="BQW188" s="1016"/>
      <c r="BQX188" s="1016"/>
      <c r="BQY188" s="1016"/>
      <c r="BQZ188" s="1016"/>
      <c r="BRA188" s="1016"/>
      <c r="BRB188" s="1016"/>
      <c r="BRC188" s="1016"/>
      <c r="BRD188" s="1016"/>
      <c r="BRE188" s="1016"/>
      <c r="BRF188" s="1016"/>
      <c r="BRG188" s="1016"/>
      <c r="BRH188" s="1016"/>
      <c r="BRI188" s="1016"/>
      <c r="BRJ188" s="1016"/>
      <c r="BRK188" s="1016"/>
      <c r="BRL188" s="1016"/>
      <c r="BRM188" s="1016"/>
      <c r="BRN188" s="1016"/>
      <c r="BRO188" s="1016"/>
      <c r="BRP188" s="1016"/>
      <c r="BRQ188" s="1016"/>
      <c r="BRR188" s="1016"/>
      <c r="BRS188" s="1016"/>
      <c r="BRT188" s="1016"/>
      <c r="BRU188" s="1016"/>
      <c r="BRV188" s="1016"/>
      <c r="BRW188" s="1016"/>
      <c r="BRX188" s="1016"/>
      <c r="BRY188" s="1016"/>
      <c r="BRZ188" s="1016"/>
      <c r="BSA188" s="1016"/>
      <c r="BSB188" s="1016"/>
      <c r="BSC188" s="1016"/>
      <c r="BSD188" s="1016"/>
      <c r="BSE188" s="1016"/>
      <c r="BSF188" s="1016"/>
      <c r="BSG188" s="1016"/>
      <c r="BSH188" s="1016"/>
      <c r="BSI188" s="1016"/>
      <c r="BSJ188" s="1016"/>
      <c r="BSK188" s="1016"/>
      <c r="BSL188" s="1016"/>
      <c r="BSM188" s="1016"/>
      <c r="BSN188" s="1016"/>
      <c r="BSO188" s="1016"/>
      <c r="BSP188" s="1016"/>
      <c r="BSQ188" s="1016"/>
      <c r="BSR188" s="1016"/>
      <c r="BSS188" s="1016"/>
      <c r="BST188" s="1016"/>
      <c r="BSU188" s="1016"/>
      <c r="BSV188" s="1016"/>
      <c r="BSW188" s="1016"/>
      <c r="BSX188" s="1016"/>
      <c r="BSY188" s="1016"/>
      <c r="BSZ188" s="1016"/>
      <c r="BTA188" s="1016"/>
      <c r="BTB188" s="1016"/>
      <c r="BTC188" s="1016"/>
      <c r="BTD188" s="1016"/>
      <c r="BTE188" s="1016"/>
      <c r="BTF188" s="1016"/>
      <c r="BTG188" s="1016"/>
      <c r="BTH188" s="1016"/>
      <c r="BTI188" s="1016"/>
      <c r="BTJ188" s="1016"/>
      <c r="BTK188" s="1016"/>
      <c r="BTL188" s="1016"/>
      <c r="BTM188" s="1016"/>
      <c r="BTN188" s="1016"/>
      <c r="BTO188" s="1016"/>
      <c r="BTP188" s="1016"/>
      <c r="BTQ188" s="1016"/>
      <c r="BTR188" s="1016"/>
      <c r="BTS188" s="1016"/>
      <c r="BTT188" s="1016"/>
      <c r="BTU188" s="1016"/>
      <c r="BTV188" s="1016"/>
      <c r="BTW188" s="1016"/>
      <c r="BTX188" s="1016"/>
      <c r="BTY188" s="1016"/>
      <c r="BTZ188" s="1016"/>
      <c r="BUA188" s="1016"/>
      <c r="BUB188" s="1016"/>
      <c r="BUC188" s="1016"/>
      <c r="BUD188" s="1016"/>
      <c r="BUE188" s="1016"/>
      <c r="BUF188" s="1016"/>
      <c r="BUG188" s="1016"/>
      <c r="BUH188" s="1016"/>
      <c r="BUI188" s="1016"/>
      <c r="BUJ188" s="1016"/>
      <c r="BUK188" s="1016"/>
      <c r="BUL188" s="1016"/>
      <c r="BUM188" s="1016"/>
      <c r="BUN188" s="1016"/>
      <c r="BUO188" s="1016"/>
      <c r="BUP188" s="1016"/>
      <c r="BUQ188" s="1016"/>
      <c r="BUR188" s="1016"/>
      <c r="BUS188" s="1016"/>
      <c r="BUT188" s="1016"/>
      <c r="BUU188" s="1016"/>
      <c r="BUV188" s="1016"/>
      <c r="BUW188" s="1016"/>
      <c r="BUX188" s="1016"/>
      <c r="BUY188" s="1016"/>
      <c r="BUZ188" s="1016"/>
      <c r="BVA188" s="1016"/>
      <c r="BVB188" s="1016"/>
      <c r="BVC188" s="1016"/>
      <c r="BVD188" s="1016"/>
      <c r="BVE188" s="1016"/>
      <c r="BVF188" s="1016"/>
      <c r="BVG188" s="1016"/>
      <c r="BVH188" s="1016"/>
      <c r="BVI188" s="1016"/>
      <c r="BVJ188" s="1016"/>
      <c r="BVK188" s="1016"/>
      <c r="BVL188" s="1016"/>
      <c r="BVM188" s="1016"/>
      <c r="BVN188" s="1016"/>
      <c r="BVO188" s="1016"/>
      <c r="BVP188" s="1016"/>
      <c r="BVQ188" s="1016"/>
      <c r="BVR188" s="1016"/>
      <c r="BVS188" s="1016"/>
      <c r="BVT188" s="1016"/>
      <c r="BVU188" s="1016"/>
      <c r="BVV188" s="1016"/>
      <c r="BVW188" s="1016"/>
      <c r="BVX188" s="1016"/>
      <c r="BVY188" s="1016"/>
      <c r="BVZ188" s="1016"/>
      <c r="BWA188" s="1016"/>
      <c r="BWB188" s="1016"/>
      <c r="BWC188" s="1016"/>
      <c r="BWD188" s="1016"/>
      <c r="BWE188" s="1016"/>
      <c r="BWF188" s="1016"/>
      <c r="BWG188" s="1016"/>
      <c r="BWH188" s="1016"/>
      <c r="BWI188" s="1016"/>
      <c r="BWJ188" s="1016"/>
      <c r="BWK188" s="1016"/>
      <c r="BWL188" s="1016"/>
      <c r="BWM188" s="1016"/>
      <c r="BWN188" s="1016"/>
      <c r="BWO188" s="1016"/>
      <c r="BWP188" s="1016"/>
      <c r="BWQ188" s="1016"/>
      <c r="BWR188" s="1016"/>
      <c r="BWS188" s="1016"/>
      <c r="BWT188" s="1016"/>
      <c r="BWU188" s="1016"/>
      <c r="BWV188" s="1016"/>
      <c r="BWW188" s="1016"/>
      <c r="BWX188" s="1016"/>
      <c r="BWY188" s="1016"/>
      <c r="BWZ188" s="1016"/>
      <c r="BXA188" s="1016"/>
      <c r="BXB188" s="1016"/>
      <c r="BXC188" s="1016"/>
      <c r="BXD188" s="1016"/>
      <c r="BXE188" s="1016"/>
      <c r="BXF188" s="1016"/>
      <c r="BXG188" s="1016"/>
      <c r="BXH188" s="1016"/>
      <c r="BXI188" s="1016"/>
      <c r="BXJ188" s="1016"/>
      <c r="BXK188" s="1016"/>
      <c r="BXL188" s="1016"/>
      <c r="BXM188" s="1016"/>
      <c r="BXN188" s="1016"/>
      <c r="BXO188" s="1016"/>
      <c r="BXP188" s="1016"/>
      <c r="BXQ188" s="1016"/>
      <c r="BXR188" s="1016"/>
      <c r="BXS188" s="1016"/>
      <c r="BXT188" s="1016"/>
      <c r="BXU188" s="1016"/>
      <c r="BXV188" s="1016"/>
      <c r="BXW188" s="1016"/>
      <c r="BXX188" s="1016"/>
      <c r="BXY188" s="1016"/>
      <c r="BXZ188" s="1016"/>
      <c r="BYA188" s="1016"/>
      <c r="BYB188" s="1016"/>
      <c r="BYC188" s="1016"/>
      <c r="BYD188" s="1016"/>
      <c r="BYE188" s="1016"/>
      <c r="BYF188" s="1016"/>
      <c r="BYG188" s="1016"/>
      <c r="BYH188" s="1016"/>
      <c r="BYI188" s="1016"/>
      <c r="BYJ188" s="1016"/>
      <c r="BYK188" s="1016"/>
      <c r="BYL188" s="1016"/>
      <c r="BYM188" s="1016"/>
      <c r="BYN188" s="1016"/>
      <c r="BYO188" s="1016"/>
      <c r="BYP188" s="1016"/>
      <c r="BYQ188" s="1016"/>
      <c r="BYR188" s="1016"/>
      <c r="BYS188" s="1016"/>
      <c r="BYT188" s="1016"/>
      <c r="BYU188" s="1016"/>
      <c r="BYV188" s="1016"/>
      <c r="BYW188" s="1016"/>
      <c r="BYX188" s="1016"/>
      <c r="BYY188" s="1016"/>
      <c r="BYZ188" s="1016"/>
      <c r="BZA188" s="1016"/>
      <c r="BZB188" s="1016"/>
      <c r="BZC188" s="1016"/>
      <c r="BZD188" s="1016"/>
      <c r="BZE188" s="1016"/>
      <c r="BZF188" s="1016"/>
      <c r="BZG188" s="1016"/>
      <c r="BZH188" s="1016"/>
      <c r="BZI188" s="1016"/>
      <c r="BZJ188" s="1016"/>
      <c r="BZK188" s="1016"/>
      <c r="BZL188" s="1016"/>
      <c r="BZM188" s="1016"/>
      <c r="BZN188" s="1016"/>
      <c r="BZO188" s="1016"/>
      <c r="BZP188" s="1016"/>
      <c r="BZQ188" s="1016"/>
      <c r="BZR188" s="1016"/>
      <c r="BZS188" s="1016"/>
      <c r="BZT188" s="1016"/>
      <c r="BZU188" s="1016"/>
      <c r="BZV188" s="1016"/>
      <c r="BZW188" s="1016"/>
      <c r="BZX188" s="1016"/>
      <c r="BZY188" s="1016"/>
      <c r="BZZ188" s="1016"/>
      <c r="CAA188" s="1016"/>
      <c r="CAB188" s="1016"/>
      <c r="CAC188" s="1016"/>
      <c r="CAD188" s="1016"/>
      <c r="CAE188" s="1016"/>
      <c r="CAF188" s="1016"/>
      <c r="CAG188" s="1016"/>
      <c r="CAH188" s="1016"/>
      <c r="CAI188" s="1016"/>
      <c r="CAJ188" s="1016"/>
      <c r="CAK188" s="1016"/>
      <c r="CAL188" s="1016"/>
      <c r="CAM188" s="1016"/>
      <c r="CAN188" s="1016"/>
      <c r="CAO188" s="1016"/>
      <c r="CAP188" s="1016"/>
      <c r="CAQ188" s="1016"/>
      <c r="CAR188" s="1016"/>
      <c r="CAS188" s="1016"/>
      <c r="CAT188" s="1016"/>
      <c r="CAU188" s="1016"/>
      <c r="CAV188" s="1016"/>
      <c r="CAW188" s="1016"/>
      <c r="CAX188" s="1016"/>
      <c r="CAY188" s="1016"/>
      <c r="CAZ188" s="1016"/>
      <c r="CBA188" s="1016"/>
      <c r="CBB188" s="1016"/>
      <c r="CBC188" s="1016"/>
      <c r="CBD188" s="1016"/>
      <c r="CBE188" s="1016"/>
      <c r="CBF188" s="1016"/>
      <c r="CBG188" s="1016"/>
      <c r="CBH188" s="1016"/>
      <c r="CBI188" s="1016"/>
      <c r="CBJ188" s="1016"/>
      <c r="CBK188" s="1016"/>
      <c r="CBL188" s="1016"/>
      <c r="CBM188" s="1016"/>
      <c r="CBN188" s="1016"/>
      <c r="CBO188" s="1016"/>
      <c r="CBP188" s="1016"/>
      <c r="CBQ188" s="1016"/>
      <c r="CBR188" s="1016"/>
      <c r="CBS188" s="1016"/>
      <c r="CBT188" s="1016"/>
      <c r="CBU188" s="1016"/>
      <c r="CBV188" s="1016"/>
      <c r="CBW188" s="1016"/>
      <c r="CBX188" s="1016"/>
      <c r="CBY188" s="1016"/>
      <c r="CBZ188" s="1016"/>
      <c r="CCA188" s="1016"/>
      <c r="CCB188" s="1016"/>
      <c r="CCC188" s="1016"/>
      <c r="CCD188" s="1016"/>
      <c r="CCE188" s="1016"/>
      <c r="CCF188" s="1016"/>
      <c r="CCG188" s="1016"/>
      <c r="CCH188" s="1016"/>
      <c r="CCI188" s="1016"/>
      <c r="CCJ188" s="1016"/>
      <c r="CCK188" s="1016"/>
      <c r="CCL188" s="1016"/>
      <c r="CCM188" s="1016"/>
      <c r="CCN188" s="1016"/>
      <c r="CCO188" s="1016"/>
      <c r="CCP188" s="1016"/>
      <c r="CCQ188" s="1016"/>
      <c r="CCR188" s="1016"/>
      <c r="CCS188" s="1016"/>
      <c r="CCT188" s="1016"/>
      <c r="CCU188" s="1016"/>
      <c r="CCV188" s="1016"/>
      <c r="CCW188" s="1016"/>
      <c r="CCX188" s="1016"/>
      <c r="CCY188" s="1016"/>
      <c r="CCZ188" s="1016"/>
      <c r="CDA188" s="1016"/>
      <c r="CDB188" s="1016"/>
      <c r="CDC188" s="1016"/>
      <c r="CDD188" s="1016"/>
      <c r="CDE188" s="1016"/>
      <c r="CDF188" s="1016"/>
      <c r="CDG188" s="1016"/>
      <c r="CDH188" s="1016"/>
      <c r="CDI188" s="1016"/>
      <c r="CDJ188" s="1016"/>
      <c r="CDK188" s="1016"/>
      <c r="CDL188" s="1016"/>
      <c r="CDM188" s="1016"/>
      <c r="CDN188" s="1016"/>
      <c r="CDO188" s="1016"/>
      <c r="CDP188" s="1016"/>
      <c r="CDQ188" s="1016"/>
      <c r="CDR188" s="1016"/>
      <c r="CDS188" s="1016"/>
      <c r="CDT188" s="1016"/>
      <c r="CDU188" s="1016"/>
      <c r="CDV188" s="1016"/>
      <c r="CDW188" s="1016"/>
      <c r="CDX188" s="1016"/>
      <c r="CDY188" s="1016"/>
      <c r="CDZ188" s="1016"/>
      <c r="CEA188" s="1016"/>
      <c r="CEB188" s="1016"/>
      <c r="CEC188" s="1016"/>
      <c r="CED188" s="1016"/>
      <c r="CEE188" s="1016"/>
      <c r="CEF188" s="1016"/>
      <c r="CEG188" s="1016"/>
      <c r="CEH188" s="1016"/>
      <c r="CEI188" s="1016"/>
      <c r="CEJ188" s="1016"/>
      <c r="CEK188" s="1016"/>
      <c r="CEL188" s="1016"/>
      <c r="CEM188" s="1016"/>
      <c r="CEN188" s="1016"/>
      <c r="CEO188" s="1016"/>
      <c r="CEP188" s="1016"/>
      <c r="CEQ188" s="1016"/>
      <c r="CER188" s="1016"/>
      <c r="CES188" s="1016"/>
      <c r="CET188" s="1016"/>
      <c r="CEU188" s="1016"/>
      <c r="CEV188" s="1016"/>
      <c r="CEW188" s="1016"/>
      <c r="CEX188" s="1016"/>
      <c r="CEY188" s="1016"/>
      <c r="CEZ188" s="1016"/>
      <c r="CFA188" s="1016"/>
      <c r="CFB188" s="1016"/>
      <c r="CFC188" s="1016"/>
      <c r="CFD188" s="1016"/>
      <c r="CFE188" s="1016"/>
      <c r="CFF188" s="1016"/>
      <c r="CFG188" s="1016"/>
      <c r="CFH188" s="1016"/>
      <c r="CFI188" s="1016"/>
      <c r="CFJ188" s="1016"/>
      <c r="CFK188" s="1016"/>
      <c r="CFL188" s="1016"/>
      <c r="CFM188" s="1016"/>
      <c r="CFN188" s="1016"/>
      <c r="CFO188" s="1016"/>
      <c r="CFP188" s="1016"/>
      <c r="CFQ188" s="1016"/>
      <c r="CFR188" s="1016"/>
      <c r="CFS188" s="1016"/>
      <c r="CFT188" s="1016"/>
      <c r="CFU188" s="1016"/>
      <c r="CFV188" s="1016"/>
      <c r="CFW188" s="1016"/>
      <c r="CFX188" s="1016"/>
      <c r="CFY188" s="1016"/>
      <c r="CFZ188" s="1016"/>
      <c r="CGA188" s="1016"/>
      <c r="CGB188" s="1016"/>
      <c r="CGC188" s="1016"/>
      <c r="CGD188" s="1016"/>
      <c r="CGE188" s="1016"/>
      <c r="CGF188" s="1016"/>
      <c r="CGG188" s="1016"/>
      <c r="CGH188" s="1016"/>
      <c r="CGI188" s="1016"/>
      <c r="CGJ188" s="1016"/>
      <c r="CGK188" s="1016"/>
      <c r="CGL188" s="1016"/>
      <c r="CGM188" s="1016"/>
      <c r="CGN188" s="1016"/>
      <c r="CGO188" s="1016"/>
      <c r="CGP188" s="1016"/>
      <c r="CGQ188" s="1016"/>
      <c r="CGR188" s="1016"/>
      <c r="CGS188" s="1016"/>
      <c r="CGT188" s="1016"/>
      <c r="CGU188" s="1016"/>
      <c r="CGV188" s="1016"/>
      <c r="CGW188" s="1016"/>
      <c r="CGX188" s="1016"/>
      <c r="CGY188" s="1016"/>
      <c r="CGZ188" s="1016"/>
      <c r="CHA188" s="1016"/>
      <c r="CHB188" s="1016"/>
      <c r="CHC188" s="1016"/>
      <c r="CHD188" s="1016"/>
      <c r="CHE188" s="1016"/>
      <c r="CHF188" s="1016"/>
      <c r="CHG188" s="1016"/>
      <c r="CHH188" s="1016"/>
      <c r="CHI188" s="1016"/>
      <c r="CHJ188" s="1016"/>
      <c r="CHK188" s="1016"/>
      <c r="CHL188" s="1016"/>
      <c r="CHM188" s="1016"/>
      <c r="CHN188" s="1016"/>
      <c r="CHO188" s="1016"/>
      <c r="CHP188" s="1016"/>
      <c r="CHQ188" s="1016"/>
      <c r="CHR188" s="1016"/>
      <c r="CHS188" s="1016"/>
      <c r="CHT188" s="1016"/>
      <c r="CHU188" s="1016"/>
      <c r="CHV188" s="1016"/>
      <c r="CHW188" s="1016"/>
      <c r="CHX188" s="1016"/>
      <c r="CHY188" s="1016"/>
      <c r="CHZ188" s="1016"/>
      <c r="CIA188" s="1016"/>
      <c r="CIB188" s="1016"/>
      <c r="CIC188" s="1016"/>
      <c r="CID188" s="1016"/>
      <c r="CIE188" s="1016"/>
      <c r="CIF188" s="1016"/>
      <c r="CIG188" s="1016"/>
      <c r="CIH188" s="1016"/>
      <c r="CII188" s="1016"/>
      <c r="CIJ188" s="1016"/>
      <c r="CIK188" s="1016"/>
      <c r="CIL188" s="1016"/>
      <c r="CIM188" s="1016"/>
      <c r="CIN188" s="1016"/>
      <c r="CIO188" s="1016"/>
      <c r="CIP188" s="1016"/>
      <c r="CIQ188" s="1016"/>
      <c r="CIR188" s="1016"/>
      <c r="CIS188" s="1016"/>
      <c r="CIT188" s="1016"/>
      <c r="CIU188" s="1016"/>
      <c r="CIV188" s="1016"/>
      <c r="CIW188" s="1016"/>
      <c r="CIX188" s="1016"/>
      <c r="CIY188" s="1016"/>
      <c r="CIZ188" s="1016"/>
      <c r="CJA188" s="1016"/>
      <c r="CJB188" s="1016"/>
      <c r="CJC188" s="1016"/>
      <c r="CJD188" s="1016"/>
      <c r="CJE188" s="1016"/>
      <c r="CJF188" s="1016"/>
      <c r="CJG188" s="1016"/>
      <c r="CJH188" s="1016"/>
      <c r="CJI188" s="1016"/>
      <c r="CJJ188" s="1016"/>
      <c r="CJK188" s="1016"/>
      <c r="CJL188" s="1016"/>
      <c r="CJM188" s="1016"/>
      <c r="CJN188" s="1016"/>
      <c r="CJO188" s="1016"/>
      <c r="CJP188" s="1016"/>
      <c r="CJQ188" s="1016"/>
      <c r="CJR188" s="1016"/>
      <c r="CJS188" s="1016"/>
      <c r="CJT188" s="1016"/>
      <c r="CJU188" s="1016"/>
      <c r="CJV188" s="1016"/>
      <c r="CJW188" s="1016"/>
      <c r="CJX188" s="1016"/>
      <c r="CJY188" s="1016"/>
      <c r="CJZ188" s="1016"/>
      <c r="CKA188" s="1016"/>
      <c r="CKB188" s="1016"/>
      <c r="CKC188" s="1016"/>
      <c r="CKD188" s="1016"/>
      <c r="CKE188" s="1016"/>
      <c r="CKF188" s="1016"/>
      <c r="CKG188" s="1016"/>
      <c r="CKH188" s="1016"/>
      <c r="CKI188" s="1016"/>
      <c r="CKJ188" s="1016"/>
      <c r="CKK188" s="1016"/>
      <c r="CKL188" s="1016"/>
      <c r="CKM188" s="1016"/>
      <c r="CKN188" s="1016"/>
      <c r="CKO188" s="1016"/>
      <c r="CKP188" s="1016"/>
      <c r="CKQ188" s="1016"/>
      <c r="CKR188" s="1016"/>
      <c r="CKS188" s="1016"/>
      <c r="CKT188" s="1016"/>
      <c r="CKU188" s="1016"/>
      <c r="CKV188" s="1016"/>
      <c r="CKW188" s="1016"/>
      <c r="CKX188" s="1016"/>
      <c r="CKY188" s="1016"/>
      <c r="CKZ188" s="1016"/>
      <c r="CLA188" s="1016"/>
      <c r="CLB188" s="1016"/>
      <c r="CLC188" s="1016"/>
      <c r="CLD188" s="1016"/>
      <c r="CLE188" s="1016"/>
      <c r="CLF188" s="1016"/>
      <c r="CLG188" s="1016"/>
      <c r="CLH188" s="1016"/>
      <c r="CLI188" s="1016"/>
      <c r="CLJ188" s="1016"/>
      <c r="CLK188" s="1016"/>
      <c r="CLL188" s="1016"/>
      <c r="CLM188" s="1016"/>
      <c r="CLN188" s="1016"/>
      <c r="CLO188" s="1016"/>
      <c r="CLP188" s="1016"/>
      <c r="CLQ188" s="1016"/>
      <c r="CLR188" s="1016"/>
      <c r="CLS188" s="1016"/>
      <c r="CLT188" s="1016"/>
      <c r="CLU188" s="1016"/>
      <c r="CLV188" s="1016"/>
      <c r="CLW188" s="1016"/>
      <c r="CLX188" s="1016"/>
      <c r="CLY188" s="1016"/>
      <c r="CLZ188" s="1016"/>
      <c r="CMA188" s="1016"/>
      <c r="CMB188" s="1016"/>
      <c r="CMC188" s="1016"/>
      <c r="CMD188" s="1016"/>
      <c r="CME188" s="1016"/>
      <c r="CMF188" s="1016"/>
      <c r="CMG188" s="1016"/>
      <c r="CMH188" s="1016"/>
      <c r="CMI188" s="1016"/>
      <c r="CMJ188" s="1016"/>
      <c r="CMK188" s="1016"/>
      <c r="CML188" s="1016"/>
      <c r="CMM188" s="1016"/>
      <c r="CMN188" s="1016"/>
      <c r="CMO188" s="1016"/>
      <c r="CMP188" s="1016"/>
      <c r="CMQ188" s="1016"/>
      <c r="CMR188" s="1016"/>
      <c r="CMS188" s="1016"/>
      <c r="CMT188" s="1016"/>
      <c r="CMU188" s="1016"/>
      <c r="CMV188" s="1016"/>
      <c r="CMW188" s="1016"/>
      <c r="CMX188" s="1016"/>
      <c r="CMY188" s="1016"/>
      <c r="CMZ188" s="1016"/>
      <c r="CNA188" s="1016"/>
      <c r="CNB188" s="1016"/>
      <c r="CNC188" s="1016"/>
      <c r="CND188" s="1016"/>
      <c r="CNE188" s="1016"/>
      <c r="CNF188" s="1016"/>
      <c r="CNG188" s="1016"/>
      <c r="CNH188" s="1016"/>
      <c r="CNI188" s="1016"/>
      <c r="CNJ188" s="1016"/>
      <c r="CNK188" s="1016"/>
      <c r="CNL188" s="1016"/>
      <c r="CNM188" s="1016"/>
      <c r="CNN188" s="1016"/>
      <c r="CNO188" s="1016"/>
      <c r="CNP188" s="1016"/>
      <c r="CNQ188" s="1016"/>
      <c r="CNR188" s="1016"/>
      <c r="CNS188" s="1016"/>
      <c r="CNT188" s="1016"/>
      <c r="CNU188" s="1016"/>
      <c r="CNV188" s="1016"/>
      <c r="CNW188" s="1016"/>
      <c r="CNX188" s="1016"/>
      <c r="CNY188" s="1016"/>
      <c r="CNZ188" s="1016"/>
      <c r="COA188" s="1016"/>
      <c r="COB188" s="1016"/>
      <c r="COC188" s="1016"/>
      <c r="COD188" s="1016"/>
      <c r="COE188" s="1016"/>
      <c r="COF188" s="1016"/>
      <c r="COG188" s="1016"/>
      <c r="COH188" s="1016"/>
      <c r="COI188" s="1016"/>
      <c r="COJ188" s="1016"/>
      <c r="COK188" s="1016"/>
      <c r="COL188" s="1016"/>
      <c r="COM188" s="1016"/>
      <c r="CON188" s="1016"/>
      <c r="COO188" s="1016"/>
      <c r="COP188" s="1016"/>
      <c r="COQ188" s="1016"/>
      <c r="COR188" s="1016"/>
      <c r="COS188" s="1016"/>
      <c r="COT188" s="1016"/>
      <c r="COU188" s="1016"/>
      <c r="COV188" s="1016"/>
      <c r="COW188" s="1016"/>
      <c r="COX188" s="1016"/>
      <c r="COY188" s="1016"/>
      <c r="COZ188" s="1016"/>
      <c r="CPA188" s="1016"/>
      <c r="CPB188" s="1016"/>
      <c r="CPC188" s="1016"/>
      <c r="CPD188" s="1016"/>
      <c r="CPE188" s="1016"/>
      <c r="CPF188" s="1016"/>
      <c r="CPG188" s="1016"/>
      <c r="CPH188" s="1016"/>
      <c r="CPI188" s="1016"/>
      <c r="CPJ188" s="1016"/>
      <c r="CPK188" s="1016"/>
      <c r="CPL188" s="1016"/>
      <c r="CPM188" s="1016"/>
      <c r="CPN188" s="1016"/>
      <c r="CPO188" s="1016"/>
      <c r="CPP188" s="1016"/>
      <c r="CPQ188" s="1016"/>
      <c r="CPR188" s="1016"/>
      <c r="CPS188" s="1016"/>
      <c r="CPT188" s="1016"/>
      <c r="CPU188" s="1016"/>
      <c r="CPV188" s="1016"/>
      <c r="CPW188" s="1016"/>
      <c r="CPX188" s="1016"/>
      <c r="CPY188" s="1016"/>
      <c r="CPZ188" s="1016"/>
      <c r="CQA188" s="1016"/>
      <c r="CQB188" s="1016"/>
      <c r="CQC188" s="1016"/>
      <c r="CQD188" s="1016"/>
      <c r="CQE188" s="1016"/>
      <c r="CQF188" s="1016"/>
      <c r="CQG188" s="1016"/>
      <c r="CQH188" s="1016"/>
      <c r="CQI188" s="1016"/>
      <c r="CQJ188" s="1016"/>
      <c r="CQK188" s="1016"/>
      <c r="CQL188" s="1016"/>
      <c r="CQM188" s="1016"/>
      <c r="CQN188" s="1016"/>
      <c r="CQO188" s="1016"/>
      <c r="CQP188" s="1016"/>
      <c r="CQQ188" s="1016"/>
      <c r="CQR188" s="1016"/>
      <c r="CQS188" s="1016"/>
      <c r="CQT188" s="1016"/>
      <c r="CQU188" s="1016"/>
      <c r="CQV188" s="1016"/>
      <c r="CQW188" s="1016"/>
      <c r="CQX188" s="1016"/>
      <c r="CQY188" s="1016"/>
      <c r="CQZ188" s="1016"/>
      <c r="CRA188" s="1016"/>
      <c r="CRB188" s="1016"/>
      <c r="CRC188" s="1016"/>
      <c r="CRD188" s="1016"/>
      <c r="CRE188" s="1016"/>
      <c r="CRF188" s="1016"/>
      <c r="CRG188" s="1016"/>
      <c r="CRH188" s="1016"/>
      <c r="CRI188" s="1016"/>
      <c r="CRJ188" s="1016"/>
      <c r="CRK188" s="1016"/>
      <c r="CRL188" s="1016"/>
      <c r="CRM188" s="1016"/>
      <c r="CRN188" s="1016"/>
      <c r="CRO188" s="1016"/>
      <c r="CRP188" s="1016"/>
      <c r="CRQ188" s="1016"/>
      <c r="CRR188" s="1016"/>
      <c r="CRS188" s="1016"/>
      <c r="CRT188" s="1016"/>
      <c r="CRU188" s="1016"/>
      <c r="CRV188" s="1016"/>
      <c r="CRW188" s="1016"/>
      <c r="CRX188" s="1016"/>
      <c r="CRY188" s="1016"/>
      <c r="CRZ188" s="1016"/>
      <c r="CSA188" s="1016"/>
      <c r="CSB188" s="1016"/>
      <c r="CSC188" s="1016"/>
      <c r="CSD188" s="1016"/>
      <c r="CSE188" s="1016"/>
      <c r="CSF188" s="1016"/>
      <c r="CSG188" s="1016"/>
      <c r="CSH188" s="1016"/>
      <c r="CSI188" s="1016"/>
      <c r="CSJ188" s="1016"/>
      <c r="CSK188" s="1016"/>
      <c r="CSL188" s="1016"/>
      <c r="CSM188" s="1016"/>
      <c r="CSN188" s="1016"/>
      <c r="CSO188" s="1016"/>
      <c r="CSP188" s="1016"/>
      <c r="CSQ188" s="1016"/>
      <c r="CSR188" s="1016"/>
      <c r="CSS188" s="1016"/>
      <c r="CST188" s="1016"/>
      <c r="CSU188" s="1016"/>
      <c r="CSV188" s="1016"/>
      <c r="CSW188" s="1016"/>
      <c r="CSX188" s="1016"/>
      <c r="CSY188" s="1016"/>
      <c r="CSZ188" s="1016"/>
      <c r="CTA188" s="1016"/>
      <c r="CTB188" s="1016"/>
      <c r="CTC188" s="1016"/>
      <c r="CTD188" s="1016"/>
      <c r="CTE188" s="1016"/>
      <c r="CTF188" s="1016"/>
      <c r="CTG188" s="1016"/>
      <c r="CTH188" s="1016"/>
      <c r="CTI188" s="1016"/>
      <c r="CTJ188" s="1016"/>
      <c r="CTK188" s="1016"/>
      <c r="CTL188" s="1016"/>
      <c r="CTM188" s="1016"/>
      <c r="CTN188" s="1016"/>
      <c r="CTO188" s="1016"/>
      <c r="CTP188" s="1016"/>
      <c r="CTQ188" s="1016"/>
      <c r="CTR188" s="1016"/>
      <c r="CTS188" s="1016"/>
      <c r="CTT188" s="1016"/>
      <c r="CTU188" s="1016"/>
      <c r="CTV188" s="1016"/>
      <c r="CTW188" s="1016"/>
      <c r="CTX188" s="1016"/>
      <c r="CTY188" s="1016"/>
      <c r="CTZ188" s="1016"/>
      <c r="CUA188" s="1016"/>
      <c r="CUB188" s="1016"/>
      <c r="CUC188" s="1016"/>
      <c r="CUD188" s="1016"/>
      <c r="CUE188" s="1016"/>
      <c r="CUF188" s="1016"/>
      <c r="CUG188" s="1016"/>
      <c r="CUH188" s="1016"/>
      <c r="CUI188" s="1016"/>
      <c r="CUJ188" s="1016"/>
      <c r="CUK188" s="1016"/>
      <c r="CUL188" s="1016"/>
      <c r="CUM188" s="1016"/>
      <c r="CUN188" s="1016"/>
      <c r="CUO188" s="1016"/>
      <c r="CUP188" s="1016"/>
      <c r="CUQ188" s="1016"/>
      <c r="CUR188" s="1016"/>
      <c r="CUS188" s="1016"/>
      <c r="CUT188" s="1016"/>
      <c r="CUU188" s="1016"/>
      <c r="CUV188" s="1016"/>
      <c r="CUW188" s="1016"/>
      <c r="CUX188" s="1016"/>
      <c r="CUY188" s="1016"/>
      <c r="CUZ188" s="1016"/>
      <c r="CVA188" s="1016"/>
      <c r="CVB188" s="1016"/>
      <c r="CVC188" s="1016"/>
      <c r="CVD188" s="1016"/>
      <c r="CVE188" s="1016"/>
      <c r="CVF188" s="1016"/>
      <c r="CVG188" s="1016"/>
      <c r="CVH188" s="1016"/>
      <c r="CVI188" s="1016"/>
      <c r="CVJ188" s="1016"/>
      <c r="CVK188" s="1016"/>
      <c r="CVL188" s="1016"/>
      <c r="CVM188" s="1016"/>
      <c r="CVN188" s="1016"/>
      <c r="CVO188" s="1016"/>
      <c r="CVP188" s="1016"/>
      <c r="CVQ188" s="1016"/>
      <c r="CVR188" s="1016"/>
      <c r="CVS188" s="1016"/>
      <c r="CVT188" s="1016"/>
      <c r="CVU188" s="1016"/>
      <c r="CVV188" s="1016"/>
      <c r="CVW188" s="1016"/>
      <c r="CVX188" s="1016"/>
      <c r="CVY188" s="1016"/>
      <c r="CVZ188" s="1016"/>
      <c r="CWA188" s="1016"/>
      <c r="CWB188" s="1016"/>
      <c r="CWC188" s="1016"/>
      <c r="CWD188" s="1016"/>
      <c r="CWE188" s="1016"/>
      <c r="CWF188" s="1016"/>
      <c r="CWG188" s="1016"/>
      <c r="CWH188" s="1016"/>
      <c r="CWI188" s="1016"/>
      <c r="CWJ188" s="1016"/>
      <c r="CWK188" s="1016"/>
      <c r="CWL188" s="1016"/>
      <c r="CWM188" s="1016"/>
      <c r="CWN188" s="1016"/>
      <c r="CWO188" s="1016"/>
      <c r="CWP188" s="1016"/>
      <c r="CWQ188" s="1016"/>
      <c r="CWR188" s="1016"/>
      <c r="CWS188" s="1016"/>
      <c r="CWT188" s="1016"/>
      <c r="CWU188" s="1016"/>
      <c r="CWV188" s="1016"/>
      <c r="CWW188" s="1016"/>
      <c r="CWX188" s="1016"/>
      <c r="CWY188" s="1016"/>
      <c r="CWZ188" s="1016"/>
      <c r="CXA188" s="1016"/>
      <c r="CXB188" s="1016"/>
      <c r="CXC188" s="1016"/>
      <c r="CXD188" s="1016"/>
      <c r="CXE188" s="1016"/>
      <c r="CXF188" s="1016"/>
      <c r="CXG188" s="1016"/>
      <c r="CXH188" s="1016"/>
      <c r="CXI188" s="1016"/>
      <c r="CXJ188" s="1016"/>
      <c r="CXK188" s="1016"/>
      <c r="CXL188" s="1016"/>
      <c r="CXM188" s="1016"/>
      <c r="CXN188" s="1016"/>
      <c r="CXO188" s="1016"/>
      <c r="CXP188" s="1016"/>
      <c r="CXQ188" s="1016"/>
      <c r="CXR188" s="1016"/>
      <c r="CXS188" s="1016"/>
      <c r="CXT188" s="1016"/>
      <c r="CXU188" s="1016"/>
      <c r="CXV188" s="1016"/>
      <c r="CXW188" s="1016"/>
      <c r="CXX188" s="1016"/>
      <c r="CXY188" s="1016"/>
      <c r="CXZ188" s="1016"/>
      <c r="CYA188" s="1016"/>
      <c r="CYB188" s="1016"/>
      <c r="CYC188" s="1016"/>
      <c r="CYD188" s="1016"/>
      <c r="CYE188" s="1016"/>
      <c r="CYF188" s="1016"/>
      <c r="CYG188" s="1016"/>
      <c r="CYH188" s="1016"/>
      <c r="CYI188" s="1016"/>
      <c r="CYJ188" s="1016"/>
      <c r="CYK188" s="1016"/>
      <c r="CYL188" s="1016"/>
      <c r="CYM188" s="1016"/>
      <c r="CYN188" s="1016"/>
      <c r="CYO188" s="1016"/>
      <c r="CYP188" s="1016"/>
      <c r="CYQ188" s="1016"/>
      <c r="CYR188" s="1016"/>
      <c r="CYS188" s="1016"/>
      <c r="CYT188" s="1016"/>
      <c r="CYU188" s="1016"/>
      <c r="CYV188" s="1016"/>
      <c r="CYW188" s="1016"/>
      <c r="CYX188" s="1016"/>
      <c r="CYY188" s="1016"/>
      <c r="CYZ188" s="1016"/>
      <c r="CZA188" s="1016"/>
      <c r="CZB188" s="1016"/>
      <c r="CZC188" s="1016"/>
      <c r="CZD188" s="1016"/>
      <c r="CZE188" s="1016"/>
      <c r="CZF188" s="1016"/>
      <c r="CZG188" s="1016"/>
      <c r="CZH188" s="1016"/>
      <c r="CZI188" s="1016"/>
      <c r="CZJ188" s="1016"/>
      <c r="CZK188" s="1016"/>
      <c r="CZL188" s="1016"/>
      <c r="CZM188" s="1016"/>
      <c r="CZN188" s="1016"/>
      <c r="CZO188" s="1016"/>
      <c r="CZP188" s="1016"/>
      <c r="CZQ188" s="1016"/>
      <c r="CZR188" s="1016"/>
      <c r="CZS188" s="1016"/>
      <c r="CZT188" s="1016"/>
      <c r="CZU188" s="1016"/>
      <c r="CZV188" s="1016"/>
      <c r="CZW188" s="1016"/>
      <c r="CZX188" s="1016"/>
      <c r="CZY188" s="1016"/>
      <c r="CZZ188" s="1016"/>
      <c r="DAA188" s="1016"/>
      <c r="DAB188" s="1016"/>
      <c r="DAC188" s="1016"/>
      <c r="DAD188" s="1016"/>
      <c r="DAE188" s="1016"/>
      <c r="DAF188" s="1016"/>
      <c r="DAG188" s="1016"/>
      <c r="DAH188" s="1016"/>
      <c r="DAI188" s="1016"/>
      <c r="DAJ188" s="1016"/>
      <c r="DAK188" s="1016"/>
      <c r="DAL188" s="1016"/>
      <c r="DAM188" s="1016"/>
      <c r="DAN188" s="1016"/>
      <c r="DAO188" s="1016"/>
      <c r="DAP188" s="1016"/>
      <c r="DAQ188" s="1016"/>
      <c r="DAR188" s="1016"/>
      <c r="DAS188" s="1016"/>
      <c r="DAT188" s="1016"/>
      <c r="DAU188" s="1016"/>
      <c r="DAV188" s="1016"/>
      <c r="DAW188" s="1016"/>
      <c r="DAX188" s="1016"/>
      <c r="DAY188" s="1016"/>
      <c r="DAZ188" s="1016"/>
      <c r="DBA188" s="1016"/>
      <c r="DBB188" s="1016"/>
      <c r="DBC188" s="1016"/>
      <c r="DBD188" s="1016"/>
      <c r="DBE188" s="1016"/>
      <c r="DBF188" s="1016"/>
      <c r="DBG188" s="1016"/>
      <c r="DBH188" s="1016"/>
      <c r="DBI188" s="1016"/>
      <c r="DBJ188" s="1016"/>
      <c r="DBK188" s="1016"/>
      <c r="DBL188" s="1016"/>
      <c r="DBM188" s="1016"/>
      <c r="DBN188" s="1016"/>
      <c r="DBO188" s="1016"/>
      <c r="DBP188" s="1016"/>
      <c r="DBQ188" s="1016"/>
      <c r="DBR188" s="1016"/>
      <c r="DBS188" s="1016"/>
      <c r="DBT188" s="1016"/>
      <c r="DBU188" s="1016"/>
      <c r="DBV188" s="1016"/>
      <c r="DBW188" s="1016"/>
      <c r="DBX188" s="1016"/>
      <c r="DBY188" s="1016"/>
      <c r="DBZ188" s="1016"/>
      <c r="DCA188" s="1016"/>
      <c r="DCB188" s="1016"/>
      <c r="DCC188" s="1016"/>
      <c r="DCD188" s="1016"/>
      <c r="DCE188" s="1016"/>
      <c r="DCF188" s="1016"/>
      <c r="DCG188" s="1016"/>
      <c r="DCH188" s="1016"/>
      <c r="DCI188" s="1016"/>
      <c r="DCJ188" s="1016"/>
      <c r="DCK188" s="1016"/>
      <c r="DCL188" s="1016"/>
      <c r="DCM188" s="1016"/>
      <c r="DCN188" s="1016"/>
      <c r="DCO188" s="1016"/>
      <c r="DCP188" s="1016"/>
      <c r="DCQ188" s="1016"/>
      <c r="DCR188" s="1016"/>
      <c r="DCS188" s="1016"/>
      <c r="DCT188" s="1016"/>
      <c r="DCU188" s="1016"/>
      <c r="DCV188" s="1016"/>
      <c r="DCW188" s="1016"/>
      <c r="DCX188" s="1016"/>
      <c r="DCY188" s="1016"/>
      <c r="DCZ188" s="1016"/>
      <c r="DDA188" s="1016"/>
      <c r="DDB188" s="1016"/>
      <c r="DDC188" s="1016"/>
      <c r="DDD188" s="1016"/>
      <c r="DDE188" s="1016"/>
      <c r="DDF188" s="1016"/>
      <c r="DDG188" s="1016"/>
      <c r="DDH188" s="1016"/>
      <c r="DDI188" s="1016"/>
      <c r="DDJ188" s="1016"/>
      <c r="DDK188" s="1016"/>
      <c r="DDL188" s="1016"/>
      <c r="DDM188" s="1016"/>
      <c r="DDN188" s="1016"/>
      <c r="DDO188" s="1016"/>
      <c r="DDP188" s="1016"/>
      <c r="DDQ188" s="1016"/>
      <c r="DDR188" s="1016"/>
      <c r="DDS188" s="1016"/>
      <c r="DDT188" s="1016"/>
      <c r="DDU188" s="1016"/>
      <c r="DDV188" s="1016"/>
      <c r="DDW188" s="1016"/>
      <c r="DDX188" s="1016"/>
      <c r="DDY188" s="1016"/>
      <c r="DDZ188" s="1016"/>
      <c r="DEA188" s="1016"/>
      <c r="DEB188" s="1016"/>
      <c r="DEC188" s="1016"/>
      <c r="DED188" s="1016"/>
      <c r="DEE188" s="1016"/>
      <c r="DEF188" s="1016"/>
      <c r="DEG188" s="1016"/>
      <c r="DEH188" s="1016"/>
      <c r="DEI188" s="1016"/>
      <c r="DEJ188" s="1016"/>
      <c r="DEK188" s="1016"/>
      <c r="DEL188" s="1016"/>
      <c r="DEM188" s="1016"/>
      <c r="DEN188" s="1016"/>
      <c r="DEO188" s="1016"/>
      <c r="DEP188" s="1016"/>
      <c r="DEQ188" s="1016"/>
      <c r="DER188" s="1016"/>
      <c r="DES188" s="1016"/>
      <c r="DET188" s="1016"/>
      <c r="DEU188" s="1016"/>
      <c r="DEV188" s="1016"/>
      <c r="DEW188" s="1016"/>
      <c r="DEX188" s="1016"/>
      <c r="DEY188" s="1016"/>
      <c r="DEZ188" s="1016"/>
      <c r="DFA188" s="1016"/>
      <c r="DFB188" s="1016"/>
      <c r="DFC188" s="1016"/>
      <c r="DFD188" s="1016"/>
      <c r="DFE188" s="1016"/>
      <c r="DFF188" s="1016"/>
      <c r="DFG188" s="1016"/>
      <c r="DFH188" s="1016"/>
      <c r="DFI188" s="1016"/>
      <c r="DFJ188" s="1016"/>
      <c r="DFK188" s="1016"/>
      <c r="DFL188" s="1016"/>
      <c r="DFM188" s="1016"/>
      <c r="DFN188" s="1016"/>
      <c r="DFO188" s="1016"/>
      <c r="DFP188" s="1016"/>
      <c r="DFQ188" s="1016"/>
      <c r="DFR188" s="1016"/>
      <c r="DFS188" s="1016"/>
      <c r="DFT188" s="1016"/>
      <c r="DFU188" s="1016"/>
      <c r="DFV188" s="1016"/>
      <c r="DFW188" s="1016"/>
      <c r="DFX188" s="1016"/>
      <c r="DFY188" s="1016"/>
      <c r="DFZ188" s="1016"/>
      <c r="DGA188" s="1016"/>
      <c r="DGB188" s="1016"/>
      <c r="DGC188" s="1016"/>
      <c r="DGD188" s="1016"/>
      <c r="DGE188" s="1016"/>
      <c r="DGF188" s="1016"/>
      <c r="DGG188" s="1016"/>
      <c r="DGH188" s="1016"/>
      <c r="DGI188" s="1016"/>
      <c r="DGJ188" s="1016"/>
      <c r="DGK188" s="1016"/>
      <c r="DGL188" s="1016"/>
      <c r="DGM188" s="1016"/>
      <c r="DGN188" s="1016"/>
      <c r="DGO188" s="1016"/>
      <c r="DGP188" s="1016"/>
      <c r="DGQ188" s="1016"/>
      <c r="DGR188" s="1016"/>
      <c r="DGS188" s="1016"/>
      <c r="DGT188" s="1016"/>
      <c r="DGU188" s="1016"/>
      <c r="DGV188" s="1016"/>
      <c r="DGW188" s="1016"/>
      <c r="DGX188" s="1016"/>
      <c r="DGY188" s="1016"/>
      <c r="DGZ188" s="1016"/>
      <c r="DHA188" s="1016"/>
      <c r="DHB188" s="1016"/>
      <c r="DHC188" s="1016"/>
      <c r="DHD188" s="1016"/>
      <c r="DHE188" s="1016"/>
      <c r="DHF188" s="1016"/>
      <c r="DHG188" s="1016"/>
      <c r="DHH188" s="1016"/>
      <c r="DHI188" s="1016"/>
      <c r="DHJ188" s="1016"/>
      <c r="DHK188" s="1016"/>
      <c r="DHL188" s="1016"/>
      <c r="DHM188" s="1016"/>
      <c r="DHN188" s="1016"/>
      <c r="DHO188" s="1016"/>
      <c r="DHP188" s="1016"/>
      <c r="DHQ188" s="1016"/>
      <c r="DHR188" s="1016"/>
      <c r="DHS188" s="1016"/>
      <c r="DHT188" s="1016"/>
      <c r="DHU188" s="1016"/>
      <c r="DHV188" s="1016"/>
      <c r="DHW188" s="1016"/>
      <c r="DHX188" s="1016"/>
      <c r="DHY188" s="1016"/>
      <c r="DHZ188" s="1016"/>
      <c r="DIA188" s="1016"/>
      <c r="DIB188" s="1016"/>
      <c r="DIC188" s="1016"/>
      <c r="DID188" s="1016"/>
      <c r="DIE188" s="1016"/>
      <c r="DIF188" s="1016"/>
      <c r="DIG188" s="1016"/>
      <c r="DIH188" s="1016"/>
      <c r="DII188" s="1016"/>
      <c r="DIJ188" s="1016"/>
      <c r="DIK188" s="1016"/>
      <c r="DIL188" s="1016"/>
      <c r="DIM188" s="1016"/>
      <c r="DIN188" s="1016"/>
      <c r="DIO188" s="1016"/>
      <c r="DIP188" s="1016"/>
      <c r="DIQ188" s="1016"/>
      <c r="DIR188" s="1016"/>
      <c r="DIS188" s="1016"/>
      <c r="DIT188" s="1016"/>
      <c r="DIU188" s="1016"/>
      <c r="DIV188" s="1016"/>
      <c r="DIW188" s="1016"/>
      <c r="DIX188" s="1016"/>
      <c r="DIY188" s="1016"/>
      <c r="DIZ188" s="1016"/>
      <c r="DJA188" s="1016"/>
      <c r="DJB188" s="1016"/>
      <c r="DJC188" s="1016"/>
      <c r="DJD188" s="1016"/>
      <c r="DJE188" s="1016"/>
      <c r="DJF188" s="1016"/>
      <c r="DJG188" s="1016"/>
      <c r="DJH188" s="1016"/>
      <c r="DJI188" s="1016"/>
      <c r="DJJ188" s="1016"/>
      <c r="DJK188" s="1016"/>
      <c r="DJL188" s="1016"/>
      <c r="DJM188" s="1016"/>
      <c r="DJN188" s="1016"/>
      <c r="DJO188" s="1016"/>
      <c r="DJP188" s="1016"/>
      <c r="DJQ188" s="1016"/>
      <c r="DJR188" s="1016"/>
      <c r="DJS188" s="1016"/>
      <c r="DJT188" s="1016"/>
      <c r="DJU188" s="1016"/>
      <c r="DJV188" s="1016"/>
      <c r="DJW188" s="1016"/>
      <c r="DJX188" s="1016"/>
      <c r="DJY188" s="1016"/>
      <c r="DJZ188" s="1016"/>
      <c r="DKA188" s="1016"/>
      <c r="DKB188" s="1016"/>
      <c r="DKC188" s="1016"/>
      <c r="DKD188" s="1016"/>
      <c r="DKE188" s="1016"/>
      <c r="DKF188" s="1016"/>
      <c r="DKG188" s="1016"/>
      <c r="DKH188" s="1016"/>
      <c r="DKI188" s="1016"/>
      <c r="DKJ188" s="1016"/>
      <c r="DKK188" s="1016"/>
      <c r="DKL188" s="1016"/>
      <c r="DKM188" s="1016"/>
      <c r="DKN188" s="1016"/>
      <c r="DKO188" s="1016"/>
      <c r="DKP188" s="1016"/>
      <c r="DKQ188" s="1016"/>
      <c r="DKR188" s="1016"/>
      <c r="DKS188" s="1016"/>
      <c r="DKT188" s="1016"/>
      <c r="DKU188" s="1016"/>
      <c r="DKV188" s="1016"/>
      <c r="DKW188" s="1016"/>
      <c r="DKX188" s="1016"/>
      <c r="DKY188" s="1016"/>
      <c r="DKZ188" s="1016"/>
      <c r="DLA188" s="1016"/>
      <c r="DLB188" s="1016"/>
      <c r="DLC188" s="1016"/>
      <c r="DLD188" s="1016"/>
      <c r="DLE188" s="1016"/>
      <c r="DLF188" s="1016"/>
      <c r="DLG188" s="1016"/>
      <c r="DLH188" s="1016"/>
      <c r="DLI188" s="1016"/>
      <c r="DLJ188" s="1016"/>
      <c r="DLK188" s="1016"/>
      <c r="DLL188" s="1016"/>
      <c r="DLM188" s="1016"/>
      <c r="DLN188" s="1016"/>
      <c r="DLO188" s="1016"/>
      <c r="DLP188" s="1016"/>
      <c r="DLQ188" s="1016"/>
      <c r="DLR188" s="1016"/>
      <c r="DLS188" s="1016"/>
      <c r="DLT188" s="1016"/>
      <c r="DLU188" s="1016"/>
      <c r="DLV188" s="1016"/>
      <c r="DLW188" s="1016"/>
      <c r="DLX188" s="1016"/>
      <c r="DLY188" s="1016"/>
      <c r="DLZ188" s="1016"/>
      <c r="DMA188" s="1016"/>
      <c r="DMB188" s="1016"/>
      <c r="DMC188" s="1016"/>
      <c r="DMD188" s="1016"/>
      <c r="DME188" s="1016"/>
      <c r="DMF188" s="1016"/>
      <c r="DMG188" s="1016"/>
      <c r="DMH188" s="1016"/>
      <c r="DMI188" s="1016"/>
      <c r="DMJ188" s="1016"/>
      <c r="DMK188" s="1016"/>
      <c r="DML188" s="1016"/>
      <c r="DMM188" s="1016"/>
      <c r="DMN188" s="1016"/>
      <c r="DMO188" s="1016"/>
      <c r="DMP188" s="1016"/>
      <c r="DMQ188" s="1016"/>
      <c r="DMR188" s="1016"/>
      <c r="DMS188" s="1016"/>
      <c r="DMT188" s="1016"/>
      <c r="DMU188" s="1016"/>
      <c r="DMV188" s="1016"/>
      <c r="DMW188" s="1016"/>
      <c r="DMX188" s="1016"/>
      <c r="DMY188" s="1016"/>
      <c r="DMZ188" s="1016"/>
      <c r="DNA188" s="1016"/>
      <c r="DNB188" s="1016"/>
      <c r="DNC188" s="1016"/>
      <c r="DND188" s="1016"/>
      <c r="DNE188" s="1016"/>
      <c r="DNF188" s="1016"/>
      <c r="DNG188" s="1016"/>
      <c r="DNH188" s="1016"/>
      <c r="DNI188" s="1016"/>
      <c r="DNJ188" s="1016"/>
      <c r="DNK188" s="1016"/>
      <c r="DNL188" s="1016"/>
      <c r="DNM188" s="1016"/>
      <c r="DNN188" s="1016"/>
      <c r="DNO188" s="1016"/>
      <c r="DNP188" s="1016"/>
      <c r="DNQ188" s="1016"/>
      <c r="DNR188" s="1016"/>
      <c r="DNS188" s="1016"/>
      <c r="DNT188" s="1016"/>
      <c r="DNU188" s="1016"/>
      <c r="DNV188" s="1016"/>
      <c r="DNW188" s="1016"/>
      <c r="DNX188" s="1016"/>
      <c r="DNY188" s="1016"/>
      <c r="DNZ188" s="1016"/>
      <c r="DOA188" s="1016"/>
      <c r="DOB188" s="1016"/>
      <c r="DOC188" s="1016"/>
      <c r="DOD188" s="1016"/>
      <c r="DOE188" s="1016"/>
      <c r="DOF188" s="1016"/>
      <c r="DOG188" s="1016"/>
      <c r="DOH188" s="1016"/>
      <c r="DOI188" s="1016"/>
      <c r="DOJ188" s="1016"/>
      <c r="DOK188" s="1016"/>
      <c r="DOL188" s="1016"/>
      <c r="DOM188" s="1016"/>
      <c r="DON188" s="1016"/>
      <c r="DOO188" s="1016"/>
      <c r="DOP188" s="1016"/>
      <c r="DOQ188" s="1016"/>
      <c r="DOR188" s="1016"/>
      <c r="DOS188" s="1016"/>
      <c r="DOT188" s="1016"/>
      <c r="DOU188" s="1016"/>
      <c r="DOV188" s="1016"/>
      <c r="DOW188" s="1016"/>
      <c r="DOX188" s="1016"/>
      <c r="DOY188" s="1016"/>
      <c r="DOZ188" s="1016"/>
      <c r="DPA188" s="1016"/>
      <c r="DPB188" s="1016"/>
      <c r="DPC188" s="1016"/>
      <c r="DPD188" s="1016"/>
      <c r="DPE188" s="1016"/>
      <c r="DPF188" s="1016"/>
      <c r="DPG188" s="1016"/>
      <c r="DPH188" s="1016"/>
      <c r="DPI188" s="1016"/>
      <c r="DPJ188" s="1016"/>
      <c r="DPK188" s="1016"/>
      <c r="DPL188" s="1016"/>
      <c r="DPM188" s="1016"/>
      <c r="DPN188" s="1016"/>
      <c r="DPO188" s="1016"/>
      <c r="DPP188" s="1016"/>
      <c r="DPQ188" s="1016"/>
      <c r="DPR188" s="1016"/>
      <c r="DPS188" s="1016"/>
      <c r="DPT188" s="1016"/>
      <c r="DPU188" s="1016"/>
      <c r="DPV188" s="1016"/>
      <c r="DPW188" s="1016"/>
      <c r="DPX188" s="1016"/>
      <c r="DPY188" s="1016"/>
      <c r="DPZ188" s="1016"/>
      <c r="DQA188" s="1016"/>
      <c r="DQB188" s="1016"/>
      <c r="DQC188" s="1016"/>
      <c r="DQD188" s="1016"/>
      <c r="DQE188" s="1016"/>
      <c r="DQF188" s="1016"/>
      <c r="DQG188" s="1016"/>
      <c r="DQH188" s="1016"/>
      <c r="DQI188" s="1016"/>
      <c r="DQJ188" s="1016"/>
      <c r="DQK188" s="1016"/>
      <c r="DQL188" s="1016"/>
      <c r="DQM188" s="1016"/>
      <c r="DQN188" s="1016"/>
      <c r="DQO188" s="1016"/>
      <c r="DQP188" s="1016"/>
      <c r="DQQ188" s="1016"/>
      <c r="DQR188" s="1016"/>
      <c r="DQS188" s="1016"/>
      <c r="DQT188" s="1016"/>
      <c r="DQU188" s="1016"/>
      <c r="DQV188" s="1016"/>
      <c r="DQW188" s="1016"/>
      <c r="DQX188" s="1016"/>
      <c r="DQY188" s="1016"/>
      <c r="DQZ188" s="1016"/>
      <c r="DRA188" s="1016"/>
      <c r="DRB188" s="1016"/>
      <c r="DRC188" s="1016"/>
      <c r="DRD188" s="1016"/>
      <c r="DRE188" s="1016"/>
      <c r="DRF188" s="1016"/>
      <c r="DRG188" s="1016"/>
      <c r="DRH188" s="1016"/>
      <c r="DRI188" s="1016"/>
      <c r="DRJ188" s="1016"/>
      <c r="DRK188" s="1016"/>
      <c r="DRL188" s="1016"/>
      <c r="DRM188" s="1016"/>
      <c r="DRN188" s="1016"/>
      <c r="DRO188" s="1016"/>
      <c r="DRP188" s="1016"/>
      <c r="DRQ188" s="1016"/>
      <c r="DRR188" s="1016"/>
      <c r="DRS188" s="1016"/>
      <c r="DRT188" s="1016"/>
      <c r="DRU188" s="1016"/>
      <c r="DRV188" s="1016"/>
      <c r="DRW188" s="1016"/>
      <c r="DRX188" s="1016"/>
      <c r="DRY188" s="1016"/>
      <c r="DRZ188" s="1016"/>
      <c r="DSA188" s="1016"/>
      <c r="DSB188" s="1016"/>
      <c r="DSC188" s="1016"/>
      <c r="DSD188" s="1016"/>
      <c r="DSE188" s="1016"/>
      <c r="DSF188" s="1016"/>
      <c r="DSG188" s="1016"/>
      <c r="DSH188" s="1016"/>
      <c r="DSI188" s="1016"/>
      <c r="DSJ188" s="1016"/>
      <c r="DSK188" s="1016"/>
      <c r="DSL188" s="1016"/>
      <c r="DSM188" s="1016"/>
      <c r="DSN188" s="1016"/>
      <c r="DSO188" s="1016"/>
      <c r="DSP188" s="1016"/>
      <c r="DSQ188" s="1016"/>
      <c r="DSR188" s="1016"/>
      <c r="DSS188" s="1016"/>
      <c r="DST188" s="1016"/>
      <c r="DSU188" s="1016"/>
      <c r="DSV188" s="1016"/>
      <c r="DSW188" s="1016"/>
      <c r="DSX188" s="1016"/>
      <c r="DSY188" s="1016"/>
      <c r="DSZ188" s="1016"/>
      <c r="DTA188" s="1016"/>
      <c r="DTB188" s="1016"/>
      <c r="DTC188" s="1016"/>
      <c r="DTD188" s="1016"/>
      <c r="DTE188" s="1016"/>
      <c r="DTF188" s="1016"/>
      <c r="DTG188" s="1016"/>
      <c r="DTH188" s="1016"/>
      <c r="DTI188" s="1016"/>
      <c r="DTJ188" s="1016"/>
      <c r="DTK188" s="1016"/>
      <c r="DTL188" s="1016"/>
      <c r="DTM188" s="1016"/>
      <c r="DTN188" s="1016"/>
      <c r="DTO188" s="1016"/>
      <c r="DTP188" s="1016"/>
      <c r="DTQ188" s="1016"/>
      <c r="DTR188" s="1016"/>
      <c r="DTS188" s="1016"/>
      <c r="DTT188" s="1016"/>
      <c r="DTU188" s="1016"/>
      <c r="DTV188" s="1016"/>
      <c r="DTW188" s="1016"/>
      <c r="DTX188" s="1016"/>
      <c r="DTY188" s="1016"/>
      <c r="DTZ188" s="1016"/>
      <c r="DUA188" s="1016"/>
      <c r="DUB188" s="1016"/>
      <c r="DUC188" s="1016"/>
      <c r="DUD188" s="1016"/>
      <c r="DUE188" s="1016"/>
      <c r="DUF188" s="1016"/>
      <c r="DUG188" s="1016"/>
      <c r="DUH188" s="1016"/>
      <c r="DUI188" s="1016"/>
      <c r="DUJ188" s="1016"/>
      <c r="DUK188" s="1016"/>
      <c r="DUL188" s="1016"/>
      <c r="DUM188" s="1016"/>
      <c r="DUN188" s="1016"/>
      <c r="DUO188" s="1016"/>
      <c r="DUP188" s="1016"/>
      <c r="DUQ188" s="1016"/>
      <c r="DUR188" s="1016"/>
      <c r="DUS188" s="1016"/>
      <c r="DUT188" s="1016"/>
      <c r="DUU188" s="1016"/>
      <c r="DUV188" s="1016"/>
      <c r="DUW188" s="1016"/>
      <c r="DUX188" s="1016"/>
      <c r="DUY188" s="1016"/>
      <c r="DUZ188" s="1016"/>
      <c r="DVA188" s="1016"/>
      <c r="DVB188" s="1016"/>
      <c r="DVC188" s="1016"/>
      <c r="DVD188" s="1016"/>
      <c r="DVE188" s="1016"/>
      <c r="DVF188" s="1016"/>
      <c r="DVG188" s="1016"/>
      <c r="DVH188" s="1016"/>
      <c r="DVI188" s="1016"/>
      <c r="DVJ188" s="1016"/>
      <c r="DVK188" s="1016"/>
      <c r="DVL188" s="1016"/>
      <c r="DVM188" s="1016"/>
      <c r="DVN188" s="1016"/>
      <c r="DVO188" s="1016"/>
      <c r="DVP188" s="1016"/>
      <c r="DVQ188" s="1016"/>
      <c r="DVR188" s="1016"/>
      <c r="DVS188" s="1016"/>
      <c r="DVT188" s="1016"/>
      <c r="DVU188" s="1016"/>
      <c r="DVV188" s="1016"/>
      <c r="DVW188" s="1016"/>
      <c r="DVX188" s="1016"/>
      <c r="DVY188" s="1016"/>
      <c r="DVZ188" s="1016"/>
      <c r="DWA188" s="1016"/>
      <c r="DWB188" s="1016"/>
      <c r="DWC188" s="1016"/>
      <c r="DWD188" s="1016"/>
      <c r="DWE188" s="1016"/>
      <c r="DWF188" s="1016"/>
      <c r="DWG188" s="1016"/>
      <c r="DWH188" s="1016"/>
      <c r="DWI188" s="1016"/>
      <c r="DWJ188" s="1016"/>
      <c r="DWK188" s="1016"/>
      <c r="DWL188" s="1016"/>
      <c r="DWM188" s="1016"/>
      <c r="DWN188" s="1016"/>
      <c r="DWO188" s="1016"/>
      <c r="DWP188" s="1016"/>
      <c r="DWQ188" s="1016"/>
      <c r="DWR188" s="1016"/>
      <c r="DWS188" s="1016"/>
      <c r="DWT188" s="1016"/>
      <c r="DWU188" s="1016"/>
      <c r="DWV188" s="1016"/>
      <c r="DWW188" s="1016"/>
      <c r="DWX188" s="1016"/>
      <c r="DWY188" s="1016"/>
      <c r="DWZ188" s="1016"/>
      <c r="DXA188" s="1016"/>
      <c r="DXB188" s="1016"/>
      <c r="DXC188" s="1016"/>
      <c r="DXD188" s="1016"/>
      <c r="DXE188" s="1016"/>
      <c r="DXF188" s="1016"/>
      <c r="DXG188" s="1016"/>
      <c r="DXH188" s="1016"/>
      <c r="DXI188" s="1016"/>
      <c r="DXJ188" s="1016"/>
      <c r="DXK188" s="1016"/>
      <c r="DXL188" s="1016"/>
      <c r="DXM188" s="1016"/>
      <c r="DXN188" s="1016"/>
      <c r="DXO188" s="1016"/>
      <c r="DXP188" s="1016"/>
      <c r="DXQ188" s="1016"/>
      <c r="DXR188" s="1016"/>
      <c r="DXS188" s="1016"/>
      <c r="DXT188" s="1016"/>
      <c r="DXU188" s="1016"/>
      <c r="DXV188" s="1016"/>
      <c r="DXW188" s="1016"/>
      <c r="DXX188" s="1016"/>
      <c r="DXY188" s="1016"/>
      <c r="DXZ188" s="1016"/>
      <c r="DYA188" s="1016"/>
      <c r="DYB188" s="1016"/>
      <c r="DYC188" s="1016"/>
      <c r="DYD188" s="1016"/>
      <c r="DYE188" s="1016"/>
      <c r="DYF188" s="1016"/>
      <c r="DYG188" s="1016"/>
      <c r="DYH188" s="1016"/>
      <c r="DYI188" s="1016"/>
      <c r="DYJ188" s="1016"/>
      <c r="DYK188" s="1016"/>
      <c r="DYL188" s="1016"/>
      <c r="DYM188" s="1016"/>
      <c r="DYN188" s="1016"/>
      <c r="DYO188" s="1016"/>
      <c r="DYP188" s="1016"/>
      <c r="DYQ188" s="1016"/>
      <c r="DYR188" s="1016"/>
      <c r="DYS188" s="1016"/>
      <c r="DYT188" s="1016"/>
      <c r="DYU188" s="1016"/>
      <c r="DYV188" s="1016"/>
      <c r="DYW188" s="1016"/>
      <c r="DYX188" s="1016"/>
      <c r="DYY188" s="1016"/>
      <c r="DYZ188" s="1016"/>
      <c r="DZA188" s="1016"/>
      <c r="DZB188" s="1016"/>
      <c r="DZC188" s="1016"/>
      <c r="DZD188" s="1016"/>
      <c r="DZE188" s="1016"/>
      <c r="DZF188" s="1016"/>
      <c r="DZG188" s="1016"/>
      <c r="DZH188" s="1016"/>
      <c r="DZI188" s="1016"/>
      <c r="DZJ188" s="1016"/>
      <c r="DZK188" s="1016"/>
      <c r="DZL188" s="1016"/>
      <c r="DZM188" s="1016"/>
      <c r="DZN188" s="1016"/>
      <c r="DZO188" s="1016"/>
      <c r="DZP188" s="1016"/>
      <c r="DZQ188" s="1016"/>
      <c r="DZR188" s="1016"/>
      <c r="DZS188" s="1016"/>
      <c r="DZT188" s="1016"/>
      <c r="DZU188" s="1016"/>
      <c r="DZV188" s="1016"/>
      <c r="DZW188" s="1016"/>
      <c r="DZX188" s="1016"/>
      <c r="DZY188" s="1016"/>
      <c r="DZZ188" s="1016"/>
      <c r="EAA188" s="1016"/>
      <c r="EAB188" s="1016"/>
      <c r="EAC188" s="1016"/>
      <c r="EAD188" s="1016"/>
      <c r="EAE188" s="1016"/>
      <c r="EAF188" s="1016"/>
      <c r="EAG188" s="1016"/>
      <c r="EAH188" s="1016"/>
      <c r="EAI188" s="1016"/>
      <c r="EAJ188" s="1016"/>
      <c r="EAK188" s="1016"/>
      <c r="EAL188" s="1016"/>
      <c r="EAM188" s="1016"/>
      <c r="EAN188" s="1016"/>
      <c r="EAO188" s="1016"/>
      <c r="EAP188" s="1016"/>
      <c r="EAQ188" s="1016"/>
      <c r="EAR188" s="1016"/>
      <c r="EAS188" s="1016"/>
      <c r="EAT188" s="1016"/>
      <c r="EAU188" s="1016"/>
      <c r="EAV188" s="1016"/>
      <c r="EAW188" s="1016"/>
      <c r="EAX188" s="1016"/>
      <c r="EAY188" s="1016"/>
      <c r="EAZ188" s="1016"/>
      <c r="EBA188" s="1016"/>
      <c r="EBB188" s="1016"/>
      <c r="EBC188" s="1016"/>
      <c r="EBD188" s="1016"/>
      <c r="EBE188" s="1016"/>
      <c r="EBF188" s="1016"/>
      <c r="EBG188" s="1016"/>
      <c r="EBH188" s="1016"/>
      <c r="EBI188" s="1016"/>
      <c r="EBJ188" s="1016"/>
      <c r="EBK188" s="1016"/>
      <c r="EBL188" s="1016"/>
      <c r="EBM188" s="1016"/>
      <c r="EBN188" s="1016"/>
      <c r="EBO188" s="1016"/>
      <c r="EBP188" s="1016"/>
      <c r="EBQ188" s="1016"/>
      <c r="EBR188" s="1016"/>
      <c r="EBS188" s="1016"/>
      <c r="EBT188" s="1016"/>
      <c r="EBU188" s="1016"/>
      <c r="EBV188" s="1016"/>
      <c r="EBW188" s="1016"/>
      <c r="EBX188" s="1016"/>
      <c r="EBY188" s="1016"/>
      <c r="EBZ188" s="1016"/>
      <c r="ECA188" s="1016"/>
      <c r="ECB188" s="1016"/>
      <c r="ECC188" s="1016"/>
      <c r="ECD188" s="1016"/>
      <c r="ECE188" s="1016"/>
      <c r="ECF188" s="1016"/>
      <c r="ECG188" s="1016"/>
      <c r="ECH188" s="1016"/>
      <c r="ECI188" s="1016"/>
      <c r="ECJ188" s="1016"/>
      <c r="ECK188" s="1016"/>
      <c r="ECL188" s="1016"/>
      <c r="ECM188" s="1016"/>
      <c r="ECN188" s="1016"/>
      <c r="ECO188" s="1016"/>
      <c r="ECP188" s="1016"/>
      <c r="ECQ188" s="1016"/>
      <c r="ECR188" s="1016"/>
      <c r="ECS188" s="1016"/>
      <c r="ECT188" s="1016"/>
      <c r="ECU188" s="1016"/>
      <c r="ECV188" s="1016"/>
      <c r="ECW188" s="1016"/>
      <c r="ECX188" s="1016"/>
      <c r="ECY188" s="1016"/>
      <c r="ECZ188" s="1016"/>
      <c r="EDA188" s="1016"/>
      <c r="EDB188" s="1016"/>
      <c r="EDC188" s="1016"/>
      <c r="EDD188" s="1016"/>
      <c r="EDE188" s="1016"/>
      <c r="EDF188" s="1016"/>
      <c r="EDG188" s="1016"/>
      <c r="EDH188" s="1016"/>
      <c r="EDI188" s="1016"/>
      <c r="EDJ188" s="1016"/>
      <c r="EDK188" s="1016"/>
      <c r="EDL188" s="1016"/>
      <c r="EDM188" s="1016"/>
      <c r="EDN188" s="1016"/>
      <c r="EDO188" s="1016"/>
      <c r="EDP188" s="1016"/>
      <c r="EDQ188" s="1016"/>
      <c r="EDR188" s="1016"/>
      <c r="EDS188" s="1016"/>
      <c r="EDT188" s="1016"/>
      <c r="EDU188" s="1016"/>
      <c r="EDV188" s="1016"/>
      <c r="EDW188" s="1016"/>
      <c r="EDX188" s="1016"/>
      <c r="EDY188" s="1016"/>
      <c r="EDZ188" s="1016"/>
      <c r="EEA188" s="1016"/>
      <c r="EEB188" s="1016"/>
      <c r="EEC188" s="1016"/>
      <c r="EED188" s="1016"/>
      <c r="EEE188" s="1016"/>
      <c r="EEF188" s="1016"/>
      <c r="EEG188" s="1016"/>
      <c r="EEH188" s="1016"/>
      <c r="EEI188" s="1016"/>
      <c r="EEJ188" s="1016"/>
      <c r="EEK188" s="1016"/>
      <c r="EEL188" s="1016"/>
      <c r="EEM188" s="1016"/>
      <c r="EEN188" s="1016"/>
      <c r="EEO188" s="1016"/>
      <c r="EEP188" s="1016"/>
      <c r="EEQ188" s="1016"/>
      <c r="EER188" s="1016"/>
      <c r="EES188" s="1016"/>
      <c r="EET188" s="1016"/>
      <c r="EEU188" s="1016"/>
      <c r="EEV188" s="1016"/>
      <c r="EEW188" s="1016"/>
      <c r="EEX188" s="1016"/>
      <c r="EEY188" s="1016"/>
      <c r="EEZ188" s="1016"/>
      <c r="EFA188" s="1016"/>
      <c r="EFB188" s="1016"/>
      <c r="EFC188" s="1016"/>
      <c r="EFD188" s="1016"/>
      <c r="EFE188" s="1016"/>
      <c r="EFF188" s="1016"/>
      <c r="EFG188" s="1016"/>
      <c r="EFH188" s="1016"/>
      <c r="EFI188" s="1016"/>
      <c r="EFJ188" s="1016"/>
      <c r="EFK188" s="1016"/>
      <c r="EFL188" s="1016"/>
      <c r="EFM188" s="1016"/>
      <c r="EFN188" s="1016"/>
      <c r="EFO188" s="1016"/>
      <c r="EFP188" s="1016"/>
      <c r="EFQ188" s="1016"/>
      <c r="EFR188" s="1016"/>
      <c r="EFS188" s="1016"/>
      <c r="EFT188" s="1016"/>
      <c r="EFU188" s="1016"/>
      <c r="EFV188" s="1016"/>
      <c r="EFW188" s="1016"/>
      <c r="EFX188" s="1016"/>
      <c r="EFY188" s="1016"/>
      <c r="EFZ188" s="1016"/>
      <c r="EGA188" s="1016"/>
      <c r="EGB188" s="1016"/>
      <c r="EGC188" s="1016"/>
      <c r="EGD188" s="1016"/>
      <c r="EGE188" s="1016"/>
      <c r="EGF188" s="1016"/>
      <c r="EGG188" s="1016"/>
      <c r="EGH188" s="1016"/>
      <c r="EGI188" s="1016"/>
      <c r="EGJ188" s="1016"/>
      <c r="EGK188" s="1016"/>
      <c r="EGL188" s="1016"/>
      <c r="EGM188" s="1016"/>
      <c r="EGN188" s="1016"/>
      <c r="EGO188" s="1016"/>
      <c r="EGP188" s="1016"/>
      <c r="EGQ188" s="1016"/>
      <c r="EGR188" s="1016"/>
      <c r="EGS188" s="1016"/>
      <c r="EGT188" s="1016"/>
      <c r="EGU188" s="1016"/>
      <c r="EGV188" s="1016"/>
      <c r="EGW188" s="1016"/>
      <c r="EGX188" s="1016"/>
      <c r="EGY188" s="1016"/>
      <c r="EGZ188" s="1016"/>
      <c r="EHA188" s="1016"/>
      <c r="EHB188" s="1016"/>
      <c r="EHC188" s="1016"/>
      <c r="EHD188" s="1016"/>
      <c r="EHE188" s="1016"/>
      <c r="EHF188" s="1016"/>
      <c r="EHG188" s="1016"/>
      <c r="EHH188" s="1016"/>
      <c r="EHI188" s="1016"/>
      <c r="EHJ188" s="1016"/>
      <c r="EHK188" s="1016"/>
      <c r="EHL188" s="1016"/>
      <c r="EHM188" s="1016"/>
      <c r="EHN188" s="1016"/>
      <c r="EHO188" s="1016"/>
      <c r="EHP188" s="1016"/>
      <c r="EHQ188" s="1016"/>
      <c r="EHR188" s="1016"/>
      <c r="EHS188" s="1016"/>
      <c r="EHT188" s="1016"/>
      <c r="EHU188" s="1016"/>
      <c r="EHV188" s="1016"/>
      <c r="EHW188" s="1016"/>
      <c r="EHX188" s="1016"/>
      <c r="EHY188" s="1016"/>
      <c r="EHZ188" s="1016"/>
      <c r="EIA188" s="1016"/>
      <c r="EIB188" s="1016"/>
      <c r="EIC188" s="1016"/>
      <c r="EID188" s="1016"/>
      <c r="EIE188" s="1016"/>
      <c r="EIF188" s="1016"/>
      <c r="EIG188" s="1016"/>
      <c r="EIH188" s="1016"/>
      <c r="EII188" s="1016"/>
      <c r="EIJ188" s="1016"/>
      <c r="EIK188" s="1016"/>
      <c r="EIL188" s="1016"/>
      <c r="EIM188" s="1016"/>
      <c r="EIN188" s="1016"/>
      <c r="EIO188" s="1016"/>
      <c r="EIP188" s="1016"/>
      <c r="EIQ188" s="1016"/>
      <c r="EIR188" s="1016"/>
      <c r="EIS188" s="1016"/>
      <c r="EIT188" s="1016"/>
      <c r="EIU188" s="1016"/>
      <c r="EIV188" s="1016"/>
      <c r="EIW188" s="1016"/>
      <c r="EIX188" s="1016"/>
      <c r="EIY188" s="1016"/>
      <c r="EIZ188" s="1016"/>
      <c r="EJA188" s="1016"/>
      <c r="EJB188" s="1016"/>
      <c r="EJC188" s="1016"/>
      <c r="EJD188" s="1016"/>
      <c r="EJE188" s="1016"/>
      <c r="EJF188" s="1016"/>
      <c r="EJG188" s="1016"/>
      <c r="EJH188" s="1016"/>
      <c r="EJI188" s="1016"/>
      <c r="EJJ188" s="1016"/>
      <c r="EJK188" s="1016"/>
      <c r="EJL188" s="1016"/>
      <c r="EJM188" s="1016"/>
      <c r="EJN188" s="1016"/>
      <c r="EJO188" s="1016"/>
      <c r="EJP188" s="1016"/>
      <c r="EJQ188" s="1016"/>
      <c r="EJR188" s="1016"/>
      <c r="EJS188" s="1016"/>
      <c r="EJT188" s="1016"/>
      <c r="EJU188" s="1016"/>
      <c r="EJV188" s="1016"/>
      <c r="EJW188" s="1016"/>
      <c r="EJX188" s="1016"/>
      <c r="EJY188" s="1016"/>
      <c r="EJZ188" s="1016"/>
      <c r="EKA188" s="1016"/>
      <c r="EKB188" s="1016"/>
      <c r="EKC188" s="1016"/>
      <c r="EKD188" s="1016"/>
      <c r="EKE188" s="1016"/>
      <c r="EKF188" s="1016"/>
      <c r="EKG188" s="1016"/>
      <c r="EKH188" s="1016"/>
      <c r="EKI188" s="1016"/>
      <c r="EKJ188" s="1016"/>
      <c r="EKK188" s="1016"/>
      <c r="EKL188" s="1016"/>
      <c r="EKM188" s="1016"/>
      <c r="EKN188" s="1016"/>
      <c r="EKO188" s="1016"/>
      <c r="EKP188" s="1016"/>
      <c r="EKQ188" s="1016"/>
      <c r="EKR188" s="1016"/>
      <c r="EKS188" s="1016"/>
      <c r="EKT188" s="1016"/>
      <c r="EKU188" s="1016"/>
      <c r="EKV188" s="1016"/>
      <c r="EKW188" s="1016"/>
      <c r="EKX188" s="1016"/>
      <c r="EKY188" s="1016"/>
      <c r="EKZ188" s="1016"/>
      <c r="ELA188" s="1016"/>
      <c r="ELB188" s="1016"/>
      <c r="ELC188" s="1016"/>
      <c r="ELD188" s="1016"/>
      <c r="ELE188" s="1016"/>
      <c r="ELF188" s="1016"/>
      <c r="ELG188" s="1016"/>
      <c r="ELH188" s="1016"/>
      <c r="ELI188" s="1016"/>
      <c r="ELJ188" s="1016"/>
      <c r="ELK188" s="1016"/>
      <c r="ELL188" s="1016"/>
      <c r="ELM188" s="1016"/>
      <c r="ELN188" s="1016"/>
      <c r="ELO188" s="1016"/>
      <c r="ELP188" s="1016"/>
      <c r="ELQ188" s="1016"/>
      <c r="ELR188" s="1016"/>
      <c r="ELS188" s="1016"/>
      <c r="ELT188" s="1016"/>
      <c r="ELU188" s="1016"/>
      <c r="ELV188" s="1016"/>
      <c r="ELW188" s="1016"/>
      <c r="ELX188" s="1016"/>
      <c r="ELY188" s="1016"/>
      <c r="ELZ188" s="1016"/>
      <c r="EMA188" s="1016"/>
      <c r="EMB188" s="1016"/>
      <c r="EMC188" s="1016"/>
      <c r="EMD188" s="1016"/>
      <c r="EME188" s="1016"/>
      <c r="EMF188" s="1016"/>
      <c r="EMG188" s="1016"/>
      <c r="EMH188" s="1016"/>
      <c r="EMI188" s="1016"/>
      <c r="EMJ188" s="1016"/>
      <c r="EMK188" s="1016"/>
      <c r="EML188" s="1016"/>
      <c r="EMM188" s="1016"/>
      <c r="EMN188" s="1016"/>
      <c r="EMO188" s="1016"/>
      <c r="EMP188" s="1016"/>
      <c r="EMQ188" s="1016"/>
      <c r="EMR188" s="1016"/>
      <c r="EMS188" s="1016"/>
      <c r="EMT188" s="1016"/>
      <c r="EMU188" s="1016"/>
      <c r="EMV188" s="1016"/>
      <c r="EMW188" s="1016"/>
      <c r="EMX188" s="1016"/>
      <c r="EMY188" s="1016"/>
      <c r="EMZ188" s="1016"/>
      <c r="ENA188" s="1016"/>
      <c r="ENB188" s="1016"/>
      <c r="ENC188" s="1016"/>
      <c r="END188" s="1016"/>
      <c r="ENE188" s="1016"/>
      <c r="ENF188" s="1016"/>
      <c r="ENG188" s="1016"/>
      <c r="ENH188" s="1016"/>
      <c r="ENI188" s="1016"/>
      <c r="ENJ188" s="1016"/>
      <c r="ENK188" s="1016"/>
      <c r="ENL188" s="1016"/>
      <c r="ENM188" s="1016"/>
      <c r="ENN188" s="1016"/>
      <c r="ENO188" s="1016"/>
      <c r="ENP188" s="1016"/>
      <c r="ENQ188" s="1016"/>
      <c r="ENR188" s="1016"/>
      <c r="ENS188" s="1016"/>
      <c r="ENT188" s="1016"/>
      <c r="ENU188" s="1016"/>
      <c r="ENV188" s="1016"/>
      <c r="ENW188" s="1016"/>
      <c r="ENX188" s="1016"/>
      <c r="ENY188" s="1016"/>
      <c r="ENZ188" s="1016"/>
      <c r="EOA188" s="1016"/>
      <c r="EOB188" s="1016"/>
      <c r="EOC188" s="1016"/>
      <c r="EOD188" s="1016"/>
      <c r="EOE188" s="1016"/>
      <c r="EOF188" s="1016"/>
      <c r="EOG188" s="1016"/>
      <c r="EOH188" s="1016"/>
      <c r="EOI188" s="1016"/>
      <c r="EOJ188" s="1016"/>
      <c r="EOK188" s="1016"/>
      <c r="EOL188" s="1016"/>
      <c r="EOM188" s="1016"/>
      <c r="EON188" s="1016"/>
      <c r="EOO188" s="1016"/>
      <c r="EOP188" s="1016"/>
      <c r="EOQ188" s="1016"/>
      <c r="EOR188" s="1016"/>
      <c r="EOS188" s="1016"/>
      <c r="EOT188" s="1016"/>
      <c r="EOU188" s="1016"/>
      <c r="EOV188" s="1016"/>
      <c r="EOW188" s="1016"/>
      <c r="EOX188" s="1016"/>
      <c r="EOY188" s="1016"/>
      <c r="EOZ188" s="1016"/>
      <c r="EPA188" s="1016"/>
      <c r="EPB188" s="1016"/>
      <c r="EPC188" s="1016"/>
      <c r="EPD188" s="1016"/>
      <c r="EPE188" s="1016"/>
      <c r="EPF188" s="1016"/>
      <c r="EPG188" s="1016"/>
      <c r="EPH188" s="1016"/>
      <c r="EPI188" s="1016"/>
      <c r="EPJ188" s="1016"/>
      <c r="EPK188" s="1016"/>
      <c r="EPL188" s="1016"/>
      <c r="EPM188" s="1016"/>
      <c r="EPN188" s="1016"/>
      <c r="EPO188" s="1016"/>
      <c r="EPP188" s="1016"/>
      <c r="EPQ188" s="1016"/>
      <c r="EPR188" s="1016"/>
      <c r="EPS188" s="1016"/>
      <c r="EPT188" s="1016"/>
      <c r="EPU188" s="1016"/>
      <c r="EPV188" s="1016"/>
      <c r="EPW188" s="1016"/>
      <c r="EPX188" s="1016"/>
      <c r="EPY188" s="1016"/>
      <c r="EPZ188" s="1016"/>
      <c r="EQA188" s="1016"/>
      <c r="EQB188" s="1016"/>
      <c r="EQC188" s="1016"/>
      <c r="EQD188" s="1016"/>
      <c r="EQE188" s="1016"/>
      <c r="EQF188" s="1016"/>
      <c r="EQG188" s="1016"/>
      <c r="EQH188" s="1016"/>
      <c r="EQI188" s="1016"/>
      <c r="EQJ188" s="1016"/>
      <c r="EQK188" s="1016"/>
      <c r="EQL188" s="1016"/>
      <c r="EQM188" s="1016"/>
      <c r="EQN188" s="1016"/>
      <c r="EQO188" s="1016"/>
      <c r="EQP188" s="1016"/>
      <c r="EQQ188" s="1016"/>
      <c r="EQR188" s="1016"/>
      <c r="EQS188" s="1016"/>
      <c r="EQT188" s="1016"/>
      <c r="EQU188" s="1016"/>
      <c r="EQV188" s="1016"/>
      <c r="EQW188" s="1016"/>
      <c r="EQX188" s="1016"/>
      <c r="EQY188" s="1016"/>
      <c r="EQZ188" s="1016"/>
      <c r="ERA188" s="1016"/>
      <c r="ERB188" s="1016"/>
      <c r="ERC188" s="1016"/>
      <c r="ERD188" s="1016"/>
      <c r="ERE188" s="1016"/>
      <c r="ERF188" s="1016"/>
      <c r="ERG188" s="1016"/>
      <c r="ERH188" s="1016"/>
      <c r="ERI188" s="1016"/>
      <c r="ERJ188" s="1016"/>
      <c r="ERK188" s="1016"/>
      <c r="ERL188" s="1016"/>
      <c r="ERM188" s="1016"/>
      <c r="ERN188" s="1016"/>
      <c r="ERO188" s="1016"/>
      <c r="ERP188" s="1016"/>
      <c r="ERQ188" s="1016"/>
      <c r="ERR188" s="1016"/>
      <c r="ERS188" s="1016"/>
      <c r="ERT188" s="1016"/>
      <c r="ERU188" s="1016"/>
      <c r="ERV188" s="1016"/>
      <c r="ERW188" s="1016"/>
      <c r="ERX188" s="1016"/>
      <c r="ERY188" s="1016"/>
      <c r="ERZ188" s="1016"/>
      <c r="ESA188" s="1016"/>
      <c r="ESB188" s="1016"/>
      <c r="ESC188" s="1016"/>
      <c r="ESD188" s="1016"/>
      <c r="ESE188" s="1016"/>
      <c r="ESF188" s="1016"/>
      <c r="ESG188" s="1016"/>
      <c r="ESH188" s="1016"/>
      <c r="ESI188" s="1016"/>
      <c r="ESJ188" s="1016"/>
      <c r="ESK188" s="1016"/>
      <c r="ESL188" s="1016"/>
      <c r="ESM188" s="1016"/>
      <c r="ESN188" s="1016"/>
      <c r="ESO188" s="1016"/>
      <c r="ESP188" s="1016"/>
      <c r="ESQ188" s="1016"/>
      <c r="ESR188" s="1016"/>
      <c r="ESS188" s="1016"/>
      <c r="EST188" s="1016"/>
      <c r="ESU188" s="1016"/>
      <c r="ESV188" s="1016"/>
      <c r="ESW188" s="1016"/>
      <c r="ESX188" s="1016"/>
      <c r="ESY188" s="1016"/>
      <c r="ESZ188" s="1016"/>
      <c r="ETA188" s="1016"/>
      <c r="ETB188" s="1016"/>
      <c r="ETC188" s="1016"/>
      <c r="ETD188" s="1016"/>
      <c r="ETE188" s="1016"/>
      <c r="ETF188" s="1016"/>
      <c r="ETG188" s="1016"/>
      <c r="ETH188" s="1016"/>
      <c r="ETI188" s="1016"/>
      <c r="ETJ188" s="1016"/>
      <c r="ETK188" s="1016"/>
      <c r="ETL188" s="1016"/>
      <c r="ETM188" s="1016"/>
      <c r="ETN188" s="1016"/>
      <c r="ETO188" s="1016"/>
      <c r="ETP188" s="1016"/>
      <c r="ETQ188" s="1016"/>
      <c r="ETR188" s="1016"/>
      <c r="ETS188" s="1016"/>
      <c r="ETT188" s="1016"/>
      <c r="ETU188" s="1016"/>
      <c r="ETV188" s="1016"/>
      <c r="ETW188" s="1016"/>
      <c r="ETX188" s="1016"/>
      <c r="ETY188" s="1016"/>
      <c r="ETZ188" s="1016"/>
      <c r="EUA188" s="1016"/>
      <c r="EUB188" s="1016"/>
      <c r="EUC188" s="1016"/>
      <c r="EUD188" s="1016"/>
      <c r="EUE188" s="1016"/>
      <c r="EUF188" s="1016"/>
      <c r="EUG188" s="1016"/>
      <c r="EUH188" s="1016"/>
      <c r="EUI188" s="1016"/>
      <c r="EUJ188" s="1016"/>
      <c r="EUK188" s="1016"/>
      <c r="EUL188" s="1016"/>
      <c r="EUM188" s="1016"/>
      <c r="EUN188" s="1016"/>
      <c r="EUO188" s="1016"/>
      <c r="EUP188" s="1016"/>
      <c r="EUQ188" s="1016"/>
      <c r="EUR188" s="1016"/>
      <c r="EUS188" s="1016"/>
      <c r="EUT188" s="1016"/>
      <c r="EUU188" s="1016"/>
      <c r="EUV188" s="1016"/>
      <c r="EUW188" s="1016"/>
      <c r="EUX188" s="1016"/>
      <c r="EUY188" s="1016"/>
      <c r="EUZ188" s="1016"/>
      <c r="EVA188" s="1016"/>
      <c r="EVB188" s="1016"/>
      <c r="EVC188" s="1016"/>
      <c r="EVD188" s="1016"/>
      <c r="EVE188" s="1016"/>
      <c r="EVF188" s="1016"/>
      <c r="EVG188" s="1016"/>
      <c r="EVH188" s="1016"/>
      <c r="EVI188" s="1016"/>
      <c r="EVJ188" s="1016"/>
      <c r="EVK188" s="1016"/>
      <c r="EVL188" s="1016"/>
      <c r="EVM188" s="1016"/>
      <c r="EVN188" s="1016"/>
      <c r="EVO188" s="1016"/>
      <c r="EVP188" s="1016"/>
      <c r="EVQ188" s="1016"/>
      <c r="EVR188" s="1016"/>
      <c r="EVS188" s="1016"/>
      <c r="EVT188" s="1016"/>
      <c r="EVU188" s="1016"/>
      <c r="EVV188" s="1016"/>
      <c r="EVW188" s="1016"/>
      <c r="EVX188" s="1016"/>
      <c r="EVY188" s="1016"/>
      <c r="EVZ188" s="1016"/>
      <c r="EWA188" s="1016"/>
      <c r="EWB188" s="1016"/>
      <c r="EWC188" s="1016"/>
      <c r="EWD188" s="1016"/>
      <c r="EWE188" s="1016"/>
      <c r="EWF188" s="1016"/>
      <c r="EWG188" s="1016"/>
      <c r="EWH188" s="1016"/>
      <c r="EWI188" s="1016"/>
      <c r="EWJ188" s="1016"/>
      <c r="EWK188" s="1016"/>
      <c r="EWL188" s="1016"/>
      <c r="EWM188" s="1016"/>
      <c r="EWN188" s="1016"/>
      <c r="EWO188" s="1016"/>
      <c r="EWP188" s="1016"/>
      <c r="EWQ188" s="1016"/>
      <c r="EWR188" s="1016"/>
      <c r="EWS188" s="1016"/>
      <c r="EWT188" s="1016"/>
      <c r="EWU188" s="1016"/>
      <c r="EWV188" s="1016"/>
      <c r="EWW188" s="1016"/>
      <c r="EWX188" s="1016"/>
      <c r="EWY188" s="1016"/>
      <c r="EWZ188" s="1016"/>
      <c r="EXA188" s="1016"/>
      <c r="EXB188" s="1016"/>
      <c r="EXC188" s="1016"/>
      <c r="EXD188" s="1016"/>
      <c r="EXE188" s="1016"/>
      <c r="EXF188" s="1016"/>
      <c r="EXG188" s="1016"/>
      <c r="EXH188" s="1016"/>
      <c r="EXI188" s="1016"/>
      <c r="EXJ188" s="1016"/>
      <c r="EXK188" s="1016"/>
      <c r="EXL188" s="1016"/>
      <c r="EXM188" s="1016"/>
      <c r="EXN188" s="1016"/>
      <c r="EXO188" s="1016"/>
      <c r="EXP188" s="1016"/>
      <c r="EXQ188" s="1016"/>
      <c r="EXR188" s="1016"/>
      <c r="EXS188" s="1016"/>
      <c r="EXT188" s="1016"/>
      <c r="EXU188" s="1016"/>
      <c r="EXV188" s="1016"/>
      <c r="EXW188" s="1016"/>
      <c r="EXX188" s="1016"/>
      <c r="EXY188" s="1016"/>
      <c r="EXZ188" s="1016"/>
      <c r="EYA188" s="1016"/>
      <c r="EYB188" s="1016"/>
      <c r="EYC188" s="1016"/>
      <c r="EYD188" s="1016"/>
      <c r="EYE188" s="1016"/>
      <c r="EYF188" s="1016"/>
      <c r="EYG188" s="1016"/>
      <c r="EYH188" s="1016"/>
      <c r="EYI188" s="1016"/>
      <c r="EYJ188" s="1016"/>
      <c r="EYK188" s="1016"/>
      <c r="EYL188" s="1016"/>
      <c r="EYM188" s="1016"/>
      <c r="EYN188" s="1016"/>
      <c r="EYO188" s="1016"/>
      <c r="EYP188" s="1016"/>
      <c r="EYQ188" s="1016"/>
      <c r="EYR188" s="1016"/>
      <c r="EYS188" s="1016"/>
      <c r="EYT188" s="1016"/>
      <c r="EYU188" s="1016"/>
      <c r="EYV188" s="1016"/>
      <c r="EYW188" s="1016"/>
      <c r="EYX188" s="1016"/>
      <c r="EYY188" s="1016"/>
      <c r="EYZ188" s="1016"/>
      <c r="EZA188" s="1016"/>
      <c r="EZB188" s="1016"/>
      <c r="EZC188" s="1016"/>
      <c r="EZD188" s="1016"/>
      <c r="EZE188" s="1016"/>
      <c r="EZF188" s="1016"/>
      <c r="EZG188" s="1016"/>
      <c r="EZH188" s="1016"/>
      <c r="EZI188" s="1016"/>
      <c r="EZJ188" s="1016"/>
      <c r="EZK188" s="1016"/>
      <c r="EZL188" s="1016"/>
      <c r="EZM188" s="1016"/>
      <c r="EZN188" s="1016"/>
      <c r="EZO188" s="1016"/>
      <c r="EZP188" s="1016"/>
      <c r="EZQ188" s="1016"/>
      <c r="EZR188" s="1016"/>
      <c r="EZS188" s="1016"/>
      <c r="EZT188" s="1016"/>
      <c r="EZU188" s="1016"/>
      <c r="EZV188" s="1016"/>
      <c r="EZW188" s="1016"/>
      <c r="EZX188" s="1016"/>
      <c r="EZY188" s="1016"/>
      <c r="EZZ188" s="1016"/>
      <c r="FAA188" s="1016"/>
      <c r="FAB188" s="1016"/>
      <c r="FAC188" s="1016"/>
      <c r="FAD188" s="1016"/>
      <c r="FAE188" s="1016"/>
      <c r="FAF188" s="1016"/>
      <c r="FAG188" s="1016"/>
      <c r="FAH188" s="1016"/>
      <c r="FAI188" s="1016"/>
      <c r="FAJ188" s="1016"/>
      <c r="FAK188" s="1016"/>
      <c r="FAL188" s="1016"/>
      <c r="FAM188" s="1016"/>
      <c r="FAN188" s="1016"/>
      <c r="FAO188" s="1016"/>
      <c r="FAP188" s="1016"/>
      <c r="FAQ188" s="1016"/>
      <c r="FAR188" s="1016"/>
      <c r="FAS188" s="1016"/>
      <c r="FAT188" s="1016"/>
      <c r="FAU188" s="1016"/>
      <c r="FAV188" s="1016"/>
      <c r="FAW188" s="1016"/>
      <c r="FAX188" s="1016"/>
      <c r="FAY188" s="1016"/>
      <c r="FAZ188" s="1016"/>
      <c r="FBA188" s="1016"/>
      <c r="FBB188" s="1016"/>
      <c r="FBC188" s="1016"/>
      <c r="FBD188" s="1016"/>
      <c r="FBE188" s="1016"/>
      <c r="FBF188" s="1016"/>
      <c r="FBG188" s="1016"/>
      <c r="FBH188" s="1016"/>
      <c r="FBI188" s="1016"/>
      <c r="FBJ188" s="1016"/>
      <c r="FBK188" s="1016"/>
      <c r="FBL188" s="1016"/>
      <c r="FBM188" s="1016"/>
      <c r="FBN188" s="1016"/>
      <c r="FBO188" s="1016"/>
      <c r="FBP188" s="1016"/>
      <c r="FBQ188" s="1016"/>
      <c r="FBR188" s="1016"/>
      <c r="FBS188" s="1016"/>
      <c r="FBT188" s="1016"/>
      <c r="FBU188" s="1016"/>
      <c r="FBV188" s="1016"/>
      <c r="FBW188" s="1016"/>
      <c r="FBX188" s="1016"/>
      <c r="FBY188" s="1016"/>
      <c r="FBZ188" s="1016"/>
      <c r="FCA188" s="1016"/>
      <c r="FCB188" s="1016"/>
      <c r="FCC188" s="1016"/>
      <c r="FCD188" s="1016"/>
      <c r="FCE188" s="1016"/>
      <c r="FCF188" s="1016"/>
      <c r="FCG188" s="1016"/>
      <c r="FCH188" s="1016"/>
      <c r="FCI188" s="1016"/>
      <c r="FCJ188" s="1016"/>
      <c r="FCK188" s="1016"/>
      <c r="FCL188" s="1016"/>
      <c r="FCM188" s="1016"/>
      <c r="FCN188" s="1016"/>
      <c r="FCO188" s="1016"/>
      <c r="FCP188" s="1016"/>
      <c r="FCQ188" s="1016"/>
      <c r="FCR188" s="1016"/>
      <c r="FCS188" s="1016"/>
      <c r="FCT188" s="1016"/>
      <c r="FCU188" s="1016"/>
      <c r="FCV188" s="1016"/>
      <c r="FCW188" s="1016"/>
      <c r="FCX188" s="1016"/>
      <c r="FCY188" s="1016"/>
      <c r="FCZ188" s="1016"/>
      <c r="FDA188" s="1016"/>
      <c r="FDB188" s="1016"/>
      <c r="FDC188" s="1016"/>
      <c r="FDD188" s="1016"/>
      <c r="FDE188" s="1016"/>
      <c r="FDF188" s="1016"/>
      <c r="FDG188" s="1016"/>
      <c r="FDH188" s="1016"/>
      <c r="FDI188" s="1016"/>
      <c r="FDJ188" s="1016"/>
      <c r="FDK188" s="1016"/>
      <c r="FDL188" s="1016"/>
      <c r="FDM188" s="1016"/>
      <c r="FDN188" s="1016"/>
      <c r="FDO188" s="1016"/>
      <c r="FDP188" s="1016"/>
      <c r="FDQ188" s="1016"/>
      <c r="FDR188" s="1016"/>
      <c r="FDS188" s="1016"/>
      <c r="FDT188" s="1016"/>
      <c r="FDU188" s="1016"/>
      <c r="FDV188" s="1016"/>
      <c r="FDW188" s="1016"/>
      <c r="FDX188" s="1016"/>
      <c r="FDY188" s="1016"/>
      <c r="FDZ188" s="1016"/>
      <c r="FEA188" s="1016"/>
      <c r="FEB188" s="1016"/>
      <c r="FEC188" s="1016"/>
      <c r="FED188" s="1016"/>
      <c r="FEE188" s="1016"/>
      <c r="FEF188" s="1016"/>
      <c r="FEG188" s="1016"/>
      <c r="FEH188" s="1016"/>
      <c r="FEI188" s="1016"/>
      <c r="FEJ188" s="1016"/>
      <c r="FEK188" s="1016"/>
      <c r="FEL188" s="1016"/>
      <c r="FEM188" s="1016"/>
      <c r="FEN188" s="1016"/>
      <c r="FEO188" s="1016"/>
      <c r="FEP188" s="1016"/>
      <c r="FEQ188" s="1016"/>
      <c r="FER188" s="1016"/>
      <c r="FES188" s="1016"/>
      <c r="FET188" s="1016"/>
      <c r="FEU188" s="1016"/>
      <c r="FEV188" s="1016"/>
      <c r="FEW188" s="1016"/>
      <c r="FEX188" s="1016"/>
      <c r="FEY188" s="1016"/>
      <c r="FEZ188" s="1016"/>
      <c r="FFA188" s="1016"/>
      <c r="FFB188" s="1016"/>
      <c r="FFC188" s="1016"/>
      <c r="FFD188" s="1016"/>
      <c r="FFE188" s="1016"/>
      <c r="FFF188" s="1016"/>
      <c r="FFG188" s="1016"/>
      <c r="FFH188" s="1016"/>
      <c r="FFI188" s="1016"/>
      <c r="FFJ188" s="1016"/>
      <c r="FFK188" s="1016"/>
      <c r="FFL188" s="1016"/>
      <c r="FFM188" s="1016"/>
      <c r="FFN188" s="1016"/>
      <c r="FFO188" s="1016"/>
      <c r="FFP188" s="1016"/>
      <c r="FFQ188" s="1016"/>
      <c r="FFR188" s="1016"/>
      <c r="FFS188" s="1016"/>
      <c r="FFT188" s="1016"/>
      <c r="FFU188" s="1016"/>
      <c r="FFV188" s="1016"/>
      <c r="FFW188" s="1016"/>
      <c r="FFX188" s="1016"/>
      <c r="FFY188" s="1016"/>
      <c r="FFZ188" s="1016"/>
      <c r="FGA188" s="1016"/>
      <c r="FGB188" s="1016"/>
      <c r="FGC188" s="1016"/>
      <c r="FGD188" s="1016"/>
      <c r="FGE188" s="1016"/>
      <c r="FGF188" s="1016"/>
      <c r="FGG188" s="1016"/>
      <c r="FGH188" s="1016"/>
      <c r="FGI188" s="1016"/>
      <c r="FGJ188" s="1016"/>
      <c r="FGK188" s="1016"/>
      <c r="FGL188" s="1016"/>
      <c r="FGM188" s="1016"/>
      <c r="FGN188" s="1016"/>
      <c r="FGO188" s="1016"/>
      <c r="FGP188" s="1016"/>
      <c r="FGQ188" s="1016"/>
      <c r="FGR188" s="1016"/>
      <c r="FGS188" s="1016"/>
      <c r="FGT188" s="1016"/>
      <c r="FGU188" s="1016"/>
      <c r="FGV188" s="1016"/>
      <c r="FGW188" s="1016"/>
      <c r="FGX188" s="1016"/>
      <c r="FGY188" s="1016"/>
      <c r="FGZ188" s="1016"/>
      <c r="FHA188" s="1016"/>
      <c r="FHB188" s="1016"/>
      <c r="FHC188" s="1016"/>
      <c r="FHD188" s="1016"/>
      <c r="FHE188" s="1016"/>
      <c r="FHF188" s="1016"/>
      <c r="FHG188" s="1016"/>
      <c r="FHH188" s="1016"/>
      <c r="FHI188" s="1016"/>
      <c r="FHJ188" s="1016"/>
      <c r="FHK188" s="1016"/>
      <c r="FHL188" s="1016"/>
      <c r="FHM188" s="1016"/>
      <c r="FHN188" s="1016"/>
      <c r="FHO188" s="1016"/>
      <c r="FHP188" s="1016"/>
      <c r="FHQ188" s="1016"/>
      <c r="FHR188" s="1016"/>
      <c r="FHS188" s="1016"/>
      <c r="FHT188" s="1016"/>
      <c r="FHU188" s="1016"/>
      <c r="FHV188" s="1016"/>
      <c r="FHW188" s="1016"/>
      <c r="FHX188" s="1016"/>
      <c r="FHY188" s="1016"/>
      <c r="FHZ188" s="1016"/>
      <c r="FIA188" s="1016"/>
      <c r="FIB188" s="1016"/>
      <c r="FIC188" s="1016"/>
      <c r="FID188" s="1016"/>
      <c r="FIE188" s="1016"/>
      <c r="FIF188" s="1016"/>
      <c r="FIG188" s="1016"/>
      <c r="FIH188" s="1016"/>
      <c r="FII188" s="1016"/>
      <c r="FIJ188" s="1016"/>
      <c r="FIK188" s="1016"/>
      <c r="FIL188" s="1016"/>
      <c r="FIM188" s="1016"/>
      <c r="FIN188" s="1016"/>
      <c r="FIO188" s="1016"/>
      <c r="FIP188" s="1016"/>
      <c r="FIQ188" s="1016"/>
      <c r="FIR188" s="1016"/>
      <c r="FIS188" s="1016"/>
      <c r="FIT188" s="1016"/>
      <c r="FIU188" s="1016"/>
      <c r="FIV188" s="1016"/>
      <c r="FIW188" s="1016"/>
      <c r="FIX188" s="1016"/>
      <c r="FIY188" s="1016"/>
      <c r="FIZ188" s="1016"/>
      <c r="FJA188" s="1016"/>
      <c r="FJB188" s="1016"/>
      <c r="FJC188" s="1016"/>
      <c r="FJD188" s="1016"/>
      <c r="FJE188" s="1016"/>
      <c r="FJF188" s="1016"/>
      <c r="FJG188" s="1016"/>
      <c r="FJH188" s="1016"/>
      <c r="FJI188" s="1016"/>
      <c r="FJJ188" s="1016"/>
      <c r="FJK188" s="1016"/>
      <c r="FJL188" s="1016"/>
      <c r="FJM188" s="1016"/>
      <c r="FJN188" s="1016"/>
      <c r="FJO188" s="1016"/>
      <c r="FJP188" s="1016"/>
      <c r="FJQ188" s="1016"/>
      <c r="FJR188" s="1016"/>
      <c r="FJS188" s="1016"/>
      <c r="FJT188" s="1016"/>
      <c r="FJU188" s="1016"/>
      <c r="FJV188" s="1016"/>
      <c r="FJW188" s="1016"/>
      <c r="FJX188" s="1016"/>
      <c r="FJY188" s="1016"/>
      <c r="FJZ188" s="1016"/>
      <c r="FKA188" s="1016"/>
      <c r="FKB188" s="1016"/>
      <c r="FKC188" s="1016"/>
      <c r="FKD188" s="1016"/>
      <c r="FKE188" s="1016"/>
      <c r="FKF188" s="1016"/>
      <c r="FKG188" s="1016"/>
      <c r="FKH188" s="1016"/>
      <c r="FKI188" s="1016"/>
      <c r="FKJ188" s="1016"/>
      <c r="FKK188" s="1016"/>
      <c r="FKL188" s="1016"/>
      <c r="FKM188" s="1016"/>
      <c r="FKN188" s="1016"/>
      <c r="FKO188" s="1016"/>
      <c r="FKP188" s="1016"/>
      <c r="FKQ188" s="1016"/>
      <c r="FKR188" s="1016"/>
      <c r="FKS188" s="1016"/>
      <c r="FKT188" s="1016"/>
      <c r="FKU188" s="1016"/>
      <c r="FKV188" s="1016"/>
      <c r="FKW188" s="1016"/>
      <c r="FKX188" s="1016"/>
      <c r="FKY188" s="1016"/>
      <c r="FKZ188" s="1016"/>
      <c r="FLA188" s="1016"/>
      <c r="FLB188" s="1016"/>
      <c r="FLC188" s="1016"/>
      <c r="FLD188" s="1016"/>
      <c r="FLE188" s="1016"/>
      <c r="FLF188" s="1016"/>
      <c r="FLG188" s="1016"/>
      <c r="FLH188" s="1016"/>
      <c r="FLI188" s="1016"/>
      <c r="FLJ188" s="1016"/>
      <c r="FLK188" s="1016"/>
      <c r="FLL188" s="1016"/>
      <c r="FLM188" s="1016"/>
      <c r="FLN188" s="1016"/>
      <c r="FLO188" s="1016"/>
      <c r="FLP188" s="1016"/>
      <c r="FLQ188" s="1016"/>
      <c r="FLR188" s="1016"/>
      <c r="FLS188" s="1016"/>
      <c r="FLT188" s="1016"/>
      <c r="FLU188" s="1016"/>
      <c r="FLV188" s="1016"/>
      <c r="FLW188" s="1016"/>
      <c r="FLX188" s="1016"/>
      <c r="FLY188" s="1016"/>
      <c r="FLZ188" s="1016"/>
      <c r="FMA188" s="1016"/>
      <c r="FMB188" s="1016"/>
      <c r="FMC188" s="1016"/>
      <c r="FMD188" s="1016"/>
      <c r="FME188" s="1016"/>
      <c r="FMF188" s="1016"/>
      <c r="FMG188" s="1016"/>
      <c r="FMH188" s="1016"/>
      <c r="FMI188" s="1016"/>
      <c r="FMJ188" s="1016"/>
      <c r="FMK188" s="1016"/>
      <c r="FML188" s="1016"/>
      <c r="FMM188" s="1016"/>
      <c r="FMN188" s="1016"/>
      <c r="FMO188" s="1016"/>
      <c r="FMP188" s="1016"/>
      <c r="FMQ188" s="1016"/>
      <c r="FMR188" s="1016"/>
      <c r="FMS188" s="1016"/>
      <c r="FMT188" s="1016"/>
      <c r="FMU188" s="1016"/>
      <c r="FMV188" s="1016"/>
      <c r="FMW188" s="1016"/>
      <c r="FMX188" s="1016"/>
      <c r="FMY188" s="1016"/>
      <c r="FMZ188" s="1016"/>
      <c r="FNA188" s="1016"/>
      <c r="FNB188" s="1016"/>
      <c r="FNC188" s="1016"/>
      <c r="FND188" s="1016"/>
      <c r="FNE188" s="1016"/>
      <c r="FNF188" s="1016"/>
      <c r="FNG188" s="1016"/>
      <c r="FNH188" s="1016"/>
      <c r="FNI188" s="1016"/>
      <c r="FNJ188" s="1016"/>
      <c r="FNK188" s="1016"/>
      <c r="FNL188" s="1016"/>
      <c r="FNM188" s="1016"/>
      <c r="FNN188" s="1016"/>
      <c r="FNO188" s="1016"/>
      <c r="FNP188" s="1016"/>
      <c r="FNQ188" s="1016"/>
      <c r="FNR188" s="1016"/>
      <c r="FNS188" s="1016"/>
      <c r="FNT188" s="1016"/>
      <c r="FNU188" s="1016"/>
      <c r="FNV188" s="1016"/>
      <c r="FNW188" s="1016"/>
      <c r="FNX188" s="1016"/>
      <c r="FNY188" s="1016"/>
      <c r="FNZ188" s="1016"/>
      <c r="FOA188" s="1016"/>
      <c r="FOB188" s="1016"/>
      <c r="FOC188" s="1016"/>
      <c r="FOD188" s="1016"/>
      <c r="FOE188" s="1016"/>
      <c r="FOF188" s="1016"/>
      <c r="FOG188" s="1016"/>
      <c r="FOH188" s="1016"/>
      <c r="FOI188" s="1016"/>
      <c r="FOJ188" s="1016"/>
      <c r="FOK188" s="1016"/>
      <c r="FOL188" s="1016"/>
      <c r="FOM188" s="1016"/>
      <c r="FON188" s="1016"/>
      <c r="FOO188" s="1016"/>
      <c r="FOP188" s="1016"/>
      <c r="FOQ188" s="1016"/>
      <c r="FOR188" s="1016"/>
      <c r="FOS188" s="1016"/>
      <c r="FOT188" s="1016"/>
      <c r="FOU188" s="1016"/>
      <c r="FOV188" s="1016"/>
      <c r="FOW188" s="1016"/>
      <c r="FOX188" s="1016"/>
      <c r="FOY188" s="1016"/>
      <c r="FOZ188" s="1016"/>
      <c r="FPA188" s="1016"/>
      <c r="FPB188" s="1016"/>
      <c r="FPC188" s="1016"/>
      <c r="FPD188" s="1016"/>
      <c r="FPE188" s="1016"/>
      <c r="FPF188" s="1016"/>
      <c r="FPG188" s="1016"/>
      <c r="FPH188" s="1016"/>
      <c r="FPI188" s="1016"/>
      <c r="FPJ188" s="1016"/>
      <c r="FPK188" s="1016"/>
      <c r="FPL188" s="1016"/>
      <c r="FPM188" s="1016"/>
      <c r="FPN188" s="1016"/>
      <c r="FPO188" s="1016"/>
      <c r="FPP188" s="1016"/>
      <c r="FPQ188" s="1016"/>
      <c r="FPR188" s="1016"/>
      <c r="FPS188" s="1016"/>
      <c r="FPT188" s="1016"/>
      <c r="FPU188" s="1016"/>
      <c r="FPV188" s="1016"/>
      <c r="FPW188" s="1016"/>
      <c r="FPX188" s="1016"/>
      <c r="FPY188" s="1016"/>
      <c r="FPZ188" s="1016"/>
      <c r="FQA188" s="1016"/>
      <c r="FQB188" s="1016"/>
      <c r="FQC188" s="1016"/>
      <c r="FQD188" s="1016"/>
      <c r="FQE188" s="1016"/>
      <c r="FQF188" s="1016"/>
      <c r="FQG188" s="1016"/>
      <c r="FQH188" s="1016"/>
      <c r="FQI188" s="1016"/>
      <c r="FQJ188" s="1016"/>
      <c r="FQK188" s="1016"/>
      <c r="FQL188" s="1016"/>
      <c r="FQM188" s="1016"/>
      <c r="FQN188" s="1016"/>
      <c r="FQO188" s="1016"/>
      <c r="FQP188" s="1016"/>
      <c r="FQQ188" s="1016"/>
      <c r="FQR188" s="1016"/>
      <c r="FQS188" s="1016"/>
      <c r="FQT188" s="1016"/>
      <c r="FQU188" s="1016"/>
      <c r="FQV188" s="1016"/>
      <c r="FQW188" s="1016"/>
      <c r="FQX188" s="1016"/>
      <c r="FQY188" s="1016"/>
      <c r="FQZ188" s="1016"/>
      <c r="FRA188" s="1016"/>
      <c r="FRB188" s="1016"/>
      <c r="FRC188" s="1016"/>
      <c r="FRD188" s="1016"/>
      <c r="FRE188" s="1016"/>
      <c r="FRF188" s="1016"/>
      <c r="FRG188" s="1016"/>
      <c r="FRH188" s="1016"/>
      <c r="FRI188" s="1016"/>
      <c r="FRJ188" s="1016"/>
      <c r="FRK188" s="1016"/>
      <c r="FRL188" s="1016"/>
      <c r="FRM188" s="1016"/>
      <c r="FRN188" s="1016"/>
      <c r="FRO188" s="1016"/>
      <c r="FRP188" s="1016"/>
      <c r="FRQ188" s="1016"/>
      <c r="FRR188" s="1016"/>
      <c r="FRS188" s="1016"/>
      <c r="FRT188" s="1016"/>
      <c r="FRU188" s="1016"/>
      <c r="FRV188" s="1016"/>
      <c r="FRW188" s="1016"/>
      <c r="FRX188" s="1016"/>
      <c r="FRY188" s="1016"/>
      <c r="FRZ188" s="1016"/>
      <c r="FSA188" s="1016"/>
      <c r="FSB188" s="1016"/>
      <c r="FSC188" s="1016"/>
      <c r="FSD188" s="1016"/>
      <c r="FSE188" s="1016"/>
      <c r="FSF188" s="1016"/>
      <c r="FSG188" s="1016"/>
      <c r="FSH188" s="1016"/>
      <c r="FSI188" s="1016"/>
      <c r="FSJ188" s="1016"/>
      <c r="FSK188" s="1016"/>
      <c r="FSL188" s="1016"/>
      <c r="FSM188" s="1016"/>
      <c r="FSN188" s="1016"/>
      <c r="FSO188" s="1016"/>
      <c r="FSP188" s="1016"/>
      <c r="FSQ188" s="1016"/>
      <c r="FSR188" s="1016"/>
      <c r="FSS188" s="1016"/>
      <c r="FST188" s="1016"/>
      <c r="FSU188" s="1016"/>
      <c r="FSV188" s="1016"/>
      <c r="FSW188" s="1016"/>
      <c r="FSX188" s="1016"/>
      <c r="FSY188" s="1016"/>
      <c r="FSZ188" s="1016"/>
      <c r="FTA188" s="1016"/>
      <c r="FTB188" s="1016"/>
      <c r="FTC188" s="1016"/>
      <c r="FTD188" s="1016"/>
      <c r="FTE188" s="1016"/>
      <c r="FTF188" s="1016"/>
      <c r="FTG188" s="1016"/>
      <c r="FTH188" s="1016"/>
      <c r="FTI188" s="1016"/>
      <c r="FTJ188" s="1016"/>
      <c r="FTK188" s="1016"/>
      <c r="FTL188" s="1016"/>
      <c r="FTM188" s="1016"/>
      <c r="FTN188" s="1016"/>
      <c r="FTO188" s="1016"/>
      <c r="FTP188" s="1016"/>
      <c r="FTQ188" s="1016"/>
      <c r="FTR188" s="1016"/>
      <c r="FTS188" s="1016"/>
      <c r="FTT188" s="1016"/>
      <c r="FTU188" s="1016"/>
      <c r="FTV188" s="1016"/>
      <c r="FTW188" s="1016"/>
      <c r="FTX188" s="1016"/>
      <c r="FTY188" s="1016"/>
      <c r="FTZ188" s="1016"/>
      <c r="FUA188" s="1016"/>
      <c r="FUB188" s="1016"/>
      <c r="FUC188" s="1016"/>
      <c r="FUD188" s="1016"/>
      <c r="FUE188" s="1016"/>
      <c r="FUF188" s="1016"/>
      <c r="FUG188" s="1016"/>
      <c r="FUH188" s="1016"/>
      <c r="FUI188" s="1016"/>
      <c r="FUJ188" s="1016"/>
      <c r="FUK188" s="1016"/>
      <c r="FUL188" s="1016"/>
      <c r="FUM188" s="1016"/>
      <c r="FUN188" s="1016"/>
      <c r="FUO188" s="1016"/>
      <c r="FUP188" s="1016"/>
      <c r="FUQ188" s="1016"/>
      <c r="FUR188" s="1016"/>
      <c r="FUS188" s="1016"/>
      <c r="FUT188" s="1016"/>
      <c r="FUU188" s="1016"/>
      <c r="FUV188" s="1016"/>
      <c r="FUW188" s="1016"/>
      <c r="FUX188" s="1016"/>
      <c r="FUY188" s="1016"/>
      <c r="FUZ188" s="1016"/>
      <c r="FVA188" s="1016"/>
      <c r="FVB188" s="1016"/>
      <c r="FVC188" s="1016"/>
      <c r="FVD188" s="1016"/>
      <c r="FVE188" s="1016"/>
      <c r="FVF188" s="1016"/>
      <c r="FVG188" s="1016"/>
      <c r="FVH188" s="1016"/>
      <c r="FVI188" s="1016"/>
      <c r="FVJ188" s="1016"/>
      <c r="FVK188" s="1016"/>
      <c r="FVL188" s="1016"/>
      <c r="FVM188" s="1016"/>
      <c r="FVN188" s="1016"/>
      <c r="FVO188" s="1016"/>
      <c r="FVP188" s="1016"/>
      <c r="FVQ188" s="1016"/>
      <c r="FVR188" s="1016"/>
      <c r="FVS188" s="1016"/>
      <c r="FVT188" s="1016"/>
      <c r="FVU188" s="1016"/>
      <c r="FVV188" s="1016"/>
      <c r="FVW188" s="1016"/>
      <c r="FVX188" s="1016"/>
      <c r="FVY188" s="1016"/>
      <c r="FVZ188" s="1016"/>
      <c r="FWA188" s="1016"/>
      <c r="FWB188" s="1016"/>
      <c r="FWC188" s="1016"/>
      <c r="FWD188" s="1016"/>
      <c r="FWE188" s="1016"/>
      <c r="FWF188" s="1016"/>
      <c r="FWG188" s="1016"/>
      <c r="FWH188" s="1016"/>
      <c r="FWI188" s="1016"/>
      <c r="FWJ188" s="1016"/>
      <c r="FWK188" s="1016"/>
      <c r="FWL188" s="1016"/>
      <c r="FWM188" s="1016"/>
      <c r="FWN188" s="1016"/>
      <c r="FWO188" s="1016"/>
      <c r="FWP188" s="1016"/>
      <c r="FWQ188" s="1016"/>
      <c r="FWR188" s="1016"/>
      <c r="FWS188" s="1016"/>
      <c r="FWT188" s="1016"/>
      <c r="FWU188" s="1016"/>
      <c r="FWV188" s="1016"/>
      <c r="FWW188" s="1016"/>
      <c r="FWX188" s="1016"/>
      <c r="FWY188" s="1016"/>
      <c r="FWZ188" s="1016"/>
      <c r="FXA188" s="1016"/>
      <c r="FXB188" s="1016"/>
      <c r="FXC188" s="1016"/>
      <c r="FXD188" s="1016"/>
      <c r="FXE188" s="1016"/>
      <c r="FXF188" s="1016"/>
      <c r="FXG188" s="1016"/>
      <c r="FXH188" s="1016"/>
      <c r="FXI188" s="1016"/>
      <c r="FXJ188" s="1016"/>
      <c r="FXK188" s="1016"/>
      <c r="FXL188" s="1016"/>
      <c r="FXM188" s="1016"/>
      <c r="FXN188" s="1016"/>
      <c r="FXO188" s="1016"/>
      <c r="FXP188" s="1016"/>
      <c r="FXQ188" s="1016"/>
      <c r="FXR188" s="1016"/>
      <c r="FXS188" s="1016"/>
      <c r="FXT188" s="1016"/>
      <c r="FXU188" s="1016"/>
      <c r="FXV188" s="1016"/>
      <c r="FXW188" s="1016"/>
      <c r="FXX188" s="1016"/>
      <c r="FXY188" s="1016"/>
      <c r="FXZ188" s="1016"/>
      <c r="FYA188" s="1016"/>
      <c r="FYB188" s="1016"/>
      <c r="FYC188" s="1016"/>
      <c r="FYD188" s="1016"/>
      <c r="FYE188" s="1016"/>
      <c r="FYF188" s="1016"/>
      <c r="FYG188" s="1016"/>
      <c r="FYH188" s="1016"/>
      <c r="FYI188" s="1016"/>
      <c r="FYJ188" s="1016"/>
      <c r="FYK188" s="1016"/>
      <c r="FYL188" s="1016"/>
      <c r="FYM188" s="1016"/>
      <c r="FYN188" s="1016"/>
      <c r="FYO188" s="1016"/>
      <c r="FYP188" s="1016"/>
      <c r="FYQ188" s="1016"/>
      <c r="FYR188" s="1016"/>
      <c r="FYS188" s="1016"/>
      <c r="FYT188" s="1016"/>
      <c r="FYU188" s="1016"/>
      <c r="FYV188" s="1016"/>
      <c r="FYW188" s="1016"/>
      <c r="FYX188" s="1016"/>
      <c r="FYY188" s="1016"/>
      <c r="FYZ188" s="1016"/>
      <c r="FZA188" s="1016"/>
      <c r="FZB188" s="1016"/>
      <c r="FZC188" s="1016"/>
      <c r="FZD188" s="1016"/>
      <c r="FZE188" s="1016"/>
      <c r="FZF188" s="1016"/>
      <c r="FZG188" s="1016"/>
      <c r="FZH188" s="1016"/>
      <c r="FZI188" s="1016"/>
      <c r="FZJ188" s="1016"/>
      <c r="FZK188" s="1016"/>
      <c r="FZL188" s="1016"/>
      <c r="FZM188" s="1016"/>
      <c r="FZN188" s="1016"/>
      <c r="FZO188" s="1016"/>
      <c r="FZP188" s="1016"/>
      <c r="FZQ188" s="1016"/>
      <c r="FZR188" s="1016"/>
      <c r="FZS188" s="1016"/>
      <c r="FZT188" s="1016"/>
      <c r="FZU188" s="1016"/>
      <c r="FZV188" s="1016"/>
      <c r="FZW188" s="1016"/>
      <c r="FZX188" s="1016"/>
      <c r="FZY188" s="1016"/>
      <c r="FZZ188" s="1016"/>
      <c r="GAA188" s="1016"/>
      <c r="GAB188" s="1016"/>
      <c r="GAC188" s="1016"/>
      <c r="GAD188" s="1016"/>
      <c r="GAE188" s="1016"/>
      <c r="GAF188" s="1016"/>
      <c r="GAG188" s="1016"/>
      <c r="GAH188" s="1016"/>
      <c r="GAI188" s="1016"/>
      <c r="GAJ188" s="1016"/>
      <c r="GAK188" s="1016"/>
      <c r="GAL188" s="1016"/>
      <c r="GAM188" s="1016"/>
      <c r="GAN188" s="1016"/>
      <c r="GAO188" s="1016"/>
      <c r="GAP188" s="1016"/>
      <c r="GAQ188" s="1016"/>
      <c r="GAR188" s="1016"/>
      <c r="GAS188" s="1016"/>
      <c r="GAT188" s="1016"/>
      <c r="GAU188" s="1016"/>
      <c r="GAV188" s="1016"/>
      <c r="GAW188" s="1016"/>
      <c r="GAX188" s="1016"/>
      <c r="GAY188" s="1016"/>
      <c r="GAZ188" s="1016"/>
      <c r="GBA188" s="1016"/>
      <c r="GBB188" s="1016"/>
      <c r="GBC188" s="1016"/>
      <c r="GBD188" s="1016"/>
      <c r="GBE188" s="1016"/>
      <c r="GBF188" s="1016"/>
      <c r="GBG188" s="1016"/>
      <c r="GBH188" s="1016"/>
      <c r="GBI188" s="1016"/>
      <c r="GBJ188" s="1016"/>
      <c r="GBK188" s="1016"/>
      <c r="GBL188" s="1016"/>
      <c r="GBM188" s="1016"/>
      <c r="GBN188" s="1016"/>
      <c r="GBO188" s="1016"/>
      <c r="GBP188" s="1016"/>
      <c r="GBQ188" s="1016"/>
      <c r="GBR188" s="1016"/>
      <c r="GBS188" s="1016"/>
      <c r="GBT188" s="1016"/>
      <c r="GBU188" s="1016"/>
      <c r="GBV188" s="1016"/>
      <c r="GBW188" s="1016"/>
      <c r="GBX188" s="1016"/>
      <c r="GBY188" s="1016"/>
      <c r="GBZ188" s="1016"/>
      <c r="GCA188" s="1016"/>
      <c r="GCB188" s="1016"/>
      <c r="GCC188" s="1016"/>
      <c r="GCD188" s="1016"/>
      <c r="GCE188" s="1016"/>
      <c r="GCF188" s="1016"/>
      <c r="GCG188" s="1016"/>
      <c r="GCH188" s="1016"/>
      <c r="GCI188" s="1016"/>
      <c r="GCJ188" s="1016"/>
      <c r="GCK188" s="1016"/>
      <c r="GCL188" s="1016"/>
      <c r="GCM188" s="1016"/>
      <c r="GCN188" s="1016"/>
      <c r="GCO188" s="1016"/>
      <c r="GCP188" s="1016"/>
      <c r="GCQ188" s="1016"/>
      <c r="GCR188" s="1016"/>
      <c r="GCS188" s="1016"/>
      <c r="GCT188" s="1016"/>
      <c r="GCU188" s="1016"/>
      <c r="GCV188" s="1016"/>
      <c r="GCW188" s="1016"/>
      <c r="GCX188" s="1016"/>
      <c r="GCY188" s="1016"/>
      <c r="GCZ188" s="1016"/>
      <c r="GDA188" s="1016"/>
      <c r="GDB188" s="1016"/>
      <c r="GDC188" s="1016"/>
      <c r="GDD188" s="1016"/>
      <c r="GDE188" s="1016"/>
      <c r="GDF188" s="1016"/>
      <c r="GDG188" s="1016"/>
      <c r="GDH188" s="1016"/>
      <c r="GDI188" s="1016"/>
      <c r="GDJ188" s="1016"/>
      <c r="GDK188" s="1016"/>
      <c r="GDL188" s="1016"/>
      <c r="GDM188" s="1016"/>
      <c r="GDN188" s="1016"/>
      <c r="GDO188" s="1016"/>
      <c r="GDP188" s="1016"/>
      <c r="GDQ188" s="1016"/>
      <c r="GDR188" s="1016"/>
      <c r="GDS188" s="1016"/>
      <c r="GDT188" s="1016"/>
      <c r="GDU188" s="1016"/>
      <c r="GDV188" s="1016"/>
      <c r="GDW188" s="1016"/>
      <c r="GDX188" s="1016"/>
      <c r="GDY188" s="1016"/>
      <c r="GDZ188" s="1016"/>
      <c r="GEA188" s="1016"/>
      <c r="GEB188" s="1016"/>
      <c r="GEC188" s="1016"/>
      <c r="GED188" s="1016"/>
      <c r="GEE188" s="1016"/>
      <c r="GEF188" s="1016"/>
      <c r="GEG188" s="1016"/>
      <c r="GEH188" s="1016"/>
      <c r="GEI188" s="1016"/>
      <c r="GEJ188" s="1016"/>
      <c r="GEK188" s="1016"/>
      <c r="GEL188" s="1016"/>
      <c r="GEM188" s="1016"/>
      <c r="GEN188" s="1016"/>
      <c r="GEO188" s="1016"/>
      <c r="GEP188" s="1016"/>
      <c r="GEQ188" s="1016"/>
      <c r="GER188" s="1016"/>
      <c r="GES188" s="1016"/>
      <c r="GET188" s="1016"/>
      <c r="GEU188" s="1016"/>
      <c r="GEV188" s="1016"/>
      <c r="GEW188" s="1016"/>
      <c r="GEX188" s="1016"/>
      <c r="GEY188" s="1016"/>
      <c r="GEZ188" s="1016"/>
      <c r="GFA188" s="1016"/>
      <c r="GFB188" s="1016"/>
      <c r="GFC188" s="1016"/>
      <c r="GFD188" s="1016"/>
      <c r="GFE188" s="1016"/>
      <c r="GFF188" s="1016"/>
      <c r="GFG188" s="1016"/>
      <c r="GFH188" s="1016"/>
      <c r="GFI188" s="1016"/>
      <c r="GFJ188" s="1016"/>
      <c r="GFK188" s="1016"/>
      <c r="GFL188" s="1016"/>
      <c r="GFM188" s="1016"/>
      <c r="GFN188" s="1016"/>
      <c r="GFO188" s="1016"/>
      <c r="GFP188" s="1016"/>
      <c r="GFQ188" s="1016"/>
      <c r="GFR188" s="1016"/>
      <c r="GFS188" s="1016"/>
      <c r="GFT188" s="1016"/>
      <c r="GFU188" s="1016"/>
      <c r="GFV188" s="1016"/>
      <c r="GFW188" s="1016"/>
      <c r="GFX188" s="1016"/>
      <c r="GFY188" s="1016"/>
      <c r="GFZ188" s="1016"/>
      <c r="GGA188" s="1016"/>
      <c r="GGB188" s="1016"/>
      <c r="GGC188" s="1016"/>
      <c r="GGD188" s="1016"/>
      <c r="GGE188" s="1016"/>
      <c r="GGF188" s="1016"/>
      <c r="GGG188" s="1016"/>
      <c r="GGH188" s="1016"/>
      <c r="GGI188" s="1016"/>
      <c r="GGJ188" s="1016"/>
      <c r="GGK188" s="1016"/>
      <c r="GGL188" s="1016"/>
      <c r="GGM188" s="1016"/>
      <c r="GGN188" s="1016"/>
      <c r="GGO188" s="1016"/>
      <c r="GGP188" s="1016"/>
      <c r="GGQ188" s="1016"/>
      <c r="GGR188" s="1016"/>
      <c r="GGS188" s="1016"/>
      <c r="GGT188" s="1016"/>
      <c r="GGU188" s="1016"/>
      <c r="GGV188" s="1016"/>
      <c r="GGW188" s="1016"/>
      <c r="GGX188" s="1016"/>
      <c r="GGY188" s="1016"/>
      <c r="GGZ188" s="1016"/>
      <c r="GHA188" s="1016"/>
      <c r="GHB188" s="1016"/>
      <c r="GHC188" s="1016"/>
      <c r="GHD188" s="1016"/>
      <c r="GHE188" s="1016"/>
      <c r="GHF188" s="1016"/>
      <c r="GHG188" s="1016"/>
      <c r="GHH188" s="1016"/>
      <c r="GHI188" s="1016"/>
      <c r="GHJ188" s="1016"/>
      <c r="GHK188" s="1016"/>
      <c r="GHL188" s="1016"/>
      <c r="GHM188" s="1016"/>
      <c r="GHN188" s="1016"/>
      <c r="GHO188" s="1016"/>
      <c r="GHP188" s="1016"/>
      <c r="GHQ188" s="1016"/>
      <c r="GHR188" s="1016"/>
      <c r="GHS188" s="1016"/>
      <c r="GHT188" s="1016"/>
      <c r="GHU188" s="1016"/>
      <c r="GHV188" s="1016"/>
      <c r="GHW188" s="1016"/>
      <c r="GHX188" s="1016"/>
      <c r="GHY188" s="1016"/>
      <c r="GHZ188" s="1016"/>
      <c r="GIA188" s="1016"/>
      <c r="GIB188" s="1016"/>
      <c r="GIC188" s="1016"/>
      <c r="GID188" s="1016"/>
      <c r="GIE188" s="1016"/>
      <c r="GIF188" s="1016"/>
      <c r="GIG188" s="1016"/>
      <c r="GIH188" s="1016"/>
      <c r="GII188" s="1016"/>
      <c r="GIJ188" s="1016"/>
      <c r="GIK188" s="1016"/>
      <c r="GIL188" s="1016"/>
      <c r="GIM188" s="1016"/>
      <c r="GIN188" s="1016"/>
      <c r="GIO188" s="1016"/>
      <c r="GIP188" s="1016"/>
      <c r="GIQ188" s="1016"/>
      <c r="GIR188" s="1016"/>
      <c r="GIS188" s="1016"/>
      <c r="GIT188" s="1016"/>
      <c r="GIU188" s="1016"/>
      <c r="GIV188" s="1016"/>
      <c r="GIW188" s="1016"/>
      <c r="GIX188" s="1016"/>
      <c r="GIY188" s="1016"/>
      <c r="GIZ188" s="1016"/>
      <c r="GJA188" s="1016"/>
      <c r="GJB188" s="1016"/>
      <c r="GJC188" s="1016"/>
      <c r="GJD188" s="1016"/>
      <c r="GJE188" s="1016"/>
      <c r="GJF188" s="1016"/>
      <c r="GJG188" s="1016"/>
      <c r="GJH188" s="1016"/>
      <c r="GJI188" s="1016"/>
      <c r="GJJ188" s="1016"/>
      <c r="GJK188" s="1016"/>
      <c r="GJL188" s="1016"/>
      <c r="GJM188" s="1016"/>
      <c r="GJN188" s="1016"/>
      <c r="GJO188" s="1016"/>
      <c r="GJP188" s="1016"/>
      <c r="GJQ188" s="1016"/>
      <c r="GJR188" s="1016"/>
      <c r="GJS188" s="1016"/>
      <c r="GJT188" s="1016"/>
      <c r="GJU188" s="1016"/>
      <c r="GJV188" s="1016"/>
      <c r="GJW188" s="1016"/>
      <c r="GJX188" s="1016"/>
      <c r="GJY188" s="1016"/>
      <c r="GJZ188" s="1016"/>
      <c r="GKA188" s="1016"/>
      <c r="GKB188" s="1016"/>
      <c r="GKC188" s="1016"/>
      <c r="GKD188" s="1016"/>
      <c r="GKE188" s="1016"/>
      <c r="GKF188" s="1016"/>
      <c r="GKG188" s="1016"/>
      <c r="GKH188" s="1016"/>
      <c r="GKI188" s="1016"/>
      <c r="GKJ188" s="1016"/>
      <c r="GKK188" s="1016"/>
      <c r="GKL188" s="1016"/>
      <c r="GKM188" s="1016"/>
      <c r="GKN188" s="1016"/>
      <c r="GKO188" s="1016"/>
      <c r="GKP188" s="1016"/>
      <c r="GKQ188" s="1016"/>
      <c r="GKR188" s="1016"/>
      <c r="GKS188" s="1016"/>
      <c r="GKT188" s="1016"/>
      <c r="GKU188" s="1016"/>
      <c r="GKV188" s="1016"/>
      <c r="GKW188" s="1016"/>
      <c r="GKX188" s="1016"/>
      <c r="GKY188" s="1016"/>
      <c r="GKZ188" s="1016"/>
      <c r="GLA188" s="1016"/>
      <c r="GLB188" s="1016"/>
      <c r="GLC188" s="1016"/>
      <c r="GLD188" s="1016"/>
      <c r="GLE188" s="1016"/>
      <c r="GLF188" s="1016"/>
      <c r="GLG188" s="1016"/>
      <c r="GLH188" s="1016"/>
      <c r="GLI188" s="1016"/>
      <c r="GLJ188" s="1016"/>
      <c r="GLK188" s="1016"/>
      <c r="GLL188" s="1016"/>
      <c r="GLM188" s="1016"/>
      <c r="GLN188" s="1016"/>
      <c r="GLO188" s="1016"/>
      <c r="GLP188" s="1016"/>
      <c r="GLQ188" s="1016"/>
      <c r="GLR188" s="1016"/>
      <c r="GLS188" s="1016"/>
      <c r="GLT188" s="1016"/>
      <c r="GLU188" s="1016"/>
      <c r="GLV188" s="1016"/>
      <c r="GLW188" s="1016"/>
      <c r="GLX188" s="1016"/>
      <c r="GLY188" s="1016"/>
      <c r="GLZ188" s="1016"/>
      <c r="GMA188" s="1016"/>
      <c r="GMB188" s="1016"/>
      <c r="GMC188" s="1016"/>
      <c r="GMD188" s="1016"/>
      <c r="GME188" s="1016"/>
      <c r="GMF188" s="1016"/>
      <c r="GMG188" s="1016"/>
      <c r="GMH188" s="1016"/>
      <c r="GMI188" s="1016"/>
      <c r="GMJ188" s="1016"/>
      <c r="GMK188" s="1016"/>
      <c r="GML188" s="1016"/>
      <c r="GMM188" s="1016"/>
      <c r="GMN188" s="1016"/>
      <c r="GMO188" s="1016"/>
      <c r="GMP188" s="1016"/>
      <c r="GMQ188" s="1016"/>
      <c r="GMR188" s="1016"/>
      <c r="GMS188" s="1016"/>
      <c r="GMT188" s="1016"/>
      <c r="GMU188" s="1016"/>
      <c r="GMV188" s="1016"/>
      <c r="GMW188" s="1016"/>
      <c r="GMX188" s="1016"/>
      <c r="GMY188" s="1016"/>
      <c r="GMZ188" s="1016"/>
      <c r="GNA188" s="1016"/>
      <c r="GNB188" s="1016"/>
      <c r="GNC188" s="1016"/>
      <c r="GND188" s="1016"/>
      <c r="GNE188" s="1016"/>
      <c r="GNF188" s="1016"/>
      <c r="GNG188" s="1016"/>
      <c r="GNH188" s="1016"/>
      <c r="GNI188" s="1016"/>
      <c r="GNJ188" s="1016"/>
      <c r="GNK188" s="1016"/>
      <c r="GNL188" s="1016"/>
      <c r="GNM188" s="1016"/>
      <c r="GNN188" s="1016"/>
      <c r="GNO188" s="1016"/>
      <c r="GNP188" s="1016"/>
      <c r="GNQ188" s="1016"/>
      <c r="GNR188" s="1016"/>
      <c r="GNS188" s="1016"/>
      <c r="GNT188" s="1016"/>
      <c r="GNU188" s="1016"/>
      <c r="GNV188" s="1016"/>
      <c r="GNW188" s="1016"/>
      <c r="GNX188" s="1016"/>
      <c r="GNY188" s="1016"/>
      <c r="GNZ188" s="1016"/>
      <c r="GOA188" s="1016"/>
      <c r="GOB188" s="1016"/>
      <c r="GOC188" s="1016"/>
      <c r="GOD188" s="1016"/>
      <c r="GOE188" s="1016"/>
      <c r="GOF188" s="1016"/>
      <c r="GOG188" s="1016"/>
      <c r="GOH188" s="1016"/>
      <c r="GOI188" s="1016"/>
      <c r="GOJ188" s="1016"/>
      <c r="GOK188" s="1016"/>
      <c r="GOL188" s="1016"/>
      <c r="GOM188" s="1016"/>
      <c r="GON188" s="1016"/>
      <c r="GOO188" s="1016"/>
      <c r="GOP188" s="1016"/>
      <c r="GOQ188" s="1016"/>
      <c r="GOR188" s="1016"/>
      <c r="GOS188" s="1016"/>
      <c r="GOT188" s="1016"/>
      <c r="GOU188" s="1016"/>
      <c r="GOV188" s="1016"/>
      <c r="GOW188" s="1016"/>
      <c r="GOX188" s="1016"/>
      <c r="GOY188" s="1016"/>
      <c r="GOZ188" s="1016"/>
      <c r="GPA188" s="1016"/>
      <c r="GPB188" s="1016"/>
      <c r="GPC188" s="1016"/>
      <c r="GPD188" s="1016"/>
      <c r="GPE188" s="1016"/>
      <c r="GPF188" s="1016"/>
      <c r="GPG188" s="1016"/>
      <c r="GPH188" s="1016"/>
      <c r="GPI188" s="1016"/>
      <c r="GPJ188" s="1016"/>
      <c r="GPK188" s="1016"/>
      <c r="GPL188" s="1016"/>
      <c r="GPM188" s="1016"/>
      <c r="GPN188" s="1016"/>
      <c r="GPO188" s="1016"/>
      <c r="GPP188" s="1016"/>
      <c r="GPQ188" s="1016"/>
      <c r="GPR188" s="1016"/>
      <c r="GPS188" s="1016"/>
      <c r="GPT188" s="1016"/>
      <c r="GPU188" s="1016"/>
      <c r="GPV188" s="1016"/>
      <c r="GPW188" s="1016"/>
      <c r="GPX188" s="1016"/>
      <c r="GPY188" s="1016"/>
      <c r="GPZ188" s="1016"/>
      <c r="GQA188" s="1016"/>
      <c r="GQB188" s="1016"/>
      <c r="GQC188" s="1016"/>
      <c r="GQD188" s="1016"/>
      <c r="GQE188" s="1016"/>
      <c r="GQF188" s="1016"/>
      <c r="GQG188" s="1016"/>
      <c r="GQH188" s="1016"/>
      <c r="GQI188" s="1016"/>
      <c r="GQJ188" s="1016"/>
      <c r="GQK188" s="1016"/>
      <c r="GQL188" s="1016"/>
      <c r="GQM188" s="1016"/>
      <c r="GQN188" s="1016"/>
      <c r="GQO188" s="1016"/>
      <c r="GQP188" s="1016"/>
      <c r="GQQ188" s="1016"/>
      <c r="GQR188" s="1016"/>
      <c r="GQS188" s="1016"/>
      <c r="GQT188" s="1016"/>
      <c r="GQU188" s="1016"/>
      <c r="GQV188" s="1016"/>
      <c r="GQW188" s="1016"/>
      <c r="GQX188" s="1016"/>
      <c r="GQY188" s="1016"/>
      <c r="GQZ188" s="1016"/>
      <c r="GRA188" s="1016"/>
      <c r="GRB188" s="1016"/>
      <c r="GRC188" s="1016"/>
      <c r="GRD188" s="1016"/>
      <c r="GRE188" s="1016"/>
      <c r="GRF188" s="1016"/>
      <c r="GRG188" s="1016"/>
      <c r="GRH188" s="1016"/>
      <c r="GRI188" s="1016"/>
      <c r="GRJ188" s="1016"/>
      <c r="GRK188" s="1016"/>
      <c r="GRL188" s="1016"/>
      <c r="GRM188" s="1016"/>
      <c r="GRN188" s="1016"/>
      <c r="GRO188" s="1016"/>
      <c r="GRP188" s="1016"/>
      <c r="GRQ188" s="1016"/>
      <c r="GRR188" s="1016"/>
      <c r="GRS188" s="1016"/>
      <c r="GRT188" s="1016"/>
      <c r="GRU188" s="1016"/>
      <c r="GRV188" s="1016"/>
      <c r="GRW188" s="1016"/>
      <c r="GRX188" s="1016"/>
      <c r="GRY188" s="1016"/>
      <c r="GRZ188" s="1016"/>
      <c r="GSA188" s="1016"/>
      <c r="GSB188" s="1016"/>
      <c r="GSC188" s="1016"/>
      <c r="GSD188" s="1016"/>
      <c r="GSE188" s="1016"/>
      <c r="GSF188" s="1016"/>
      <c r="GSG188" s="1016"/>
      <c r="GSH188" s="1016"/>
      <c r="GSI188" s="1016"/>
      <c r="GSJ188" s="1016"/>
      <c r="GSK188" s="1016"/>
      <c r="GSL188" s="1016"/>
      <c r="GSM188" s="1016"/>
      <c r="GSN188" s="1016"/>
      <c r="GSO188" s="1016"/>
      <c r="GSP188" s="1016"/>
      <c r="GSQ188" s="1016"/>
      <c r="GSR188" s="1016"/>
      <c r="GSS188" s="1016"/>
      <c r="GST188" s="1016"/>
      <c r="GSU188" s="1016"/>
      <c r="GSV188" s="1016"/>
      <c r="GSW188" s="1016"/>
      <c r="GSX188" s="1016"/>
      <c r="GSY188" s="1016"/>
      <c r="GSZ188" s="1016"/>
      <c r="GTA188" s="1016"/>
      <c r="GTB188" s="1016"/>
      <c r="GTC188" s="1016"/>
      <c r="GTD188" s="1016"/>
      <c r="GTE188" s="1016"/>
      <c r="GTF188" s="1016"/>
      <c r="GTG188" s="1016"/>
      <c r="GTH188" s="1016"/>
      <c r="GTI188" s="1016"/>
      <c r="GTJ188" s="1016"/>
      <c r="GTK188" s="1016"/>
      <c r="GTL188" s="1016"/>
      <c r="GTM188" s="1016"/>
      <c r="GTN188" s="1016"/>
      <c r="GTO188" s="1016"/>
      <c r="GTP188" s="1016"/>
      <c r="GTQ188" s="1016"/>
      <c r="GTR188" s="1016"/>
      <c r="GTS188" s="1016"/>
      <c r="GTT188" s="1016"/>
      <c r="GTU188" s="1016"/>
      <c r="GTV188" s="1016"/>
      <c r="GTW188" s="1016"/>
      <c r="GTX188" s="1016"/>
      <c r="GTY188" s="1016"/>
      <c r="GTZ188" s="1016"/>
      <c r="GUA188" s="1016"/>
      <c r="GUB188" s="1016"/>
      <c r="GUC188" s="1016"/>
      <c r="GUD188" s="1016"/>
      <c r="GUE188" s="1016"/>
      <c r="GUF188" s="1016"/>
      <c r="GUG188" s="1016"/>
      <c r="GUH188" s="1016"/>
      <c r="GUI188" s="1016"/>
      <c r="GUJ188" s="1016"/>
      <c r="GUK188" s="1016"/>
      <c r="GUL188" s="1016"/>
      <c r="GUM188" s="1016"/>
      <c r="GUN188" s="1016"/>
      <c r="GUO188" s="1016"/>
      <c r="GUP188" s="1016"/>
      <c r="GUQ188" s="1016"/>
      <c r="GUR188" s="1016"/>
      <c r="GUS188" s="1016"/>
      <c r="GUT188" s="1016"/>
      <c r="GUU188" s="1016"/>
      <c r="GUV188" s="1016"/>
      <c r="GUW188" s="1016"/>
      <c r="GUX188" s="1016"/>
      <c r="GUY188" s="1016"/>
      <c r="GUZ188" s="1016"/>
      <c r="GVA188" s="1016"/>
      <c r="GVB188" s="1016"/>
      <c r="GVC188" s="1016"/>
      <c r="GVD188" s="1016"/>
      <c r="GVE188" s="1016"/>
      <c r="GVF188" s="1016"/>
      <c r="GVG188" s="1016"/>
      <c r="GVH188" s="1016"/>
      <c r="GVI188" s="1016"/>
      <c r="GVJ188" s="1016"/>
      <c r="GVK188" s="1016"/>
      <c r="GVL188" s="1016"/>
      <c r="GVM188" s="1016"/>
      <c r="GVN188" s="1016"/>
      <c r="GVO188" s="1016"/>
      <c r="GVP188" s="1016"/>
      <c r="GVQ188" s="1016"/>
      <c r="GVR188" s="1016"/>
      <c r="GVS188" s="1016"/>
      <c r="GVT188" s="1016"/>
      <c r="GVU188" s="1016"/>
      <c r="GVV188" s="1016"/>
      <c r="GVW188" s="1016"/>
      <c r="GVX188" s="1016"/>
      <c r="GVY188" s="1016"/>
      <c r="GVZ188" s="1016"/>
      <c r="GWA188" s="1016"/>
      <c r="GWB188" s="1016"/>
      <c r="GWC188" s="1016"/>
      <c r="GWD188" s="1016"/>
      <c r="GWE188" s="1016"/>
      <c r="GWF188" s="1016"/>
      <c r="GWG188" s="1016"/>
      <c r="GWH188" s="1016"/>
      <c r="GWI188" s="1016"/>
      <c r="GWJ188" s="1016"/>
      <c r="GWK188" s="1016"/>
      <c r="GWL188" s="1016"/>
      <c r="GWM188" s="1016"/>
      <c r="GWN188" s="1016"/>
      <c r="GWO188" s="1016"/>
      <c r="GWP188" s="1016"/>
      <c r="GWQ188" s="1016"/>
      <c r="GWR188" s="1016"/>
      <c r="GWS188" s="1016"/>
      <c r="GWT188" s="1016"/>
      <c r="GWU188" s="1016"/>
      <c r="GWV188" s="1016"/>
      <c r="GWW188" s="1016"/>
      <c r="GWX188" s="1016"/>
      <c r="GWY188" s="1016"/>
      <c r="GWZ188" s="1016"/>
      <c r="GXA188" s="1016"/>
      <c r="GXB188" s="1016"/>
      <c r="GXC188" s="1016"/>
      <c r="GXD188" s="1016"/>
      <c r="GXE188" s="1016"/>
      <c r="GXF188" s="1016"/>
      <c r="GXG188" s="1016"/>
      <c r="GXH188" s="1016"/>
      <c r="GXI188" s="1016"/>
      <c r="GXJ188" s="1016"/>
      <c r="GXK188" s="1016"/>
      <c r="GXL188" s="1016"/>
      <c r="GXM188" s="1016"/>
      <c r="GXN188" s="1016"/>
      <c r="GXO188" s="1016"/>
      <c r="GXP188" s="1016"/>
      <c r="GXQ188" s="1016"/>
      <c r="GXR188" s="1016"/>
      <c r="GXS188" s="1016"/>
      <c r="GXT188" s="1016"/>
      <c r="GXU188" s="1016"/>
      <c r="GXV188" s="1016"/>
      <c r="GXW188" s="1016"/>
      <c r="GXX188" s="1016"/>
      <c r="GXY188" s="1016"/>
      <c r="GXZ188" s="1016"/>
      <c r="GYA188" s="1016"/>
      <c r="GYB188" s="1016"/>
      <c r="GYC188" s="1016"/>
      <c r="GYD188" s="1016"/>
      <c r="GYE188" s="1016"/>
      <c r="GYF188" s="1016"/>
      <c r="GYG188" s="1016"/>
      <c r="GYH188" s="1016"/>
      <c r="GYI188" s="1016"/>
      <c r="GYJ188" s="1016"/>
      <c r="GYK188" s="1016"/>
      <c r="GYL188" s="1016"/>
      <c r="GYM188" s="1016"/>
      <c r="GYN188" s="1016"/>
      <c r="GYO188" s="1016"/>
      <c r="GYP188" s="1016"/>
      <c r="GYQ188" s="1016"/>
      <c r="GYR188" s="1016"/>
      <c r="GYS188" s="1016"/>
      <c r="GYT188" s="1016"/>
      <c r="GYU188" s="1016"/>
      <c r="GYV188" s="1016"/>
      <c r="GYW188" s="1016"/>
      <c r="GYX188" s="1016"/>
      <c r="GYY188" s="1016"/>
      <c r="GYZ188" s="1016"/>
      <c r="GZA188" s="1016"/>
      <c r="GZB188" s="1016"/>
      <c r="GZC188" s="1016"/>
      <c r="GZD188" s="1016"/>
      <c r="GZE188" s="1016"/>
      <c r="GZF188" s="1016"/>
      <c r="GZG188" s="1016"/>
      <c r="GZH188" s="1016"/>
      <c r="GZI188" s="1016"/>
      <c r="GZJ188" s="1016"/>
      <c r="GZK188" s="1016"/>
      <c r="GZL188" s="1016"/>
      <c r="GZM188" s="1016"/>
      <c r="GZN188" s="1016"/>
      <c r="GZO188" s="1016"/>
      <c r="GZP188" s="1016"/>
      <c r="GZQ188" s="1016"/>
      <c r="GZR188" s="1016"/>
      <c r="GZS188" s="1016"/>
      <c r="GZT188" s="1016"/>
      <c r="GZU188" s="1016"/>
      <c r="GZV188" s="1016"/>
      <c r="GZW188" s="1016"/>
      <c r="GZX188" s="1016"/>
      <c r="GZY188" s="1016"/>
      <c r="GZZ188" s="1016"/>
      <c r="HAA188" s="1016"/>
      <c r="HAB188" s="1016"/>
      <c r="HAC188" s="1016"/>
      <c r="HAD188" s="1016"/>
      <c r="HAE188" s="1016"/>
      <c r="HAF188" s="1016"/>
      <c r="HAG188" s="1016"/>
      <c r="HAH188" s="1016"/>
      <c r="HAI188" s="1016"/>
      <c r="HAJ188" s="1016"/>
      <c r="HAK188" s="1016"/>
      <c r="HAL188" s="1016"/>
      <c r="HAM188" s="1016"/>
      <c r="HAN188" s="1016"/>
      <c r="HAO188" s="1016"/>
      <c r="HAP188" s="1016"/>
      <c r="HAQ188" s="1016"/>
      <c r="HAR188" s="1016"/>
      <c r="HAS188" s="1016"/>
      <c r="HAT188" s="1016"/>
      <c r="HAU188" s="1016"/>
      <c r="HAV188" s="1016"/>
      <c r="HAW188" s="1016"/>
      <c r="HAX188" s="1016"/>
      <c r="HAY188" s="1016"/>
      <c r="HAZ188" s="1016"/>
      <c r="HBA188" s="1016"/>
      <c r="HBB188" s="1016"/>
      <c r="HBC188" s="1016"/>
      <c r="HBD188" s="1016"/>
      <c r="HBE188" s="1016"/>
      <c r="HBF188" s="1016"/>
      <c r="HBG188" s="1016"/>
      <c r="HBH188" s="1016"/>
      <c r="HBI188" s="1016"/>
      <c r="HBJ188" s="1016"/>
      <c r="HBK188" s="1016"/>
      <c r="HBL188" s="1016"/>
      <c r="HBM188" s="1016"/>
      <c r="HBN188" s="1016"/>
      <c r="HBO188" s="1016"/>
      <c r="HBP188" s="1016"/>
      <c r="HBQ188" s="1016"/>
      <c r="HBR188" s="1016"/>
      <c r="HBS188" s="1016"/>
      <c r="HBT188" s="1016"/>
      <c r="HBU188" s="1016"/>
      <c r="HBV188" s="1016"/>
      <c r="HBW188" s="1016"/>
      <c r="HBX188" s="1016"/>
      <c r="HBY188" s="1016"/>
      <c r="HBZ188" s="1016"/>
      <c r="HCA188" s="1016"/>
      <c r="HCB188" s="1016"/>
      <c r="HCC188" s="1016"/>
      <c r="HCD188" s="1016"/>
      <c r="HCE188" s="1016"/>
      <c r="HCF188" s="1016"/>
      <c r="HCG188" s="1016"/>
      <c r="HCH188" s="1016"/>
      <c r="HCI188" s="1016"/>
      <c r="HCJ188" s="1016"/>
      <c r="HCK188" s="1016"/>
      <c r="HCL188" s="1016"/>
      <c r="HCM188" s="1016"/>
      <c r="HCN188" s="1016"/>
      <c r="HCO188" s="1016"/>
      <c r="HCP188" s="1016"/>
      <c r="HCQ188" s="1016"/>
      <c r="HCR188" s="1016"/>
      <c r="HCS188" s="1016"/>
      <c r="HCT188" s="1016"/>
      <c r="HCU188" s="1016"/>
      <c r="HCV188" s="1016"/>
      <c r="HCW188" s="1016"/>
      <c r="HCX188" s="1016"/>
      <c r="HCY188" s="1016"/>
      <c r="HCZ188" s="1016"/>
      <c r="HDA188" s="1016"/>
      <c r="HDB188" s="1016"/>
      <c r="HDC188" s="1016"/>
      <c r="HDD188" s="1016"/>
      <c r="HDE188" s="1016"/>
      <c r="HDF188" s="1016"/>
      <c r="HDG188" s="1016"/>
      <c r="HDH188" s="1016"/>
      <c r="HDI188" s="1016"/>
      <c r="HDJ188" s="1016"/>
      <c r="HDK188" s="1016"/>
      <c r="HDL188" s="1016"/>
      <c r="HDM188" s="1016"/>
      <c r="HDN188" s="1016"/>
      <c r="HDO188" s="1016"/>
      <c r="HDP188" s="1016"/>
      <c r="HDQ188" s="1016"/>
      <c r="HDR188" s="1016"/>
      <c r="HDS188" s="1016"/>
      <c r="HDT188" s="1016"/>
      <c r="HDU188" s="1016"/>
      <c r="HDV188" s="1016"/>
      <c r="HDW188" s="1016"/>
      <c r="HDX188" s="1016"/>
      <c r="HDY188" s="1016"/>
      <c r="HDZ188" s="1016"/>
      <c r="HEA188" s="1016"/>
      <c r="HEB188" s="1016"/>
      <c r="HEC188" s="1016"/>
      <c r="HED188" s="1016"/>
      <c r="HEE188" s="1016"/>
      <c r="HEF188" s="1016"/>
      <c r="HEG188" s="1016"/>
      <c r="HEH188" s="1016"/>
      <c r="HEI188" s="1016"/>
      <c r="HEJ188" s="1016"/>
      <c r="HEK188" s="1016"/>
      <c r="HEL188" s="1016"/>
      <c r="HEM188" s="1016"/>
      <c r="HEN188" s="1016"/>
      <c r="HEO188" s="1016"/>
      <c r="HEP188" s="1016"/>
      <c r="HEQ188" s="1016"/>
      <c r="HER188" s="1016"/>
      <c r="HES188" s="1016"/>
      <c r="HET188" s="1016"/>
      <c r="HEU188" s="1016"/>
      <c r="HEV188" s="1016"/>
      <c r="HEW188" s="1016"/>
      <c r="HEX188" s="1016"/>
      <c r="HEY188" s="1016"/>
      <c r="HEZ188" s="1016"/>
      <c r="HFA188" s="1016"/>
      <c r="HFB188" s="1016"/>
      <c r="HFC188" s="1016"/>
      <c r="HFD188" s="1016"/>
      <c r="HFE188" s="1016"/>
      <c r="HFF188" s="1016"/>
      <c r="HFG188" s="1016"/>
      <c r="HFH188" s="1016"/>
      <c r="HFI188" s="1016"/>
      <c r="HFJ188" s="1016"/>
      <c r="HFK188" s="1016"/>
      <c r="HFL188" s="1016"/>
      <c r="HFM188" s="1016"/>
      <c r="HFN188" s="1016"/>
      <c r="HFO188" s="1016"/>
      <c r="HFP188" s="1016"/>
      <c r="HFQ188" s="1016"/>
      <c r="HFR188" s="1016"/>
      <c r="HFS188" s="1016"/>
      <c r="HFT188" s="1016"/>
      <c r="HFU188" s="1016"/>
      <c r="HFV188" s="1016"/>
      <c r="HFW188" s="1016"/>
      <c r="HFX188" s="1016"/>
      <c r="HFY188" s="1016"/>
      <c r="HFZ188" s="1016"/>
      <c r="HGA188" s="1016"/>
      <c r="HGB188" s="1016"/>
      <c r="HGC188" s="1016"/>
      <c r="HGD188" s="1016"/>
      <c r="HGE188" s="1016"/>
      <c r="HGF188" s="1016"/>
      <c r="HGG188" s="1016"/>
      <c r="HGH188" s="1016"/>
      <c r="HGI188" s="1016"/>
      <c r="HGJ188" s="1016"/>
      <c r="HGK188" s="1016"/>
      <c r="HGL188" s="1016"/>
      <c r="HGM188" s="1016"/>
      <c r="HGN188" s="1016"/>
      <c r="HGO188" s="1016"/>
      <c r="HGP188" s="1016"/>
      <c r="HGQ188" s="1016"/>
      <c r="HGR188" s="1016"/>
      <c r="HGS188" s="1016"/>
      <c r="HGT188" s="1016"/>
      <c r="HGU188" s="1016"/>
      <c r="HGV188" s="1016"/>
      <c r="HGW188" s="1016"/>
      <c r="HGX188" s="1016"/>
      <c r="HGY188" s="1016"/>
      <c r="HGZ188" s="1016"/>
      <c r="HHA188" s="1016"/>
      <c r="HHB188" s="1016"/>
      <c r="HHC188" s="1016"/>
      <c r="HHD188" s="1016"/>
      <c r="HHE188" s="1016"/>
      <c r="HHF188" s="1016"/>
      <c r="HHG188" s="1016"/>
      <c r="HHH188" s="1016"/>
      <c r="HHI188" s="1016"/>
      <c r="HHJ188" s="1016"/>
      <c r="HHK188" s="1016"/>
      <c r="HHL188" s="1016"/>
      <c r="HHM188" s="1016"/>
      <c r="HHN188" s="1016"/>
      <c r="HHO188" s="1016"/>
      <c r="HHP188" s="1016"/>
      <c r="HHQ188" s="1016"/>
      <c r="HHR188" s="1016"/>
      <c r="HHS188" s="1016"/>
      <c r="HHT188" s="1016"/>
      <c r="HHU188" s="1016"/>
      <c r="HHV188" s="1016"/>
      <c r="HHW188" s="1016"/>
      <c r="HHX188" s="1016"/>
      <c r="HHY188" s="1016"/>
      <c r="HHZ188" s="1016"/>
      <c r="HIA188" s="1016"/>
      <c r="HIB188" s="1016"/>
      <c r="HIC188" s="1016"/>
      <c r="HID188" s="1016"/>
      <c r="HIE188" s="1016"/>
      <c r="HIF188" s="1016"/>
      <c r="HIG188" s="1016"/>
      <c r="HIH188" s="1016"/>
      <c r="HII188" s="1016"/>
      <c r="HIJ188" s="1016"/>
      <c r="HIK188" s="1016"/>
      <c r="HIL188" s="1016"/>
      <c r="HIM188" s="1016"/>
      <c r="HIN188" s="1016"/>
      <c r="HIO188" s="1016"/>
      <c r="HIP188" s="1016"/>
      <c r="HIQ188" s="1016"/>
      <c r="HIR188" s="1016"/>
      <c r="HIS188" s="1016"/>
      <c r="HIT188" s="1016"/>
      <c r="HIU188" s="1016"/>
      <c r="HIV188" s="1016"/>
      <c r="HIW188" s="1016"/>
      <c r="HIX188" s="1016"/>
      <c r="HIY188" s="1016"/>
      <c r="HIZ188" s="1016"/>
      <c r="HJA188" s="1016"/>
      <c r="HJB188" s="1016"/>
      <c r="HJC188" s="1016"/>
      <c r="HJD188" s="1016"/>
      <c r="HJE188" s="1016"/>
      <c r="HJF188" s="1016"/>
      <c r="HJG188" s="1016"/>
      <c r="HJH188" s="1016"/>
      <c r="HJI188" s="1016"/>
      <c r="HJJ188" s="1016"/>
      <c r="HJK188" s="1016"/>
      <c r="HJL188" s="1016"/>
      <c r="HJM188" s="1016"/>
      <c r="HJN188" s="1016"/>
      <c r="HJO188" s="1016"/>
      <c r="HJP188" s="1016"/>
      <c r="HJQ188" s="1016"/>
      <c r="HJR188" s="1016"/>
      <c r="HJS188" s="1016"/>
      <c r="HJT188" s="1016"/>
      <c r="HJU188" s="1016"/>
      <c r="HJV188" s="1016"/>
      <c r="HJW188" s="1016"/>
      <c r="HJX188" s="1016"/>
      <c r="HJY188" s="1016"/>
      <c r="HJZ188" s="1016"/>
      <c r="HKA188" s="1016"/>
      <c r="HKB188" s="1016"/>
      <c r="HKC188" s="1016"/>
      <c r="HKD188" s="1016"/>
      <c r="HKE188" s="1016"/>
      <c r="HKF188" s="1016"/>
      <c r="HKG188" s="1016"/>
      <c r="HKH188" s="1016"/>
      <c r="HKI188" s="1016"/>
      <c r="HKJ188" s="1016"/>
      <c r="HKK188" s="1016"/>
      <c r="HKL188" s="1016"/>
      <c r="HKM188" s="1016"/>
      <c r="HKN188" s="1016"/>
      <c r="HKO188" s="1016"/>
      <c r="HKP188" s="1016"/>
      <c r="HKQ188" s="1016"/>
      <c r="HKR188" s="1016"/>
      <c r="HKS188" s="1016"/>
      <c r="HKT188" s="1016"/>
      <c r="HKU188" s="1016"/>
      <c r="HKV188" s="1016"/>
      <c r="HKW188" s="1016"/>
      <c r="HKX188" s="1016"/>
      <c r="HKY188" s="1016"/>
      <c r="HKZ188" s="1016"/>
      <c r="HLA188" s="1016"/>
      <c r="HLB188" s="1016"/>
      <c r="HLC188" s="1016"/>
      <c r="HLD188" s="1016"/>
      <c r="HLE188" s="1016"/>
      <c r="HLF188" s="1016"/>
      <c r="HLG188" s="1016"/>
      <c r="HLH188" s="1016"/>
      <c r="HLI188" s="1016"/>
      <c r="HLJ188" s="1016"/>
      <c r="HLK188" s="1016"/>
      <c r="HLL188" s="1016"/>
      <c r="HLM188" s="1016"/>
      <c r="HLN188" s="1016"/>
      <c r="HLO188" s="1016"/>
      <c r="HLP188" s="1016"/>
      <c r="HLQ188" s="1016"/>
      <c r="HLR188" s="1016"/>
      <c r="HLS188" s="1016"/>
      <c r="HLT188" s="1016"/>
      <c r="HLU188" s="1016"/>
      <c r="HLV188" s="1016"/>
      <c r="HLW188" s="1016"/>
      <c r="HLX188" s="1016"/>
      <c r="HLY188" s="1016"/>
      <c r="HLZ188" s="1016"/>
      <c r="HMA188" s="1016"/>
      <c r="HMB188" s="1016"/>
      <c r="HMC188" s="1016"/>
      <c r="HMD188" s="1016"/>
      <c r="HME188" s="1016"/>
      <c r="HMF188" s="1016"/>
      <c r="HMG188" s="1016"/>
      <c r="HMH188" s="1016"/>
      <c r="HMI188" s="1016"/>
      <c r="HMJ188" s="1016"/>
      <c r="HMK188" s="1016"/>
      <c r="HML188" s="1016"/>
      <c r="HMM188" s="1016"/>
      <c r="HMN188" s="1016"/>
      <c r="HMO188" s="1016"/>
      <c r="HMP188" s="1016"/>
      <c r="HMQ188" s="1016"/>
      <c r="HMR188" s="1016"/>
      <c r="HMS188" s="1016"/>
      <c r="HMT188" s="1016"/>
      <c r="HMU188" s="1016"/>
      <c r="HMV188" s="1016"/>
      <c r="HMW188" s="1016"/>
      <c r="HMX188" s="1016"/>
      <c r="HMY188" s="1016"/>
      <c r="HMZ188" s="1016"/>
      <c r="HNA188" s="1016"/>
      <c r="HNB188" s="1016"/>
      <c r="HNC188" s="1016"/>
      <c r="HND188" s="1016"/>
      <c r="HNE188" s="1016"/>
      <c r="HNF188" s="1016"/>
      <c r="HNG188" s="1016"/>
      <c r="HNH188" s="1016"/>
      <c r="HNI188" s="1016"/>
      <c r="HNJ188" s="1016"/>
      <c r="HNK188" s="1016"/>
      <c r="HNL188" s="1016"/>
      <c r="HNM188" s="1016"/>
      <c r="HNN188" s="1016"/>
      <c r="HNO188" s="1016"/>
      <c r="HNP188" s="1016"/>
      <c r="HNQ188" s="1016"/>
      <c r="HNR188" s="1016"/>
      <c r="HNS188" s="1016"/>
      <c r="HNT188" s="1016"/>
      <c r="HNU188" s="1016"/>
      <c r="HNV188" s="1016"/>
      <c r="HNW188" s="1016"/>
      <c r="HNX188" s="1016"/>
      <c r="HNY188" s="1016"/>
      <c r="HNZ188" s="1016"/>
      <c r="HOA188" s="1016"/>
      <c r="HOB188" s="1016"/>
      <c r="HOC188" s="1016"/>
      <c r="HOD188" s="1016"/>
      <c r="HOE188" s="1016"/>
      <c r="HOF188" s="1016"/>
      <c r="HOG188" s="1016"/>
      <c r="HOH188" s="1016"/>
      <c r="HOI188" s="1016"/>
      <c r="HOJ188" s="1016"/>
      <c r="HOK188" s="1016"/>
      <c r="HOL188" s="1016"/>
      <c r="HOM188" s="1016"/>
      <c r="HON188" s="1016"/>
      <c r="HOO188" s="1016"/>
      <c r="HOP188" s="1016"/>
      <c r="HOQ188" s="1016"/>
      <c r="HOR188" s="1016"/>
      <c r="HOS188" s="1016"/>
      <c r="HOT188" s="1016"/>
      <c r="HOU188" s="1016"/>
      <c r="HOV188" s="1016"/>
      <c r="HOW188" s="1016"/>
      <c r="HOX188" s="1016"/>
      <c r="HOY188" s="1016"/>
      <c r="HOZ188" s="1016"/>
      <c r="HPA188" s="1016"/>
      <c r="HPB188" s="1016"/>
      <c r="HPC188" s="1016"/>
      <c r="HPD188" s="1016"/>
      <c r="HPE188" s="1016"/>
      <c r="HPF188" s="1016"/>
      <c r="HPG188" s="1016"/>
      <c r="HPH188" s="1016"/>
      <c r="HPI188" s="1016"/>
      <c r="HPJ188" s="1016"/>
      <c r="HPK188" s="1016"/>
      <c r="HPL188" s="1016"/>
      <c r="HPM188" s="1016"/>
      <c r="HPN188" s="1016"/>
      <c r="HPO188" s="1016"/>
      <c r="HPP188" s="1016"/>
      <c r="HPQ188" s="1016"/>
      <c r="HPR188" s="1016"/>
      <c r="HPS188" s="1016"/>
      <c r="HPT188" s="1016"/>
      <c r="HPU188" s="1016"/>
      <c r="HPV188" s="1016"/>
      <c r="HPW188" s="1016"/>
      <c r="HPX188" s="1016"/>
      <c r="HPY188" s="1016"/>
      <c r="HPZ188" s="1016"/>
      <c r="HQA188" s="1016"/>
      <c r="HQB188" s="1016"/>
      <c r="HQC188" s="1016"/>
      <c r="HQD188" s="1016"/>
      <c r="HQE188" s="1016"/>
      <c r="HQF188" s="1016"/>
      <c r="HQG188" s="1016"/>
      <c r="HQH188" s="1016"/>
      <c r="HQI188" s="1016"/>
      <c r="HQJ188" s="1016"/>
      <c r="HQK188" s="1016"/>
      <c r="HQL188" s="1016"/>
      <c r="HQM188" s="1016"/>
      <c r="HQN188" s="1016"/>
      <c r="HQO188" s="1016"/>
      <c r="HQP188" s="1016"/>
      <c r="HQQ188" s="1016"/>
      <c r="HQR188" s="1016"/>
      <c r="HQS188" s="1016"/>
      <c r="HQT188" s="1016"/>
      <c r="HQU188" s="1016"/>
      <c r="HQV188" s="1016"/>
      <c r="HQW188" s="1016"/>
      <c r="HQX188" s="1016"/>
      <c r="HQY188" s="1016"/>
      <c r="HQZ188" s="1016"/>
      <c r="HRA188" s="1016"/>
      <c r="HRB188" s="1016"/>
      <c r="HRC188" s="1016"/>
      <c r="HRD188" s="1016"/>
      <c r="HRE188" s="1016"/>
      <c r="HRF188" s="1016"/>
      <c r="HRG188" s="1016"/>
      <c r="HRH188" s="1016"/>
      <c r="HRI188" s="1016"/>
      <c r="HRJ188" s="1016"/>
      <c r="HRK188" s="1016"/>
      <c r="HRL188" s="1016"/>
      <c r="HRM188" s="1016"/>
      <c r="HRN188" s="1016"/>
      <c r="HRO188" s="1016"/>
      <c r="HRP188" s="1016"/>
      <c r="HRQ188" s="1016"/>
      <c r="HRR188" s="1016"/>
      <c r="HRS188" s="1016"/>
      <c r="HRT188" s="1016"/>
      <c r="HRU188" s="1016"/>
      <c r="HRV188" s="1016"/>
      <c r="HRW188" s="1016"/>
      <c r="HRX188" s="1016"/>
      <c r="HRY188" s="1016"/>
      <c r="HRZ188" s="1016"/>
      <c r="HSA188" s="1016"/>
      <c r="HSB188" s="1016"/>
      <c r="HSC188" s="1016"/>
      <c r="HSD188" s="1016"/>
      <c r="HSE188" s="1016"/>
      <c r="HSF188" s="1016"/>
      <c r="HSG188" s="1016"/>
      <c r="HSH188" s="1016"/>
      <c r="HSI188" s="1016"/>
      <c r="HSJ188" s="1016"/>
      <c r="HSK188" s="1016"/>
      <c r="HSL188" s="1016"/>
      <c r="HSM188" s="1016"/>
      <c r="HSN188" s="1016"/>
      <c r="HSO188" s="1016"/>
      <c r="HSP188" s="1016"/>
      <c r="HSQ188" s="1016"/>
      <c r="HSR188" s="1016"/>
      <c r="HSS188" s="1016"/>
      <c r="HST188" s="1016"/>
      <c r="HSU188" s="1016"/>
      <c r="HSV188" s="1016"/>
      <c r="HSW188" s="1016"/>
      <c r="HSX188" s="1016"/>
      <c r="HSY188" s="1016"/>
      <c r="HSZ188" s="1016"/>
      <c r="HTA188" s="1016"/>
      <c r="HTB188" s="1016"/>
      <c r="HTC188" s="1016"/>
      <c r="HTD188" s="1016"/>
      <c r="HTE188" s="1016"/>
      <c r="HTF188" s="1016"/>
      <c r="HTG188" s="1016"/>
      <c r="HTH188" s="1016"/>
      <c r="HTI188" s="1016"/>
      <c r="HTJ188" s="1016"/>
      <c r="HTK188" s="1016"/>
      <c r="HTL188" s="1016"/>
      <c r="HTM188" s="1016"/>
      <c r="HTN188" s="1016"/>
      <c r="HTO188" s="1016"/>
      <c r="HTP188" s="1016"/>
      <c r="HTQ188" s="1016"/>
      <c r="HTR188" s="1016"/>
      <c r="HTS188" s="1016"/>
      <c r="HTT188" s="1016"/>
      <c r="HTU188" s="1016"/>
      <c r="HTV188" s="1016"/>
      <c r="HTW188" s="1016"/>
      <c r="HTX188" s="1016"/>
      <c r="HTY188" s="1016"/>
      <c r="HTZ188" s="1016"/>
      <c r="HUA188" s="1016"/>
      <c r="HUB188" s="1016"/>
      <c r="HUC188" s="1016"/>
      <c r="HUD188" s="1016"/>
      <c r="HUE188" s="1016"/>
      <c r="HUF188" s="1016"/>
      <c r="HUG188" s="1016"/>
      <c r="HUH188" s="1016"/>
      <c r="HUI188" s="1016"/>
      <c r="HUJ188" s="1016"/>
      <c r="HUK188" s="1016"/>
      <c r="HUL188" s="1016"/>
      <c r="HUM188" s="1016"/>
      <c r="HUN188" s="1016"/>
      <c r="HUO188" s="1016"/>
      <c r="HUP188" s="1016"/>
      <c r="HUQ188" s="1016"/>
      <c r="HUR188" s="1016"/>
      <c r="HUS188" s="1016"/>
      <c r="HUT188" s="1016"/>
      <c r="HUU188" s="1016"/>
      <c r="HUV188" s="1016"/>
      <c r="HUW188" s="1016"/>
      <c r="HUX188" s="1016"/>
      <c r="HUY188" s="1016"/>
      <c r="HUZ188" s="1016"/>
      <c r="HVA188" s="1016"/>
      <c r="HVB188" s="1016"/>
      <c r="HVC188" s="1016"/>
      <c r="HVD188" s="1016"/>
      <c r="HVE188" s="1016"/>
      <c r="HVF188" s="1016"/>
      <c r="HVG188" s="1016"/>
      <c r="HVH188" s="1016"/>
      <c r="HVI188" s="1016"/>
      <c r="HVJ188" s="1016"/>
      <c r="HVK188" s="1016"/>
      <c r="HVL188" s="1016"/>
      <c r="HVM188" s="1016"/>
      <c r="HVN188" s="1016"/>
      <c r="HVO188" s="1016"/>
      <c r="HVP188" s="1016"/>
      <c r="HVQ188" s="1016"/>
      <c r="HVR188" s="1016"/>
      <c r="HVS188" s="1016"/>
      <c r="HVT188" s="1016"/>
      <c r="HVU188" s="1016"/>
      <c r="HVV188" s="1016"/>
      <c r="HVW188" s="1016"/>
      <c r="HVX188" s="1016"/>
      <c r="HVY188" s="1016"/>
      <c r="HVZ188" s="1016"/>
      <c r="HWA188" s="1016"/>
      <c r="HWB188" s="1016"/>
      <c r="HWC188" s="1016"/>
      <c r="HWD188" s="1016"/>
      <c r="HWE188" s="1016"/>
      <c r="HWF188" s="1016"/>
      <c r="HWG188" s="1016"/>
      <c r="HWH188" s="1016"/>
      <c r="HWI188" s="1016"/>
      <c r="HWJ188" s="1016"/>
      <c r="HWK188" s="1016"/>
      <c r="HWL188" s="1016"/>
      <c r="HWM188" s="1016"/>
      <c r="HWN188" s="1016"/>
      <c r="HWO188" s="1016"/>
      <c r="HWP188" s="1016"/>
      <c r="HWQ188" s="1016"/>
      <c r="HWR188" s="1016"/>
      <c r="HWS188" s="1016"/>
      <c r="HWT188" s="1016"/>
      <c r="HWU188" s="1016"/>
      <c r="HWV188" s="1016"/>
      <c r="HWW188" s="1016"/>
      <c r="HWX188" s="1016"/>
      <c r="HWY188" s="1016"/>
      <c r="HWZ188" s="1016"/>
      <c r="HXA188" s="1016"/>
      <c r="HXB188" s="1016"/>
      <c r="HXC188" s="1016"/>
      <c r="HXD188" s="1016"/>
      <c r="HXE188" s="1016"/>
      <c r="HXF188" s="1016"/>
      <c r="HXG188" s="1016"/>
      <c r="HXH188" s="1016"/>
      <c r="HXI188" s="1016"/>
      <c r="HXJ188" s="1016"/>
      <c r="HXK188" s="1016"/>
      <c r="HXL188" s="1016"/>
      <c r="HXM188" s="1016"/>
      <c r="HXN188" s="1016"/>
      <c r="HXO188" s="1016"/>
      <c r="HXP188" s="1016"/>
      <c r="HXQ188" s="1016"/>
      <c r="HXR188" s="1016"/>
      <c r="HXS188" s="1016"/>
      <c r="HXT188" s="1016"/>
      <c r="HXU188" s="1016"/>
      <c r="HXV188" s="1016"/>
      <c r="HXW188" s="1016"/>
      <c r="HXX188" s="1016"/>
      <c r="HXY188" s="1016"/>
      <c r="HXZ188" s="1016"/>
      <c r="HYA188" s="1016"/>
      <c r="HYB188" s="1016"/>
      <c r="HYC188" s="1016"/>
      <c r="HYD188" s="1016"/>
      <c r="HYE188" s="1016"/>
      <c r="HYF188" s="1016"/>
      <c r="HYG188" s="1016"/>
      <c r="HYH188" s="1016"/>
      <c r="HYI188" s="1016"/>
      <c r="HYJ188" s="1016"/>
      <c r="HYK188" s="1016"/>
      <c r="HYL188" s="1016"/>
      <c r="HYM188" s="1016"/>
      <c r="HYN188" s="1016"/>
      <c r="HYO188" s="1016"/>
      <c r="HYP188" s="1016"/>
      <c r="HYQ188" s="1016"/>
      <c r="HYR188" s="1016"/>
      <c r="HYS188" s="1016"/>
      <c r="HYT188" s="1016"/>
      <c r="HYU188" s="1016"/>
      <c r="HYV188" s="1016"/>
      <c r="HYW188" s="1016"/>
      <c r="HYX188" s="1016"/>
      <c r="HYY188" s="1016"/>
      <c r="HYZ188" s="1016"/>
      <c r="HZA188" s="1016"/>
      <c r="HZB188" s="1016"/>
      <c r="HZC188" s="1016"/>
      <c r="HZD188" s="1016"/>
      <c r="HZE188" s="1016"/>
      <c r="HZF188" s="1016"/>
      <c r="HZG188" s="1016"/>
      <c r="HZH188" s="1016"/>
      <c r="HZI188" s="1016"/>
      <c r="HZJ188" s="1016"/>
      <c r="HZK188" s="1016"/>
      <c r="HZL188" s="1016"/>
      <c r="HZM188" s="1016"/>
      <c r="HZN188" s="1016"/>
      <c r="HZO188" s="1016"/>
      <c r="HZP188" s="1016"/>
      <c r="HZQ188" s="1016"/>
      <c r="HZR188" s="1016"/>
      <c r="HZS188" s="1016"/>
      <c r="HZT188" s="1016"/>
      <c r="HZU188" s="1016"/>
      <c r="HZV188" s="1016"/>
      <c r="HZW188" s="1016"/>
      <c r="HZX188" s="1016"/>
      <c r="HZY188" s="1016"/>
      <c r="HZZ188" s="1016"/>
      <c r="IAA188" s="1016"/>
      <c r="IAB188" s="1016"/>
      <c r="IAC188" s="1016"/>
      <c r="IAD188" s="1016"/>
      <c r="IAE188" s="1016"/>
      <c r="IAF188" s="1016"/>
      <c r="IAG188" s="1016"/>
      <c r="IAH188" s="1016"/>
      <c r="IAI188" s="1016"/>
      <c r="IAJ188" s="1016"/>
      <c r="IAK188" s="1016"/>
      <c r="IAL188" s="1016"/>
      <c r="IAM188" s="1016"/>
      <c r="IAN188" s="1016"/>
      <c r="IAO188" s="1016"/>
      <c r="IAP188" s="1016"/>
      <c r="IAQ188" s="1016"/>
      <c r="IAR188" s="1016"/>
      <c r="IAS188" s="1016"/>
      <c r="IAT188" s="1016"/>
      <c r="IAU188" s="1016"/>
      <c r="IAV188" s="1016"/>
      <c r="IAW188" s="1016"/>
      <c r="IAX188" s="1016"/>
      <c r="IAY188" s="1016"/>
      <c r="IAZ188" s="1016"/>
      <c r="IBA188" s="1016"/>
      <c r="IBB188" s="1016"/>
      <c r="IBC188" s="1016"/>
      <c r="IBD188" s="1016"/>
      <c r="IBE188" s="1016"/>
      <c r="IBF188" s="1016"/>
      <c r="IBG188" s="1016"/>
      <c r="IBH188" s="1016"/>
      <c r="IBI188" s="1016"/>
      <c r="IBJ188" s="1016"/>
      <c r="IBK188" s="1016"/>
      <c r="IBL188" s="1016"/>
      <c r="IBM188" s="1016"/>
      <c r="IBN188" s="1016"/>
      <c r="IBO188" s="1016"/>
      <c r="IBP188" s="1016"/>
      <c r="IBQ188" s="1016"/>
      <c r="IBR188" s="1016"/>
      <c r="IBS188" s="1016"/>
      <c r="IBT188" s="1016"/>
      <c r="IBU188" s="1016"/>
      <c r="IBV188" s="1016"/>
      <c r="IBW188" s="1016"/>
      <c r="IBX188" s="1016"/>
      <c r="IBY188" s="1016"/>
      <c r="IBZ188" s="1016"/>
      <c r="ICA188" s="1016"/>
      <c r="ICB188" s="1016"/>
      <c r="ICC188" s="1016"/>
      <c r="ICD188" s="1016"/>
      <c r="ICE188" s="1016"/>
      <c r="ICF188" s="1016"/>
      <c r="ICG188" s="1016"/>
      <c r="ICH188" s="1016"/>
      <c r="ICI188" s="1016"/>
      <c r="ICJ188" s="1016"/>
      <c r="ICK188" s="1016"/>
      <c r="ICL188" s="1016"/>
      <c r="ICM188" s="1016"/>
      <c r="ICN188" s="1016"/>
      <c r="ICO188" s="1016"/>
      <c r="ICP188" s="1016"/>
      <c r="ICQ188" s="1016"/>
      <c r="ICR188" s="1016"/>
      <c r="ICS188" s="1016"/>
      <c r="ICT188" s="1016"/>
      <c r="ICU188" s="1016"/>
      <c r="ICV188" s="1016"/>
      <c r="ICW188" s="1016"/>
      <c r="ICX188" s="1016"/>
      <c r="ICY188" s="1016"/>
      <c r="ICZ188" s="1016"/>
      <c r="IDA188" s="1016"/>
      <c r="IDB188" s="1016"/>
      <c r="IDC188" s="1016"/>
      <c r="IDD188" s="1016"/>
      <c r="IDE188" s="1016"/>
      <c r="IDF188" s="1016"/>
      <c r="IDG188" s="1016"/>
      <c r="IDH188" s="1016"/>
      <c r="IDI188" s="1016"/>
      <c r="IDJ188" s="1016"/>
      <c r="IDK188" s="1016"/>
      <c r="IDL188" s="1016"/>
      <c r="IDM188" s="1016"/>
      <c r="IDN188" s="1016"/>
      <c r="IDO188" s="1016"/>
      <c r="IDP188" s="1016"/>
      <c r="IDQ188" s="1016"/>
      <c r="IDR188" s="1016"/>
      <c r="IDS188" s="1016"/>
      <c r="IDT188" s="1016"/>
      <c r="IDU188" s="1016"/>
      <c r="IDV188" s="1016"/>
      <c r="IDW188" s="1016"/>
      <c r="IDX188" s="1016"/>
      <c r="IDY188" s="1016"/>
      <c r="IDZ188" s="1016"/>
      <c r="IEA188" s="1016"/>
      <c r="IEB188" s="1016"/>
      <c r="IEC188" s="1016"/>
      <c r="IED188" s="1016"/>
      <c r="IEE188" s="1016"/>
      <c r="IEF188" s="1016"/>
      <c r="IEG188" s="1016"/>
      <c r="IEH188" s="1016"/>
      <c r="IEI188" s="1016"/>
      <c r="IEJ188" s="1016"/>
      <c r="IEK188" s="1016"/>
      <c r="IEL188" s="1016"/>
      <c r="IEM188" s="1016"/>
      <c r="IEN188" s="1016"/>
      <c r="IEO188" s="1016"/>
      <c r="IEP188" s="1016"/>
      <c r="IEQ188" s="1016"/>
      <c r="IER188" s="1016"/>
      <c r="IES188" s="1016"/>
      <c r="IET188" s="1016"/>
      <c r="IEU188" s="1016"/>
      <c r="IEV188" s="1016"/>
      <c r="IEW188" s="1016"/>
      <c r="IEX188" s="1016"/>
      <c r="IEY188" s="1016"/>
      <c r="IEZ188" s="1016"/>
      <c r="IFA188" s="1016"/>
      <c r="IFB188" s="1016"/>
      <c r="IFC188" s="1016"/>
      <c r="IFD188" s="1016"/>
      <c r="IFE188" s="1016"/>
      <c r="IFF188" s="1016"/>
      <c r="IFG188" s="1016"/>
      <c r="IFH188" s="1016"/>
      <c r="IFI188" s="1016"/>
      <c r="IFJ188" s="1016"/>
      <c r="IFK188" s="1016"/>
      <c r="IFL188" s="1016"/>
      <c r="IFM188" s="1016"/>
      <c r="IFN188" s="1016"/>
      <c r="IFO188" s="1016"/>
      <c r="IFP188" s="1016"/>
      <c r="IFQ188" s="1016"/>
      <c r="IFR188" s="1016"/>
      <c r="IFS188" s="1016"/>
      <c r="IFT188" s="1016"/>
      <c r="IFU188" s="1016"/>
      <c r="IFV188" s="1016"/>
      <c r="IFW188" s="1016"/>
      <c r="IFX188" s="1016"/>
      <c r="IFY188" s="1016"/>
      <c r="IFZ188" s="1016"/>
      <c r="IGA188" s="1016"/>
      <c r="IGB188" s="1016"/>
      <c r="IGC188" s="1016"/>
      <c r="IGD188" s="1016"/>
      <c r="IGE188" s="1016"/>
      <c r="IGF188" s="1016"/>
      <c r="IGG188" s="1016"/>
      <c r="IGH188" s="1016"/>
      <c r="IGI188" s="1016"/>
      <c r="IGJ188" s="1016"/>
      <c r="IGK188" s="1016"/>
      <c r="IGL188" s="1016"/>
      <c r="IGM188" s="1016"/>
      <c r="IGN188" s="1016"/>
      <c r="IGO188" s="1016"/>
      <c r="IGP188" s="1016"/>
      <c r="IGQ188" s="1016"/>
      <c r="IGR188" s="1016"/>
      <c r="IGS188" s="1016"/>
      <c r="IGT188" s="1016"/>
      <c r="IGU188" s="1016"/>
      <c r="IGV188" s="1016"/>
      <c r="IGW188" s="1016"/>
      <c r="IGX188" s="1016"/>
      <c r="IGY188" s="1016"/>
      <c r="IGZ188" s="1016"/>
      <c r="IHA188" s="1016"/>
      <c r="IHB188" s="1016"/>
      <c r="IHC188" s="1016"/>
      <c r="IHD188" s="1016"/>
      <c r="IHE188" s="1016"/>
      <c r="IHF188" s="1016"/>
      <c r="IHG188" s="1016"/>
      <c r="IHH188" s="1016"/>
      <c r="IHI188" s="1016"/>
      <c r="IHJ188" s="1016"/>
      <c r="IHK188" s="1016"/>
      <c r="IHL188" s="1016"/>
      <c r="IHM188" s="1016"/>
      <c r="IHN188" s="1016"/>
      <c r="IHO188" s="1016"/>
      <c r="IHP188" s="1016"/>
      <c r="IHQ188" s="1016"/>
      <c r="IHR188" s="1016"/>
      <c r="IHS188" s="1016"/>
      <c r="IHT188" s="1016"/>
      <c r="IHU188" s="1016"/>
      <c r="IHV188" s="1016"/>
      <c r="IHW188" s="1016"/>
      <c r="IHX188" s="1016"/>
      <c r="IHY188" s="1016"/>
      <c r="IHZ188" s="1016"/>
      <c r="IIA188" s="1016"/>
      <c r="IIB188" s="1016"/>
      <c r="IIC188" s="1016"/>
      <c r="IID188" s="1016"/>
      <c r="IIE188" s="1016"/>
      <c r="IIF188" s="1016"/>
      <c r="IIG188" s="1016"/>
      <c r="IIH188" s="1016"/>
      <c r="III188" s="1016"/>
      <c r="IIJ188" s="1016"/>
      <c r="IIK188" s="1016"/>
      <c r="IIL188" s="1016"/>
      <c r="IIM188" s="1016"/>
      <c r="IIN188" s="1016"/>
      <c r="IIO188" s="1016"/>
      <c r="IIP188" s="1016"/>
      <c r="IIQ188" s="1016"/>
      <c r="IIR188" s="1016"/>
      <c r="IIS188" s="1016"/>
      <c r="IIT188" s="1016"/>
      <c r="IIU188" s="1016"/>
      <c r="IIV188" s="1016"/>
      <c r="IIW188" s="1016"/>
      <c r="IIX188" s="1016"/>
      <c r="IIY188" s="1016"/>
      <c r="IIZ188" s="1016"/>
      <c r="IJA188" s="1016"/>
      <c r="IJB188" s="1016"/>
      <c r="IJC188" s="1016"/>
      <c r="IJD188" s="1016"/>
      <c r="IJE188" s="1016"/>
      <c r="IJF188" s="1016"/>
      <c r="IJG188" s="1016"/>
      <c r="IJH188" s="1016"/>
      <c r="IJI188" s="1016"/>
      <c r="IJJ188" s="1016"/>
      <c r="IJK188" s="1016"/>
      <c r="IJL188" s="1016"/>
      <c r="IJM188" s="1016"/>
      <c r="IJN188" s="1016"/>
      <c r="IJO188" s="1016"/>
      <c r="IJP188" s="1016"/>
      <c r="IJQ188" s="1016"/>
      <c r="IJR188" s="1016"/>
      <c r="IJS188" s="1016"/>
      <c r="IJT188" s="1016"/>
      <c r="IJU188" s="1016"/>
      <c r="IJV188" s="1016"/>
      <c r="IJW188" s="1016"/>
      <c r="IJX188" s="1016"/>
      <c r="IJY188" s="1016"/>
      <c r="IJZ188" s="1016"/>
      <c r="IKA188" s="1016"/>
      <c r="IKB188" s="1016"/>
      <c r="IKC188" s="1016"/>
      <c r="IKD188" s="1016"/>
      <c r="IKE188" s="1016"/>
      <c r="IKF188" s="1016"/>
      <c r="IKG188" s="1016"/>
      <c r="IKH188" s="1016"/>
      <c r="IKI188" s="1016"/>
      <c r="IKJ188" s="1016"/>
      <c r="IKK188" s="1016"/>
      <c r="IKL188" s="1016"/>
      <c r="IKM188" s="1016"/>
      <c r="IKN188" s="1016"/>
      <c r="IKO188" s="1016"/>
      <c r="IKP188" s="1016"/>
      <c r="IKQ188" s="1016"/>
      <c r="IKR188" s="1016"/>
      <c r="IKS188" s="1016"/>
      <c r="IKT188" s="1016"/>
      <c r="IKU188" s="1016"/>
      <c r="IKV188" s="1016"/>
      <c r="IKW188" s="1016"/>
      <c r="IKX188" s="1016"/>
      <c r="IKY188" s="1016"/>
      <c r="IKZ188" s="1016"/>
      <c r="ILA188" s="1016"/>
      <c r="ILB188" s="1016"/>
      <c r="ILC188" s="1016"/>
      <c r="ILD188" s="1016"/>
      <c r="ILE188" s="1016"/>
      <c r="ILF188" s="1016"/>
      <c r="ILG188" s="1016"/>
      <c r="ILH188" s="1016"/>
      <c r="ILI188" s="1016"/>
      <c r="ILJ188" s="1016"/>
      <c r="ILK188" s="1016"/>
      <c r="ILL188" s="1016"/>
      <c r="ILM188" s="1016"/>
      <c r="ILN188" s="1016"/>
      <c r="ILO188" s="1016"/>
      <c r="ILP188" s="1016"/>
      <c r="ILQ188" s="1016"/>
      <c r="ILR188" s="1016"/>
      <c r="ILS188" s="1016"/>
      <c r="ILT188" s="1016"/>
      <c r="ILU188" s="1016"/>
      <c r="ILV188" s="1016"/>
      <c r="ILW188" s="1016"/>
      <c r="ILX188" s="1016"/>
      <c r="ILY188" s="1016"/>
      <c r="ILZ188" s="1016"/>
      <c r="IMA188" s="1016"/>
      <c r="IMB188" s="1016"/>
      <c r="IMC188" s="1016"/>
      <c r="IMD188" s="1016"/>
      <c r="IME188" s="1016"/>
      <c r="IMF188" s="1016"/>
      <c r="IMG188" s="1016"/>
      <c r="IMH188" s="1016"/>
      <c r="IMI188" s="1016"/>
      <c r="IMJ188" s="1016"/>
      <c r="IMK188" s="1016"/>
      <c r="IML188" s="1016"/>
      <c r="IMM188" s="1016"/>
      <c r="IMN188" s="1016"/>
      <c r="IMO188" s="1016"/>
      <c r="IMP188" s="1016"/>
      <c r="IMQ188" s="1016"/>
      <c r="IMR188" s="1016"/>
      <c r="IMS188" s="1016"/>
      <c r="IMT188" s="1016"/>
      <c r="IMU188" s="1016"/>
      <c r="IMV188" s="1016"/>
      <c r="IMW188" s="1016"/>
      <c r="IMX188" s="1016"/>
      <c r="IMY188" s="1016"/>
      <c r="IMZ188" s="1016"/>
      <c r="INA188" s="1016"/>
      <c r="INB188" s="1016"/>
      <c r="INC188" s="1016"/>
      <c r="IND188" s="1016"/>
      <c r="INE188" s="1016"/>
      <c r="INF188" s="1016"/>
      <c r="ING188" s="1016"/>
      <c r="INH188" s="1016"/>
      <c r="INI188" s="1016"/>
      <c r="INJ188" s="1016"/>
      <c r="INK188" s="1016"/>
      <c r="INL188" s="1016"/>
      <c r="INM188" s="1016"/>
      <c r="INN188" s="1016"/>
      <c r="INO188" s="1016"/>
      <c r="INP188" s="1016"/>
      <c r="INQ188" s="1016"/>
      <c r="INR188" s="1016"/>
      <c r="INS188" s="1016"/>
      <c r="INT188" s="1016"/>
      <c r="INU188" s="1016"/>
      <c r="INV188" s="1016"/>
      <c r="INW188" s="1016"/>
      <c r="INX188" s="1016"/>
      <c r="INY188" s="1016"/>
      <c r="INZ188" s="1016"/>
      <c r="IOA188" s="1016"/>
      <c r="IOB188" s="1016"/>
      <c r="IOC188" s="1016"/>
      <c r="IOD188" s="1016"/>
      <c r="IOE188" s="1016"/>
      <c r="IOF188" s="1016"/>
      <c r="IOG188" s="1016"/>
      <c r="IOH188" s="1016"/>
      <c r="IOI188" s="1016"/>
      <c r="IOJ188" s="1016"/>
      <c r="IOK188" s="1016"/>
      <c r="IOL188" s="1016"/>
      <c r="IOM188" s="1016"/>
      <c r="ION188" s="1016"/>
      <c r="IOO188" s="1016"/>
      <c r="IOP188" s="1016"/>
      <c r="IOQ188" s="1016"/>
      <c r="IOR188" s="1016"/>
      <c r="IOS188" s="1016"/>
      <c r="IOT188" s="1016"/>
      <c r="IOU188" s="1016"/>
      <c r="IOV188" s="1016"/>
      <c r="IOW188" s="1016"/>
      <c r="IOX188" s="1016"/>
      <c r="IOY188" s="1016"/>
      <c r="IOZ188" s="1016"/>
      <c r="IPA188" s="1016"/>
      <c r="IPB188" s="1016"/>
      <c r="IPC188" s="1016"/>
      <c r="IPD188" s="1016"/>
      <c r="IPE188" s="1016"/>
      <c r="IPF188" s="1016"/>
      <c r="IPG188" s="1016"/>
      <c r="IPH188" s="1016"/>
      <c r="IPI188" s="1016"/>
      <c r="IPJ188" s="1016"/>
      <c r="IPK188" s="1016"/>
      <c r="IPL188" s="1016"/>
      <c r="IPM188" s="1016"/>
      <c r="IPN188" s="1016"/>
      <c r="IPO188" s="1016"/>
      <c r="IPP188" s="1016"/>
      <c r="IPQ188" s="1016"/>
      <c r="IPR188" s="1016"/>
      <c r="IPS188" s="1016"/>
      <c r="IPT188" s="1016"/>
      <c r="IPU188" s="1016"/>
      <c r="IPV188" s="1016"/>
      <c r="IPW188" s="1016"/>
      <c r="IPX188" s="1016"/>
      <c r="IPY188" s="1016"/>
      <c r="IPZ188" s="1016"/>
      <c r="IQA188" s="1016"/>
      <c r="IQB188" s="1016"/>
      <c r="IQC188" s="1016"/>
      <c r="IQD188" s="1016"/>
      <c r="IQE188" s="1016"/>
      <c r="IQF188" s="1016"/>
      <c r="IQG188" s="1016"/>
      <c r="IQH188" s="1016"/>
      <c r="IQI188" s="1016"/>
      <c r="IQJ188" s="1016"/>
      <c r="IQK188" s="1016"/>
      <c r="IQL188" s="1016"/>
      <c r="IQM188" s="1016"/>
      <c r="IQN188" s="1016"/>
      <c r="IQO188" s="1016"/>
      <c r="IQP188" s="1016"/>
      <c r="IQQ188" s="1016"/>
      <c r="IQR188" s="1016"/>
      <c r="IQS188" s="1016"/>
      <c r="IQT188" s="1016"/>
      <c r="IQU188" s="1016"/>
      <c r="IQV188" s="1016"/>
      <c r="IQW188" s="1016"/>
      <c r="IQX188" s="1016"/>
      <c r="IQY188" s="1016"/>
      <c r="IQZ188" s="1016"/>
      <c r="IRA188" s="1016"/>
      <c r="IRB188" s="1016"/>
      <c r="IRC188" s="1016"/>
      <c r="IRD188" s="1016"/>
      <c r="IRE188" s="1016"/>
      <c r="IRF188" s="1016"/>
      <c r="IRG188" s="1016"/>
      <c r="IRH188" s="1016"/>
      <c r="IRI188" s="1016"/>
      <c r="IRJ188" s="1016"/>
      <c r="IRK188" s="1016"/>
      <c r="IRL188" s="1016"/>
      <c r="IRM188" s="1016"/>
      <c r="IRN188" s="1016"/>
      <c r="IRO188" s="1016"/>
      <c r="IRP188" s="1016"/>
      <c r="IRQ188" s="1016"/>
      <c r="IRR188" s="1016"/>
      <c r="IRS188" s="1016"/>
      <c r="IRT188" s="1016"/>
      <c r="IRU188" s="1016"/>
      <c r="IRV188" s="1016"/>
      <c r="IRW188" s="1016"/>
      <c r="IRX188" s="1016"/>
      <c r="IRY188" s="1016"/>
      <c r="IRZ188" s="1016"/>
      <c r="ISA188" s="1016"/>
      <c r="ISB188" s="1016"/>
      <c r="ISC188" s="1016"/>
      <c r="ISD188" s="1016"/>
      <c r="ISE188" s="1016"/>
      <c r="ISF188" s="1016"/>
      <c r="ISG188" s="1016"/>
      <c r="ISH188" s="1016"/>
      <c r="ISI188" s="1016"/>
      <c r="ISJ188" s="1016"/>
      <c r="ISK188" s="1016"/>
      <c r="ISL188" s="1016"/>
      <c r="ISM188" s="1016"/>
      <c r="ISN188" s="1016"/>
      <c r="ISO188" s="1016"/>
      <c r="ISP188" s="1016"/>
      <c r="ISQ188" s="1016"/>
      <c r="ISR188" s="1016"/>
      <c r="ISS188" s="1016"/>
      <c r="IST188" s="1016"/>
      <c r="ISU188" s="1016"/>
      <c r="ISV188" s="1016"/>
      <c r="ISW188" s="1016"/>
      <c r="ISX188" s="1016"/>
      <c r="ISY188" s="1016"/>
      <c r="ISZ188" s="1016"/>
      <c r="ITA188" s="1016"/>
      <c r="ITB188" s="1016"/>
      <c r="ITC188" s="1016"/>
      <c r="ITD188" s="1016"/>
      <c r="ITE188" s="1016"/>
      <c r="ITF188" s="1016"/>
      <c r="ITG188" s="1016"/>
      <c r="ITH188" s="1016"/>
      <c r="ITI188" s="1016"/>
      <c r="ITJ188" s="1016"/>
      <c r="ITK188" s="1016"/>
      <c r="ITL188" s="1016"/>
      <c r="ITM188" s="1016"/>
      <c r="ITN188" s="1016"/>
      <c r="ITO188" s="1016"/>
      <c r="ITP188" s="1016"/>
      <c r="ITQ188" s="1016"/>
      <c r="ITR188" s="1016"/>
      <c r="ITS188" s="1016"/>
      <c r="ITT188" s="1016"/>
      <c r="ITU188" s="1016"/>
      <c r="ITV188" s="1016"/>
      <c r="ITW188" s="1016"/>
      <c r="ITX188" s="1016"/>
      <c r="ITY188" s="1016"/>
      <c r="ITZ188" s="1016"/>
      <c r="IUA188" s="1016"/>
      <c r="IUB188" s="1016"/>
      <c r="IUC188" s="1016"/>
      <c r="IUD188" s="1016"/>
      <c r="IUE188" s="1016"/>
      <c r="IUF188" s="1016"/>
      <c r="IUG188" s="1016"/>
      <c r="IUH188" s="1016"/>
      <c r="IUI188" s="1016"/>
      <c r="IUJ188" s="1016"/>
      <c r="IUK188" s="1016"/>
      <c r="IUL188" s="1016"/>
      <c r="IUM188" s="1016"/>
      <c r="IUN188" s="1016"/>
      <c r="IUO188" s="1016"/>
      <c r="IUP188" s="1016"/>
      <c r="IUQ188" s="1016"/>
      <c r="IUR188" s="1016"/>
      <c r="IUS188" s="1016"/>
      <c r="IUT188" s="1016"/>
      <c r="IUU188" s="1016"/>
      <c r="IUV188" s="1016"/>
      <c r="IUW188" s="1016"/>
      <c r="IUX188" s="1016"/>
      <c r="IUY188" s="1016"/>
      <c r="IUZ188" s="1016"/>
      <c r="IVA188" s="1016"/>
      <c r="IVB188" s="1016"/>
      <c r="IVC188" s="1016"/>
      <c r="IVD188" s="1016"/>
      <c r="IVE188" s="1016"/>
      <c r="IVF188" s="1016"/>
      <c r="IVG188" s="1016"/>
      <c r="IVH188" s="1016"/>
      <c r="IVI188" s="1016"/>
      <c r="IVJ188" s="1016"/>
      <c r="IVK188" s="1016"/>
      <c r="IVL188" s="1016"/>
      <c r="IVM188" s="1016"/>
      <c r="IVN188" s="1016"/>
      <c r="IVO188" s="1016"/>
      <c r="IVP188" s="1016"/>
      <c r="IVQ188" s="1016"/>
      <c r="IVR188" s="1016"/>
      <c r="IVS188" s="1016"/>
      <c r="IVT188" s="1016"/>
      <c r="IVU188" s="1016"/>
      <c r="IVV188" s="1016"/>
      <c r="IVW188" s="1016"/>
      <c r="IVX188" s="1016"/>
      <c r="IVY188" s="1016"/>
      <c r="IVZ188" s="1016"/>
      <c r="IWA188" s="1016"/>
      <c r="IWB188" s="1016"/>
      <c r="IWC188" s="1016"/>
      <c r="IWD188" s="1016"/>
      <c r="IWE188" s="1016"/>
      <c r="IWF188" s="1016"/>
      <c r="IWG188" s="1016"/>
      <c r="IWH188" s="1016"/>
      <c r="IWI188" s="1016"/>
      <c r="IWJ188" s="1016"/>
      <c r="IWK188" s="1016"/>
      <c r="IWL188" s="1016"/>
      <c r="IWM188" s="1016"/>
      <c r="IWN188" s="1016"/>
      <c r="IWO188" s="1016"/>
      <c r="IWP188" s="1016"/>
      <c r="IWQ188" s="1016"/>
      <c r="IWR188" s="1016"/>
      <c r="IWS188" s="1016"/>
      <c r="IWT188" s="1016"/>
      <c r="IWU188" s="1016"/>
      <c r="IWV188" s="1016"/>
      <c r="IWW188" s="1016"/>
      <c r="IWX188" s="1016"/>
      <c r="IWY188" s="1016"/>
      <c r="IWZ188" s="1016"/>
      <c r="IXA188" s="1016"/>
      <c r="IXB188" s="1016"/>
      <c r="IXC188" s="1016"/>
      <c r="IXD188" s="1016"/>
      <c r="IXE188" s="1016"/>
      <c r="IXF188" s="1016"/>
      <c r="IXG188" s="1016"/>
      <c r="IXH188" s="1016"/>
      <c r="IXI188" s="1016"/>
      <c r="IXJ188" s="1016"/>
      <c r="IXK188" s="1016"/>
      <c r="IXL188" s="1016"/>
      <c r="IXM188" s="1016"/>
      <c r="IXN188" s="1016"/>
      <c r="IXO188" s="1016"/>
      <c r="IXP188" s="1016"/>
      <c r="IXQ188" s="1016"/>
      <c r="IXR188" s="1016"/>
      <c r="IXS188" s="1016"/>
      <c r="IXT188" s="1016"/>
      <c r="IXU188" s="1016"/>
      <c r="IXV188" s="1016"/>
      <c r="IXW188" s="1016"/>
      <c r="IXX188" s="1016"/>
      <c r="IXY188" s="1016"/>
      <c r="IXZ188" s="1016"/>
      <c r="IYA188" s="1016"/>
      <c r="IYB188" s="1016"/>
      <c r="IYC188" s="1016"/>
      <c r="IYD188" s="1016"/>
      <c r="IYE188" s="1016"/>
      <c r="IYF188" s="1016"/>
      <c r="IYG188" s="1016"/>
      <c r="IYH188" s="1016"/>
      <c r="IYI188" s="1016"/>
      <c r="IYJ188" s="1016"/>
      <c r="IYK188" s="1016"/>
      <c r="IYL188" s="1016"/>
      <c r="IYM188" s="1016"/>
      <c r="IYN188" s="1016"/>
      <c r="IYO188" s="1016"/>
      <c r="IYP188" s="1016"/>
      <c r="IYQ188" s="1016"/>
      <c r="IYR188" s="1016"/>
      <c r="IYS188" s="1016"/>
      <c r="IYT188" s="1016"/>
      <c r="IYU188" s="1016"/>
      <c r="IYV188" s="1016"/>
      <c r="IYW188" s="1016"/>
      <c r="IYX188" s="1016"/>
      <c r="IYY188" s="1016"/>
      <c r="IYZ188" s="1016"/>
      <c r="IZA188" s="1016"/>
      <c r="IZB188" s="1016"/>
      <c r="IZC188" s="1016"/>
      <c r="IZD188" s="1016"/>
      <c r="IZE188" s="1016"/>
      <c r="IZF188" s="1016"/>
      <c r="IZG188" s="1016"/>
      <c r="IZH188" s="1016"/>
      <c r="IZI188" s="1016"/>
      <c r="IZJ188" s="1016"/>
      <c r="IZK188" s="1016"/>
      <c r="IZL188" s="1016"/>
      <c r="IZM188" s="1016"/>
      <c r="IZN188" s="1016"/>
      <c r="IZO188" s="1016"/>
      <c r="IZP188" s="1016"/>
      <c r="IZQ188" s="1016"/>
      <c r="IZR188" s="1016"/>
      <c r="IZS188" s="1016"/>
      <c r="IZT188" s="1016"/>
      <c r="IZU188" s="1016"/>
      <c r="IZV188" s="1016"/>
      <c r="IZW188" s="1016"/>
      <c r="IZX188" s="1016"/>
      <c r="IZY188" s="1016"/>
      <c r="IZZ188" s="1016"/>
      <c r="JAA188" s="1016"/>
      <c r="JAB188" s="1016"/>
      <c r="JAC188" s="1016"/>
      <c r="JAD188" s="1016"/>
      <c r="JAE188" s="1016"/>
      <c r="JAF188" s="1016"/>
      <c r="JAG188" s="1016"/>
      <c r="JAH188" s="1016"/>
      <c r="JAI188" s="1016"/>
      <c r="JAJ188" s="1016"/>
      <c r="JAK188" s="1016"/>
      <c r="JAL188" s="1016"/>
      <c r="JAM188" s="1016"/>
      <c r="JAN188" s="1016"/>
      <c r="JAO188" s="1016"/>
      <c r="JAP188" s="1016"/>
      <c r="JAQ188" s="1016"/>
      <c r="JAR188" s="1016"/>
      <c r="JAS188" s="1016"/>
      <c r="JAT188" s="1016"/>
      <c r="JAU188" s="1016"/>
      <c r="JAV188" s="1016"/>
      <c r="JAW188" s="1016"/>
      <c r="JAX188" s="1016"/>
      <c r="JAY188" s="1016"/>
      <c r="JAZ188" s="1016"/>
      <c r="JBA188" s="1016"/>
      <c r="JBB188" s="1016"/>
      <c r="JBC188" s="1016"/>
      <c r="JBD188" s="1016"/>
      <c r="JBE188" s="1016"/>
      <c r="JBF188" s="1016"/>
      <c r="JBG188" s="1016"/>
      <c r="JBH188" s="1016"/>
      <c r="JBI188" s="1016"/>
      <c r="JBJ188" s="1016"/>
      <c r="JBK188" s="1016"/>
      <c r="JBL188" s="1016"/>
      <c r="JBM188" s="1016"/>
      <c r="JBN188" s="1016"/>
      <c r="JBO188" s="1016"/>
      <c r="JBP188" s="1016"/>
      <c r="JBQ188" s="1016"/>
      <c r="JBR188" s="1016"/>
      <c r="JBS188" s="1016"/>
      <c r="JBT188" s="1016"/>
      <c r="JBU188" s="1016"/>
      <c r="JBV188" s="1016"/>
      <c r="JBW188" s="1016"/>
      <c r="JBX188" s="1016"/>
      <c r="JBY188" s="1016"/>
      <c r="JBZ188" s="1016"/>
      <c r="JCA188" s="1016"/>
      <c r="JCB188" s="1016"/>
      <c r="JCC188" s="1016"/>
      <c r="JCD188" s="1016"/>
      <c r="JCE188" s="1016"/>
      <c r="JCF188" s="1016"/>
      <c r="JCG188" s="1016"/>
      <c r="JCH188" s="1016"/>
      <c r="JCI188" s="1016"/>
      <c r="JCJ188" s="1016"/>
      <c r="JCK188" s="1016"/>
      <c r="JCL188" s="1016"/>
      <c r="JCM188" s="1016"/>
      <c r="JCN188" s="1016"/>
      <c r="JCO188" s="1016"/>
      <c r="JCP188" s="1016"/>
      <c r="JCQ188" s="1016"/>
      <c r="JCR188" s="1016"/>
      <c r="JCS188" s="1016"/>
      <c r="JCT188" s="1016"/>
      <c r="JCU188" s="1016"/>
      <c r="JCV188" s="1016"/>
      <c r="JCW188" s="1016"/>
      <c r="JCX188" s="1016"/>
      <c r="JCY188" s="1016"/>
      <c r="JCZ188" s="1016"/>
      <c r="JDA188" s="1016"/>
      <c r="JDB188" s="1016"/>
      <c r="JDC188" s="1016"/>
      <c r="JDD188" s="1016"/>
      <c r="JDE188" s="1016"/>
      <c r="JDF188" s="1016"/>
      <c r="JDG188" s="1016"/>
      <c r="JDH188" s="1016"/>
      <c r="JDI188" s="1016"/>
      <c r="JDJ188" s="1016"/>
      <c r="JDK188" s="1016"/>
      <c r="JDL188" s="1016"/>
      <c r="JDM188" s="1016"/>
      <c r="JDN188" s="1016"/>
      <c r="JDO188" s="1016"/>
      <c r="JDP188" s="1016"/>
      <c r="JDQ188" s="1016"/>
      <c r="JDR188" s="1016"/>
      <c r="JDS188" s="1016"/>
      <c r="JDT188" s="1016"/>
      <c r="JDU188" s="1016"/>
      <c r="JDV188" s="1016"/>
      <c r="JDW188" s="1016"/>
      <c r="JDX188" s="1016"/>
      <c r="JDY188" s="1016"/>
      <c r="JDZ188" s="1016"/>
      <c r="JEA188" s="1016"/>
      <c r="JEB188" s="1016"/>
      <c r="JEC188" s="1016"/>
      <c r="JED188" s="1016"/>
      <c r="JEE188" s="1016"/>
      <c r="JEF188" s="1016"/>
      <c r="JEG188" s="1016"/>
      <c r="JEH188" s="1016"/>
      <c r="JEI188" s="1016"/>
      <c r="JEJ188" s="1016"/>
      <c r="JEK188" s="1016"/>
      <c r="JEL188" s="1016"/>
      <c r="JEM188" s="1016"/>
      <c r="JEN188" s="1016"/>
      <c r="JEO188" s="1016"/>
      <c r="JEP188" s="1016"/>
      <c r="JEQ188" s="1016"/>
      <c r="JER188" s="1016"/>
      <c r="JES188" s="1016"/>
      <c r="JET188" s="1016"/>
      <c r="JEU188" s="1016"/>
      <c r="JEV188" s="1016"/>
      <c r="JEW188" s="1016"/>
      <c r="JEX188" s="1016"/>
      <c r="JEY188" s="1016"/>
      <c r="JEZ188" s="1016"/>
      <c r="JFA188" s="1016"/>
      <c r="JFB188" s="1016"/>
      <c r="JFC188" s="1016"/>
      <c r="JFD188" s="1016"/>
      <c r="JFE188" s="1016"/>
      <c r="JFF188" s="1016"/>
      <c r="JFG188" s="1016"/>
      <c r="JFH188" s="1016"/>
      <c r="JFI188" s="1016"/>
      <c r="JFJ188" s="1016"/>
      <c r="JFK188" s="1016"/>
      <c r="JFL188" s="1016"/>
      <c r="JFM188" s="1016"/>
      <c r="JFN188" s="1016"/>
      <c r="JFO188" s="1016"/>
      <c r="JFP188" s="1016"/>
      <c r="JFQ188" s="1016"/>
      <c r="JFR188" s="1016"/>
      <c r="JFS188" s="1016"/>
      <c r="JFT188" s="1016"/>
      <c r="JFU188" s="1016"/>
      <c r="JFV188" s="1016"/>
      <c r="JFW188" s="1016"/>
      <c r="JFX188" s="1016"/>
      <c r="JFY188" s="1016"/>
      <c r="JFZ188" s="1016"/>
      <c r="JGA188" s="1016"/>
      <c r="JGB188" s="1016"/>
      <c r="JGC188" s="1016"/>
      <c r="JGD188" s="1016"/>
      <c r="JGE188" s="1016"/>
      <c r="JGF188" s="1016"/>
      <c r="JGG188" s="1016"/>
      <c r="JGH188" s="1016"/>
      <c r="JGI188" s="1016"/>
      <c r="JGJ188" s="1016"/>
      <c r="JGK188" s="1016"/>
      <c r="JGL188" s="1016"/>
      <c r="JGM188" s="1016"/>
      <c r="JGN188" s="1016"/>
      <c r="JGO188" s="1016"/>
      <c r="JGP188" s="1016"/>
      <c r="JGQ188" s="1016"/>
      <c r="JGR188" s="1016"/>
      <c r="JGS188" s="1016"/>
      <c r="JGT188" s="1016"/>
      <c r="JGU188" s="1016"/>
      <c r="JGV188" s="1016"/>
      <c r="JGW188" s="1016"/>
      <c r="JGX188" s="1016"/>
      <c r="JGY188" s="1016"/>
      <c r="JGZ188" s="1016"/>
      <c r="JHA188" s="1016"/>
      <c r="JHB188" s="1016"/>
      <c r="JHC188" s="1016"/>
      <c r="JHD188" s="1016"/>
      <c r="JHE188" s="1016"/>
      <c r="JHF188" s="1016"/>
      <c r="JHG188" s="1016"/>
      <c r="JHH188" s="1016"/>
      <c r="JHI188" s="1016"/>
      <c r="JHJ188" s="1016"/>
      <c r="JHK188" s="1016"/>
      <c r="JHL188" s="1016"/>
      <c r="JHM188" s="1016"/>
      <c r="JHN188" s="1016"/>
      <c r="JHO188" s="1016"/>
      <c r="JHP188" s="1016"/>
      <c r="JHQ188" s="1016"/>
      <c r="JHR188" s="1016"/>
      <c r="JHS188" s="1016"/>
      <c r="JHT188" s="1016"/>
      <c r="JHU188" s="1016"/>
      <c r="JHV188" s="1016"/>
      <c r="JHW188" s="1016"/>
      <c r="JHX188" s="1016"/>
      <c r="JHY188" s="1016"/>
      <c r="JHZ188" s="1016"/>
      <c r="JIA188" s="1016"/>
      <c r="JIB188" s="1016"/>
      <c r="JIC188" s="1016"/>
      <c r="JID188" s="1016"/>
      <c r="JIE188" s="1016"/>
      <c r="JIF188" s="1016"/>
      <c r="JIG188" s="1016"/>
      <c r="JIH188" s="1016"/>
      <c r="JII188" s="1016"/>
      <c r="JIJ188" s="1016"/>
      <c r="JIK188" s="1016"/>
      <c r="JIL188" s="1016"/>
      <c r="JIM188" s="1016"/>
      <c r="JIN188" s="1016"/>
      <c r="JIO188" s="1016"/>
      <c r="JIP188" s="1016"/>
      <c r="JIQ188" s="1016"/>
      <c r="JIR188" s="1016"/>
      <c r="JIS188" s="1016"/>
      <c r="JIT188" s="1016"/>
      <c r="JIU188" s="1016"/>
      <c r="JIV188" s="1016"/>
      <c r="JIW188" s="1016"/>
      <c r="JIX188" s="1016"/>
      <c r="JIY188" s="1016"/>
      <c r="JIZ188" s="1016"/>
      <c r="JJA188" s="1016"/>
      <c r="JJB188" s="1016"/>
      <c r="JJC188" s="1016"/>
      <c r="JJD188" s="1016"/>
      <c r="JJE188" s="1016"/>
      <c r="JJF188" s="1016"/>
      <c r="JJG188" s="1016"/>
      <c r="JJH188" s="1016"/>
      <c r="JJI188" s="1016"/>
      <c r="JJJ188" s="1016"/>
      <c r="JJK188" s="1016"/>
      <c r="JJL188" s="1016"/>
      <c r="JJM188" s="1016"/>
      <c r="JJN188" s="1016"/>
      <c r="JJO188" s="1016"/>
      <c r="JJP188" s="1016"/>
      <c r="JJQ188" s="1016"/>
      <c r="JJR188" s="1016"/>
      <c r="JJS188" s="1016"/>
      <c r="JJT188" s="1016"/>
      <c r="JJU188" s="1016"/>
      <c r="JJV188" s="1016"/>
      <c r="JJW188" s="1016"/>
      <c r="JJX188" s="1016"/>
      <c r="JJY188" s="1016"/>
      <c r="JJZ188" s="1016"/>
      <c r="JKA188" s="1016"/>
      <c r="JKB188" s="1016"/>
      <c r="JKC188" s="1016"/>
      <c r="JKD188" s="1016"/>
      <c r="JKE188" s="1016"/>
      <c r="JKF188" s="1016"/>
      <c r="JKG188" s="1016"/>
      <c r="JKH188" s="1016"/>
      <c r="JKI188" s="1016"/>
      <c r="JKJ188" s="1016"/>
      <c r="JKK188" s="1016"/>
      <c r="JKL188" s="1016"/>
      <c r="JKM188" s="1016"/>
      <c r="JKN188" s="1016"/>
      <c r="JKO188" s="1016"/>
      <c r="JKP188" s="1016"/>
      <c r="JKQ188" s="1016"/>
      <c r="JKR188" s="1016"/>
      <c r="JKS188" s="1016"/>
      <c r="JKT188" s="1016"/>
      <c r="JKU188" s="1016"/>
      <c r="JKV188" s="1016"/>
      <c r="JKW188" s="1016"/>
      <c r="JKX188" s="1016"/>
      <c r="JKY188" s="1016"/>
      <c r="JKZ188" s="1016"/>
      <c r="JLA188" s="1016"/>
      <c r="JLB188" s="1016"/>
      <c r="JLC188" s="1016"/>
      <c r="JLD188" s="1016"/>
      <c r="JLE188" s="1016"/>
      <c r="JLF188" s="1016"/>
      <c r="JLG188" s="1016"/>
      <c r="JLH188" s="1016"/>
      <c r="JLI188" s="1016"/>
      <c r="JLJ188" s="1016"/>
      <c r="JLK188" s="1016"/>
      <c r="JLL188" s="1016"/>
      <c r="JLM188" s="1016"/>
      <c r="JLN188" s="1016"/>
      <c r="JLO188" s="1016"/>
      <c r="JLP188" s="1016"/>
      <c r="JLQ188" s="1016"/>
      <c r="JLR188" s="1016"/>
      <c r="JLS188" s="1016"/>
      <c r="JLT188" s="1016"/>
      <c r="JLU188" s="1016"/>
      <c r="JLV188" s="1016"/>
      <c r="JLW188" s="1016"/>
      <c r="JLX188" s="1016"/>
      <c r="JLY188" s="1016"/>
      <c r="JLZ188" s="1016"/>
      <c r="JMA188" s="1016"/>
      <c r="JMB188" s="1016"/>
      <c r="JMC188" s="1016"/>
      <c r="JMD188" s="1016"/>
      <c r="JME188" s="1016"/>
      <c r="JMF188" s="1016"/>
      <c r="JMG188" s="1016"/>
      <c r="JMH188" s="1016"/>
      <c r="JMI188" s="1016"/>
      <c r="JMJ188" s="1016"/>
      <c r="JMK188" s="1016"/>
      <c r="JML188" s="1016"/>
      <c r="JMM188" s="1016"/>
      <c r="JMN188" s="1016"/>
      <c r="JMO188" s="1016"/>
      <c r="JMP188" s="1016"/>
      <c r="JMQ188" s="1016"/>
      <c r="JMR188" s="1016"/>
      <c r="JMS188" s="1016"/>
      <c r="JMT188" s="1016"/>
      <c r="JMU188" s="1016"/>
      <c r="JMV188" s="1016"/>
      <c r="JMW188" s="1016"/>
      <c r="JMX188" s="1016"/>
      <c r="JMY188" s="1016"/>
      <c r="JMZ188" s="1016"/>
      <c r="JNA188" s="1016"/>
      <c r="JNB188" s="1016"/>
      <c r="JNC188" s="1016"/>
      <c r="JND188" s="1016"/>
      <c r="JNE188" s="1016"/>
      <c r="JNF188" s="1016"/>
      <c r="JNG188" s="1016"/>
      <c r="JNH188" s="1016"/>
      <c r="JNI188" s="1016"/>
      <c r="JNJ188" s="1016"/>
      <c r="JNK188" s="1016"/>
      <c r="JNL188" s="1016"/>
      <c r="JNM188" s="1016"/>
      <c r="JNN188" s="1016"/>
      <c r="JNO188" s="1016"/>
      <c r="JNP188" s="1016"/>
      <c r="JNQ188" s="1016"/>
      <c r="JNR188" s="1016"/>
      <c r="JNS188" s="1016"/>
      <c r="JNT188" s="1016"/>
      <c r="JNU188" s="1016"/>
      <c r="JNV188" s="1016"/>
      <c r="JNW188" s="1016"/>
      <c r="JNX188" s="1016"/>
      <c r="JNY188" s="1016"/>
      <c r="JNZ188" s="1016"/>
      <c r="JOA188" s="1016"/>
      <c r="JOB188" s="1016"/>
      <c r="JOC188" s="1016"/>
      <c r="JOD188" s="1016"/>
      <c r="JOE188" s="1016"/>
      <c r="JOF188" s="1016"/>
      <c r="JOG188" s="1016"/>
      <c r="JOH188" s="1016"/>
      <c r="JOI188" s="1016"/>
      <c r="JOJ188" s="1016"/>
      <c r="JOK188" s="1016"/>
      <c r="JOL188" s="1016"/>
      <c r="JOM188" s="1016"/>
      <c r="JON188" s="1016"/>
      <c r="JOO188" s="1016"/>
      <c r="JOP188" s="1016"/>
      <c r="JOQ188" s="1016"/>
      <c r="JOR188" s="1016"/>
      <c r="JOS188" s="1016"/>
      <c r="JOT188" s="1016"/>
      <c r="JOU188" s="1016"/>
      <c r="JOV188" s="1016"/>
      <c r="JOW188" s="1016"/>
      <c r="JOX188" s="1016"/>
      <c r="JOY188" s="1016"/>
      <c r="JOZ188" s="1016"/>
      <c r="JPA188" s="1016"/>
      <c r="JPB188" s="1016"/>
      <c r="JPC188" s="1016"/>
      <c r="JPD188" s="1016"/>
      <c r="JPE188" s="1016"/>
      <c r="JPF188" s="1016"/>
      <c r="JPG188" s="1016"/>
      <c r="JPH188" s="1016"/>
      <c r="JPI188" s="1016"/>
      <c r="JPJ188" s="1016"/>
      <c r="JPK188" s="1016"/>
      <c r="JPL188" s="1016"/>
      <c r="JPM188" s="1016"/>
      <c r="JPN188" s="1016"/>
      <c r="JPO188" s="1016"/>
      <c r="JPP188" s="1016"/>
      <c r="JPQ188" s="1016"/>
      <c r="JPR188" s="1016"/>
      <c r="JPS188" s="1016"/>
      <c r="JPT188" s="1016"/>
      <c r="JPU188" s="1016"/>
      <c r="JPV188" s="1016"/>
      <c r="JPW188" s="1016"/>
      <c r="JPX188" s="1016"/>
      <c r="JPY188" s="1016"/>
      <c r="JPZ188" s="1016"/>
      <c r="JQA188" s="1016"/>
      <c r="JQB188" s="1016"/>
      <c r="JQC188" s="1016"/>
      <c r="JQD188" s="1016"/>
      <c r="JQE188" s="1016"/>
      <c r="JQF188" s="1016"/>
      <c r="JQG188" s="1016"/>
      <c r="JQH188" s="1016"/>
      <c r="JQI188" s="1016"/>
      <c r="JQJ188" s="1016"/>
      <c r="JQK188" s="1016"/>
      <c r="JQL188" s="1016"/>
      <c r="JQM188" s="1016"/>
      <c r="JQN188" s="1016"/>
      <c r="JQO188" s="1016"/>
      <c r="JQP188" s="1016"/>
      <c r="JQQ188" s="1016"/>
      <c r="JQR188" s="1016"/>
      <c r="JQS188" s="1016"/>
      <c r="JQT188" s="1016"/>
      <c r="JQU188" s="1016"/>
      <c r="JQV188" s="1016"/>
      <c r="JQW188" s="1016"/>
      <c r="JQX188" s="1016"/>
      <c r="JQY188" s="1016"/>
      <c r="JQZ188" s="1016"/>
      <c r="JRA188" s="1016"/>
      <c r="JRB188" s="1016"/>
      <c r="JRC188" s="1016"/>
      <c r="JRD188" s="1016"/>
      <c r="JRE188" s="1016"/>
      <c r="JRF188" s="1016"/>
      <c r="JRG188" s="1016"/>
      <c r="JRH188" s="1016"/>
      <c r="JRI188" s="1016"/>
      <c r="JRJ188" s="1016"/>
      <c r="JRK188" s="1016"/>
      <c r="JRL188" s="1016"/>
      <c r="JRM188" s="1016"/>
      <c r="JRN188" s="1016"/>
      <c r="JRO188" s="1016"/>
      <c r="JRP188" s="1016"/>
      <c r="JRQ188" s="1016"/>
      <c r="JRR188" s="1016"/>
      <c r="JRS188" s="1016"/>
      <c r="JRT188" s="1016"/>
      <c r="JRU188" s="1016"/>
      <c r="JRV188" s="1016"/>
      <c r="JRW188" s="1016"/>
      <c r="JRX188" s="1016"/>
      <c r="JRY188" s="1016"/>
      <c r="JRZ188" s="1016"/>
      <c r="JSA188" s="1016"/>
      <c r="JSB188" s="1016"/>
      <c r="JSC188" s="1016"/>
      <c r="JSD188" s="1016"/>
      <c r="JSE188" s="1016"/>
      <c r="JSF188" s="1016"/>
      <c r="JSG188" s="1016"/>
      <c r="JSH188" s="1016"/>
      <c r="JSI188" s="1016"/>
      <c r="JSJ188" s="1016"/>
      <c r="JSK188" s="1016"/>
      <c r="JSL188" s="1016"/>
      <c r="JSM188" s="1016"/>
      <c r="JSN188" s="1016"/>
      <c r="JSO188" s="1016"/>
      <c r="JSP188" s="1016"/>
      <c r="JSQ188" s="1016"/>
      <c r="JSR188" s="1016"/>
      <c r="JSS188" s="1016"/>
      <c r="JST188" s="1016"/>
      <c r="JSU188" s="1016"/>
      <c r="JSV188" s="1016"/>
      <c r="JSW188" s="1016"/>
      <c r="JSX188" s="1016"/>
      <c r="JSY188" s="1016"/>
      <c r="JSZ188" s="1016"/>
      <c r="JTA188" s="1016"/>
      <c r="JTB188" s="1016"/>
      <c r="JTC188" s="1016"/>
      <c r="JTD188" s="1016"/>
      <c r="JTE188" s="1016"/>
      <c r="JTF188" s="1016"/>
      <c r="JTG188" s="1016"/>
      <c r="JTH188" s="1016"/>
      <c r="JTI188" s="1016"/>
      <c r="JTJ188" s="1016"/>
      <c r="JTK188" s="1016"/>
      <c r="JTL188" s="1016"/>
      <c r="JTM188" s="1016"/>
      <c r="JTN188" s="1016"/>
      <c r="JTO188" s="1016"/>
      <c r="JTP188" s="1016"/>
      <c r="JTQ188" s="1016"/>
      <c r="JTR188" s="1016"/>
      <c r="JTS188" s="1016"/>
      <c r="JTT188" s="1016"/>
      <c r="JTU188" s="1016"/>
      <c r="JTV188" s="1016"/>
      <c r="JTW188" s="1016"/>
      <c r="JTX188" s="1016"/>
      <c r="JTY188" s="1016"/>
      <c r="JTZ188" s="1016"/>
      <c r="JUA188" s="1016"/>
      <c r="JUB188" s="1016"/>
      <c r="JUC188" s="1016"/>
      <c r="JUD188" s="1016"/>
      <c r="JUE188" s="1016"/>
      <c r="JUF188" s="1016"/>
      <c r="JUG188" s="1016"/>
      <c r="JUH188" s="1016"/>
      <c r="JUI188" s="1016"/>
      <c r="JUJ188" s="1016"/>
      <c r="JUK188" s="1016"/>
      <c r="JUL188" s="1016"/>
      <c r="JUM188" s="1016"/>
      <c r="JUN188" s="1016"/>
      <c r="JUO188" s="1016"/>
      <c r="JUP188" s="1016"/>
      <c r="JUQ188" s="1016"/>
      <c r="JUR188" s="1016"/>
      <c r="JUS188" s="1016"/>
      <c r="JUT188" s="1016"/>
      <c r="JUU188" s="1016"/>
      <c r="JUV188" s="1016"/>
      <c r="JUW188" s="1016"/>
      <c r="JUX188" s="1016"/>
      <c r="JUY188" s="1016"/>
      <c r="JUZ188" s="1016"/>
      <c r="JVA188" s="1016"/>
      <c r="JVB188" s="1016"/>
      <c r="JVC188" s="1016"/>
      <c r="JVD188" s="1016"/>
      <c r="JVE188" s="1016"/>
      <c r="JVF188" s="1016"/>
      <c r="JVG188" s="1016"/>
      <c r="JVH188" s="1016"/>
      <c r="JVI188" s="1016"/>
      <c r="JVJ188" s="1016"/>
      <c r="JVK188" s="1016"/>
      <c r="JVL188" s="1016"/>
      <c r="JVM188" s="1016"/>
      <c r="JVN188" s="1016"/>
      <c r="JVO188" s="1016"/>
      <c r="JVP188" s="1016"/>
      <c r="JVQ188" s="1016"/>
      <c r="JVR188" s="1016"/>
      <c r="JVS188" s="1016"/>
      <c r="JVT188" s="1016"/>
      <c r="JVU188" s="1016"/>
      <c r="JVV188" s="1016"/>
      <c r="JVW188" s="1016"/>
      <c r="JVX188" s="1016"/>
      <c r="JVY188" s="1016"/>
      <c r="JVZ188" s="1016"/>
      <c r="JWA188" s="1016"/>
      <c r="JWB188" s="1016"/>
      <c r="JWC188" s="1016"/>
      <c r="JWD188" s="1016"/>
      <c r="JWE188" s="1016"/>
      <c r="JWF188" s="1016"/>
      <c r="JWG188" s="1016"/>
      <c r="JWH188" s="1016"/>
      <c r="JWI188" s="1016"/>
      <c r="JWJ188" s="1016"/>
      <c r="JWK188" s="1016"/>
      <c r="JWL188" s="1016"/>
      <c r="JWM188" s="1016"/>
      <c r="JWN188" s="1016"/>
      <c r="JWO188" s="1016"/>
      <c r="JWP188" s="1016"/>
      <c r="JWQ188" s="1016"/>
      <c r="JWR188" s="1016"/>
      <c r="JWS188" s="1016"/>
      <c r="JWT188" s="1016"/>
      <c r="JWU188" s="1016"/>
      <c r="JWV188" s="1016"/>
      <c r="JWW188" s="1016"/>
      <c r="JWX188" s="1016"/>
      <c r="JWY188" s="1016"/>
      <c r="JWZ188" s="1016"/>
      <c r="JXA188" s="1016"/>
      <c r="JXB188" s="1016"/>
      <c r="JXC188" s="1016"/>
      <c r="JXD188" s="1016"/>
      <c r="JXE188" s="1016"/>
      <c r="JXF188" s="1016"/>
      <c r="JXG188" s="1016"/>
      <c r="JXH188" s="1016"/>
      <c r="JXI188" s="1016"/>
      <c r="JXJ188" s="1016"/>
      <c r="JXK188" s="1016"/>
      <c r="JXL188" s="1016"/>
      <c r="JXM188" s="1016"/>
      <c r="JXN188" s="1016"/>
      <c r="JXO188" s="1016"/>
      <c r="JXP188" s="1016"/>
      <c r="JXQ188" s="1016"/>
      <c r="JXR188" s="1016"/>
      <c r="JXS188" s="1016"/>
      <c r="JXT188" s="1016"/>
      <c r="JXU188" s="1016"/>
      <c r="JXV188" s="1016"/>
      <c r="JXW188" s="1016"/>
      <c r="JXX188" s="1016"/>
      <c r="JXY188" s="1016"/>
      <c r="JXZ188" s="1016"/>
      <c r="JYA188" s="1016"/>
      <c r="JYB188" s="1016"/>
      <c r="JYC188" s="1016"/>
      <c r="JYD188" s="1016"/>
      <c r="JYE188" s="1016"/>
      <c r="JYF188" s="1016"/>
      <c r="JYG188" s="1016"/>
      <c r="JYH188" s="1016"/>
      <c r="JYI188" s="1016"/>
      <c r="JYJ188" s="1016"/>
      <c r="JYK188" s="1016"/>
      <c r="JYL188" s="1016"/>
      <c r="JYM188" s="1016"/>
      <c r="JYN188" s="1016"/>
      <c r="JYO188" s="1016"/>
      <c r="JYP188" s="1016"/>
      <c r="JYQ188" s="1016"/>
      <c r="JYR188" s="1016"/>
      <c r="JYS188" s="1016"/>
      <c r="JYT188" s="1016"/>
      <c r="JYU188" s="1016"/>
      <c r="JYV188" s="1016"/>
      <c r="JYW188" s="1016"/>
      <c r="JYX188" s="1016"/>
      <c r="JYY188" s="1016"/>
      <c r="JYZ188" s="1016"/>
      <c r="JZA188" s="1016"/>
      <c r="JZB188" s="1016"/>
      <c r="JZC188" s="1016"/>
      <c r="JZD188" s="1016"/>
      <c r="JZE188" s="1016"/>
      <c r="JZF188" s="1016"/>
      <c r="JZG188" s="1016"/>
      <c r="JZH188" s="1016"/>
      <c r="JZI188" s="1016"/>
      <c r="JZJ188" s="1016"/>
      <c r="JZK188" s="1016"/>
      <c r="JZL188" s="1016"/>
      <c r="JZM188" s="1016"/>
      <c r="JZN188" s="1016"/>
      <c r="JZO188" s="1016"/>
      <c r="JZP188" s="1016"/>
      <c r="JZQ188" s="1016"/>
      <c r="JZR188" s="1016"/>
      <c r="JZS188" s="1016"/>
      <c r="JZT188" s="1016"/>
      <c r="JZU188" s="1016"/>
      <c r="JZV188" s="1016"/>
      <c r="JZW188" s="1016"/>
      <c r="JZX188" s="1016"/>
      <c r="JZY188" s="1016"/>
      <c r="JZZ188" s="1016"/>
      <c r="KAA188" s="1016"/>
      <c r="KAB188" s="1016"/>
      <c r="KAC188" s="1016"/>
      <c r="KAD188" s="1016"/>
      <c r="KAE188" s="1016"/>
      <c r="KAF188" s="1016"/>
      <c r="KAG188" s="1016"/>
      <c r="KAH188" s="1016"/>
      <c r="KAI188" s="1016"/>
      <c r="KAJ188" s="1016"/>
      <c r="KAK188" s="1016"/>
      <c r="KAL188" s="1016"/>
      <c r="KAM188" s="1016"/>
      <c r="KAN188" s="1016"/>
      <c r="KAO188" s="1016"/>
      <c r="KAP188" s="1016"/>
      <c r="KAQ188" s="1016"/>
      <c r="KAR188" s="1016"/>
      <c r="KAS188" s="1016"/>
      <c r="KAT188" s="1016"/>
      <c r="KAU188" s="1016"/>
      <c r="KAV188" s="1016"/>
      <c r="KAW188" s="1016"/>
      <c r="KAX188" s="1016"/>
      <c r="KAY188" s="1016"/>
      <c r="KAZ188" s="1016"/>
      <c r="KBA188" s="1016"/>
      <c r="KBB188" s="1016"/>
      <c r="KBC188" s="1016"/>
      <c r="KBD188" s="1016"/>
      <c r="KBE188" s="1016"/>
      <c r="KBF188" s="1016"/>
      <c r="KBG188" s="1016"/>
      <c r="KBH188" s="1016"/>
      <c r="KBI188" s="1016"/>
      <c r="KBJ188" s="1016"/>
      <c r="KBK188" s="1016"/>
      <c r="KBL188" s="1016"/>
      <c r="KBM188" s="1016"/>
      <c r="KBN188" s="1016"/>
      <c r="KBO188" s="1016"/>
      <c r="KBP188" s="1016"/>
      <c r="KBQ188" s="1016"/>
      <c r="KBR188" s="1016"/>
      <c r="KBS188" s="1016"/>
      <c r="KBT188" s="1016"/>
      <c r="KBU188" s="1016"/>
      <c r="KBV188" s="1016"/>
      <c r="KBW188" s="1016"/>
      <c r="KBX188" s="1016"/>
      <c r="KBY188" s="1016"/>
      <c r="KBZ188" s="1016"/>
      <c r="KCA188" s="1016"/>
      <c r="KCB188" s="1016"/>
      <c r="KCC188" s="1016"/>
      <c r="KCD188" s="1016"/>
      <c r="KCE188" s="1016"/>
      <c r="KCF188" s="1016"/>
      <c r="KCG188" s="1016"/>
      <c r="KCH188" s="1016"/>
      <c r="KCI188" s="1016"/>
      <c r="KCJ188" s="1016"/>
      <c r="KCK188" s="1016"/>
      <c r="KCL188" s="1016"/>
      <c r="KCM188" s="1016"/>
      <c r="KCN188" s="1016"/>
      <c r="KCO188" s="1016"/>
      <c r="KCP188" s="1016"/>
      <c r="KCQ188" s="1016"/>
      <c r="KCR188" s="1016"/>
      <c r="KCS188" s="1016"/>
      <c r="KCT188" s="1016"/>
      <c r="KCU188" s="1016"/>
      <c r="KCV188" s="1016"/>
      <c r="KCW188" s="1016"/>
      <c r="KCX188" s="1016"/>
      <c r="KCY188" s="1016"/>
      <c r="KCZ188" s="1016"/>
      <c r="KDA188" s="1016"/>
      <c r="KDB188" s="1016"/>
      <c r="KDC188" s="1016"/>
      <c r="KDD188" s="1016"/>
      <c r="KDE188" s="1016"/>
      <c r="KDF188" s="1016"/>
      <c r="KDG188" s="1016"/>
      <c r="KDH188" s="1016"/>
      <c r="KDI188" s="1016"/>
      <c r="KDJ188" s="1016"/>
      <c r="KDK188" s="1016"/>
      <c r="KDL188" s="1016"/>
      <c r="KDM188" s="1016"/>
      <c r="KDN188" s="1016"/>
      <c r="KDO188" s="1016"/>
      <c r="KDP188" s="1016"/>
      <c r="KDQ188" s="1016"/>
      <c r="KDR188" s="1016"/>
      <c r="KDS188" s="1016"/>
      <c r="KDT188" s="1016"/>
      <c r="KDU188" s="1016"/>
      <c r="KDV188" s="1016"/>
      <c r="KDW188" s="1016"/>
      <c r="KDX188" s="1016"/>
      <c r="KDY188" s="1016"/>
      <c r="KDZ188" s="1016"/>
      <c r="KEA188" s="1016"/>
      <c r="KEB188" s="1016"/>
      <c r="KEC188" s="1016"/>
      <c r="KED188" s="1016"/>
      <c r="KEE188" s="1016"/>
      <c r="KEF188" s="1016"/>
      <c r="KEG188" s="1016"/>
      <c r="KEH188" s="1016"/>
      <c r="KEI188" s="1016"/>
      <c r="KEJ188" s="1016"/>
      <c r="KEK188" s="1016"/>
      <c r="KEL188" s="1016"/>
      <c r="KEM188" s="1016"/>
      <c r="KEN188" s="1016"/>
      <c r="KEO188" s="1016"/>
      <c r="KEP188" s="1016"/>
      <c r="KEQ188" s="1016"/>
      <c r="KER188" s="1016"/>
      <c r="KES188" s="1016"/>
      <c r="KET188" s="1016"/>
      <c r="KEU188" s="1016"/>
      <c r="KEV188" s="1016"/>
      <c r="KEW188" s="1016"/>
      <c r="KEX188" s="1016"/>
      <c r="KEY188" s="1016"/>
      <c r="KEZ188" s="1016"/>
      <c r="KFA188" s="1016"/>
      <c r="KFB188" s="1016"/>
      <c r="KFC188" s="1016"/>
      <c r="KFD188" s="1016"/>
      <c r="KFE188" s="1016"/>
      <c r="KFF188" s="1016"/>
      <c r="KFG188" s="1016"/>
      <c r="KFH188" s="1016"/>
      <c r="KFI188" s="1016"/>
      <c r="KFJ188" s="1016"/>
      <c r="KFK188" s="1016"/>
      <c r="KFL188" s="1016"/>
      <c r="KFM188" s="1016"/>
      <c r="KFN188" s="1016"/>
      <c r="KFO188" s="1016"/>
      <c r="KFP188" s="1016"/>
      <c r="KFQ188" s="1016"/>
      <c r="KFR188" s="1016"/>
      <c r="KFS188" s="1016"/>
      <c r="KFT188" s="1016"/>
      <c r="KFU188" s="1016"/>
      <c r="KFV188" s="1016"/>
      <c r="KFW188" s="1016"/>
      <c r="KFX188" s="1016"/>
      <c r="KFY188" s="1016"/>
      <c r="KFZ188" s="1016"/>
      <c r="KGA188" s="1016"/>
      <c r="KGB188" s="1016"/>
      <c r="KGC188" s="1016"/>
      <c r="KGD188" s="1016"/>
      <c r="KGE188" s="1016"/>
      <c r="KGF188" s="1016"/>
      <c r="KGG188" s="1016"/>
      <c r="KGH188" s="1016"/>
      <c r="KGI188" s="1016"/>
      <c r="KGJ188" s="1016"/>
      <c r="KGK188" s="1016"/>
      <c r="KGL188" s="1016"/>
      <c r="KGM188" s="1016"/>
      <c r="KGN188" s="1016"/>
      <c r="KGO188" s="1016"/>
      <c r="KGP188" s="1016"/>
      <c r="KGQ188" s="1016"/>
      <c r="KGR188" s="1016"/>
      <c r="KGS188" s="1016"/>
      <c r="KGT188" s="1016"/>
      <c r="KGU188" s="1016"/>
      <c r="KGV188" s="1016"/>
      <c r="KGW188" s="1016"/>
      <c r="KGX188" s="1016"/>
      <c r="KGY188" s="1016"/>
      <c r="KGZ188" s="1016"/>
      <c r="KHA188" s="1016"/>
      <c r="KHB188" s="1016"/>
      <c r="KHC188" s="1016"/>
      <c r="KHD188" s="1016"/>
      <c r="KHE188" s="1016"/>
      <c r="KHF188" s="1016"/>
      <c r="KHG188" s="1016"/>
      <c r="KHH188" s="1016"/>
      <c r="KHI188" s="1016"/>
      <c r="KHJ188" s="1016"/>
      <c r="KHK188" s="1016"/>
      <c r="KHL188" s="1016"/>
      <c r="KHM188" s="1016"/>
      <c r="KHN188" s="1016"/>
      <c r="KHO188" s="1016"/>
      <c r="KHP188" s="1016"/>
      <c r="KHQ188" s="1016"/>
      <c r="KHR188" s="1016"/>
      <c r="KHS188" s="1016"/>
      <c r="KHT188" s="1016"/>
      <c r="KHU188" s="1016"/>
      <c r="KHV188" s="1016"/>
      <c r="KHW188" s="1016"/>
      <c r="KHX188" s="1016"/>
      <c r="KHY188" s="1016"/>
      <c r="KHZ188" s="1016"/>
      <c r="KIA188" s="1016"/>
      <c r="KIB188" s="1016"/>
      <c r="KIC188" s="1016"/>
      <c r="KID188" s="1016"/>
      <c r="KIE188" s="1016"/>
      <c r="KIF188" s="1016"/>
      <c r="KIG188" s="1016"/>
      <c r="KIH188" s="1016"/>
      <c r="KII188" s="1016"/>
      <c r="KIJ188" s="1016"/>
      <c r="KIK188" s="1016"/>
      <c r="KIL188" s="1016"/>
      <c r="KIM188" s="1016"/>
      <c r="KIN188" s="1016"/>
      <c r="KIO188" s="1016"/>
      <c r="KIP188" s="1016"/>
      <c r="KIQ188" s="1016"/>
      <c r="KIR188" s="1016"/>
      <c r="KIS188" s="1016"/>
      <c r="KIT188" s="1016"/>
      <c r="KIU188" s="1016"/>
      <c r="KIV188" s="1016"/>
      <c r="KIW188" s="1016"/>
      <c r="KIX188" s="1016"/>
      <c r="KIY188" s="1016"/>
      <c r="KIZ188" s="1016"/>
      <c r="KJA188" s="1016"/>
      <c r="KJB188" s="1016"/>
      <c r="KJC188" s="1016"/>
      <c r="KJD188" s="1016"/>
      <c r="KJE188" s="1016"/>
      <c r="KJF188" s="1016"/>
      <c r="KJG188" s="1016"/>
      <c r="KJH188" s="1016"/>
      <c r="KJI188" s="1016"/>
      <c r="KJJ188" s="1016"/>
      <c r="KJK188" s="1016"/>
      <c r="KJL188" s="1016"/>
      <c r="KJM188" s="1016"/>
      <c r="KJN188" s="1016"/>
      <c r="KJO188" s="1016"/>
      <c r="KJP188" s="1016"/>
      <c r="KJQ188" s="1016"/>
      <c r="KJR188" s="1016"/>
      <c r="KJS188" s="1016"/>
      <c r="KJT188" s="1016"/>
      <c r="KJU188" s="1016"/>
      <c r="KJV188" s="1016"/>
      <c r="KJW188" s="1016"/>
      <c r="KJX188" s="1016"/>
      <c r="KJY188" s="1016"/>
      <c r="KJZ188" s="1016"/>
      <c r="KKA188" s="1016"/>
      <c r="KKB188" s="1016"/>
      <c r="KKC188" s="1016"/>
      <c r="KKD188" s="1016"/>
      <c r="KKE188" s="1016"/>
      <c r="KKF188" s="1016"/>
      <c r="KKG188" s="1016"/>
      <c r="KKH188" s="1016"/>
      <c r="KKI188" s="1016"/>
      <c r="KKJ188" s="1016"/>
      <c r="KKK188" s="1016"/>
      <c r="KKL188" s="1016"/>
      <c r="KKM188" s="1016"/>
      <c r="KKN188" s="1016"/>
      <c r="KKO188" s="1016"/>
      <c r="KKP188" s="1016"/>
      <c r="KKQ188" s="1016"/>
      <c r="KKR188" s="1016"/>
      <c r="KKS188" s="1016"/>
      <c r="KKT188" s="1016"/>
      <c r="KKU188" s="1016"/>
      <c r="KKV188" s="1016"/>
      <c r="KKW188" s="1016"/>
      <c r="KKX188" s="1016"/>
      <c r="KKY188" s="1016"/>
      <c r="KKZ188" s="1016"/>
      <c r="KLA188" s="1016"/>
      <c r="KLB188" s="1016"/>
      <c r="KLC188" s="1016"/>
      <c r="KLD188" s="1016"/>
      <c r="KLE188" s="1016"/>
      <c r="KLF188" s="1016"/>
      <c r="KLG188" s="1016"/>
      <c r="KLH188" s="1016"/>
      <c r="KLI188" s="1016"/>
      <c r="KLJ188" s="1016"/>
      <c r="KLK188" s="1016"/>
      <c r="KLL188" s="1016"/>
      <c r="KLM188" s="1016"/>
      <c r="KLN188" s="1016"/>
      <c r="KLO188" s="1016"/>
      <c r="KLP188" s="1016"/>
      <c r="KLQ188" s="1016"/>
      <c r="KLR188" s="1016"/>
      <c r="KLS188" s="1016"/>
      <c r="KLT188" s="1016"/>
      <c r="KLU188" s="1016"/>
      <c r="KLV188" s="1016"/>
      <c r="KLW188" s="1016"/>
      <c r="KLX188" s="1016"/>
      <c r="KLY188" s="1016"/>
      <c r="KLZ188" s="1016"/>
      <c r="KMA188" s="1016"/>
      <c r="KMB188" s="1016"/>
      <c r="KMC188" s="1016"/>
      <c r="KMD188" s="1016"/>
      <c r="KME188" s="1016"/>
      <c r="KMF188" s="1016"/>
      <c r="KMG188" s="1016"/>
      <c r="KMH188" s="1016"/>
      <c r="KMI188" s="1016"/>
      <c r="KMJ188" s="1016"/>
      <c r="KMK188" s="1016"/>
      <c r="KML188" s="1016"/>
      <c r="KMM188" s="1016"/>
      <c r="KMN188" s="1016"/>
      <c r="KMO188" s="1016"/>
      <c r="KMP188" s="1016"/>
      <c r="KMQ188" s="1016"/>
      <c r="KMR188" s="1016"/>
      <c r="KMS188" s="1016"/>
      <c r="KMT188" s="1016"/>
      <c r="KMU188" s="1016"/>
      <c r="KMV188" s="1016"/>
      <c r="KMW188" s="1016"/>
      <c r="KMX188" s="1016"/>
      <c r="KMY188" s="1016"/>
      <c r="KMZ188" s="1016"/>
      <c r="KNA188" s="1016"/>
      <c r="KNB188" s="1016"/>
      <c r="KNC188" s="1016"/>
      <c r="KND188" s="1016"/>
      <c r="KNE188" s="1016"/>
      <c r="KNF188" s="1016"/>
      <c r="KNG188" s="1016"/>
      <c r="KNH188" s="1016"/>
      <c r="KNI188" s="1016"/>
      <c r="KNJ188" s="1016"/>
      <c r="KNK188" s="1016"/>
      <c r="KNL188" s="1016"/>
      <c r="KNM188" s="1016"/>
      <c r="KNN188" s="1016"/>
      <c r="KNO188" s="1016"/>
      <c r="KNP188" s="1016"/>
      <c r="KNQ188" s="1016"/>
      <c r="KNR188" s="1016"/>
      <c r="KNS188" s="1016"/>
      <c r="KNT188" s="1016"/>
      <c r="KNU188" s="1016"/>
      <c r="KNV188" s="1016"/>
      <c r="KNW188" s="1016"/>
      <c r="KNX188" s="1016"/>
      <c r="KNY188" s="1016"/>
      <c r="KNZ188" s="1016"/>
      <c r="KOA188" s="1016"/>
      <c r="KOB188" s="1016"/>
      <c r="KOC188" s="1016"/>
      <c r="KOD188" s="1016"/>
      <c r="KOE188" s="1016"/>
      <c r="KOF188" s="1016"/>
      <c r="KOG188" s="1016"/>
      <c r="KOH188" s="1016"/>
      <c r="KOI188" s="1016"/>
      <c r="KOJ188" s="1016"/>
      <c r="KOK188" s="1016"/>
      <c r="KOL188" s="1016"/>
      <c r="KOM188" s="1016"/>
      <c r="KON188" s="1016"/>
      <c r="KOO188" s="1016"/>
      <c r="KOP188" s="1016"/>
      <c r="KOQ188" s="1016"/>
      <c r="KOR188" s="1016"/>
      <c r="KOS188" s="1016"/>
      <c r="KOT188" s="1016"/>
      <c r="KOU188" s="1016"/>
      <c r="KOV188" s="1016"/>
      <c r="KOW188" s="1016"/>
      <c r="KOX188" s="1016"/>
      <c r="KOY188" s="1016"/>
      <c r="KOZ188" s="1016"/>
      <c r="KPA188" s="1016"/>
      <c r="KPB188" s="1016"/>
      <c r="KPC188" s="1016"/>
      <c r="KPD188" s="1016"/>
      <c r="KPE188" s="1016"/>
      <c r="KPF188" s="1016"/>
      <c r="KPG188" s="1016"/>
      <c r="KPH188" s="1016"/>
      <c r="KPI188" s="1016"/>
      <c r="KPJ188" s="1016"/>
      <c r="KPK188" s="1016"/>
      <c r="KPL188" s="1016"/>
      <c r="KPM188" s="1016"/>
      <c r="KPN188" s="1016"/>
      <c r="KPO188" s="1016"/>
      <c r="KPP188" s="1016"/>
      <c r="KPQ188" s="1016"/>
      <c r="KPR188" s="1016"/>
      <c r="KPS188" s="1016"/>
      <c r="KPT188" s="1016"/>
      <c r="KPU188" s="1016"/>
      <c r="KPV188" s="1016"/>
      <c r="KPW188" s="1016"/>
      <c r="KPX188" s="1016"/>
      <c r="KPY188" s="1016"/>
      <c r="KPZ188" s="1016"/>
      <c r="KQA188" s="1016"/>
      <c r="KQB188" s="1016"/>
      <c r="KQC188" s="1016"/>
      <c r="KQD188" s="1016"/>
      <c r="KQE188" s="1016"/>
      <c r="KQF188" s="1016"/>
      <c r="KQG188" s="1016"/>
      <c r="KQH188" s="1016"/>
      <c r="KQI188" s="1016"/>
      <c r="KQJ188" s="1016"/>
      <c r="KQK188" s="1016"/>
      <c r="KQL188" s="1016"/>
      <c r="KQM188" s="1016"/>
      <c r="KQN188" s="1016"/>
      <c r="KQO188" s="1016"/>
      <c r="KQP188" s="1016"/>
      <c r="KQQ188" s="1016"/>
      <c r="KQR188" s="1016"/>
      <c r="KQS188" s="1016"/>
      <c r="KQT188" s="1016"/>
      <c r="KQU188" s="1016"/>
      <c r="KQV188" s="1016"/>
      <c r="KQW188" s="1016"/>
      <c r="KQX188" s="1016"/>
      <c r="KQY188" s="1016"/>
      <c r="KQZ188" s="1016"/>
      <c r="KRA188" s="1016"/>
      <c r="KRB188" s="1016"/>
      <c r="KRC188" s="1016"/>
      <c r="KRD188" s="1016"/>
      <c r="KRE188" s="1016"/>
      <c r="KRF188" s="1016"/>
      <c r="KRG188" s="1016"/>
      <c r="KRH188" s="1016"/>
      <c r="KRI188" s="1016"/>
      <c r="KRJ188" s="1016"/>
      <c r="KRK188" s="1016"/>
      <c r="KRL188" s="1016"/>
      <c r="KRM188" s="1016"/>
      <c r="KRN188" s="1016"/>
      <c r="KRO188" s="1016"/>
      <c r="KRP188" s="1016"/>
      <c r="KRQ188" s="1016"/>
      <c r="KRR188" s="1016"/>
      <c r="KRS188" s="1016"/>
      <c r="KRT188" s="1016"/>
      <c r="KRU188" s="1016"/>
      <c r="KRV188" s="1016"/>
      <c r="KRW188" s="1016"/>
      <c r="KRX188" s="1016"/>
      <c r="KRY188" s="1016"/>
      <c r="KRZ188" s="1016"/>
      <c r="KSA188" s="1016"/>
      <c r="KSB188" s="1016"/>
      <c r="KSC188" s="1016"/>
      <c r="KSD188" s="1016"/>
      <c r="KSE188" s="1016"/>
      <c r="KSF188" s="1016"/>
      <c r="KSG188" s="1016"/>
      <c r="KSH188" s="1016"/>
      <c r="KSI188" s="1016"/>
      <c r="KSJ188" s="1016"/>
      <c r="KSK188" s="1016"/>
      <c r="KSL188" s="1016"/>
      <c r="KSM188" s="1016"/>
      <c r="KSN188" s="1016"/>
      <c r="KSO188" s="1016"/>
      <c r="KSP188" s="1016"/>
      <c r="KSQ188" s="1016"/>
      <c r="KSR188" s="1016"/>
      <c r="KSS188" s="1016"/>
      <c r="KST188" s="1016"/>
      <c r="KSU188" s="1016"/>
      <c r="KSV188" s="1016"/>
      <c r="KSW188" s="1016"/>
      <c r="KSX188" s="1016"/>
      <c r="KSY188" s="1016"/>
      <c r="KSZ188" s="1016"/>
      <c r="KTA188" s="1016"/>
      <c r="KTB188" s="1016"/>
      <c r="KTC188" s="1016"/>
      <c r="KTD188" s="1016"/>
      <c r="KTE188" s="1016"/>
      <c r="KTF188" s="1016"/>
      <c r="KTG188" s="1016"/>
      <c r="KTH188" s="1016"/>
      <c r="KTI188" s="1016"/>
      <c r="KTJ188" s="1016"/>
      <c r="KTK188" s="1016"/>
      <c r="KTL188" s="1016"/>
      <c r="KTM188" s="1016"/>
      <c r="KTN188" s="1016"/>
      <c r="KTO188" s="1016"/>
      <c r="KTP188" s="1016"/>
      <c r="KTQ188" s="1016"/>
      <c r="KTR188" s="1016"/>
      <c r="KTS188" s="1016"/>
      <c r="KTT188" s="1016"/>
      <c r="KTU188" s="1016"/>
      <c r="KTV188" s="1016"/>
      <c r="KTW188" s="1016"/>
      <c r="KTX188" s="1016"/>
      <c r="KTY188" s="1016"/>
      <c r="KTZ188" s="1016"/>
      <c r="KUA188" s="1016"/>
      <c r="KUB188" s="1016"/>
      <c r="KUC188" s="1016"/>
      <c r="KUD188" s="1016"/>
      <c r="KUE188" s="1016"/>
      <c r="KUF188" s="1016"/>
      <c r="KUG188" s="1016"/>
      <c r="KUH188" s="1016"/>
      <c r="KUI188" s="1016"/>
      <c r="KUJ188" s="1016"/>
      <c r="KUK188" s="1016"/>
      <c r="KUL188" s="1016"/>
      <c r="KUM188" s="1016"/>
      <c r="KUN188" s="1016"/>
      <c r="KUO188" s="1016"/>
      <c r="KUP188" s="1016"/>
      <c r="KUQ188" s="1016"/>
      <c r="KUR188" s="1016"/>
      <c r="KUS188" s="1016"/>
      <c r="KUT188" s="1016"/>
      <c r="KUU188" s="1016"/>
      <c r="KUV188" s="1016"/>
      <c r="KUW188" s="1016"/>
      <c r="KUX188" s="1016"/>
      <c r="KUY188" s="1016"/>
      <c r="KUZ188" s="1016"/>
      <c r="KVA188" s="1016"/>
      <c r="KVB188" s="1016"/>
      <c r="KVC188" s="1016"/>
      <c r="KVD188" s="1016"/>
      <c r="KVE188" s="1016"/>
      <c r="KVF188" s="1016"/>
      <c r="KVG188" s="1016"/>
      <c r="KVH188" s="1016"/>
      <c r="KVI188" s="1016"/>
      <c r="KVJ188" s="1016"/>
      <c r="KVK188" s="1016"/>
      <c r="KVL188" s="1016"/>
      <c r="KVM188" s="1016"/>
      <c r="KVN188" s="1016"/>
      <c r="KVO188" s="1016"/>
      <c r="KVP188" s="1016"/>
      <c r="KVQ188" s="1016"/>
      <c r="KVR188" s="1016"/>
      <c r="KVS188" s="1016"/>
      <c r="KVT188" s="1016"/>
      <c r="KVU188" s="1016"/>
      <c r="KVV188" s="1016"/>
      <c r="KVW188" s="1016"/>
      <c r="KVX188" s="1016"/>
      <c r="KVY188" s="1016"/>
      <c r="KVZ188" s="1016"/>
      <c r="KWA188" s="1016"/>
      <c r="KWB188" s="1016"/>
      <c r="KWC188" s="1016"/>
      <c r="KWD188" s="1016"/>
      <c r="KWE188" s="1016"/>
      <c r="KWF188" s="1016"/>
      <c r="KWG188" s="1016"/>
      <c r="KWH188" s="1016"/>
      <c r="KWI188" s="1016"/>
      <c r="KWJ188" s="1016"/>
      <c r="KWK188" s="1016"/>
      <c r="KWL188" s="1016"/>
      <c r="KWM188" s="1016"/>
      <c r="KWN188" s="1016"/>
      <c r="KWO188" s="1016"/>
      <c r="KWP188" s="1016"/>
      <c r="KWQ188" s="1016"/>
      <c r="KWR188" s="1016"/>
      <c r="KWS188" s="1016"/>
      <c r="KWT188" s="1016"/>
      <c r="KWU188" s="1016"/>
      <c r="KWV188" s="1016"/>
      <c r="KWW188" s="1016"/>
      <c r="KWX188" s="1016"/>
      <c r="KWY188" s="1016"/>
      <c r="KWZ188" s="1016"/>
      <c r="KXA188" s="1016"/>
      <c r="KXB188" s="1016"/>
      <c r="KXC188" s="1016"/>
      <c r="KXD188" s="1016"/>
      <c r="KXE188" s="1016"/>
      <c r="KXF188" s="1016"/>
      <c r="KXG188" s="1016"/>
      <c r="KXH188" s="1016"/>
      <c r="KXI188" s="1016"/>
      <c r="KXJ188" s="1016"/>
      <c r="KXK188" s="1016"/>
      <c r="KXL188" s="1016"/>
      <c r="KXM188" s="1016"/>
      <c r="KXN188" s="1016"/>
      <c r="KXO188" s="1016"/>
      <c r="KXP188" s="1016"/>
      <c r="KXQ188" s="1016"/>
      <c r="KXR188" s="1016"/>
      <c r="KXS188" s="1016"/>
      <c r="KXT188" s="1016"/>
      <c r="KXU188" s="1016"/>
      <c r="KXV188" s="1016"/>
      <c r="KXW188" s="1016"/>
      <c r="KXX188" s="1016"/>
      <c r="KXY188" s="1016"/>
      <c r="KXZ188" s="1016"/>
      <c r="KYA188" s="1016"/>
      <c r="KYB188" s="1016"/>
      <c r="KYC188" s="1016"/>
      <c r="KYD188" s="1016"/>
      <c r="KYE188" s="1016"/>
      <c r="KYF188" s="1016"/>
      <c r="KYG188" s="1016"/>
      <c r="KYH188" s="1016"/>
      <c r="KYI188" s="1016"/>
      <c r="KYJ188" s="1016"/>
      <c r="KYK188" s="1016"/>
      <c r="KYL188" s="1016"/>
      <c r="KYM188" s="1016"/>
      <c r="KYN188" s="1016"/>
      <c r="KYO188" s="1016"/>
      <c r="KYP188" s="1016"/>
      <c r="KYQ188" s="1016"/>
      <c r="KYR188" s="1016"/>
      <c r="KYS188" s="1016"/>
      <c r="KYT188" s="1016"/>
      <c r="KYU188" s="1016"/>
      <c r="KYV188" s="1016"/>
      <c r="KYW188" s="1016"/>
      <c r="KYX188" s="1016"/>
      <c r="KYY188" s="1016"/>
      <c r="KYZ188" s="1016"/>
      <c r="KZA188" s="1016"/>
      <c r="KZB188" s="1016"/>
      <c r="KZC188" s="1016"/>
      <c r="KZD188" s="1016"/>
      <c r="KZE188" s="1016"/>
      <c r="KZF188" s="1016"/>
      <c r="KZG188" s="1016"/>
      <c r="KZH188" s="1016"/>
      <c r="KZI188" s="1016"/>
      <c r="KZJ188" s="1016"/>
      <c r="KZK188" s="1016"/>
      <c r="KZL188" s="1016"/>
      <c r="KZM188" s="1016"/>
      <c r="KZN188" s="1016"/>
      <c r="KZO188" s="1016"/>
      <c r="KZP188" s="1016"/>
      <c r="KZQ188" s="1016"/>
      <c r="KZR188" s="1016"/>
      <c r="KZS188" s="1016"/>
      <c r="KZT188" s="1016"/>
      <c r="KZU188" s="1016"/>
      <c r="KZV188" s="1016"/>
      <c r="KZW188" s="1016"/>
      <c r="KZX188" s="1016"/>
      <c r="KZY188" s="1016"/>
      <c r="KZZ188" s="1016"/>
      <c r="LAA188" s="1016"/>
      <c r="LAB188" s="1016"/>
      <c r="LAC188" s="1016"/>
      <c r="LAD188" s="1016"/>
      <c r="LAE188" s="1016"/>
      <c r="LAF188" s="1016"/>
      <c r="LAG188" s="1016"/>
      <c r="LAH188" s="1016"/>
      <c r="LAI188" s="1016"/>
      <c r="LAJ188" s="1016"/>
      <c r="LAK188" s="1016"/>
      <c r="LAL188" s="1016"/>
      <c r="LAM188" s="1016"/>
      <c r="LAN188" s="1016"/>
      <c r="LAO188" s="1016"/>
      <c r="LAP188" s="1016"/>
      <c r="LAQ188" s="1016"/>
      <c r="LAR188" s="1016"/>
      <c r="LAS188" s="1016"/>
      <c r="LAT188" s="1016"/>
      <c r="LAU188" s="1016"/>
      <c r="LAV188" s="1016"/>
      <c r="LAW188" s="1016"/>
      <c r="LAX188" s="1016"/>
      <c r="LAY188" s="1016"/>
      <c r="LAZ188" s="1016"/>
      <c r="LBA188" s="1016"/>
      <c r="LBB188" s="1016"/>
      <c r="LBC188" s="1016"/>
      <c r="LBD188" s="1016"/>
      <c r="LBE188" s="1016"/>
      <c r="LBF188" s="1016"/>
      <c r="LBG188" s="1016"/>
      <c r="LBH188" s="1016"/>
      <c r="LBI188" s="1016"/>
      <c r="LBJ188" s="1016"/>
      <c r="LBK188" s="1016"/>
      <c r="LBL188" s="1016"/>
      <c r="LBM188" s="1016"/>
      <c r="LBN188" s="1016"/>
      <c r="LBO188" s="1016"/>
      <c r="LBP188" s="1016"/>
      <c r="LBQ188" s="1016"/>
      <c r="LBR188" s="1016"/>
      <c r="LBS188" s="1016"/>
      <c r="LBT188" s="1016"/>
      <c r="LBU188" s="1016"/>
      <c r="LBV188" s="1016"/>
      <c r="LBW188" s="1016"/>
      <c r="LBX188" s="1016"/>
      <c r="LBY188" s="1016"/>
      <c r="LBZ188" s="1016"/>
      <c r="LCA188" s="1016"/>
      <c r="LCB188" s="1016"/>
      <c r="LCC188" s="1016"/>
      <c r="LCD188" s="1016"/>
      <c r="LCE188" s="1016"/>
      <c r="LCF188" s="1016"/>
      <c r="LCG188" s="1016"/>
      <c r="LCH188" s="1016"/>
      <c r="LCI188" s="1016"/>
      <c r="LCJ188" s="1016"/>
      <c r="LCK188" s="1016"/>
      <c r="LCL188" s="1016"/>
      <c r="LCM188" s="1016"/>
      <c r="LCN188" s="1016"/>
      <c r="LCO188" s="1016"/>
      <c r="LCP188" s="1016"/>
      <c r="LCQ188" s="1016"/>
      <c r="LCR188" s="1016"/>
      <c r="LCS188" s="1016"/>
      <c r="LCT188" s="1016"/>
      <c r="LCU188" s="1016"/>
      <c r="LCV188" s="1016"/>
      <c r="LCW188" s="1016"/>
      <c r="LCX188" s="1016"/>
      <c r="LCY188" s="1016"/>
      <c r="LCZ188" s="1016"/>
      <c r="LDA188" s="1016"/>
      <c r="LDB188" s="1016"/>
      <c r="LDC188" s="1016"/>
      <c r="LDD188" s="1016"/>
      <c r="LDE188" s="1016"/>
      <c r="LDF188" s="1016"/>
      <c r="LDG188" s="1016"/>
      <c r="LDH188" s="1016"/>
      <c r="LDI188" s="1016"/>
      <c r="LDJ188" s="1016"/>
      <c r="LDK188" s="1016"/>
      <c r="LDL188" s="1016"/>
      <c r="LDM188" s="1016"/>
      <c r="LDN188" s="1016"/>
      <c r="LDO188" s="1016"/>
      <c r="LDP188" s="1016"/>
      <c r="LDQ188" s="1016"/>
      <c r="LDR188" s="1016"/>
      <c r="LDS188" s="1016"/>
      <c r="LDT188" s="1016"/>
      <c r="LDU188" s="1016"/>
      <c r="LDV188" s="1016"/>
      <c r="LDW188" s="1016"/>
      <c r="LDX188" s="1016"/>
      <c r="LDY188" s="1016"/>
      <c r="LDZ188" s="1016"/>
      <c r="LEA188" s="1016"/>
      <c r="LEB188" s="1016"/>
      <c r="LEC188" s="1016"/>
      <c r="LED188" s="1016"/>
      <c r="LEE188" s="1016"/>
      <c r="LEF188" s="1016"/>
      <c r="LEG188" s="1016"/>
      <c r="LEH188" s="1016"/>
      <c r="LEI188" s="1016"/>
      <c r="LEJ188" s="1016"/>
      <c r="LEK188" s="1016"/>
      <c r="LEL188" s="1016"/>
      <c r="LEM188" s="1016"/>
      <c r="LEN188" s="1016"/>
      <c r="LEO188" s="1016"/>
      <c r="LEP188" s="1016"/>
      <c r="LEQ188" s="1016"/>
      <c r="LER188" s="1016"/>
      <c r="LES188" s="1016"/>
      <c r="LET188" s="1016"/>
      <c r="LEU188" s="1016"/>
      <c r="LEV188" s="1016"/>
      <c r="LEW188" s="1016"/>
      <c r="LEX188" s="1016"/>
      <c r="LEY188" s="1016"/>
      <c r="LEZ188" s="1016"/>
      <c r="LFA188" s="1016"/>
      <c r="LFB188" s="1016"/>
      <c r="LFC188" s="1016"/>
      <c r="LFD188" s="1016"/>
      <c r="LFE188" s="1016"/>
      <c r="LFF188" s="1016"/>
      <c r="LFG188" s="1016"/>
      <c r="LFH188" s="1016"/>
      <c r="LFI188" s="1016"/>
      <c r="LFJ188" s="1016"/>
      <c r="LFK188" s="1016"/>
      <c r="LFL188" s="1016"/>
      <c r="LFM188" s="1016"/>
      <c r="LFN188" s="1016"/>
      <c r="LFO188" s="1016"/>
      <c r="LFP188" s="1016"/>
      <c r="LFQ188" s="1016"/>
      <c r="LFR188" s="1016"/>
      <c r="LFS188" s="1016"/>
      <c r="LFT188" s="1016"/>
      <c r="LFU188" s="1016"/>
      <c r="LFV188" s="1016"/>
      <c r="LFW188" s="1016"/>
      <c r="LFX188" s="1016"/>
      <c r="LFY188" s="1016"/>
      <c r="LFZ188" s="1016"/>
      <c r="LGA188" s="1016"/>
      <c r="LGB188" s="1016"/>
      <c r="LGC188" s="1016"/>
      <c r="LGD188" s="1016"/>
      <c r="LGE188" s="1016"/>
      <c r="LGF188" s="1016"/>
      <c r="LGG188" s="1016"/>
      <c r="LGH188" s="1016"/>
      <c r="LGI188" s="1016"/>
      <c r="LGJ188" s="1016"/>
      <c r="LGK188" s="1016"/>
      <c r="LGL188" s="1016"/>
      <c r="LGM188" s="1016"/>
      <c r="LGN188" s="1016"/>
      <c r="LGO188" s="1016"/>
      <c r="LGP188" s="1016"/>
      <c r="LGQ188" s="1016"/>
      <c r="LGR188" s="1016"/>
      <c r="LGS188" s="1016"/>
      <c r="LGT188" s="1016"/>
      <c r="LGU188" s="1016"/>
      <c r="LGV188" s="1016"/>
      <c r="LGW188" s="1016"/>
      <c r="LGX188" s="1016"/>
      <c r="LGY188" s="1016"/>
      <c r="LGZ188" s="1016"/>
      <c r="LHA188" s="1016"/>
      <c r="LHB188" s="1016"/>
      <c r="LHC188" s="1016"/>
      <c r="LHD188" s="1016"/>
      <c r="LHE188" s="1016"/>
      <c r="LHF188" s="1016"/>
      <c r="LHG188" s="1016"/>
      <c r="LHH188" s="1016"/>
      <c r="LHI188" s="1016"/>
      <c r="LHJ188" s="1016"/>
      <c r="LHK188" s="1016"/>
      <c r="LHL188" s="1016"/>
      <c r="LHM188" s="1016"/>
      <c r="LHN188" s="1016"/>
      <c r="LHO188" s="1016"/>
      <c r="LHP188" s="1016"/>
      <c r="LHQ188" s="1016"/>
      <c r="LHR188" s="1016"/>
      <c r="LHS188" s="1016"/>
      <c r="LHT188" s="1016"/>
      <c r="LHU188" s="1016"/>
      <c r="LHV188" s="1016"/>
      <c r="LHW188" s="1016"/>
      <c r="LHX188" s="1016"/>
      <c r="LHY188" s="1016"/>
      <c r="LHZ188" s="1016"/>
      <c r="LIA188" s="1016"/>
      <c r="LIB188" s="1016"/>
      <c r="LIC188" s="1016"/>
      <c r="LID188" s="1016"/>
      <c r="LIE188" s="1016"/>
      <c r="LIF188" s="1016"/>
      <c r="LIG188" s="1016"/>
      <c r="LIH188" s="1016"/>
      <c r="LII188" s="1016"/>
      <c r="LIJ188" s="1016"/>
      <c r="LIK188" s="1016"/>
      <c r="LIL188" s="1016"/>
      <c r="LIM188" s="1016"/>
      <c r="LIN188" s="1016"/>
      <c r="LIO188" s="1016"/>
      <c r="LIP188" s="1016"/>
      <c r="LIQ188" s="1016"/>
      <c r="LIR188" s="1016"/>
      <c r="LIS188" s="1016"/>
      <c r="LIT188" s="1016"/>
      <c r="LIU188" s="1016"/>
      <c r="LIV188" s="1016"/>
      <c r="LIW188" s="1016"/>
      <c r="LIX188" s="1016"/>
      <c r="LIY188" s="1016"/>
      <c r="LIZ188" s="1016"/>
      <c r="LJA188" s="1016"/>
      <c r="LJB188" s="1016"/>
      <c r="LJC188" s="1016"/>
      <c r="LJD188" s="1016"/>
      <c r="LJE188" s="1016"/>
      <c r="LJF188" s="1016"/>
      <c r="LJG188" s="1016"/>
      <c r="LJH188" s="1016"/>
      <c r="LJI188" s="1016"/>
      <c r="LJJ188" s="1016"/>
      <c r="LJK188" s="1016"/>
      <c r="LJL188" s="1016"/>
      <c r="LJM188" s="1016"/>
      <c r="LJN188" s="1016"/>
      <c r="LJO188" s="1016"/>
      <c r="LJP188" s="1016"/>
      <c r="LJQ188" s="1016"/>
      <c r="LJR188" s="1016"/>
      <c r="LJS188" s="1016"/>
      <c r="LJT188" s="1016"/>
      <c r="LJU188" s="1016"/>
      <c r="LJV188" s="1016"/>
      <c r="LJW188" s="1016"/>
      <c r="LJX188" s="1016"/>
      <c r="LJY188" s="1016"/>
      <c r="LJZ188" s="1016"/>
      <c r="LKA188" s="1016"/>
      <c r="LKB188" s="1016"/>
      <c r="LKC188" s="1016"/>
      <c r="LKD188" s="1016"/>
      <c r="LKE188" s="1016"/>
      <c r="LKF188" s="1016"/>
      <c r="LKG188" s="1016"/>
      <c r="LKH188" s="1016"/>
      <c r="LKI188" s="1016"/>
      <c r="LKJ188" s="1016"/>
      <c r="LKK188" s="1016"/>
      <c r="LKL188" s="1016"/>
      <c r="LKM188" s="1016"/>
      <c r="LKN188" s="1016"/>
      <c r="LKO188" s="1016"/>
      <c r="LKP188" s="1016"/>
      <c r="LKQ188" s="1016"/>
      <c r="LKR188" s="1016"/>
      <c r="LKS188" s="1016"/>
      <c r="LKT188" s="1016"/>
      <c r="LKU188" s="1016"/>
      <c r="LKV188" s="1016"/>
      <c r="LKW188" s="1016"/>
      <c r="LKX188" s="1016"/>
      <c r="LKY188" s="1016"/>
      <c r="LKZ188" s="1016"/>
      <c r="LLA188" s="1016"/>
      <c r="LLB188" s="1016"/>
      <c r="LLC188" s="1016"/>
      <c r="LLD188" s="1016"/>
      <c r="LLE188" s="1016"/>
      <c r="LLF188" s="1016"/>
      <c r="LLG188" s="1016"/>
      <c r="LLH188" s="1016"/>
      <c r="LLI188" s="1016"/>
      <c r="LLJ188" s="1016"/>
      <c r="LLK188" s="1016"/>
      <c r="LLL188" s="1016"/>
      <c r="LLM188" s="1016"/>
      <c r="LLN188" s="1016"/>
      <c r="LLO188" s="1016"/>
      <c r="LLP188" s="1016"/>
      <c r="LLQ188" s="1016"/>
      <c r="LLR188" s="1016"/>
      <c r="LLS188" s="1016"/>
      <c r="LLT188" s="1016"/>
      <c r="LLU188" s="1016"/>
      <c r="LLV188" s="1016"/>
      <c r="LLW188" s="1016"/>
      <c r="LLX188" s="1016"/>
      <c r="LLY188" s="1016"/>
      <c r="LLZ188" s="1016"/>
      <c r="LMA188" s="1016"/>
      <c r="LMB188" s="1016"/>
      <c r="LMC188" s="1016"/>
      <c r="LMD188" s="1016"/>
      <c r="LME188" s="1016"/>
      <c r="LMF188" s="1016"/>
      <c r="LMG188" s="1016"/>
      <c r="LMH188" s="1016"/>
      <c r="LMI188" s="1016"/>
      <c r="LMJ188" s="1016"/>
      <c r="LMK188" s="1016"/>
      <c r="LML188" s="1016"/>
      <c r="LMM188" s="1016"/>
      <c r="LMN188" s="1016"/>
      <c r="LMO188" s="1016"/>
      <c r="LMP188" s="1016"/>
      <c r="LMQ188" s="1016"/>
      <c r="LMR188" s="1016"/>
      <c r="LMS188" s="1016"/>
      <c r="LMT188" s="1016"/>
      <c r="LMU188" s="1016"/>
      <c r="LMV188" s="1016"/>
      <c r="LMW188" s="1016"/>
      <c r="LMX188" s="1016"/>
      <c r="LMY188" s="1016"/>
      <c r="LMZ188" s="1016"/>
      <c r="LNA188" s="1016"/>
      <c r="LNB188" s="1016"/>
      <c r="LNC188" s="1016"/>
      <c r="LND188" s="1016"/>
      <c r="LNE188" s="1016"/>
      <c r="LNF188" s="1016"/>
      <c r="LNG188" s="1016"/>
      <c r="LNH188" s="1016"/>
      <c r="LNI188" s="1016"/>
      <c r="LNJ188" s="1016"/>
      <c r="LNK188" s="1016"/>
      <c r="LNL188" s="1016"/>
      <c r="LNM188" s="1016"/>
      <c r="LNN188" s="1016"/>
      <c r="LNO188" s="1016"/>
      <c r="LNP188" s="1016"/>
      <c r="LNQ188" s="1016"/>
      <c r="LNR188" s="1016"/>
      <c r="LNS188" s="1016"/>
      <c r="LNT188" s="1016"/>
      <c r="LNU188" s="1016"/>
      <c r="LNV188" s="1016"/>
      <c r="LNW188" s="1016"/>
      <c r="LNX188" s="1016"/>
      <c r="LNY188" s="1016"/>
      <c r="LNZ188" s="1016"/>
      <c r="LOA188" s="1016"/>
      <c r="LOB188" s="1016"/>
      <c r="LOC188" s="1016"/>
      <c r="LOD188" s="1016"/>
      <c r="LOE188" s="1016"/>
      <c r="LOF188" s="1016"/>
      <c r="LOG188" s="1016"/>
      <c r="LOH188" s="1016"/>
      <c r="LOI188" s="1016"/>
      <c r="LOJ188" s="1016"/>
      <c r="LOK188" s="1016"/>
      <c r="LOL188" s="1016"/>
      <c r="LOM188" s="1016"/>
      <c r="LON188" s="1016"/>
      <c r="LOO188" s="1016"/>
      <c r="LOP188" s="1016"/>
      <c r="LOQ188" s="1016"/>
      <c r="LOR188" s="1016"/>
      <c r="LOS188" s="1016"/>
      <c r="LOT188" s="1016"/>
      <c r="LOU188" s="1016"/>
      <c r="LOV188" s="1016"/>
      <c r="LOW188" s="1016"/>
      <c r="LOX188" s="1016"/>
      <c r="LOY188" s="1016"/>
      <c r="LOZ188" s="1016"/>
      <c r="LPA188" s="1016"/>
      <c r="LPB188" s="1016"/>
      <c r="LPC188" s="1016"/>
      <c r="LPD188" s="1016"/>
      <c r="LPE188" s="1016"/>
      <c r="LPF188" s="1016"/>
      <c r="LPG188" s="1016"/>
      <c r="LPH188" s="1016"/>
      <c r="LPI188" s="1016"/>
      <c r="LPJ188" s="1016"/>
      <c r="LPK188" s="1016"/>
      <c r="LPL188" s="1016"/>
      <c r="LPM188" s="1016"/>
      <c r="LPN188" s="1016"/>
      <c r="LPO188" s="1016"/>
      <c r="LPP188" s="1016"/>
      <c r="LPQ188" s="1016"/>
      <c r="LPR188" s="1016"/>
      <c r="LPS188" s="1016"/>
      <c r="LPT188" s="1016"/>
      <c r="LPU188" s="1016"/>
      <c r="LPV188" s="1016"/>
      <c r="LPW188" s="1016"/>
      <c r="LPX188" s="1016"/>
      <c r="LPY188" s="1016"/>
      <c r="LPZ188" s="1016"/>
      <c r="LQA188" s="1016"/>
      <c r="LQB188" s="1016"/>
      <c r="LQC188" s="1016"/>
      <c r="LQD188" s="1016"/>
      <c r="LQE188" s="1016"/>
      <c r="LQF188" s="1016"/>
      <c r="LQG188" s="1016"/>
      <c r="LQH188" s="1016"/>
      <c r="LQI188" s="1016"/>
      <c r="LQJ188" s="1016"/>
      <c r="LQK188" s="1016"/>
      <c r="LQL188" s="1016"/>
      <c r="LQM188" s="1016"/>
      <c r="LQN188" s="1016"/>
      <c r="LQO188" s="1016"/>
      <c r="LQP188" s="1016"/>
      <c r="LQQ188" s="1016"/>
      <c r="LQR188" s="1016"/>
      <c r="LQS188" s="1016"/>
      <c r="LQT188" s="1016"/>
      <c r="LQU188" s="1016"/>
      <c r="LQV188" s="1016"/>
      <c r="LQW188" s="1016"/>
      <c r="LQX188" s="1016"/>
      <c r="LQY188" s="1016"/>
      <c r="LQZ188" s="1016"/>
      <c r="LRA188" s="1016"/>
      <c r="LRB188" s="1016"/>
      <c r="LRC188" s="1016"/>
      <c r="LRD188" s="1016"/>
      <c r="LRE188" s="1016"/>
      <c r="LRF188" s="1016"/>
      <c r="LRG188" s="1016"/>
      <c r="LRH188" s="1016"/>
      <c r="LRI188" s="1016"/>
      <c r="LRJ188" s="1016"/>
      <c r="LRK188" s="1016"/>
      <c r="LRL188" s="1016"/>
      <c r="LRM188" s="1016"/>
      <c r="LRN188" s="1016"/>
      <c r="LRO188" s="1016"/>
      <c r="LRP188" s="1016"/>
      <c r="LRQ188" s="1016"/>
      <c r="LRR188" s="1016"/>
      <c r="LRS188" s="1016"/>
      <c r="LRT188" s="1016"/>
      <c r="LRU188" s="1016"/>
      <c r="LRV188" s="1016"/>
      <c r="LRW188" s="1016"/>
      <c r="LRX188" s="1016"/>
      <c r="LRY188" s="1016"/>
      <c r="LRZ188" s="1016"/>
      <c r="LSA188" s="1016"/>
      <c r="LSB188" s="1016"/>
      <c r="LSC188" s="1016"/>
      <c r="LSD188" s="1016"/>
      <c r="LSE188" s="1016"/>
      <c r="LSF188" s="1016"/>
      <c r="LSG188" s="1016"/>
      <c r="LSH188" s="1016"/>
      <c r="LSI188" s="1016"/>
      <c r="LSJ188" s="1016"/>
      <c r="LSK188" s="1016"/>
      <c r="LSL188" s="1016"/>
      <c r="LSM188" s="1016"/>
      <c r="LSN188" s="1016"/>
      <c r="LSO188" s="1016"/>
      <c r="LSP188" s="1016"/>
      <c r="LSQ188" s="1016"/>
      <c r="LSR188" s="1016"/>
      <c r="LSS188" s="1016"/>
      <c r="LST188" s="1016"/>
      <c r="LSU188" s="1016"/>
      <c r="LSV188" s="1016"/>
      <c r="LSW188" s="1016"/>
      <c r="LSX188" s="1016"/>
      <c r="LSY188" s="1016"/>
      <c r="LSZ188" s="1016"/>
      <c r="LTA188" s="1016"/>
      <c r="LTB188" s="1016"/>
      <c r="LTC188" s="1016"/>
      <c r="LTD188" s="1016"/>
      <c r="LTE188" s="1016"/>
      <c r="LTF188" s="1016"/>
      <c r="LTG188" s="1016"/>
      <c r="LTH188" s="1016"/>
      <c r="LTI188" s="1016"/>
      <c r="LTJ188" s="1016"/>
      <c r="LTK188" s="1016"/>
      <c r="LTL188" s="1016"/>
      <c r="LTM188" s="1016"/>
      <c r="LTN188" s="1016"/>
      <c r="LTO188" s="1016"/>
      <c r="LTP188" s="1016"/>
      <c r="LTQ188" s="1016"/>
      <c r="LTR188" s="1016"/>
      <c r="LTS188" s="1016"/>
      <c r="LTT188" s="1016"/>
      <c r="LTU188" s="1016"/>
      <c r="LTV188" s="1016"/>
      <c r="LTW188" s="1016"/>
      <c r="LTX188" s="1016"/>
      <c r="LTY188" s="1016"/>
      <c r="LTZ188" s="1016"/>
      <c r="LUA188" s="1016"/>
      <c r="LUB188" s="1016"/>
      <c r="LUC188" s="1016"/>
      <c r="LUD188" s="1016"/>
      <c r="LUE188" s="1016"/>
      <c r="LUF188" s="1016"/>
      <c r="LUG188" s="1016"/>
      <c r="LUH188" s="1016"/>
      <c r="LUI188" s="1016"/>
      <c r="LUJ188" s="1016"/>
      <c r="LUK188" s="1016"/>
      <c r="LUL188" s="1016"/>
      <c r="LUM188" s="1016"/>
      <c r="LUN188" s="1016"/>
      <c r="LUO188" s="1016"/>
      <c r="LUP188" s="1016"/>
      <c r="LUQ188" s="1016"/>
      <c r="LUR188" s="1016"/>
      <c r="LUS188" s="1016"/>
      <c r="LUT188" s="1016"/>
      <c r="LUU188" s="1016"/>
      <c r="LUV188" s="1016"/>
      <c r="LUW188" s="1016"/>
      <c r="LUX188" s="1016"/>
      <c r="LUY188" s="1016"/>
      <c r="LUZ188" s="1016"/>
      <c r="LVA188" s="1016"/>
      <c r="LVB188" s="1016"/>
      <c r="LVC188" s="1016"/>
      <c r="LVD188" s="1016"/>
      <c r="LVE188" s="1016"/>
      <c r="LVF188" s="1016"/>
      <c r="LVG188" s="1016"/>
      <c r="LVH188" s="1016"/>
      <c r="LVI188" s="1016"/>
      <c r="LVJ188" s="1016"/>
      <c r="LVK188" s="1016"/>
      <c r="LVL188" s="1016"/>
      <c r="LVM188" s="1016"/>
      <c r="LVN188" s="1016"/>
      <c r="LVO188" s="1016"/>
      <c r="LVP188" s="1016"/>
      <c r="LVQ188" s="1016"/>
      <c r="LVR188" s="1016"/>
      <c r="LVS188" s="1016"/>
      <c r="LVT188" s="1016"/>
      <c r="LVU188" s="1016"/>
      <c r="LVV188" s="1016"/>
      <c r="LVW188" s="1016"/>
      <c r="LVX188" s="1016"/>
      <c r="LVY188" s="1016"/>
      <c r="LVZ188" s="1016"/>
      <c r="LWA188" s="1016"/>
      <c r="LWB188" s="1016"/>
      <c r="LWC188" s="1016"/>
      <c r="LWD188" s="1016"/>
      <c r="LWE188" s="1016"/>
      <c r="LWF188" s="1016"/>
      <c r="LWG188" s="1016"/>
      <c r="LWH188" s="1016"/>
      <c r="LWI188" s="1016"/>
      <c r="LWJ188" s="1016"/>
      <c r="LWK188" s="1016"/>
      <c r="LWL188" s="1016"/>
      <c r="LWM188" s="1016"/>
      <c r="LWN188" s="1016"/>
      <c r="LWO188" s="1016"/>
      <c r="LWP188" s="1016"/>
      <c r="LWQ188" s="1016"/>
      <c r="LWR188" s="1016"/>
      <c r="LWS188" s="1016"/>
      <c r="LWT188" s="1016"/>
      <c r="LWU188" s="1016"/>
      <c r="LWV188" s="1016"/>
      <c r="LWW188" s="1016"/>
      <c r="LWX188" s="1016"/>
      <c r="LWY188" s="1016"/>
      <c r="LWZ188" s="1016"/>
      <c r="LXA188" s="1016"/>
      <c r="LXB188" s="1016"/>
      <c r="LXC188" s="1016"/>
      <c r="LXD188" s="1016"/>
      <c r="LXE188" s="1016"/>
      <c r="LXF188" s="1016"/>
      <c r="LXG188" s="1016"/>
      <c r="LXH188" s="1016"/>
      <c r="LXI188" s="1016"/>
      <c r="LXJ188" s="1016"/>
      <c r="LXK188" s="1016"/>
      <c r="LXL188" s="1016"/>
      <c r="LXM188" s="1016"/>
      <c r="LXN188" s="1016"/>
      <c r="LXO188" s="1016"/>
      <c r="LXP188" s="1016"/>
      <c r="LXQ188" s="1016"/>
      <c r="LXR188" s="1016"/>
      <c r="LXS188" s="1016"/>
      <c r="LXT188" s="1016"/>
      <c r="LXU188" s="1016"/>
      <c r="LXV188" s="1016"/>
      <c r="LXW188" s="1016"/>
      <c r="LXX188" s="1016"/>
      <c r="LXY188" s="1016"/>
      <c r="LXZ188" s="1016"/>
      <c r="LYA188" s="1016"/>
      <c r="LYB188" s="1016"/>
      <c r="LYC188" s="1016"/>
      <c r="LYD188" s="1016"/>
      <c r="LYE188" s="1016"/>
      <c r="LYF188" s="1016"/>
      <c r="LYG188" s="1016"/>
      <c r="LYH188" s="1016"/>
      <c r="LYI188" s="1016"/>
      <c r="LYJ188" s="1016"/>
      <c r="LYK188" s="1016"/>
      <c r="LYL188" s="1016"/>
      <c r="LYM188" s="1016"/>
      <c r="LYN188" s="1016"/>
      <c r="LYO188" s="1016"/>
      <c r="LYP188" s="1016"/>
      <c r="LYQ188" s="1016"/>
      <c r="LYR188" s="1016"/>
      <c r="LYS188" s="1016"/>
      <c r="LYT188" s="1016"/>
      <c r="LYU188" s="1016"/>
      <c r="LYV188" s="1016"/>
      <c r="LYW188" s="1016"/>
      <c r="LYX188" s="1016"/>
      <c r="LYY188" s="1016"/>
      <c r="LYZ188" s="1016"/>
      <c r="LZA188" s="1016"/>
      <c r="LZB188" s="1016"/>
      <c r="LZC188" s="1016"/>
      <c r="LZD188" s="1016"/>
      <c r="LZE188" s="1016"/>
      <c r="LZF188" s="1016"/>
      <c r="LZG188" s="1016"/>
      <c r="LZH188" s="1016"/>
      <c r="LZI188" s="1016"/>
      <c r="LZJ188" s="1016"/>
      <c r="LZK188" s="1016"/>
      <c r="LZL188" s="1016"/>
      <c r="LZM188" s="1016"/>
      <c r="LZN188" s="1016"/>
      <c r="LZO188" s="1016"/>
      <c r="LZP188" s="1016"/>
      <c r="LZQ188" s="1016"/>
      <c r="LZR188" s="1016"/>
      <c r="LZS188" s="1016"/>
      <c r="LZT188" s="1016"/>
      <c r="LZU188" s="1016"/>
      <c r="LZV188" s="1016"/>
      <c r="LZW188" s="1016"/>
      <c r="LZX188" s="1016"/>
      <c r="LZY188" s="1016"/>
      <c r="LZZ188" s="1016"/>
      <c r="MAA188" s="1016"/>
      <c r="MAB188" s="1016"/>
      <c r="MAC188" s="1016"/>
      <c r="MAD188" s="1016"/>
      <c r="MAE188" s="1016"/>
      <c r="MAF188" s="1016"/>
      <c r="MAG188" s="1016"/>
      <c r="MAH188" s="1016"/>
      <c r="MAI188" s="1016"/>
      <c r="MAJ188" s="1016"/>
      <c r="MAK188" s="1016"/>
      <c r="MAL188" s="1016"/>
      <c r="MAM188" s="1016"/>
      <c r="MAN188" s="1016"/>
      <c r="MAO188" s="1016"/>
      <c r="MAP188" s="1016"/>
      <c r="MAQ188" s="1016"/>
      <c r="MAR188" s="1016"/>
      <c r="MAS188" s="1016"/>
      <c r="MAT188" s="1016"/>
      <c r="MAU188" s="1016"/>
      <c r="MAV188" s="1016"/>
      <c r="MAW188" s="1016"/>
      <c r="MAX188" s="1016"/>
      <c r="MAY188" s="1016"/>
      <c r="MAZ188" s="1016"/>
      <c r="MBA188" s="1016"/>
      <c r="MBB188" s="1016"/>
      <c r="MBC188" s="1016"/>
      <c r="MBD188" s="1016"/>
      <c r="MBE188" s="1016"/>
      <c r="MBF188" s="1016"/>
      <c r="MBG188" s="1016"/>
      <c r="MBH188" s="1016"/>
      <c r="MBI188" s="1016"/>
      <c r="MBJ188" s="1016"/>
      <c r="MBK188" s="1016"/>
      <c r="MBL188" s="1016"/>
      <c r="MBM188" s="1016"/>
      <c r="MBN188" s="1016"/>
      <c r="MBO188" s="1016"/>
      <c r="MBP188" s="1016"/>
      <c r="MBQ188" s="1016"/>
      <c r="MBR188" s="1016"/>
      <c r="MBS188" s="1016"/>
      <c r="MBT188" s="1016"/>
      <c r="MBU188" s="1016"/>
      <c r="MBV188" s="1016"/>
      <c r="MBW188" s="1016"/>
      <c r="MBX188" s="1016"/>
      <c r="MBY188" s="1016"/>
      <c r="MBZ188" s="1016"/>
      <c r="MCA188" s="1016"/>
      <c r="MCB188" s="1016"/>
      <c r="MCC188" s="1016"/>
      <c r="MCD188" s="1016"/>
      <c r="MCE188" s="1016"/>
      <c r="MCF188" s="1016"/>
      <c r="MCG188" s="1016"/>
      <c r="MCH188" s="1016"/>
      <c r="MCI188" s="1016"/>
      <c r="MCJ188" s="1016"/>
      <c r="MCK188" s="1016"/>
      <c r="MCL188" s="1016"/>
      <c r="MCM188" s="1016"/>
      <c r="MCN188" s="1016"/>
      <c r="MCO188" s="1016"/>
      <c r="MCP188" s="1016"/>
      <c r="MCQ188" s="1016"/>
      <c r="MCR188" s="1016"/>
      <c r="MCS188" s="1016"/>
      <c r="MCT188" s="1016"/>
      <c r="MCU188" s="1016"/>
      <c r="MCV188" s="1016"/>
      <c r="MCW188" s="1016"/>
      <c r="MCX188" s="1016"/>
      <c r="MCY188" s="1016"/>
      <c r="MCZ188" s="1016"/>
      <c r="MDA188" s="1016"/>
      <c r="MDB188" s="1016"/>
      <c r="MDC188" s="1016"/>
      <c r="MDD188" s="1016"/>
      <c r="MDE188" s="1016"/>
      <c r="MDF188" s="1016"/>
      <c r="MDG188" s="1016"/>
      <c r="MDH188" s="1016"/>
      <c r="MDI188" s="1016"/>
      <c r="MDJ188" s="1016"/>
      <c r="MDK188" s="1016"/>
      <c r="MDL188" s="1016"/>
      <c r="MDM188" s="1016"/>
      <c r="MDN188" s="1016"/>
      <c r="MDO188" s="1016"/>
      <c r="MDP188" s="1016"/>
      <c r="MDQ188" s="1016"/>
      <c r="MDR188" s="1016"/>
      <c r="MDS188" s="1016"/>
      <c r="MDT188" s="1016"/>
      <c r="MDU188" s="1016"/>
      <c r="MDV188" s="1016"/>
      <c r="MDW188" s="1016"/>
      <c r="MDX188" s="1016"/>
      <c r="MDY188" s="1016"/>
      <c r="MDZ188" s="1016"/>
      <c r="MEA188" s="1016"/>
      <c r="MEB188" s="1016"/>
      <c r="MEC188" s="1016"/>
      <c r="MED188" s="1016"/>
      <c r="MEE188" s="1016"/>
      <c r="MEF188" s="1016"/>
      <c r="MEG188" s="1016"/>
      <c r="MEH188" s="1016"/>
      <c r="MEI188" s="1016"/>
      <c r="MEJ188" s="1016"/>
      <c r="MEK188" s="1016"/>
      <c r="MEL188" s="1016"/>
      <c r="MEM188" s="1016"/>
      <c r="MEN188" s="1016"/>
      <c r="MEO188" s="1016"/>
      <c r="MEP188" s="1016"/>
      <c r="MEQ188" s="1016"/>
      <c r="MER188" s="1016"/>
      <c r="MES188" s="1016"/>
      <c r="MET188" s="1016"/>
      <c r="MEU188" s="1016"/>
      <c r="MEV188" s="1016"/>
      <c r="MEW188" s="1016"/>
      <c r="MEX188" s="1016"/>
      <c r="MEY188" s="1016"/>
      <c r="MEZ188" s="1016"/>
      <c r="MFA188" s="1016"/>
      <c r="MFB188" s="1016"/>
      <c r="MFC188" s="1016"/>
      <c r="MFD188" s="1016"/>
      <c r="MFE188" s="1016"/>
      <c r="MFF188" s="1016"/>
      <c r="MFG188" s="1016"/>
      <c r="MFH188" s="1016"/>
      <c r="MFI188" s="1016"/>
      <c r="MFJ188" s="1016"/>
      <c r="MFK188" s="1016"/>
      <c r="MFL188" s="1016"/>
      <c r="MFM188" s="1016"/>
      <c r="MFN188" s="1016"/>
      <c r="MFO188" s="1016"/>
      <c r="MFP188" s="1016"/>
      <c r="MFQ188" s="1016"/>
      <c r="MFR188" s="1016"/>
      <c r="MFS188" s="1016"/>
      <c r="MFT188" s="1016"/>
      <c r="MFU188" s="1016"/>
      <c r="MFV188" s="1016"/>
      <c r="MFW188" s="1016"/>
      <c r="MFX188" s="1016"/>
      <c r="MFY188" s="1016"/>
      <c r="MFZ188" s="1016"/>
      <c r="MGA188" s="1016"/>
      <c r="MGB188" s="1016"/>
      <c r="MGC188" s="1016"/>
      <c r="MGD188" s="1016"/>
      <c r="MGE188" s="1016"/>
      <c r="MGF188" s="1016"/>
      <c r="MGG188" s="1016"/>
      <c r="MGH188" s="1016"/>
      <c r="MGI188" s="1016"/>
      <c r="MGJ188" s="1016"/>
      <c r="MGK188" s="1016"/>
      <c r="MGL188" s="1016"/>
      <c r="MGM188" s="1016"/>
      <c r="MGN188" s="1016"/>
      <c r="MGO188" s="1016"/>
      <c r="MGP188" s="1016"/>
      <c r="MGQ188" s="1016"/>
      <c r="MGR188" s="1016"/>
      <c r="MGS188" s="1016"/>
      <c r="MGT188" s="1016"/>
      <c r="MGU188" s="1016"/>
      <c r="MGV188" s="1016"/>
      <c r="MGW188" s="1016"/>
      <c r="MGX188" s="1016"/>
      <c r="MGY188" s="1016"/>
      <c r="MGZ188" s="1016"/>
      <c r="MHA188" s="1016"/>
      <c r="MHB188" s="1016"/>
      <c r="MHC188" s="1016"/>
      <c r="MHD188" s="1016"/>
      <c r="MHE188" s="1016"/>
      <c r="MHF188" s="1016"/>
      <c r="MHG188" s="1016"/>
      <c r="MHH188" s="1016"/>
      <c r="MHI188" s="1016"/>
      <c r="MHJ188" s="1016"/>
      <c r="MHK188" s="1016"/>
      <c r="MHL188" s="1016"/>
      <c r="MHM188" s="1016"/>
      <c r="MHN188" s="1016"/>
      <c r="MHO188" s="1016"/>
      <c r="MHP188" s="1016"/>
      <c r="MHQ188" s="1016"/>
      <c r="MHR188" s="1016"/>
      <c r="MHS188" s="1016"/>
      <c r="MHT188" s="1016"/>
      <c r="MHU188" s="1016"/>
      <c r="MHV188" s="1016"/>
      <c r="MHW188" s="1016"/>
      <c r="MHX188" s="1016"/>
      <c r="MHY188" s="1016"/>
      <c r="MHZ188" s="1016"/>
      <c r="MIA188" s="1016"/>
      <c r="MIB188" s="1016"/>
      <c r="MIC188" s="1016"/>
      <c r="MID188" s="1016"/>
      <c r="MIE188" s="1016"/>
      <c r="MIF188" s="1016"/>
      <c r="MIG188" s="1016"/>
      <c r="MIH188" s="1016"/>
      <c r="MII188" s="1016"/>
      <c r="MIJ188" s="1016"/>
      <c r="MIK188" s="1016"/>
      <c r="MIL188" s="1016"/>
      <c r="MIM188" s="1016"/>
      <c r="MIN188" s="1016"/>
      <c r="MIO188" s="1016"/>
      <c r="MIP188" s="1016"/>
      <c r="MIQ188" s="1016"/>
      <c r="MIR188" s="1016"/>
      <c r="MIS188" s="1016"/>
      <c r="MIT188" s="1016"/>
      <c r="MIU188" s="1016"/>
      <c r="MIV188" s="1016"/>
      <c r="MIW188" s="1016"/>
      <c r="MIX188" s="1016"/>
      <c r="MIY188" s="1016"/>
      <c r="MIZ188" s="1016"/>
      <c r="MJA188" s="1016"/>
      <c r="MJB188" s="1016"/>
      <c r="MJC188" s="1016"/>
      <c r="MJD188" s="1016"/>
      <c r="MJE188" s="1016"/>
      <c r="MJF188" s="1016"/>
      <c r="MJG188" s="1016"/>
      <c r="MJH188" s="1016"/>
      <c r="MJI188" s="1016"/>
      <c r="MJJ188" s="1016"/>
      <c r="MJK188" s="1016"/>
      <c r="MJL188" s="1016"/>
      <c r="MJM188" s="1016"/>
      <c r="MJN188" s="1016"/>
      <c r="MJO188" s="1016"/>
      <c r="MJP188" s="1016"/>
      <c r="MJQ188" s="1016"/>
      <c r="MJR188" s="1016"/>
      <c r="MJS188" s="1016"/>
      <c r="MJT188" s="1016"/>
      <c r="MJU188" s="1016"/>
      <c r="MJV188" s="1016"/>
      <c r="MJW188" s="1016"/>
      <c r="MJX188" s="1016"/>
      <c r="MJY188" s="1016"/>
      <c r="MJZ188" s="1016"/>
      <c r="MKA188" s="1016"/>
      <c r="MKB188" s="1016"/>
      <c r="MKC188" s="1016"/>
      <c r="MKD188" s="1016"/>
      <c r="MKE188" s="1016"/>
      <c r="MKF188" s="1016"/>
      <c r="MKG188" s="1016"/>
      <c r="MKH188" s="1016"/>
      <c r="MKI188" s="1016"/>
      <c r="MKJ188" s="1016"/>
      <c r="MKK188" s="1016"/>
      <c r="MKL188" s="1016"/>
      <c r="MKM188" s="1016"/>
      <c r="MKN188" s="1016"/>
      <c r="MKO188" s="1016"/>
      <c r="MKP188" s="1016"/>
      <c r="MKQ188" s="1016"/>
      <c r="MKR188" s="1016"/>
      <c r="MKS188" s="1016"/>
      <c r="MKT188" s="1016"/>
      <c r="MKU188" s="1016"/>
      <c r="MKV188" s="1016"/>
      <c r="MKW188" s="1016"/>
      <c r="MKX188" s="1016"/>
      <c r="MKY188" s="1016"/>
      <c r="MKZ188" s="1016"/>
      <c r="MLA188" s="1016"/>
      <c r="MLB188" s="1016"/>
      <c r="MLC188" s="1016"/>
      <c r="MLD188" s="1016"/>
      <c r="MLE188" s="1016"/>
      <c r="MLF188" s="1016"/>
      <c r="MLG188" s="1016"/>
      <c r="MLH188" s="1016"/>
      <c r="MLI188" s="1016"/>
      <c r="MLJ188" s="1016"/>
      <c r="MLK188" s="1016"/>
      <c r="MLL188" s="1016"/>
      <c r="MLM188" s="1016"/>
      <c r="MLN188" s="1016"/>
      <c r="MLO188" s="1016"/>
      <c r="MLP188" s="1016"/>
      <c r="MLQ188" s="1016"/>
      <c r="MLR188" s="1016"/>
      <c r="MLS188" s="1016"/>
      <c r="MLT188" s="1016"/>
      <c r="MLU188" s="1016"/>
      <c r="MLV188" s="1016"/>
      <c r="MLW188" s="1016"/>
      <c r="MLX188" s="1016"/>
      <c r="MLY188" s="1016"/>
      <c r="MLZ188" s="1016"/>
      <c r="MMA188" s="1016"/>
      <c r="MMB188" s="1016"/>
      <c r="MMC188" s="1016"/>
      <c r="MMD188" s="1016"/>
      <c r="MME188" s="1016"/>
      <c r="MMF188" s="1016"/>
      <c r="MMG188" s="1016"/>
      <c r="MMH188" s="1016"/>
      <c r="MMI188" s="1016"/>
      <c r="MMJ188" s="1016"/>
      <c r="MMK188" s="1016"/>
      <c r="MML188" s="1016"/>
      <c r="MMM188" s="1016"/>
      <c r="MMN188" s="1016"/>
      <c r="MMO188" s="1016"/>
      <c r="MMP188" s="1016"/>
      <c r="MMQ188" s="1016"/>
      <c r="MMR188" s="1016"/>
      <c r="MMS188" s="1016"/>
      <c r="MMT188" s="1016"/>
      <c r="MMU188" s="1016"/>
      <c r="MMV188" s="1016"/>
      <c r="MMW188" s="1016"/>
      <c r="MMX188" s="1016"/>
      <c r="MMY188" s="1016"/>
      <c r="MMZ188" s="1016"/>
      <c r="MNA188" s="1016"/>
      <c r="MNB188" s="1016"/>
      <c r="MNC188" s="1016"/>
      <c r="MND188" s="1016"/>
      <c r="MNE188" s="1016"/>
      <c r="MNF188" s="1016"/>
      <c r="MNG188" s="1016"/>
      <c r="MNH188" s="1016"/>
      <c r="MNI188" s="1016"/>
      <c r="MNJ188" s="1016"/>
      <c r="MNK188" s="1016"/>
      <c r="MNL188" s="1016"/>
      <c r="MNM188" s="1016"/>
      <c r="MNN188" s="1016"/>
      <c r="MNO188" s="1016"/>
      <c r="MNP188" s="1016"/>
      <c r="MNQ188" s="1016"/>
      <c r="MNR188" s="1016"/>
      <c r="MNS188" s="1016"/>
      <c r="MNT188" s="1016"/>
      <c r="MNU188" s="1016"/>
      <c r="MNV188" s="1016"/>
      <c r="MNW188" s="1016"/>
      <c r="MNX188" s="1016"/>
      <c r="MNY188" s="1016"/>
      <c r="MNZ188" s="1016"/>
      <c r="MOA188" s="1016"/>
      <c r="MOB188" s="1016"/>
      <c r="MOC188" s="1016"/>
      <c r="MOD188" s="1016"/>
      <c r="MOE188" s="1016"/>
      <c r="MOF188" s="1016"/>
      <c r="MOG188" s="1016"/>
      <c r="MOH188" s="1016"/>
      <c r="MOI188" s="1016"/>
      <c r="MOJ188" s="1016"/>
      <c r="MOK188" s="1016"/>
      <c r="MOL188" s="1016"/>
      <c r="MOM188" s="1016"/>
      <c r="MON188" s="1016"/>
      <c r="MOO188" s="1016"/>
      <c r="MOP188" s="1016"/>
      <c r="MOQ188" s="1016"/>
      <c r="MOR188" s="1016"/>
      <c r="MOS188" s="1016"/>
      <c r="MOT188" s="1016"/>
      <c r="MOU188" s="1016"/>
      <c r="MOV188" s="1016"/>
      <c r="MOW188" s="1016"/>
      <c r="MOX188" s="1016"/>
      <c r="MOY188" s="1016"/>
      <c r="MOZ188" s="1016"/>
      <c r="MPA188" s="1016"/>
      <c r="MPB188" s="1016"/>
      <c r="MPC188" s="1016"/>
      <c r="MPD188" s="1016"/>
      <c r="MPE188" s="1016"/>
      <c r="MPF188" s="1016"/>
      <c r="MPG188" s="1016"/>
      <c r="MPH188" s="1016"/>
      <c r="MPI188" s="1016"/>
      <c r="MPJ188" s="1016"/>
      <c r="MPK188" s="1016"/>
      <c r="MPL188" s="1016"/>
      <c r="MPM188" s="1016"/>
      <c r="MPN188" s="1016"/>
      <c r="MPO188" s="1016"/>
      <c r="MPP188" s="1016"/>
      <c r="MPQ188" s="1016"/>
      <c r="MPR188" s="1016"/>
      <c r="MPS188" s="1016"/>
      <c r="MPT188" s="1016"/>
      <c r="MPU188" s="1016"/>
      <c r="MPV188" s="1016"/>
      <c r="MPW188" s="1016"/>
      <c r="MPX188" s="1016"/>
      <c r="MPY188" s="1016"/>
      <c r="MPZ188" s="1016"/>
      <c r="MQA188" s="1016"/>
      <c r="MQB188" s="1016"/>
      <c r="MQC188" s="1016"/>
      <c r="MQD188" s="1016"/>
      <c r="MQE188" s="1016"/>
      <c r="MQF188" s="1016"/>
      <c r="MQG188" s="1016"/>
      <c r="MQH188" s="1016"/>
      <c r="MQI188" s="1016"/>
      <c r="MQJ188" s="1016"/>
      <c r="MQK188" s="1016"/>
      <c r="MQL188" s="1016"/>
      <c r="MQM188" s="1016"/>
      <c r="MQN188" s="1016"/>
      <c r="MQO188" s="1016"/>
      <c r="MQP188" s="1016"/>
      <c r="MQQ188" s="1016"/>
      <c r="MQR188" s="1016"/>
      <c r="MQS188" s="1016"/>
      <c r="MQT188" s="1016"/>
      <c r="MQU188" s="1016"/>
      <c r="MQV188" s="1016"/>
      <c r="MQW188" s="1016"/>
      <c r="MQX188" s="1016"/>
      <c r="MQY188" s="1016"/>
      <c r="MQZ188" s="1016"/>
      <c r="MRA188" s="1016"/>
      <c r="MRB188" s="1016"/>
      <c r="MRC188" s="1016"/>
      <c r="MRD188" s="1016"/>
      <c r="MRE188" s="1016"/>
      <c r="MRF188" s="1016"/>
      <c r="MRG188" s="1016"/>
      <c r="MRH188" s="1016"/>
      <c r="MRI188" s="1016"/>
      <c r="MRJ188" s="1016"/>
      <c r="MRK188" s="1016"/>
      <c r="MRL188" s="1016"/>
      <c r="MRM188" s="1016"/>
      <c r="MRN188" s="1016"/>
      <c r="MRO188" s="1016"/>
      <c r="MRP188" s="1016"/>
      <c r="MRQ188" s="1016"/>
      <c r="MRR188" s="1016"/>
      <c r="MRS188" s="1016"/>
      <c r="MRT188" s="1016"/>
      <c r="MRU188" s="1016"/>
      <c r="MRV188" s="1016"/>
      <c r="MRW188" s="1016"/>
      <c r="MRX188" s="1016"/>
      <c r="MRY188" s="1016"/>
      <c r="MRZ188" s="1016"/>
      <c r="MSA188" s="1016"/>
      <c r="MSB188" s="1016"/>
      <c r="MSC188" s="1016"/>
      <c r="MSD188" s="1016"/>
      <c r="MSE188" s="1016"/>
      <c r="MSF188" s="1016"/>
      <c r="MSG188" s="1016"/>
      <c r="MSH188" s="1016"/>
      <c r="MSI188" s="1016"/>
      <c r="MSJ188" s="1016"/>
      <c r="MSK188" s="1016"/>
      <c r="MSL188" s="1016"/>
      <c r="MSM188" s="1016"/>
      <c r="MSN188" s="1016"/>
      <c r="MSO188" s="1016"/>
      <c r="MSP188" s="1016"/>
      <c r="MSQ188" s="1016"/>
      <c r="MSR188" s="1016"/>
      <c r="MSS188" s="1016"/>
      <c r="MST188" s="1016"/>
      <c r="MSU188" s="1016"/>
      <c r="MSV188" s="1016"/>
      <c r="MSW188" s="1016"/>
      <c r="MSX188" s="1016"/>
      <c r="MSY188" s="1016"/>
      <c r="MSZ188" s="1016"/>
      <c r="MTA188" s="1016"/>
      <c r="MTB188" s="1016"/>
      <c r="MTC188" s="1016"/>
      <c r="MTD188" s="1016"/>
      <c r="MTE188" s="1016"/>
      <c r="MTF188" s="1016"/>
      <c r="MTG188" s="1016"/>
      <c r="MTH188" s="1016"/>
      <c r="MTI188" s="1016"/>
      <c r="MTJ188" s="1016"/>
      <c r="MTK188" s="1016"/>
      <c r="MTL188" s="1016"/>
      <c r="MTM188" s="1016"/>
      <c r="MTN188" s="1016"/>
      <c r="MTO188" s="1016"/>
      <c r="MTP188" s="1016"/>
      <c r="MTQ188" s="1016"/>
      <c r="MTR188" s="1016"/>
      <c r="MTS188" s="1016"/>
      <c r="MTT188" s="1016"/>
      <c r="MTU188" s="1016"/>
      <c r="MTV188" s="1016"/>
      <c r="MTW188" s="1016"/>
      <c r="MTX188" s="1016"/>
      <c r="MTY188" s="1016"/>
      <c r="MTZ188" s="1016"/>
      <c r="MUA188" s="1016"/>
      <c r="MUB188" s="1016"/>
      <c r="MUC188" s="1016"/>
      <c r="MUD188" s="1016"/>
      <c r="MUE188" s="1016"/>
      <c r="MUF188" s="1016"/>
      <c r="MUG188" s="1016"/>
      <c r="MUH188" s="1016"/>
      <c r="MUI188" s="1016"/>
      <c r="MUJ188" s="1016"/>
      <c r="MUK188" s="1016"/>
      <c r="MUL188" s="1016"/>
      <c r="MUM188" s="1016"/>
      <c r="MUN188" s="1016"/>
      <c r="MUO188" s="1016"/>
      <c r="MUP188" s="1016"/>
      <c r="MUQ188" s="1016"/>
      <c r="MUR188" s="1016"/>
      <c r="MUS188" s="1016"/>
      <c r="MUT188" s="1016"/>
      <c r="MUU188" s="1016"/>
      <c r="MUV188" s="1016"/>
      <c r="MUW188" s="1016"/>
      <c r="MUX188" s="1016"/>
      <c r="MUY188" s="1016"/>
      <c r="MUZ188" s="1016"/>
      <c r="MVA188" s="1016"/>
      <c r="MVB188" s="1016"/>
      <c r="MVC188" s="1016"/>
      <c r="MVD188" s="1016"/>
      <c r="MVE188" s="1016"/>
      <c r="MVF188" s="1016"/>
      <c r="MVG188" s="1016"/>
      <c r="MVH188" s="1016"/>
      <c r="MVI188" s="1016"/>
      <c r="MVJ188" s="1016"/>
      <c r="MVK188" s="1016"/>
      <c r="MVL188" s="1016"/>
      <c r="MVM188" s="1016"/>
      <c r="MVN188" s="1016"/>
      <c r="MVO188" s="1016"/>
      <c r="MVP188" s="1016"/>
      <c r="MVQ188" s="1016"/>
      <c r="MVR188" s="1016"/>
      <c r="MVS188" s="1016"/>
      <c r="MVT188" s="1016"/>
      <c r="MVU188" s="1016"/>
      <c r="MVV188" s="1016"/>
      <c r="MVW188" s="1016"/>
      <c r="MVX188" s="1016"/>
      <c r="MVY188" s="1016"/>
      <c r="MVZ188" s="1016"/>
      <c r="MWA188" s="1016"/>
      <c r="MWB188" s="1016"/>
      <c r="MWC188" s="1016"/>
      <c r="MWD188" s="1016"/>
      <c r="MWE188" s="1016"/>
      <c r="MWF188" s="1016"/>
      <c r="MWG188" s="1016"/>
      <c r="MWH188" s="1016"/>
      <c r="MWI188" s="1016"/>
      <c r="MWJ188" s="1016"/>
      <c r="MWK188" s="1016"/>
      <c r="MWL188" s="1016"/>
      <c r="MWM188" s="1016"/>
      <c r="MWN188" s="1016"/>
      <c r="MWO188" s="1016"/>
      <c r="MWP188" s="1016"/>
      <c r="MWQ188" s="1016"/>
      <c r="MWR188" s="1016"/>
      <c r="MWS188" s="1016"/>
      <c r="MWT188" s="1016"/>
      <c r="MWU188" s="1016"/>
      <c r="MWV188" s="1016"/>
      <c r="MWW188" s="1016"/>
      <c r="MWX188" s="1016"/>
      <c r="MWY188" s="1016"/>
      <c r="MWZ188" s="1016"/>
      <c r="MXA188" s="1016"/>
      <c r="MXB188" s="1016"/>
      <c r="MXC188" s="1016"/>
      <c r="MXD188" s="1016"/>
      <c r="MXE188" s="1016"/>
      <c r="MXF188" s="1016"/>
      <c r="MXG188" s="1016"/>
      <c r="MXH188" s="1016"/>
      <c r="MXI188" s="1016"/>
      <c r="MXJ188" s="1016"/>
      <c r="MXK188" s="1016"/>
      <c r="MXL188" s="1016"/>
      <c r="MXM188" s="1016"/>
      <c r="MXN188" s="1016"/>
      <c r="MXO188" s="1016"/>
      <c r="MXP188" s="1016"/>
      <c r="MXQ188" s="1016"/>
      <c r="MXR188" s="1016"/>
      <c r="MXS188" s="1016"/>
      <c r="MXT188" s="1016"/>
      <c r="MXU188" s="1016"/>
      <c r="MXV188" s="1016"/>
      <c r="MXW188" s="1016"/>
      <c r="MXX188" s="1016"/>
      <c r="MXY188" s="1016"/>
      <c r="MXZ188" s="1016"/>
      <c r="MYA188" s="1016"/>
      <c r="MYB188" s="1016"/>
      <c r="MYC188" s="1016"/>
      <c r="MYD188" s="1016"/>
      <c r="MYE188" s="1016"/>
      <c r="MYF188" s="1016"/>
      <c r="MYG188" s="1016"/>
      <c r="MYH188" s="1016"/>
      <c r="MYI188" s="1016"/>
      <c r="MYJ188" s="1016"/>
      <c r="MYK188" s="1016"/>
      <c r="MYL188" s="1016"/>
      <c r="MYM188" s="1016"/>
      <c r="MYN188" s="1016"/>
      <c r="MYO188" s="1016"/>
      <c r="MYP188" s="1016"/>
      <c r="MYQ188" s="1016"/>
      <c r="MYR188" s="1016"/>
      <c r="MYS188" s="1016"/>
      <c r="MYT188" s="1016"/>
      <c r="MYU188" s="1016"/>
      <c r="MYV188" s="1016"/>
      <c r="MYW188" s="1016"/>
      <c r="MYX188" s="1016"/>
      <c r="MYY188" s="1016"/>
      <c r="MYZ188" s="1016"/>
      <c r="MZA188" s="1016"/>
      <c r="MZB188" s="1016"/>
      <c r="MZC188" s="1016"/>
      <c r="MZD188" s="1016"/>
      <c r="MZE188" s="1016"/>
      <c r="MZF188" s="1016"/>
      <c r="MZG188" s="1016"/>
      <c r="MZH188" s="1016"/>
      <c r="MZI188" s="1016"/>
      <c r="MZJ188" s="1016"/>
      <c r="MZK188" s="1016"/>
      <c r="MZL188" s="1016"/>
      <c r="MZM188" s="1016"/>
      <c r="MZN188" s="1016"/>
      <c r="MZO188" s="1016"/>
      <c r="MZP188" s="1016"/>
      <c r="MZQ188" s="1016"/>
      <c r="MZR188" s="1016"/>
      <c r="MZS188" s="1016"/>
      <c r="MZT188" s="1016"/>
      <c r="MZU188" s="1016"/>
      <c r="MZV188" s="1016"/>
      <c r="MZW188" s="1016"/>
      <c r="MZX188" s="1016"/>
      <c r="MZY188" s="1016"/>
      <c r="MZZ188" s="1016"/>
      <c r="NAA188" s="1016"/>
      <c r="NAB188" s="1016"/>
      <c r="NAC188" s="1016"/>
      <c r="NAD188" s="1016"/>
      <c r="NAE188" s="1016"/>
      <c r="NAF188" s="1016"/>
      <c r="NAG188" s="1016"/>
      <c r="NAH188" s="1016"/>
      <c r="NAI188" s="1016"/>
      <c r="NAJ188" s="1016"/>
      <c r="NAK188" s="1016"/>
      <c r="NAL188" s="1016"/>
      <c r="NAM188" s="1016"/>
      <c r="NAN188" s="1016"/>
      <c r="NAO188" s="1016"/>
      <c r="NAP188" s="1016"/>
      <c r="NAQ188" s="1016"/>
      <c r="NAR188" s="1016"/>
      <c r="NAS188" s="1016"/>
      <c r="NAT188" s="1016"/>
      <c r="NAU188" s="1016"/>
      <c r="NAV188" s="1016"/>
      <c r="NAW188" s="1016"/>
      <c r="NAX188" s="1016"/>
      <c r="NAY188" s="1016"/>
      <c r="NAZ188" s="1016"/>
      <c r="NBA188" s="1016"/>
      <c r="NBB188" s="1016"/>
      <c r="NBC188" s="1016"/>
      <c r="NBD188" s="1016"/>
      <c r="NBE188" s="1016"/>
      <c r="NBF188" s="1016"/>
      <c r="NBG188" s="1016"/>
      <c r="NBH188" s="1016"/>
      <c r="NBI188" s="1016"/>
      <c r="NBJ188" s="1016"/>
      <c r="NBK188" s="1016"/>
      <c r="NBL188" s="1016"/>
      <c r="NBM188" s="1016"/>
      <c r="NBN188" s="1016"/>
      <c r="NBO188" s="1016"/>
      <c r="NBP188" s="1016"/>
      <c r="NBQ188" s="1016"/>
      <c r="NBR188" s="1016"/>
      <c r="NBS188" s="1016"/>
      <c r="NBT188" s="1016"/>
      <c r="NBU188" s="1016"/>
      <c r="NBV188" s="1016"/>
      <c r="NBW188" s="1016"/>
      <c r="NBX188" s="1016"/>
      <c r="NBY188" s="1016"/>
      <c r="NBZ188" s="1016"/>
      <c r="NCA188" s="1016"/>
      <c r="NCB188" s="1016"/>
      <c r="NCC188" s="1016"/>
      <c r="NCD188" s="1016"/>
      <c r="NCE188" s="1016"/>
      <c r="NCF188" s="1016"/>
      <c r="NCG188" s="1016"/>
      <c r="NCH188" s="1016"/>
      <c r="NCI188" s="1016"/>
      <c r="NCJ188" s="1016"/>
      <c r="NCK188" s="1016"/>
      <c r="NCL188" s="1016"/>
      <c r="NCM188" s="1016"/>
      <c r="NCN188" s="1016"/>
      <c r="NCO188" s="1016"/>
      <c r="NCP188" s="1016"/>
      <c r="NCQ188" s="1016"/>
      <c r="NCR188" s="1016"/>
      <c r="NCS188" s="1016"/>
      <c r="NCT188" s="1016"/>
      <c r="NCU188" s="1016"/>
      <c r="NCV188" s="1016"/>
      <c r="NCW188" s="1016"/>
      <c r="NCX188" s="1016"/>
      <c r="NCY188" s="1016"/>
      <c r="NCZ188" s="1016"/>
      <c r="NDA188" s="1016"/>
      <c r="NDB188" s="1016"/>
      <c r="NDC188" s="1016"/>
      <c r="NDD188" s="1016"/>
      <c r="NDE188" s="1016"/>
      <c r="NDF188" s="1016"/>
      <c r="NDG188" s="1016"/>
      <c r="NDH188" s="1016"/>
      <c r="NDI188" s="1016"/>
      <c r="NDJ188" s="1016"/>
      <c r="NDK188" s="1016"/>
      <c r="NDL188" s="1016"/>
      <c r="NDM188" s="1016"/>
      <c r="NDN188" s="1016"/>
      <c r="NDO188" s="1016"/>
      <c r="NDP188" s="1016"/>
      <c r="NDQ188" s="1016"/>
      <c r="NDR188" s="1016"/>
      <c r="NDS188" s="1016"/>
      <c r="NDT188" s="1016"/>
      <c r="NDU188" s="1016"/>
      <c r="NDV188" s="1016"/>
      <c r="NDW188" s="1016"/>
      <c r="NDX188" s="1016"/>
      <c r="NDY188" s="1016"/>
      <c r="NDZ188" s="1016"/>
      <c r="NEA188" s="1016"/>
      <c r="NEB188" s="1016"/>
      <c r="NEC188" s="1016"/>
      <c r="NED188" s="1016"/>
      <c r="NEE188" s="1016"/>
      <c r="NEF188" s="1016"/>
      <c r="NEG188" s="1016"/>
      <c r="NEH188" s="1016"/>
      <c r="NEI188" s="1016"/>
      <c r="NEJ188" s="1016"/>
      <c r="NEK188" s="1016"/>
      <c r="NEL188" s="1016"/>
      <c r="NEM188" s="1016"/>
      <c r="NEN188" s="1016"/>
      <c r="NEO188" s="1016"/>
      <c r="NEP188" s="1016"/>
      <c r="NEQ188" s="1016"/>
      <c r="NER188" s="1016"/>
      <c r="NES188" s="1016"/>
      <c r="NET188" s="1016"/>
      <c r="NEU188" s="1016"/>
      <c r="NEV188" s="1016"/>
      <c r="NEW188" s="1016"/>
      <c r="NEX188" s="1016"/>
      <c r="NEY188" s="1016"/>
      <c r="NEZ188" s="1016"/>
      <c r="NFA188" s="1016"/>
      <c r="NFB188" s="1016"/>
      <c r="NFC188" s="1016"/>
      <c r="NFD188" s="1016"/>
      <c r="NFE188" s="1016"/>
      <c r="NFF188" s="1016"/>
      <c r="NFG188" s="1016"/>
      <c r="NFH188" s="1016"/>
      <c r="NFI188" s="1016"/>
      <c r="NFJ188" s="1016"/>
      <c r="NFK188" s="1016"/>
      <c r="NFL188" s="1016"/>
      <c r="NFM188" s="1016"/>
      <c r="NFN188" s="1016"/>
      <c r="NFO188" s="1016"/>
      <c r="NFP188" s="1016"/>
      <c r="NFQ188" s="1016"/>
      <c r="NFR188" s="1016"/>
      <c r="NFS188" s="1016"/>
      <c r="NFT188" s="1016"/>
      <c r="NFU188" s="1016"/>
      <c r="NFV188" s="1016"/>
      <c r="NFW188" s="1016"/>
      <c r="NFX188" s="1016"/>
      <c r="NFY188" s="1016"/>
      <c r="NFZ188" s="1016"/>
      <c r="NGA188" s="1016"/>
      <c r="NGB188" s="1016"/>
      <c r="NGC188" s="1016"/>
      <c r="NGD188" s="1016"/>
      <c r="NGE188" s="1016"/>
      <c r="NGF188" s="1016"/>
      <c r="NGG188" s="1016"/>
      <c r="NGH188" s="1016"/>
      <c r="NGI188" s="1016"/>
      <c r="NGJ188" s="1016"/>
      <c r="NGK188" s="1016"/>
      <c r="NGL188" s="1016"/>
      <c r="NGM188" s="1016"/>
      <c r="NGN188" s="1016"/>
      <c r="NGO188" s="1016"/>
      <c r="NGP188" s="1016"/>
      <c r="NGQ188" s="1016"/>
      <c r="NGR188" s="1016"/>
      <c r="NGS188" s="1016"/>
      <c r="NGT188" s="1016"/>
      <c r="NGU188" s="1016"/>
      <c r="NGV188" s="1016"/>
      <c r="NGW188" s="1016"/>
      <c r="NGX188" s="1016"/>
      <c r="NGY188" s="1016"/>
      <c r="NGZ188" s="1016"/>
      <c r="NHA188" s="1016"/>
      <c r="NHB188" s="1016"/>
      <c r="NHC188" s="1016"/>
      <c r="NHD188" s="1016"/>
      <c r="NHE188" s="1016"/>
      <c r="NHF188" s="1016"/>
      <c r="NHG188" s="1016"/>
      <c r="NHH188" s="1016"/>
      <c r="NHI188" s="1016"/>
      <c r="NHJ188" s="1016"/>
      <c r="NHK188" s="1016"/>
      <c r="NHL188" s="1016"/>
      <c r="NHM188" s="1016"/>
      <c r="NHN188" s="1016"/>
      <c r="NHO188" s="1016"/>
      <c r="NHP188" s="1016"/>
      <c r="NHQ188" s="1016"/>
      <c r="NHR188" s="1016"/>
      <c r="NHS188" s="1016"/>
      <c r="NHT188" s="1016"/>
      <c r="NHU188" s="1016"/>
      <c r="NHV188" s="1016"/>
      <c r="NHW188" s="1016"/>
      <c r="NHX188" s="1016"/>
      <c r="NHY188" s="1016"/>
      <c r="NHZ188" s="1016"/>
      <c r="NIA188" s="1016"/>
      <c r="NIB188" s="1016"/>
      <c r="NIC188" s="1016"/>
      <c r="NID188" s="1016"/>
      <c r="NIE188" s="1016"/>
      <c r="NIF188" s="1016"/>
      <c r="NIG188" s="1016"/>
      <c r="NIH188" s="1016"/>
      <c r="NII188" s="1016"/>
      <c r="NIJ188" s="1016"/>
      <c r="NIK188" s="1016"/>
      <c r="NIL188" s="1016"/>
      <c r="NIM188" s="1016"/>
      <c r="NIN188" s="1016"/>
      <c r="NIO188" s="1016"/>
      <c r="NIP188" s="1016"/>
      <c r="NIQ188" s="1016"/>
      <c r="NIR188" s="1016"/>
      <c r="NIS188" s="1016"/>
      <c r="NIT188" s="1016"/>
      <c r="NIU188" s="1016"/>
      <c r="NIV188" s="1016"/>
      <c r="NIW188" s="1016"/>
      <c r="NIX188" s="1016"/>
      <c r="NIY188" s="1016"/>
      <c r="NIZ188" s="1016"/>
      <c r="NJA188" s="1016"/>
      <c r="NJB188" s="1016"/>
      <c r="NJC188" s="1016"/>
      <c r="NJD188" s="1016"/>
      <c r="NJE188" s="1016"/>
      <c r="NJF188" s="1016"/>
      <c r="NJG188" s="1016"/>
      <c r="NJH188" s="1016"/>
      <c r="NJI188" s="1016"/>
      <c r="NJJ188" s="1016"/>
      <c r="NJK188" s="1016"/>
      <c r="NJL188" s="1016"/>
      <c r="NJM188" s="1016"/>
      <c r="NJN188" s="1016"/>
      <c r="NJO188" s="1016"/>
      <c r="NJP188" s="1016"/>
      <c r="NJQ188" s="1016"/>
      <c r="NJR188" s="1016"/>
      <c r="NJS188" s="1016"/>
      <c r="NJT188" s="1016"/>
      <c r="NJU188" s="1016"/>
      <c r="NJV188" s="1016"/>
      <c r="NJW188" s="1016"/>
      <c r="NJX188" s="1016"/>
      <c r="NJY188" s="1016"/>
      <c r="NJZ188" s="1016"/>
      <c r="NKA188" s="1016"/>
      <c r="NKB188" s="1016"/>
      <c r="NKC188" s="1016"/>
      <c r="NKD188" s="1016"/>
      <c r="NKE188" s="1016"/>
      <c r="NKF188" s="1016"/>
      <c r="NKG188" s="1016"/>
      <c r="NKH188" s="1016"/>
      <c r="NKI188" s="1016"/>
      <c r="NKJ188" s="1016"/>
      <c r="NKK188" s="1016"/>
      <c r="NKL188" s="1016"/>
      <c r="NKM188" s="1016"/>
      <c r="NKN188" s="1016"/>
      <c r="NKO188" s="1016"/>
      <c r="NKP188" s="1016"/>
      <c r="NKQ188" s="1016"/>
      <c r="NKR188" s="1016"/>
      <c r="NKS188" s="1016"/>
      <c r="NKT188" s="1016"/>
      <c r="NKU188" s="1016"/>
      <c r="NKV188" s="1016"/>
      <c r="NKW188" s="1016"/>
      <c r="NKX188" s="1016"/>
      <c r="NKY188" s="1016"/>
      <c r="NKZ188" s="1016"/>
      <c r="NLA188" s="1016"/>
      <c r="NLB188" s="1016"/>
      <c r="NLC188" s="1016"/>
      <c r="NLD188" s="1016"/>
      <c r="NLE188" s="1016"/>
      <c r="NLF188" s="1016"/>
      <c r="NLG188" s="1016"/>
      <c r="NLH188" s="1016"/>
      <c r="NLI188" s="1016"/>
      <c r="NLJ188" s="1016"/>
      <c r="NLK188" s="1016"/>
      <c r="NLL188" s="1016"/>
      <c r="NLM188" s="1016"/>
      <c r="NLN188" s="1016"/>
      <c r="NLO188" s="1016"/>
      <c r="NLP188" s="1016"/>
      <c r="NLQ188" s="1016"/>
      <c r="NLR188" s="1016"/>
      <c r="NLS188" s="1016"/>
      <c r="NLT188" s="1016"/>
      <c r="NLU188" s="1016"/>
      <c r="NLV188" s="1016"/>
      <c r="NLW188" s="1016"/>
      <c r="NLX188" s="1016"/>
      <c r="NLY188" s="1016"/>
      <c r="NLZ188" s="1016"/>
      <c r="NMA188" s="1016"/>
      <c r="NMB188" s="1016"/>
      <c r="NMC188" s="1016"/>
      <c r="NMD188" s="1016"/>
      <c r="NME188" s="1016"/>
      <c r="NMF188" s="1016"/>
      <c r="NMG188" s="1016"/>
      <c r="NMH188" s="1016"/>
      <c r="NMI188" s="1016"/>
      <c r="NMJ188" s="1016"/>
      <c r="NMK188" s="1016"/>
      <c r="NML188" s="1016"/>
      <c r="NMM188" s="1016"/>
      <c r="NMN188" s="1016"/>
      <c r="NMO188" s="1016"/>
      <c r="NMP188" s="1016"/>
      <c r="NMQ188" s="1016"/>
      <c r="NMR188" s="1016"/>
      <c r="NMS188" s="1016"/>
      <c r="NMT188" s="1016"/>
      <c r="NMU188" s="1016"/>
      <c r="NMV188" s="1016"/>
      <c r="NMW188" s="1016"/>
      <c r="NMX188" s="1016"/>
      <c r="NMY188" s="1016"/>
      <c r="NMZ188" s="1016"/>
      <c r="NNA188" s="1016"/>
      <c r="NNB188" s="1016"/>
      <c r="NNC188" s="1016"/>
      <c r="NND188" s="1016"/>
      <c r="NNE188" s="1016"/>
      <c r="NNF188" s="1016"/>
      <c r="NNG188" s="1016"/>
      <c r="NNH188" s="1016"/>
      <c r="NNI188" s="1016"/>
      <c r="NNJ188" s="1016"/>
      <c r="NNK188" s="1016"/>
      <c r="NNL188" s="1016"/>
      <c r="NNM188" s="1016"/>
      <c r="NNN188" s="1016"/>
      <c r="NNO188" s="1016"/>
      <c r="NNP188" s="1016"/>
      <c r="NNQ188" s="1016"/>
      <c r="NNR188" s="1016"/>
      <c r="NNS188" s="1016"/>
      <c r="NNT188" s="1016"/>
      <c r="NNU188" s="1016"/>
      <c r="NNV188" s="1016"/>
      <c r="NNW188" s="1016"/>
      <c r="NNX188" s="1016"/>
      <c r="NNY188" s="1016"/>
      <c r="NNZ188" s="1016"/>
      <c r="NOA188" s="1016"/>
      <c r="NOB188" s="1016"/>
      <c r="NOC188" s="1016"/>
      <c r="NOD188" s="1016"/>
      <c r="NOE188" s="1016"/>
      <c r="NOF188" s="1016"/>
      <c r="NOG188" s="1016"/>
      <c r="NOH188" s="1016"/>
      <c r="NOI188" s="1016"/>
      <c r="NOJ188" s="1016"/>
      <c r="NOK188" s="1016"/>
      <c r="NOL188" s="1016"/>
      <c r="NOM188" s="1016"/>
      <c r="NON188" s="1016"/>
      <c r="NOO188" s="1016"/>
      <c r="NOP188" s="1016"/>
      <c r="NOQ188" s="1016"/>
      <c r="NOR188" s="1016"/>
      <c r="NOS188" s="1016"/>
      <c r="NOT188" s="1016"/>
      <c r="NOU188" s="1016"/>
      <c r="NOV188" s="1016"/>
      <c r="NOW188" s="1016"/>
      <c r="NOX188" s="1016"/>
      <c r="NOY188" s="1016"/>
      <c r="NOZ188" s="1016"/>
      <c r="NPA188" s="1016"/>
      <c r="NPB188" s="1016"/>
      <c r="NPC188" s="1016"/>
      <c r="NPD188" s="1016"/>
      <c r="NPE188" s="1016"/>
      <c r="NPF188" s="1016"/>
      <c r="NPG188" s="1016"/>
      <c r="NPH188" s="1016"/>
      <c r="NPI188" s="1016"/>
      <c r="NPJ188" s="1016"/>
      <c r="NPK188" s="1016"/>
      <c r="NPL188" s="1016"/>
      <c r="NPM188" s="1016"/>
      <c r="NPN188" s="1016"/>
      <c r="NPO188" s="1016"/>
      <c r="NPP188" s="1016"/>
      <c r="NPQ188" s="1016"/>
      <c r="NPR188" s="1016"/>
      <c r="NPS188" s="1016"/>
      <c r="NPT188" s="1016"/>
      <c r="NPU188" s="1016"/>
      <c r="NPV188" s="1016"/>
      <c r="NPW188" s="1016"/>
      <c r="NPX188" s="1016"/>
      <c r="NPY188" s="1016"/>
      <c r="NPZ188" s="1016"/>
      <c r="NQA188" s="1016"/>
      <c r="NQB188" s="1016"/>
      <c r="NQC188" s="1016"/>
      <c r="NQD188" s="1016"/>
      <c r="NQE188" s="1016"/>
      <c r="NQF188" s="1016"/>
      <c r="NQG188" s="1016"/>
      <c r="NQH188" s="1016"/>
      <c r="NQI188" s="1016"/>
      <c r="NQJ188" s="1016"/>
      <c r="NQK188" s="1016"/>
      <c r="NQL188" s="1016"/>
      <c r="NQM188" s="1016"/>
      <c r="NQN188" s="1016"/>
      <c r="NQO188" s="1016"/>
      <c r="NQP188" s="1016"/>
      <c r="NQQ188" s="1016"/>
      <c r="NQR188" s="1016"/>
      <c r="NQS188" s="1016"/>
      <c r="NQT188" s="1016"/>
      <c r="NQU188" s="1016"/>
      <c r="NQV188" s="1016"/>
      <c r="NQW188" s="1016"/>
      <c r="NQX188" s="1016"/>
      <c r="NQY188" s="1016"/>
      <c r="NQZ188" s="1016"/>
      <c r="NRA188" s="1016"/>
      <c r="NRB188" s="1016"/>
      <c r="NRC188" s="1016"/>
      <c r="NRD188" s="1016"/>
      <c r="NRE188" s="1016"/>
      <c r="NRF188" s="1016"/>
      <c r="NRG188" s="1016"/>
      <c r="NRH188" s="1016"/>
      <c r="NRI188" s="1016"/>
      <c r="NRJ188" s="1016"/>
      <c r="NRK188" s="1016"/>
      <c r="NRL188" s="1016"/>
      <c r="NRM188" s="1016"/>
      <c r="NRN188" s="1016"/>
      <c r="NRO188" s="1016"/>
      <c r="NRP188" s="1016"/>
      <c r="NRQ188" s="1016"/>
      <c r="NRR188" s="1016"/>
      <c r="NRS188" s="1016"/>
      <c r="NRT188" s="1016"/>
      <c r="NRU188" s="1016"/>
      <c r="NRV188" s="1016"/>
      <c r="NRW188" s="1016"/>
      <c r="NRX188" s="1016"/>
      <c r="NRY188" s="1016"/>
      <c r="NRZ188" s="1016"/>
      <c r="NSA188" s="1016"/>
      <c r="NSB188" s="1016"/>
      <c r="NSC188" s="1016"/>
      <c r="NSD188" s="1016"/>
      <c r="NSE188" s="1016"/>
      <c r="NSF188" s="1016"/>
      <c r="NSG188" s="1016"/>
      <c r="NSH188" s="1016"/>
      <c r="NSI188" s="1016"/>
      <c r="NSJ188" s="1016"/>
      <c r="NSK188" s="1016"/>
      <c r="NSL188" s="1016"/>
      <c r="NSM188" s="1016"/>
      <c r="NSN188" s="1016"/>
      <c r="NSO188" s="1016"/>
      <c r="NSP188" s="1016"/>
      <c r="NSQ188" s="1016"/>
      <c r="NSR188" s="1016"/>
      <c r="NSS188" s="1016"/>
      <c r="NST188" s="1016"/>
      <c r="NSU188" s="1016"/>
      <c r="NSV188" s="1016"/>
      <c r="NSW188" s="1016"/>
      <c r="NSX188" s="1016"/>
      <c r="NSY188" s="1016"/>
      <c r="NSZ188" s="1016"/>
      <c r="NTA188" s="1016"/>
      <c r="NTB188" s="1016"/>
      <c r="NTC188" s="1016"/>
      <c r="NTD188" s="1016"/>
      <c r="NTE188" s="1016"/>
      <c r="NTF188" s="1016"/>
      <c r="NTG188" s="1016"/>
      <c r="NTH188" s="1016"/>
      <c r="NTI188" s="1016"/>
      <c r="NTJ188" s="1016"/>
      <c r="NTK188" s="1016"/>
      <c r="NTL188" s="1016"/>
      <c r="NTM188" s="1016"/>
      <c r="NTN188" s="1016"/>
      <c r="NTO188" s="1016"/>
      <c r="NTP188" s="1016"/>
      <c r="NTQ188" s="1016"/>
      <c r="NTR188" s="1016"/>
      <c r="NTS188" s="1016"/>
      <c r="NTT188" s="1016"/>
      <c r="NTU188" s="1016"/>
      <c r="NTV188" s="1016"/>
      <c r="NTW188" s="1016"/>
      <c r="NTX188" s="1016"/>
      <c r="NTY188" s="1016"/>
      <c r="NTZ188" s="1016"/>
      <c r="NUA188" s="1016"/>
      <c r="NUB188" s="1016"/>
      <c r="NUC188" s="1016"/>
      <c r="NUD188" s="1016"/>
      <c r="NUE188" s="1016"/>
      <c r="NUF188" s="1016"/>
      <c r="NUG188" s="1016"/>
      <c r="NUH188" s="1016"/>
      <c r="NUI188" s="1016"/>
      <c r="NUJ188" s="1016"/>
      <c r="NUK188" s="1016"/>
      <c r="NUL188" s="1016"/>
      <c r="NUM188" s="1016"/>
      <c r="NUN188" s="1016"/>
      <c r="NUO188" s="1016"/>
      <c r="NUP188" s="1016"/>
      <c r="NUQ188" s="1016"/>
      <c r="NUR188" s="1016"/>
      <c r="NUS188" s="1016"/>
      <c r="NUT188" s="1016"/>
      <c r="NUU188" s="1016"/>
      <c r="NUV188" s="1016"/>
      <c r="NUW188" s="1016"/>
      <c r="NUX188" s="1016"/>
      <c r="NUY188" s="1016"/>
      <c r="NUZ188" s="1016"/>
      <c r="NVA188" s="1016"/>
      <c r="NVB188" s="1016"/>
      <c r="NVC188" s="1016"/>
      <c r="NVD188" s="1016"/>
      <c r="NVE188" s="1016"/>
      <c r="NVF188" s="1016"/>
      <c r="NVG188" s="1016"/>
      <c r="NVH188" s="1016"/>
      <c r="NVI188" s="1016"/>
      <c r="NVJ188" s="1016"/>
      <c r="NVK188" s="1016"/>
      <c r="NVL188" s="1016"/>
      <c r="NVM188" s="1016"/>
      <c r="NVN188" s="1016"/>
      <c r="NVO188" s="1016"/>
      <c r="NVP188" s="1016"/>
      <c r="NVQ188" s="1016"/>
      <c r="NVR188" s="1016"/>
      <c r="NVS188" s="1016"/>
      <c r="NVT188" s="1016"/>
      <c r="NVU188" s="1016"/>
      <c r="NVV188" s="1016"/>
      <c r="NVW188" s="1016"/>
      <c r="NVX188" s="1016"/>
      <c r="NVY188" s="1016"/>
      <c r="NVZ188" s="1016"/>
      <c r="NWA188" s="1016"/>
      <c r="NWB188" s="1016"/>
      <c r="NWC188" s="1016"/>
      <c r="NWD188" s="1016"/>
      <c r="NWE188" s="1016"/>
      <c r="NWF188" s="1016"/>
      <c r="NWG188" s="1016"/>
      <c r="NWH188" s="1016"/>
      <c r="NWI188" s="1016"/>
      <c r="NWJ188" s="1016"/>
      <c r="NWK188" s="1016"/>
      <c r="NWL188" s="1016"/>
      <c r="NWM188" s="1016"/>
      <c r="NWN188" s="1016"/>
      <c r="NWO188" s="1016"/>
      <c r="NWP188" s="1016"/>
      <c r="NWQ188" s="1016"/>
      <c r="NWR188" s="1016"/>
      <c r="NWS188" s="1016"/>
      <c r="NWT188" s="1016"/>
      <c r="NWU188" s="1016"/>
      <c r="NWV188" s="1016"/>
      <c r="NWW188" s="1016"/>
      <c r="NWX188" s="1016"/>
      <c r="NWY188" s="1016"/>
      <c r="NWZ188" s="1016"/>
      <c r="NXA188" s="1016"/>
      <c r="NXB188" s="1016"/>
      <c r="NXC188" s="1016"/>
      <c r="NXD188" s="1016"/>
      <c r="NXE188" s="1016"/>
      <c r="NXF188" s="1016"/>
      <c r="NXG188" s="1016"/>
      <c r="NXH188" s="1016"/>
      <c r="NXI188" s="1016"/>
      <c r="NXJ188" s="1016"/>
      <c r="NXK188" s="1016"/>
      <c r="NXL188" s="1016"/>
      <c r="NXM188" s="1016"/>
      <c r="NXN188" s="1016"/>
      <c r="NXO188" s="1016"/>
      <c r="NXP188" s="1016"/>
      <c r="NXQ188" s="1016"/>
      <c r="NXR188" s="1016"/>
      <c r="NXS188" s="1016"/>
      <c r="NXT188" s="1016"/>
      <c r="NXU188" s="1016"/>
      <c r="NXV188" s="1016"/>
      <c r="NXW188" s="1016"/>
      <c r="NXX188" s="1016"/>
      <c r="NXY188" s="1016"/>
      <c r="NXZ188" s="1016"/>
      <c r="NYA188" s="1016"/>
      <c r="NYB188" s="1016"/>
      <c r="NYC188" s="1016"/>
      <c r="NYD188" s="1016"/>
      <c r="NYE188" s="1016"/>
      <c r="NYF188" s="1016"/>
      <c r="NYG188" s="1016"/>
      <c r="NYH188" s="1016"/>
      <c r="NYI188" s="1016"/>
      <c r="NYJ188" s="1016"/>
      <c r="NYK188" s="1016"/>
      <c r="NYL188" s="1016"/>
      <c r="NYM188" s="1016"/>
      <c r="NYN188" s="1016"/>
      <c r="NYO188" s="1016"/>
      <c r="NYP188" s="1016"/>
      <c r="NYQ188" s="1016"/>
      <c r="NYR188" s="1016"/>
      <c r="NYS188" s="1016"/>
      <c r="NYT188" s="1016"/>
      <c r="NYU188" s="1016"/>
      <c r="NYV188" s="1016"/>
      <c r="NYW188" s="1016"/>
      <c r="NYX188" s="1016"/>
      <c r="NYY188" s="1016"/>
      <c r="NYZ188" s="1016"/>
      <c r="NZA188" s="1016"/>
      <c r="NZB188" s="1016"/>
      <c r="NZC188" s="1016"/>
      <c r="NZD188" s="1016"/>
      <c r="NZE188" s="1016"/>
      <c r="NZF188" s="1016"/>
      <c r="NZG188" s="1016"/>
      <c r="NZH188" s="1016"/>
      <c r="NZI188" s="1016"/>
      <c r="NZJ188" s="1016"/>
      <c r="NZK188" s="1016"/>
      <c r="NZL188" s="1016"/>
      <c r="NZM188" s="1016"/>
      <c r="NZN188" s="1016"/>
      <c r="NZO188" s="1016"/>
      <c r="NZP188" s="1016"/>
      <c r="NZQ188" s="1016"/>
      <c r="NZR188" s="1016"/>
      <c r="NZS188" s="1016"/>
      <c r="NZT188" s="1016"/>
      <c r="NZU188" s="1016"/>
      <c r="NZV188" s="1016"/>
      <c r="NZW188" s="1016"/>
      <c r="NZX188" s="1016"/>
      <c r="NZY188" s="1016"/>
      <c r="NZZ188" s="1016"/>
      <c r="OAA188" s="1016"/>
      <c r="OAB188" s="1016"/>
      <c r="OAC188" s="1016"/>
      <c r="OAD188" s="1016"/>
      <c r="OAE188" s="1016"/>
      <c r="OAF188" s="1016"/>
      <c r="OAG188" s="1016"/>
      <c r="OAH188" s="1016"/>
      <c r="OAI188" s="1016"/>
      <c r="OAJ188" s="1016"/>
      <c r="OAK188" s="1016"/>
      <c r="OAL188" s="1016"/>
      <c r="OAM188" s="1016"/>
      <c r="OAN188" s="1016"/>
      <c r="OAO188" s="1016"/>
      <c r="OAP188" s="1016"/>
      <c r="OAQ188" s="1016"/>
      <c r="OAR188" s="1016"/>
      <c r="OAS188" s="1016"/>
      <c r="OAT188" s="1016"/>
      <c r="OAU188" s="1016"/>
      <c r="OAV188" s="1016"/>
      <c r="OAW188" s="1016"/>
      <c r="OAX188" s="1016"/>
      <c r="OAY188" s="1016"/>
      <c r="OAZ188" s="1016"/>
      <c r="OBA188" s="1016"/>
      <c r="OBB188" s="1016"/>
      <c r="OBC188" s="1016"/>
      <c r="OBD188" s="1016"/>
      <c r="OBE188" s="1016"/>
      <c r="OBF188" s="1016"/>
      <c r="OBG188" s="1016"/>
      <c r="OBH188" s="1016"/>
      <c r="OBI188" s="1016"/>
      <c r="OBJ188" s="1016"/>
      <c r="OBK188" s="1016"/>
      <c r="OBL188" s="1016"/>
      <c r="OBM188" s="1016"/>
      <c r="OBN188" s="1016"/>
      <c r="OBO188" s="1016"/>
      <c r="OBP188" s="1016"/>
      <c r="OBQ188" s="1016"/>
      <c r="OBR188" s="1016"/>
      <c r="OBS188" s="1016"/>
      <c r="OBT188" s="1016"/>
      <c r="OBU188" s="1016"/>
      <c r="OBV188" s="1016"/>
      <c r="OBW188" s="1016"/>
      <c r="OBX188" s="1016"/>
      <c r="OBY188" s="1016"/>
      <c r="OBZ188" s="1016"/>
      <c r="OCA188" s="1016"/>
      <c r="OCB188" s="1016"/>
      <c r="OCC188" s="1016"/>
      <c r="OCD188" s="1016"/>
      <c r="OCE188" s="1016"/>
      <c r="OCF188" s="1016"/>
      <c r="OCG188" s="1016"/>
      <c r="OCH188" s="1016"/>
      <c r="OCI188" s="1016"/>
      <c r="OCJ188" s="1016"/>
      <c r="OCK188" s="1016"/>
      <c r="OCL188" s="1016"/>
      <c r="OCM188" s="1016"/>
      <c r="OCN188" s="1016"/>
      <c r="OCO188" s="1016"/>
      <c r="OCP188" s="1016"/>
      <c r="OCQ188" s="1016"/>
      <c r="OCR188" s="1016"/>
      <c r="OCS188" s="1016"/>
      <c r="OCT188" s="1016"/>
      <c r="OCU188" s="1016"/>
      <c r="OCV188" s="1016"/>
      <c r="OCW188" s="1016"/>
      <c r="OCX188" s="1016"/>
      <c r="OCY188" s="1016"/>
      <c r="OCZ188" s="1016"/>
      <c r="ODA188" s="1016"/>
      <c r="ODB188" s="1016"/>
      <c r="ODC188" s="1016"/>
      <c r="ODD188" s="1016"/>
      <c r="ODE188" s="1016"/>
      <c r="ODF188" s="1016"/>
      <c r="ODG188" s="1016"/>
      <c r="ODH188" s="1016"/>
      <c r="ODI188" s="1016"/>
      <c r="ODJ188" s="1016"/>
      <c r="ODK188" s="1016"/>
      <c r="ODL188" s="1016"/>
      <c r="ODM188" s="1016"/>
      <c r="ODN188" s="1016"/>
      <c r="ODO188" s="1016"/>
      <c r="ODP188" s="1016"/>
      <c r="ODQ188" s="1016"/>
      <c r="ODR188" s="1016"/>
      <c r="ODS188" s="1016"/>
      <c r="ODT188" s="1016"/>
      <c r="ODU188" s="1016"/>
      <c r="ODV188" s="1016"/>
      <c r="ODW188" s="1016"/>
      <c r="ODX188" s="1016"/>
      <c r="ODY188" s="1016"/>
      <c r="ODZ188" s="1016"/>
      <c r="OEA188" s="1016"/>
      <c r="OEB188" s="1016"/>
      <c r="OEC188" s="1016"/>
      <c r="OED188" s="1016"/>
      <c r="OEE188" s="1016"/>
      <c r="OEF188" s="1016"/>
      <c r="OEG188" s="1016"/>
      <c r="OEH188" s="1016"/>
      <c r="OEI188" s="1016"/>
      <c r="OEJ188" s="1016"/>
      <c r="OEK188" s="1016"/>
      <c r="OEL188" s="1016"/>
      <c r="OEM188" s="1016"/>
      <c r="OEN188" s="1016"/>
      <c r="OEO188" s="1016"/>
      <c r="OEP188" s="1016"/>
      <c r="OEQ188" s="1016"/>
      <c r="OER188" s="1016"/>
      <c r="OES188" s="1016"/>
      <c r="OET188" s="1016"/>
      <c r="OEU188" s="1016"/>
      <c r="OEV188" s="1016"/>
      <c r="OEW188" s="1016"/>
      <c r="OEX188" s="1016"/>
      <c r="OEY188" s="1016"/>
      <c r="OEZ188" s="1016"/>
      <c r="OFA188" s="1016"/>
      <c r="OFB188" s="1016"/>
      <c r="OFC188" s="1016"/>
      <c r="OFD188" s="1016"/>
      <c r="OFE188" s="1016"/>
      <c r="OFF188" s="1016"/>
      <c r="OFG188" s="1016"/>
      <c r="OFH188" s="1016"/>
      <c r="OFI188" s="1016"/>
      <c r="OFJ188" s="1016"/>
      <c r="OFK188" s="1016"/>
      <c r="OFL188" s="1016"/>
      <c r="OFM188" s="1016"/>
      <c r="OFN188" s="1016"/>
      <c r="OFO188" s="1016"/>
      <c r="OFP188" s="1016"/>
      <c r="OFQ188" s="1016"/>
      <c r="OFR188" s="1016"/>
      <c r="OFS188" s="1016"/>
      <c r="OFT188" s="1016"/>
      <c r="OFU188" s="1016"/>
      <c r="OFV188" s="1016"/>
      <c r="OFW188" s="1016"/>
      <c r="OFX188" s="1016"/>
      <c r="OFY188" s="1016"/>
      <c r="OFZ188" s="1016"/>
      <c r="OGA188" s="1016"/>
      <c r="OGB188" s="1016"/>
      <c r="OGC188" s="1016"/>
      <c r="OGD188" s="1016"/>
      <c r="OGE188" s="1016"/>
      <c r="OGF188" s="1016"/>
      <c r="OGG188" s="1016"/>
      <c r="OGH188" s="1016"/>
      <c r="OGI188" s="1016"/>
      <c r="OGJ188" s="1016"/>
      <c r="OGK188" s="1016"/>
      <c r="OGL188" s="1016"/>
      <c r="OGM188" s="1016"/>
      <c r="OGN188" s="1016"/>
      <c r="OGO188" s="1016"/>
      <c r="OGP188" s="1016"/>
      <c r="OGQ188" s="1016"/>
      <c r="OGR188" s="1016"/>
      <c r="OGS188" s="1016"/>
      <c r="OGT188" s="1016"/>
      <c r="OGU188" s="1016"/>
      <c r="OGV188" s="1016"/>
      <c r="OGW188" s="1016"/>
      <c r="OGX188" s="1016"/>
      <c r="OGY188" s="1016"/>
      <c r="OGZ188" s="1016"/>
      <c r="OHA188" s="1016"/>
      <c r="OHB188" s="1016"/>
      <c r="OHC188" s="1016"/>
      <c r="OHD188" s="1016"/>
      <c r="OHE188" s="1016"/>
      <c r="OHF188" s="1016"/>
      <c r="OHG188" s="1016"/>
      <c r="OHH188" s="1016"/>
      <c r="OHI188" s="1016"/>
      <c r="OHJ188" s="1016"/>
      <c r="OHK188" s="1016"/>
      <c r="OHL188" s="1016"/>
      <c r="OHM188" s="1016"/>
      <c r="OHN188" s="1016"/>
      <c r="OHO188" s="1016"/>
      <c r="OHP188" s="1016"/>
      <c r="OHQ188" s="1016"/>
      <c r="OHR188" s="1016"/>
      <c r="OHS188" s="1016"/>
      <c r="OHT188" s="1016"/>
      <c r="OHU188" s="1016"/>
      <c r="OHV188" s="1016"/>
      <c r="OHW188" s="1016"/>
      <c r="OHX188" s="1016"/>
      <c r="OHY188" s="1016"/>
      <c r="OHZ188" s="1016"/>
      <c r="OIA188" s="1016"/>
      <c r="OIB188" s="1016"/>
      <c r="OIC188" s="1016"/>
      <c r="OID188" s="1016"/>
      <c r="OIE188" s="1016"/>
      <c r="OIF188" s="1016"/>
      <c r="OIG188" s="1016"/>
      <c r="OIH188" s="1016"/>
      <c r="OII188" s="1016"/>
      <c r="OIJ188" s="1016"/>
      <c r="OIK188" s="1016"/>
      <c r="OIL188" s="1016"/>
      <c r="OIM188" s="1016"/>
      <c r="OIN188" s="1016"/>
      <c r="OIO188" s="1016"/>
      <c r="OIP188" s="1016"/>
      <c r="OIQ188" s="1016"/>
      <c r="OIR188" s="1016"/>
      <c r="OIS188" s="1016"/>
      <c r="OIT188" s="1016"/>
      <c r="OIU188" s="1016"/>
      <c r="OIV188" s="1016"/>
      <c r="OIW188" s="1016"/>
      <c r="OIX188" s="1016"/>
      <c r="OIY188" s="1016"/>
      <c r="OIZ188" s="1016"/>
      <c r="OJA188" s="1016"/>
      <c r="OJB188" s="1016"/>
      <c r="OJC188" s="1016"/>
      <c r="OJD188" s="1016"/>
      <c r="OJE188" s="1016"/>
      <c r="OJF188" s="1016"/>
      <c r="OJG188" s="1016"/>
      <c r="OJH188" s="1016"/>
      <c r="OJI188" s="1016"/>
      <c r="OJJ188" s="1016"/>
      <c r="OJK188" s="1016"/>
      <c r="OJL188" s="1016"/>
      <c r="OJM188" s="1016"/>
      <c r="OJN188" s="1016"/>
      <c r="OJO188" s="1016"/>
      <c r="OJP188" s="1016"/>
      <c r="OJQ188" s="1016"/>
      <c r="OJR188" s="1016"/>
      <c r="OJS188" s="1016"/>
      <c r="OJT188" s="1016"/>
      <c r="OJU188" s="1016"/>
      <c r="OJV188" s="1016"/>
      <c r="OJW188" s="1016"/>
      <c r="OJX188" s="1016"/>
      <c r="OJY188" s="1016"/>
      <c r="OJZ188" s="1016"/>
      <c r="OKA188" s="1016"/>
      <c r="OKB188" s="1016"/>
      <c r="OKC188" s="1016"/>
      <c r="OKD188" s="1016"/>
      <c r="OKE188" s="1016"/>
      <c r="OKF188" s="1016"/>
      <c r="OKG188" s="1016"/>
      <c r="OKH188" s="1016"/>
      <c r="OKI188" s="1016"/>
      <c r="OKJ188" s="1016"/>
      <c r="OKK188" s="1016"/>
      <c r="OKL188" s="1016"/>
      <c r="OKM188" s="1016"/>
      <c r="OKN188" s="1016"/>
      <c r="OKO188" s="1016"/>
      <c r="OKP188" s="1016"/>
      <c r="OKQ188" s="1016"/>
      <c r="OKR188" s="1016"/>
      <c r="OKS188" s="1016"/>
      <c r="OKT188" s="1016"/>
      <c r="OKU188" s="1016"/>
      <c r="OKV188" s="1016"/>
      <c r="OKW188" s="1016"/>
      <c r="OKX188" s="1016"/>
      <c r="OKY188" s="1016"/>
      <c r="OKZ188" s="1016"/>
      <c r="OLA188" s="1016"/>
      <c r="OLB188" s="1016"/>
      <c r="OLC188" s="1016"/>
      <c r="OLD188" s="1016"/>
      <c r="OLE188" s="1016"/>
      <c r="OLF188" s="1016"/>
      <c r="OLG188" s="1016"/>
      <c r="OLH188" s="1016"/>
      <c r="OLI188" s="1016"/>
      <c r="OLJ188" s="1016"/>
      <c r="OLK188" s="1016"/>
      <c r="OLL188" s="1016"/>
      <c r="OLM188" s="1016"/>
      <c r="OLN188" s="1016"/>
      <c r="OLO188" s="1016"/>
      <c r="OLP188" s="1016"/>
      <c r="OLQ188" s="1016"/>
      <c r="OLR188" s="1016"/>
      <c r="OLS188" s="1016"/>
      <c r="OLT188" s="1016"/>
      <c r="OLU188" s="1016"/>
      <c r="OLV188" s="1016"/>
      <c r="OLW188" s="1016"/>
      <c r="OLX188" s="1016"/>
      <c r="OLY188" s="1016"/>
      <c r="OLZ188" s="1016"/>
      <c r="OMA188" s="1016"/>
      <c r="OMB188" s="1016"/>
      <c r="OMC188" s="1016"/>
      <c r="OMD188" s="1016"/>
      <c r="OME188" s="1016"/>
      <c r="OMF188" s="1016"/>
      <c r="OMG188" s="1016"/>
      <c r="OMH188" s="1016"/>
      <c r="OMI188" s="1016"/>
      <c r="OMJ188" s="1016"/>
      <c r="OMK188" s="1016"/>
      <c r="OML188" s="1016"/>
      <c r="OMM188" s="1016"/>
      <c r="OMN188" s="1016"/>
      <c r="OMO188" s="1016"/>
      <c r="OMP188" s="1016"/>
      <c r="OMQ188" s="1016"/>
      <c r="OMR188" s="1016"/>
      <c r="OMS188" s="1016"/>
      <c r="OMT188" s="1016"/>
      <c r="OMU188" s="1016"/>
      <c r="OMV188" s="1016"/>
      <c r="OMW188" s="1016"/>
      <c r="OMX188" s="1016"/>
      <c r="OMY188" s="1016"/>
      <c r="OMZ188" s="1016"/>
      <c r="ONA188" s="1016"/>
      <c r="ONB188" s="1016"/>
      <c r="ONC188" s="1016"/>
      <c r="OND188" s="1016"/>
      <c r="ONE188" s="1016"/>
      <c r="ONF188" s="1016"/>
      <c r="ONG188" s="1016"/>
      <c r="ONH188" s="1016"/>
      <c r="ONI188" s="1016"/>
      <c r="ONJ188" s="1016"/>
      <c r="ONK188" s="1016"/>
      <c r="ONL188" s="1016"/>
      <c r="ONM188" s="1016"/>
      <c r="ONN188" s="1016"/>
      <c r="ONO188" s="1016"/>
      <c r="ONP188" s="1016"/>
      <c r="ONQ188" s="1016"/>
      <c r="ONR188" s="1016"/>
      <c r="ONS188" s="1016"/>
      <c r="ONT188" s="1016"/>
      <c r="ONU188" s="1016"/>
      <c r="ONV188" s="1016"/>
      <c r="ONW188" s="1016"/>
      <c r="ONX188" s="1016"/>
      <c r="ONY188" s="1016"/>
      <c r="ONZ188" s="1016"/>
      <c r="OOA188" s="1016"/>
      <c r="OOB188" s="1016"/>
      <c r="OOC188" s="1016"/>
      <c r="OOD188" s="1016"/>
      <c r="OOE188" s="1016"/>
      <c r="OOF188" s="1016"/>
      <c r="OOG188" s="1016"/>
      <c r="OOH188" s="1016"/>
      <c r="OOI188" s="1016"/>
      <c r="OOJ188" s="1016"/>
      <c r="OOK188" s="1016"/>
      <c r="OOL188" s="1016"/>
      <c r="OOM188" s="1016"/>
      <c r="OON188" s="1016"/>
      <c r="OOO188" s="1016"/>
      <c r="OOP188" s="1016"/>
      <c r="OOQ188" s="1016"/>
      <c r="OOR188" s="1016"/>
      <c r="OOS188" s="1016"/>
      <c r="OOT188" s="1016"/>
      <c r="OOU188" s="1016"/>
      <c r="OOV188" s="1016"/>
      <c r="OOW188" s="1016"/>
      <c r="OOX188" s="1016"/>
      <c r="OOY188" s="1016"/>
      <c r="OOZ188" s="1016"/>
      <c r="OPA188" s="1016"/>
      <c r="OPB188" s="1016"/>
      <c r="OPC188" s="1016"/>
      <c r="OPD188" s="1016"/>
      <c r="OPE188" s="1016"/>
      <c r="OPF188" s="1016"/>
      <c r="OPG188" s="1016"/>
      <c r="OPH188" s="1016"/>
      <c r="OPI188" s="1016"/>
      <c r="OPJ188" s="1016"/>
      <c r="OPK188" s="1016"/>
      <c r="OPL188" s="1016"/>
      <c r="OPM188" s="1016"/>
      <c r="OPN188" s="1016"/>
      <c r="OPO188" s="1016"/>
      <c r="OPP188" s="1016"/>
      <c r="OPQ188" s="1016"/>
      <c r="OPR188" s="1016"/>
      <c r="OPS188" s="1016"/>
      <c r="OPT188" s="1016"/>
      <c r="OPU188" s="1016"/>
      <c r="OPV188" s="1016"/>
      <c r="OPW188" s="1016"/>
      <c r="OPX188" s="1016"/>
      <c r="OPY188" s="1016"/>
      <c r="OPZ188" s="1016"/>
      <c r="OQA188" s="1016"/>
      <c r="OQB188" s="1016"/>
      <c r="OQC188" s="1016"/>
      <c r="OQD188" s="1016"/>
      <c r="OQE188" s="1016"/>
      <c r="OQF188" s="1016"/>
      <c r="OQG188" s="1016"/>
      <c r="OQH188" s="1016"/>
      <c r="OQI188" s="1016"/>
      <c r="OQJ188" s="1016"/>
      <c r="OQK188" s="1016"/>
      <c r="OQL188" s="1016"/>
      <c r="OQM188" s="1016"/>
      <c r="OQN188" s="1016"/>
      <c r="OQO188" s="1016"/>
      <c r="OQP188" s="1016"/>
      <c r="OQQ188" s="1016"/>
      <c r="OQR188" s="1016"/>
      <c r="OQS188" s="1016"/>
      <c r="OQT188" s="1016"/>
      <c r="OQU188" s="1016"/>
      <c r="OQV188" s="1016"/>
      <c r="OQW188" s="1016"/>
      <c r="OQX188" s="1016"/>
      <c r="OQY188" s="1016"/>
      <c r="OQZ188" s="1016"/>
      <c r="ORA188" s="1016"/>
      <c r="ORB188" s="1016"/>
      <c r="ORC188" s="1016"/>
      <c r="ORD188" s="1016"/>
      <c r="ORE188" s="1016"/>
      <c r="ORF188" s="1016"/>
      <c r="ORG188" s="1016"/>
      <c r="ORH188" s="1016"/>
      <c r="ORI188" s="1016"/>
      <c r="ORJ188" s="1016"/>
      <c r="ORK188" s="1016"/>
      <c r="ORL188" s="1016"/>
      <c r="ORM188" s="1016"/>
      <c r="ORN188" s="1016"/>
      <c r="ORO188" s="1016"/>
      <c r="ORP188" s="1016"/>
      <c r="ORQ188" s="1016"/>
      <c r="ORR188" s="1016"/>
      <c r="ORS188" s="1016"/>
      <c r="ORT188" s="1016"/>
      <c r="ORU188" s="1016"/>
      <c r="ORV188" s="1016"/>
      <c r="ORW188" s="1016"/>
      <c r="ORX188" s="1016"/>
      <c r="ORY188" s="1016"/>
      <c r="ORZ188" s="1016"/>
      <c r="OSA188" s="1016"/>
      <c r="OSB188" s="1016"/>
      <c r="OSC188" s="1016"/>
      <c r="OSD188" s="1016"/>
      <c r="OSE188" s="1016"/>
      <c r="OSF188" s="1016"/>
      <c r="OSG188" s="1016"/>
      <c r="OSH188" s="1016"/>
      <c r="OSI188" s="1016"/>
      <c r="OSJ188" s="1016"/>
      <c r="OSK188" s="1016"/>
      <c r="OSL188" s="1016"/>
      <c r="OSM188" s="1016"/>
      <c r="OSN188" s="1016"/>
      <c r="OSO188" s="1016"/>
      <c r="OSP188" s="1016"/>
      <c r="OSQ188" s="1016"/>
      <c r="OSR188" s="1016"/>
      <c r="OSS188" s="1016"/>
      <c r="OST188" s="1016"/>
      <c r="OSU188" s="1016"/>
      <c r="OSV188" s="1016"/>
      <c r="OSW188" s="1016"/>
      <c r="OSX188" s="1016"/>
      <c r="OSY188" s="1016"/>
      <c r="OSZ188" s="1016"/>
      <c r="OTA188" s="1016"/>
      <c r="OTB188" s="1016"/>
      <c r="OTC188" s="1016"/>
      <c r="OTD188" s="1016"/>
      <c r="OTE188" s="1016"/>
      <c r="OTF188" s="1016"/>
      <c r="OTG188" s="1016"/>
      <c r="OTH188" s="1016"/>
      <c r="OTI188" s="1016"/>
      <c r="OTJ188" s="1016"/>
      <c r="OTK188" s="1016"/>
      <c r="OTL188" s="1016"/>
      <c r="OTM188" s="1016"/>
      <c r="OTN188" s="1016"/>
      <c r="OTO188" s="1016"/>
      <c r="OTP188" s="1016"/>
      <c r="OTQ188" s="1016"/>
      <c r="OTR188" s="1016"/>
      <c r="OTS188" s="1016"/>
      <c r="OTT188" s="1016"/>
      <c r="OTU188" s="1016"/>
      <c r="OTV188" s="1016"/>
      <c r="OTW188" s="1016"/>
      <c r="OTX188" s="1016"/>
      <c r="OTY188" s="1016"/>
      <c r="OTZ188" s="1016"/>
      <c r="OUA188" s="1016"/>
      <c r="OUB188" s="1016"/>
      <c r="OUC188" s="1016"/>
      <c r="OUD188" s="1016"/>
      <c r="OUE188" s="1016"/>
      <c r="OUF188" s="1016"/>
      <c r="OUG188" s="1016"/>
      <c r="OUH188" s="1016"/>
      <c r="OUI188" s="1016"/>
      <c r="OUJ188" s="1016"/>
      <c r="OUK188" s="1016"/>
      <c r="OUL188" s="1016"/>
      <c r="OUM188" s="1016"/>
      <c r="OUN188" s="1016"/>
      <c r="OUO188" s="1016"/>
      <c r="OUP188" s="1016"/>
      <c r="OUQ188" s="1016"/>
      <c r="OUR188" s="1016"/>
      <c r="OUS188" s="1016"/>
      <c r="OUT188" s="1016"/>
      <c r="OUU188" s="1016"/>
      <c r="OUV188" s="1016"/>
      <c r="OUW188" s="1016"/>
      <c r="OUX188" s="1016"/>
      <c r="OUY188" s="1016"/>
      <c r="OUZ188" s="1016"/>
      <c r="OVA188" s="1016"/>
      <c r="OVB188" s="1016"/>
      <c r="OVC188" s="1016"/>
      <c r="OVD188" s="1016"/>
      <c r="OVE188" s="1016"/>
      <c r="OVF188" s="1016"/>
      <c r="OVG188" s="1016"/>
      <c r="OVH188" s="1016"/>
      <c r="OVI188" s="1016"/>
      <c r="OVJ188" s="1016"/>
      <c r="OVK188" s="1016"/>
      <c r="OVL188" s="1016"/>
      <c r="OVM188" s="1016"/>
      <c r="OVN188" s="1016"/>
      <c r="OVO188" s="1016"/>
      <c r="OVP188" s="1016"/>
      <c r="OVQ188" s="1016"/>
      <c r="OVR188" s="1016"/>
      <c r="OVS188" s="1016"/>
      <c r="OVT188" s="1016"/>
      <c r="OVU188" s="1016"/>
      <c r="OVV188" s="1016"/>
      <c r="OVW188" s="1016"/>
      <c r="OVX188" s="1016"/>
      <c r="OVY188" s="1016"/>
      <c r="OVZ188" s="1016"/>
      <c r="OWA188" s="1016"/>
      <c r="OWB188" s="1016"/>
      <c r="OWC188" s="1016"/>
      <c r="OWD188" s="1016"/>
      <c r="OWE188" s="1016"/>
      <c r="OWF188" s="1016"/>
      <c r="OWG188" s="1016"/>
      <c r="OWH188" s="1016"/>
      <c r="OWI188" s="1016"/>
      <c r="OWJ188" s="1016"/>
      <c r="OWK188" s="1016"/>
      <c r="OWL188" s="1016"/>
      <c r="OWM188" s="1016"/>
      <c r="OWN188" s="1016"/>
      <c r="OWO188" s="1016"/>
      <c r="OWP188" s="1016"/>
      <c r="OWQ188" s="1016"/>
      <c r="OWR188" s="1016"/>
      <c r="OWS188" s="1016"/>
      <c r="OWT188" s="1016"/>
      <c r="OWU188" s="1016"/>
      <c r="OWV188" s="1016"/>
      <c r="OWW188" s="1016"/>
      <c r="OWX188" s="1016"/>
      <c r="OWY188" s="1016"/>
      <c r="OWZ188" s="1016"/>
      <c r="OXA188" s="1016"/>
      <c r="OXB188" s="1016"/>
      <c r="OXC188" s="1016"/>
      <c r="OXD188" s="1016"/>
      <c r="OXE188" s="1016"/>
      <c r="OXF188" s="1016"/>
      <c r="OXG188" s="1016"/>
      <c r="OXH188" s="1016"/>
      <c r="OXI188" s="1016"/>
      <c r="OXJ188" s="1016"/>
      <c r="OXK188" s="1016"/>
      <c r="OXL188" s="1016"/>
      <c r="OXM188" s="1016"/>
      <c r="OXN188" s="1016"/>
      <c r="OXO188" s="1016"/>
      <c r="OXP188" s="1016"/>
      <c r="OXQ188" s="1016"/>
      <c r="OXR188" s="1016"/>
      <c r="OXS188" s="1016"/>
      <c r="OXT188" s="1016"/>
      <c r="OXU188" s="1016"/>
      <c r="OXV188" s="1016"/>
      <c r="OXW188" s="1016"/>
      <c r="OXX188" s="1016"/>
      <c r="OXY188" s="1016"/>
      <c r="OXZ188" s="1016"/>
      <c r="OYA188" s="1016"/>
      <c r="OYB188" s="1016"/>
      <c r="OYC188" s="1016"/>
      <c r="OYD188" s="1016"/>
      <c r="OYE188" s="1016"/>
      <c r="OYF188" s="1016"/>
      <c r="OYG188" s="1016"/>
      <c r="OYH188" s="1016"/>
      <c r="OYI188" s="1016"/>
      <c r="OYJ188" s="1016"/>
      <c r="OYK188" s="1016"/>
      <c r="OYL188" s="1016"/>
      <c r="OYM188" s="1016"/>
      <c r="OYN188" s="1016"/>
      <c r="OYO188" s="1016"/>
      <c r="OYP188" s="1016"/>
      <c r="OYQ188" s="1016"/>
      <c r="OYR188" s="1016"/>
      <c r="OYS188" s="1016"/>
      <c r="OYT188" s="1016"/>
      <c r="OYU188" s="1016"/>
      <c r="OYV188" s="1016"/>
      <c r="OYW188" s="1016"/>
      <c r="OYX188" s="1016"/>
      <c r="OYY188" s="1016"/>
      <c r="OYZ188" s="1016"/>
      <c r="OZA188" s="1016"/>
      <c r="OZB188" s="1016"/>
      <c r="OZC188" s="1016"/>
      <c r="OZD188" s="1016"/>
      <c r="OZE188" s="1016"/>
      <c r="OZF188" s="1016"/>
      <c r="OZG188" s="1016"/>
      <c r="OZH188" s="1016"/>
      <c r="OZI188" s="1016"/>
      <c r="OZJ188" s="1016"/>
      <c r="OZK188" s="1016"/>
      <c r="OZL188" s="1016"/>
      <c r="OZM188" s="1016"/>
      <c r="OZN188" s="1016"/>
      <c r="OZO188" s="1016"/>
      <c r="OZP188" s="1016"/>
      <c r="OZQ188" s="1016"/>
      <c r="OZR188" s="1016"/>
      <c r="OZS188" s="1016"/>
      <c r="OZT188" s="1016"/>
      <c r="OZU188" s="1016"/>
      <c r="OZV188" s="1016"/>
      <c r="OZW188" s="1016"/>
      <c r="OZX188" s="1016"/>
      <c r="OZY188" s="1016"/>
      <c r="OZZ188" s="1016"/>
      <c r="PAA188" s="1016"/>
      <c r="PAB188" s="1016"/>
      <c r="PAC188" s="1016"/>
      <c r="PAD188" s="1016"/>
      <c r="PAE188" s="1016"/>
      <c r="PAF188" s="1016"/>
      <c r="PAG188" s="1016"/>
      <c r="PAH188" s="1016"/>
      <c r="PAI188" s="1016"/>
      <c r="PAJ188" s="1016"/>
      <c r="PAK188" s="1016"/>
      <c r="PAL188" s="1016"/>
      <c r="PAM188" s="1016"/>
      <c r="PAN188" s="1016"/>
      <c r="PAO188" s="1016"/>
      <c r="PAP188" s="1016"/>
      <c r="PAQ188" s="1016"/>
      <c r="PAR188" s="1016"/>
      <c r="PAS188" s="1016"/>
      <c r="PAT188" s="1016"/>
      <c r="PAU188" s="1016"/>
      <c r="PAV188" s="1016"/>
      <c r="PAW188" s="1016"/>
      <c r="PAX188" s="1016"/>
      <c r="PAY188" s="1016"/>
      <c r="PAZ188" s="1016"/>
      <c r="PBA188" s="1016"/>
      <c r="PBB188" s="1016"/>
      <c r="PBC188" s="1016"/>
      <c r="PBD188" s="1016"/>
      <c r="PBE188" s="1016"/>
      <c r="PBF188" s="1016"/>
      <c r="PBG188" s="1016"/>
      <c r="PBH188" s="1016"/>
      <c r="PBI188" s="1016"/>
      <c r="PBJ188" s="1016"/>
      <c r="PBK188" s="1016"/>
      <c r="PBL188" s="1016"/>
      <c r="PBM188" s="1016"/>
      <c r="PBN188" s="1016"/>
      <c r="PBO188" s="1016"/>
      <c r="PBP188" s="1016"/>
      <c r="PBQ188" s="1016"/>
      <c r="PBR188" s="1016"/>
      <c r="PBS188" s="1016"/>
      <c r="PBT188" s="1016"/>
      <c r="PBU188" s="1016"/>
      <c r="PBV188" s="1016"/>
      <c r="PBW188" s="1016"/>
      <c r="PBX188" s="1016"/>
      <c r="PBY188" s="1016"/>
      <c r="PBZ188" s="1016"/>
      <c r="PCA188" s="1016"/>
      <c r="PCB188" s="1016"/>
      <c r="PCC188" s="1016"/>
      <c r="PCD188" s="1016"/>
      <c r="PCE188" s="1016"/>
      <c r="PCF188" s="1016"/>
      <c r="PCG188" s="1016"/>
      <c r="PCH188" s="1016"/>
      <c r="PCI188" s="1016"/>
      <c r="PCJ188" s="1016"/>
      <c r="PCK188" s="1016"/>
      <c r="PCL188" s="1016"/>
      <c r="PCM188" s="1016"/>
      <c r="PCN188" s="1016"/>
      <c r="PCO188" s="1016"/>
      <c r="PCP188" s="1016"/>
      <c r="PCQ188" s="1016"/>
      <c r="PCR188" s="1016"/>
      <c r="PCS188" s="1016"/>
      <c r="PCT188" s="1016"/>
      <c r="PCU188" s="1016"/>
      <c r="PCV188" s="1016"/>
      <c r="PCW188" s="1016"/>
      <c r="PCX188" s="1016"/>
      <c r="PCY188" s="1016"/>
      <c r="PCZ188" s="1016"/>
      <c r="PDA188" s="1016"/>
      <c r="PDB188" s="1016"/>
      <c r="PDC188" s="1016"/>
      <c r="PDD188" s="1016"/>
      <c r="PDE188" s="1016"/>
      <c r="PDF188" s="1016"/>
      <c r="PDG188" s="1016"/>
      <c r="PDH188" s="1016"/>
      <c r="PDI188" s="1016"/>
      <c r="PDJ188" s="1016"/>
      <c r="PDK188" s="1016"/>
      <c r="PDL188" s="1016"/>
      <c r="PDM188" s="1016"/>
      <c r="PDN188" s="1016"/>
      <c r="PDO188" s="1016"/>
      <c r="PDP188" s="1016"/>
      <c r="PDQ188" s="1016"/>
      <c r="PDR188" s="1016"/>
      <c r="PDS188" s="1016"/>
      <c r="PDT188" s="1016"/>
      <c r="PDU188" s="1016"/>
      <c r="PDV188" s="1016"/>
      <c r="PDW188" s="1016"/>
      <c r="PDX188" s="1016"/>
      <c r="PDY188" s="1016"/>
      <c r="PDZ188" s="1016"/>
      <c r="PEA188" s="1016"/>
      <c r="PEB188" s="1016"/>
      <c r="PEC188" s="1016"/>
      <c r="PED188" s="1016"/>
      <c r="PEE188" s="1016"/>
      <c r="PEF188" s="1016"/>
      <c r="PEG188" s="1016"/>
      <c r="PEH188" s="1016"/>
      <c r="PEI188" s="1016"/>
      <c r="PEJ188" s="1016"/>
      <c r="PEK188" s="1016"/>
      <c r="PEL188" s="1016"/>
      <c r="PEM188" s="1016"/>
      <c r="PEN188" s="1016"/>
      <c r="PEO188" s="1016"/>
      <c r="PEP188" s="1016"/>
      <c r="PEQ188" s="1016"/>
      <c r="PER188" s="1016"/>
      <c r="PES188" s="1016"/>
      <c r="PET188" s="1016"/>
      <c r="PEU188" s="1016"/>
      <c r="PEV188" s="1016"/>
      <c r="PEW188" s="1016"/>
      <c r="PEX188" s="1016"/>
      <c r="PEY188" s="1016"/>
      <c r="PEZ188" s="1016"/>
      <c r="PFA188" s="1016"/>
      <c r="PFB188" s="1016"/>
      <c r="PFC188" s="1016"/>
      <c r="PFD188" s="1016"/>
      <c r="PFE188" s="1016"/>
      <c r="PFF188" s="1016"/>
      <c r="PFG188" s="1016"/>
      <c r="PFH188" s="1016"/>
      <c r="PFI188" s="1016"/>
      <c r="PFJ188" s="1016"/>
      <c r="PFK188" s="1016"/>
      <c r="PFL188" s="1016"/>
      <c r="PFM188" s="1016"/>
      <c r="PFN188" s="1016"/>
      <c r="PFO188" s="1016"/>
      <c r="PFP188" s="1016"/>
      <c r="PFQ188" s="1016"/>
      <c r="PFR188" s="1016"/>
      <c r="PFS188" s="1016"/>
      <c r="PFT188" s="1016"/>
      <c r="PFU188" s="1016"/>
      <c r="PFV188" s="1016"/>
      <c r="PFW188" s="1016"/>
      <c r="PFX188" s="1016"/>
      <c r="PFY188" s="1016"/>
      <c r="PFZ188" s="1016"/>
      <c r="PGA188" s="1016"/>
      <c r="PGB188" s="1016"/>
      <c r="PGC188" s="1016"/>
      <c r="PGD188" s="1016"/>
      <c r="PGE188" s="1016"/>
      <c r="PGF188" s="1016"/>
      <c r="PGG188" s="1016"/>
      <c r="PGH188" s="1016"/>
      <c r="PGI188" s="1016"/>
      <c r="PGJ188" s="1016"/>
      <c r="PGK188" s="1016"/>
      <c r="PGL188" s="1016"/>
      <c r="PGM188" s="1016"/>
      <c r="PGN188" s="1016"/>
      <c r="PGO188" s="1016"/>
      <c r="PGP188" s="1016"/>
      <c r="PGQ188" s="1016"/>
      <c r="PGR188" s="1016"/>
      <c r="PGS188" s="1016"/>
      <c r="PGT188" s="1016"/>
      <c r="PGU188" s="1016"/>
      <c r="PGV188" s="1016"/>
      <c r="PGW188" s="1016"/>
      <c r="PGX188" s="1016"/>
      <c r="PGY188" s="1016"/>
      <c r="PGZ188" s="1016"/>
      <c r="PHA188" s="1016"/>
      <c r="PHB188" s="1016"/>
      <c r="PHC188" s="1016"/>
      <c r="PHD188" s="1016"/>
      <c r="PHE188" s="1016"/>
      <c r="PHF188" s="1016"/>
      <c r="PHG188" s="1016"/>
      <c r="PHH188" s="1016"/>
      <c r="PHI188" s="1016"/>
      <c r="PHJ188" s="1016"/>
      <c r="PHK188" s="1016"/>
      <c r="PHL188" s="1016"/>
      <c r="PHM188" s="1016"/>
      <c r="PHN188" s="1016"/>
      <c r="PHO188" s="1016"/>
      <c r="PHP188" s="1016"/>
      <c r="PHQ188" s="1016"/>
      <c r="PHR188" s="1016"/>
      <c r="PHS188" s="1016"/>
      <c r="PHT188" s="1016"/>
      <c r="PHU188" s="1016"/>
      <c r="PHV188" s="1016"/>
      <c r="PHW188" s="1016"/>
      <c r="PHX188" s="1016"/>
      <c r="PHY188" s="1016"/>
      <c r="PHZ188" s="1016"/>
      <c r="PIA188" s="1016"/>
      <c r="PIB188" s="1016"/>
      <c r="PIC188" s="1016"/>
      <c r="PID188" s="1016"/>
      <c r="PIE188" s="1016"/>
      <c r="PIF188" s="1016"/>
      <c r="PIG188" s="1016"/>
      <c r="PIH188" s="1016"/>
      <c r="PII188" s="1016"/>
      <c r="PIJ188" s="1016"/>
      <c r="PIK188" s="1016"/>
      <c r="PIL188" s="1016"/>
      <c r="PIM188" s="1016"/>
      <c r="PIN188" s="1016"/>
      <c r="PIO188" s="1016"/>
      <c r="PIP188" s="1016"/>
      <c r="PIQ188" s="1016"/>
      <c r="PIR188" s="1016"/>
      <c r="PIS188" s="1016"/>
      <c r="PIT188" s="1016"/>
      <c r="PIU188" s="1016"/>
      <c r="PIV188" s="1016"/>
      <c r="PIW188" s="1016"/>
      <c r="PIX188" s="1016"/>
      <c r="PIY188" s="1016"/>
      <c r="PIZ188" s="1016"/>
      <c r="PJA188" s="1016"/>
      <c r="PJB188" s="1016"/>
      <c r="PJC188" s="1016"/>
      <c r="PJD188" s="1016"/>
      <c r="PJE188" s="1016"/>
      <c r="PJF188" s="1016"/>
      <c r="PJG188" s="1016"/>
      <c r="PJH188" s="1016"/>
      <c r="PJI188" s="1016"/>
      <c r="PJJ188" s="1016"/>
      <c r="PJK188" s="1016"/>
      <c r="PJL188" s="1016"/>
      <c r="PJM188" s="1016"/>
      <c r="PJN188" s="1016"/>
      <c r="PJO188" s="1016"/>
      <c r="PJP188" s="1016"/>
      <c r="PJQ188" s="1016"/>
      <c r="PJR188" s="1016"/>
      <c r="PJS188" s="1016"/>
      <c r="PJT188" s="1016"/>
      <c r="PJU188" s="1016"/>
      <c r="PJV188" s="1016"/>
      <c r="PJW188" s="1016"/>
      <c r="PJX188" s="1016"/>
      <c r="PJY188" s="1016"/>
      <c r="PJZ188" s="1016"/>
      <c r="PKA188" s="1016"/>
      <c r="PKB188" s="1016"/>
      <c r="PKC188" s="1016"/>
      <c r="PKD188" s="1016"/>
      <c r="PKE188" s="1016"/>
      <c r="PKF188" s="1016"/>
      <c r="PKG188" s="1016"/>
      <c r="PKH188" s="1016"/>
      <c r="PKI188" s="1016"/>
      <c r="PKJ188" s="1016"/>
      <c r="PKK188" s="1016"/>
      <c r="PKL188" s="1016"/>
      <c r="PKM188" s="1016"/>
      <c r="PKN188" s="1016"/>
      <c r="PKO188" s="1016"/>
      <c r="PKP188" s="1016"/>
      <c r="PKQ188" s="1016"/>
      <c r="PKR188" s="1016"/>
      <c r="PKS188" s="1016"/>
      <c r="PKT188" s="1016"/>
      <c r="PKU188" s="1016"/>
      <c r="PKV188" s="1016"/>
      <c r="PKW188" s="1016"/>
      <c r="PKX188" s="1016"/>
      <c r="PKY188" s="1016"/>
      <c r="PKZ188" s="1016"/>
      <c r="PLA188" s="1016"/>
      <c r="PLB188" s="1016"/>
      <c r="PLC188" s="1016"/>
      <c r="PLD188" s="1016"/>
      <c r="PLE188" s="1016"/>
      <c r="PLF188" s="1016"/>
      <c r="PLG188" s="1016"/>
      <c r="PLH188" s="1016"/>
      <c r="PLI188" s="1016"/>
      <c r="PLJ188" s="1016"/>
      <c r="PLK188" s="1016"/>
      <c r="PLL188" s="1016"/>
      <c r="PLM188" s="1016"/>
      <c r="PLN188" s="1016"/>
      <c r="PLO188" s="1016"/>
      <c r="PLP188" s="1016"/>
      <c r="PLQ188" s="1016"/>
      <c r="PLR188" s="1016"/>
      <c r="PLS188" s="1016"/>
      <c r="PLT188" s="1016"/>
      <c r="PLU188" s="1016"/>
      <c r="PLV188" s="1016"/>
      <c r="PLW188" s="1016"/>
      <c r="PLX188" s="1016"/>
      <c r="PLY188" s="1016"/>
      <c r="PLZ188" s="1016"/>
      <c r="PMA188" s="1016"/>
      <c r="PMB188" s="1016"/>
      <c r="PMC188" s="1016"/>
      <c r="PMD188" s="1016"/>
      <c r="PME188" s="1016"/>
      <c r="PMF188" s="1016"/>
      <c r="PMG188" s="1016"/>
      <c r="PMH188" s="1016"/>
      <c r="PMI188" s="1016"/>
      <c r="PMJ188" s="1016"/>
      <c r="PMK188" s="1016"/>
      <c r="PML188" s="1016"/>
      <c r="PMM188" s="1016"/>
      <c r="PMN188" s="1016"/>
      <c r="PMO188" s="1016"/>
      <c r="PMP188" s="1016"/>
      <c r="PMQ188" s="1016"/>
      <c r="PMR188" s="1016"/>
      <c r="PMS188" s="1016"/>
      <c r="PMT188" s="1016"/>
      <c r="PMU188" s="1016"/>
      <c r="PMV188" s="1016"/>
      <c r="PMW188" s="1016"/>
      <c r="PMX188" s="1016"/>
      <c r="PMY188" s="1016"/>
      <c r="PMZ188" s="1016"/>
      <c r="PNA188" s="1016"/>
      <c r="PNB188" s="1016"/>
      <c r="PNC188" s="1016"/>
      <c r="PND188" s="1016"/>
      <c r="PNE188" s="1016"/>
      <c r="PNF188" s="1016"/>
      <c r="PNG188" s="1016"/>
      <c r="PNH188" s="1016"/>
      <c r="PNI188" s="1016"/>
      <c r="PNJ188" s="1016"/>
      <c r="PNK188" s="1016"/>
      <c r="PNL188" s="1016"/>
      <c r="PNM188" s="1016"/>
      <c r="PNN188" s="1016"/>
      <c r="PNO188" s="1016"/>
      <c r="PNP188" s="1016"/>
      <c r="PNQ188" s="1016"/>
      <c r="PNR188" s="1016"/>
      <c r="PNS188" s="1016"/>
      <c r="PNT188" s="1016"/>
      <c r="PNU188" s="1016"/>
      <c r="PNV188" s="1016"/>
      <c r="PNW188" s="1016"/>
      <c r="PNX188" s="1016"/>
      <c r="PNY188" s="1016"/>
      <c r="PNZ188" s="1016"/>
      <c r="POA188" s="1016"/>
      <c r="POB188" s="1016"/>
      <c r="POC188" s="1016"/>
      <c r="POD188" s="1016"/>
      <c r="POE188" s="1016"/>
      <c r="POF188" s="1016"/>
      <c r="POG188" s="1016"/>
      <c r="POH188" s="1016"/>
      <c r="POI188" s="1016"/>
      <c r="POJ188" s="1016"/>
      <c r="POK188" s="1016"/>
      <c r="POL188" s="1016"/>
      <c r="POM188" s="1016"/>
      <c r="PON188" s="1016"/>
      <c r="POO188" s="1016"/>
      <c r="POP188" s="1016"/>
      <c r="POQ188" s="1016"/>
      <c r="POR188" s="1016"/>
      <c r="POS188" s="1016"/>
      <c r="POT188" s="1016"/>
      <c r="POU188" s="1016"/>
      <c r="POV188" s="1016"/>
      <c r="POW188" s="1016"/>
      <c r="POX188" s="1016"/>
      <c r="POY188" s="1016"/>
      <c r="POZ188" s="1016"/>
      <c r="PPA188" s="1016"/>
      <c r="PPB188" s="1016"/>
      <c r="PPC188" s="1016"/>
      <c r="PPD188" s="1016"/>
      <c r="PPE188" s="1016"/>
      <c r="PPF188" s="1016"/>
      <c r="PPG188" s="1016"/>
      <c r="PPH188" s="1016"/>
      <c r="PPI188" s="1016"/>
      <c r="PPJ188" s="1016"/>
      <c r="PPK188" s="1016"/>
      <c r="PPL188" s="1016"/>
      <c r="PPM188" s="1016"/>
      <c r="PPN188" s="1016"/>
      <c r="PPO188" s="1016"/>
      <c r="PPP188" s="1016"/>
      <c r="PPQ188" s="1016"/>
      <c r="PPR188" s="1016"/>
      <c r="PPS188" s="1016"/>
      <c r="PPT188" s="1016"/>
      <c r="PPU188" s="1016"/>
      <c r="PPV188" s="1016"/>
      <c r="PPW188" s="1016"/>
      <c r="PPX188" s="1016"/>
      <c r="PPY188" s="1016"/>
      <c r="PPZ188" s="1016"/>
      <c r="PQA188" s="1016"/>
      <c r="PQB188" s="1016"/>
      <c r="PQC188" s="1016"/>
      <c r="PQD188" s="1016"/>
      <c r="PQE188" s="1016"/>
      <c r="PQF188" s="1016"/>
      <c r="PQG188" s="1016"/>
      <c r="PQH188" s="1016"/>
      <c r="PQI188" s="1016"/>
      <c r="PQJ188" s="1016"/>
      <c r="PQK188" s="1016"/>
      <c r="PQL188" s="1016"/>
      <c r="PQM188" s="1016"/>
      <c r="PQN188" s="1016"/>
      <c r="PQO188" s="1016"/>
      <c r="PQP188" s="1016"/>
      <c r="PQQ188" s="1016"/>
      <c r="PQR188" s="1016"/>
      <c r="PQS188" s="1016"/>
      <c r="PQT188" s="1016"/>
      <c r="PQU188" s="1016"/>
      <c r="PQV188" s="1016"/>
      <c r="PQW188" s="1016"/>
      <c r="PQX188" s="1016"/>
      <c r="PQY188" s="1016"/>
      <c r="PQZ188" s="1016"/>
      <c r="PRA188" s="1016"/>
      <c r="PRB188" s="1016"/>
      <c r="PRC188" s="1016"/>
      <c r="PRD188" s="1016"/>
      <c r="PRE188" s="1016"/>
      <c r="PRF188" s="1016"/>
      <c r="PRG188" s="1016"/>
      <c r="PRH188" s="1016"/>
      <c r="PRI188" s="1016"/>
      <c r="PRJ188" s="1016"/>
      <c r="PRK188" s="1016"/>
      <c r="PRL188" s="1016"/>
      <c r="PRM188" s="1016"/>
      <c r="PRN188" s="1016"/>
      <c r="PRO188" s="1016"/>
      <c r="PRP188" s="1016"/>
      <c r="PRQ188" s="1016"/>
      <c r="PRR188" s="1016"/>
      <c r="PRS188" s="1016"/>
      <c r="PRT188" s="1016"/>
      <c r="PRU188" s="1016"/>
      <c r="PRV188" s="1016"/>
      <c r="PRW188" s="1016"/>
      <c r="PRX188" s="1016"/>
      <c r="PRY188" s="1016"/>
      <c r="PRZ188" s="1016"/>
      <c r="PSA188" s="1016"/>
      <c r="PSB188" s="1016"/>
      <c r="PSC188" s="1016"/>
      <c r="PSD188" s="1016"/>
      <c r="PSE188" s="1016"/>
      <c r="PSF188" s="1016"/>
      <c r="PSG188" s="1016"/>
      <c r="PSH188" s="1016"/>
      <c r="PSI188" s="1016"/>
      <c r="PSJ188" s="1016"/>
      <c r="PSK188" s="1016"/>
      <c r="PSL188" s="1016"/>
      <c r="PSM188" s="1016"/>
      <c r="PSN188" s="1016"/>
      <c r="PSO188" s="1016"/>
      <c r="PSP188" s="1016"/>
      <c r="PSQ188" s="1016"/>
      <c r="PSR188" s="1016"/>
      <c r="PSS188" s="1016"/>
      <c r="PST188" s="1016"/>
      <c r="PSU188" s="1016"/>
      <c r="PSV188" s="1016"/>
      <c r="PSW188" s="1016"/>
      <c r="PSX188" s="1016"/>
      <c r="PSY188" s="1016"/>
      <c r="PSZ188" s="1016"/>
      <c r="PTA188" s="1016"/>
      <c r="PTB188" s="1016"/>
      <c r="PTC188" s="1016"/>
      <c r="PTD188" s="1016"/>
      <c r="PTE188" s="1016"/>
      <c r="PTF188" s="1016"/>
      <c r="PTG188" s="1016"/>
      <c r="PTH188" s="1016"/>
      <c r="PTI188" s="1016"/>
      <c r="PTJ188" s="1016"/>
      <c r="PTK188" s="1016"/>
      <c r="PTL188" s="1016"/>
      <c r="PTM188" s="1016"/>
      <c r="PTN188" s="1016"/>
      <c r="PTO188" s="1016"/>
      <c r="PTP188" s="1016"/>
      <c r="PTQ188" s="1016"/>
      <c r="PTR188" s="1016"/>
      <c r="PTS188" s="1016"/>
      <c r="PTT188" s="1016"/>
      <c r="PTU188" s="1016"/>
      <c r="PTV188" s="1016"/>
      <c r="PTW188" s="1016"/>
      <c r="PTX188" s="1016"/>
      <c r="PTY188" s="1016"/>
      <c r="PTZ188" s="1016"/>
      <c r="PUA188" s="1016"/>
      <c r="PUB188" s="1016"/>
      <c r="PUC188" s="1016"/>
      <c r="PUD188" s="1016"/>
      <c r="PUE188" s="1016"/>
      <c r="PUF188" s="1016"/>
      <c r="PUG188" s="1016"/>
      <c r="PUH188" s="1016"/>
      <c r="PUI188" s="1016"/>
      <c r="PUJ188" s="1016"/>
      <c r="PUK188" s="1016"/>
      <c r="PUL188" s="1016"/>
      <c r="PUM188" s="1016"/>
      <c r="PUN188" s="1016"/>
      <c r="PUO188" s="1016"/>
      <c r="PUP188" s="1016"/>
      <c r="PUQ188" s="1016"/>
      <c r="PUR188" s="1016"/>
      <c r="PUS188" s="1016"/>
      <c r="PUT188" s="1016"/>
      <c r="PUU188" s="1016"/>
      <c r="PUV188" s="1016"/>
      <c r="PUW188" s="1016"/>
      <c r="PUX188" s="1016"/>
      <c r="PUY188" s="1016"/>
      <c r="PUZ188" s="1016"/>
      <c r="PVA188" s="1016"/>
      <c r="PVB188" s="1016"/>
      <c r="PVC188" s="1016"/>
      <c r="PVD188" s="1016"/>
      <c r="PVE188" s="1016"/>
      <c r="PVF188" s="1016"/>
      <c r="PVG188" s="1016"/>
      <c r="PVH188" s="1016"/>
      <c r="PVI188" s="1016"/>
      <c r="PVJ188" s="1016"/>
      <c r="PVK188" s="1016"/>
      <c r="PVL188" s="1016"/>
      <c r="PVM188" s="1016"/>
      <c r="PVN188" s="1016"/>
      <c r="PVO188" s="1016"/>
      <c r="PVP188" s="1016"/>
      <c r="PVQ188" s="1016"/>
      <c r="PVR188" s="1016"/>
      <c r="PVS188" s="1016"/>
      <c r="PVT188" s="1016"/>
      <c r="PVU188" s="1016"/>
      <c r="PVV188" s="1016"/>
      <c r="PVW188" s="1016"/>
      <c r="PVX188" s="1016"/>
      <c r="PVY188" s="1016"/>
      <c r="PVZ188" s="1016"/>
      <c r="PWA188" s="1016"/>
      <c r="PWB188" s="1016"/>
      <c r="PWC188" s="1016"/>
      <c r="PWD188" s="1016"/>
      <c r="PWE188" s="1016"/>
      <c r="PWF188" s="1016"/>
      <c r="PWG188" s="1016"/>
      <c r="PWH188" s="1016"/>
      <c r="PWI188" s="1016"/>
      <c r="PWJ188" s="1016"/>
      <c r="PWK188" s="1016"/>
      <c r="PWL188" s="1016"/>
      <c r="PWM188" s="1016"/>
      <c r="PWN188" s="1016"/>
      <c r="PWO188" s="1016"/>
      <c r="PWP188" s="1016"/>
      <c r="PWQ188" s="1016"/>
      <c r="PWR188" s="1016"/>
      <c r="PWS188" s="1016"/>
      <c r="PWT188" s="1016"/>
      <c r="PWU188" s="1016"/>
      <c r="PWV188" s="1016"/>
      <c r="PWW188" s="1016"/>
      <c r="PWX188" s="1016"/>
      <c r="PWY188" s="1016"/>
      <c r="PWZ188" s="1016"/>
      <c r="PXA188" s="1016"/>
      <c r="PXB188" s="1016"/>
      <c r="PXC188" s="1016"/>
      <c r="PXD188" s="1016"/>
      <c r="PXE188" s="1016"/>
      <c r="PXF188" s="1016"/>
      <c r="PXG188" s="1016"/>
      <c r="PXH188" s="1016"/>
      <c r="PXI188" s="1016"/>
      <c r="PXJ188" s="1016"/>
      <c r="PXK188" s="1016"/>
      <c r="PXL188" s="1016"/>
      <c r="PXM188" s="1016"/>
      <c r="PXN188" s="1016"/>
      <c r="PXO188" s="1016"/>
      <c r="PXP188" s="1016"/>
      <c r="PXQ188" s="1016"/>
      <c r="PXR188" s="1016"/>
      <c r="PXS188" s="1016"/>
      <c r="PXT188" s="1016"/>
      <c r="PXU188" s="1016"/>
      <c r="PXV188" s="1016"/>
      <c r="PXW188" s="1016"/>
      <c r="PXX188" s="1016"/>
      <c r="PXY188" s="1016"/>
      <c r="PXZ188" s="1016"/>
      <c r="PYA188" s="1016"/>
      <c r="PYB188" s="1016"/>
      <c r="PYC188" s="1016"/>
      <c r="PYD188" s="1016"/>
      <c r="PYE188" s="1016"/>
      <c r="PYF188" s="1016"/>
      <c r="PYG188" s="1016"/>
      <c r="PYH188" s="1016"/>
      <c r="PYI188" s="1016"/>
      <c r="PYJ188" s="1016"/>
      <c r="PYK188" s="1016"/>
      <c r="PYL188" s="1016"/>
      <c r="PYM188" s="1016"/>
      <c r="PYN188" s="1016"/>
      <c r="PYO188" s="1016"/>
      <c r="PYP188" s="1016"/>
      <c r="PYQ188" s="1016"/>
      <c r="PYR188" s="1016"/>
      <c r="PYS188" s="1016"/>
      <c r="PYT188" s="1016"/>
      <c r="PYU188" s="1016"/>
      <c r="PYV188" s="1016"/>
      <c r="PYW188" s="1016"/>
      <c r="PYX188" s="1016"/>
      <c r="PYY188" s="1016"/>
      <c r="PYZ188" s="1016"/>
      <c r="PZA188" s="1016"/>
      <c r="PZB188" s="1016"/>
      <c r="PZC188" s="1016"/>
      <c r="PZD188" s="1016"/>
      <c r="PZE188" s="1016"/>
      <c r="PZF188" s="1016"/>
      <c r="PZG188" s="1016"/>
      <c r="PZH188" s="1016"/>
      <c r="PZI188" s="1016"/>
      <c r="PZJ188" s="1016"/>
      <c r="PZK188" s="1016"/>
      <c r="PZL188" s="1016"/>
      <c r="PZM188" s="1016"/>
      <c r="PZN188" s="1016"/>
      <c r="PZO188" s="1016"/>
      <c r="PZP188" s="1016"/>
      <c r="PZQ188" s="1016"/>
      <c r="PZR188" s="1016"/>
      <c r="PZS188" s="1016"/>
      <c r="PZT188" s="1016"/>
      <c r="PZU188" s="1016"/>
      <c r="PZV188" s="1016"/>
      <c r="PZW188" s="1016"/>
      <c r="PZX188" s="1016"/>
      <c r="PZY188" s="1016"/>
      <c r="PZZ188" s="1016"/>
      <c r="QAA188" s="1016"/>
      <c r="QAB188" s="1016"/>
      <c r="QAC188" s="1016"/>
      <c r="QAD188" s="1016"/>
      <c r="QAE188" s="1016"/>
      <c r="QAF188" s="1016"/>
      <c r="QAG188" s="1016"/>
      <c r="QAH188" s="1016"/>
      <c r="QAI188" s="1016"/>
      <c r="QAJ188" s="1016"/>
      <c r="QAK188" s="1016"/>
      <c r="QAL188" s="1016"/>
      <c r="QAM188" s="1016"/>
      <c r="QAN188" s="1016"/>
      <c r="QAO188" s="1016"/>
      <c r="QAP188" s="1016"/>
      <c r="QAQ188" s="1016"/>
      <c r="QAR188" s="1016"/>
      <c r="QAS188" s="1016"/>
      <c r="QAT188" s="1016"/>
      <c r="QAU188" s="1016"/>
      <c r="QAV188" s="1016"/>
      <c r="QAW188" s="1016"/>
      <c r="QAX188" s="1016"/>
      <c r="QAY188" s="1016"/>
      <c r="QAZ188" s="1016"/>
      <c r="QBA188" s="1016"/>
      <c r="QBB188" s="1016"/>
      <c r="QBC188" s="1016"/>
      <c r="QBD188" s="1016"/>
      <c r="QBE188" s="1016"/>
      <c r="QBF188" s="1016"/>
      <c r="QBG188" s="1016"/>
      <c r="QBH188" s="1016"/>
      <c r="QBI188" s="1016"/>
      <c r="QBJ188" s="1016"/>
      <c r="QBK188" s="1016"/>
      <c r="QBL188" s="1016"/>
      <c r="QBM188" s="1016"/>
      <c r="QBN188" s="1016"/>
      <c r="QBO188" s="1016"/>
      <c r="QBP188" s="1016"/>
      <c r="QBQ188" s="1016"/>
      <c r="QBR188" s="1016"/>
      <c r="QBS188" s="1016"/>
      <c r="QBT188" s="1016"/>
      <c r="QBU188" s="1016"/>
      <c r="QBV188" s="1016"/>
      <c r="QBW188" s="1016"/>
      <c r="QBX188" s="1016"/>
      <c r="QBY188" s="1016"/>
      <c r="QBZ188" s="1016"/>
      <c r="QCA188" s="1016"/>
      <c r="QCB188" s="1016"/>
      <c r="QCC188" s="1016"/>
      <c r="QCD188" s="1016"/>
      <c r="QCE188" s="1016"/>
      <c r="QCF188" s="1016"/>
      <c r="QCG188" s="1016"/>
      <c r="QCH188" s="1016"/>
      <c r="QCI188" s="1016"/>
      <c r="QCJ188" s="1016"/>
      <c r="QCK188" s="1016"/>
      <c r="QCL188" s="1016"/>
      <c r="QCM188" s="1016"/>
      <c r="QCN188" s="1016"/>
      <c r="QCO188" s="1016"/>
      <c r="QCP188" s="1016"/>
      <c r="QCQ188" s="1016"/>
      <c r="QCR188" s="1016"/>
      <c r="QCS188" s="1016"/>
      <c r="QCT188" s="1016"/>
      <c r="QCU188" s="1016"/>
      <c r="QCV188" s="1016"/>
      <c r="QCW188" s="1016"/>
      <c r="QCX188" s="1016"/>
      <c r="QCY188" s="1016"/>
      <c r="QCZ188" s="1016"/>
      <c r="QDA188" s="1016"/>
      <c r="QDB188" s="1016"/>
      <c r="QDC188" s="1016"/>
      <c r="QDD188" s="1016"/>
      <c r="QDE188" s="1016"/>
      <c r="QDF188" s="1016"/>
      <c r="QDG188" s="1016"/>
      <c r="QDH188" s="1016"/>
      <c r="QDI188" s="1016"/>
      <c r="QDJ188" s="1016"/>
      <c r="QDK188" s="1016"/>
      <c r="QDL188" s="1016"/>
      <c r="QDM188" s="1016"/>
      <c r="QDN188" s="1016"/>
      <c r="QDO188" s="1016"/>
      <c r="QDP188" s="1016"/>
      <c r="QDQ188" s="1016"/>
      <c r="QDR188" s="1016"/>
      <c r="QDS188" s="1016"/>
      <c r="QDT188" s="1016"/>
      <c r="QDU188" s="1016"/>
      <c r="QDV188" s="1016"/>
      <c r="QDW188" s="1016"/>
      <c r="QDX188" s="1016"/>
      <c r="QDY188" s="1016"/>
      <c r="QDZ188" s="1016"/>
      <c r="QEA188" s="1016"/>
      <c r="QEB188" s="1016"/>
      <c r="QEC188" s="1016"/>
      <c r="QED188" s="1016"/>
      <c r="QEE188" s="1016"/>
      <c r="QEF188" s="1016"/>
      <c r="QEG188" s="1016"/>
      <c r="QEH188" s="1016"/>
      <c r="QEI188" s="1016"/>
      <c r="QEJ188" s="1016"/>
      <c r="QEK188" s="1016"/>
      <c r="QEL188" s="1016"/>
      <c r="QEM188" s="1016"/>
      <c r="QEN188" s="1016"/>
      <c r="QEO188" s="1016"/>
      <c r="QEP188" s="1016"/>
      <c r="QEQ188" s="1016"/>
      <c r="QER188" s="1016"/>
      <c r="QES188" s="1016"/>
      <c r="QET188" s="1016"/>
      <c r="QEU188" s="1016"/>
      <c r="QEV188" s="1016"/>
      <c r="QEW188" s="1016"/>
      <c r="QEX188" s="1016"/>
      <c r="QEY188" s="1016"/>
      <c r="QEZ188" s="1016"/>
      <c r="QFA188" s="1016"/>
      <c r="QFB188" s="1016"/>
      <c r="QFC188" s="1016"/>
      <c r="QFD188" s="1016"/>
      <c r="QFE188" s="1016"/>
      <c r="QFF188" s="1016"/>
      <c r="QFG188" s="1016"/>
      <c r="QFH188" s="1016"/>
      <c r="QFI188" s="1016"/>
      <c r="QFJ188" s="1016"/>
      <c r="QFK188" s="1016"/>
      <c r="QFL188" s="1016"/>
      <c r="QFM188" s="1016"/>
      <c r="QFN188" s="1016"/>
      <c r="QFO188" s="1016"/>
      <c r="QFP188" s="1016"/>
      <c r="QFQ188" s="1016"/>
      <c r="QFR188" s="1016"/>
      <c r="QFS188" s="1016"/>
      <c r="QFT188" s="1016"/>
      <c r="QFU188" s="1016"/>
      <c r="QFV188" s="1016"/>
      <c r="QFW188" s="1016"/>
      <c r="QFX188" s="1016"/>
      <c r="QFY188" s="1016"/>
      <c r="QFZ188" s="1016"/>
      <c r="QGA188" s="1016"/>
      <c r="QGB188" s="1016"/>
      <c r="QGC188" s="1016"/>
      <c r="QGD188" s="1016"/>
      <c r="QGE188" s="1016"/>
      <c r="QGF188" s="1016"/>
      <c r="QGG188" s="1016"/>
      <c r="QGH188" s="1016"/>
      <c r="QGI188" s="1016"/>
      <c r="QGJ188" s="1016"/>
      <c r="QGK188" s="1016"/>
      <c r="QGL188" s="1016"/>
      <c r="QGM188" s="1016"/>
      <c r="QGN188" s="1016"/>
      <c r="QGO188" s="1016"/>
      <c r="QGP188" s="1016"/>
      <c r="QGQ188" s="1016"/>
      <c r="QGR188" s="1016"/>
      <c r="QGS188" s="1016"/>
      <c r="QGT188" s="1016"/>
      <c r="QGU188" s="1016"/>
      <c r="QGV188" s="1016"/>
      <c r="QGW188" s="1016"/>
      <c r="QGX188" s="1016"/>
      <c r="QGY188" s="1016"/>
      <c r="QGZ188" s="1016"/>
      <c r="QHA188" s="1016"/>
      <c r="QHB188" s="1016"/>
      <c r="QHC188" s="1016"/>
      <c r="QHD188" s="1016"/>
      <c r="QHE188" s="1016"/>
      <c r="QHF188" s="1016"/>
      <c r="QHG188" s="1016"/>
      <c r="QHH188" s="1016"/>
      <c r="QHI188" s="1016"/>
      <c r="QHJ188" s="1016"/>
      <c r="QHK188" s="1016"/>
      <c r="QHL188" s="1016"/>
      <c r="QHM188" s="1016"/>
      <c r="QHN188" s="1016"/>
      <c r="QHO188" s="1016"/>
      <c r="QHP188" s="1016"/>
      <c r="QHQ188" s="1016"/>
      <c r="QHR188" s="1016"/>
      <c r="QHS188" s="1016"/>
      <c r="QHT188" s="1016"/>
      <c r="QHU188" s="1016"/>
      <c r="QHV188" s="1016"/>
      <c r="QHW188" s="1016"/>
      <c r="QHX188" s="1016"/>
      <c r="QHY188" s="1016"/>
      <c r="QHZ188" s="1016"/>
      <c r="QIA188" s="1016"/>
      <c r="QIB188" s="1016"/>
      <c r="QIC188" s="1016"/>
      <c r="QID188" s="1016"/>
      <c r="QIE188" s="1016"/>
      <c r="QIF188" s="1016"/>
      <c r="QIG188" s="1016"/>
      <c r="QIH188" s="1016"/>
      <c r="QII188" s="1016"/>
      <c r="QIJ188" s="1016"/>
      <c r="QIK188" s="1016"/>
      <c r="QIL188" s="1016"/>
      <c r="QIM188" s="1016"/>
      <c r="QIN188" s="1016"/>
      <c r="QIO188" s="1016"/>
      <c r="QIP188" s="1016"/>
      <c r="QIQ188" s="1016"/>
      <c r="QIR188" s="1016"/>
      <c r="QIS188" s="1016"/>
      <c r="QIT188" s="1016"/>
      <c r="QIU188" s="1016"/>
      <c r="QIV188" s="1016"/>
      <c r="QIW188" s="1016"/>
      <c r="QIX188" s="1016"/>
      <c r="QIY188" s="1016"/>
      <c r="QIZ188" s="1016"/>
      <c r="QJA188" s="1016"/>
      <c r="QJB188" s="1016"/>
      <c r="QJC188" s="1016"/>
      <c r="QJD188" s="1016"/>
      <c r="QJE188" s="1016"/>
      <c r="QJF188" s="1016"/>
      <c r="QJG188" s="1016"/>
      <c r="QJH188" s="1016"/>
      <c r="QJI188" s="1016"/>
      <c r="QJJ188" s="1016"/>
      <c r="QJK188" s="1016"/>
      <c r="QJL188" s="1016"/>
      <c r="QJM188" s="1016"/>
      <c r="QJN188" s="1016"/>
      <c r="QJO188" s="1016"/>
      <c r="QJP188" s="1016"/>
      <c r="QJQ188" s="1016"/>
      <c r="QJR188" s="1016"/>
      <c r="QJS188" s="1016"/>
      <c r="QJT188" s="1016"/>
      <c r="QJU188" s="1016"/>
      <c r="QJV188" s="1016"/>
      <c r="QJW188" s="1016"/>
      <c r="QJX188" s="1016"/>
      <c r="QJY188" s="1016"/>
      <c r="QJZ188" s="1016"/>
      <c r="QKA188" s="1016"/>
      <c r="QKB188" s="1016"/>
      <c r="QKC188" s="1016"/>
      <c r="QKD188" s="1016"/>
      <c r="QKE188" s="1016"/>
      <c r="QKF188" s="1016"/>
      <c r="QKG188" s="1016"/>
      <c r="QKH188" s="1016"/>
      <c r="QKI188" s="1016"/>
      <c r="QKJ188" s="1016"/>
      <c r="QKK188" s="1016"/>
      <c r="QKL188" s="1016"/>
      <c r="QKM188" s="1016"/>
      <c r="QKN188" s="1016"/>
      <c r="QKO188" s="1016"/>
      <c r="QKP188" s="1016"/>
      <c r="QKQ188" s="1016"/>
      <c r="QKR188" s="1016"/>
      <c r="QKS188" s="1016"/>
      <c r="QKT188" s="1016"/>
      <c r="QKU188" s="1016"/>
      <c r="QKV188" s="1016"/>
      <c r="QKW188" s="1016"/>
      <c r="QKX188" s="1016"/>
      <c r="QKY188" s="1016"/>
      <c r="QKZ188" s="1016"/>
      <c r="QLA188" s="1016"/>
      <c r="QLB188" s="1016"/>
      <c r="QLC188" s="1016"/>
      <c r="QLD188" s="1016"/>
      <c r="QLE188" s="1016"/>
      <c r="QLF188" s="1016"/>
      <c r="QLG188" s="1016"/>
      <c r="QLH188" s="1016"/>
      <c r="QLI188" s="1016"/>
      <c r="QLJ188" s="1016"/>
      <c r="QLK188" s="1016"/>
      <c r="QLL188" s="1016"/>
      <c r="QLM188" s="1016"/>
      <c r="QLN188" s="1016"/>
      <c r="QLO188" s="1016"/>
      <c r="QLP188" s="1016"/>
      <c r="QLQ188" s="1016"/>
      <c r="QLR188" s="1016"/>
      <c r="QLS188" s="1016"/>
      <c r="QLT188" s="1016"/>
      <c r="QLU188" s="1016"/>
      <c r="QLV188" s="1016"/>
      <c r="QLW188" s="1016"/>
      <c r="QLX188" s="1016"/>
      <c r="QLY188" s="1016"/>
      <c r="QLZ188" s="1016"/>
      <c r="QMA188" s="1016"/>
      <c r="QMB188" s="1016"/>
      <c r="QMC188" s="1016"/>
      <c r="QMD188" s="1016"/>
      <c r="QME188" s="1016"/>
      <c r="QMF188" s="1016"/>
      <c r="QMG188" s="1016"/>
      <c r="QMH188" s="1016"/>
      <c r="QMI188" s="1016"/>
      <c r="QMJ188" s="1016"/>
      <c r="QMK188" s="1016"/>
      <c r="QML188" s="1016"/>
      <c r="QMM188" s="1016"/>
      <c r="QMN188" s="1016"/>
      <c r="QMO188" s="1016"/>
      <c r="QMP188" s="1016"/>
      <c r="QMQ188" s="1016"/>
      <c r="QMR188" s="1016"/>
      <c r="QMS188" s="1016"/>
      <c r="QMT188" s="1016"/>
      <c r="QMU188" s="1016"/>
      <c r="QMV188" s="1016"/>
      <c r="QMW188" s="1016"/>
      <c r="QMX188" s="1016"/>
      <c r="QMY188" s="1016"/>
      <c r="QMZ188" s="1016"/>
      <c r="QNA188" s="1016"/>
      <c r="QNB188" s="1016"/>
      <c r="QNC188" s="1016"/>
      <c r="QND188" s="1016"/>
      <c r="QNE188" s="1016"/>
      <c r="QNF188" s="1016"/>
      <c r="QNG188" s="1016"/>
      <c r="QNH188" s="1016"/>
      <c r="QNI188" s="1016"/>
      <c r="QNJ188" s="1016"/>
      <c r="QNK188" s="1016"/>
      <c r="QNL188" s="1016"/>
      <c r="QNM188" s="1016"/>
      <c r="QNN188" s="1016"/>
      <c r="QNO188" s="1016"/>
      <c r="QNP188" s="1016"/>
      <c r="QNQ188" s="1016"/>
      <c r="QNR188" s="1016"/>
      <c r="QNS188" s="1016"/>
      <c r="QNT188" s="1016"/>
      <c r="QNU188" s="1016"/>
      <c r="QNV188" s="1016"/>
      <c r="QNW188" s="1016"/>
      <c r="QNX188" s="1016"/>
      <c r="QNY188" s="1016"/>
      <c r="QNZ188" s="1016"/>
      <c r="QOA188" s="1016"/>
      <c r="QOB188" s="1016"/>
      <c r="QOC188" s="1016"/>
      <c r="QOD188" s="1016"/>
      <c r="QOE188" s="1016"/>
      <c r="QOF188" s="1016"/>
      <c r="QOG188" s="1016"/>
      <c r="QOH188" s="1016"/>
      <c r="QOI188" s="1016"/>
      <c r="QOJ188" s="1016"/>
      <c r="QOK188" s="1016"/>
      <c r="QOL188" s="1016"/>
      <c r="QOM188" s="1016"/>
      <c r="QON188" s="1016"/>
      <c r="QOO188" s="1016"/>
      <c r="QOP188" s="1016"/>
      <c r="QOQ188" s="1016"/>
      <c r="QOR188" s="1016"/>
      <c r="QOS188" s="1016"/>
      <c r="QOT188" s="1016"/>
      <c r="QOU188" s="1016"/>
      <c r="QOV188" s="1016"/>
      <c r="QOW188" s="1016"/>
      <c r="QOX188" s="1016"/>
      <c r="QOY188" s="1016"/>
      <c r="QOZ188" s="1016"/>
      <c r="QPA188" s="1016"/>
      <c r="QPB188" s="1016"/>
      <c r="QPC188" s="1016"/>
      <c r="QPD188" s="1016"/>
      <c r="QPE188" s="1016"/>
      <c r="QPF188" s="1016"/>
      <c r="QPG188" s="1016"/>
      <c r="QPH188" s="1016"/>
      <c r="QPI188" s="1016"/>
      <c r="QPJ188" s="1016"/>
      <c r="QPK188" s="1016"/>
      <c r="QPL188" s="1016"/>
      <c r="QPM188" s="1016"/>
      <c r="QPN188" s="1016"/>
      <c r="QPO188" s="1016"/>
      <c r="QPP188" s="1016"/>
      <c r="QPQ188" s="1016"/>
      <c r="QPR188" s="1016"/>
      <c r="QPS188" s="1016"/>
      <c r="QPT188" s="1016"/>
      <c r="QPU188" s="1016"/>
      <c r="QPV188" s="1016"/>
      <c r="QPW188" s="1016"/>
      <c r="QPX188" s="1016"/>
      <c r="QPY188" s="1016"/>
      <c r="QPZ188" s="1016"/>
      <c r="QQA188" s="1016"/>
      <c r="QQB188" s="1016"/>
      <c r="QQC188" s="1016"/>
      <c r="QQD188" s="1016"/>
      <c r="QQE188" s="1016"/>
      <c r="QQF188" s="1016"/>
      <c r="QQG188" s="1016"/>
      <c r="QQH188" s="1016"/>
      <c r="QQI188" s="1016"/>
      <c r="QQJ188" s="1016"/>
      <c r="QQK188" s="1016"/>
      <c r="QQL188" s="1016"/>
      <c r="QQM188" s="1016"/>
      <c r="QQN188" s="1016"/>
      <c r="QQO188" s="1016"/>
      <c r="QQP188" s="1016"/>
      <c r="QQQ188" s="1016"/>
      <c r="QQR188" s="1016"/>
      <c r="QQS188" s="1016"/>
      <c r="QQT188" s="1016"/>
      <c r="QQU188" s="1016"/>
      <c r="QQV188" s="1016"/>
      <c r="QQW188" s="1016"/>
      <c r="QQX188" s="1016"/>
      <c r="QQY188" s="1016"/>
      <c r="QQZ188" s="1016"/>
      <c r="QRA188" s="1016"/>
      <c r="QRB188" s="1016"/>
      <c r="QRC188" s="1016"/>
      <c r="QRD188" s="1016"/>
      <c r="QRE188" s="1016"/>
      <c r="QRF188" s="1016"/>
      <c r="QRG188" s="1016"/>
      <c r="QRH188" s="1016"/>
      <c r="QRI188" s="1016"/>
      <c r="QRJ188" s="1016"/>
      <c r="QRK188" s="1016"/>
      <c r="QRL188" s="1016"/>
      <c r="QRM188" s="1016"/>
      <c r="QRN188" s="1016"/>
      <c r="QRO188" s="1016"/>
      <c r="QRP188" s="1016"/>
      <c r="QRQ188" s="1016"/>
      <c r="QRR188" s="1016"/>
      <c r="QRS188" s="1016"/>
      <c r="QRT188" s="1016"/>
      <c r="QRU188" s="1016"/>
      <c r="QRV188" s="1016"/>
      <c r="QRW188" s="1016"/>
      <c r="QRX188" s="1016"/>
      <c r="QRY188" s="1016"/>
      <c r="QRZ188" s="1016"/>
      <c r="QSA188" s="1016"/>
      <c r="QSB188" s="1016"/>
      <c r="QSC188" s="1016"/>
      <c r="QSD188" s="1016"/>
      <c r="QSE188" s="1016"/>
      <c r="QSF188" s="1016"/>
      <c r="QSG188" s="1016"/>
      <c r="QSH188" s="1016"/>
      <c r="QSI188" s="1016"/>
      <c r="QSJ188" s="1016"/>
      <c r="QSK188" s="1016"/>
      <c r="QSL188" s="1016"/>
      <c r="QSM188" s="1016"/>
      <c r="QSN188" s="1016"/>
      <c r="QSO188" s="1016"/>
      <c r="QSP188" s="1016"/>
      <c r="QSQ188" s="1016"/>
      <c r="QSR188" s="1016"/>
      <c r="QSS188" s="1016"/>
      <c r="QST188" s="1016"/>
      <c r="QSU188" s="1016"/>
      <c r="QSV188" s="1016"/>
      <c r="QSW188" s="1016"/>
      <c r="QSX188" s="1016"/>
      <c r="QSY188" s="1016"/>
      <c r="QSZ188" s="1016"/>
      <c r="QTA188" s="1016"/>
      <c r="QTB188" s="1016"/>
      <c r="QTC188" s="1016"/>
      <c r="QTD188" s="1016"/>
      <c r="QTE188" s="1016"/>
      <c r="QTF188" s="1016"/>
      <c r="QTG188" s="1016"/>
      <c r="QTH188" s="1016"/>
      <c r="QTI188" s="1016"/>
      <c r="QTJ188" s="1016"/>
      <c r="QTK188" s="1016"/>
      <c r="QTL188" s="1016"/>
      <c r="QTM188" s="1016"/>
      <c r="QTN188" s="1016"/>
      <c r="QTO188" s="1016"/>
      <c r="QTP188" s="1016"/>
      <c r="QTQ188" s="1016"/>
      <c r="QTR188" s="1016"/>
      <c r="QTS188" s="1016"/>
      <c r="QTT188" s="1016"/>
      <c r="QTU188" s="1016"/>
      <c r="QTV188" s="1016"/>
      <c r="QTW188" s="1016"/>
      <c r="QTX188" s="1016"/>
      <c r="QTY188" s="1016"/>
      <c r="QTZ188" s="1016"/>
      <c r="QUA188" s="1016"/>
      <c r="QUB188" s="1016"/>
      <c r="QUC188" s="1016"/>
      <c r="QUD188" s="1016"/>
      <c r="QUE188" s="1016"/>
      <c r="QUF188" s="1016"/>
      <c r="QUG188" s="1016"/>
      <c r="QUH188" s="1016"/>
      <c r="QUI188" s="1016"/>
      <c r="QUJ188" s="1016"/>
      <c r="QUK188" s="1016"/>
      <c r="QUL188" s="1016"/>
      <c r="QUM188" s="1016"/>
      <c r="QUN188" s="1016"/>
      <c r="QUO188" s="1016"/>
      <c r="QUP188" s="1016"/>
      <c r="QUQ188" s="1016"/>
      <c r="QUR188" s="1016"/>
      <c r="QUS188" s="1016"/>
      <c r="QUT188" s="1016"/>
      <c r="QUU188" s="1016"/>
      <c r="QUV188" s="1016"/>
      <c r="QUW188" s="1016"/>
      <c r="QUX188" s="1016"/>
      <c r="QUY188" s="1016"/>
      <c r="QUZ188" s="1016"/>
      <c r="QVA188" s="1016"/>
      <c r="QVB188" s="1016"/>
      <c r="QVC188" s="1016"/>
      <c r="QVD188" s="1016"/>
      <c r="QVE188" s="1016"/>
      <c r="QVF188" s="1016"/>
      <c r="QVG188" s="1016"/>
      <c r="QVH188" s="1016"/>
      <c r="QVI188" s="1016"/>
      <c r="QVJ188" s="1016"/>
      <c r="QVK188" s="1016"/>
      <c r="QVL188" s="1016"/>
      <c r="QVM188" s="1016"/>
      <c r="QVN188" s="1016"/>
      <c r="QVO188" s="1016"/>
      <c r="QVP188" s="1016"/>
      <c r="QVQ188" s="1016"/>
      <c r="QVR188" s="1016"/>
      <c r="QVS188" s="1016"/>
      <c r="QVT188" s="1016"/>
      <c r="QVU188" s="1016"/>
      <c r="QVV188" s="1016"/>
      <c r="QVW188" s="1016"/>
      <c r="QVX188" s="1016"/>
      <c r="QVY188" s="1016"/>
      <c r="QVZ188" s="1016"/>
      <c r="QWA188" s="1016"/>
      <c r="QWB188" s="1016"/>
      <c r="QWC188" s="1016"/>
      <c r="QWD188" s="1016"/>
      <c r="QWE188" s="1016"/>
      <c r="QWF188" s="1016"/>
      <c r="QWG188" s="1016"/>
      <c r="QWH188" s="1016"/>
      <c r="QWI188" s="1016"/>
      <c r="QWJ188" s="1016"/>
      <c r="QWK188" s="1016"/>
      <c r="QWL188" s="1016"/>
      <c r="QWM188" s="1016"/>
      <c r="QWN188" s="1016"/>
      <c r="QWO188" s="1016"/>
      <c r="QWP188" s="1016"/>
      <c r="QWQ188" s="1016"/>
      <c r="QWR188" s="1016"/>
      <c r="QWS188" s="1016"/>
      <c r="QWT188" s="1016"/>
      <c r="QWU188" s="1016"/>
      <c r="QWV188" s="1016"/>
      <c r="QWW188" s="1016"/>
      <c r="QWX188" s="1016"/>
      <c r="QWY188" s="1016"/>
      <c r="QWZ188" s="1016"/>
      <c r="QXA188" s="1016"/>
      <c r="QXB188" s="1016"/>
      <c r="QXC188" s="1016"/>
      <c r="QXD188" s="1016"/>
      <c r="QXE188" s="1016"/>
      <c r="QXF188" s="1016"/>
      <c r="QXG188" s="1016"/>
      <c r="QXH188" s="1016"/>
      <c r="QXI188" s="1016"/>
      <c r="QXJ188" s="1016"/>
      <c r="QXK188" s="1016"/>
      <c r="QXL188" s="1016"/>
      <c r="QXM188" s="1016"/>
      <c r="QXN188" s="1016"/>
      <c r="QXO188" s="1016"/>
      <c r="QXP188" s="1016"/>
      <c r="QXQ188" s="1016"/>
      <c r="QXR188" s="1016"/>
      <c r="QXS188" s="1016"/>
      <c r="QXT188" s="1016"/>
      <c r="QXU188" s="1016"/>
      <c r="QXV188" s="1016"/>
      <c r="QXW188" s="1016"/>
      <c r="QXX188" s="1016"/>
      <c r="QXY188" s="1016"/>
      <c r="QXZ188" s="1016"/>
      <c r="QYA188" s="1016"/>
      <c r="QYB188" s="1016"/>
      <c r="QYC188" s="1016"/>
      <c r="QYD188" s="1016"/>
      <c r="QYE188" s="1016"/>
      <c r="QYF188" s="1016"/>
      <c r="QYG188" s="1016"/>
      <c r="QYH188" s="1016"/>
      <c r="QYI188" s="1016"/>
      <c r="QYJ188" s="1016"/>
      <c r="QYK188" s="1016"/>
      <c r="QYL188" s="1016"/>
      <c r="QYM188" s="1016"/>
      <c r="QYN188" s="1016"/>
      <c r="QYO188" s="1016"/>
      <c r="QYP188" s="1016"/>
      <c r="QYQ188" s="1016"/>
      <c r="QYR188" s="1016"/>
      <c r="QYS188" s="1016"/>
      <c r="QYT188" s="1016"/>
      <c r="QYU188" s="1016"/>
      <c r="QYV188" s="1016"/>
      <c r="QYW188" s="1016"/>
      <c r="QYX188" s="1016"/>
      <c r="QYY188" s="1016"/>
      <c r="QYZ188" s="1016"/>
      <c r="QZA188" s="1016"/>
      <c r="QZB188" s="1016"/>
      <c r="QZC188" s="1016"/>
      <c r="QZD188" s="1016"/>
      <c r="QZE188" s="1016"/>
      <c r="QZF188" s="1016"/>
      <c r="QZG188" s="1016"/>
      <c r="QZH188" s="1016"/>
      <c r="QZI188" s="1016"/>
      <c r="QZJ188" s="1016"/>
      <c r="QZK188" s="1016"/>
      <c r="QZL188" s="1016"/>
      <c r="QZM188" s="1016"/>
      <c r="QZN188" s="1016"/>
      <c r="QZO188" s="1016"/>
      <c r="QZP188" s="1016"/>
      <c r="QZQ188" s="1016"/>
      <c r="QZR188" s="1016"/>
      <c r="QZS188" s="1016"/>
      <c r="QZT188" s="1016"/>
      <c r="QZU188" s="1016"/>
      <c r="QZV188" s="1016"/>
      <c r="QZW188" s="1016"/>
      <c r="QZX188" s="1016"/>
      <c r="QZY188" s="1016"/>
      <c r="QZZ188" s="1016"/>
      <c r="RAA188" s="1016"/>
      <c r="RAB188" s="1016"/>
      <c r="RAC188" s="1016"/>
      <c r="RAD188" s="1016"/>
      <c r="RAE188" s="1016"/>
      <c r="RAF188" s="1016"/>
      <c r="RAG188" s="1016"/>
      <c r="RAH188" s="1016"/>
      <c r="RAI188" s="1016"/>
      <c r="RAJ188" s="1016"/>
      <c r="RAK188" s="1016"/>
      <c r="RAL188" s="1016"/>
      <c r="RAM188" s="1016"/>
      <c r="RAN188" s="1016"/>
      <c r="RAO188" s="1016"/>
      <c r="RAP188" s="1016"/>
      <c r="RAQ188" s="1016"/>
      <c r="RAR188" s="1016"/>
      <c r="RAS188" s="1016"/>
      <c r="RAT188" s="1016"/>
      <c r="RAU188" s="1016"/>
      <c r="RAV188" s="1016"/>
      <c r="RAW188" s="1016"/>
      <c r="RAX188" s="1016"/>
      <c r="RAY188" s="1016"/>
      <c r="RAZ188" s="1016"/>
      <c r="RBA188" s="1016"/>
      <c r="RBB188" s="1016"/>
      <c r="RBC188" s="1016"/>
      <c r="RBD188" s="1016"/>
      <c r="RBE188" s="1016"/>
      <c r="RBF188" s="1016"/>
      <c r="RBG188" s="1016"/>
      <c r="RBH188" s="1016"/>
      <c r="RBI188" s="1016"/>
      <c r="RBJ188" s="1016"/>
      <c r="RBK188" s="1016"/>
      <c r="RBL188" s="1016"/>
      <c r="RBM188" s="1016"/>
      <c r="RBN188" s="1016"/>
      <c r="RBO188" s="1016"/>
      <c r="RBP188" s="1016"/>
      <c r="RBQ188" s="1016"/>
      <c r="RBR188" s="1016"/>
      <c r="RBS188" s="1016"/>
      <c r="RBT188" s="1016"/>
      <c r="RBU188" s="1016"/>
      <c r="RBV188" s="1016"/>
      <c r="RBW188" s="1016"/>
      <c r="RBX188" s="1016"/>
      <c r="RBY188" s="1016"/>
      <c r="RBZ188" s="1016"/>
      <c r="RCA188" s="1016"/>
      <c r="RCB188" s="1016"/>
      <c r="RCC188" s="1016"/>
      <c r="RCD188" s="1016"/>
      <c r="RCE188" s="1016"/>
      <c r="RCF188" s="1016"/>
      <c r="RCG188" s="1016"/>
      <c r="RCH188" s="1016"/>
      <c r="RCI188" s="1016"/>
      <c r="RCJ188" s="1016"/>
      <c r="RCK188" s="1016"/>
      <c r="RCL188" s="1016"/>
      <c r="RCM188" s="1016"/>
      <c r="RCN188" s="1016"/>
      <c r="RCO188" s="1016"/>
      <c r="RCP188" s="1016"/>
      <c r="RCQ188" s="1016"/>
      <c r="RCR188" s="1016"/>
      <c r="RCS188" s="1016"/>
      <c r="RCT188" s="1016"/>
      <c r="RCU188" s="1016"/>
      <c r="RCV188" s="1016"/>
      <c r="RCW188" s="1016"/>
      <c r="RCX188" s="1016"/>
      <c r="RCY188" s="1016"/>
      <c r="RCZ188" s="1016"/>
      <c r="RDA188" s="1016"/>
      <c r="RDB188" s="1016"/>
      <c r="RDC188" s="1016"/>
      <c r="RDD188" s="1016"/>
      <c r="RDE188" s="1016"/>
      <c r="RDF188" s="1016"/>
      <c r="RDG188" s="1016"/>
      <c r="RDH188" s="1016"/>
      <c r="RDI188" s="1016"/>
      <c r="RDJ188" s="1016"/>
      <c r="RDK188" s="1016"/>
      <c r="RDL188" s="1016"/>
      <c r="RDM188" s="1016"/>
      <c r="RDN188" s="1016"/>
      <c r="RDO188" s="1016"/>
      <c r="RDP188" s="1016"/>
      <c r="RDQ188" s="1016"/>
      <c r="RDR188" s="1016"/>
      <c r="RDS188" s="1016"/>
      <c r="RDT188" s="1016"/>
      <c r="RDU188" s="1016"/>
      <c r="RDV188" s="1016"/>
      <c r="RDW188" s="1016"/>
      <c r="RDX188" s="1016"/>
      <c r="RDY188" s="1016"/>
      <c r="RDZ188" s="1016"/>
      <c r="REA188" s="1016"/>
      <c r="REB188" s="1016"/>
      <c r="REC188" s="1016"/>
      <c r="RED188" s="1016"/>
      <c r="REE188" s="1016"/>
      <c r="REF188" s="1016"/>
      <c r="REG188" s="1016"/>
      <c r="REH188" s="1016"/>
      <c r="REI188" s="1016"/>
      <c r="REJ188" s="1016"/>
      <c r="REK188" s="1016"/>
      <c r="REL188" s="1016"/>
      <c r="REM188" s="1016"/>
      <c r="REN188" s="1016"/>
      <c r="REO188" s="1016"/>
      <c r="REP188" s="1016"/>
      <c r="REQ188" s="1016"/>
      <c r="RER188" s="1016"/>
      <c r="RES188" s="1016"/>
      <c r="RET188" s="1016"/>
      <c r="REU188" s="1016"/>
      <c r="REV188" s="1016"/>
      <c r="REW188" s="1016"/>
      <c r="REX188" s="1016"/>
      <c r="REY188" s="1016"/>
      <c r="REZ188" s="1016"/>
      <c r="RFA188" s="1016"/>
      <c r="RFB188" s="1016"/>
      <c r="RFC188" s="1016"/>
      <c r="RFD188" s="1016"/>
      <c r="RFE188" s="1016"/>
      <c r="RFF188" s="1016"/>
      <c r="RFG188" s="1016"/>
      <c r="RFH188" s="1016"/>
      <c r="RFI188" s="1016"/>
      <c r="RFJ188" s="1016"/>
      <c r="RFK188" s="1016"/>
      <c r="RFL188" s="1016"/>
      <c r="RFM188" s="1016"/>
      <c r="RFN188" s="1016"/>
      <c r="RFO188" s="1016"/>
      <c r="RFP188" s="1016"/>
      <c r="RFQ188" s="1016"/>
      <c r="RFR188" s="1016"/>
      <c r="RFS188" s="1016"/>
      <c r="RFT188" s="1016"/>
      <c r="RFU188" s="1016"/>
      <c r="RFV188" s="1016"/>
      <c r="RFW188" s="1016"/>
      <c r="RFX188" s="1016"/>
      <c r="RFY188" s="1016"/>
      <c r="RFZ188" s="1016"/>
      <c r="RGA188" s="1016"/>
      <c r="RGB188" s="1016"/>
      <c r="RGC188" s="1016"/>
      <c r="RGD188" s="1016"/>
      <c r="RGE188" s="1016"/>
      <c r="RGF188" s="1016"/>
      <c r="RGG188" s="1016"/>
      <c r="RGH188" s="1016"/>
      <c r="RGI188" s="1016"/>
      <c r="RGJ188" s="1016"/>
      <c r="RGK188" s="1016"/>
      <c r="RGL188" s="1016"/>
      <c r="RGM188" s="1016"/>
      <c r="RGN188" s="1016"/>
      <c r="RGO188" s="1016"/>
      <c r="RGP188" s="1016"/>
      <c r="RGQ188" s="1016"/>
      <c r="RGR188" s="1016"/>
      <c r="RGS188" s="1016"/>
      <c r="RGT188" s="1016"/>
      <c r="RGU188" s="1016"/>
      <c r="RGV188" s="1016"/>
      <c r="RGW188" s="1016"/>
      <c r="RGX188" s="1016"/>
      <c r="RGY188" s="1016"/>
      <c r="RGZ188" s="1016"/>
      <c r="RHA188" s="1016"/>
      <c r="RHB188" s="1016"/>
      <c r="RHC188" s="1016"/>
      <c r="RHD188" s="1016"/>
      <c r="RHE188" s="1016"/>
      <c r="RHF188" s="1016"/>
      <c r="RHG188" s="1016"/>
      <c r="RHH188" s="1016"/>
      <c r="RHI188" s="1016"/>
      <c r="RHJ188" s="1016"/>
      <c r="RHK188" s="1016"/>
      <c r="RHL188" s="1016"/>
      <c r="RHM188" s="1016"/>
      <c r="RHN188" s="1016"/>
      <c r="RHO188" s="1016"/>
      <c r="RHP188" s="1016"/>
      <c r="RHQ188" s="1016"/>
      <c r="RHR188" s="1016"/>
      <c r="RHS188" s="1016"/>
      <c r="RHT188" s="1016"/>
      <c r="RHU188" s="1016"/>
      <c r="RHV188" s="1016"/>
      <c r="RHW188" s="1016"/>
      <c r="RHX188" s="1016"/>
      <c r="RHY188" s="1016"/>
      <c r="RHZ188" s="1016"/>
      <c r="RIA188" s="1016"/>
      <c r="RIB188" s="1016"/>
      <c r="RIC188" s="1016"/>
      <c r="RID188" s="1016"/>
      <c r="RIE188" s="1016"/>
      <c r="RIF188" s="1016"/>
      <c r="RIG188" s="1016"/>
      <c r="RIH188" s="1016"/>
      <c r="RII188" s="1016"/>
      <c r="RIJ188" s="1016"/>
      <c r="RIK188" s="1016"/>
      <c r="RIL188" s="1016"/>
      <c r="RIM188" s="1016"/>
      <c r="RIN188" s="1016"/>
      <c r="RIO188" s="1016"/>
      <c r="RIP188" s="1016"/>
      <c r="RIQ188" s="1016"/>
      <c r="RIR188" s="1016"/>
      <c r="RIS188" s="1016"/>
      <c r="RIT188" s="1016"/>
      <c r="RIU188" s="1016"/>
      <c r="RIV188" s="1016"/>
      <c r="RIW188" s="1016"/>
      <c r="RIX188" s="1016"/>
      <c r="RIY188" s="1016"/>
      <c r="RIZ188" s="1016"/>
      <c r="RJA188" s="1016"/>
      <c r="RJB188" s="1016"/>
      <c r="RJC188" s="1016"/>
      <c r="RJD188" s="1016"/>
      <c r="RJE188" s="1016"/>
      <c r="RJF188" s="1016"/>
      <c r="RJG188" s="1016"/>
      <c r="RJH188" s="1016"/>
      <c r="RJI188" s="1016"/>
      <c r="RJJ188" s="1016"/>
      <c r="RJK188" s="1016"/>
      <c r="RJL188" s="1016"/>
      <c r="RJM188" s="1016"/>
      <c r="RJN188" s="1016"/>
      <c r="RJO188" s="1016"/>
      <c r="RJP188" s="1016"/>
      <c r="RJQ188" s="1016"/>
      <c r="RJR188" s="1016"/>
      <c r="RJS188" s="1016"/>
      <c r="RJT188" s="1016"/>
      <c r="RJU188" s="1016"/>
      <c r="RJV188" s="1016"/>
      <c r="RJW188" s="1016"/>
      <c r="RJX188" s="1016"/>
      <c r="RJY188" s="1016"/>
      <c r="RJZ188" s="1016"/>
      <c r="RKA188" s="1016"/>
      <c r="RKB188" s="1016"/>
      <c r="RKC188" s="1016"/>
      <c r="RKD188" s="1016"/>
      <c r="RKE188" s="1016"/>
      <c r="RKF188" s="1016"/>
      <c r="RKG188" s="1016"/>
      <c r="RKH188" s="1016"/>
      <c r="RKI188" s="1016"/>
      <c r="RKJ188" s="1016"/>
      <c r="RKK188" s="1016"/>
      <c r="RKL188" s="1016"/>
      <c r="RKM188" s="1016"/>
      <c r="RKN188" s="1016"/>
      <c r="RKO188" s="1016"/>
      <c r="RKP188" s="1016"/>
      <c r="RKQ188" s="1016"/>
      <c r="RKR188" s="1016"/>
      <c r="RKS188" s="1016"/>
      <c r="RKT188" s="1016"/>
      <c r="RKU188" s="1016"/>
      <c r="RKV188" s="1016"/>
      <c r="RKW188" s="1016"/>
      <c r="RKX188" s="1016"/>
      <c r="RKY188" s="1016"/>
      <c r="RKZ188" s="1016"/>
      <c r="RLA188" s="1016"/>
      <c r="RLB188" s="1016"/>
      <c r="RLC188" s="1016"/>
      <c r="RLD188" s="1016"/>
      <c r="RLE188" s="1016"/>
      <c r="RLF188" s="1016"/>
      <c r="RLG188" s="1016"/>
      <c r="RLH188" s="1016"/>
      <c r="RLI188" s="1016"/>
      <c r="RLJ188" s="1016"/>
      <c r="RLK188" s="1016"/>
      <c r="RLL188" s="1016"/>
      <c r="RLM188" s="1016"/>
      <c r="RLN188" s="1016"/>
      <c r="RLO188" s="1016"/>
      <c r="RLP188" s="1016"/>
      <c r="RLQ188" s="1016"/>
      <c r="RLR188" s="1016"/>
      <c r="RLS188" s="1016"/>
      <c r="RLT188" s="1016"/>
      <c r="RLU188" s="1016"/>
      <c r="RLV188" s="1016"/>
      <c r="RLW188" s="1016"/>
      <c r="RLX188" s="1016"/>
      <c r="RLY188" s="1016"/>
      <c r="RLZ188" s="1016"/>
      <c r="RMA188" s="1016"/>
      <c r="RMB188" s="1016"/>
      <c r="RMC188" s="1016"/>
      <c r="RMD188" s="1016"/>
      <c r="RME188" s="1016"/>
      <c r="RMF188" s="1016"/>
      <c r="RMG188" s="1016"/>
      <c r="RMH188" s="1016"/>
      <c r="RMI188" s="1016"/>
      <c r="RMJ188" s="1016"/>
      <c r="RMK188" s="1016"/>
      <c r="RML188" s="1016"/>
      <c r="RMM188" s="1016"/>
      <c r="RMN188" s="1016"/>
      <c r="RMO188" s="1016"/>
      <c r="RMP188" s="1016"/>
      <c r="RMQ188" s="1016"/>
      <c r="RMR188" s="1016"/>
      <c r="RMS188" s="1016"/>
      <c r="RMT188" s="1016"/>
      <c r="RMU188" s="1016"/>
      <c r="RMV188" s="1016"/>
      <c r="RMW188" s="1016"/>
      <c r="RMX188" s="1016"/>
      <c r="RMY188" s="1016"/>
      <c r="RMZ188" s="1016"/>
      <c r="RNA188" s="1016"/>
      <c r="RNB188" s="1016"/>
      <c r="RNC188" s="1016"/>
      <c r="RND188" s="1016"/>
      <c r="RNE188" s="1016"/>
      <c r="RNF188" s="1016"/>
      <c r="RNG188" s="1016"/>
      <c r="RNH188" s="1016"/>
      <c r="RNI188" s="1016"/>
      <c r="RNJ188" s="1016"/>
      <c r="RNK188" s="1016"/>
      <c r="RNL188" s="1016"/>
      <c r="RNM188" s="1016"/>
      <c r="RNN188" s="1016"/>
      <c r="RNO188" s="1016"/>
      <c r="RNP188" s="1016"/>
      <c r="RNQ188" s="1016"/>
      <c r="RNR188" s="1016"/>
      <c r="RNS188" s="1016"/>
      <c r="RNT188" s="1016"/>
      <c r="RNU188" s="1016"/>
      <c r="RNV188" s="1016"/>
      <c r="RNW188" s="1016"/>
      <c r="RNX188" s="1016"/>
      <c r="RNY188" s="1016"/>
      <c r="RNZ188" s="1016"/>
      <c r="ROA188" s="1016"/>
      <c r="ROB188" s="1016"/>
      <c r="ROC188" s="1016"/>
      <c r="ROD188" s="1016"/>
      <c r="ROE188" s="1016"/>
      <c r="ROF188" s="1016"/>
      <c r="ROG188" s="1016"/>
      <c r="ROH188" s="1016"/>
      <c r="ROI188" s="1016"/>
      <c r="ROJ188" s="1016"/>
      <c r="ROK188" s="1016"/>
      <c r="ROL188" s="1016"/>
      <c r="ROM188" s="1016"/>
      <c r="RON188" s="1016"/>
      <c r="ROO188" s="1016"/>
      <c r="ROP188" s="1016"/>
      <c r="ROQ188" s="1016"/>
      <c r="ROR188" s="1016"/>
      <c r="ROS188" s="1016"/>
      <c r="ROT188" s="1016"/>
      <c r="ROU188" s="1016"/>
      <c r="ROV188" s="1016"/>
      <c r="ROW188" s="1016"/>
      <c r="ROX188" s="1016"/>
      <c r="ROY188" s="1016"/>
      <c r="ROZ188" s="1016"/>
      <c r="RPA188" s="1016"/>
      <c r="RPB188" s="1016"/>
      <c r="RPC188" s="1016"/>
      <c r="RPD188" s="1016"/>
      <c r="RPE188" s="1016"/>
      <c r="RPF188" s="1016"/>
      <c r="RPG188" s="1016"/>
      <c r="RPH188" s="1016"/>
      <c r="RPI188" s="1016"/>
      <c r="RPJ188" s="1016"/>
      <c r="RPK188" s="1016"/>
      <c r="RPL188" s="1016"/>
      <c r="RPM188" s="1016"/>
      <c r="RPN188" s="1016"/>
      <c r="RPO188" s="1016"/>
      <c r="RPP188" s="1016"/>
      <c r="RPQ188" s="1016"/>
      <c r="RPR188" s="1016"/>
      <c r="RPS188" s="1016"/>
      <c r="RPT188" s="1016"/>
      <c r="RPU188" s="1016"/>
      <c r="RPV188" s="1016"/>
      <c r="RPW188" s="1016"/>
      <c r="RPX188" s="1016"/>
      <c r="RPY188" s="1016"/>
      <c r="RPZ188" s="1016"/>
      <c r="RQA188" s="1016"/>
      <c r="RQB188" s="1016"/>
      <c r="RQC188" s="1016"/>
      <c r="RQD188" s="1016"/>
      <c r="RQE188" s="1016"/>
      <c r="RQF188" s="1016"/>
      <c r="RQG188" s="1016"/>
      <c r="RQH188" s="1016"/>
      <c r="RQI188" s="1016"/>
      <c r="RQJ188" s="1016"/>
      <c r="RQK188" s="1016"/>
      <c r="RQL188" s="1016"/>
      <c r="RQM188" s="1016"/>
      <c r="RQN188" s="1016"/>
      <c r="RQO188" s="1016"/>
      <c r="RQP188" s="1016"/>
      <c r="RQQ188" s="1016"/>
      <c r="RQR188" s="1016"/>
      <c r="RQS188" s="1016"/>
      <c r="RQT188" s="1016"/>
      <c r="RQU188" s="1016"/>
      <c r="RQV188" s="1016"/>
      <c r="RQW188" s="1016"/>
      <c r="RQX188" s="1016"/>
      <c r="RQY188" s="1016"/>
      <c r="RQZ188" s="1016"/>
      <c r="RRA188" s="1016"/>
      <c r="RRB188" s="1016"/>
      <c r="RRC188" s="1016"/>
      <c r="RRD188" s="1016"/>
      <c r="RRE188" s="1016"/>
      <c r="RRF188" s="1016"/>
      <c r="RRG188" s="1016"/>
      <c r="RRH188" s="1016"/>
      <c r="RRI188" s="1016"/>
      <c r="RRJ188" s="1016"/>
      <c r="RRK188" s="1016"/>
      <c r="RRL188" s="1016"/>
      <c r="RRM188" s="1016"/>
      <c r="RRN188" s="1016"/>
      <c r="RRO188" s="1016"/>
      <c r="RRP188" s="1016"/>
      <c r="RRQ188" s="1016"/>
      <c r="RRR188" s="1016"/>
      <c r="RRS188" s="1016"/>
      <c r="RRT188" s="1016"/>
      <c r="RRU188" s="1016"/>
      <c r="RRV188" s="1016"/>
      <c r="RRW188" s="1016"/>
      <c r="RRX188" s="1016"/>
      <c r="RRY188" s="1016"/>
      <c r="RRZ188" s="1016"/>
      <c r="RSA188" s="1016"/>
      <c r="RSB188" s="1016"/>
      <c r="RSC188" s="1016"/>
      <c r="RSD188" s="1016"/>
      <c r="RSE188" s="1016"/>
      <c r="RSF188" s="1016"/>
      <c r="RSG188" s="1016"/>
      <c r="RSH188" s="1016"/>
      <c r="RSI188" s="1016"/>
      <c r="RSJ188" s="1016"/>
      <c r="RSK188" s="1016"/>
      <c r="RSL188" s="1016"/>
      <c r="RSM188" s="1016"/>
      <c r="RSN188" s="1016"/>
      <c r="RSO188" s="1016"/>
      <c r="RSP188" s="1016"/>
      <c r="RSQ188" s="1016"/>
      <c r="RSR188" s="1016"/>
      <c r="RSS188" s="1016"/>
      <c r="RST188" s="1016"/>
      <c r="RSU188" s="1016"/>
      <c r="RSV188" s="1016"/>
      <c r="RSW188" s="1016"/>
      <c r="RSX188" s="1016"/>
      <c r="RSY188" s="1016"/>
      <c r="RSZ188" s="1016"/>
      <c r="RTA188" s="1016"/>
      <c r="RTB188" s="1016"/>
      <c r="RTC188" s="1016"/>
      <c r="RTD188" s="1016"/>
      <c r="RTE188" s="1016"/>
      <c r="RTF188" s="1016"/>
      <c r="RTG188" s="1016"/>
      <c r="RTH188" s="1016"/>
      <c r="RTI188" s="1016"/>
      <c r="RTJ188" s="1016"/>
      <c r="RTK188" s="1016"/>
      <c r="RTL188" s="1016"/>
      <c r="RTM188" s="1016"/>
      <c r="RTN188" s="1016"/>
      <c r="RTO188" s="1016"/>
      <c r="RTP188" s="1016"/>
      <c r="RTQ188" s="1016"/>
      <c r="RTR188" s="1016"/>
      <c r="RTS188" s="1016"/>
      <c r="RTT188" s="1016"/>
      <c r="RTU188" s="1016"/>
      <c r="RTV188" s="1016"/>
      <c r="RTW188" s="1016"/>
      <c r="RTX188" s="1016"/>
      <c r="RTY188" s="1016"/>
      <c r="RTZ188" s="1016"/>
      <c r="RUA188" s="1016"/>
      <c r="RUB188" s="1016"/>
      <c r="RUC188" s="1016"/>
      <c r="RUD188" s="1016"/>
      <c r="RUE188" s="1016"/>
      <c r="RUF188" s="1016"/>
      <c r="RUG188" s="1016"/>
      <c r="RUH188" s="1016"/>
      <c r="RUI188" s="1016"/>
      <c r="RUJ188" s="1016"/>
      <c r="RUK188" s="1016"/>
      <c r="RUL188" s="1016"/>
      <c r="RUM188" s="1016"/>
      <c r="RUN188" s="1016"/>
      <c r="RUO188" s="1016"/>
      <c r="RUP188" s="1016"/>
      <c r="RUQ188" s="1016"/>
      <c r="RUR188" s="1016"/>
      <c r="RUS188" s="1016"/>
      <c r="RUT188" s="1016"/>
      <c r="RUU188" s="1016"/>
      <c r="RUV188" s="1016"/>
      <c r="RUW188" s="1016"/>
      <c r="RUX188" s="1016"/>
      <c r="RUY188" s="1016"/>
      <c r="RUZ188" s="1016"/>
      <c r="RVA188" s="1016"/>
      <c r="RVB188" s="1016"/>
      <c r="RVC188" s="1016"/>
      <c r="RVD188" s="1016"/>
      <c r="RVE188" s="1016"/>
      <c r="RVF188" s="1016"/>
      <c r="RVG188" s="1016"/>
      <c r="RVH188" s="1016"/>
      <c r="RVI188" s="1016"/>
      <c r="RVJ188" s="1016"/>
      <c r="RVK188" s="1016"/>
      <c r="RVL188" s="1016"/>
      <c r="RVM188" s="1016"/>
      <c r="RVN188" s="1016"/>
      <c r="RVO188" s="1016"/>
      <c r="RVP188" s="1016"/>
      <c r="RVQ188" s="1016"/>
      <c r="RVR188" s="1016"/>
      <c r="RVS188" s="1016"/>
      <c r="RVT188" s="1016"/>
      <c r="RVU188" s="1016"/>
      <c r="RVV188" s="1016"/>
      <c r="RVW188" s="1016"/>
      <c r="RVX188" s="1016"/>
      <c r="RVY188" s="1016"/>
      <c r="RVZ188" s="1016"/>
      <c r="RWA188" s="1016"/>
      <c r="RWB188" s="1016"/>
      <c r="RWC188" s="1016"/>
      <c r="RWD188" s="1016"/>
      <c r="RWE188" s="1016"/>
      <c r="RWF188" s="1016"/>
      <c r="RWG188" s="1016"/>
      <c r="RWH188" s="1016"/>
      <c r="RWI188" s="1016"/>
      <c r="RWJ188" s="1016"/>
      <c r="RWK188" s="1016"/>
      <c r="RWL188" s="1016"/>
      <c r="RWM188" s="1016"/>
      <c r="RWN188" s="1016"/>
      <c r="RWO188" s="1016"/>
      <c r="RWP188" s="1016"/>
      <c r="RWQ188" s="1016"/>
      <c r="RWR188" s="1016"/>
      <c r="RWS188" s="1016"/>
      <c r="RWT188" s="1016"/>
      <c r="RWU188" s="1016"/>
      <c r="RWV188" s="1016"/>
      <c r="RWW188" s="1016"/>
      <c r="RWX188" s="1016"/>
      <c r="RWY188" s="1016"/>
      <c r="RWZ188" s="1016"/>
      <c r="RXA188" s="1016"/>
      <c r="RXB188" s="1016"/>
      <c r="RXC188" s="1016"/>
      <c r="RXD188" s="1016"/>
      <c r="RXE188" s="1016"/>
      <c r="RXF188" s="1016"/>
      <c r="RXG188" s="1016"/>
      <c r="RXH188" s="1016"/>
      <c r="RXI188" s="1016"/>
      <c r="RXJ188" s="1016"/>
      <c r="RXK188" s="1016"/>
      <c r="RXL188" s="1016"/>
      <c r="RXM188" s="1016"/>
      <c r="RXN188" s="1016"/>
      <c r="RXO188" s="1016"/>
      <c r="RXP188" s="1016"/>
      <c r="RXQ188" s="1016"/>
      <c r="RXR188" s="1016"/>
      <c r="RXS188" s="1016"/>
      <c r="RXT188" s="1016"/>
      <c r="RXU188" s="1016"/>
      <c r="RXV188" s="1016"/>
      <c r="RXW188" s="1016"/>
      <c r="RXX188" s="1016"/>
      <c r="RXY188" s="1016"/>
      <c r="RXZ188" s="1016"/>
      <c r="RYA188" s="1016"/>
      <c r="RYB188" s="1016"/>
      <c r="RYC188" s="1016"/>
      <c r="RYD188" s="1016"/>
      <c r="RYE188" s="1016"/>
      <c r="RYF188" s="1016"/>
      <c r="RYG188" s="1016"/>
      <c r="RYH188" s="1016"/>
      <c r="RYI188" s="1016"/>
      <c r="RYJ188" s="1016"/>
      <c r="RYK188" s="1016"/>
      <c r="RYL188" s="1016"/>
      <c r="RYM188" s="1016"/>
      <c r="RYN188" s="1016"/>
      <c r="RYO188" s="1016"/>
      <c r="RYP188" s="1016"/>
      <c r="RYQ188" s="1016"/>
      <c r="RYR188" s="1016"/>
      <c r="RYS188" s="1016"/>
      <c r="RYT188" s="1016"/>
      <c r="RYU188" s="1016"/>
      <c r="RYV188" s="1016"/>
      <c r="RYW188" s="1016"/>
      <c r="RYX188" s="1016"/>
      <c r="RYY188" s="1016"/>
      <c r="RYZ188" s="1016"/>
      <c r="RZA188" s="1016"/>
      <c r="RZB188" s="1016"/>
      <c r="RZC188" s="1016"/>
      <c r="RZD188" s="1016"/>
      <c r="RZE188" s="1016"/>
      <c r="RZF188" s="1016"/>
      <c r="RZG188" s="1016"/>
      <c r="RZH188" s="1016"/>
      <c r="RZI188" s="1016"/>
      <c r="RZJ188" s="1016"/>
      <c r="RZK188" s="1016"/>
      <c r="RZL188" s="1016"/>
      <c r="RZM188" s="1016"/>
      <c r="RZN188" s="1016"/>
      <c r="RZO188" s="1016"/>
      <c r="RZP188" s="1016"/>
      <c r="RZQ188" s="1016"/>
      <c r="RZR188" s="1016"/>
      <c r="RZS188" s="1016"/>
      <c r="RZT188" s="1016"/>
      <c r="RZU188" s="1016"/>
      <c r="RZV188" s="1016"/>
      <c r="RZW188" s="1016"/>
      <c r="RZX188" s="1016"/>
      <c r="RZY188" s="1016"/>
      <c r="RZZ188" s="1016"/>
      <c r="SAA188" s="1016"/>
      <c r="SAB188" s="1016"/>
      <c r="SAC188" s="1016"/>
      <c r="SAD188" s="1016"/>
      <c r="SAE188" s="1016"/>
      <c r="SAF188" s="1016"/>
      <c r="SAG188" s="1016"/>
      <c r="SAH188" s="1016"/>
      <c r="SAI188" s="1016"/>
      <c r="SAJ188" s="1016"/>
      <c r="SAK188" s="1016"/>
      <c r="SAL188" s="1016"/>
      <c r="SAM188" s="1016"/>
      <c r="SAN188" s="1016"/>
      <c r="SAO188" s="1016"/>
      <c r="SAP188" s="1016"/>
      <c r="SAQ188" s="1016"/>
      <c r="SAR188" s="1016"/>
      <c r="SAS188" s="1016"/>
      <c r="SAT188" s="1016"/>
      <c r="SAU188" s="1016"/>
      <c r="SAV188" s="1016"/>
      <c r="SAW188" s="1016"/>
      <c r="SAX188" s="1016"/>
      <c r="SAY188" s="1016"/>
      <c r="SAZ188" s="1016"/>
      <c r="SBA188" s="1016"/>
      <c r="SBB188" s="1016"/>
      <c r="SBC188" s="1016"/>
      <c r="SBD188" s="1016"/>
      <c r="SBE188" s="1016"/>
      <c r="SBF188" s="1016"/>
      <c r="SBG188" s="1016"/>
      <c r="SBH188" s="1016"/>
      <c r="SBI188" s="1016"/>
      <c r="SBJ188" s="1016"/>
      <c r="SBK188" s="1016"/>
      <c r="SBL188" s="1016"/>
      <c r="SBM188" s="1016"/>
      <c r="SBN188" s="1016"/>
      <c r="SBO188" s="1016"/>
      <c r="SBP188" s="1016"/>
      <c r="SBQ188" s="1016"/>
      <c r="SBR188" s="1016"/>
      <c r="SBS188" s="1016"/>
      <c r="SBT188" s="1016"/>
      <c r="SBU188" s="1016"/>
      <c r="SBV188" s="1016"/>
      <c r="SBW188" s="1016"/>
      <c r="SBX188" s="1016"/>
      <c r="SBY188" s="1016"/>
      <c r="SBZ188" s="1016"/>
      <c r="SCA188" s="1016"/>
      <c r="SCB188" s="1016"/>
      <c r="SCC188" s="1016"/>
      <c r="SCD188" s="1016"/>
      <c r="SCE188" s="1016"/>
      <c r="SCF188" s="1016"/>
      <c r="SCG188" s="1016"/>
      <c r="SCH188" s="1016"/>
      <c r="SCI188" s="1016"/>
      <c r="SCJ188" s="1016"/>
      <c r="SCK188" s="1016"/>
      <c r="SCL188" s="1016"/>
      <c r="SCM188" s="1016"/>
      <c r="SCN188" s="1016"/>
      <c r="SCO188" s="1016"/>
      <c r="SCP188" s="1016"/>
      <c r="SCQ188" s="1016"/>
      <c r="SCR188" s="1016"/>
      <c r="SCS188" s="1016"/>
      <c r="SCT188" s="1016"/>
      <c r="SCU188" s="1016"/>
      <c r="SCV188" s="1016"/>
      <c r="SCW188" s="1016"/>
      <c r="SCX188" s="1016"/>
      <c r="SCY188" s="1016"/>
      <c r="SCZ188" s="1016"/>
      <c r="SDA188" s="1016"/>
      <c r="SDB188" s="1016"/>
      <c r="SDC188" s="1016"/>
      <c r="SDD188" s="1016"/>
      <c r="SDE188" s="1016"/>
      <c r="SDF188" s="1016"/>
      <c r="SDG188" s="1016"/>
      <c r="SDH188" s="1016"/>
      <c r="SDI188" s="1016"/>
      <c r="SDJ188" s="1016"/>
      <c r="SDK188" s="1016"/>
      <c r="SDL188" s="1016"/>
      <c r="SDM188" s="1016"/>
      <c r="SDN188" s="1016"/>
      <c r="SDO188" s="1016"/>
      <c r="SDP188" s="1016"/>
      <c r="SDQ188" s="1016"/>
      <c r="SDR188" s="1016"/>
      <c r="SDS188" s="1016"/>
      <c r="SDT188" s="1016"/>
      <c r="SDU188" s="1016"/>
      <c r="SDV188" s="1016"/>
      <c r="SDW188" s="1016"/>
      <c r="SDX188" s="1016"/>
      <c r="SDY188" s="1016"/>
      <c r="SDZ188" s="1016"/>
      <c r="SEA188" s="1016"/>
      <c r="SEB188" s="1016"/>
      <c r="SEC188" s="1016"/>
      <c r="SED188" s="1016"/>
      <c r="SEE188" s="1016"/>
      <c r="SEF188" s="1016"/>
      <c r="SEG188" s="1016"/>
      <c r="SEH188" s="1016"/>
      <c r="SEI188" s="1016"/>
      <c r="SEJ188" s="1016"/>
      <c r="SEK188" s="1016"/>
      <c r="SEL188" s="1016"/>
      <c r="SEM188" s="1016"/>
      <c r="SEN188" s="1016"/>
      <c r="SEO188" s="1016"/>
      <c r="SEP188" s="1016"/>
      <c r="SEQ188" s="1016"/>
      <c r="SER188" s="1016"/>
      <c r="SES188" s="1016"/>
      <c r="SET188" s="1016"/>
      <c r="SEU188" s="1016"/>
      <c r="SEV188" s="1016"/>
      <c r="SEW188" s="1016"/>
      <c r="SEX188" s="1016"/>
      <c r="SEY188" s="1016"/>
      <c r="SEZ188" s="1016"/>
      <c r="SFA188" s="1016"/>
      <c r="SFB188" s="1016"/>
      <c r="SFC188" s="1016"/>
      <c r="SFD188" s="1016"/>
      <c r="SFE188" s="1016"/>
      <c r="SFF188" s="1016"/>
      <c r="SFG188" s="1016"/>
      <c r="SFH188" s="1016"/>
      <c r="SFI188" s="1016"/>
      <c r="SFJ188" s="1016"/>
      <c r="SFK188" s="1016"/>
      <c r="SFL188" s="1016"/>
      <c r="SFM188" s="1016"/>
      <c r="SFN188" s="1016"/>
      <c r="SFO188" s="1016"/>
      <c r="SFP188" s="1016"/>
      <c r="SFQ188" s="1016"/>
      <c r="SFR188" s="1016"/>
      <c r="SFS188" s="1016"/>
      <c r="SFT188" s="1016"/>
      <c r="SFU188" s="1016"/>
      <c r="SFV188" s="1016"/>
      <c r="SFW188" s="1016"/>
      <c r="SFX188" s="1016"/>
      <c r="SFY188" s="1016"/>
      <c r="SFZ188" s="1016"/>
      <c r="SGA188" s="1016"/>
      <c r="SGB188" s="1016"/>
      <c r="SGC188" s="1016"/>
      <c r="SGD188" s="1016"/>
      <c r="SGE188" s="1016"/>
      <c r="SGF188" s="1016"/>
      <c r="SGG188" s="1016"/>
      <c r="SGH188" s="1016"/>
      <c r="SGI188" s="1016"/>
      <c r="SGJ188" s="1016"/>
      <c r="SGK188" s="1016"/>
      <c r="SGL188" s="1016"/>
      <c r="SGM188" s="1016"/>
      <c r="SGN188" s="1016"/>
      <c r="SGO188" s="1016"/>
      <c r="SGP188" s="1016"/>
      <c r="SGQ188" s="1016"/>
      <c r="SGR188" s="1016"/>
      <c r="SGS188" s="1016"/>
      <c r="SGT188" s="1016"/>
      <c r="SGU188" s="1016"/>
      <c r="SGV188" s="1016"/>
      <c r="SGW188" s="1016"/>
      <c r="SGX188" s="1016"/>
      <c r="SGY188" s="1016"/>
      <c r="SGZ188" s="1016"/>
      <c r="SHA188" s="1016"/>
      <c r="SHB188" s="1016"/>
      <c r="SHC188" s="1016"/>
      <c r="SHD188" s="1016"/>
      <c r="SHE188" s="1016"/>
      <c r="SHF188" s="1016"/>
      <c r="SHG188" s="1016"/>
      <c r="SHH188" s="1016"/>
      <c r="SHI188" s="1016"/>
      <c r="SHJ188" s="1016"/>
      <c r="SHK188" s="1016"/>
      <c r="SHL188" s="1016"/>
      <c r="SHM188" s="1016"/>
      <c r="SHN188" s="1016"/>
      <c r="SHO188" s="1016"/>
      <c r="SHP188" s="1016"/>
      <c r="SHQ188" s="1016"/>
      <c r="SHR188" s="1016"/>
      <c r="SHS188" s="1016"/>
      <c r="SHT188" s="1016"/>
      <c r="SHU188" s="1016"/>
      <c r="SHV188" s="1016"/>
      <c r="SHW188" s="1016"/>
      <c r="SHX188" s="1016"/>
      <c r="SHY188" s="1016"/>
      <c r="SHZ188" s="1016"/>
      <c r="SIA188" s="1016"/>
      <c r="SIB188" s="1016"/>
      <c r="SIC188" s="1016"/>
      <c r="SID188" s="1016"/>
      <c r="SIE188" s="1016"/>
      <c r="SIF188" s="1016"/>
      <c r="SIG188" s="1016"/>
      <c r="SIH188" s="1016"/>
      <c r="SII188" s="1016"/>
      <c r="SIJ188" s="1016"/>
      <c r="SIK188" s="1016"/>
      <c r="SIL188" s="1016"/>
      <c r="SIM188" s="1016"/>
      <c r="SIN188" s="1016"/>
      <c r="SIO188" s="1016"/>
      <c r="SIP188" s="1016"/>
      <c r="SIQ188" s="1016"/>
      <c r="SIR188" s="1016"/>
      <c r="SIS188" s="1016"/>
      <c r="SIT188" s="1016"/>
      <c r="SIU188" s="1016"/>
      <c r="SIV188" s="1016"/>
      <c r="SIW188" s="1016"/>
      <c r="SIX188" s="1016"/>
      <c r="SIY188" s="1016"/>
      <c r="SIZ188" s="1016"/>
      <c r="SJA188" s="1016"/>
      <c r="SJB188" s="1016"/>
      <c r="SJC188" s="1016"/>
      <c r="SJD188" s="1016"/>
      <c r="SJE188" s="1016"/>
      <c r="SJF188" s="1016"/>
      <c r="SJG188" s="1016"/>
      <c r="SJH188" s="1016"/>
      <c r="SJI188" s="1016"/>
      <c r="SJJ188" s="1016"/>
      <c r="SJK188" s="1016"/>
      <c r="SJL188" s="1016"/>
      <c r="SJM188" s="1016"/>
      <c r="SJN188" s="1016"/>
      <c r="SJO188" s="1016"/>
      <c r="SJP188" s="1016"/>
      <c r="SJQ188" s="1016"/>
      <c r="SJR188" s="1016"/>
      <c r="SJS188" s="1016"/>
      <c r="SJT188" s="1016"/>
      <c r="SJU188" s="1016"/>
      <c r="SJV188" s="1016"/>
      <c r="SJW188" s="1016"/>
      <c r="SJX188" s="1016"/>
      <c r="SJY188" s="1016"/>
      <c r="SJZ188" s="1016"/>
      <c r="SKA188" s="1016"/>
      <c r="SKB188" s="1016"/>
      <c r="SKC188" s="1016"/>
      <c r="SKD188" s="1016"/>
      <c r="SKE188" s="1016"/>
      <c r="SKF188" s="1016"/>
      <c r="SKG188" s="1016"/>
      <c r="SKH188" s="1016"/>
      <c r="SKI188" s="1016"/>
      <c r="SKJ188" s="1016"/>
      <c r="SKK188" s="1016"/>
      <c r="SKL188" s="1016"/>
      <c r="SKM188" s="1016"/>
      <c r="SKN188" s="1016"/>
      <c r="SKO188" s="1016"/>
      <c r="SKP188" s="1016"/>
      <c r="SKQ188" s="1016"/>
      <c r="SKR188" s="1016"/>
      <c r="SKS188" s="1016"/>
      <c r="SKT188" s="1016"/>
      <c r="SKU188" s="1016"/>
      <c r="SKV188" s="1016"/>
      <c r="SKW188" s="1016"/>
      <c r="SKX188" s="1016"/>
      <c r="SKY188" s="1016"/>
      <c r="SKZ188" s="1016"/>
      <c r="SLA188" s="1016"/>
      <c r="SLB188" s="1016"/>
      <c r="SLC188" s="1016"/>
      <c r="SLD188" s="1016"/>
      <c r="SLE188" s="1016"/>
      <c r="SLF188" s="1016"/>
      <c r="SLG188" s="1016"/>
      <c r="SLH188" s="1016"/>
      <c r="SLI188" s="1016"/>
      <c r="SLJ188" s="1016"/>
      <c r="SLK188" s="1016"/>
      <c r="SLL188" s="1016"/>
      <c r="SLM188" s="1016"/>
      <c r="SLN188" s="1016"/>
      <c r="SLO188" s="1016"/>
      <c r="SLP188" s="1016"/>
      <c r="SLQ188" s="1016"/>
      <c r="SLR188" s="1016"/>
      <c r="SLS188" s="1016"/>
      <c r="SLT188" s="1016"/>
      <c r="SLU188" s="1016"/>
      <c r="SLV188" s="1016"/>
      <c r="SLW188" s="1016"/>
      <c r="SLX188" s="1016"/>
      <c r="SLY188" s="1016"/>
      <c r="SLZ188" s="1016"/>
      <c r="SMA188" s="1016"/>
      <c r="SMB188" s="1016"/>
      <c r="SMC188" s="1016"/>
      <c r="SMD188" s="1016"/>
      <c r="SME188" s="1016"/>
      <c r="SMF188" s="1016"/>
      <c r="SMG188" s="1016"/>
      <c r="SMH188" s="1016"/>
      <c r="SMI188" s="1016"/>
      <c r="SMJ188" s="1016"/>
      <c r="SMK188" s="1016"/>
      <c r="SML188" s="1016"/>
      <c r="SMM188" s="1016"/>
      <c r="SMN188" s="1016"/>
      <c r="SMO188" s="1016"/>
      <c r="SMP188" s="1016"/>
      <c r="SMQ188" s="1016"/>
      <c r="SMR188" s="1016"/>
      <c r="SMS188" s="1016"/>
      <c r="SMT188" s="1016"/>
      <c r="SMU188" s="1016"/>
      <c r="SMV188" s="1016"/>
      <c r="SMW188" s="1016"/>
      <c r="SMX188" s="1016"/>
      <c r="SMY188" s="1016"/>
      <c r="SMZ188" s="1016"/>
      <c r="SNA188" s="1016"/>
      <c r="SNB188" s="1016"/>
      <c r="SNC188" s="1016"/>
      <c r="SND188" s="1016"/>
      <c r="SNE188" s="1016"/>
      <c r="SNF188" s="1016"/>
      <c r="SNG188" s="1016"/>
      <c r="SNH188" s="1016"/>
      <c r="SNI188" s="1016"/>
      <c r="SNJ188" s="1016"/>
      <c r="SNK188" s="1016"/>
      <c r="SNL188" s="1016"/>
      <c r="SNM188" s="1016"/>
      <c r="SNN188" s="1016"/>
      <c r="SNO188" s="1016"/>
      <c r="SNP188" s="1016"/>
      <c r="SNQ188" s="1016"/>
      <c r="SNR188" s="1016"/>
      <c r="SNS188" s="1016"/>
      <c r="SNT188" s="1016"/>
      <c r="SNU188" s="1016"/>
      <c r="SNV188" s="1016"/>
      <c r="SNW188" s="1016"/>
      <c r="SNX188" s="1016"/>
      <c r="SNY188" s="1016"/>
      <c r="SNZ188" s="1016"/>
      <c r="SOA188" s="1016"/>
      <c r="SOB188" s="1016"/>
      <c r="SOC188" s="1016"/>
      <c r="SOD188" s="1016"/>
      <c r="SOE188" s="1016"/>
      <c r="SOF188" s="1016"/>
      <c r="SOG188" s="1016"/>
      <c r="SOH188" s="1016"/>
      <c r="SOI188" s="1016"/>
      <c r="SOJ188" s="1016"/>
      <c r="SOK188" s="1016"/>
      <c r="SOL188" s="1016"/>
      <c r="SOM188" s="1016"/>
      <c r="SON188" s="1016"/>
      <c r="SOO188" s="1016"/>
      <c r="SOP188" s="1016"/>
      <c r="SOQ188" s="1016"/>
      <c r="SOR188" s="1016"/>
      <c r="SOS188" s="1016"/>
      <c r="SOT188" s="1016"/>
      <c r="SOU188" s="1016"/>
      <c r="SOV188" s="1016"/>
      <c r="SOW188" s="1016"/>
      <c r="SOX188" s="1016"/>
      <c r="SOY188" s="1016"/>
      <c r="SOZ188" s="1016"/>
      <c r="SPA188" s="1016"/>
      <c r="SPB188" s="1016"/>
      <c r="SPC188" s="1016"/>
      <c r="SPD188" s="1016"/>
      <c r="SPE188" s="1016"/>
      <c r="SPF188" s="1016"/>
      <c r="SPG188" s="1016"/>
      <c r="SPH188" s="1016"/>
      <c r="SPI188" s="1016"/>
      <c r="SPJ188" s="1016"/>
      <c r="SPK188" s="1016"/>
      <c r="SPL188" s="1016"/>
      <c r="SPM188" s="1016"/>
      <c r="SPN188" s="1016"/>
      <c r="SPO188" s="1016"/>
      <c r="SPP188" s="1016"/>
      <c r="SPQ188" s="1016"/>
      <c r="SPR188" s="1016"/>
      <c r="SPS188" s="1016"/>
      <c r="SPT188" s="1016"/>
      <c r="SPU188" s="1016"/>
      <c r="SPV188" s="1016"/>
      <c r="SPW188" s="1016"/>
      <c r="SPX188" s="1016"/>
      <c r="SPY188" s="1016"/>
      <c r="SPZ188" s="1016"/>
      <c r="SQA188" s="1016"/>
      <c r="SQB188" s="1016"/>
      <c r="SQC188" s="1016"/>
      <c r="SQD188" s="1016"/>
      <c r="SQE188" s="1016"/>
      <c r="SQF188" s="1016"/>
      <c r="SQG188" s="1016"/>
      <c r="SQH188" s="1016"/>
      <c r="SQI188" s="1016"/>
      <c r="SQJ188" s="1016"/>
      <c r="SQK188" s="1016"/>
      <c r="SQL188" s="1016"/>
      <c r="SQM188" s="1016"/>
      <c r="SQN188" s="1016"/>
      <c r="SQO188" s="1016"/>
      <c r="SQP188" s="1016"/>
      <c r="SQQ188" s="1016"/>
      <c r="SQR188" s="1016"/>
      <c r="SQS188" s="1016"/>
      <c r="SQT188" s="1016"/>
      <c r="SQU188" s="1016"/>
      <c r="SQV188" s="1016"/>
      <c r="SQW188" s="1016"/>
      <c r="SQX188" s="1016"/>
      <c r="SQY188" s="1016"/>
      <c r="SQZ188" s="1016"/>
      <c r="SRA188" s="1016"/>
      <c r="SRB188" s="1016"/>
      <c r="SRC188" s="1016"/>
      <c r="SRD188" s="1016"/>
      <c r="SRE188" s="1016"/>
      <c r="SRF188" s="1016"/>
      <c r="SRG188" s="1016"/>
      <c r="SRH188" s="1016"/>
      <c r="SRI188" s="1016"/>
      <c r="SRJ188" s="1016"/>
      <c r="SRK188" s="1016"/>
      <c r="SRL188" s="1016"/>
      <c r="SRM188" s="1016"/>
      <c r="SRN188" s="1016"/>
      <c r="SRO188" s="1016"/>
      <c r="SRP188" s="1016"/>
      <c r="SRQ188" s="1016"/>
      <c r="SRR188" s="1016"/>
      <c r="SRS188" s="1016"/>
      <c r="SRT188" s="1016"/>
      <c r="SRU188" s="1016"/>
      <c r="SRV188" s="1016"/>
      <c r="SRW188" s="1016"/>
      <c r="SRX188" s="1016"/>
      <c r="SRY188" s="1016"/>
      <c r="SRZ188" s="1016"/>
      <c r="SSA188" s="1016"/>
      <c r="SSB188" s="1016"/>
      <c r="SSC188" s="1016"/>
      <c r="SSD188" s="1016"/>
      <c r="SSE188" s="1016"/>
      <c r="SSF188" s="1016"/>
      <c r="SSG188" s="1016"/>
      <c r="SSH188" s="1016"/>
      <c r="SSI188" s="1016"/>
      <c r="SSJ188" s="1016"/>
      <c r="SSK188" s="1016"/>
      <c r="SSL188" s="1016"/>
      <c r="SSM188" s="1016"/>
      <c r="SSN188" s="1016"/>
      <c r="SSO188" s="1016"/>
      <c r="SSP188" s="1016"/>
      <c r="SSQ188" s="1016"/>
      <c r="SSR188" s="1016"/>
      <c r="SSS188" s="1016"/>
      <c r="SST188" s="1016"/>
      <c r="SSU188" s="1016"/>
      <c r="SSV188" s="1016"/>
      <c r="SSW188" s="1016"/>
      <c r="SSX188" s="1016"/>
      <c r="SSY188" s="1016"/>
      <c r="SSZ188" s="1016"/>
      <c r="STA188" s="1016"/>
      <c r="STB188" s="1016"/>
      <c r="STC188" s="1016"/>
      <c r="STD188" s="1016"/>
      <c r="STE188" s="1016"/>
      <c r="STF188" s="1016"/>
      <c r="STG188" s="1016"/>
      <c r="STH188" s="1016"/>
      <c r="STI188" s="1016"/>
      <c r="STJ188" s="1016"/>
      <c r="STK188" s="1016"/>
      <c r="STL188" s="1016"/>
      <c r="STM188" s="1016"/>
      <c r="STN188" s="1016"/>
      <c r="STO188" s="1016"/>
      <c r="STP188" s="1016"/>
      <c r="STQ188" s="1016"/>
      <c r="STR188" s="1016"/>
      <c r="STS188" s="1016"/>
      <c r="STT188" s="1016"/>
      <c r="STU188" s="1016"/>
      <c r="STV188" s="1016"/>
      <c r="STW188" s="1016"/>
      <c r="STX188" s="1016"/>
      <c r="STY188" s="1016"/>
      <c r="STZ188" s="1016"/>
      <c r="SUA188" s="1016"/>
      <c r="SUB188" s="1016"/>
      <c r="SUC188" s="1016"/>
      <c r="SUD188" s="1016"/>
      <c r="SUE188" s="1016"/>
      <c r="SUF188" s="1016"/>
      <c r="SUG188" s="1016"/>
      <c r="SUH188" s="1016"/>
      <c r="SUI188" s="1016"/>
      <c r="SUJ188" s="1016"/>
      <c r="SUK188" s="1016"/>
      <c r="SUL188" s="1016"/>
      <c r="SUM188" s="1016"/>
      <c r="SUN188" s="1016"/>
      <c r="SUO188" s="1016"/>
      <c r="SUP188" s="1016"/>
      <c r="SUQ188" s="1016"/>
      <c r="SUR188" s="1016"/>
      <c r="SUS188" s="1016"/>
      <c r="SUT188" s="1016"/>
      <c r="SUU188" s="1016"/>
      <c r="SUV188" s="1016"/>
      <c r="SUW188" s="1016"/>
      <c r="SUX188" s="1016"/>
      <c r="SUY188" s="1016"/>
      <c r="SUZ188" s="1016"/>
      <c r="SVA188" s="1016"/>
      <c r="SVB188" s="1016"/>
      <c r="SVC188" s="1016"/>
      <c r="SVD188" s="1016"/>
      <c r="SVE188" s="1016"/>
      <c r="SVF188" s="1016"/>
      <c r="SVG188" s="1016"/>
      <c r="SVH188" s="1016"/>
      <c r="SVI188" s="1016"/>
      <c r="SVJ188" s="1016"/>
      <c r="SVK188" s="1016"/>
      <c r="SVL188" s="1016"/>
      <c r="SVM188" s="1016"/>
      <c r="SVN188" s="1016"/>
      <c r="SVO188" s="1016"/>
      <c r="SVP188" s="1016"/>
      <c r="SVQ188" s="1016"/>
      <c r="SVR188" s="1016"/>
      <c r="SVS188" s="1016"/>
      <c r="SVT188" s="1016"/>
      <c r="SVU188" s="1016"/>
      <c r="SVV188" s="1016"/>
      <c r="SVW188" s="1016"/>
      <c r="SVX188" s="1016"/>
      <c r="SVY188" s="1016"/>
      <c r="SVZ188" s="1016"/>
      <c r="SWA188" s="1016"/>
      <c r="SWB188" s="1016"/>
      <c r="SWC188" s="1016"/>
      <c r="SWD188" s="1016"/>
      <c r="SWE188" s="1016"/>
      <c r="SWF188" s="1016"/>
      <c r="SWG188" s="1016"/>
      <c r="SWH188" s="1016"/>
      <c r="SWI188" s="1016"/>
      <c r="SWJ188" s="1016"/>
      <c r="SWK188" s="1016"/>
      <c r="SWL188" s="1016"/>
      <c r="SWM188" s="1016"/>
      <c r="SWN188" s="1016"/>
      <c r="SWO188" s="1016"/>
      <c r="SWP188" s="1016"/>
      <c r="SWQ188" s="1016"/>
      <c r="SWR188" s="1016"/>
      <c r="SWS188" s="1016"/>
      <c r="SWT188" s="1016"/>
      <c r="SWU188" s="1016"/>
      <c r="SWV188" s="1016"/>
      <c r="SWW188" s="1016"/>
      <c r="SWX188" s="1016"/>
      <c r="SWY188" s="1016"/>
      <c r="SWZ188" s="1016"/>
      <c r="SXA188" s="1016"/>
      <c r="SXB188" s="1016"/>
      <c r="SXC188" s="1016"/>
      <c r="SXD188" s="1016"/>
      <c r="SXE188" s="1016"/>
      <c r="SXF188" s="1016"/>
      <c r="SXG188" s="1016"/>
      <c r="SXH188" s="1016"/>
      <c r="SXI188" s="1016"/>
      <c r="SXJ188" s="1016"/>
      <c r="SXK188" s="1016"/>
      <c r="SXL188" s="1016"/>
      <c r="SXM188" s="1016"/>
      <c r="SXN188" s="1016"/>
      <c r="SXO188" s="1016"/>
      <c r="SXP188" s="1016"/>
      <c r="SXQ188" s="1016"/>
      <c r="SXR188" s="1016"/>
      <c r="SXS188" s="1016"/>
      <c r="SXT188" s="1016"/>
      <c r="SXU188" s="1016"/>
      <c r="SXV188" s="1016"/>
      <c r="SXW188" s="1016"/>
      <c r="SXX188" s="1016"/>
      <c r="SXY188" s="1016"/>
      <c r="SXZ188" s="1016"/>
      <c r="SYA188" s="1016"/>
      <c r="SYB188" s="1016"/>
      <c r="SYC188" s="1016"/>
      <c r="SYD188" s="1016"/>
      <c r="SYE188" s="1016"/>
      <c r="SYF188" s="1016"/>
      <c r="SYG188" s="1016"/>
      <c r="SYH188" s="1016"/>
      <c r="SYI188" s="1016"/>
      <c r="SYJ188" s="1016"/>
      <c r="SYK188" s="1016"/>
      <c r="SYL188" s="1016"/>
      <c r="SYM188" s="1016"/>
      <c r="SYN188" s="1016"/>
      <c r="SYO188" s="1016"/>
      <c r="SYP188" s="1016"/>
      <c r="SYQ188" s="1016"/>
      <c r="SYR188" s="1016"/>
      <c r="SYS188" s="1016"/>
      <c r="SYT188" s="1016"/>
      <c r="SYU188" s="1016"/>
      <c r="SYV188" s="1016"/>
      <c r="SYW188" s="1016"/>
      <c r="SYX188" s="1016"/>
      <c r="SYY188" s="1016"/>
      <c r="SYZ188" s="1016"/>
      <c r="SZA188" s="1016"/>
      <c r="SZB188" s="1016"/>
      <c r="SZC188" s="1016"/>
      <c r="SZD188" s="1016"/>
      <c r="SZE188" s="1016"/>
      <c r="SZF188" s="1016"/>
      <c r="SZG188" s="1016"/>
      <c r="SZH188" s="1016"/>
      <c r="SZI188" s="1016"/>
      <c r="SZJ188" s="1016"/>
      <c r="SZK188" s="1016"/>
      <c r="SZL188" s="1016"/>
      <c r="SZM188" s="1016"/>
      <c r="SZN188" s="1016"/>
      <c r="SZO188" s="1016"/>
      <c r="SZP188" s="1016"/>
      <c r="SZQ188" s="1016"/>
      <c r="SZR188" s="1016"/>
      <c r="SZS188" s="1016"/>
      <c r="SZT188" s="1016"/>
      <c r="SZU188" s="1016"/>
      <c r="SZV188" s="1016"/>
      <c r="SZW188" s="1016"/>
      <c r="SZX188" s="1016"/>
      <c r="SZY188" s="1016"/>
      <c r="SZZ188" s="1016"/>
      <c r="TAA188" s="1016"/>
      <c r="TAB188" s="1016"/>
      <c r="TAC188" s="1016"/>
      <c r="TAD188" s="1016"/>
      <c r="TAE188" s="1016"/>
      <c r="TAF188" s="1016"/>
      <c r="TAG188" s="1016"/>
      <c r="TAH188" s="1016"/>
      <c r="TAI188" s="1016"/>
      <c r="TAJ188" s="1016"/>
      <c r="TAK188" s="1016"/>
      <c r="TAL188" s="1016"/>
      <c r="TAM188" s="1016"/>
      <c r="TAN188" s="1016"/>
      <c r="TAO188" s="1016"/>
      <c r="TAP188" s="1016"/>
      <c r="TAQ188" s="1016"/>
      <c r="TAR188" s="1016"/>
      <c r="TAS188" s="1016"/>
      <c r="TAT188" s="1016"/>
      <c r="TAU188" s="1016"/>
      <c r="TAV188" s="1016"/>
      <c r="TAW188" s="1016"/>
      <c r="TAX188" s="1016"/>
      <c r="TAY188" s="1016"/>
      <c r="TAZ188" s="1016"/>
      <c r="TBA188" s="1016"/>
      <c r="TBB188" s="1016"/>
      <c r="TBC188" s="1016"/>
      <c r="TBD188" s="1016"/>
      <c r="TBE188" s="1016"/>
      <c r="TBF188" s="1016"/>
      <c r="TBG188" s="1016"/>
      <c r="TBH188" s="1016"/>
      <c r="TBI188" s="1016"/>
      <c r="TBJ188" s="1016"/>
      <c r="TBK188" s="1016"/>
      <c r="TBL188" s="1016"/>
      <c r="TBM188" s="1016"/>
      <c r="TBN188" s="1016"/>
      <c r="TBO188" s="1016"/>
      <c r="TBP188" s="1016"/>
      <c r="TBQ188" s="1016"/>
      <c r="TBR188" s="1016"/>
      <c r="TBS188" s="1016"/>
      <c r="TBT188" s="1016"/>
      <c r="TBU188" s="1016"/>
      <c r="TBV188" s="1016"/>
      <c r="TBW188" s="1016"/>
      <c r="TBX188" s="1016"/>
      <c r="TBY188" s="1016"/>
      <c r="TBZ188" s="1016"/>
      <c r="TCA188" s="1016"/>
      <c r="TCB188" s="1016"/>
      <c r="TCC188" s="1016"/>
      <c r="TCD188" s="1016"/>
      <c r="TCE188" s="1016"/>
      <c r="TCF188" s="1016"/>
      <c r="TCG188" s="1016"/>
      <c r="TCH188" s="1016"/>
      <c r="TCI188" s="1016"/>
      <c r="TCJ188" s="1016"/>
      <c r="TCK188" s="1016"/>
      <c r="TCL188" s="1016"/>
      <c r="TCM188" s="1016"/>
      <c r="TCN188" s="1016"/>
      <c r="TCO188" s="1016"/>
      <c r="TCP188" s="1016"/>
      <c r="TCQ188" s="1016"/>
      <c r="TCR188" s="1016"/>
      <c r="TCS188" s="1016"/>
      <c r="TCT188" s="1016"/>
      <c r="TCU188" s="1016"/>
      <c r="TCV188" s="1016"/>
      <c r="TCW188" s="1016"/>
      <c r="TCX188" s="1016"/>
      <c r="TCY188" s="1016"/>
      <c r="TCZ188" s="1016"/>
      <c r="TDA188" s="1016"/>
      <c r="TDB188" s="1016"/>
      <c r="TDC188" s="1016"/>
      <c r="TDD188" s="1016"/>
      <c r="TDE188" s="1016"/>
      <c r="TDF188" s="1016"/>
      <c r="TDG188" s="1016"/>
      <c r="TDH188" s="1016"/>
      <c r="TDI188" s="1016"/>
      <c r="TDJ188" s="1016"/>
      <c r="TDK188" s="1016"/>
      <c r="TDL188" s="1016"/>
      <c r="TDM188" s="1016"/>
      <c r="TDN188" s="1016"/>
      <c r="TDO188" s="1016"/>
      <c r="TDP188" s="1016"/>
      <c r="TDQ188" s="1016"/>
      <c r="TDR188" s="1016"/>
      <c r="TDS188" s="1016"/>
      <c r="TDT188" s="1016"/>
      <c r="TDU188" s="1016"/>
      <c r="TDV188" s="1016"/>
      <c r="TDW188" s="1016"/>
      <c r="TDX188" s="1016"/>
      <c r="TDY188" s="1016"/>
      <c r="TDZ188" s="1016"/>
      <c r="TEA188" s="1016"/>
      <c r="TEB188" s="1016"/>
      <c r="TEC188" s="1016"/>
      <c r="TED188" s="1016"/>
      <c r="TEE188" s="1016"/>
      <c r="TEF188" s="1016"/>
      <c r="TEG188" s="1016"/>
      <c r="TEH188" s="1016"/>
      <c r="TEI188" s="1016"/>
      <c r="TEJ188" s="1016"/>
      <c r="TEK188" s="1016"/>
      <c r="TEL188" s="1016"/>
      <c r="TEM188" s="1016"/>
      <c r="TEN188" s="1016"/>
      <c r="TEO188" s="1016"/>
      <c r="TEP188" s="1016"/>
      <c r="TEQ188" s="1016"/>
      <c r="TER188" s="1016"/>
      <c r="TES188" s="1016"/>
      <c r="TET188" s="1016"/>
      <c r="TEU188" s="1016"/>
      <c r="TEV188" s="1016"/>
      <c r="TEW188" s="1016"/>
      <c r="TEX188" s="1016"/>
      <c r="TEY188" s="1016"/>
      <c r="TEZ188" s="1016"/>
      <c r="TFA188" s="1016"/>
      <c r="TFB188" s="1016"/>
      <c r="TFC188" s="1016"/>
      <c r="TFD188" s="1016"/>
      <c r="TFE188" s="1016"/>
      <c r="TFF188" s="1016"/>
      <c r="TFG188" s="1016"/>
      <c r="TFH188" s="1016"/>
      <c r="TFI188" s="1016"/>
      <c r="TFJ188" s="1016"/>
      <c r="TFK188" s="1016"/>
      <c r="TFL188" s="1016"/>
      <c r="TFM188" s="1016"/>
      <c r="TFN188" s="1016"/>
      <c r="TFO188" s="1016"/>
      <c r="TFP188" s="1016"/>
      <c r="TFQ188" s="1016"/>
      <c r="TFR188" s="1016"/>
      <c r="TFS188" s="1016"/>
      <c r="TFT188" s="1016"/>
      <c r="TFU188" s="1016"/>
      <c r="TFV188" s="1016"/>
      <c r="TFW188" s="1016"/>
      <c r="TFX188" s="1016"/>
      <c r="TFY188" s="1016"/>
      <c r="TFZ188" s="1016"/>
      <c r="TGA188" s="1016"/>
      <c r="TGB188" s="1016"/>
      <c r="TGC188" s="1016"/>
      <c r="TGD188" s="1016"/>
      <c r="TGE188" s="1016"/>
      <c r="TGF188" s="1016"/>
      <c r="TGG188" s="1016"/>
      <c r="TGH188" s="1016"/>
      <c r="TGI188" s="1016"/>
      <c r="TGJ188" s="1016"/>
      <c r="TGK188" s="1016"/>
      <c r="TGL188" s="1016"/>
      <c r="TGM188" s="1016"/>
      <c r="TGN188" s="1016"/>
      <c r="TGO188" s="1016"/>
      <c r="TGP188" s="1016"/>
      <c r="TGQ188" s="1016"/>
      <c r="TGR188" s="1016"/>
      <c r="TGS188" s="1016"/>
      <c r="TGT188" s="1016"/>
      <c r="TGU188" s="1016"/>
      <c r="TGV188" s="1016"/>
      <c r="TGW188" s="1016"/>
      <c r="TGX188" s="1016"/>
      <c r="TGY188" s="1016"/>
      <c r="TGZ188" s="1016"/>
      <c r="THA188" s="1016"/>
      <c r="THB188" s="1016"/>
      <c r="THC188" s="1016"/>
      <c r="THD188" s="1016"/>
      <c r="THE188" s="1016"/>
      <c r="THF188" s="1016"/>
      <c r="THG188" s="1016"/>
      <c r="THH188" s="1016"/>
      <c r="THI188" s="1016"/>
      <c r="THJ188" s="1016"/>
      <c r="THK188" s="1016"/>
      <c r="THL188" s="1016"/>
      <c r="THM188" s="1016"/>
      <c r="THN188" s="1016"/>
      <c r="THO188" s="1016"/>
      <c r="THP188" s="1016"/>
      <c r="THQ188" s="1016"/>
      <c r="THR188" s="1016"/>
      <c r="THS188" s="1016"/>
      <c r="THT188" s="1016"/>
      <c r="THU188" s="1016"/>
      <c r="THV188" s="1016"/>
      <c r="THW188" s="1016"/>
      <c r="THX188" s="1016"/>
      <c r="THY188" s="1016"/>
      <c r="THZ188" s="1016"/>
      <c r="TIA188" s="1016"/>
      <c r="TIB188" s="1016"/>
      <c r="TIC188" s="1016"/>
      <c r="TID188" s="1016"/>
      <c r="TIE188" s="1016"/>
      <c r="TIF188" s="1016"/>
      <c r="TIG188" s="1016"/>
      <c r="TIH188" s="1016"/>
      <c r="TII188" s="1016"/>
      <c r="TIJ188" s="1016"/>
      <c r="TIK188" s="1016"/>
      <c r="TIL188" s="1016"/>
      <c r="TIM188" s="1016"/>
      <c r="TIN188" s="1016"/>
      <c r="TIO188" s="1016"/>
      <c r="TIP188" s="1016"/>
      <c r="TIQ188" s="1016"/>
      <c r="TIR188" s="1016"/>
      <c r="TIS188" s="1016"/>
      <c r="TIT188" s="1016"/>
      <c r="TIU188" s="1016"/>
      <c r="TIV188" s="1016"/>
      <c r="TIW188" s="1016"/>
      <c r="TIX188" s="1016"/>
      <c r="TIY188" s="1016"/>
      <c r="TIZ188" s="1016"/>
      <c r="TJA188" s="1016"/>
      <c r="TJB188" s="1016"/>
      <c r="TJC188" s="1016"/>
      <c r="TJD188" s="1016"/>
      <c r="TJE188" s="1016"/>
      <c r="TJF188" s="1016"/>
      <c r="TJG188" s="1016"/>
      <c r="TJH188" s="1016"/>
      <c r="TJI188" s="1016"/>
      <c r="TJJ188" s="1016"/>
      <c r="TJK188" s="1016"/>
      <c r="TJL188" s="1016"/>
      <c r="TJM188" s="1016"/>
      <c r="TJN188" s="1016"/>
      <c r="TJO188" s="1016"/>
      <c r="TJP188" s="1016"/>
      <c r="TJQ188" s="1016"/>
      <c r="TJR188" s="1016"/>
      <c r="TJS188" s="1016"/>
      <c r="TJT188" s="1016"/>
      <c r="TJU188" s="1016"/>
      <c r="TJV188" s="1016"/>
      <c r="TJW188" s="1016"/>
      <c r="TJX188" s="1016"/>
      <c r="TJY188" s="1016"/>
      <c r="TJZ188" s="1016"/>
      <c r="TKA188" s="1016"/>
      <c r="TKB188" s="1016"/>
      <c r="TKC188" s="1016"/>
      <c r="TKD188" s="1016"/>
      <c r="TKE188" s="1016"/>
      <c r="TKF188" s="1016"/>
      <c r="TKG188" s="1016"/>
      <c r="TKH188" s="1016"/>
      <c r="TKI188" s="1016"/>
      <c r="TKJ188" s="1016"/>
      <c r="TKK188" s="1016"/>
      <c r="TKL188" s="1016"/>
      <c r="TKM188" s="1016"/>
      <c r="TKN188" s="1016"/>
      <c r="TKO188" s="1016"/>
      <c r="TKP188" s="1016"/>
      <c r="TKQ188" s="1016"/>
      <c r="TKR188" s="1016"/>
      <c r="TKS188" s="1016"/>
      <c r="TKT188" s="1016"/>
      <c r="TKU188" s="1016"/>
      <c r="TKV188" s="1016"/>
      <c r="TKW188" s="1016"/>
      <c r="TKX188" s="1016"/>
      <c r="TKY188" s="1016"/>
      <c r="TKZ188" s="1016"/>
      <c r="TLA188" s="1016"/>
      <c r="TLB188" s="1016"/>
      <c r="TLC188" s="1016"/>
      <c r="TLD188" s="1016"/>
      <c r="TLE188" s="1016"/>
      <c r="TLF188" s="1016"/>
      <c r="TLG188" s="1016"/>
      <c r="TLH188" s="1016"/>
      <c r="TLI188" s="1016"/>
      <c r="TLJ188" s="1016"/>
      <c r="TLK188" s="1016"/>
      <c r="TLL188" s="1016"/>
      <c r="TLM188" s="1016"/>
      <c r="TLN188" s="1016"/>
      <c r="TLO188" s="1016"/>
      <c r="TLP188" s="1016"/>
      <c r="TLQ188" s="1016"/>
      <c r="TLR188" s="1016"/>
      <c r="TLS188" s="1016"/>
      <c r="TLT188" s="1016"/>
      <c r="TLU188" s="1016"/>
      <c r="TLV188" s="1016"/>
      <c r="TLW188" s="1016"/>
      <c r="TLX188" s="1016"/>
      <c r="TLY188" s="1016"/>
      <c r="TLZ188" s="1016"/>
      <c r="TMA188" s="1016"/>
      <c r="TMB188" s="1016"/>
      <c r="TMC188" s="1016"/>
      <c r="TMD188" s="1016"/>
      <c r="TME188" s="1016"/>
      <c r="TMF188" s="1016"/>
      <c r="TMG188" s="1016"/>
      <c r="TMH188" s="1016"/>
      <c r="TMI188" s="1016"/>
      <c r="TMJ188" s="1016"/>
      <c r="TMK188" s="1016"/>
      <c r="TML188" s="1016"/>
      <c r="TMM188" s="1016"/>
      <c r="TMN188" s="1016"/>
      <c r="TMO188" s="1016"/>
      <c r="TMP188" s="1016"/>
      <c r="TMQ188" s="1016"/>
      <c r="TMR188" s="1016"/>
      <c r="TMS188" s="1016"/>
      <c r="TMT188" s="1016"/>
      <c r="TMU188" s="1016"/>
      <c r="TMV188" s="1016"/>
      <c r="TMW188" s="1016"/>
      <c r="TMX188" s="1016"/>
      <c r="TMY188" s="1016"/>
      <c r="TMZ188" s="1016"/>
      <c r="TNA188" s="1016"/>
      <c r="TNB188" s="1016"/>
      <c r="TNC188" s="1016"/>
      <c r="TND188" s="1016"/>
      <c r="TNE188" s="1016"/>
      <c r="TNF188" s="1016"/>
      <c r="TNG188" s="1016"/>
      <c r="TNH188" s="1016"/>
      <c r="TNI188" s="1016"/>
      <c r="TNJ188" s="1016"/>
      <c r="TNK188" s="1016"/>
      <c r="TNL188" s="1016"/>
      <c r="TNM188" s="1016"/>
      <c r="TNN188" s="1016"/>
      <c r="TNO188" s="1016"/>
      <c r="TNP188" s="1016"/>
      <c r="TNQ188" s="1016"/>
      <c r="TNR188" s="1016"/>
      <c r="TNS188" s="1016"/>
      <c r="TNT188" s="1016"/>
      <c r="TNU188" s="1016"/>
      <c r="TNV188" s="1016"/>
      <c r="TNW188" s="1016"/>
      <c r="TNX188" s="1016"/>
      <c r="TNY188" s="1016"/>
      <c r="TNZ188" s="1016"/>
      <c r="TOA188" s="1016"/>
      <c r="TOB188" s="1016"/>
      <c r="TOC188" s="1016"/>
      <c r="TOD188" s="1016"/>
      <c r="TOE188" s="1016"/>
      <c r="TOF188" s="1016"/>
      <c r="TOG188" s="1016"/>
      <c r="TOH188" s="1016"/>
      <c r="TOI188" s="1016"/>
      <c r="TOJ188" s="1016"/>
      <c r="TOK188" s="1016"/>
      <c r="TOL188" s="1016"/>
      <c r="TOM188" s="1016"/>
      <c r="TON188" s="1016"/>
      <c r="TOO188" s="1016"/>
      <c r="TOP188" s="1016"/>
      <c r="TOQ188" s="1016"/>
      <c r="TOR188" s="1016"/>
      <c r="TOS188" s="1016"/>
      <c r="TOT188" s="1016"/>
      <c r="TOU188" s="1016"/>
      <c r="TOV188" s="1016"/>
      <c r="TOW188" s="1016"/>
      <c r="TOX188" s="1016"/>
      <c r="TOY188" s="1016"/>
      <c r="TOZ188" s="1016"/>
      <c r="TPA188" s="1016"/>
      <c r="TPB188" s="1016"/>
      <c r="TPC188" s="1016"/>
      <c r="TPD188" s="1016"/>
      <c r="TPE188" s="1016"/>
      <c r="TPF188" s="1016"/>
      <c r="TPG188" s="1016"/>
      <c r="TPH188" s="1016"/>
      <c r="TPI188" s="1016"/>
      <c r="TPJ188" s="1016"/>
      <c r="TPK188" s="1016"/>
      <c r="TPL188" s="1016"/>
      <c r="TPM188" s="1016"/>
      <c r="TPN188" s="1016"/>
      <c r="TPO188" s="1016"/>
      <c r="TPP188" s="1016"/>
      <c r="TPQ188" s="1016"/>
      <c r="TPR188" s="1016"/>
      <c r="TPS188" s="1016"/>
      <c r="TPT188" s="1016"/>
      <c r="TPU188" s="1016"/>
      <c r="TPV188" s="1016"/>
      <c r="TPW188" s="1016"/>
      <c r="TPX188" s="1016"/>
      <c r="TPY188" s="1016"/>
      <c r="TPZ188" s="1016"/>
      <c r="TQA188" s="1016"/>
      <c r="TQB188" s="1016"/>
      <c r="TQC188" s="1016"/>
      <c r="TQD188" s="1016"/>
      <c r="TQE188" s="1016"/>
      <c r="TQF188" s="1016"/>
      <c r="TQG188" s="1016"/>
      <c r="TQH188" s="1016"/>
      <c r="TQI188" s="1016"/>
      <c r="TQJ188" s="1016"/>
      <c r="TQK188" s="1016"/>
      <c r="TQL188" s="1016"/>
      <c r="TQM188" s="1016"/>
      <c r="TQN188" s="1016"/>
      <c r="TQO188" s="1016"/>
      <c r="TQP188" s="1016"/>
      <c r="TQQ188" s="1016"/>
      <c r="TQR188" s="1016"/>
      <c r="TQS188" s="1016"/>
      <c r="TQT188" s="1016"/>
      <c r="TQU188" s="1016"/>
      <c r="TQV188" s="1016"/>
      <c r="TQW188" s="1016"/>
      <c r="TQX188" s="1016"/>
      <c r="TQY188" s="1016"/>
      <c r="TQZ188" s="1016"/>
      <c r="TRA188" s="1016"/>
      <c r="TRB188" s="1016"/>
      <c r="TRC188" s="1016"/>
      <c r="TRD188" s="1016"/>
      <c r="TRE188" s="1016"/>
      <c r="TRF188" s="1016"/>
      <c r="TRG188" s="1016"/>
      <c r="TRH188" s="1016"/>
      <c r="TRI188" s="1016"/>
      <c r="TRJ188" s="1016"/>
      <c r="TRK188" s="1016"/>
      <c r="TRL188" s="1016"/>
      <c r="TRM188" s="1016"/>
      <c r="TRN188" s="1016"/>
      <c r="TRO188" s="1016"/>
      <c r="TRP188" s="1016"/>
      <c r="TRQ188" s="1016"/>
      <c r="TRR188" s="1016"/>
      <c r="TRS188" s="1016"/>
      <c r="TRT188" s="1016"/>
      <c r="TRU188" s="1016"/>
      <c r="TRV188" s="1016"/>
      <c r="TRW188" s="1016"/>
      <c r="TRX188" s="1016"/>
      <c r="TRY188" s="1016"/>
      <c r="TRZ188" s="1016"/>
      <c r="TSA188" s="1016"/>
      <c r="TSB188" s="1016"/>
      <c r="TSC188" s="1016"/>
      <c r="TSD188" s="1016"/>
      <c r="TSE188" s="1016"/>
      <c r="TSF188" s="1016"/>
      <c r="TSG188" s="1016"/>
      <c r="TSH188" s="1016"/>
      <c r="TSI188" s="1016"/>
      <c r="TSJ188" s="1016"/>
      <c r="TSK188" s="1016"/>
      <c r="TSL188" s="1016"/>
      <c r="TSM188" s="1016"/>
      <c r="TSN188" s="1016"/>
      <c r="TSO188" s="1016"/>
      <c r="TSP188" s="1016"/>
      <c r="TSQ188" s="1016"/>
      <c r="TSR188" s="1016"/>
      <c r="TSS188" s="1016"/>
      <c r="TST188" s="1016"/>
      <c r="TSU188" s="1016"/>
      <c r="TSV188" s="1016"/>
      <c r="TSW188" s="1016"/>
      <c r="TSX188" s="1016"/>
      <c r="TSY188" s="1016"/>
      <c r="TSZ188" s="1016"/>
      <c r="TTA188" s="1016"/>
      <c r="TTB188" s="1016"/>
      <c r="TTC188" s="1016"/>
      <c r="TTD188" s="1016"/>
      <c r="TTE188" s="1016"/>
      <c r="TTF188" s="1016"/>
      <c r="TTG188" s="1016"/>
      <c r="TTH188" s="1016"/>
      <c r="TTI188" s="1016"/>
      <c r="TTJ188" s="1016"/>
      <c r="TTK188" s="1016"/>
      <c r="TTL188" s="1016"/>
      <c r="TTM188" s="1016"/>
      <c r="TTN188" s="1016"/>
      <c r="TTO188" s="1016"/>
      <c r="TTP188" s="1016"/>
      <c r="TTQ188" s="1016"/>
      <c r="TTR188" s="1016"/>
      <c r="TTS188" s="1016"/>
      <c r="TTT188" s="1016"/>
      <c r="TTU188" s="1016"/>
      <c r="TTV188" s="1016"/>
      <c r="TTW188" s="1016"/>
      <c r="TTX188" s="1016"/>
      <c r="TTY188" s="1016"/>
      <c r="TTZ188" s="1016"/>
      <c r="TUA188" s="1016"/>
      <c r="TUB188" s="1016"/>
      <c r="TUC188" s="1016"/>
      <c r="TUD188" s="1016"/>
      <c r="TUE188" s="1016"/>
      <c r="TUF188" s="1016"/>
      <c r="TUG188" s="1016"/>
      <c r="TUH188" s="1016"/>
      <c r="TUI188" s="1016"/>
      <c r="TUJ188" s="1016"/>
      <c r="TUK188" s="1016"/>
      <c r="TUL188" s="1016"/>
      <c r="TUM188" s="1016"/>
      <c r="TUN188" s="1016"/>
      <c r="TUO188" s="1016"/>
      <c r="TUP188" s="1016"/>
      <c r="TUQ188" s="1016"/>
      <c r="TUR188" s="1016"/>
      <c r="TUS188" s="1016"/>
      <c r="TUT188" s="1016"/>
      <c r="TUU188" s="1016"/>
      <c r="TUV188" s="1016"/>
      <c r="TUW188" s="1016"/>
      <c r="TUX188" s="1016"/>
      <c r="TUY188" s="1016"/>
      <c r="TUZ188" s="1016"/>
      <c r="TVA188" s="1016"/>
      <c r="TVB188" s="1016"/>
      <c r="TVC188" s="1016"/>
      <c r="TVD188" s="1016"/>
      <c r="TVE188" s="1016"/>
      <c r="TVF188" s="1016"/>
      <c r="TVG188" s="1016"/>
      <c r="TVH188" s="1016"/>
      <c r="TVI188" s="1016"/>
      <c r="TVJ188" s="1016"/>
      <c r="TVK188" s="1016"/>
      <c r="TVL188" s="1016"/>
      <c r="TVM188" s="1016"/>
      <c r="TVN188" s="1016"/>
      <c r="TVO188" s="1016"/>
      <c r="TVP188" s="1016"/>
      <c r="TVQ188" s="1016"/>
      <c r="TVR188" s="1016"/>
      <c r="TVS188" s="1016"/>
      <c r="TVT188" s="1016"/>
      <c r="TVU188" s="1016"/>
      <c r="TVV188" s="1016"/>
      <c r="TVW188" s="1016"/>
      <c r="TVX188" s="1016"/>
      <c r="TVY188" s="1016"/>
      <c r="TVZ188" s="1016"/>
      <c r="TWA188" s="1016"/>
      <c r="TWB188" s="1016"/>
      <c r="TWC188" s="1016"/>
      <c r="TWD188" s="1016"/>
      <c r="TWE188" s="1016"/>
      <c r="TWF188" s="1016"/>
      <c r="TWG188" s="1016"/>
      <c r="TWH188" s="1016"/>
      <c r="TWI188" s="1016"/>
      <c r="TWJ188" s="1016"/>
      <c r="TWK188" s="1016"/>
      <c r="TWL188" s="1016"/>
      <c r="TWM188" s="1016"/>
      <c r="TWN188" s="1016"/>
      <c r="TWO188" s="1016"/>
      <c r="TWP188" s="1016"/>
      <c r="TWQ188" s="1016"/>
      <c r="TWR188" s="1016"/>
      <c r="TWS188" s="1016"/>
      <c r="TWT188" s="1016"/>
      <c r="TWU188" s="1016"/>
      <c r="TWV188" s="1016"/>
      <c r="TWW188" s="1016"/>
      <c r="TWX188" s="1016"/>
      <c r="TWY188" s="1016"/>
      <c r="TWZ188" s="1016"/>
      <c r="TXA188" s="1016"/>
      <c r="TXB188" s="1016"/>
      <c r="TXC188" s="1016"/>
      <c r="TXD188" s="1016"/>
      <c r="TXE188" s="1016"/>
      <c r="TXF188" s="1016"/>
      <c r="TXG188" s="1016"/>
      <c r="TXH188" s="1016"/>
      <c r="TXI188" s="1016"/>
      <c r="TXJ188" s="1016"/>
      <c r="TXK188" s="1016"/>
      <c r="TXL188" s="1016"/>
      <c r="TXM188" s="1016"/>
      <c r="TXN188" s="1016"/>
      <c r="TXO188" s="1016"/>
      <c r="TXP188" s="1016"/>
      <c r="TXQ188" s="1016"/>
      <c r="TXR188" s="1016"/>
      <c r="TXS188" s="1016"/>
      <c r="TXT188" s="1016"/>
      <c r="TXU188" s="1016"/>
      <c r="TXV188" s="1016"/>
      <c r="TXW188" s="1016"/>
      <c r="TXX188" s="1016"/>
      <c r="TXY188" s="1016"/>
      <c r="TXZ188" s="1016"/>
      <c r="TYA188" s="1016"/>
      <c r="TYB188" s="1016"/>
      <c r="TYC188" s="1016"/>
      <c r="TYD188" s="1016"/>
      <c r="TYE188" s="1016"/>
      <c r="TYF188" s="1016"/>
      <c r="TYG188" s="1016"/>
      <c r="TYH188" s="1016"/>
      <c r="TYI188" s="1016"/>
      <c r="TYJ188" s="1016"/>
      <c r="TYK188" s="1016"/>
      <c r="TYL188" s="1016"/>
      <c r="TYM188" s="1016"/>
      <c r="TYN188" s="1016"/>
      <c r="TYO188" s="1016"/>
      <c r="TYP188" s="1016"/>
      <c r="TYQ188" s="1016"/>
      <c r="TYR188" s="1016"/>
      <c r="TYS188" s="1016"/>
      <c r="TYT188" s="1016"/>
      <c r="TYU188" s="1016"/>
      <c r="TYV188" s="1016"/>
      <c r="TYW188" s="1016"/>
      <c r="TYX188" s="1016"/>
      <c r="TYY188" s="1016"/>
      <c r="TYZ188" s="1016"/>
      <c r="TZA188" s="1016"/>
      <c r="TZB188" s="1016"/>
      <c r="TZC188" s="1016"/>
      <c r="TZD188" s="1016"/>
      <c r="TZE188" s="1016"/>
      <c r="TZF188" s="1016"/>
      <c r="TZG188" s="1016"/>
      <c r="TZH188" s="1016"/>
      <c r="TZI188" s="1016"/>
      <c r="TZJ188" s="1016"/>
      <c r="TZK188" s="1016"/>
      <c r="TZL188" s="1016"/>
      <c r="TZM188" s="1016"/>
      <c r="TZN188" s="1016"/>
      <c r="TZO188" s="1016"/>
      <c r="TZP188" s="1016"/>
      <c r="TZQ188" s="1016"/>
      <c r="TZR188" s="1016"/>
      <c r="TZS188" s="1016"/>
      <c r="TZT188" s="1016"/>
      <c r="TZU188" s="1016"/>
      <c r="TZV188" s="1016"/>
      <c r="TZW188" s="1016"/>
      <c r="TZX188" s="1016"/>
      <c r="TZY188" s="1016"/>
      <c r="TZZ188" s="1016"/>
      <c r="UAA188" s="1016"/>
      <c r="UAB188" s="1016"/>
      <c r="UAC188" s="1016"/>
      <c r="UAD188" s="1016"/>
      <c r="UAE188" s="1016"/>
      <c r="UAF188" s="1016"/>
      <c r="UAG188" s="1016"/>
      <c r="UAH188" s="1016"/>
      <c r="UAI188" s="1016"/>
      <c r="UAJ188" s="1016"/>
      <c r="UAK188" s="1016"/>
      <c r="UAL188" s="1016"/>
      <c r="UAM188" s="1016"/>
      <c r="UAN188" s="1016"/>
      <c r="UAO188" s="1016"/>
      <c r="UAP188" s="1016"/>
      <c r="UAQ188" s="1016"/>
      <c r="UAR188" s="1016"/>
      <c r="UAS188" s="1016"/>
      <c r="UAT188" s="1016"/>
      <c r="UAU188" s="1016"/>
      <c r="UAV188" s="1016"/>
      <c r="UAW188" s="1016"/>
      <c r="UAX188" s="1016"/>
      <c r="UAY188" s="1016"/>
      <c r="UAZ188" s="1016"/>
      <c r="UBA188" s="1016"/>
      <c r="UBB188" s="1016"/>
      <c r="UBC188" s="1016"/>
      <c r="UBD188" s="1016"/>
      <c r="UBE188" s="1016"/>
      <c r="UBF188" s="1016"/>
      <c r="UBG188" s="1016"/>
      <c r="UBH188" s="1016"/>
      <c r="UBI188" s="1016"/>
      <c r="UBJ188" s="1016"/>
      <c r="UBK188" s="1016"/>
      <c r="UBL188" s="1016"/>
      <c r="UBM188" s="1016"/>
      <c r="UBN188" s="1016"/>
      <c r="UBO188" s="1016"/>
      <c r="UBP188" s="1016"/>
      <c r="UBQ188" s="1016"/>
      <c r="UBR188" s="1016"/>
      <c r="UBS188" s="1016"/>
      <c r="UBT188" s="1016"/>
      <c r="UBU188" s="1016"/>
      <c r="UBV188" s="1016"/>
      <c r="UBW188" s="1016"/>
      <c r="UBX188" s="1016"/>
      <c r="UBY188" s="1016"/>
      <c r="UBZ188" s="1016"/>
      <c r="UCA188" s="1016"/>
      <c r="UCB188" s="1016"/>
      <c r="UCC188" s="1016"/>
      <c r="UCD188" s="1016"/>
      <c r="UCE188" s="1016"/>
      <c r="UCF188" s="1016"/>
      <c r="UCG188" s="1016"/>
      <c r="UCH188" s="1016"/>
      <c r="UCI188" s="1016"/>
      <c r="UCJ188" s="1016"/>
      <c r="UCK188" s="1016"/>
      <c r="UCL188" s="1016"/>
      <c r="UCM188" s="1016"/>
      <c r="UCN188" s="1016"/>
      <c r="UCO188" s="1016"/>
      <c r="UCP188" s="1016"/>
      <c r="UCQ188" s="1016"/>
      <c r="UCR188" s="1016"/>
      <c r="UCS188" s="1016"/>
      <c r="UCT188" s="1016"/>
      <c r="UCU188" s="1016"/>
      <c r="UCV188" s="1016"/>
      <c r="UCW188" s="1016"/>
      <c r="UCX188" s="1016"/>
      <c r="UCY188" s="1016"/>
      <c r="UCZ188" s="1016"/>
      <c r="UDA188" s="1016"/>
      <c r="UDB188" s="1016"/>
      <c r="UDC188" s="1016"/>
      <c r="UDD188" s="1016"/>
      <c r="UDE188" s="1016"/>
      <c r="UDF188" s="1016"/>
      <c r="UDG188" s="1016"/>
      <c r="UDH188" s="1016"/>
      <c r="UDI188" s="1016"/>
      <c r="UDJ188" s="1016"/>
      <c r="UDK188" s="1016"/>
      <c r="UDL188" s="1016"/>
      <c r="UDM188" s="1016"/>
      <c r="UDN188" s="1016"/>
      <c r="UDO188" s="1016"/>
      <c r="UDP188" s="1016"/>
      <c r="UDQ188" s="1016"/>
      <c r="UDR188" s="1016"/>
      <c r="UDS188" s="1016"/>
      <c r="UDT188" s="1016"/>
      <c r="UDU188" s="1016"/>
      <c r="UDV188" s="1016"/>
      <c r="UDW188" s="1016"/>
      <c r="UDX188" s="1016"/>
      <c r="UDY188" s="1016"/>
      <c r="UDZ188" s="1016"/>
      <c r="UEA188" s="1016"/>
      <c r="UEB188" s="1016"/>
      <c r="UEC188" s="1016"/>
      <c r="UED188" s="1016"/>
      <c r="UEE188" s="1016"/>
      <c r="UEF188" s="1016"/>
      <c r="UEG188" s="1016"/>
      <c r="UEH188" s="1016"/>
      <c r="UEI188" s="1016"/>
      <c r="UEJ188" s="1016"/>
      <c r="UEK188" s="1016"/>
      <c r="UEL188" s="1016"/>
      <c r="UEM188" s="1016"/>
      <c r="UEN188" s="1016"/>
      <c r="UEO188" s="1016"/>
      <c r="UEP188" s="1016"/>
      <c r="UEQ188" s="1016"/>
      <c r="UER188" s="1016"/>
      <c r="UES188" s="1016"/>
      <c r="UET188" s="1016"/>
      <c r="UEU188" s="1016"/>
      <c r="UEV188" s="1016"/>
      <c r="UEW188" s="1016"/>
      <c r="UEX188" s="1016"/>
      <c r="UEY188" s="1016"/>
      <c r="UEZ188" s="1016"/>
      <c r="UFA188" s="1016"/>
      <c r="UFB188" s="1016"/>
      <c r="UFC188" s="1016"/>
      <c r="UFD188" s="1016"/>
      <c r="UFE188" s="1016"/>
      <c r="UFF188" s="1016"/>
      <c r="UFG188" s="1016"/>
      <c r="UFH188" s="1016"/>
      <c r="UFI188" s="1016"/>
      <c r="UFJ188" s="1016"/>
      <c r="UFK188" s="1016"/>
      <c r="UFL188" s="1016"/>
      <c r="UFM188" s="1016"/>
      <c r="UFN188" s="1016"/>
      <c r="UFO188" s="1016"/>
      <c r="UFP188" s="1016"/>
      <c r="UFQ188" s="1016"/>
      <c r="UFR188" s="1016"/>
      <c r="UFS188" s="1016"/>
      <c r="UFT188" s="1016"/>
      <c r="UFU188" s="1016"/>
      <c r="UFV188" s="1016"/>
      <c r="UFW188" s="1016"/>
      <c r="UFX188" s="1016"/>
      <c r="UFY188" s="1016"/>
      <c r="UFZ188" s="1016"/>
      <c r="UGA188" s="1016"/>
      <c r="UGB188" s="1016"/>
      <c r="UGC188" s="1016"/>
      <c r="UGD188" s="1016"/>
      <c r="UGE188" s="1016"/>
      <c r="UGF188" s="1016"/>
      <c r="UGG188" s="1016"/>
      <c r="UGH188" s="1016"/>
      <c r="UGI188" s="1016"/>
      <c r="UGJ188" s="1016"/>
      <c r="UGK188" s="1016"/>
      <c r="UGL188" s="1016"/>
      <c r="UGM188" s="1016"/>
      <c r="UGN188" s="1016"/>
      <c r="UGO188" s="1016"/>
      <c r="UGP188" s="1016"/>
      <c r="UGQ188" s="1016"/>
      <c r="UGR188" s="1016"/>
      <c r="UGS188" s="1016"/>
      <c r="UGT188" s="1016"/>
      <c r="UGU188" s="1016"/>
      <c r="UGV188" s="1016"/>
      <c r="UGW188" s="1016"/>
      <c r="UGX188" s="1016"/>
      <c r="UGY188" s="1016"/>
      <c r="UGZ188" s="1016"/>
      <c r="UHA188" s="1016"/>
      <c r="UHB188" s="1016"/>
      <c r="UHC188" s="1016"/>
      <c r="UHD188" s="1016"/>
      <c r="UHE188" s="1016"/>
      <c r="UHF188" s="1016"/>
      <c r="UHG188" s="1016"/>
      <c r="UHH188" s="1016"/>
      <c r="UHI188" s="1016"/>
      <c r="UHJ188" s="1016"/>
      <c r="UHK188" s="1016"/>
      <c r="UHL188" s="1016"/>
      <c r="UHM188" s="1016"/>
      <c r="UHN188" s="1016"/>
      <c r="UHO188" s="1016"/>
      <c r="UHP188" s="1016"/>
      <c r="UHQ188" s="1016"/>
      <c r="UHR188" s="1016"/>
      <c r="UHS188" s="1016"/>
      <c r="UHT188" s="1016"/>
      <c r="UHU188" s="1016"/>
      <c r="UHV188" s="1016"/>
      <c r="UHW188" s="1016"/>
      <c r="UHX188" s="1016"/>
      <c r="UHY188" s="1016"/>
      <c r="UHZ188" s="1016"/>
      <c r="UIA188" s="1016"/>
      <c r="UIB188" s="1016"/>
      <c r="UIC188" s="1016"/>
      <c r="UID188" s="1016"/>
      <c r="UIE188" s="1016"/>
      <c r="UIF188" s="1016"/>
      <c r="UIG188" s="1016"/>
      <c r="UIH188" s="1016"/>
      <c r="UII188" s="1016"/>
      <c r="UIJ188" s="1016"/>
      <c r="UIK188" s="1016"/>
      <c r="UIL188" s="1016"/>
      <c r="UIM188" s="1016"/>
      <c r="UIN188" s="1016"/>
      <c r="UIO188" s="1016"/>
      <c r="UIP188" s="1016"/>
      <c r="UIQ188" s="1016"/>
      <c r="UIR188" s="1016"/>
      <c r="UIS188" s="1016"/>
      <c r="UIT188" s="1016"/>
      <c r="UIU188" s="1016"/>
      <c r="UIV188" s="1016"/>
      <c r="UIW188" s="1016"/>
      <c r="UIX188" s="1016"/>
      <c r="UIY188" s="1016"/>
      <c r="UIZ188" s="1016"/>
      <c r="UJA188" s="1016"/>
      <c r="UJB188" s="1016"/>
      <c r="UJC188" s="1016"/>
      <c r="UJD188" s="1016"/>
      <c r="UJE188" s="1016"/>
      <c r="UJF188" s="1016"/>
      <c r="UJG188" s="1016"/>
      <c r="UJH188" s="1016"/>
      <c r="UJI188" s="1016"/>
      <c r="UJJ188" s="1016"/>
      <c r="UJK188" s="1016"/>
      <c r="UJL188" s="1016"/>
      <c r="UJM188" s="1016"/>
      <c r="UJN188" s="1016"/>
      <c r="UJO188" s="1016"/>
      <c r="UJP188" s="1016"/>
      <c r="UJQ188" s="1016"/>
      <c r="UJR188" s="1016"/>
      <c r="UJS188" s="1016"/>
      <c r="UJT188" s="1016"/>
      <c r="UJU188" s="1016"/>
      <c r="UJV188" s="1016"/>
      <c r="UJW188" s="1016"/>
      <c r="UJX188" s="1016"/>
      <c r="UJY188" s="1016"/>
      <c r="UJZ188" s="1016"/>
      <c r="UKA188" s="1016"/>
      <c r="UKB188" s="1016"/>
      <c r="UKC188" s="1016"/>
      <c r="UKD188" s="1016"/>
      <c r="UKE188" s="1016"/>
      <c r="UKF188" s="1016"/>
      <c r="UKG188" s="1016"/>
      <c r="UKH188" s="1016"/>
      <c r="UKI188" s="1016"/>
      <c r="UKJ188" s="1016"/>
      <c r="UKK188" s="1016"/>
      <c r="UKL188" s="1016"/>
      <c r="UKM188" s="1016"/>
      <c r="UKN188" s="1016"/>
      <c r="UKO188" s="1016"/>
      <c r="UKP188" s="1016"/>
      <c r="UKQ188" s="1016"/>
      <c r="UKR188" s="1016"/>
      <c r="UKS188" s="1016"/>
      <c r="UKT188" s="1016"/>
      <c r="UKU188" s="1016"/>
      <c r="UKV188" s="1016"/>
      <c r="UKW188" s="1016"/>
      <c r="UKX188" s="1016"/>
      <c r="UKY188" s="1016"/>
      <c r="UKZ188" s="1016"/>
      <c r="ULA188" s="1016"/>
      <c r="ULB188" s="1016"/>
      <c r="ULC188" s="1016"/>
      <c r="ULD188" s="1016"/>
      <c r="ULE188" s="1016"/>
      <c r="ULF188" s="1016"/>
      <c r="ULG188" s="1016"/>
      <c r="ULH188" s="1016"/>
      <c r="ULI188" s="1016"/>
      <c r="ULJ188" s="1016"/>
      <c r="ULK188" s="1016"/>
      <c r="ULL188" s="1016"/>
      <c r="ULM188" s="1016"/>
      <c r="ULN188" s="1016"/>
      <c r="ULO188" s="1016"/>
      <c r="ULP188" s="1016"/>
      <c r="ULQ188" s="1016"/>
      <c r="ULR188" s="1016"/>
      <c r="ULS188" s="1016"/>
      <c r="ULT188" s="1016"/>
      <c r="ULU188" s="1016"/>
      <c r="ULV188" s="1016"/>
      <c r="ULW188" s="1016"/>
      <c r="ULX188" s="1016"/>
      <c r="ULY188" s="1016"/>
      <c r="ULZ188" s="1016"/>
      <c r="UMA188" s="1016"/>
      <c r="UMB188" s="1016"/>
      <c r="UMC188" s="1016"/>
      <c r="UMD188" s="1016"/>
      <c r="UME188" s="1016"/>
      <c r="UMF188" s="1016"/>
      <c r="UMG188" s="1016"/>
      <c r="UMH188" s="1016"/>
      <c r="UMI188" s="1016"/>
      <c r="UMJ188" s="1016"/>
      <c r="UMK188" s="1016"/>
      <c r="UML188" s="1016"/>
      <c r="UMM188" s="1016"/>
      <c r="UMN188" s="1016"/>
      <c r="UMO188" s="1016"/>
      <c r="UMP188" s="1016"/>
      <c r="UMQ188" s="1016"/>
      <c r="UMR188" s="1016"/>
      <c r="UMS188" s="1016"/>
      <c r="UMT188" s="1016"/>
      <c r="UMU188" s="1016"/>
      <c r="UMV188" s="1016"/>
      <c r="UMW188" s="1016"/>
      <c r="UMX188" s="1016"/>
      <c r="UMY188" s="1016"/>
      <c r="UMZ188" s="1016"/>
      <c r="UNA188" s="1016"/>
      <c r="UNB188" s="1016"/>
      <c r="UNC188" s="1016"/>
      <c r="UND188" s="1016"/>
      <c r="UNE188" s="1016"/>
      <c r="UNF188" s="1016"/>
      <c r="UNG188" s="1016"/>
      <c r="UNH188" s="1016"/>
      <c r="UNI188" s="1016"/>
      <c r="UNJ188" s="1016"/>
      <c r="UNK188" s="1016"/>
      <c r="UNL188" s="1016"/>
      <c r="UNM188" s="1016"/>
      <c r="UNN188" s="1016"/>
      <c r="UNO188" s="1016"/>
      <c r="UNP188" s="1016"/>
      <c r="UNQ188" s="1016"/>
      <c r="UNR188" s="1016"/>
      <c r="UNS188" s="1016"/>
      <c r="UNT188" s="1016"/>
      <c r="UNU188" s="1016"/>
      <c r="UNV188" s="1016"/>
      <c r="UNW188" s="1016"/>
      <c r="UNX188" s="1016"/>
      <c r="UNY188" s="1016"/>
      <c r="UNZ188" s="1016"/>
      <c r="UOA188" s="1016"/>
      <c r="UOB188" s="1016"/>
      <c r="UOC188" s="1016"/>
      <c r="UOD188" s="1016"/>
      <c r="UOE188" s="1016"/>
      <c r="UOF188" s="1016"/>
      <c r="UOG188" s="1016"/>
      <c r="UOH188" s="1016"/>
      <c r="UOI188" s="1016"/>
      <c r="UOJ188" s="1016"/>
      <c r="UOK188" s="1016"/>
      <c r="UOL188" s="1016"/>
      <c r="UOM188" s="1016"/>
      <c r="UON188" s="1016"/>
      <c r="UOO188" s="1016"/>
      <c r="UOP188" s="1016"/>
      <c r="UOQ188" s="1016"/>
      <c r="UOR188" s="1016"/>
      <c r="UOS188" s="1016"/>
      <c r="UOT188" s="1016"/>
      <c r="UOU188" s="1016"/>
      <c r="UOV188" s="1016"/>
      <c r="UOW188" s="1016"/>
      <c r="UOX188" s="1016"/>
      <c r="UOY188" s="1016"/>
      <c r="UOZ188" s="1016"/>
      <c r="UPA188" s="1016"/>
      <c r="UPB188" s="1016"/>
      <c r="UPC188" s="1016"/>
      <c r="UPD188" s="1016"/>
      <c r="UPE188" s="1016"/>
      <c r="UPF188" s="1016"/>
      <c r="UPG188" s="1016"/>
      <c r="UPH188" s="1016"/>
      <c r="UPI188" s="1016"/>
      <c r="UPJ188" s="1016"/>
      <c r="UPK188" s="1016"/>
      <c r="UPL188" s="1016"/>
      <c r="UPM188" s="1016"/>
      <c r="UPN188" s="1016"/>
      <c r="UPO188" s="1016"/>
      <c r="UPP188" s="1016"/>
      <c r="UPQ188" s="1016"/>
      <c r="UPR188" s="1016"/>
      <c r="UPS188" s="1016"/>
      <c r="UPT188" s="1016"/>
      <c r="UPU188" s="1016"/>
      <c r="UPV188" s="1016"/>
      <c r="UPW188" s="1016"/>
      <c r="UPX188" s="1016"/>
      <c r="UPY188" s="1016"/>
      <c r="UPZ188" s="1016"/>
      <c r="UQA188" s="1016"/>
      <c r="UQB188" s="1016"/>
      <c r="UQC188" s="1016"/>
      <c r="UQD188" s="1016"/>
      <c r="UQE188" s="1016"/>
      <c r="UQF188" s="1016"/>
      <c r="UQG188" s="1016"/>
      <c r="UQH188" s="1016"/>
      <c r="UQI188" s="1016"/>
      <c r="UQJ188" s="1016"/>
      <c r="UQK188" s="1016"/>
      <c r="UQL188" s="1016"/>
      <c r="UQM188" s="1016"/>
      <c r="UQN188" s="1016"/>
      <c r="UQO188" s="1016"/>
      <c r="UQP188" s="1016"/>
      <c r="UQQ188" s="1016"/>
      <c r="UQR188" s="1016"/>
      <c r="UQS188" s="1016"/>
      <c r="UQT188" s="1016"/>
      <c r="UQU188" s="1016"/>
      <c r="UQV188" s="1016"/>
      <c r="UQW188" s="1016"/>
      <c r="UQX188" s="1016"/>
      <c r="UQY188" s="1016"/>
      <c r="UQZ188" s="1016"/>
      <c r="URA188" s="1016"/>
      <c r="URB188" s="1016"/>
      <c r="URC188" s="1016"/>
      <c r="URD188" s="1016"/>
      <c r="URE188" s="1016"/>
      <c r="URF188" s="1016"/>
      <c r="URG188" s="1016"/>
      <c r="URH188" s="1016"/>
      <c r="URI188" s="1016"/>
      <c r="URJ188" s="1016"/>
      <c r="URK188" s="1016"/>
      <c r="URL188" s="1016"/>
      <c r="URM188" s="1016"/>
      <c r="URN188" s="1016"/>
      <c r="URO188" s="1016"/>
      <c r="URP188" s="1016"/>
      <c r="URQ188" s="1016"/>
      <c r="URR188" s="1016"/>
      <c r="URS188" s="1016"/>
      <c r="URT188" s="1016"/>
      <c r="URU188" s="1016"/>
      <c r="URV188" s="1016"/>
      <c r="URW188" s="1016"/>
      <c r="URX188" s="1016"/>
      <c r="URY188" s="1016"/>
      <c r="URZ188" s="1016"/>
      <c r="USA188" s="1016"/>
      <c r="USB188" s="1016"/>
      <c r="USC188" s="1016"/>
      <c r="USD188" s="1016"/>
      <c r="USE188" s="1016"/>
      <c r="USF188" s="1016"/>
      <c r="USG188" s="1016"/>
      <c r="USH188" s="1016"/>
      <c r="USI188" s="1016"/>
      <c r="USJ188" s="1016"/>
      <c r="USK188" s="1016"/>
      <c r="USL188" s="1016"/>
      <c r="USM188" s="1016"/>
      <c r="USN188" s="1016"/>
      <c r="USO188" s="1016"/>
      <c r="USP188" s="1016"/>
      <c r="USQ188" s="1016"/>
      <c r="USR188" s="1016"/>
      <c r="USS188" s="1016"/>
      <c r="UST188" s="1016"/>
      <c r="USU188" s="1016"/>
      <c r="USV188" s="1016"/>
      <c r="USW188" s="1016"/>
      <c r="USX188" s="1016"/>
      <c r="USY188" s="1016"/>
      <c r="USZ188" s="1016"/>
      <c r="UTA188" s="1016"/>
      <c r="UTB188" s="1016"/>
      <c r="UTC188" s="1016"/>
      <c r="UTD188" s="1016"/>
      <c r="UTE188" s="1016"/>
      <c r="UTF188" s="1016"/>
      <c r="UTG188" s="1016"/>
      <c r="UTH188" s="1016"/>
      <c r="UTI188" s="1016"/>
      <c r="UTJ188" s="1016"/>
      <c r="UTK188" s="1016"/>
      <c r="UTL188" s="1016"/>
      <c r="UTM188" s="1016"/>
      <c r="UTN188" s="1016"/>
      <c r="UTO188" s="1016"/>
      <c r="UTP188" s="1016"/>
      <c r="UTQ188" s="1016"/>
      <c r="UTR188" s="1016"/>
      <c r="UTS188" s="1016"/>
      <c r="UTT188" s="1016"/>
      <c r="UTU188" s="1016"/>
      <c r="UTV188" s="1016"/>
      <c r="UTW188" s="1016"/>
      <c r="UTX188" s="1016"/>
      <c r="UTY188" s="1016"/>
      <c r="UTZ188" s="1016"/>
      <c r="UUA188" s="1016"/>
      <c r="UUB188" s="1016"/>
      <c r="UUC188" s="1016"/>
      <c r="UUD188" s="1016"/>
      <c r="UUE188" s="1016"/>
      <c r="UUF188" s="1016"/>
      <c r="UUG188" s="1016"/>
      <c r="UUH188" s="1016"/>
      <c r="UUI188" s="1016"/>
      <c r="UUJ188" s="1016"/>
      <c r="UUK188" s="1016"/>
      <c r="UUL188" s="1016"/>
      <c r="UUM188" s="1016"/>
      <c r="UUN188" s="1016"/>
      <c r="UUO188" s="1016"/>
      <c r="UUP188" s="1016"/>
      <c r="UUQ188" s="1016"/>
      <c r="UUR188" s="1016"/>
      <c r="UUS188" s="1016"/>
      <c r="UUT188" s="1016"/>
      <c r="UUU188" s="1016"/>
      <c r="UUV188" s="1016"/>
      <c r="UUW188" s="1016"/>
      <c r="UUX188" s="1016"/>
      <c r="UUY188" s="1016"/>
      <c r="UUZ188" s="1016"/>
      <c r="UVA188" s="1016"/>
      <c r="UVB188" s="1016"/>
      <c r="UVC188" s="1016"/>
      <c r="UVD188" s="1016"/>
      <c r="UVE188" s="1016"/>
      <c r="UVF188" s="1016"/>
      <c r="UVG188" s="1016"/>
      <c r="UVH188" s="1016"/>
      <c r="UVI188" s="1016"/>
      <c r="UVJ188" s="1016"/>
      <c r="UVK188" s="1016"/>
      <c r="UVL188" s="1016"/>
      <c r="UVM188" s="1016"/>
      <c r="UVN188" s="1016"/>
      <c r="UVO188" s="1016"/>
      <c r="UVP188" s="1016"/>
      <c r="UVQ188" s="1016"/>
      <c r="UVR188" s="1016"/>
      <c r="UVS188" s="1016"/>
      <c r="UVT188" s="1016"/>
      <c r="UVU188" s="1016"/>
      <c r="UVV188" s="1016"/>
      <c r="UVW188" s="1016"/>
      <c r="UVX188" s="1016"/>
      <c r="UVY188" s="1016"/>
      <c r="UVZ188" s="1016"/>
      <c r="UWA188" s="1016"/>
      <c r="UWB188" s="1016"/>
      <c r="UWC188" s="1016"/>
      <c r="UWD188" s="1016"/>
      <c r="UWE188" s="1016"/>
      <c r="UWF188" s="1016"/>
      <c r="UWG188" s="1016"/>
      <c r="UWH188" s="1016"/>
      <c r="UWI188" s="1016"/>
      <c r="UWJ188" s="1016"/>
      <c r="UWK188" s="1016"/>
      <c r="UWL188" s="1016"/>
      <c r="UWM188" s="1016"/>
      <c r="UWN188" s="1016"/>
      <c r="UWO188" s="1016"/>
      <c r="UWP188" s="1016"/>
      <c r="UWQ188" s="1016"/>
      <c r="UWR188" s="1016"/>
      <c r="UWS188" s="1016"/>
      <c r="UWT188" s="1016"/>
      <c r="UWU188" s="1016"/>
      <c r="UWV188" s="1016"/>
      <c r="UWW188" s="1016"/>
      <c r="UWX188" s="1016"/>
      <c r="UWY188" s="1016"/>
      <c r="UWZ188" s="1016"/>
      <c r="UXA188" s="1016"/>
      <c r="UXB188" s="1016"/>
      <c r="UXC188" s="1016"/>
      <c r="UXD188" s="1016"/>
      <c r="UXE188" s="1016"/>
      <c r="UXF188" s="1016"/>
      <c r="UXG188" s="1016"/>
      <c r="UXH188" s="1016"/>
      <c r="UXI188" s="1016"/>
      <c r="UXJ188" s="1016"/>
      <c r="UXK188" s="1016"/>
      <c r="UXL188" s="1016"/>
      <c r="UXM188" s="1016"/>
      <c r="UXN188" s="1016"/>
      <c r="UXO188" s="1016"/>
      <c r="UXP188" s="1016"/>
      <c r="UXQ188" s="1016"/>
      <c r="UXR188" s="1016"/>
      <c r="UXS188" s="1016"/>
      <c r="UXT188" s="1016"/>
      <c r="UXU188" s="1016"/>
      <c r="UXV188" s="1016"/>
      <c r="UXW188" s="1016"/>
      <c r="UXX188" s="1016"/>
      <c r="UXY188" s="1016"/>
      <c r="UXZ188" s="1016"/>
      <c r="UYA188" s="1016"/>
      <c r="UYB188" s="1016"/>
      <c r="UYC188" s="1016"/>
      <c r="UYD188" s="1016"/>
      <c r="UYE188" s="1016"/>
      <c r="UYF188" s="1016"/>
      <c r="UYG188" s="1016"/>
      <c r="UYH188" s="1016"/>
      <c r="UYI188" s="1016"/>
      <c r="UYJ188" s="1016"/>
      <c r="UYK188" s="1016"/>
      <c r="UYL188" s="1016"/>
      <c r="UYM188" s="1016"/>
      <c r="UYN188" s="1016"/>
      <c r="UYO188" s="1016"/>
      <c r="UYP188" s="1016"/>
      <c r="UYQ188" s="1016"/>
      <c r="UYR188" s="1016"/>
      <c r="UYS188" s="1016"/>
      <c r="UYT188" s="1016"/>
      <c r="UYU188" s="1016"/>
      <c r="UYV188" s="1016"/>
      <c r="UYW188" s="1016"/>
      <c r="UYX188" s="1016"/>
      <c r="UYY188" s="1016"/>
      <c r="UYZ188" s="1016"/>
      <c r="UZA188" s="1016"/>
      <c r="UZB188" s="1016"/>
      <c r="UZC188" s="1016"/>
      <c r="UZD188" s="1016"/>
      <c r="UZE188" s="1016"/>
      <c r="UZF188" s="1016"/>
      <c r="UZG188" s="1016"/>
      <c r="UZH188" s="1016"/>
      <c r="UZI188" s="1016"/>
      <c r="UZJ188" s="1016"/>
      <c r="UZK188" s="1016"/>
      <c r="UZL188" s="1016"/>
      <c r="UZM188" s="1016"/>
      <c r="UZN188" s="1016"/>
      <c r="UZO188" s="1016"/>
      <c r="UZP188" s="1016"/>
      <c r="UZQ188" s="1016"/>
      <c r="UZR188" s="1016"/>
      <c r="UZS188" s="1016"/>
      <c r="UZT188" s="1016"/>
      <c r="UZU188" s="1016"/>
      <c r="UZV188" s="1016"/>
      <c r="UZW188" s="1016"/>
      <c r="UZX188" s="1016"/>
      <c r="UZY188" s="1016"/>
      <c r="UZZ188" s="1016"/>
      <c r="VAA188" s="1016"/>
      <c r="VAB188" s="1016"/>
      <c r="VAC188" s="1016"/>
      <c r="VAD188" s="1016"/>
      <c r="VAE188" s="1016"/>
      <c r="VAF188" s="1016"/>
      <c r="VAG188" s="1016"/>
      <c r="VAH188" s="1016"/>
      <c r="VAI188" s="1016"/>
      <c r="VAJ188" s="1016"/>
      <c r="VAK188" s="1016"/>
      <c r="VAL188" s="1016"/>
      <c r="VAM188" s="1016"/>
      <c r="VAN188" s="1016"/>
      <c r="VAO188" s="1016"/>
      <c r="VAP188" s="1016"/>
      <c r="VAQ188" s="1016"/>
      <c r="VAR188" s="1016"/>
      <c r="VAS188" s="1016"/>
      <c r="VAT188" s="1016"/>
      <c r="VAU188" s="1016"/>
      <c r="VAV188" s="1016"/>
      <c r="VAW188" s="1016"/>
      <c r="VAX188" s="1016"/>
      <c r="VAY188" s="1016"/>
      <c r="VAZ188" s="1016"/>
      <c r="VBA188" s="1016"/>
      <c r="VBB188" s="1016"/>
      <c r="VBC188" s="1016"/>
      <c r="VBD188" s="1016"/>
      <c r="VBE188" s="1016"/>
      <c r="VBF188" s="1016"/>
      <c r="VBG188" s="1016"/>
      <c r="VBH188" s="1016"/>
      <c r="VBI188" s="1016"/>
      <c r="VBJ188" s="1016"/>
      <c r="VBK188" s="1016"/>
      <c r="VBL188" s="1016"/>
      <c r="VBM188" s="1016"/>
      <c r="VBN188" s="1016"/>
      <c r="VBO188" s="1016"/>
      <c r="VBP188" s="1016"/>
      <c r="VBQ188" s="1016"/>
      <c r="VBR188" s="1016"/>
      <c r="VBS188" s="1016"/>
      <c r="VBT188" s="1016"/>
      <c r="VBU188" s="1016"/>
      <c r="VBV188" s="1016"/>
      <c r="VBW188" s="1016"/>
      <c r="VBX188" s="1016"/>
      <c r="VBY188" s="1016"/>
      <c r="VBZ188" s="1016"/>
      <c r="VCA188" s="1016"/>
      <c r="VCB188" s="1016"/>
      <c r="VCC188" s="1016"/>
      <c r="VCD188" s="1016"/>
      <c r="VCE188" s="1016"/>
      <c r="VCF188" s="1016"/>
      <c r="VCG188" s="1016"/>
      <c r="VCH188" s="1016"/>
      <c r="VCI188" s="1016"/>
      <c r="VCJ188" s="1016"/>
      <c r="VCK188" s="1016"/>
      <c r="VCL188" s="1016"/>
      <c r="VCM188" s="1016"/>
      <c r="VCN188" s="1016"/>
      <c r="VCO188" s="1016"/>
      <c r="VCP188" s="1016"/>
      <c r="VCQ188" s="1016"/>
      <c r="VCR188" s="1016"/>
      <c r="VCS188" s="1016"/>
      <c r="VCT188" s="1016"/>
      <c r="VCU188" s="1016"/>
      <c r="VCV188" s="1016"/>
      <c r="VCW188" s="1016"/>
      <c r="VCX188" s="1016"/>
      <c r="VCY188" s="1016"/>
      <c r="VCZ188" s="1016"/>
      <c r="VDA188" s="1016"/>
      <c r="VDB188" s="1016"/>
      <c r="VDC188" s="1016"/>
      <c r="VDD188" s="1016"/>
      <c r="VDE188" s="1016"/>
      <c r="VDF188" s="1016"/>
      <c r="VDG188" s="1016"/>
      <c r="VDH188" s="1016"/>
      <c r="VDI188" s="1016"/>
      <c r="VDJ188" s="1016"/>
      <c r="VDK188" s="1016"/>
      <c r="VDL188" s="1016"/>
      <c r="VDM188" s="1016"/>
      <c r="VDN188" s="1016"/>
      <c r="VDO188" s="1016"/>
      <c r="VDP188" s="1016"/>
      <c r="VDQ188" s="1016"/>
      <c r="VDR188" s="1016"/>
      <c r="VDS188" s="1016"/>
      <c r="VDT188" s="1016"/>
      <c r="VDU188" s="1016"/>
      <c r="VDV188" s="1016"/>
      <c r="VDW188" s="1016"/>
      <c r="VDX188" s="1016"/>
      <c r="VDY188" s="1016"/>
      <c r="VDZ188" s="1016"/>
      <c r="VEA188" s="1016"/>
      <c r="VEB188" s="1016"/>
      <c r="VEC188" s="1016"/>
      <c r="VED188" s="1016"/>
      <c r="VEE188" s="1016"/>
      <c r="VEF188" s="1016"/>
      <c r="VEG188" s="1016"/>
      <c r="VEH188" s="1016"/>
      <c r="VEI188" s="1016"/>
      <c r="VEJ188" s="1016"/>
      <c r="VEK188" s="1016"/>
      <c r="VEL188" s="1016"/>
      <c r="VEM188" s="1016"/>
      <c r="VEN188" s="1016"/>
      <c r="VEO188" s="1016"/>
      <c r="VEP188" s="1016"/>
      <c r="VEQ188" s="1016"/>
      <c r="VER188" s="1016"/>
      <c r="VES188" s="1016"/>
      <c r="VET188" s="1016"/>
      <c r="VEU188" s="1016"/>
      <c r="VEV188" s="1016"/>
      <c r="VEW188" s="1016"/>
      <c r="VEX188" s="1016"/>
      <c r="VEY188" s="1016"/>
      <c r="VEZ188" s="1016"/>
      <c r="VFA188" s="1016"/>
      <c r="VFB188" s="1016"/>
      <c r="VFC188" s="1016"/>
      <c r="VFD188" s="1016"/>
      <c r="VFE188" s="1016"/>
      <c r="VFF188" s="1016"/>
      <c r="VFG188" s="1016"/>
      <c r="VFH188" s="1016"/>
      <c r="VFI188" s="1016"/>
      <c r="VFJ188" s="1016"/>
      <c r="VFK188" s="1016"/>
      <c r="VFL188" s="1016"/>
      <c r="VFM188" s="1016"/>
      <c r="VFN188" s="1016"/>
      <c r="VFO188" s="1016"/>
      <c r="VFP188" s="1016"/>
      <c r="VFQ188" s="1016"/>
      <c r="VFR188" s="1016"/>
      <c r="VFS188" s="1016"/>
      <c r="VFT188" s="1016"/>
      <c r="VFU188" s="1016"/>
      <c r="VFV188" s="1016"/>
      <c r="VFW188" s="1016"/>
      <c r="VFX188" s="1016"/>
      <c r="VFY188" s="1016"/>
      <c r="VFZ188" s="1016"/>
      <c r="VGA188" s="1016"/>
      <c r="VGB188" s="1016"/>
      <c r="VGC188" s="1016"/>
      <c r="VGD188" s="1016"/>
      <c r="VGE188" s="1016"/>
      <c r="VGF188" s="1016"/>
      <c r="VGG188" s="1016"/>
      <c r="VGH188" s="1016"/>
      <c r="VGI188" s="1016"/>
      <c r="VGJ188" s="1016"/>
      <c r="VGK188" s="1016"/>
      <c r="VGL188" s="1016"/>
      <c r="VGM188" s="1016"/>
      <c r="VGN188" s="1016"/>
      <c r="VGO188" s="1016"/>
      <c r="VGP188" s="1016"/>
      <c r="VGQ188" s="1016"/>
      <c r="VGR188" s="1016"/>
      <c r="VGS188" s="1016"/>
      <c r="VGT188" s="1016"/>
      <c r="VGU188" s="1016"/>
      <c r="VGV188" s="1016"/>
      <c r="VGW188" s="1016"/>
      <c r="VGX188" s="1016"/>
      <c r="VGY188" s="1016"/>
      <c r="VGZ188" s="1016"/>
      <c r="VHA188" s="1016"/>
      <c r="VHB188" s="1016"/>
      <c r="VHC188" s="1016"/>
      <c r="VHD188" s="1016"/>
      <c r="VHE188" s="1016"/>
      <c r="VHF188" s="1016"/>
      <c r="VHG188" s="1016"/>
      <c r="VHH188" s="1016"/>
      <c r="VHI188" s="1016"/>
      <c r="VHJ188" s="1016"/>
      <c r="VHK188" s="1016"/>
      <c r="VHL188" s="1016"/>
      <c r="VHM188" s="1016"/>
      <c r="VHN188" s="1016"/>
      <c r="VHO188" s="1016"/>
      <c r="VHP188" s="1016"/>
      <c r="VHQ188" s="1016"/>
      <c r="VHR188" s="1016"/>
      <c r="VHS188" s="1016"/>
      <c r="VHT188" s="1016"/>
      <c r="VHU188" s="1016"/>
      <c r="VHV188" s="1016"/>
      <c r="VHW188" s="1016"/>
      <c r="VHX188" s="1016"/>
      <c r="VHY188" s="1016"/>
      <c r="VHZ188" s="1016"/>
      <c r="VIA188" s="1016"/>
      <c r="VIB188" s="1016"/>
      <c r="VIC188" s="1016"/>
      <c r="VID188" s="1016"/>
      <c r="VIE188" s="1016"/>
      <c r="VIF188" s="1016"/>
      <c r="VIG188" s="1016"/>
      <c r="VIH188" s="1016"/>
      <c r="VII188" s="1016"/>
      <c r="VIJ188" s="1016"/>
      <c r="VIK188" s="1016"/>
      <c r="VIL188" s="1016"/>
      <c r="VIM188" s="1016"/>
      <c r="VIN188" s="1016"/>
      <c r="VIO188" s="1016"/>
      <c r="VIP188" s="1016"/>
      <c r="VIQ188" s="1016"/>
      <c r="VIR188" s="1016"/>
      <c r="VIS188" s="1016"/>
      <c r="VIT188" s="1016"/>
      <c r="VIU188" s="1016"/>
      <c r="VIV188" s="1016"/>
      <c r="VIW188" s="1016"/>
      <c r="VIX188" s="1016"/>
      <c r="VIY188" s="1016"/>
      <c r="VIZ188" s="1016"/>
      <c r="VJA188" s="1016"/>
      <c r="VJB188" s="1016"/>
      <c r="VJC188" s="1016"/>
      <c r="VJD188" s="1016"/>
      <c r="VJE188" s="1016"/>
      <c r="VJF188" s="1016"/>
      <c r="VJG188" s="1016"/>
      <c r="VJH188" s="1016"/>
      <c r="VJI188" s="1016"/>
      <c r="VJJ188" s="1016"/>
      <c r="VJK188" s="1016"/>
      <c r="VJL188" s="1016"/>
      <c r="VJM188" s="1016"/>
      <c r="VJN188" s="1016"/>
      <c r="VJO188" s="1016"/>
      <c r="VJP188" s="1016"/>
      <c r="VJQ188" s="1016"/>
      <c r="VJR188" s="1016"/>
      <c r="VJS188" s="1016"/>
      <c r="VJT188" s="1016"/>
      <c r="VJU188" s="1016"/>
      <c r="VJV188" s="1016"/>
      <c r="VJW188" s="1016"/>
      <c r="VJX188" s="1016"/>
      <c r="VJY188" s="1016"/>
      <c r="VJZ188" s="1016"/>
      <c r="VKA188" s="1016"/>
      <c r="VKB188" s="1016"/>
      <c r="VKC188" s="1016"/>
      <c r="VKD188" s="1016"/>
      <c r="VKE188" s="1016"/>
      <c r="VKF188" s="1016"/>
      <c r="VKG188" s="1016"/>
      <c r="VKH188" s="1016"/>
      <c r="VKI188" s="1016"/>
      <c r="VKJ188" s="1016"/>
      <c r="VKK188" s="1016"/>
      <c r="VKL188" s="1016"/>
      <c r="VKM188" s="1016"/>
      <c r="VKN188" s="1016"/>
      <c r="VKO188" s="1016"/>
      <c r="VKP188" s="1016"/>
      <c r="VKQ188" s="1016"/>
      <c r="VKR188" s="1016"/>
      <c r="VKS188" s="1016"/>
      <c r="VKT188" s="1016"/>
      <c r="VKU188" s="1016"/>
      <c r="VKV188" s="1016"/>
      <c r="VKW188" s="1016"/>
      <c r="VKX188" s="1016"/>
      <c r="VKY188" s="1016"/>
      <c r="VKZ188" s="1016"/>
      <c r="VLA188" s="1016"/>
      <c r="VLB188" s="1016"/>
      <c r="VLC188" s="1016"/>
      <c r="VLD188" s="1016"/>
      <c r="VLE188" s="1016"/>
      <c r="VLF188" s="1016"/>
      <c r="VLG188" s="1016"/>
      <c r="VLH188" s="1016"/>
      <c r="VLI188" s="1016"/>
      <c r="VLJ188" s="1016"/>
      <c r="VLK188" s="1016"/>
      <c r="VLL188" s="1016"/>
      <c r="VLM188" s="1016"/>
      <c r="VLN188" s="1016"/>
      <c r="VLO188" s="1016"/>
      <c r="VLP188" s="1016"/>
      <c r="VLQ188" s="1016"/>
      <c r="VLR188" s="1016"/>
      <c r="VLS188" s="1016"/>
      <c r="VLT188" s="1016"/>
      <c r="VLU188" s="1016"/>
      <c r="VLV188" s="1016"/>
      <c r="VLW188" s="1016"/>
      <c r="VLX188" s="1016"/>
      <c r="VLY188" s="1016"/>
      <c r="VLZ188" s="1016"/>
      <c r="VMA188" s="1016"/>
      <c r="VMB188" s="1016"/>
      <c r="VMC188" s="1016"/>
      <c r="VMD188" s="1016"/>
      <c r="VME188" s="1016"/>
      <c r="VMF188" s="1016"/>
      <c r="VMG188" s="1016"/>
      <c r="VMH188" s="1016"/>
      <c r="VMI188" s="1016"/>
      <c r="VMJ188" s="1016"/>
      <c r="VMK188" s="1016"/>
      <c r="VML188" s="1016"/>
      <c r="VMM188" s="1016"/>
      <c r="VMN188" s="1016"/>
      <c r="VMO188" s="1016"/>
      <c r="VMP188" s="1016"/>
      <c r="VMQ188" s="1016"/>
      <c r="VMR188" s="1016"/>
      <c r="VMS188" s="1016"/>
      <c r="VMT188" s="1016"/>
      <c r="VMU188" s="1016"/>
      <c r="VMV188" s="1016"/>
      <c r="VMW188" s="1016"/>
      <c r="VMX188" s="1016"/>
      <c r="VMY188" s="1016"/>
      <c r="VMZ188" s="1016"/>
      <c r="VNA188" s="1016"/>
      <c r="VNB188" s="1016"/>
      <c r="VNC188" s="1016"/>
      <c r="VND188" s="1016"/>
      <c r="VNE188" s="1016"/>
      <c r="VNF188" s="1016"/>
      <c r="VNG188" s="1016"/>
      <c r="VNH188" s="1016"/>
      <c r="VNI188" s="1016"/>
      <c r="VNJ188" s="1016"/>
      <c r="VNK188" s="1016"/>
      <c r="VNL188" s="1016"/>
      <c r="VNM188" s="1016"/>
      <c r="VNN188" s="1016"/>
      <c r="VNO188" s="1016"/>
      <c r="VNP188" s="1016"/>
      <c r="VNQ188" s="1016"/>
      <c r="VNR188" s="1016"/>
      <c r="VNS188" s="1016"/>
      <c r="VNT188" s="1016"/>
      <c r="VNU188" s="1016"/>
      <c r="VNV188" s="1016"/>
      <c r="VNW188" s="1016"/>
      <c r="VNX188" s="1016"/>
      <c r="VNY188" s="1016"/>
      <c r="VNZ188" s="1016"/>
      <c r="VOA188" s="1016"/>
      <c r="VOB188" s="1016"/>
      <c r="VOC188" s="1016"/>
      <c r="VOD188" s="1016"/>
      <c r="VOE188" s="1016"/>
      <c r="VOF188" s="1016"/>
      <c r="VOG188" s="1016"/>
      <c r="VOH188" s="1016"/>
      <c r="VOI188" s="1016"/>
      <c r="VOJ188" s="1016"/>
      <c r="VOK188" s="1016"/>
      <c r="VOL188" s="1016"/>
      <c r="VOM188" s="1016"/>
      <c r="VON188" s="1016"/>
      <c r="VOO188" s="1016"/>
      <c r="VOP188" s="1016"/>
      <c r="VOQ188" s="1016"/>
      <c r="VOR188" s="1016"/>
      <c r="VOS188" s="1016"/>
      <c r="VOT188" s="1016"/>
      <c r="VOU188" s="1016"/>
      <c r="VOV188" s="1016"/>
      <c r="VOW188" s="1016"/>
      <c r="VOX188" s="1016"/>
      <c r="VOY188" s="1016"/>
      <c r="VOZ188" s="1016"/>
      <c r="VPA188" s="1016"/>
      <c r="VPB188" s="1016"/>
      <c r="VPC188" s="1016"/>
      <c r="VPD188" s="1016"/>
      <c r="VPE188" s="1016"/>
      <c r="VPF188" s="1016"/>
      <c r="VPG188" s="1016"/>
      <c r="VPH188" s="1016"/>
      <c r="VPI188" s="1016"/>
      <c r="VPJ188" s="1016"/>
      <c r="VPK188" s="1016"/>
      <c r="VPL188" s="1016"/>
      <c r="VPM188" s="1016"/>
      <c r="VPN188" s="1016"/>
      <c r="VPO188" s="1016"/>
      <c r="VPP188" s="1016"/>
      <c r="VPQ188" s="1016"/>
      <c r="VPR188" s="1016"/>
      <c r="VPS188" s="1016"/>
      <c r="VPT188" s="1016"/>
      <c r="VPU188" s="1016"/>
      <c r="VPV188" s="1016"/>
      <c r="VPW188" s="1016"/>
      <c r="VPX188" s="1016"/>
      <c r="VPY188" s="1016"/>
      <c r="VPZ188" s="1016"/>
      <c r="VQA188" s="1016"/>
      <c r="VQB188" s="1016"/>
      <c r="VQC188" s="1016"/>
      <c r="VQD188" s="1016"/>
      <c r="VQE188" s="1016"/>
      <c r="VQF188" s="1016"/>
      <c r="VQG188" s="1016"/>
      <c r="VQH188" s="1016"/>
      <c r="VQI188" s="1016"/>
      <c r="VQJ188" s="1016"/>
      <c r="VQK188" s="1016"/>
      <c r="VQL188" s="1016"/>
      <c r="VQM188" s="1016"/>
      <c r="VQN188" s="1016"/>
      <c r="VQO188" s="1016"/>
      <c r="VQP188" s="1016"/>
      <c r="VQQ188" s="1016"/>
      <c r="VQR188" s="1016"/>
      <c r="VQS188" s="1016"/>
      <c r="VQT188" s="1016"/>
      <c r="VQU188" s="1016"/>
      <c r="VQV188" s="1016"/>
      <c r="VQW188" s="1016"/>
      <c r="VQX188" s="1016"/>
      <c r="VQY188" s="1016"/>
      <c r="VQZ188" s="1016"/>
      <c r="VRA188" s="1016"/>
      <c r="VRB188" s="1016"/>
      <c r="VRC188" s="1016"/>
      <c r="VRD188" s="1016"/>
      <c r="VRE188" s="1016"/>
      <c r="VRF188" s="1016"/>
      <c r="VRG188" s="1016"/>
      <c r="VRH188" s="1016"/>
      <c r="VRI188" s="1016"/>
      <c r="VRJ188" s="1016"/>
      <c r="VRK188" s="1016"/>
      <c r="VRL188" s="1016"/>
      <c r="VRM188" s="1016"/>
      <c r="VRN188" s="1016"/>
      <c r="VRO188" s="1016"/>
      <c r="VRP188" s="1016"/>
      <c r="VRQ188" s="1016"/>
      <c r="VRR188" s="1016"/>
      <c r="VRS188" s="1016"/>
      <c r="VRT188" s="1016"/>
      <c r="VRU188" s="1016"/>
      <c r="VRV188" s="1016"/>
      <c r="VRW188" s="1016"/>
      <c r="VRX188" s="1016"/>
      <c r="VRY188" s="1016"/>
      <c r="VRZ188" s="1016"/>
      <c r="VSA188" s="1016"/>
      <c r="VSB188" s="1016"/>
      <c r="VSC188" s="1016"/>
      <c r="VSD188" s="1016"/>
      <c r="VSE188" s="1016"/>
      <c r="VSF188" s="1016"/>
      <c r="VSG188" s="1016"/>
      <c r="VSH188" s="1016"/>
      <c r="VSI188" s="1016"/>
      <c r="VSJ188" s="1016"/>
      <c r="VSK188" s="1016"/>
      <c r="VSL188" s="1016"/>
      <c r="VSM188" s="1016"/>
      <c r="VSN188" s="1016"/>
      <c r="VSO188" s="1016"/>
      <c r="VSP188" s="1016"/>
      <c r="VSQ188" s="1016"/>
      <c r="VSR188" s="1016"/>
      <c r="VSS188" s="1016"/>
      <c r="VST188" s="1016"/>
      <c r="VSU188" s="1016"/>
      <c r="VSV188" s="1016"/>
      <c r="VSW188" s="1016"/>
      <c r="VSX188" s="1016"/>
      <c r="VSY188" s="1016"/>
      <c r="VSZ188" s="1016"/>
      <c r="VTA188" s="1016"/>
      <c r="VTB188" s="1016"/>
      <c r="VTC188" s="1016"/>
      <c r="VTD188" s="1016"/>
      <c r="VTE188" s="1016"/>
      <c r="VTF188" s="1016"/>
      <c r="VTG188" s="1016"/>
      <c r="VTH188" s="1016"/>
      <c r="VTI188" s="1016"/>
      <c r="VTJ188" s="1016"/>
      <c r="VTK188" s="1016"/>
      <c r="VTL188" s="1016"/>
      <c r="VTM188" s="1016"/>
      <c r="VTN188" s="1016"/>
      <c r="VTO188" s="1016"/>
      <c r="VTP188" s="1016"/>
      <c r="VTQ188" s="1016"/>
      <c r="VTR188" s="1016"/>
      <c r="VTS188" s="1016"/>
      <c r="VTT188" s="1016"/>
      <c r="VTU188" s="1016"/>
      <c r="VTV188" s="1016"/>
      <c r="VTW188" s="1016"/>
      <c r="VTX188" s="1016"/>
      <c r="VTY188" s="1016"/>
      <c r="VTZ188" s="1016"/>
      <c r="VUA188" s="1016"/>
      <c r="VUB188" s="1016"/>
      <c r="VUC188" s="1016"/>
      <c r="VUD188" s="1016"/>
      <c r="VUE188" s="1016"/>
      <c r="VUF188" s="1016"/>
      <c r="VUG188" s="1016"/>
      <c r="VUH188" s="1016"/>
      <c r="VUI188" s="1016"/>
      <c r="VUJ188" s="1016"/>
      <c r="VUK188" s="1016"/>
      <c r="VUL188" s="1016"/>
      <c r="VUM188" s="1016"/>
      <c r="VUN188" s="1016"/>
      <c r="VUO188" s="1016"/>
      <c r="VUP188" s="1016"/>
      <c r="VUQ188" s="1016"/>
      <c r="VUR188" s="1016"/>
      <c r="VUS188" s="1016"/>
      <c r="VUT188" s="1016"/>
      <c r="VUU188" s="1016"/>
      <c r="VUV188" s="1016"/>
      <c r="VUW188" s="1016"/>
      <c r="VUX188" s="1016"/>
      <c r="VUY188" s="1016"/>
      <c r="VUZ188" s="1016"/>
      <c r="VVA188" s="1016"/>
      <c r="VVB188" s="1016"/>
      <c r="VVC188" s="1016"/>
      <c r="VVD188" s="1016"/>
      <c r="VVE188" s="1016"/>
      <c r="VVF188" s="1016"/>
      <c r="VVG188" s="1016"/>
      <c r="VVH188" s="1016"/>
      <c r="VVI188" s="1016"/>
      <c r="VVJ188" s="1016"/>
      <c r="VVK188" s="1016"/>
      <c r="VVL188" s="1016"/>
      <c r="VVM188" s="1016"/>
      <c r="VVN188" s="1016"/>
      <c r="VVO188" s="1016"/>
      <c r="VVP188" s="1016"/>
      <c r="VVQ188" s="1016"/>
      <c r="VVR188" s="1016"/>
      <c r="VVS188" s="1016"/>
      <c r="VVT188" s="1016"/>
      <c r="VVU188" s="1016"/>
      <c r="VVV188" s="1016"/>
      <c r="VVW188" s="1016"/>
      <c r="VVX188" s="1016"/>
      <c r="VVY188" s="1016"/>
      <c r="VVZ188" s="1016"/>
      <c r="VWA188" s="1016"/>
      <c r="VWB188" s="1016"/>
      <c r="VWC188" s="1016"/>
      <c r="VWD188" s="1016"/>
      <c r="VWE188" s="1016"/>
      <c r="VWF188" s="1016"/>
      <c r="VWG188" s="1016"/>
      <c r="VWH188" s="1016"/>
      <c r="VWI188" s="1016"/>
      <c r="VWJ188" s="1016"/>
      <c r="VWK188" s="1016"/>
      <c r="VWL188" s="1016"/>
      <c r="VWM188" s="1016"/>
      <c r="VWN188" s="1016"/>
      <c r="VWO188" s="1016"/>
      <c r="VWP188" s="1016"/>
      <c r="VWQ188" s="1016"/>
      <c r="VWR188" s="1016"/>
      <c r="VWS188" s="1016"/>
      <c r="VWT188" s="1016"/>
      <c r="VWU188" s="1016"/>
      <c r="VWV188" s="1016"/>
      <c r="VWW188" s="1016"/>
      <c r="VWX188" s="1016"/>
      <c r="VWY188" s="1016"/>
      <c r="VWZ188" s="1016"/>
      <c r="VXA188" s="1016"/>
      <c r="VXB188" s="1016"/>
      <c r="VXC188" s="1016"/>
      <c r="VXD188" s="1016"/>
      <c r="VXE188" s="1016"/>
      <c r="VXF188" s="1016"/>
      <c r="VXG188" s="1016"/>
      <c r="VXH188" s="1016"/>
      <c r="VXI188" s="1016"/>
      <c r="VXJ188" s="1016"/>
      <c r="VXK188" s="1016"/>
      <c r="VXL188" s="1016"/>
      <c r="VXM188" s="1016"/>
      <c r="VXN188" s="1016"/>
      <c r="VXO188" s="1016"/>
      <c r="VXP188" s="1016"/>
      <c r="VXQ188" s="1016"/>
      <c r="VXR188" s="1016"/>
      <c r="VXS188" s="1016"/>
      <c r="VXT188" s="1016"/>
      <c r="VXU188" s="1016"/>
      <c r="VXV188" s="1016"/>
      <c r="VXW188" s="1016"/>
      <c r="VXX188" s="1016"/>
      <c r="VXY188" s="1016"/>
      <c r="VXZ188" s="1016"/>
      <c r="VYA188" s="1016"/>
      <c r="VYB188" s="1016"/>
      <c r="VYC188" s="1016"/>
      <c r="VYD188" s="1016"/>
      <c r="VYE188" s="1016"/>
      <c r="VYF188" s="1016"/>
      <c r="VYG188" s="1016"/>
      <c r="VYH188" s="1016"/>
      <c r="VYI188" s="1016"/>
      <c r="VYJ188" s="1016"/>
      <c r="VYK188" s="1016"/>
      <c r="VYL188" s="1016"/>
      <c r="VYM188" s="1016"/>
      <c r="VYN188" s="1016"/>
      <c r="VYO188" s="1016"/>
      <c r="VYP188" s="1016"/>
      <c r="VYQ188" s="1016"/>
      <c r="VYR188" s="1016"/>
      <c r="VYS188" s="1016"/>
      <c r="VYT188" s="1016"/>
      <c r="VYU188" s="1016"/>
      <c r="VYV188" s="1016"/>
      <c r="VYW188" s="1016"/>
      <c r="VYX188" s="1016"/>
      <c r="VYY188" s="1016"/>
      <c r="VYZ188" s="1016"/>
      <c r="VZA188" s="1016"/>
      <c r="VZB188" s="1016"/>
      <c r="VZC188" s="1016"/>
      <c r="VZD188" s="1016"/>
      <c r="VZE188" s="1016"/>
      <c r="VZF188" s="1016"/>
      <c r="VZG188" s="1016"/>
      <c r="VZH188" s="1016"/>
      <c r="VZI188" s="1016"/>
      <c r="VZJ188" s="1016"/>
      <c r="VZK188" s="1016"/>
      <c r="VZL188" s="1016"/>
      <c r="VZM188" s="1016"/>
      <c r="VZN188" s="1016"/>
      <c r="VZO188" s="1016"/>
      <c r="VZP188" s="1016"/>
      <c r="VZQ188" s="1016"/>
      <c r="VZR188" s="1016"/>
      <c r="VZS188" s="1016"/>
      <c r="VZT188" s="1016"/>
      <c r="VZU188" s="1016"/>
      <c r="VZV188" s="1016"/>
      <c r="VZW188" s="1016"/>
      <c r="VZX188" s="1016"/>
      <c r="VZY188" s="1016"/>
      <c r="VZZ188" s="1016"/>
      <c r="WAA188" s="1016"/>
      <c r="WAB188" s="1016"/>
      <c r="WAC188" s="1016"/>
      <c r="WAD188" s="1016"/>
      <c r="WAE188" s="1016"/>
      <c r="WAF188" s="1016"/>
      <c r="WAG188" s="1016"/>
      <c r="WAH188" s="1016"/>
      <c r="WAI188" s="1016"/>
      <c r="WAJ188" s="1016"/>
      <c r="WAK188" s="1016"/>
      <c r="WAL188" s="1016"/>
      <c r="WAM188" s="1016"/>
      <c r="WAN188" s="1016"/>
      <c r="WAO188" s="1016"/>
      <c r="WAP188" s="1016"/>
      <c r="WAQ188" s="1016"/>
      <c r="WAR188" s="1016"/>
      <c r="WAS188" s="1016"/>
      <c r="WAT188" s="1016"/>
      <c r="WAU188" s="1016"/>
      <c r="WAV188" s="1016"/>
      <c r="WAW188" s="1016"/>
      <c r="WAX188" s="1016"/>
      <c r="WAY188" s="1016"/>
      <c r="WAZ188" s="1016"/>
      <c r="WBA188" s="1016"/>
      <c r="WBB188" s="1016"/>
      <c r="WBC188" s="1016"/>
      <c r="WBD188" s="1016"/>
      <c r="WBE188" s="1016"/>
      <c r="WBF188" s="1016"/>
      <c r="WBG188" s="1016"/>
      <c r="WBH188" s="1016"/>
      <c r="WBI188" s="1016"/>
      <c r="WBJ188" s="1016"/>
      <c r="WBK188" s="1016"/>
      <c r="WBL188" s="1016"/>
      <c r="WBM188" s="1016"/>
      <c r="WBN188" s="1016"/>
      <c r="WBO188" s="1016"/>
      <c r="WBP188" s="1016"/>
      <c r="WBQ188" s="1016"/>
      <c r="WBR188" s="1016"/>
      <c r="WBS188" s="1016"/>
      <c r="WBT188" s="1016"/>
      <c r="WBU188" s="1016"/>
      <c r="WBV188" s="1016"/>
      <c r="WBW188" s="1016"/>
      <c r="WBX188" s="1016"/>
      <c r="WBY188" s="1016"/>
      <c r="WBZ188" s="1016"/>
      <c r="WCA188" s="1016"/>
      <c r="WCB188" s="1016"/>
      <c r="WCC188" s="1016"/>
      <c r="WCD188" s="1016"/>
      <c r="WCE188" s="1016"/>
      <c r="WCF188" s="1016"/>
      <c r="WCG188" s="1016"/>
      <c r="WCH188" s="1016"/>
      <c r="WCI188" s="1016"/>
      <c r="WCJ188" s="1016"/>
      <c r="WCK188" s="1016"/>
      <c r="WCL188" s="1016"/>
      <c r="WCM188" s="1016"/>
      <c r="WCN188" s="1016"/>
      <c r="WCO188" s="1016"/>
      <c r="WCP188" s="1016"/>
      <c r="WCQ188" s="1016"/>
      <c r="WCR188" s="1016"/>
      <c r="WCS188" s="1016"/>
      <c r="WCT188" s="1016"/>
      <c r="WCU188" s="1016"/>
      <c r="WCV188" s="1016"/>
      <c r="WCW188" s="1016"/>
      <c r="WCX188" s="1016"/>
      <c r="WCY188" s="1016"/>
      <c r="WCZ188" s="1016"/>
      <c r="WDA188" s="1016"/>
      <c r="WDB188" s="1016"/>
      <c r="WDC188" s="1016"/>
      <c r="WDD188" s="1016"/>
      <c r="WDE188" s="1016"/>
      <c r="WDF188" s="1016"/>
      <c r="WDG188" s="1016"/>
      <c r="WDH188" s="1016"/>
      <c r="WDI188" s="1016"/>
      <c r="WDJ188" s="1016"/>
      <c r="WDK188" s="1016"/>
      <c r="WDL188" s="1016"/>
      <c r="WDM188" s="1016"/>
      <c r="WDN188" s="1016"/>
      <c r="WDO188" s="1016"/>
      <c r="WDP188" s="1016"/>
      <c r="WDQ188" s="1016"/>
      <c r="WDR188" s="1016"/>
      <c r="WDS188" s="1016"/>
      <c r="WDT188" s="1016"/>
      <c r="WDU188" s="1016"/>
      <c r="WDV188" s="1016"/>
      <c r="WDW188" s="1016"/>
      <c r="WDX188" s="1016"/>
      <c r="WDY188" s="1016"/>
      <c r="WDZ188" s="1016"/>
      <c r="WEA188" s="1016"/>
      <c r="WEB188" s="1016"/>
      <c r="WEC188" s="1016"/>
      <c r="WED188" s="1016"/>
      <c r="WEE188" s="1016"/>
      <c r="WEF188" s="1016"/>
      <c r="WEG188" s="1016"/>
      <c r="WEH188" s="1016"/>
      <c r="WEI188" s="1016"/>
      <c r="WEJ188" s="1016"/>
      <c r="WEK188" s="1016"/>
      <c r="WEL188" s="1016"/>
      <c r="WEM188" s="1016"/>
      <c r="WEN188" s="1016"/>
      <c r="WEO188" s="1016"/>
      <c r="WEP188" s="1016"/>
      <c r="WEQ188" s="1016"/>
      <c r="WER188" s="1016"/>
      <c r="WES188" s="1016"/>
      <c r="WET188" s="1016"/>
      <c r="WEU188" s="1016"/>
      <c r="WEV188" s="1016"/>
      <c r="WEW188" s="1016"/>
      <c r="WEX188" s="1016"/>
      <c r="WEY188" s="1016"/>
      <c r="WEZ188" s="1016"/>
      <c r="WFA188" s="1016"/>
      <c r="WFB188" s="1016"/>
      <c r="WFC188" s="1016"/>
      <c r="WFD188" s="1016"/>
      <c r="WFE188" s="1016"/>
      <c r="WFF188" s="1016"/>
      <c r="WFG188" s="1016"/>
      <c r="WFH188" s="1016"/>
      <c r="WFI188" s="1016"/>
      <c r="WFJ188" s="1016"/>
      <c r="WFK188" s="1016"/>
      <c r="WFL188" s="1016"/>
      <c r="WFM188" s="1016"/>
      <c r="WFN188" s="1016"/>
      <c r="WFO188" s="1016"/>
      <c r="WFP188" s="1016"/>
      <c r="WFQ188" s="1016"/>
      <c r="WFR188" s="1016"/>
      <c r="WFS188" s="1016"/>
      <c r="WFT188" s="1016"/>
      <c r="WFU188" s="1016"/>
      <c r="WFV188" s="1016"/>
      <c r="WFW188" s="1016"/>
      <c r="WFX188" s="1016"/>
      <c r="WFY188" s="1016"/>
      <c r="WFZ188" s="1016"/>
      <c r="WGA188" s="1016"/>
      <c r="WGB188" s="1016"/>
      <c r="WGC188" s="1016"/>
      <c r="WGD188" s="1016"/>
      <c r="WGE188" s="1016"/>
      <c r="WGF188" s="1016"/>
      <c r="WGG188" s="1016"/>
      <c r="WGH188" s="1016"/>
      <c r="WGI188" s="1016"/>
      <c r="WGJ188" s="1016"/>
      <c r="WGK188" s="1016"/>
      <c r="WGL188" s="1016"/>
      <c r="WGM188" s="1016"/>
      <c r="WGN188" s="1016"/>
      <c r="WGO188" s="1016"/>
      <c r="WGP188" s="1016"/>
      <c r="WGQ188" s="1016"/>
      <c r="WGR188" s="1016"/>
      <c r="WGS188" s="1016"/>
      <c r="WGT188" s="1016"/>
      <c r="WGU188" s="1016"/>
      <c r="WGV188" s="1016"/>
      <c r="WGW188" s="1016"/>
      <c r="WGX188" s="1016"/>
      <c r="WGY188" s="1016"/>
      <c r="WGZ188" s="1016"/>
      <c r="WHA188" s="1016"/>
      <c r="WHB188" s="1016"/>
      <c r="WHC188" s="1016"/>
      <c r="WHD188" s="1016"/>
      <c r="WHE188" s="1016"/>
      <c r="WHF188" s="1016"/>
      <c r="WHG188" s="1016"/>
      <c r="WHH188" s="1016"/>
      <c r="WHI188" s="1016"/>
      <c r="WHJ188" s="1016"/>
      <c r="WHK188" s="1016"/>
      <c r="WHL188" s="1016"/>
      <c r="WHM188" s="1016"/>
      <c r="WHN188" s="1016"/>
      <c r="WHO188" s="1016"/>
      <c r="WHP188" s="1016"/>
      <c r="WHQ188" s="1016"/>
      <c r="WHR188" s="1016"/>
      <c r="WHS188" s="1016"/>
      <c r="WHT188" s="1016"/>
      <c r="WHU188" s="1016"/>
      <c r="WHV188" s="1016"/>
      <c r="WHW188" s="1016"/>
      <c r="WHX188" s="1016"/>
      <c r="WHY188" s="1016"/>
      <c r="WHZ188" s="1016"/>
      <c r="WIA188" s="1016"/>
      <c r="WIB188" s="1016"/>
      <c r="WIC188" s="1016"/>
      <c r="WID188" s="1016"/>
      <c r="WIE188" s="1016"/>
      <c r="WIF188" s="1016"/>
      <c r="WIG188" s="1016"/>
      <c r="WIH188" s="1016"/>
      <c r="WII188" s="1016"/>
      <c r="WIJ188" s="1016"/>
      <c r="WIK188" s="1016"/>
      <c r="WIL188" s="1016"/>
      <c r="WIM188" s="1016"/>
      <c r="WIN188" s="1016"/>
      <c r="WIO188" s="1016"/>
      <c r="WIP188" s="1016"/>
      <c r="WIQ188" s="1016"/>
      <c r="WIR188" s="1016"/>
      <c r="WIS188" s="1016"/>
      <c r="WIT188" s="1016"/>
      <c r="WIU188" s="1016"/>
      <c r="WIV188" s="1016"/>
      <c r="WIW188" s="1016"/>
      <c r="WIX188" s="1016"/>
      <c r="WIY188" s="1016"/>
      <c r="WIZ188" s="1016"/>
      <c r="WJA188" s="1016"/>
      <c r="WJB188" s="1016"/>
      <c r="WJC188" s="1016"/>
      <c r="WJD188" s="1016"/>
      <c r="WJE188" s="1016"/>
      <c r="WJF188" s="1016"/>
      <c r="WJG188" s="1016"/>
      <c r="WJH188" s="1016"/>
      <c r="WJI188" s="1016"/>
      <c r="WJJ188" s="1016"/>
      <c r="WJK188" s="1016"/>
      <c r="WJL188" s="1016"/>
      <c r="WJM188" s="1016"/>
      <c r="WJN188" s="1016"/>
      <c r="WJO188" s="1016"/>
      <c r="WJP188" s="1016"/>
      <c r="WJQ188" s="1016"/>
      <c r="WJR188" s="1016"/>
      <c r="WJS188" s="1016"/>
      <c r="WJT188" s="1016"/>
      <c r="WJU188" s="1016"/>
      <c r="WJV188" s="1016"/>
      <c r="WJW188" s="1016"/>
      <c r="WJX188" s="1016"/>
      <c r="WJY188" s="1016"/>
      <c r="WJZ188" s="1016"/>
      <c r="WKA188" s="1016"/>
      <c r="WKB188" s="1016"/>
      <c r="WKC188" s="1016"/>
      <c r="WKD188" s="1016"/>
      <c r="WKE188" s="1016"/>
      <c r="WKF188" s="1016"/>
      <c r="WKG188" s="1016"/>
      <c r="WKH188" s="1016"/>
      <c r="WKI188" s="1016"/>
      <c r="WKJ188" s="1016"/>
      <c r="WKK188" s="1016"/>
      <c r="WKL188" s="1016"/>
      <c r="WKM188" s="1016"/>
      <c r="WKN188" s="1016"/>
      <c r="WKO188" s="1016"/>
      <c r="WKP188" s="1016"/>
      <c r="WKQ188" s="1016"/>
      <c r="WKR188" s="1016"/>
      <c r="WKS188" s="1016"/>
      <c r="WKT188" s="1016"/>
      <c r="WKU188" s="1016"/>
      <c r="WKV188" s="1016"/>
      <c r="WKW188" s="1016"/>
      <c r="WKX188" s="1016"/>
      <c r="WKY188" s="1016"/>
      <c r="WKZ188" s="1016"/>
      <c r="WLA188" s="1016"/>
      <c r="WLB188" s="1016"/>
      <c r="WLC188" s="1016"/>
      <c r="WLD188" s="1016"/>
      <c r="WLE188" s="1016"/>
      <c r="WLF188" s="1016"/>
      <c r="WLG188" s="1016"/>
      <c r="WLH188" s="1016"/>
      <c r="WLI188" s="1016"/>
      <c r="WLJ188" s="1016"/>
      <c r="WLK188" s="1016"/>
      <c r="WLL188" s="1016"/>
      <c r="WLM188" s="1016"/>
      <c r="WLN188" s="1016"/>
      <c r="WLO188" s="1016"/>
      <c r="WLP188" s="1016"/>
      <c r="WLQ188" s="1016"/>
      <c r="WLR188" s="1016"/>
      <c r="WLS188" s="1016"/>
      <c r="WLT188" s="1016"/>
      <c r="WLU188" s="1016"/>
      <c r="WLV188" s="1016"/>
      <c r="WLW188" s="1016"/>
      <c r="WLX188" s="1016"/>
      <c r="WLY188" s="1016"/>
      <c r="WLZ188" s="1016"/>
      <c r="WMA188" s="1016"/>
      <c r="WMB188" s="1016"/>
      <c r="WMC188" s="1016"/>
      <c r="WMD188" s="1016"/>
      <c r="WME188" s="1016"/>
      <c r="WMF188" s="1016"/>
      <c r="WMG188" s="1016"/>
      <c r="WMH188" s="1016"/>
      <c r="WMI188" s="1016"/>
      <c r="WMJ188" s="1016"/>
      <c r="WMK188" s="1016"/>
      <c r="WML188" s="1016"/>
      <c r="WMM188" s="1016"/>
      <c r="WMN188" s="1016"/>
      <c r="WMO188" s="1016"/>
      <c r="WMP188" s="1016"/>
      <c r="WMQ188" s="1016"/>
      <c r="WMR188" s="1016"/>
      <c r="WMS188" s="1016"/>
      <c r="WMT188" s="1016"/>
      <c r="WMU188" s="1016"/>
      <c r="WMV188" s="1016"/>
      <c r="WMW188" s="1016"/>
      <c r="WMX188" s="1016"/>
      <c r="WMY188" s="1016"/>
      <c r="WMZ188" s="1016"/>
      <c r="WNA188" s="1016"/>
      <c r="WNB188" s="1016"/>
      <c r="WNC188" s="1016"/>
      <c r="WND188" s="1016"/>
      <c r="WNE188" s="1016"/>
      <c r="WNF188" s="1016"/>
      <c r="WNG188" s="1016"/>
      <c r="WNH188" s="1016"/>
      <c r="WNI188" s="1016"/>
      <c r="WNJ188" s="1016"/>
      <c r="WNK188" s="1016"/>
      <c r="WNL188" s="1016"/>
      <c r="WNM188" s="1016"/>
      <c r="WNN188" s="1016"/>
      <c r="WNO188" s="1016"/>
      <c r="WNP188" s="1016"/>
      <c r="WNQ188" s="1016"/>
      <c r="WNR188" s="1016"/>
      <c r="WNS188" s="1016"/>
      <c r="WNT188" s="1016"/>
      <c r="WNU188" s="1016"/>
      <c r="WNV188" s="1016"/>
      <c r="WNW188" s="1016"/>
      <c r="WNX188" s="1016"/>
      <c r="WNY188" s="1016"/>
      <c r="WNZ188" s="1016"/>
      <c r="WOA188" s="1016"/>
      <c r="WOB188" s="1016"/>
      <c r="WOC188" s="1016"/>
      <c r="WOD188" s="1016"/>
      <c r="WOE188" s="1016"/>
      <c r="WOF188" s="1016"/>
      <c r="WOG188" s="1016"/>
      <c r="WOH188" s="1016"/>
      <c r="WOI188" s="1016"/>
      <c r="WOJ188" s="1016"/>
      <c r="WOK188" s="1016"/>
      <c r="WOL188" s="1016"/>
      <c r="WOM188" s="1016"/>
      <c r="WON188" s="1016"/>
      <c r="WOO188" s="1016"/>
      <c r="WOP188" s="1016"/>
      <c r="WOQ188" s="1016"/>
      <c r="WOR188" s="1016"/>
      <c r="WOS188" s="1016"/>
      <c r="WOT188" s="1016"/>
      <c r="WOU188" s="1016"/>
      <c r="WOV188" s="1016"/>
      <c r="WOW188" s="1016"/>
      <c r="WOX188" s="1016"/>
      <c r="WOY188" s="1016"/>
      <c r="WOZ188" s="1016"/>
      <c r="WPA188" s="1016"/>
      <c r="WPB188" s="1016"/>
      <c r="WPC188" s="1016"/>
      <c r="WPD188" s="1016"/>
      <c r="WPE188" s="1016"/>
      <c r="WPF188" s="1016"/>
      <c r="WPG188" s="1016"/>
      <c r="WPH188" s="1016"/>
      <c r="WPI188" s="1016"/>
      <c r="WPJ188" s="1016"/>
      <c r="WPK188" s="1016"/>
      <c r="WPL188" s="1016"/>
      <c r="WPM188" s="1016"/>
      <c r="WPN188" s="1016"/>
      <c r="WPO188" s="1016"/>
      <c r="WPP188" s="1016"/>
      <c r="WPQ188" s="1016"/>
      <c r="WPR188" s="1016"/>
      <c r="WPS188" s="1016"/>
      <c r="WPT188" s="1016"/>
      <c r="WPU188" s="1016"/>
      <c r="WPV188" s="1016"/>
      <c r="WPW188" s="1016"/>
      <c r="WPX188" s="1016"/>
      <c r="WPY188" s="1016"/>
      <c r="WPZ188" s="1016"/>
      <c r="WQA188" s="1016"/>
      <c r="WQB188" s="1016"/>
      <c r="WQC188" s="1016"/>
      <c r="WQD188" s="1016"/>
      <c r="WQE188" s="1016"/>
      <c r="WQF188" s="1016"/>
      <c r="WQG188" s="1016"/>
      <c r="WQH188" s="1016"/>
      <c r="WQI188" s="1016"/>
      <c r="WQJ188" s="1016"/>
      <c r="WQK188" s="1016"/>
      <c r="WQL188" s="1016"/>
      <c r="WQM188" s="1016"/>
      <c r="WQN188" s="1016"/>
      <c r="WQO188" s="1016"/>
      <c r="WQP188" s="1016"/>
      <c r="WQQ188" s="1016"/>
      <c r="WQR188" s="1016"/>
      <c r="WQS188" s="1016"/>
      <c r="WQT188" s="1016"/>
      <c r="WQU188" s="1016"/>
      <c r="WQV188" s="1016"/>
      <c r="WQW188" s="1016"/>
      <c r="WQX188" s="1016"/>
      <c r="WQY188" s="1016"/>
      <c r="WQZ188" s="1016"/>
      <c r="WRA188" s="1016"/>
      <c r="WRB188" s="1016"/>
      <c r="WRC188" s="1016"/>
      <c r="WRD188" s="1016"/>
      <c r="WRE188" s="1016"/>
      <c r="WRF188" s="1016"/>
      <c r="WRG188" s="1016"/>
      <c r="WRH188" s="1016"/>
      <c r="WRI188" s="1016"/>
      <c r="WRJ188" s="1016"/>
      <c r="WRK188" s="1016"/>
      <c r="WRL188" s="1016"/>
      <c r="WRM188" s="1016"/>
      <c r="WRN188" s="1016"/>
      <c r="WRO188" s="1016"/>
      <c r="WRP188" s="1016"/>
      <c r="WRQ188" s="1016"/>
      <c r="WRR188" s="1016"/>
      <c r="WRS188" s="1016"/>
      <c r="WRT188" s="1016"/>
      <c r="WRU188" s="1016"/>
      <c r="WRV188" s="1016"/>
      <c r="WRW188" s="1016"/>
      <c r="WRX188" s="1016"/>
      <c r="WRY188" s="1016"/>
      <c r="WRZ188" s="1016"/>
      <c r="WSA188" s="1016"/>
      <c r="WSB188" s="1016"/>
      <c r="WSC188" s="1016"/>
      <c r="WSD188" s="1016"/>
      <c r="WSE188" s="1016"/>
      <c r="WSF188" s="1016"/>
      <c r="WSG188" s="1016"/>
      <c r="WSH188" s="1016"/>
      <c r="WSI188" s="1016"/>
      <c r="WSJ188" s="1016"/>
      <c r="WSK188" s="1016"/>
      <c r="WSL188" s="1016"/>
      <c r="WSM188" s="1016"/>
      <c r="WSN188" s="1016"/>
      <c r="WSO188" s="1016"/>
      <c r="WSP188" s="1016"/>
      <c r="WSQ188" s="1016"/>
      <c r="WSR188" s="1016"/>
      <c r="WSS188" s="1016"/>
      <c r="WST188" s="1016"/>
      <c r="WSU188" s="1016"/>
      <c r="WSV188" s="1016"/>
      <c r="WSW188" s="1016"/>
      <c r="WSX188" s="1016"/>
      <c r="WSY188" s="1016"/>
      <c r="WSZ188" s="1016"/>
      <c r="WTA188" s="1016"/>
      <c r="WTB188" s="1016"/>
      <c r="WTC188" s="1016"/>
      <c r="WTD188" s="1016"/>
      <c r="WTE188" s="1016"/>
      <c r="WTF188" s="1016"/>
      <c r="WTG188" s="1016"/>
      <c r="WTH188" s="1016"/>
      <c r="WTI188" s="1016"/>
      <c r="WTJ188" s="1016"/>
      <c r="WTK188" s="1016"/>
      <c r="WTL188" s="1016"/>
      <c r="WTM188" s="1016"/>
      <c r="WTN188" s="1016"/>
      <c r="WTO188" s="1016"/>
      <c r="WTP188" s="1016"/>
      <c r="WTQ188" s="1016"/>
      <c r="WTR188" s="1016"/>
      <c r="WTS188" s="1016"/>
      <c r="WTT188" s="1016"/>
      <c r="WTU188" s="1016"/>
      <c r="WTV188" s="1016"/>
      <c r="WTW188" s="1016"/>
      <c r="WTX188" s="1016"/>
      <c r="WTY188" s="1016"/>
      <c r="WTZ188" s="1016"/>
      <c r="WUA188" s="1016"/>
      <c r="WUB188" s="1016"/>
      <c r="WUC188" s="1016"/>
      <c r="WUD188" s="1016"/>
      <c r="WUE188" s="1016"/>
      <c r="WUF188" s="1016"/>
      <c r="WUG188" s="1016"/>
      <c r="WUH188" s="1016"/>
      <c r="WUI188" s="1016"/>
      <c r="WUJ188" s="1016"/>
      <c r="WUK188" s="1016"/>
      <c r="WUL188" s="1016"/>
      <c r="WUM188" s="1016"/>
      <c r="WUN188" s="1016"/>
      <c r="WUO188" s="1016"/>
      <c r="WUP188" s="1016"/>
      <c r="WUQ188" s="1016"/>
      <c r="WUR188" s="1016"/>
      <c r="WUS188" s="1016"/>
      <c r="WUT188" s="1016"/>
      <c r="WUU188" s="1016"/>
      <c r="WUV188" s="1016"/>
      <c r="WUW188" s="1016"/>
      <c r="WUX188" s="1016"/>
      <c r="WUY188" s="1016"/>
      <c r="WUZ188" s="1016"/>
      <c r="WVA188" s="1016"/>
      <c r="WVB188" s="1016"/>
      <c r="WVC188" s="1016"/>
      <c r="WVD188" s="1016"/>
      <c r="WVE188" s="1016"/>
      <c r="WVF188" s="1016"/>
      <c r="WVG188" s="1016"/>
      <c r="WVH188" s="1016"/>
      <c r="WVI188" s="1016"/>
      <c r="WVJ188" s="1016"/>
      <c r="WVK188" s="1016"/>
      <c r="WVL188" s="1016"/>
      <c r="WVM188" s="1016"/>
      <c r="WVN188" s="1016"/>
      <c r="WVO188" s="1016"/>
      <c r="WVP188" s="1016"/>
      <c r="WVQ188" s="1016"/>
      <c r="WVR188" s="1016"/>
      <c r="WVS188" s="1016"/>
      <c r="WVT188" s="1016"/>
      <c r="WVU188" s="1016"/>
      <c r="WVV188" s="1016"/>
      <c r="WVW188" s="1016"/>
      <c r="WVX188" s="1016"/>
      <c r="WVY188" s="1016"/>
      <c r="WVZ188" s="1016"/>
      <c r="WWA188" s="1016"/>
      <c r="WWB188" s="1016"/>
      <c r="WWC188" s="1016"/>
      <c r="WWD188" s="1016"/>
      <c r="WWE188" s="1016"/>
      <c r="WWF188" s="1016"/>
      <c r="WWG188" s="1016"/>
      <c r="WWH188" s="1016"/>
      <c r="WWI188" s="1016"/>
      <c r="WWJ188" s="1016"/>
      <c r="WWK188" s="1016"/>
      <c r="WWL188" s="1016"/>
      <c r="WWM188" s="1016"/>
      <c r="WWN188" s="1016"/>
      <c r="WWO188" s="1016"/>
      <c r="WWP188" s="1016"/>
      <c r="WWQ188" s="1016"/>
      <c r="WWR188" s="1016"/>
      <c r="WWS188" s="1016"/>
      <c r="WWT188" s="1016"/>
      <c r="WWU188" s="1016"/>
      <c r="WWV188" s="1016"/>
      <c r="WWW188" s="1016"/>
      <c r="WWX188" s="1016"/>
      <c r="WWY188" s="1016"/>
      <c r="WWZ188" s="1016"/>
      <c r="WXA188" s="1016"/>
      <c r="WXB188" s="1016"/>
      <c r="WXC188" s="1016"/>
      <c r="WXD188" s="1016"/>
      <c r="WXE188" s="1016"/>
      <c r="WXF188" s="1016"/>
      <c r="WXG188" s="1016"/>
      <c r="WXH188" s="1016"/>
      <c r="WXI188" s="1016"/>
      <c r="WXJ188" s="1016"/>
      <c r="WXK188" s="1016"/>
      <c r="WXL188" s="1016"/>
      <c r="WXM188" s="1016"/>
      <c r="WXN188" s="1016"/>
      <c r="WXO188" s="1016"/>
      <c r="WXP188" s="1016"/>
      <c r="WXQ188" s="1016"/>
      <c r="WXR188" s="1016"/>
      <c r="WXS188" s="1016"/>
      <c r="WXT188" s="1016"/>
      <c r="WXU188" s="1016"/>
      <c r="WXV188" s="1016"/>
      <c r="WXW188" s="1016"/>
      <c r="WXX188" s="1016"/>
      <c r="WXY188" s="1016"/>
      <c r="WXZ188" s="1016"/>
      <c r="WYA188" s="1016"/>
      <c r="WYB188" s="1016"/>
      <c r="WYC188" s="1016"/>
      <c r="WYD188" s="1016"/>
      <c r="WYE188" s="1016"/>
      <c r="WYF188" s="1016"/>
      <c r="WYG188" s="1016"/>
      <c r="WYH188" s="1016"/>
      <c r="WYI188" s="1016"/>
      <c r="WYJ188" s="1016"/>
      <c r="WYK188" s="1016"/>
      <c r="WYL188" s="1016"/>
      <c r="WYM188" s="1016"/>
      <c r="WYN188" s="1016"/>
      <c r="WYO188" s="1016"/>
      <c r="WYP188" s="1016"/>
      <c r="WYQ188" s="1016"/>
      <c r="WYR188" s="1016"/>
      <c r="WYS188" s="1016"/>
      <c r="WYT188" s="1016"/>
      <c r="WYU188" s="1016"/>
      <c r="WYV188" s="1016"/>
      <c r="WYW188" s="1016"/>
      <c r="WYX188" s="1016"/>
      <c r="WYY188" s="1016"/>
      <c r="WYZ188" s="1016"/>
      <c r="WZA188" s="1016"/>
      <c r="WZB188" s="1016"/>
      <c r="WZC188" s="1016"/>
      <c r="WZD188" s="1016"/>
      <c r="WZE188" s="1016"/>
      <c r="WZF188" s="1016"/>
      <c r="WZG188" s="1016"/>
      <c r="WZH188" s="1016"/>
      <c r="WZI188" s="1016"/>
      <c r="WZJ188" s="1016"/>
      <c r="WZK188" s="1016"/>
      <c r="WZL188" s="1016"/>
      <c r="WZM188" s="1016"/>
      <c r="WZN188" s="1016"/>
      <c r="WZO188" s="1016"/>
      <c r="WZP188" s="1016"/>
      <c r="WZQ188" s="1016"/>
      <c r="WZR188" s="1016"/>
      <c r="WZS188" s="1016"/>
      <c r="WZT188" s="1016"/>
      <c r="WZU188" s="1016"/>
      <c r="WZV188" s="1016"/>
      <c r="WZW188" s="1016"/>
      <c r="WZX188" s="1016"/>
      <c r="WZY188" s="1016"/>
      <c r="WZZ188" s="1016"/>
      <c r="XAA188" s="1016"/>
      <c r="XAB188" s="1016"/>
      <c r="XAC188" s="1016"/>
      <c r="XAD188" s="1016"/>
      <c r="XAE188" s="1016"/>
      <c r="XAF188" s="1016"/>
      <c r="XAG188" s="1016"/>
      <c r="XAH188" s="1016"/>
      <c r="XAI188" s="1016"/>
      <c r="XAJ188" s="1016"/>
      <c r="XAK188" s="1016"/>
      <c r="XAL188" s="1016"/>
      <c r="XAM188" s="1016"/>
      <c r="XAN188" s="1016"/>
      <c r="XAO188" s="1016"/>
      <c r="XAP188" s="1016"/>
      <c r="XAQ188" s="1016"/>
      <c r="XAR188" s="1016"/>
      <c r="XAS188" s="1016"/>
      <c r="XAT188" s="1016"/>
      <c r="XAU188" s="1016"/>
      <c r="XAV188" s="1016"/>
      <c r="XAW188" s="1016"/>
      <c r="XAX188" s="1016"/>
      <c r="XAY188" s="1016"/>
      <c r="XAZ188" s="1016"/>
      <c r="XBA188" s="1016"/>
      <c r="XBB188" s="1016"/>
      <c r="XBC188" s="1016"/>
      <c r="XBD188" s="1016"/>
      <c r="XBE188" s="1016"/>
      <c r="XBF188" s="1016"/>
      <c r="XBG188" s="1016"/>
      <c r="XBH188" s="1016"/>
      <c r="XBI188" s="1016"/>
      <c r="XBJ188" s="1016"/>
      <c r="XBK188" s="1016"/>
      <c r="XBL188" s="1016"/>
      <c r="XBM188" s="1016"/>
      <c r="XBN188" s="1016"/>
      <c r="XBO188" s="1016"/>
      <c r="XBP188" s="1016"/>
      <c r="XBQ188" s="1016"/>
      <c r="XBR188" s="1016"/>
      <c r="XBS188" s="1016"/>
      <c r="XBT188" s="1016"/>
      <c r="XBU188" s="1016"/>
      <c r="XBV188" s="1016"/>
      <c r="XBW188" s="1016"/>
      <c r="XBX188" s="1016"/>
      <c r="XBY188" s="1016"/>
      <c r="XBZ188" s="1016"/>
      <c r="XCA188" s="1016"/>
      <c r="XCB188" s="1016"/>
      <c r="XCC188" s="1016"/>
      <c r="XCD188" s="1016"/>
      <c r="XCE188" s="1016"/>
      <c r="XCF188" s="1016"/>
      <c r="XCG188" s="1016"/>
      <c r="XCH188" s="1016"/>
      <c r="XCI188" s="1016"/>
      <c r="XCJ188" s="1016"/>
      <c r="XCK188" s="1016"/>
      <c r="XCL188" s="1016"/>
      <c r="XCM188" s="1016"/>
      <c r="XCN188" s="1016"/>
      <c r="XCO188" s="1016"/>
      <c r="XCP188" s="1016"/>
      <c r="XCQ188" s="1016"/>
      <c r="XCR188" s="1016"/>
      <c r="XCS188" s="1016"/>
      <c r="XCT188" s="1016"/>
      <c r="XCU188" s="1016"/>
      <c r="XCV188" s="1016"/>
      <c r="XCW188" s="1016"/>
      <c r="XCX188" s="1016"/>
      <c r="XCY188" s="1016"/>
      <c r="XCZ188" s="1016"/>
      <c r="XDA188" s="1016"/>
      <c r="XDB188" s="1016"/>
      <c r="XDC188" s="1016"/>
      <c r="XDD188" s="1016"/>
      <c r="XDE188" s="1016"/>
      <c r="XDF188" s="1016"/>
      <c r="XDG188" s="1016"/>
      <c r="XDH188" s="1016"/>
      <c r="XDI188" s="1016"/>
      <c r="XDJ188" s="1016"/>
      <c r="XDK188" s="1016"/>
      <c r="XDL188" s="1016"/>
      <c r="XDM188" s="1016"/>
      <c r="XDN188" s="1016"/>
      <c r="XDO188" s="1016"/>
      <c r="XDP188" s="1016"/>
      <c r="XDQ188" s="1016"/>
      <c r="XDR188" s="1016"/>
      <c r="XDS188" s="1016"/>
      <c r="XDT188" s="1016"/>
      <c r="XDU188" s="1016"/>
      <c r="XDV188" s="1016"/>
      <c r="XDW188" s="1016"/>
      <c r="XDX188" s="1016"/>
      <c r="XDY188" s="1016"/>
      <c r="XDZ188" s="1016"/>
      <c r="XEA188" s="1016"/>
      <c r="XEB188" s="1016"/>
      <c r="XEC188" s="1016"/>
      <c r="XED188" s="1016"/>
      <c r="XEE188" s="1016"/>
      <c r="XEF188" s="1016"/>
      <c r="XEG188" s="1016"/>
      <c r="XEH188" s="1016"/>
      <c r="XEI188" s="1016"/>
      <c r="XEJ188" s="1016"/>
      <c r="XEK188" s="1016"/>
      <c r="XEL188" s="1016"/>
      <c r="XEM188" s="1016"/>
      <c r="XEN188" s="1016"/>
      <c r="XEO188" s="1016"/>
      <c r="XEP188" s="1016"/>
      <c r="XEQ188" s="1016"/>
      <c r="XER188" s="1016"/>
      <c r="XES188" s="1016"/>
      <c r="XET188" s="1016"/>
      <c r="XEU188" s="1016"/>
      <c r="XEV188" s="1016"/>
      <c r="XEW188" s="1016"/>
      <c r="XEX188" s="1016"/>
      <c r="XEY188" s="1016"/>
      <c r="XEZ188" s="1016"/>
      <c r="XFA188" s="1016"/>
      <c r="XFB188" s="1016"/>
      <c r="XFC188" s="1016"/>
      <c r="XFD188" s="1016"/>
    </row>
    <row r="189" spans="1:16384" s="1016" customFormat="1" ht="11.25" customHeight="1" x14ac:dyDescent="0.2">
      <c r="A189" s="27"/>
      <c r="CN189" s="62"/>
      <c r="CQ189"/>
      <c r="CR189"/>
      <c r="CS189"/>
      <c r="CT189"/>
      <c r="CU189"/>
      <c r="CV189"/>
    </row>
    <row r="190" spans="1:16384" s="1016" customFormat="1" ht="11.25" customHeight="1" x14ac:dyDescent="0.2">
      <c r="A190" s="27"/>
      <c r="CN190" s="62"/>
      <c r="CQ190"/>
      <c r="CR190"/>
      <c r="CS190"/>
      <c r="CT190"/>
      <c r="CU190"/>
      <c r="CV190"/>
    </row>
    <row r="191" spans="1:16384" s="1016" customFormat="1" ht="11.25" customHeight="1" x14ac:dyDescent="0.2">
      <c r="A191" s="27"/>
      <c r="CN191" s="62"/>
      <c r="CQ191"/>
      <c r="CR191"/>
      <c r="CS191"/>
      <c r="CT191"/>
      <c r="CU191"/>
      <c r="CV191"/>
    </row>
    <row r="192" spans="1:16384" s="1016" customFormat="1" ht="12.75" customHeight="1" x14ac:dyDescent="0.2">
      <c r="CN192" s="62"/>
      <c r="CQ192"/>
      <c r="CR192"/>
      <c r="CS192"/>
      <c r="CT192"/>
      <c r="CU192"/>
      <c r="CV192"/>
    </row>
    <row r="193" spans="1:106" s="1016" customFormat="1" ht="11.25" customHeight="1" x14ac:dyDescent="0.2">
      <c r="A193" s="27"/>
      <c r="CN193" s="62"/>
      <c r="CQ193"/>
      <c r="CR193"/>
      <c r="CS193"/>
      <c r="CT193"/>
      <c r="CU193"/>
      <c r="CV193"/>
    </row>
    <row r="194" spans="1:106" s="1016" customFormat="1" ht="11.25" customHeight="1" x14ac:dyDescent="0.2">
      <c r="A194" s="27"/>
      <c r="CN194" s="62"/>
      <c r="CQ194"/>
      <c r="CR194"/>
      <c r="CS194"/>
      <c r="CT194"/>
      <c r="CU194"/>
      <c r="CV194"/>
    </row>
    <row r="195" spans="1:106" s="1016" customFormat="1" ht="11.25" customHeight="1" x14ac:dyDescent="0.2">
      <c r="A195" s="27"/>
      <c r="CN195" s="62"/>
      <c r="CQ195"/>
      <c r="CR195"/>
      <c r="CS195"/>
      <c r="CT195"/>
      <c r="CU195"/>
      <c r="CV195"/>
    </row>
    <row r="196" spans="1:106" ht="12.75" customHeight="1" x14ac:dyDescent="0.2">
      <c r="CO196" s="1016"/>
      <c r="CP196" s="1016"/>
      <c r="CW196" s="1016"/>
      <c r="CX196" s="1016"/>
      <c r="CY196" s="1016"/>
      <c r="CZ196" s="1016"/>
      <c r="DA196" s="1016"/>
      <c r="DB196" s="1016"/>
    </row>
    <row r="197" spans="1:106" s="24" customFormat="1" ht="12.75" customHeight="1" x14ac:dyDescent="0.2">
      <c r="CQ197"/>
      <c r="CR197"/>
      <c r="CS197"/>
      <c r="CT197"/>
      <c r="CU197"/>
      <c r="CV197"/>
    </row>
    <row r="198" spans="1:106" s="1016" customFormat="1" ht="11.25" customHeight="1" x14ac:dyDescent="0.2">
      <c r="A198" s="27"/>
      <c r="CN198" s="62"/>
      <c r="CQ198"/>
      <c r="CR198"/>
      <c r="CS198"/>
      <c r="CT198"/>
      <c r="CU198"/>
      <c r="CV198"/>
    </row>
    <row r="199" spans="1:106" s="1016" customFormat="1" ht="11.25" customHeight="1" x14ac:dyDescent="0.2">
      <c r="A199" s="27"/>
      <c r="CN199" s="62"/>
      <c r="CQ199"/>
      <c r="CR199"/>
      <c r="CS199"/>
      <c r="CT199"/>
      <c r="CU199"/>
      <c r="CV199"/>
    </row>
    <row r="200" spans="1:106" s="1016" customFormat="1" ht="11.25" customHeight="1" x14ac:dyDescent="0.2">
      <c r="A200" s="27"/>
      <c r="CN200" s="62"/>
      <c r="CQ200"/>
      <c r="CR200"/>
      <c r="CS200"/>
      <c r="CT200"/>
      <c r="CU200"/>
      <c r="CV200"/>
    </row>
    <row r="201" spans="1:106" s="1016" customFormat="1" ht="11.25" customHeight="1" x14ac:dyDescent="0.2">
      <c r="A201" s="27"/>
      <c r="CN201" s="62"/>
      <c r="CQ201"/>
      <c r="CR201"/>
      <c r="CS201"/>
      <c r="CT201"/>
      <c r="CU201"/>
      <c r="CV201"/>
    </row>
    <row r="202" spans="1:106" s="1016" customFormat="1" ht="11.25" customHeight="1" x14ac:dyDescent="0.2">
      <c r="A202" s="27"/>
      <c r="CN202" s="62"/>
      <c r="CQ202"/>
      <c r="CR202"/>
      <c r="CS202"/>
      <c r="CT202"/>
      <c r="CU202"/>
      <c r="CV202"/>
    </row>
    <row r="203" spans="1:106" s="24" customFormat="1" ht="12.75" customHeight="1" x14ac:dyDescent="0.2">
      <c r="CQ203"/>
      <c r="CR203"/>
      <c r="CS203"/>
      <c r="CT203"/>
      <c r="CU203"/>
      <c r="CV203"/>
    </row>
    <row r="204" spans="1:106" s="1016" customFormat="1" ht="11.25" customHeight="1" x14ac:dyDescent="0.2">
      <c r="A204" s="27"/>
      <c r="CN204" s="62"/>
      <c r="CQ204"/>
      <c r="CR204"/>
      <c r="CS204"/>
      <c r="CT204"/>
      <c r="CU204"/>
      <c r="CV204"/>
    </row>
    <row r="205" spans="1:106" s="1016" customFormat="1" ht="11.25" customHeight="1" x14ac:dyDescent="0.2">
      <c r="A205" s="27"/>
      <c r="CN205" s="62"/>
      <c r="CQ205"/>
      <c r="CR205"/>
      <c r="CS205"/>
      <c r="CT205"/>
      <c r="CU205"/>
      <c r="CV205"/>
    </row>
    <row r="206" spans="1:106" s="1016" customFormat="1" ht="11.25" customHeight="1" x14ac:dyDescent="0.2">
      <c r="A206" s="27"/>
      <c r="CN206" s="62"/>
      <c r="CQ206"/>
      <c r="CR206"/>
      <c r="CS206"/>
      <c r="CT206"/>
      <c r="CU206"/>
      <c r="CV206"/>
    </row>
    <row r="207" spans="1:106" s="770" customFormat="1" x14ac:dyDescent="0.2">
      <c r="CN207" s="62"/>
      <c r="CQ207"/>
      <c r="CR207"/>
      <c r="CS207"/>
      <c r="CT207"/>
      <c r="CU207"/>
      <c r="CV207"/>
    </row>
    <row r="208" spans="1:106" x14ac:dyDescent="0.2">
      <c r="A208" s="1033" t="s">
        <v>587</v>
      </c>
    </row>
    <row r="209" spans="1:100" s="1016" customFormat="1" x14ac:dyDescent="0.2">
      <c r="A209" s="1033"/>
      <c r="CN209" s="62"/>
      <c r="CQ209"/>
      <c r="CR209"/>
      <c r="CS209"/>
      <c r="CT209"/>
      <c r="CU209"/>
      <c r="CV209"/>
    </row>
    <row r="210" spans="1:100" s="1016" customFormat="1" ht="11.25" customHeight="1" x14ac:dyDescent="0.2">
      <c r="A210" s="27"/>
      <c r="CN210" s="62"/>
      <c r="CQ210"/>
      <c r="CR210"/>
      <c r="CS210"/>
      <c r="CT210"/>
      <c r="CU210"/>
      <c r="CV210"/>
    </row>
    <row r="211" spans="1:100" s="31" customFormat="1" x14ac:dyDescent="0.2">
      <c r="CN211" s="65"/>
      <c r="CQ211"/>
      <c r="CR211"/>
      <c r="CS211"/>
      <c r="CT211"/>
      <c r="CU211"/>
      <c r="CV211"/>
    </row>
    <row r="212" spans="1:100" s="31" customFormat="1" x14ac:dyDescent="0.2">
      <c r="CN212" s="65"/>
      <c r="CQ212"/>
      <c r="CR212"/>
      <c r="CS212"/>
      <c r="CT212"/>
      <c r="CU212"/>
      <c r="CV212"/>
    </row>
    <row r="213" spans="1:100" s="31" customFormat="1" x14ac:dyDescent="0.2">
      <c r="CN213" s="65"/>
      <c r="CQ213"/>
      <c r="CR213"/>
      <c r="CS213"/>
      <c r="CT213"/>
      <c r="CU213"/>
      <c r="CV213"/>
    </row>
    <row r="214" spans="1:100" s="31" customFormat="1" x14ac:dyDescent="0.2">
      <c r="CN214" s="65"/>
      <c r="CQ214"/>
      <c r="CR214"/>
      <c r="CS214"/>
      <c r="CT214"/>
      <c r="CU214"/>
      <c r="CV214"/>
    </row>
    <row r="215" spans="1:100" s="31" customFormat="1" x14ac:dyDescent="0.2">
      <c r="CN215" s="65"/>
      <c r="CQ215"/>
      <c r="CR215"/>
      <c r="CS215"/>
      <c r="CT215"/>
      <c r="CU215"/>
      <c r="CV215"/>
    </row>
    <row r="216" spans="1:100" s="31" customFormat="1" x14ac:dyDescent="0.2">
      <c r="CN216" s="65"/>
      <c r="CQ216"/>
      <c r="CR216"/>
      <c r="CS216"/>
      <c r="CT216"/>
      <c r="CU216"/>
      <c r="CV216"/>
    </row>
    <row r="217" spans="1:100" s="31" customFormat="1" x14ac:dyDescent="0.2">
      <c r="CN217" s="65"/>
      <c r="CQ217"/>
      <c r="CR217"/>
      <c r="CS217"/>
      <c r="CT217"/>
      <c r="CU217"/>
      <c r="CV217"/>
    </row>
    <row r="218" spans="1:100" x14ac:dyDescent="0.2">
      <c r="CN218"/>
    </row>
    <row r="219" spans="1:100" s="31" customFormat="1" x14ac:dyDescent="0.2">
      <c r="CN219" s="65"/>
      <c r="CQ219"/>
      <c r="CR219"/>
      <c r="CS219"/>
      <c r="CT219"/>
      <c r="CU219"/>
      <c r="CV219"/>
    </row>
    <row r="220" spans="1:100" s="31" customFormat="1" x14ac:dyDescent="0.2">
      <c r="CN220" s="65"/>
      <c r="CQ220"/>
      <c r="CR220"/>
      <c r="CS220"/>
      <c r="CT220"/>
      <c r="CU220"/>
      <c r="CV220"/>
    </row>
    <row r="221" spans="1:100" s="1016" customFormat="1" x14ac:dyDescent="0.2">
      <c r="A221" s="1033"/>
      <c r="CN221" s="62"/>
      <c r="CQ221"/>
      <c r="CR221"/>
      <c r="CS221"/>
      <c r="CT221"/>
      <c r="CU221"/>
      <c r="CV221"/>
    </row>
    <row r="222" spans="1:100" s="31" customFormat="1" x14ac:dyDescent="0.2">
      <c r="CN222" s="65"/>
      <c r="CQ222"/>
      <c r="CR222"/>
      <c r="CS222"/>
      <c r="CT222"/>
      <c r="CU222"/>
      <c r="CV222"/>
    </row>
    <row r="223" spans="1:100" s="31" customFormat="1" x14ac:dyDescent="0.2">
      <c r="CN223" s="65"/>
      <c r="CQ223"/>
      <c r="CR223"/>
      <c r="CS223"/>
      <c r="CT223"/>
      <c r="CU223"/>
      <c r="CV223"/>
    </row>
    <row r="224" spans="1:100" s="31" customFormat="1" x14ac:dyDescent="0.2">
      <c r="CN224" s="65"/>
      <c r="CQ224"/>
      <c r="CR224"/>
      <c r="CS224"/>
      <c r="CT224"/>
      <c r="CU224"/>
      <c r="CV224"/>
    </row>
    <row r="225" spans="1:100" s="31" customFormat="1" x14ac:dyDescent="0.2">
      <c r="CN225" s="65"/>
      <c r="CQ225"/>
      <c r="CR225"/>
      <c r="CS225"/>
      <c r="CT225"/>
      <c r="CU225"/>
      <c r="CV225"/>
    </row>
    <row r="226" spans="1:100" s="31" customFormat="1" x14ac:dyDescent="0.2">
      <c r="CN226" s="65"/>
      <c r="CQ226"/>
      <c r="CR226"/>
      <c r="CS226"/>
      <c r="CT226"/>
      <c r="CU226"/>
      <c r="CV226"/>
    </row>
    <row r="227" spans="1:100" s="31" customFormat="1" x14ac:dyDescent="0.2">
      <c r="CN227" s="65"/>
      <c r="CQ227"/>
      <c r="CR227"/>
      <c r="CS227"/>
      <c r="CT227"/>
      <c r="CU227"/>
      <c r="CV227"/>
    </row>
    <row r="228" spans="1:100" s="31" customFormat="1" x14ac:dyDescent="0.2">
      <c r="CN228" s="65"/>
      <c r="CQ228"/>
      <c r="CR228"/>
      <c r="CS228"/>
      <c r="CT228"/>
      <c r="CU228"/>
      <c r="CV228"/>
    </row>
    <row r="229" spans="1:100" s="31" customFormat="1" x14ac:dyDescent="0.2">
      <c r="CN229" s="65"/>
      <c r="CQ229"/>
      <c r="CR229"/>
      <c r="CS229"/>
      <c r="CT229"/>
      <c r="CU229"/>
      <c r="CV229"/>
    </row>
    <row r="230" spans="1:100" s="31" customFormat="1" x14ac:dyDescent="0.2">
      <c r="CN230" s="65"/>
      <c r="CQ230"/>
      <c r="CR230"/>
      <c r="CS230"/>
      <c r="CT230"/>
      <c r="CU230"/>
      <c r="CV230"/>
    </row>
    <row r="231" spans="1:100" s="31" customFormat="1" x14ac:dyDescent="0.2">
      <c r="CN231" s="65"/>
      <c r="CQ231"/>
      <c r="CR231"/>
      <c r="CS231"/>
      <c r="CT231"/>
      <c r="CU231"/>
      <c r="CV231"/>
    </row>
    <row r="232" spans="1:100" s="31" customFormat="1" x14ac:dyDescent="0.2">
      <c r="CN232" s="65"/>
      <c r="CQ232"/>
      <c r="CR232"/>
      <c r="CS232"/>
      <c r="CT232"/>
      <c r="CU232"/>
      <c r="CV232"/>
    </row>
    <row r="233" spans="1:100" s="31" customFormat="1" x14ac:dyDescent="0.2">
      <c r="CN233" s="65"/>
      <c r="CQ233"/>
      <c r="CR233"/>
      <c r="CS233"/>
      <c r="CT233"/>
      <c r="CU233"/>
      <c r="CV233"/>
    </row>
    <row r="234" spans="1:100" s="1016" customFormat="1" x14ac:dyDescent="0.2">
      <c r="A234" s="1033"/>
      <c r="CN234" s="62"/>
      <c r="CQ234"/>
      <c r="CR234"/>
      <c r="CS234"/>
      <c r="CT234"/>
      <c r="CU234"/>
      <c r="CV234"/>
    </row>
    <row r="235" spans="1:100" s="31" customFormat="1" x14ac:dyDescent="0.2">
      <c r="CN235" s="65"/>
      <c r="CQ235"/>
      <c r="CR235"/>
      <c r="CS235"/>
      <c r="CT235"/>
      <c r="CU235"/>
      <c r="CV235"/>
    </row>
    <row r="236" spans="1:100" s="31" customFormat="1" x14ac:dyDescent="0.2">
      <c r="CN236" s="65"/>
      <c r="CQ236"/>
      <c r="CR236"/>
      <c r="CS236"/>
      <c r="CT236"/>
      <c r="CU236"/>
      <c r="CV236"/>
    </row>
    <row r="237" spans="1:100" s="31" customFormat="1" x14ac:dyDescent="0.2">
      <c r="CN237" s="65"/>
      <c r="CQ237"/>
      <c r="CR237"/>
      <c r="CS237"/>
      <c r="CT237"/>
      <c r="CU237"/>
      <c r="CV237"/>
    </row>
    <row r="238" spans="1:100" s="31" customFormat="1" x14ac:dyDescent="0.2">
      <c r="CN238" s="65"/>
      <c r="CQ238"/>
      <c r="CR238"/>
      <c r="CS238"/>
      <c r="CT238"/>
      <c r="CU238"/>
      <c r="CV238"/>
    </row>
    <row r="239" spans="1:100" s="31" customFormat="1" x14ac:dyDescent="0.2">
      <c r="CN239" s="65"/>
      <c r="CQ239"/>
      <c r="CR239"/>
      <c r="CS239"/>
      <c r="CT239"/>
      <c r="CU239"/>
      <c r="CV239"/>
    </row>
    <row r="240" spans="1:100" s="31" customFormat="1" x14ac:dyDescent="0.2">
      <c r="CN240" s="65"/>
      <c r="CQ240"/>
      <c r="CR240"/>
      <c r="CS240"/>
      <c r="CT240"/>
      <c r="CU240"/>
      <c r="CV240"/>
    </row>
    <row r="241" spans="1:100" s="31" customFormat="1" x14ac:dyDescent="0.2">
      <c r="CN241" s="65"/>
      <c r="CQ241"/>
      <c r="CR241"/>
      <c r="CS241"/>
      <c r="CT241"/>
      <c r="CU241"/>
      <c r="CV241"/>
    </row>
    <row r="242" spans="1:100" s="31" customFormat="1" x14ac:dyDescent="0.2">
      <c r="CN242" s="65"/>
      <c r="CQ242"/>
      <c r="CR242"/>
      <c r="CS242"/>
      <c r="CT242"/>
      <c r="CU242"/>
      <c r="CV242"/>
    </row>
    <row r="243" spans="1:100" s="31" customFormat="1" x14ac:dyDescent="0.2">
      <c r="CN243" s="65"/>
      <c r="CQ243"/>
      <c r="CR243"/>
      <c r="CS243"/>
      <c r="CT243"/>
      <c r="CU243"/>
      <c r="CV243"/>
    </row>
    <row r="244" spans="1:100" s="31" customFormat="1" x14ac:dyDescent="0.2">
      <c r="CN244" s="65"/>
      <c r="CQ244"/>
      <c r="CR244"/>
      <c r="CS244"/>
      <c r="CT244"/>
      <c r="CU244"/>
      <c r="CV244"/>
    </row>
    <row r="245" spans="1:100" s="31" customFormat="1" x14ac:dyDescent="0.2">
      <c r="CN245" s="65"/>
      <c r="CQ245"/>
      <c r="CR245"/>
      <c r="CS245"/>
      <c r="CT245"/>
      <c r="CU245"/>
      <c r="CV245"/>
    </row>
    <row r="246" spans="1:100" s="1016" customFormat="1" x14ac:dyDescent="0.2">
      <c r="A246" s="1033"/>
      <c r="CN246" s="62"/>
      <c r="CQ246"/>
      <c r="CR246"/>
      <c r="CS246"/>
      <c r="CT246"/>
      <c r="CU246"/>
      <c r="CV246"/>
    </row>
    <row r="247" spans="1:100" s="31" customFormat="1" x14ac:dyDescent="0.2">
      <c r="CN247" s="65"/>
      <c r="CQ247"/>
      <c r="CR247"/>
      <c r="CS247"/>
      <c r="CT247"/>
      <c r="CU247"/>
      <c r="CV247"/>
    </row>
    <row r="248" spans="1:100" s="31" customFormat="1" x14ac:dyDescent="0.2">
      <c r="CN248" s="65"/>
      <c r="CQ248"/>
      <c r="CR248"/>
      <c r="CS248"/>
      <c r="CT248"/>
      <c r="CU248"/>
      <c r="CV248"/>
    </row>
    <row r="249" spans="1:100" s="31" customFormat="1" x14ac:dyDescent="0.2">
      <c r="CN249" s="65"/>
      <c r="CO249" s="37"/>
      <c r="CQ249"/>
      <c r="CR249"/>
      <c r="CS249"/>
      <c r="CT249"/>
      <c r="CU249"/>
      <c r="CV249"/>
    </row>
    <row r="250" spans="1:100" s="52" customFormat="1" x14ac:dyDescent="0.2">
      <c r="CO250" s="37"/>
      <c r="CQ250"/>
      <c r="CR250"/>
      <c r="CS250"/>
      <c r="CT250"/>
      <c r="CU250"/>
      <c r="CV250"/>
    </row>
    <row r="251" spans="1:100" s="31" customFormat="1" x14ac:dyDescent="0.2">
      <c r="CN251" s="65"/>
      <c r="CO251" s="37"/>
      <c r="CQ251"/>
      <c r="CR251"/>
      <c r="CS251"/>
      <c r="CT251"/>
      <c r="CU251"/>
      <c r="CV251"/>
    </row>
    <row r="252" spans="1:100" s="31" customFormat="1" x14ac:dyDescent="0.2">
      <c r="CN252" s="65"/>
      <c r="CO252" s="37"/>
      <c r="CQ252"/>
      <c r="CR252"/>
      <c r="CS252"/>
      <c r="CT252"/>
      <c r="CU252"/>
      <c r="CV252"/>
    </row>
    <row r="253" spans="1:100" s="31" customFormat="1" x14ac:dyDescent="0.2">
      <c r="CN253" s="65"/>
      <c r="CQ253"/>
      <c r="CR253"/>
      <c r="CS253"/>
      <c r="CT253"/>
      <c r="CU253"/>
      <c r="CV253"/>
    </row>
    <row r="254" spans="1:100" s="31" customFormat="1" x14ac:dyDescent="0.2">
      <c r="CN254" s="65"/>
      <c r="CQ254"/>
      <c r="CR254"/>
      <c r="CS254"/>
      <c r="CT254"/>
      <c r="CU254"/>
      <c r="CV254"/>
    </row>
    <row r="255" spans="1:100" s="31" customFormat="1" x14ac:dyDescent="0.2">
      <c r="CN255" s="65"/>
      <c r="CO255" s="37"/>
      <c r="CQ255"/>
      <c r="CR255"/>
      <c r="CS255"/>
      <c r="CT255"/>
      <c r="CU255"/>
      <c r="CV255"/>
    </row>
    <row r="256" spans="1:100" s="31" customFormat="1" x14ac:dyDescent="0.2">
      <c r="CN256" s="65"/>
      <c r="CO256" s="37"/>
      <c r="CQ256"/>
      <c r="CR256"/>
      <c r="CS256"/>
      <c r="CT256"/>
      <c r="CU256"/>
      <c r="CV256"/>
    </row>
    <row r="257" spans="1:100" s="31" customFormat="1" x14ac:dyDescent="0.2">
      <c r="CN257" s="65"/>
      <c r="CO257" s="37"/>
      <c r="CQ257"/>
      <c r="CR257"/>
      <c r="CS257"/>
      <c r="CT257"/>
      <c r="CU257"/>
      <c r="CV257"/>
    </row>
    <row r="258" spans="1:100" s="31" customFormat="1" x14ac:dyDescent="0.2">
      <c r="CN258" s="65"/>
      <c r="CO258" s="37"/>
      <c r="CQ258"/>
      <c r="CR258"/>
      <c r="CS258"/>
      <c r="CT258"/>
      <c r="CU258"/>
      <c r="CV258"/>
    </row>
    <row r="259" spans="1:100" s="31" customFormat="1" x14ac:dyDescent="0.2">
      <c r="CN259" s="65"/>
      <c r="CO259" s="37"/>
      <c r="CQ259"/>
      <c r="CR259"/>
      <c r="CS259"/>
      <c r="CT259"/>
      <c r="CU259"/>
      <c r="CV259"/>
    </row>
    <row r="260" spans="1:100" s="31" customFormat="1" x14ac:dyDescent="0.2">
      <c r="CN260" s="65"/>
      <c r="CQ260"/>
      <c r="CR260"/>
      <c r="CS260"/>
      <c r="CT260"/>
      <c r="CU260"/>
      <c r="CV260"/>
    </row>
    <row r="261" spans="1:100" s="31" customFormat="1" x14ac:dyDescent="0.2">
      <c r="CN261" s="65"/>
      <c r="CQ261"/>
      <c r="CR261"/>
      <c r="CS261"/>
      <c r="CT261"/>
      <c r="CU261"/>
      <c r="CV261"/>
    </row>
    <row r="262" spans="1:100" s="31" customFormat="1" x14ac:dyDescent="0.2">
      <c r="CN262" s="65"/>
      <c r="CO262" s="37"/>
      <c r="CQ262"/>
      <c r="CR262"/>
      <c r="CS262"/>
      <c r="CT262"/>
      <c r="CU262"/>
      <c r="CV262"/>
    </row>
    <row r="263" spans="1:100" s="31" customFormat="1" x14ac:dyDescent="0.2">
      <c r="CN263" s="65"/>
      <c r="CQ263"/>
      <c r="CR263"/>
      <c r="CS263"/>
      <c r="CT263"/>
      <c r="CU263"/>
      <c r="CV263"/>
    </row>
    <row r="264" spans="1:100" s="31" customFormat="1" x14ac:dyDescent="0.2">
      <c r="CN264" s="65"/>
      <c r="CQ264"/>
      <c r="CR264"/>
      <c r="CS264"/>
      <c r="CT264"/>
      <c r="CU264"/>
      <c r="CV264"/>
    </row>
    <row r="265" spans="1:100" s="1016" customFormat="1" x14ac:dyDescent="0.2">
      <c r="A265" s="1033"/>
      <c r="CN265" s="62"/>
      <c r="CQ265"/>
      <c r="CR265"/>
      <c r="CS265"/>
      <c r="CT265"/>
      <c r="CU265"/>
      <c r="CV265"/>
    </row>
    <row r="266" spans="1:100" s="31" customFormat="1" x14ac:dyDescent="0.2">
      <c r="CN266" s="65"/>
      <c r="CQ266"/>
      <c r="CR266"/>
      <c r="CS266"/>
      <c r="CT266"/>
      <c r="CU266"/>
      <c r="CV266"/>
    </row>
    <row r="267" spans="1:100" s="31" customFormat="1" x14ac:dyDescent="0.2">
      <c r="CN267" s="65"/>
      <c r="CO267" s="37"/>
      <c r="CQ267"/>
      <c r="CR267"/>
      <c r="CS267"/>
      <c r="CT267"/>
      <c r="CU267"/>
      <c r="CV267"/>
    </row>
    <row r="268" spans="1:100" s="31" customFormat="1" x14ac:dyDescent="0.2">
      <c r="CN268" s="65"/>
      <c r="CO268" s="37"/>
      <c r="CQ268"/>
      <c r="CR268"/>
      <c r="CS268"/>
      <c r="CT268"/>
      <c r="CU268"/>
      <c r="CV268"/>
    </row>
    <row r="269" spans="1:100" s="31" customFormat="1" x14ac:dyDescent="0.2">
      <c r="CN269" s="65"/>
      <c r="CO269" s="42"/>
      <c r="CQ269"/>
      <c r="CR269"/>
      <c r="CS269"/>
      <c r="CT269"/>
      <c r="CU269"/>
      <c r="CV269"/>
    </row>
    <row r="270" spans="1:100" s="31" customFormat="1" x14ac:dyDescent="0.2">
      <c r="CN270" s="65"/>
      <c r="CO270" s="37"/>
      <c r="CQ270"/>
      <c r="CR270"/>
      <c r="CS270"/>
      <c r="CT270"/>
      <c r="CU270"/>
      <c r="CV270"/>
    </row>
    <row r="271" spans="1:100" s="31" customFormat="1" x14ac:dyDescent="0.2">
      <c r="CN271" s="65"/>
      <c r="CO271" s="37"/>
      <c r="CQ271"/>
      <c r="CR271"/>
      <c r="CS271"/>
      <c r="CT271"/>
      <c r="CU271"/>
      <c r="CV271"/>
    </row>
    <row r="272" spans="1:100" s="31" customFormat="1" x14ac:dyDescent="0.2">
      <c r="CN272" s="65"/>
      <c r="CO272" s="37"/>
      <c r="CQ272"/>
      <c r="CR272"/>
      <c r="CS272"/>
      <c r="CT272"/>
      <c r="CU272"/>
      <c r="CV272"/>
    </row>
    <row r="273" spans="1:100" s="31" customFormat="1" x14ac:dyDescent="0.2">
      <c r="CN273" s="65"/>
      <c r="CO273" s="37"/>
      <c r="CQ273"/>
      <c r="CR273"/>
      <c r="CS273"/>
      <c r="CT273"/>
      <c r="CU273"/>
      <c r="CV273"/>
    </row>
    <row r="274" spans="1:100" s="31" customFormat="1" x14ac:dyDescent="0.2">
      <c r="CN274" s="65"/>
      <c r="CO274" s="37"/>
      <c r="CQ274"/>
      <c r="CR274"/>
      <c r="CS274"/>
      <c r="CT274"/>
      <c r="CU274"/>
      <c r="CV274"/>
    </row>
    <row r="275" spans="1:100" s="31" customFormat="1" x14ac:dyDescent="0.2">
      <c r="CN275" s="65"/>
      <c r="CO275" s="37"/>
      <c r="CQ275"/>
      <c r="CR275"/>
      <c r="CS275"/>
      <c r="CT275"/>
      <c r="CU275"/>
      <c r="CV275"/>
    </row>
    <row r="276" spans="1:100" s="31" customFormat="1" x14ac:dyDescent="0.2">
      <c r="CN276" s="65"/>
      <c r="CO276" s="37"/>
      <c r="CQ276"/>
      <c r="CR276"/>
      <c r="CS276"/>
      <c r="CT276"/>
      <c r="CU276"/>
      <c r="CV276"/>
    </row>
    <row r="277" spans="1:100" s="31" customFormat="1" x14ac:dyDescent="0.2">
      <c r="CN277" s="65"/>
      <c r="CO277" s="37"/>
      <c r="CQ277"/>
      <c r="CR277"/>
      <c r="CS277"/>
      <c r="CT277"/>
      <c r="CU277"/>
      <c r="CV277"/>
    </row>
    <row r="278" spans="1:100" s="31" customFormat="1" x14ac:dyDescent="0.2">
      <c r="CN278" s="65"/>
      <c r="CO278" s="37"/>
      <c r="CQ278"/>
      <c r="CR278"/>
      <c r="CS278"/>
      <c r="CT278"/>
      <c r="CU278"/>
      <c r="CV278"/>
    </row>
    <row r="279" spans="1:100" s="31" customFormat="1" x14ac:dyDescent="0.2">
      <c r="CN279" s="65"/>
      <c r="CQ279"/>
      <c r="CR279"/>
      <c r="CS279"/>
      <c r="CT279"/>
      <c r="CU279"/>
      <c r="CV279"/>
    </row>
    <row r="280" spans="1:100" s="31" customFormat="1" x14ac:dyDescent="0.2">
      <c r="CN280" s="65"/>
      <c r="CO280" s="42"/>
      <c r="CQ280"/>
      <c r="CR280"/>
      <c r="CS280"/>
      <c r="CT280"/>
      <c r="CU280"/>
      <c r="CV280"/>
    </row>
    <row r="281" spans="1:100" s="31" customFormat="1" x14ac:dyDescent="0.2">
      <c r="CN281" s="65"/>
      <c r="CQ281"/>
      <c r="CR281"/>
      <c r="CS281"/>
      <c r="CT281"/>
      <c r="CU281"/>
      <c r="CV281"/>
    </row>
    <row r="282" spans="1:100" s="31" customFormat="1" x14ac:dyDescent="0.2">
      <c r="CN282" s="65"/>
      <c r="CO282" s="42"/>
      <c r="CQ282"/>
      <c r="CR282"/>
      <c r="CS282"/>
      <c r="CT282"/>
      <c r="CU282"/>
      <c r="CV282"/>
    </row>
    <row r="283" spans="1:100" s="31" customFormat="1" x14ac:dyDescent="0.2">
      <c r="CN283" s="65"/>
      <c r="CQ283"/>
      <c r="CR283"/>
      <c r="CS283"/>
      <c r="CT283"/>
      <c r="CU283"/>
      <c r="CV283"/>
    </row>
    <row r="284" spans="1:100" s="31" customFormat="1" x14ac:dyDescent="0.2">
      <c r="CN284" s="65"/>
      <c r="CQ284"/>
      <c r="CR284"/>
      <c r="CS284"/>
      <c r="CT284"/>
      <c r="CU284"/>
      <c r="CV284"/>
    </row>
    <row r="285" spans="1:100" s="1016" customFormat="1" x14ac:dyDescent="0.2">
      <c r="A285" s="79"/>
      <c r="CN285" s="62"/>
      <c r="CQ285"/>
      <c r="CR285"/>
      <c r="CS285"/>
      <c r="CT285"/>
      <c r="CU285"/>
      <c r="CV285"/>
    </row>
    <row r="309" spans="8:100" s="24" customFormat="1" x14ac:dyDescent="0.2">
      <c r="AM309" s="1211">
        <v>0.35726368860744628</v>
      </c>
      <c r="AN309" s="1211">
        <v>-7.5260443207505148</v>
      </c>
      <c r="AO309" s="1211">
        <v>-6.7841013108366326</v>
      </c>
      <c r="AP309" s="1211">
        <v>7.7862354866914814</v>
      </c>
      <c r="AR309" s="19"/>
      <c r="CQ309"/>
      <c r="CR309"/>
      <c r="CS309"/>
      <c r="CT309"/>
      <c r="CU309"/>
      <c r="CV309"/>
    </row>
    <row r="310" spans="8:100" ht="12" customHeight="1" x14ac:dyDescent="0.2">
      <c r="H310"/>
      <c r="N310"/>
      <c r="T310"/>
      <c r="Z310"/>
      <c r="AF310"/>
      <c r="AL310"/>
      <c r="AR310"/>
      <c r="AX310"/>
      <c r="BD310"/>
      <c r="BJ310"/>
      <c r="BP310"/>
      <c r="BV310"/>
      <c r="CB310"/>
      <c r="CH310"/>
      <c r="CN310"/>
    </row>
    <row r="311" spans="8:100" x14ac:dyDescent="0.2">
      <c r="H311"/>
      <c r="N311"/>
      <c r="T311"/>
      <c r="Z311"/>
      <c r="AF311"/>
      <c r="AL311"/>
      <c r="AR311"/>
      <c r="AX311"/>
      <c r="BD311"/>
      <c r="BJ311"/>
      <c r="BP311"/>
      <c r="BV311"/>
      <c r="CB311"/>
      <c r="CH311"/>
      <c r="CN311"/>
    </row>
    <row r="312" spans="8:100" x14ac:dyDescent="0.2">
      <c r="H312"/>
      <c r="N312"/>
      <c r="T312"/>
      <c r="Z312"/>
      <c r="AF312"/>
      <c r="AL312"/>
      <c r="AR312"/>
      <c r="AX312"/>
      <c r="BD312"/>
      <c r="BJ312"/>
      <c r="BP312"/>
      <c r="BV312"/>
      <c r="CB312"/>
      <c r="CH312"/>
      <c r="CN312"/>
    </row>
    <row r="313" spans="8:100" x14ac:dyDescent="0.2">
      <c r="H313"/>
      <c r="N313"/>
      <c r="T313"/>
      <c r="Z313"/>
      <c r="AF313"/>
      <c r="AL313"/>
      <c r="AR313"/>
      <c r="AX313"/>
      <c r="BD313"/>
      <c r="BJ313"/>
      <c r="BP313"/>
      <c r="BV313"/>
      <c r="CB313"/>
      <c r="CH313"/>
      <c r="CN313"/>
    </row>
    <row r="314" spans="8:100" x14ac:dyDescent="0.2">
      <c r="H314"/>
      <c r="N314"/>
      <c r="T314"/>
      <c r="Z314"/>
      <c r="AF314"/>
      <c r="AL314"/>
      <c r="AR314"/>
      <c r="AX314"/>
      <c r="BD314"/>
      <c r="BJ314"/>
      <c r="BP314"/>
      <c r="BV314"/>
      <c r="CB314"/>
      <c r="CH314"/>
      <c r="CN314"/>
    </row>
    <row r="315" spans="8:100" ht="6.75" customHeight="1" x14ac:dyDescent="0.2">
      <c r="H315"/>
      <c r="N315"/>
      <c r="T315"/>
      <c r="Z315"/>
      <c r="AF315"/>
      <c r="AL315"/>
      <c r="AR315"/>
      <c r="AX315"/>
      <c r="BD315"/>
      <c r="BJ315"/>
      <c r="BP315"/>
      <c r="BV315"/>
      <c r="CB315"/>
      <c r="CH315"/>
      <c r="CN315"/>
    </row>
    <row r="316" spans="8:100" x14ac:dyDescent="0.2">
      <c r="H316"/>
      <c r="N316"/>
      <c r="T316"/>
      <c r="Z316"/>
      <c r="AF316"/>
      <c r="AL316"/>
      <c r="AR316"/>
      <c r="AX316"/>
      <c r="BD316"/>
      <c r="BJ316"/>
      <c r="BP316"/>
      <c r="BV316"/>
      <c r="CB316"/>
      <c r="CH316"/>
      <c r="CN316"/>
    </row>
    <row r="317" spans="8:100" x14ac:dyDescent="0.2">
      <c r="H317"/>
      <c r="N317"/>
      <c r="T317"/>
      <c r="Z317"/>
      <c r="AF317"/>
      <c r="AL317"/>
      <c r="AR317"/>
      <c r="AX317"/>
      <c r="BD317"/>
      <c r="BJ317"/>
      <c r="BP317"/>
      <c r="BV317"/>
      <c r="CB317"/>
      <c r="CH317"/>
      <c r="CN317"/>
    </row>
    <row r="318" spans="8:100" x14ac:dyDescent="0.2">
      <c r="H318"/>
      <c r="N318"/>
      <c r="T318"/>
      <c r="Z318"/>
      <c r="AF318"/>
      <c r="AL318"/>
      <c r="AR318"/>
      <c r="AX318"/>
      <c r="BD318"/>
      <c r="BJ318"/>
      <c r="BP318"/>
      <c r="BV318"/>
      <c r="CB318"/>
      <c r="CH318"/>
      <c r="CN318"/>
    </row>
    <row r="319" spans="8:100" x14ac:dyDescent="0.2">
      <c r="H319"/>
      <c r="N319"/>
      <c r="T319"/>
      <c r="Z319"/>
      <c r="AF319"/>
      <c r="AL319"/>
      <c r="AR319"/>
      <c r="AX319"/>
      <c r="BD319"/>
      <c r="BJ319"/>
      <c r="BP319"/>
      <c r="BV319"/>
      <c r="CB319"/>
      <c r="CH319"/>
      <c r="CN319"/>
    </row>
    <row r="320" spans="8:100" x14ac:dyDescent="0.2">
      <c r="H320"/>
      <c r="N320"/>
      <c r="T320"/>
      <c r="Z320"/>
      <c r="AF320"/>
      <c r="AL320"/>
      <c r="AR320"/>
      <c r="AX320"/>
      <c r="BD320"/>
      <c r="BJ320"/>
      <c r="BP320"/>
      <c r="BV320"/>
      <c r="CB320"/>
      <c r="CH320"/>
      <c r="CN320"/>
    </row>
    <row r="321" spans="8:100" x14ac:dyDescent="0.2">
      <c r="H321"/>
      <c r="N321"/>
      <c r="T321"/>
      <c r="Z321"/>
      <c r="AF321"/>
      <c r="AL321"/>
      <c r="AR321"/>
      <c r="AX321"/>
      <c r="BD321"/>
      <c r="BJ321"/>
      <c r="BP321"/>
      <c r="BV321"/>
      <c r="CB321"/>
      <c r="CH321"/>
      <c r="CN321"/>
    </row>
    <row r="322" spans="8:100" x14ac:dyDescent="0.2">
      <c r="H322"/>
      <c r="N322"/>
      <c r="T322"/>
      <c r="Z322"/>
      <c r="AF322"/>
      <c r="AL322"/>
      <c r="AR322"/>
      <c r="AX322"/>
      <c r="BD322"/>
      <c r="BJ322"/>
      <c r="BP322"/>
      <c r="BV322"/>
      <c r="CB322"/>
      <c r="CH322"/>
      <c r="CN322"/>
    </row>
    <row r="323" spans="8:100" x14ac:dyDescent="0.2">
      <c r="H323"/>
      <c r="N323"/>
      <c r="T323"/>
      <c r="Z323"/>
      <c r="AF323"/>
      <c r="AL323"/>
      <c r="AR323"/>
      <c r="AX323"/>
      <c r="BD323"/>
      <c r="BJ323"/>
      <c r="BP323"/>
      <c r="BV323"/>
      <c r="CB323"/>
      <c r="CH323"/>
      <c r="CN323"/>
    </row>
    <row r="324" spans="8:100" x14ac:dyDescent="0.2">
      <c r="H324"/>
      <c r="N324"/>
      <c r="T324"/>
      <c r="Z324"/>
      <c r="AF324"/>
      <c r="AL324"/>
      <c r="AR324"/>
      <c r="AX324"/>
      <c r="BD324"/>
      <c r="BJ324"/>
      <c r="BP324"/>
      <c r="BV324"/>
      <c r="CB324"/>
      <c r="CH324"/>
      <c r="CN324"/>
    </row>
    <row r="325" spans="8:100" x14ac:dyDescent="0.2">
      <c r="H325"/>
      <c r="N325"/>
      <c r="T325"/>
      <c r="Z325"/>
      <c r="AF325"/>
      <c r="AL325"/>
      <c r="AR325"/>
      <c r="AX325"/>
      <c r="BD325"/>
      <c r="BJ325"/>
      <c r="BP325"/>
      <c r="BV325"/>
      <c r="CB325"/>
      <c r="CH325"/>
      <c r="CN325"/>
    </row>
    <row r="326" spans="8:100" x14ac:dyDescent="0.2">
      <c r="H326"/>
      <c r="N326"/>
      <c r="T326"/>
      <c r="Z326"/>
      <c r="AF326"/>
      <c r="AL326"/>
      <c r="AR326"/>
      <c r="AX326"/>
      <c r="BD326"/>
      <c r="BJ326"/>
      <c r="BP326"/>
      <c r="BV326"/>
      <c r="CB326"/>
      <c r="CH326"/>
      <c r="CN326"/>
    </row>
    <row r="327" spans="8:100" x14ac:dyDescent="0.2">
      <c r="H327"/>
      <c r="N327"/>
      <c r="T327"/>
      <c r="Z327"/>
      <c r="AF327"/>
      <c r="AL327"/>
      <c r="AR327"/>
      <c r="AX327"/>
      <c r="BD327"/>
      <c r="BJ327"/>
      <c r="BP327"/>
      <c r="BV327"/>
      <c r="CB327"/>
      <c r="CH327"/>
      <c r="CN327"/>
    </row>
    <row r="328" spans="8:100" x14ac:dyDescent="0.2">
      <c r="H328"/>
      <c r="N328"/>
      <c r="T328"/>
      <c r="Z328"/>
      <c r="AF328"/>
      <c r="AL328"/>
      <c r="AR328"/>
      <c r="AX328"/>
      <c r="BD328"/>
      <c r="BJ328"/>
      <c r="BP328"/>
      <c r="BV328"/>
      <c r="CB328"/>
      <c r="CH328"/>
      <c r="CN328"/>
    </row>
    <row r="329" spans="8:100" x14ac:dyDescent="0.2">
      <c r="H329"/>
      <c r="N329"/>
      <c r="T329"/>
      <c r="Z329"/>
      <c r="AF329"/>
      <c r="AL329"/>
      <c r="AR329"/>
      <c r="AX329"/>
      <c r="BD329"/>
      <c r="BJ329"/>
      <c r="BP329"/>
      <c r="BV329"/>
      <c r="CB329"/>
      <c r="CH329"/>
      <c r="CN329"/>
    </row>
    <row r="330" spans="8:100" x14ac:dyDescent="0.2">
      <c r="H330"/>
      <c r="N330"/>
      <c r="T330"/>
      <c r="Z330"/>
      <c r="AF330"/>
      <c r="AL330"/>
      <c r="AR330"/>
      <c r="AX330"/>
      <c r="BD330"/>
      <c r="BJ330"/>
      <c r="BP330"/>
      <c r="BV330"/>
      <c r="CB330"/>
      <c r="CH330"/>
      <c r="CN330"/>
    </row>
    <row r="331" spans="8:100" x14ac:dyDescent="0.2">
      <c r="H331"/>
      <c r="N331"/>
      <c r="T331"/>
      <c r="Z331"/>
      <c r="AF331"/>
      <c r="AL331"/>
      <c r="AR331"/>
      <c r="AX331"/>
      <c r="BD331"/>
      <c r="BJ331"/>
      <c r="BP331"/>
      <c r="BV331"/>
      <c r="CB331"/>
      <c r="CH331"/>
      <c r="CN331"/>
    </row>
    <row r="332" spans="8:100" s="782" customFormat="1" x14ac:dyDescent="0.2">
      <c r="CQ332"/>
      <c r="CR332"/>
      <c r="CS332"/>
      <c r="CT332"/>
      <c r="CU332"/>
      <c r="CV332"/>
    </row>
    <row r="333" spans="8:100" s="770" customFormat="1" x14ac:dyDescent="0.2">
      <c r="CQ333"/>
      <c r="CR333"/>
      <c r="CS333"/>
      <c r="CT333"/>
      <c r="CU333"/>
      <c r="CV333"/>
    </row>
    <row r="334" spans="8:100" s="770" customFormat="1" x14ac:dyDescent="0.2">
      <c r="CQ334"/>
      <c r="CR334"/>
      <c r="CS334"/>
      <c r="CT334"/>
      <c r="CU334"/>
      <c r="CV334"/>
    </row>
    <row r="335" spans="8:100" s="770" customFormat="1" x14ac:dyDescent="0.2">
      <c r="CQ335"/>
      <c r="CR335"/>
      <c r="CS335"/>
      <c r="CT335"/>
      <c r="CU335"/>
      <c r="CV335"/>
    </row>
    <row r="336" spans="8:100" s="770" customFormat="1" x14ac:dyDescent="0.2">
      <c r="CQ336"/>
      <c r="CR336"/>
      <c r="CS336"/>
      <c r="CT336"/>
      <c r="CU336"/>
      <c r="CV336"/>
    </row>
    <row r="337" spans="2:101" s="841" customFormat="1" x14ac:dyDescent="0.2">
      <c r="B337" s="407"/>
      <c r="C337" s="792"/>
      <c r="D337" s="792"/>
      <c r="E337" s="792"/>
      <c r="F337" s="792"/>
      <c r="G337" s="532"/>
      <c r="H337" s="19"/>
      <c r="I337" s="792"/>
      <c r="J337" s="792"/>
      <c r="K337" s="792"/>
      <c r="L337" s="792"/>
      <c r="M337" s="532"/>
      <c r="N337" s="19"/>
      <c r="O337" s="792"/>
      <c r="P337" s="792"/>
      <c r="Q337" s="792"/>
      <c r="R337" s="792"/>
      <c r="S337" s="532"/>
      <c r="T337" s="19"/>
      <c r="U337" s="792"/>
      <c r="V337" s="792"/>
      <c r="W337" s="792"/>
      <c r="X337" s="792"/>
      <c r="Y337" s="532"/>
      <c r="Z337" s="19"/>
      <c r="AA337" s="792"/>
      <c r="AB337" s="792"/>
      <c r="AC337" s="792"/>
      <c r="AD337" s="792"/>
      <c r="AE337" s="532"/>
      <c r="AF337" s="19"/>
      <c r="AG337" s="792"/>
      <c r="AH337" s="792"/>
      <c r="AI337" s="792"/>
      <c r="AJ337" s="792"/>
      <c r="AK337" s="532"/>
      <c r="AL337" s="19"/>
      <c r="AM337" s="792"/>
      <c r="AN337" s="792"/>
      <c r="AO337" s="792"/>
      <c r="AP337" s="792"/>
      <c r="AQ337" s="532"/>
      <c r="AR337" s="19"/>
      <c r="AS337" s="792"/>
      <c r="AT337" s="792"/>
      <c r="AU337" s="792"/>
      <c r="AV337" s="792"/>
      <c r="AW337" s="532"/>
      <c r="AX337" s="19"/>
      <c r="AY337" s="903"/>
      <c r="AZ337" s="903"/>
      <c r="BA337" s="903"/>
      <c r="BB337" s="903"/>
      <c r="BC337" s="903"/>
      <c r="BD337" s="771"/>
      <c r="BE337" s="903"/>
      <c r="BF337" s="903"/>
      <c r="BG337" s="903"/>
      <c r="BH337" s="903"/>
      <c r="BI337" s="903"/>
      <c r="BJ337" s="771"/>
      <c r="BK337" s="771"/>
      <c r="BL337" s="771"/>
      <c r="BM337" s="771"/>
      <c r="BN337" s="771"/>
      <c r="BO337" s="771"/>
      <c r="BP337" s="771"/>
      <c r="BQ337" s="771"/>
      <c r="BR337" s="771"/>
      <c r="BS337" s="771"/>
      <c r="BT337" s="771"/>
      <c r="BU337" s="771"/>
      <c r="BV337" s="771"/>
      <c r="BW337" s="771"/>
      <c r="BX337" s="771"/>
      <c r="BY337" s="771"/>
      <c r="BZ337" s="771"/>
      <c r="CA337" s="771"/>
      <c r="CB337" s="771"/>
      <c r="CC337" s="771"/>
      <c r="CD337" s="771"/>
      <c r="CE337" s="771"/>
      <c r="CF337" s="771"/>
      <c r="CG337" s="771"/>
      <c r="CH337" s="771"/>
      <c r="CI337" s="771"/>
      <c r="CJ337" s="771"/>
      <c r="CK337" s="771"/>
      <c r="CL337" s="771"/>
      <c r="CM337" s="771"/>
      <c r="CN337" s="771"/>
      <c r="CO337" s="771"/>
      <c r="CQ337"/>
      <c r="CR337"/>
      <c r="CS337"/>
      <c r="CT337"/>
      <c r="CU337"/>
      <c r="CV337"/>
    </row>
    <row r="338" spans="2:101" x14ac:dyDescent="0.2">
      <c r="H338"/>
      <c r="N338"/>
      <c r="T338"/>
      <c r="Z338"/>
      <c r="AF338"/>
      <c r="AL338"/>
      <c r="AR338"/>
      <c r="AX338"/>
      <c r="BD338"/>
      <c r="BJ338"/>
      <c r="BP338"/>
      <c r="BV338"/>
      <c r="CB338"/>
      <c r="CH338"/>
      <c r="CN338"/>
    </row>
    <row r="339" spans="2:101" x14ac:dyDescent="0.2">
      <c r="H339"/>
      <c r="N339"/>
      <c r="T339"/>
      <c r="Z339"/>
      <c r="AF339"/>
      <c r="AL339"/>
      <c r="AR339"/>
      <c r="AX339"/>
      <c r="BD339"/>
      <c r="BJ339"/>
      <c r="BP339"/>
      <c r="BV339"/>
      <c r="CB339"/>
      <c r="CH339"/>
      <c r="CN339"/>
    </row>
    <row r="340" spans="2:101" x14ac:dyDescent="0.2">
      <c r="H340"/>
      <c r="N340"/>
      <c r="T340"/>
      <c r="Z340"/>
      <c r="AF340"/>
      <c r="AL340"/>
      <c r="AR340"/>
      <c r="AX340"/>
      <c r="BD340"/>
      <c r="BJ340"/>
      <c r="BP340"/>
      <c r="BV340"/>
      <c r="CB340"/>
      <c r="CH340"/>
      <c r="CN340"/>
    </row>
    <row r="341" spans="2:101" x14ac:dyDescent="0.2">
      <c r="H341"/>
      <c r="N341"/>
      <c r="T341"/>
      <c r="Z341"/>
      <c r="AF341"/>
      <c r="AL341"/>
      <c r="AR341"/>
      <c r="AX341"/>
      <c r="BD341"/>
      <c r="BJ341"/>
      <c r="BP341"/>
      <c r="BV341"/>
      <c r="CB341"/>
      <c r="CH341"/>
      <c r="CN341"/>
    </row>
    <row r="342" spans="2:101" x14ac:dyDescent="0.2">
      <c r="H342"/>
      <c r="N342"/>
      <c r="T342"/>
      <c r="Z342"/>
      <c r="AF342"/>
      <c r="AL342"/>
      <c r="AR342"/>
      <c r="AX342"/>
      <c r="BD342"/>
      <c r="BJ342"/>
      <c r="BP342"/>
      <c r="BV342"/>
      <c r="CB342"/>
      <c r="CH342"/>
      <c r="CN342"/>
    </row>
    <row r="343" spans="2:101" x14ac:dyDescent="0.2">
      <c r="H343"/>
      <c r="N343"/>
      <c r="T343"/>
      <c r="Z343"/>
      <c r="AF343"/>
      <c r="AL343"/>
      <c r="AR343"/>
      <c r="AX343"/>
      <c r="BD343"/>
      <c r="BJ343"/>
      <c r="BP343"/>
      <c r="BV343"/>
      <c r="CB343"/>
      <c r="CH343"/>
      <c r="CN343"/>
    </row>
    <row r="344" spans="2:101" x14ac:dyDescent="0.2">
      <c r="H344"/>
      <c r="N344"/>
      <c r="T344"/>
      <c r="Z344"/>
      <c r="AF344"/>
      <c r="AL344"/>
      <c r="AR344"/>
      <c r="AX344"/>
      <c r="BD344"/>
      <c r="BJ344"/>
      <c r="BP344"/>
      <c r="BV344"/>
      <c r="CB344"/>
      <c r="CH344"/>
      <c r="CN344"/>
    </row>
    <row r="345" spans="2:101" x14ac:dyDescent="0.2">
      <c r="H345"/>
      <c r="N345"/>
      <c r="T345"/>
      <c r="Z345"/>
      <c r="AF345"/>
      <c r="AL345"/>
      <c r="AR345"/>
      <c r="AX345"/>
      <c r="BD345"/>
      <c r="BJ345"/>
      <c r="BP345"/>
      <c r="BV345"/>
      <c r="CB345"/>
      <c r="CH345"/>
      <c r="CN345"/>
    </row>
    <row r="346" spans="2:101" x14ac:dyDescent="0.2">
      <c r="H346"/>
      <c r="N346"/>
      <c r="T346"/>
      <c r="Z346"/>
      <c r="AF346"/>
      <c r="AL346"/>
      <c r="AR346"/>
      <c r="AX346"/>
      <c r="BD346"/>
      <c r="BJ346"/>
      <c r="BP346"/>
      <c r="BV346"/>
      <c r="CB346"/>
      <c r="CH346"/>
      <c r="CN346"/>
    </row>
    <row r="347" spans="2:101" x14ac:dyDescent="0.2">
      <c r="H347"/>
      <c r="N347"/>
      <c r="T347"/>
      <c r="Z347"/>
      <c r="AF347"/>
      <c r="AL347"/>
      <c r="AR347"/>
      <c r="AX347"/>
      <c r="BD347"/>
      <c r="BJ347"/>
      <c r="BP347"/>
      <c r="BV347"/>
      <c r="CB347"/>
      <c r="CH347"/>
      <c r="CN347"/>
    </row>
    <row r="348" spans="2:101" s="841" customFormat="1" x14ac:dyDescent="0.2">
      <c r="B348" s="843"/>
      <c r="C348" s="844"/>
      <c r="D348" s="844"/>
      <c r="E348" s="844"/>
      <c r="F348" s="844"/>
      <c r="G348" s="844"/>
      <c r="H348" s="845"/>
      <c r="I348" s="844"/>
      <c r="J348" s="844"/>
      <c r="K348" s="844"/>
      <c r="L348" s="844"/>
      <c r="M348" s="844"/>
      <c r="N348" s="845"/>
      <c r="O348" s="844"/>
      <c r="P348" s="844"/>
      <c r="Q348" s="844"/>
      <c r="R348" s="844"/>
      <c r="S348" s="844"/>
      <c r="T348" s="845"/>
      <c r="U348" s="844"/>
      <c r="V348" s="844"/>
      <c r="W348" s="844"/>
      <c r="X348" s="844"/>
      <c r="Y348" s="844"/>
      <c r="Z348" s="845"/>
      <c r="AA348" s="844"/>
      <c r="AB348" s="844"/>
      <c r="AC348" s="844"/>
      <c r="AD348" s="844"/>
      <c r="AE348" s="844"/>
      <c r="AF348" s="845"/>
      <c r="AG348" s="844"/>
      <c r="AH348" s="844"/>
      <c r="AI348" s="844"/>
      <c r="AJ348" s="844"/>
      <c r="AK348" s="844"/>
      <c r="AL348" s="845"/>
      <c r="AM348" s="844"/>
      <c r="AN348" s="844"/>
      <c r="AO348" s="844"/>
      <c r="AP348" s="844"/>
      <c r="AQ348" s="844"/>
      <c r="AR348" s="845"/>
      <c r="AS348" s="844"/>
      <c r="AT348" s="844"/>
      <c r="AU348" s="844"/>
      <c r="AV348" s="844"/>
      <c r="AW348" s="844"/>
      <c r="AX348" s="845"/>
      <c r="AY348" s="844"/>
      <c r="AZ348" s="844"/>
      <c r="BA348" s="844"/>
      <c r="BB348" s="844"/>
      <c r="BC348" s="844"/>
      <c r="BD348" s="845"/>
      <c r="BJ348" s="845"/>
      <c r="BK348" s="844"/>
      <c r="BL348" s="844"/>
      <c r="BM348" s="844"/>
      <c r="BN348" s="844"/>
      <c r="BO348" s="844"/>
      <c r="BP348" s="845"/>
      <c r="BQ348" s="844"/>
      <c r="BR348" s="844"/>
      <c r="BS348" s="844"/>
      <c r="BT348" s="844"/>
      <c r="BU348" s="844"/>
      <c r="BV348" s="845"/>
      <c r="BW348" s="844"/>
      <c r="BX348" s="844"/>
      <c r="BY348" s="844"/>
      <c r="BZ348" s="844"/>
      <c r="CA348" s="844"/>
      <c r="CB348" s="845"/>
      <c r="CC348" s="844"/>
      <c r="CD348" s="844"/>
      <c r="CE348" s="844"/>
      <c r="CF348" s="844"/>
      <c r="CG348" s="844"/>
      <c r="CH348" s="845"/>
      <c r="CI348" s="844"/>
      <c r="CJ348" s="844"/>
      <c r="CK348" s="844"/>
      <c r="CL348" s="844"/>
      <c r="CM348" s="844"/>
      <c r="CQ348"/>
      <c r="CR348"/>
      <c r="CS348"/>
      <c r="CT348"/>
      <c r="CU348"/>
      <c r="CV348"/>
    </row>
    <row r="349" spans="2:101" x14ac:dyDescent="0.2">
      <c r="O349" s="841"/>
      <c r="P349" s="841"/>
      <c r="Q349" s="841"/>
      <c r="R349" s="841"/>
      <c r="S349" s="841"/>
      <c r="U349" s="841"/>
      <c r="V349" s="841"/>
      <c r="W349" s="841"/>
      <c r="X349" s="841"/>
      <c r="Y349" s="841"/>
      <c r="AA349" s="841"/>
      <c r="AB349" s="841"/>
      <c r="AC349" s="841"/>
      <c r="AD349" s="841"/>
      <c r="AE349" s="841"/>
      <c r="AG349" s="841"/>
      <c r="AH349" s="841"/>
      <c r="AI349" s="841"/>
      <c r="AJ349" s="841"/>
      <c r="AK349" s="841"/>
      <c r="AM349" s="841"/>
      <c r="AN349" s="841"/>
      <c r="AO349" s="841"/>
      <c r="AP349" s="841"/>
      <c r="AQ349" s="841"/>
      <c r="AS349" s="841"/>
      <c r="AT349" s="841"/>
      <c r="AU349" s="841"/>
      <c r="AV349" s="841"/>
      <c r="AW349" s="841"/>
      <c r="AY349" s="841"/>
      <c r="AZ349" s="841"/>
      <c r="BA349" s="841"/>
      <c r="BB349" s="841"/>
      <c r="BC349" s="207"/>
      <c r="BE349" s="844"/>
      <c r="BF349" s="844"/>
      <c r="BG349" s="844"/>
      <c r="BH349" s="844"/>
      <c r="BI349" s="844"/>
      <c r="BK349" s="844"/>
      <c r="BL349" s="841"/>
      <c r="BM349" s="841"/>
      <c r="BN349" s="841"/>
      <c r="BO349" s="841"/>
      <c r="BQ349" s="841"/>
      <c r="BR349" s="841"/>
      <c r="BS349" s="841"/>
      <c r="BT349" s="841"/>
      <c r="BU349" s="841"/>
      <c r="BW349" s="841"/>
      <c r="BX349" s="841"/>
      <c r="BY349" s="841"/>
      <c r="BZ349" s="841"/>
      <c r="CA349" s="841"/>
      <c r="CC349" s="841"/>
      <c r="CD349" s="841"/>
      <c r="CE349" s="841"/>
      <c r="CF349" s="841"/>
      <c r="CG349" s="841"/>
      <c r="CI349" s="841"/>
      <c r="CJ349" s="841"/>
      <c r="CK349" s="841"/>
      <c r="CL349" s="841"/>
      <c r="CM349" s="841"/>
      <c r="CW349" s="841"/>
    </row>
    <row r="350" spans="2:101" x14ac:dyDescent="0.2">
      <c r="CW350" s="841"/>
    </row>
    <row r="351" spans="2:101" x14ac:dyDescent="0.2">
      <c r="CW351" s="841"/>
    </row>
    <row r="352" spans="2:101" x14ac:dyDescent="0.2">
      <c r="CW352" s="841"/>
    </row>
  </sheetData>
  <mergeCells count="15">
    <mergeCell ref="CI4:CM4"/>
    <mergeCell ref="AY4:BC4"/>
    <mergeCell ref="AS4:AW4"/>
    <mergeCell ref="AM4:AQ4"/>
    <mergeCell ref="CC4:CG4"/>
    <mergeCell ref="BQ4:BU4"/>
    <mergeCell ref="BW4:CA4"/>
    <mergeCell ref="BK4:BO4"/>
    <mergeCell ref="BE4:BI4"/>
    <mergeCell ref="AA4:AE4"/>
    <mergeCell ref="AG4:AK4"/>
    <mergeCell ref="C4:G4"/>
    <mergeCell ref="I4:M4"/>
    <mergeCell ref="O4:S4"/>
    <mergeCell ref="U4:Y4"/>
  </mergeCells>
  <phoneticPr fontId="12" type="noConversion"/>
  <printOptions horizontalCentered="1" verticalCentered="1"/>
  <pageMargins left="0" right="0" top="0" bottom="0" header="0" footer="0"/>
  <pageSetup paperSize="5" scale="14" orientation="landscape" r:id="rId1"/>
  <headerFooter alignWithMargins="0"/>
  <ignoredErrors>
    <ignoredError sqref="BF92 BI64:BJ64 BO69:BT69 BO64:CM64 BU94 AY69:BB69 BL51 BF69:BM69 BL60 BE169:BM171 BO94:BO96 BW69:BZ69" formula="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pageSetUpPr fitToPage="1"/>
  </sheetPr>
  <dimension ref="A1:CU178"/>
  <sheetViews>
    <sheetView workbookViewId="0">
      <pane xSplit="2" ySplit="4" topLeftCell="Q5" activePane="bottomRight" state="frozen"/>
      <selection pane="topRight" activeCell="C1" sqref="C1"/>
      <selection pane="bottomLeft" activeCell="A5" sqref="A5"/>
      <selection pane="bottomRight" activeCell="BI16" sqref="BI16"/>
    </sheetView>
  </sheetViews>
  <sheetFormatPr defaultRowHeight="12.75" outlineLevelRow="1" outlineLevelCol="1" x14ac:dyDescent="0.2"/>
  <cols>
    <col min="1" max="1" width="1.28515625" style="847" customWidth="1"/>
    <col min="2" max="2" width="25.7109375" style="847" customWidth="1"/>
    <col min="3" max="3" width="0.42578125" style="847" hidden="1" customWidth="1" outlineLevel="1"/>
    <col min="4" max="9" width="6.85546875" style="847" hidden="1" customWidth="1" outlineLevel="1"/>
    <col min="10" max="10" width="6.85546875" style="847" hidden="1" customWidth="1" outlineLevel="1" collapsed="1"/>
    <col min="11" max="11" width="6.85546875" style="847" hidden="1" customWidth="1" outlineLevel="1"/>
    <col min="12" max="15" width="6.85546875" style="847" hidden="1" customWidth="1" outlineLevel="1" collapsed="1"/>
    <col min="16" max="16" width="6.85546875" style="847" hidden="1" customWidth="1" outlineLevel="1"/>
    <col min="17" max="19" width="6.85546875" style="847" hidden="1" customWidth="1" outlineLevel="1" collapsed="1"/>
    <col min="20" max="20" width="6.85546875" style="847" hidden="1" customWidth="1" outlineLevel="1"/>
    <col min="21" max="22" width="6.85546875" style="847" hidden="1" customWidth="1" outlineLevel="1" collapsed="1"/>
    <col min="23" max="23" width="6.85546875" style="847" hidden="1" customWidth="1" outlineLevel="1"/>
    <col min="24" max="26" width="6.85546875" style="847" hidden="1" customWidth="1" outlineLevel="1" collapsed="1"/>
    <col min="27" max="28" width="6.85546875" style="847" hidden="1" customWidth="1" outlineLevel="1"/>
    <col min="29" max="31" width="6.85546875" style="847" hidden="1" customWidth="1" outlineLevel="1" collapsed="1"/>
    <col min="32" max="32" width="6.85546875" style="847" hidden="1" customWidth="1" outlineLevel="1"/>
    <col min="33" max="35" width="6.5703125" style="847" hidden="1" customWidth="1" outlineLevel="1"/>
    <col min="36" max="36" width="6.5703125" style="847" customWidth="1" collapsed="1"/>
    <col min="37" max="43" width="6.5703125" style="847" customWidth="1"/>
    <col min="44" max="51" width="6.5703125" customWidth="1"/>
    <col min="52" max="57" width="6.5703125" style="1560" customWidth="1"/>
    <col min="58" max="58" width="6.5703125" style="24" customWidth="1"/>
    <col min="59" max="60" width="6.5703125" customWidth="1"/>
  </cols>
  <sheetData>
    <row r="1" spans="1:70" ht="15.75" x14ac:dyDescent="0.25">
      <c r="A1" s="1249" t="s">
        <v>652</v>
      </c>
      <c r="C1" s="848"/>
      <c r="D1" s="849"/>
      <c r="E1" s="849"/>
      <c r="F1" s="849"/>
      <c r="G1" s="849"/>
      <c r="H1" s="849"/>
      <c r="I1" s="849"/>
      <c r="J1" s="849"/>
      <c r="K1" s="849"/>
      <c r="L1" s="850"/>
      <c r="M1" s="849"/>
      <c r="N1" s="849"/>
      <c r="O1" s="850"/>
      <c r="P1" s="849"/>
      <c r="Q1" s="849"/>
      <c r="R1" s="849"/>
      <c r="S1" s="849"/>
      <c r="T1" s="849"/>
      <c r="U1" s="850"/>
      <c r="V1" s="849"/>
      <c r="W1" s="850"/>
      <c r="X1" s="849"/>
      <c r="Y1" s="849"/>
      <c r="Z1" s="849"/>
      <c r="AA1" s="851" t="s">
        <v>488</v>
      </c>
      <c r="AB1" s="852"/>
      <c r="AC1" s="849"/>
      <c r="AD1" s="849"/>
      <c r="AE1" s="849"/>
      <c r="AF1" s="849"/>
      <c r="AG1" s="851"/>
      <c r="AH1" s="853"/>
      <c r="AI1" s="853"/>
      <c r="AJ1" s="853"/>
      <c r="AK1" s="853"/>
      <c r="AL1" s="853"/>
      <c r="AM1" s="521"/>
      <c r="AN1" s="853"/>
      <c r="AO1" s="853"/>
      <c r="AP1" s="853"/>
      <c r="AQ1" s="521"/>
      <c r="AR1" s="1248"/>
      <c r="AS1" s="1248"/>
      <c r="AT1" s="1248"/>
      <c r="AU1" s="521"/>
      <c r="AV1" s="1248"/>
      <c r="AW1" s="1248"/>
      <c r="AX1" s="1248"/>
      <c r="AY1" s="1248"/>
      <c r="BF1" s="1560"/>
    </row>
    <row r="2" spans="1:70" s="1248" customFormat="1" x14ac:dyDescent="0.2">
      <c r="A2" s="846"/>
      <c r="B2" s="847"/>
      <c r="C2" s="848"/>
      <c r="D2" s="849"/>
      <c r="E2" s="849"/>
      <c r="F2" s="849"/>
      <c r="G2" s="849"/>
      <c r="H2" s="849"/>
      <c r="I2" s="849"/>
      <c r="J2" s="849"/>
      <c r="K2" s="849"/>
      <c r="L2" s="850"/>
      <c r="M2" s="849"/>
      <c r="N2" s="849"/>
      <c r="O2" s="850"/>
      <c r="P2" s="849"/>
      <c r="Q2" s="849"/>
      <c r="R2" s="849"/>
      <c r="S2" s="849"/>
      <c r="T2" s="849"/>
      <c r="U2" s="850"/>
      <c r="V2" s="849"/>
      <c r="W2" s="850"/>
      <c r="X2" s="849"/>
      <c r="Y2" s="849"/>
      <c r="Z2" s="849"/>
      <c r="AA2" s="851"/>
      <c r="AB2" s="852"/>
      <c r="AC2" s="849"/>
      <c r="AD2" s="849"/>
      <c r="AE2" s="849"/>
      <c r="AF2" s="849"/>
      <c r="AG2" s="851"/>
      <c r="AH2" s="853"/>
      <c r="AI2" s="521"/>
      <c r="AJ2" s="853"/>
      <c r="AK2" s="853"/>
      <c r="AL2" s="853"/>
      <c r="AM2" s="1251"/>
      <c r="AN2" s="1251"/>
      <c r="AO2" s="1251"/>
      <c r="AP2" s="1251"/>
      <c r="AQ2" s="1251"/>
      <c r="AR2" s="425"/>
      <c r="AS2" s="425"/>
      <c r="AT2" s="425"/>
      <c r="AU2" s="1464"/>
      <c r="AV2"/>
      <c r="AW2"/>
      <c r="AX2"/>
      <c r="AY2" s="1464"/>
      <c r="AZ2" s="1464"/>
      <c r="BA2" s="1464"/>
      <c r="BB2" s="1464"/>
      <c r="BC2" s="1464"/>
      <c r="BD2" s="1464"/>
      <c r="BE2" s="1464"/>
      <c r="BF2" s="1464"/>
    </row>
    <row r="3" spans="1:70" x14ac:dyDescent="0.2">
      <c r="B3" s="1250" t="s">
        <v>649</v>
      </c>
      <c r="C3" s="1251"/>
      <c r="D3" s="1251"/>
      <c r="E3" s="1251"/>
      <c r="F3" s="1251"/>
      <c r="G3" s="1251"/>
      <c r="H3" s="1251"/>
      <c r="I3" s="1251"/>
      <c r="J3" s="1251"/>
      <c r="K3" s="1251"/>
      <c r="L3" s="1251"/>
      <c r="M3" s="1251"/>
      <c r="N3" s="1251"/>
      <c r="O3" s="1251"/>
      <c r="P3" s="1251"/>
      <c r="Q3" s="1251"/>
      <c r="R3" s="1251"/>
      <c r="S3" s="1251"/>
      <c r="T3" s="1251"/>
      <c r="U3" s="1251"/>
      <c r="V3" s="1251"/>
      <c r="W3" s="1251"/>
      <c r="X3" s="1251"/>
      <c r="Y3" s="1251"/>
      <c r="Z3" s="1251"/>
      <c r="AA3" s="1251"/>
      <c r="AB3" s="1251"/>
      <c r="AC3" s="1251"/>
      <c r="AD3" s="1251"/>
      <c r="AE3" s="1251"/>
      <c r="AF3" s="1251"/>
      <c r="AG3" s="1251"/>
      <c r="AH3" s="1251"/>
      <c r="AI3" s="1251"/>
      <c r="AJ3" s="1251"/>
      <c r="AK3" s="1251"/>
      <c r="AL3" s="1251"/>
      <c r="BF3" s="1560"/>
    </row>
    <row r="4" spans="1:70" s="1234" customFormat="1" x14ac:dyDescent="0.2">
      <c r="A4" s="860"/>
      <c r="B4" s="1461" t="s">
        <v>779</v>
      </c>
      <c r="C4" s="1252"/>
      <c r="D4" s="1611" t="s">
        <v>42</v>
      </c>
      <c r="E4" s="1612" t="s">
        <v>43</v>
      </c>
      <c r="F4" s="1612" t="s">
        <v>44</v>
      </c>
      <c r="G4" s="1612" t="s">
        <v>45</v>
      </c>
      <c r="H4" s="1613" t="s">
        <v>46</v>
      </c>
      <c r="I4" s="1614" t="s">
        <v>47</v>
      </c>
      <c r="J4" s="1614" t="s">
        <v>48</v>
      </c>
      <c r="K4" s="1614" t="s">
        <v>49</v>
      </c>
      <c r="L4" s="1613" t="s">
        <v>50</v>
      </c>
      <c r="M4" s="1614" t="s">
        <v>51</v>
      </c>
      <c r="N4" s="1614" t="s">
        <v>52</v>
      </c>
      <c r="O4" s="1614" t="s">
        <v>53</v>
      </c>
      <c r="P4" s="1613" t="s">
        <v>54</v>
      </c>
      <c r="Q4" s="1614" t="s">
        <v>55</v>
      </c>
      <c r="R4" s="1614" t="s">
        <v>56</v>
      </c>
      <c r="S4" s="1614" t="s">
        <v>57</v>
      </c>
      <c r="T4" s="1613" t="s">
        <v>58</v>
      </c>
      <c r="U4" s="1614" t="s">
        <v>59</v>
      </c>
      <c r="V4" s="1614" t="s">
        <v>60</v>
      </c>
      <c r="W4" s="1614" t="s">
        <v>62</v>
      </c>
      <c r="X4" s="1613" t="s">
        <v>63</v>
      </c>
      <c r="Y4" s="1614" t="s">
        <v>64</v>
      </c>
      <c r="Z4" s="1614" t="s">
        <v>65</v>
      </c>
      <c r="AA4" s="1614" t="s">
        <v>66</v>
      </c>
      <c r="AB4" s="1613" t="s">
        <v>348</v>
      </c>
      <c r="AC4" s="1614" t="s">
        <v>349</v>
      </c>
      <c r="AD4" s="1614" t="s">
        <v>350</v>
      </c>
      <c r="AE4" s="1614" t="s">
        <v>351</v>
      </c>
      <c r="AF4" s="1613" t="s">
        <v>233</v>
      </c>
      <c r="AG4" s="1614" t="s">
        <v>234</v>
      </c>
      <c r="AH4" s="1614" t="s">
        <v>235</v>
      </c>
      <c r="AI4" s="1614" t="s">
        <v>375</v>
      </c>
      <c r="AJ4" s="1613" t="s">
        <v>380</v>
      </c>
      <c r="AK4" s="1614" t="s">
        <v>382</v>
      </c>
      <c r="AL4" s="1614" t="s">
        <v>397</v>
      </c>
      <c r="AM4" s="1614" t="s">
        <v>584</v>
      </c>
      <c r="AN4" s="1613" t="s">
        <v>585</v>
      </c>
      <c r="AO4" s="1614" t="s">
        <v>657</v>
      </c>
      <c r="AP4" s="1614" t="s">
        <v>659</v>
      </c>
      <c r="AQ4" s="1614" t="s">
        <v>667</v>
      </c>
      <c r="AR4" s="1613" t="s">
        <v>709</v>
      </c>
      <c r="AS4" s="1614" t="s">
        <v>713</v>
      </c>
      <c r="AT4" s="1614" t="s">
        <v>750</v>
      </c>
      <c r="AU4" s="1614" t="s">
        <v>763</v>
      </c>
      <c r="AV4" s="1613" t="s">
        <v>751</v>
      </c>
      <c r="AW4" s="1614" t="s">
        <v>752</v>
      </c>
      <c r="AX4" s="1614" t="s">
        <v>753</v>
      </c>
      <c r="AY4" s="1614" t="s">
        <v>754</v>
      </c>
      <c r="AZ4" s="1613" t="s">
        <v>768</v>
      </c>
      <c r="BA4" s="1614" t="s">
        <v>769</v>
      </c>
      <c r="BB4" s="1614" t="s">
        <v>770</v>
      </c>
      <c r="BC4" s="1614" t="s">
        <v>771</v>
      </c>
      <c r="BD4" s="1613" t="s">
        <v>772</v>
      </c>
      <c r="BE4" s="1614" t="s">
        <v>773</v>
      </c>
      <c r="BF4" s="1614" t="s">
        <v>774</v>
      </c>
      <c r="BG4" s="1614" t="s">
        <v>775</v>
      </c>
    </row>
    <row r="5" spans="1:70" s="30" customFormat="1" x14ac:dyDescent="0.2">
      <c r="A5" s="847"/>
      <c r="B5" s="1615" t="s">
        <v>777</v>
      </c>
      <c r="C5" s="918"/>
      <c r="D5" s="918"/>
      <c r="E5" s="918"/>
      <c r="F5" s="918"/>
      <c r="G5" s="918"/>
      <c r="H5" s="918"/>
      <c r="I5" s="918"/>
      <c r="J5" s="918"/>
      <c r="K5" s="918"/>
      <c r="L5" s="918"/>
      <c r="M5" s="918"/>
      <c r="N5" s="918"/>
      <c r="O5" s="918"/>
      <c r="P5" s="918"/>
      <c r="Q5" s="918"/>
      <c r="R5" s="918"/>
      <c r="S5" s="918"/>
      <c r="T5" s="918"/>
      <c r="U5" s="918"/>
      <c r="V5" s="918"/>
      <c r="W5" s="918"/>
      <c r="X5" s="918"/>
      <c r="Y5" s="918"/>
      <c r="Z5" s="918"/>
      <c r="AA5" s="918"/>
      <c r="AB5" s="918"/>
      <c r="AC5" s="918"/>
      <c r="AD5" s="918"/>
      <c r="AE5" s="918"/>
      <c r="AF5" s="918"/>
      <c r="AG5" s="918"/>
      <c r="AH5" s="918"/>
      <c r="AI5" s="918"/>
      <c r="AJ5" s="1616"/>
      <c r="AK5" s="1616"/>
      <c r="AL5" s="1616"/>
      <c r="AM5" s="1616"/>
      <c r="AN5" s="1630"/>
      <c r="AO5" s="1616"/>
      <c r="AP5" s="1616"/>
      <c r="AQ5" s="1616"/>
      <c r="AR5" s="1630"/>
      <c r="AS5" s="1616"/>
      <c r="AT5" s="1616"/>
      <c r="AU5" s="837"/>
      <c r="AV5" s="1633"/>
      <c r="AW5" s="837"/>
      <c r="AX5" s="837"/>
      <c r="AY5" s="837"/>
      <c r="AZ5" s="1633"/>
      <c r="BA5" s="837"/>
      <c r="BB5" s="837"/>
      <c r="BC5" s="837"/>
      <c r="BD5" s="1634"/>
      <c r="BF5" s="26"/>
    </row>
    <row r="6" spans="1:70" s="30" customFormat="1" outlineLevel="1" x14ac:dyDescent="0.2">
      <c r="A6" s="847"/>
      <c r="B6" s="886" t="s">
        <v>716</v>
      </c>
      <c r="C6" s="886"/>
      <c r="D6" s="409"/>
      <c r="E6" s="409"/>
      <c r="F6" s="409"/>
      <c r="G6" s="409"/>
      <c r="H6" s="409"/>
      <c r="I6" s="409"/>
      <c r="J6" s="409"/>
      <c r="K6" s="409"/>
      <c r="L6" s="409"/>
      <c r="M6" s="409"/>
      <c r="N6" s="409"/>
      <c r="O6" s="409"/>
      <c r="P6" s="409"/>
      <c r="Q6" s="409"/>
      <c r="R6" s="409"/>
      <c r="S6" s="409"/>
      <c r="T6" s="409"/>
      <c r="U6" s="409"/>
      <c r="V6" s="409"/>
      <c r="W6" s="409"/>
      <c r="X6" s="409"/>
      <c r="Y6" s="409"/>
      <c r="Z6" s="409"/>
      <c r="AA6" s="409"/>
      <c r="AB6" s="409"/>
      <c r="AC6" s="409"/>
      <c r="AD6" s="409"/>
      <c r="AE6" s="409"/>
      <c r="AF6" s="409" t="s">
        <v>650</v>
      </c>
      <c r="AG6" s="409" t="s">
        <v>650</v>
      </c>
      <c r="AH6" s="409" t="s">
        <v>650</v>
      </c>
      <c r="AI6" s="409" t="s">
        <v>650</v>
      </c>
      <c r="AJ6" s="409">
        <f>+RevBuild!AY41</f>
        <v>5.8000000000000003E-2</v>
      </c>
      <c r="AK6" s="409">
        <f>+RevBuild!AZ41</f>
        <v>2.5000000000000001E-2</v>
      </c>
      <c r="AL6" s="409">
        <f>+RevBuild!BA41</f>
        <v>6.2E-2</v>
      </c>
      <c r="AM6" s="409">
        <f>+RevBuild!BB41</f>
        <v>6.6000000000000003E-2</v>
      </c>
      <c r="AN6" s="1631">
        <f>+RevBuild!BE41</f>
        <v>5.7000000000000002E-2</v>
      </c>
      <c r="AO6" s="409">
        <f>+RevBuild!BF41</f>
        <v>1.2E-2</v>
      </c>
      <c r="AP6" s="409">
        <f>+RevBuild!BG41</f>
        <v>-3.2000000000000001E-2</v>
      </c>
      <c r="AQ6" s="409">
        <f>+RevBuild!BH41</f>
        <v>-7.0000000000000007E-2</v>
      </c>
      <c r="AR6" s="1631">
        <f>+RevBuild!BK41</f>
        <v>-0.113</v>
      </c>
      <c r="AS6" s="409">
        <f>+RevBuild!BL41</f>
        <v>-0.111</v>
      </c>
      <c r="AT6" s="409">
        <f>+RevBuild!BM41</f>
        <v>7.1000000000000008E-2</v>
      </c>
      <c r="AU6" s="409">
        <f>+RevBuild!BN41</f>
        <v>9.7000000000000003E-2</v>
      </c>
      <c r="AV6" s="1631">
        <f>+RevBuild!BQ41</f>
        <v>-7.0000000000000007E-2</v>
      </c>
      <c r="AW6" s="409">
        <f>+RevBuild!BR41</f>
        <v>0.01</v>
      </c>
      <c r="AX6" s="409">
        <f>+RevBuild!BS41</f>
        <v>0.04</v>
      </c>
      <c r="AY6" s="409">
        <f>+RevBuild!BT41</f>
        <v>0.04</v>
      </c>
      <c r="AZ6" s="1631">
        <f>+RevBuild!BW41</f>
        <v>3.5000000000000003E-2</v>
      </c>
      <c r="BA6" s="409">
        <f>+RevBuild!BX41</f>
        <v>3.5000000000000003E-2</v>
      </c>
      <c r="BB6" s="409">
        <f>+RevBuild!BY41</f>
        <v>3.5000000000000003E-2</v>
      </c>
      <c r="BC6" s="409">
        <f>+RevBuild!BZ41</f>
        <v>3.5000000000000003E-2</v>
      </c>
      <c r="BD6" s="1634"/>
      <c r="BF6" s="409"/>
      <c r="BL6" s="850"/>
    </row>
    <row r="7" spans="1:70" s="30" customFormat="1" x14ac:dyDescent="0.2">
      <c r="A7" s="847"/>
      <c r="B7" s="886" t="s">
        <v>776</v>
      </c>
      <c r="C7" s="886"/>
      <c r="D7" s="409"/>
      <c r="E7" s="409"/>
      <c r="F7" s="409"/>
      <c r="G7" s="409"/>
      <c r="H7" s="409"/>
      <c r="I7" s="409"/>
      <c r="J7" s="409"/>
      <c r="K7" s="409"/>
      <c r="L7" s="409"/>
      <c r="M7" s="409"/>
      <c r="N7" s="409"/>
      <c r="O7" s="409"/>
      <c r="P7" s="409"/>
      <c r="Q7" s="409"/>
      <c r="R7" s="409"/>
      <c r="S7" s="409"/>
      <c r="T7" s="409"/>
      <c r="U7" s="409"/>
      <c r="V7" s="409"/>
      <c r="W7" s="409"/>
      <c r="X7" s="409"/>
      <c r="Y7" s="409"/>
      <c r="Z7" s="409"/>
      <c r="AA7" s="409"/>
      <c r="AB7" s="409"/>
      <c r="AC7" s="409"/>
      <c r="AD7" s="409"/>
      <c r="AE7" s="409"/>
      <c r="AF7" s="409"/>
      <c r="AG7" s="409"/>
      <c r="AH7" s="409"/>
      <c r="AI7" s="409"/>
      <c r="AJ7" s="409">
        <f>+RevBuild!AY43</f>
        <v>5.8000000000000003E-2</v>
      </c>
      <c r="AK7" s="409">
        <f>+RevBuild!AZ43</f>
        <v>2.5000000000000001E-2</v>
      </c>
      <c r="AL7" s="409">
        <f>+RevBuild!BA43</f>
        <v>6.0999999999999992E-2</v>
      </c>
      <c r="AM7" s="409">
        <f>+RevBuild!BB43</f>
        <v>6.7000000000000004E-2</v>
      </c>
      <c r="AN7" s="1631">
        <f>+RevBuild!BE43</f>
        <v>5.7000000000000002E-2</v>
      </c>
      <c r="AO7" s="409">
        <f>+RevBuild!BF43</f>
        <v>1.2E-2</v>
      </c>
      <c r="AP7" s="409">
        <f>+RevBuild!BG43</f>
        <v>0.02</v>
      </c>
      <c r="AQ7" s="409">
        <f>+RevBuild!BH43</f>
        <v>1.5235481074833856E-2</v>
      </c>
      <c r="AR7" s="1631">
        <f>+RevBuild!BK43</f>
        <v>7.8285385500575233E-3</v>
      </c>
      <c r="AS7" s="409">
        <f>+RevBuild!BL43</f>
        <v>8.8910081743869135E-3</v>
      </c>
      <c r="AT7" s="409">
        <f>+RevBuild!BM43</f>
        <v>1.7316731285416054E-2</v>
      </c>
      <c r="AU7" s="409">
        <f>+RevBuild!BN43</f>
        <v>2.7027380590203834E-2</v>
      </c>
      <c r="AV7" s="1631">
        <f>+RevBuild!BQ43</f>
        <v>4.1607142857142843E-2</v>
      </c>
      <c r="AW7" s="409">
        <f>+RevBuild!BR43</f>
        <v>4.0156815440289505E-2</v>
      </c>
      <c r="AX7" s="409">
        <f>+RevBuild!BS43</f>
        <v>0.04</v>
      </c>
      <c r="AY7" s="409">
        <f>+RevBuild!BT43</f>
        <v>0.04</v>
      </c>
      <c r="AZ7" s="1631">
        <f>+RevBuild!BW43</f>
        <v>3.5000000000000003E-2</v>
      </c>
      <c r="BA7" s="409">
        <f>+RevBuild!BX43</f>
        <v>3.5000000000000003E-2</v>
      </c>
      <c r="BB7" s="409">
        <f>+RevBuild!BY43</f>
        <v>3.5000000000000003E-2</v>
      </c>
      <c r="BC7" s="409">
        <f>+RevBuild!BZ43</f>
        <v>3.5000000000000003E-2</v>
      </c>
      <c r="BD7" s="1634"/>
      <c r="BF7" s="409"/>
      <c r="BL7" s="850"/>
    </row>
    <row r="8" spans="1:70" s="30" customFormat="1" x14ac:dyDescent="0.2">
      <c r="A8" s="847"/>
      <c r="B8" s="891" t="s">
        <v>706</v>
      </c>
      <c r="C8" s="891"/>
      <c r="D8" s="1618"/>
      <c r="E8" s="1618"/>
      <c r="F8" s="1618"/>
      <c r="G8" s="1618"/>
      <c r="H8" s="1618"/>
      <c r="I8" s="1618"/>
      <c r="J8" s="1618"/>
      <c r="K8" s="1618"/>
      <c r="L8" s="1618"/>
      <c r="M8" s="1618"/>
      <c r="N8" s="1618"/>
      <c r="O8" s="1618"/>
      <c r="P8" s="1618"/>
      <c r="Q8" s="1618"/>
      <c r="R8" s="1618"/>
      <c r="S8" s="1618"/>
      <c r="T8" s="1618"/>
      <c r="U8" s="1618"/>
      <c r="V8" s="1618"/>
      <c r="W8" s="1618"/>
      <c r="X8" s="1618"/>
      <c r="Y8" s="1618"/>
      <c r="Z8" s="1618"/>
      <c r="AA8" s="1618"/>
      <c r="AB8" s="1618"/>
      <c r="AC8" s="1618"/>
      <c r="AD8" s="1618"/>
      <c r="AE8" s="1618"/>
      <c r="AF8" s="1618"/>
      <c r="AG8" s="1618"/>
      <c r="AH8" s="1618"/>
      <c r="AI8" s="1618"/>
      <c r="AJ8" s="1618">
        <f>+RevBuild!AY52</f>
        <v>5.5000000000000005E-3</v>
      </c>
      <c r="AK8" s="1618">
        <f>+RevBuild!AZ52</f>
        <v>8.8600000000000012E-2</v>
      </c>
      <c r="AL8" s="1618">
        <f>+RevBuild!BA52</f>
        <v>-3.0000000000000001E-3</v>
      </c>
      <c r="AM8" s="1618">
        <f>+RevBuild!BB52</f>
        <v>5.5999999999999999E-3</v>
      </c>
      <c r="AN8" s="1636">
        <f>+RevBuild!BE52</f>
        <v>4.1000000000000002E-2</v>
      </c>
      <c r="AO8" s="1618">
        <f>+RevBuild!BF52</f>
        <v>3.0000000000000001E-3</v>
      </c>
      <c r="AP8" s="1618">
        <f>+RevBuild!BG52</f>
        <v>1.2E-2</v>
      </c>
      <c r="AQ8" s="1618">
        <f>+RevBuild!BH52</f>
        <v>5.2000000000000005E-2</v>
      </c>
      <c r="AR8" s="1636">
        <f>+RevBuild!BK52</f>
        <v>3.5927576601671306E-2</v>
      </c>
      <c r="AS8" s="1618">
        <f>+RevBuild!BL52</f>
        <v>2.8226025607525476E-2</v>
      </c>
      <c r="AT8" s="1618">
        <f>+RevBuild!BM52</f>
        <v>3.1334862385321099E-2</v>
      </c>
      <c r="AU8" s="1618">
        <f>+RevBuild!BN52</f>
        <v>2.3E-2</v>
      </c>
      <c r="AV8" s="1636">
        <f>+RevBuild!BQ52</f>
        <v>0.01</v>
      </c>
      <c r="AW8" s="1618">
        <f>+RevBuild!BR52</f>
        <v>0.02</v>
      </c>
      <c r="AX8" s="1618">
        <f>+RevBuild!BS52</f>
        <v>0.03</v>
      </c>
      <c r="AY8" s="1618">
        <f>+RevBuild!BT52</f>
        <v>0.04</v>
      </c>
      <c r="AZ8" s="1636">
        <f>+RevBuild!BW52</f>
        <v>0.03</v>
      </c>
      <c r="BA8" s="1618">
        <f>+RevBuild!BX52</f>
        <v>0.06</v>
      </c>
      <c r="BB8" s="1618">
        <f>+RevBuild!BY52</f>
        <v>4.9999999999999996E-2</v>
      </c>
      <c r="BC8" s="1618">
        <f>+RevBuild!BZ52</f>
        <v>0.03</v>
      </c>
      <c r="BD8" s="1634"/>
      <c r="BF8" s="409"/>
      <c r="BH8" s="386">
        <f>AQ19-AVERAGE(AN19:AP19)</f>
        <v>4.568814408167185E-3</v>
      </c>
      <c r="BI8" s="386">
        <f>+AVERAGE(AR19:AU19)-AVERAGE(AN19:AQ19)</f>
        <v>-3.7484085349983931E-2</v>
      </c>
      <c r="BL8" s="850"/>
    </row>
    <row r="9" spans="1:70" s="30" customFormat="1" x14ac:dyDescent="0.2">
      <c r="A9" s="847"/>
      <c r="B9" s="886" t="s">
        <v>707</v>
      </c>
      <c r="C9" s="886"/>
      <c r="D9" s="409"/>
      <c r="E9" s="409"/>
      <c r="F9" s="409"/>
      <c r="G9" s="409"/>
      <c r="H9" s="409"/>
      <c r="I9" s="409"/>
      <c r="J9" s="409"/>
      <c r="K9" s="409"/>
      <c r="L9" s="409"/>
      <c r="M9" s="409"/>
      <c r="N9" s="409"/>
      <c r="O9" s="409"/>
      <c r="P9" s="409"/>
      <c r="Q9" s="409"/>
      <c r="R9" s="409"/>
      <c r="S9" s="409"/>
      <c r="T9" s="409"/>
      <c r="U9" s="409"/>
      <c r="V9" s="409"/>
      <c r="W9" s="409"/>
      <c r="X9" s="409"/>
      <c r="Y9" s="409"/>
      <c r="Z9" s="409"/>
      <c r="AA9" s="409"/>
      <c r="AB9" s="409"/>
      <c r="AC9" s="409"/>
      <c r="AD9" s="409"/>
      <c r="AE9" s="409"/>
      <c r="AF9" s="409"/>
      <c r="AG9" s="409"/>
      <c r="AH9" s="409"/>
      <c r="AI9" s="409"/>
      <c r="AJ9" s="409">
        <f>+RevBuild!AY61</f>
        <v>-9.0000000000000011E-3</v>
      </c>
      <c r="AK9" s="409">
        <f>+RevBuild!AZ61</f>
        <v>0.113</v>
      </c>
      <c r="AL9" s="409">
        <f>+RevBuild!BA61</f>
        <v>0.15639999999999998</v>
      </c>
      <c r="AM9" s="409">
        <f>+RevBuild!BB61</f>
        <v>6.2E-2</v>
      </c>
      <c r="AN9" s="1631">
        <f>+RevBuild!BE61</f>
        <v>7.4999999999999997E-2</v>
      </c>
      <c r="AO9" s="409">
        <f>+RevBuild!BF61</f>
        <v>7.4999999999999997E-2</v>
      </c>
      <c r="AP9" s="409">
        <f>+RevBuild!BG61</f>
        <v>2.5999999999999999E-2</v>
      </c>
      <c r="AQ9" s="409">
        <f>+RevBuild!BH61</f>
        <v>9.4E-2</v>
      </c>
      <c r="AR9" s="1631">
        <f>+RevBuild!BK61</f>
        <v>-2.8958525345622124E-2</v>
      </c>
      <c r="AS9" s="409">
        <f>+RevBuild!BL61</f>
        <v>-6.3086515978176185E-3</v>
      </c>
      <c r="AT9" s="409">
        <f>+RevBuild!BM61</f>
        <v>-9.5220101285547303E-3</v>
      </c>
      <c r="AU9" s="409">
        <f>+RevBuild!BN61</f>
        <v>3.8590132827324479E-2</v>
      </c>
      <c r="AV9" s="1631">
        <f>+RevBuild!BQ61</f>
        <v>7.0000000000000007E-2</v>
      </c>
      <c r="AW9" s="409">
        <f>+RevBuild!BR61</f>
        <v>0.06</v>
      </c>
      <c r="AX9" s="409">
        <f>+RevBuild!BS61</f>
        <v>0.08</v>
      </c>
      <c r="AY9" s="409">
        <f>+RevBuild!BT61</f>
        <v>0.04</v>
      </c>
      <c r="AZ9" s="1631">
        <f>+RevBuild!BW61</f>
        <v>0.04</v>
      </c>
      <c r="BA9" s="409">
        <f>+RevBuild!BX61</f>
        <v>0.04</v>
      </c>
      <c r="BB9" s="409">
        <f>+RevBuild!BY61</f>
        <v>0.04</v>
      </c>
      <c r="BC9" s="409">
        <f>+RevBuild!BZ61</f>
        <v>0.04</v>
      </c>
      <c r="BD9" s="1634"/>
      <c r="BF9" s="409"/>
      <c r="BL9" s="850"/>
    </row>
    <row r="10" spans="1:70" s="30" customFormat="1" x14ac:dyDescent="0.2">
      <c r="A10" s="847"/>
      <c r="B10" s="1615" t="s">
        <v>778</v>
      </c>
      <c r="C10" s="918"/>
      <c r="D10" s="918"/>
      <c r="E10" s="918"/>
      <c r="F10" s="918"/>
      <c r="G10" s="918"/>
      <c r="H10" s="918"/>
      <c r="I10" s="918"/>
      <c r="J10" s="918"/>
      <c r="K10" s="918"/>
      <c r="L10" s="918"/>
      <c r="M10" s="918"/>
      <c r="N10" s="918"/>
      <c r="O10" s="918"/>
      <c r="P10" s="918"/>
      <c r="Q10" s="918"/>
      <c r="R10" s="918"/>
      <c r="S10" s="918"/>
      <c r="T10" s="918"/>
      <c r="U10" s="918"/>
      <c r="V10" s="918"/>
      <c r="W10" s="918"/>
      <c r="X10" s="918"/>
      <c r="Y10" s="918"/>
      <c r="Z10" s="918"/>
      <c r="AA10" s="918"/>
      <c r="AB10" s="918"/>
      <c r="AC10" s="918"/>
      <c r="AD10" s="918"/>
      <c r="AE10" s="918"/>
      <c r="AF10" s="918"/>
      <c r="AG10" s="918"/>
      <c r="AH10" s="918"/>
      <c r="AI10" s="918"/>
      <c r="AJ10" s="1616"/>
      <c r="AK10" s="1616"/>
      <c r="AL10" s="1616"/>
      <c r="AM10" s="1616"/>
      <c r="AN10" s="1630"/>
      <c r="AO10" s="1616"/>
      <c r="AP10" s="1616"/>
      <c r="AQ10" s="1616"/>
      <c r="AR10" s="1630"/>
      <c r="AS10" s="1616"/>
      <c r="AT10" s="1616"/>
      <c r="AU10" s="837"/>
      <c r="AV10" s="1633"/>
      <c r="AW10" s="837"/>
      <c r="AX10" s="837"/>
      <c r="AY10" s="837"/>
      <c r="AZ10" s="1633"/>
      <c r="BA10" s="837"/>
      <c r="BB10" s="837"/>
      <c r="BC10" s="837"/>
      <c r="BD10" s="1634"/>
      <c r="BF10" s="409"/>
      <c r="BH10" s="386">
        <f>AQ20-AVERAGE(AN20:AP20)</f>
        <v>8.5666666666666669E-3</v>
      </c>
      <c r="BI10" s="386">
        <f>+AVERAGE(AR20:AU20)-AVERAGE(AN20:AQ20)</f>
        <v>5.4471161486294647E-3</v>
      </c>
      <c r="BL10" s="850"/>
    </row>
    <row r="11" spans="1:70" s="30" customFormat="1" x14ac:dyDescent="0.2">
      <c r="A11" s="847"/>
      <c r="B11" s="863" t="s">
        <v>711</v>
      </c>
      <c r="C11" s="1621"/>
      <c r="D11" s="1619"/>
      <c r="E11" s="1619"/>
      <c r="F11" s="1619"/>
      <c r="G11" s="1619"/>
      <c r="H11" s="1619"/>
      <c r="I11" s="1619"/>
      <c r="J11" s="1619"/>
      <c r="K11" s="1619"/>
      <c r="L11" s="1619"/>
      <c r="M11" s="1619"/>
      <c r="N11" s="1619"/>
      <c r="O11" s="1619"/>
      <c r="P11" s="409"/>
      <c r="Q11" s="409"/>
      <c r="R11" s="409"/>
      <c r="S11" s="409"/>
      <c r="T11" s="409"/>
      <c r="U11" s="409"/>
      <c r="V11" s="409"/>
      <c r="W11" s="409"/>
      <c r="X11" s="409"/>
      <c r="Y11" s="409"/>
      <c r="Z11" s="409"/>
      <c r="AA11" s="409"/>
      <c r="AB11" s="409"/>
      <c r="AC11" s="409"/>
      <c r="AD11" s="409"/>
      <c r="AE11" s="409"/>
      <c r="AF11" s="409"/>
      <c r="AG11" s="409"/>
      <c r="AH11" s="409"/>
      <c r="AI11" s="409"/>
      <c r="AJ11" s="409"/>
      <c r="AK11" s="409"/>
      <c r="AL11" s="409"/>
      <c r="AM11" s="409"/>
      <c r="AN11" s="1631">
        <f>+RevBuild!BE13</f>
        <v>5.3999999999999992E-2</v>
      </c>
      <c r="AO11" s="409">
        <f>+RevBuild!BF13</f>
        <v>1.2000000000000004E-2</v>
      </c>
      <c r="AP11" s="409">
        <f>+RevBuild!BG13</f>
        <v>-2E-3</v>
      </c>
      <c r="AQ11" s="409">
        <f>+RevBuild!BH13</f>
        <v>5.4949594959495952E-2</v>
      </c>
      <c r="AR11" s="1631">
        <f>+RevBuild!BK13</f>
        <v>-3.5240183376521184E-4</v>
      </c>
      <c r="AS11" s="409">
        <f>+RevBuild!BL13</f>
        <v>4.6378630333453047E-3</v>
      </c>
      <c r="AT11" s="409">
        <f>+RevBuild!BM13</f>
        <v>1.0188299108872527E-2</v>
      </c>
      <c r="AU11" s="409">
        <f>+RevBuild!BN13</f>
        <v>2.1196219621962199E-2</v>
      </c>
      <c r="AV11" s="1631">
        <f>+RevBuild!BQ13</f>
        <v>0.15156237016528509</v>
      </c>
      <c r="AW11" s="409">
        <f>+RevBuild!BR13</f>
        <v>0.11753541545649408</v>
      </c>
      <c r="AX11" s="409">
        <f>+RevBuild!BS13</f>
        <v>0.11296410996430428</v>
      </c>
      <c r="AY11" s="409">
        <f>+RevBuild!BT13</f>
        <v>0.10046575089278911</v>
      </c>
      <c r="AZ11" s="1631">
        <f>+RevBuild!BW13</f>
        <v>3.8250003957528061E-2</v>
      </c>
      <c r="BA11" s="409">
        <f>+RevBuild!BX13</f>
        <v>6.13507692004477E-2</v>
      </c>
      <c r="BB11" s="409">
        <f>+RevBuild!BY13</f>
        <v>5.1593067388588265E-2</v>
      </c>
      <c r="BC11" s="409">
        <f>+RevBuild!BZ13</f>
        <v>3.7378060458447285E-2</v>
      </c>
      <c r="BD11" s="1634"/>
      <c r="BF11" s="409"/>
      <c r="BL11" s="850"/>
      <c r="BR11" s="26"/>
    </row>
    <row r="12" spans="1:70" s="30" customFormat="1" x14ac:dyDescent="0.2">
      <c r="A12" s="847"/>
      <c r="B12" s="865" t="s">
        <v>712</v>
      </c>
      <c r="C12" s="1637"/>
      <c r="D12" s="923"/>
      <c r="E12" s="923"/>
      <c r="F12" s="923"/>
      <c r="G12" s="923"/>
      <c r="H12" s="923"/>
      <c r="I12" s="923"/>
      <c r="J12" s="923"/>
      <c r="K12" s="923"/>
      <c r="L12" s="923"/>
      <c r="M12" s="923"/>
      <c r="N12" s="923"/>
      <c r="O12" s="923"/>
      <c r="P12" s="1618"/>
      <c r="Q12" s="1618"/>
      <c r="R12" s="1618"/>
      <c r="S12" s="1618"/>
      <c r="T12" s="1618"/>
      <c r="U12" s="1618"/>
      <c r="V12" s="1618"/>
      <c r="W12" s="1618"/>
      <c r="X12" s="1618"/>
      <c r="Y12" s="1618"/>
      <c r="Z12" s="1618"/>
      <c r="AA12" s="1618"/>
      <c r="AB12" s="1618"/>
      <c r="AC12" s="1618"/>
      <c r="AD12" s="1618"/>
      <c r="AE12" s="1618"/>
      <c r="AF12" s="1618"/>
      <c r="AG12" s="1618"/>
      <c r="AH12" s="1618"/>
      <c r="AI12" s="1618"/>
      <c r="AJ12" s="1618"/>
      <c r="AK12" s="1618"/>
      <c r="AL12" s="1618"/>
      <c r="AM12" s="1618"/>
      <c r="AN12" s="1636">
        <f>+RevBuild!BE20</f>
        <v>5.7000000000000002E-2</v>
      </c>
      <c r="AO12" s="1618">
        <f>+RevBuild!BF20</f>
        <v>3.9E-2</v>
      </c>
      <c r="AP12" s="1618">
        <f>+RevBuild!BG20</f>
        <v>2E-3</v>
      </c>
      <c r="AQ12" s="1618">
        <f>+RevBuild!BH20</f>
        <v>4.1000000000000002E-2</v>
      </c>
      <c r="AR12" s="1636">
        <f>+RevBuild!BK20</f>
        <v>2.4E-2</v>
      </c>
      <c r="AS12" s="1618">
        <f>+RevBuild!BL20</f>
        <v>2.4E-2</v>
      </c>
      <c r="AT12" s="1618">
        <f>+RevBuild!BM20</f>
        <v>3.3000000000000002E-2</v>
      </c>
      <c r="AU12" s="1618">
        <f>+RevBuild!BN20</f>
        <v>3.9E-2</v>
      </c>
      <c r="AV12" s="1636">
        <f>+RevBuild!BQ20</f>
        <v>0.04</v>
      </c>
      <c r="AW12" s="1618">
        <f>+RevBuild!BR20</f>
        <v>0.04</v>
      </c>
      <c r="AX12" s="1618">
        <f>+RevBuild!BS20</f>
        <v>0.03</v>
      </c>
      <c r="AY12" s="1618">
        <f>+RevBuild!BT20</f>
        <v>0.03</v>
      </c>
      <c r="AZ12" s="1636">
        <f>+RevBuild!BW20</f>
        <v>0.03</v>
      </c>
      <c r="BA12" s="1618">
        <f>+RevBuild!BX20</f>
        <v>0.03</v>
      </c>
      <c r="BB12" s="1618">
        <f>+RevBuild!BY20</f>
        <v>0.03</v>
      </c>
      <c r="BC12" s="1618">
        <f>+RevBuild!BZ20</f>
        <v>0.03</v>
      </c>
      <c r="BD12" s="1634"/>
      <c r="BF12" s="409"/>
      <c r="BL12" s="850"/>
      <c r="BR12" s="26"/>
    </row>
    <row r="13" spans="1:70" s="587" customFormat="1" outlineLevel="1" x14ac:dyDescent="0.2">
      <c r="A13" s="873"/>
      <c r="B13" s="1282" t="s">
        <v>780</v>
      </c>
      <c r="C13" s="1282"/>
      <c r="D13" s="1619"/>
      <c r="E13" s="1619"/>
      <c r="F13" s="1619"/>
      <c r="G13" s="1619"/>
      <c r="H13" s="1619"/>
      <c r="I13" s="1619"/>
      <c r="J13" s="51"/>
      <c r="K13" s="51"/>
      <c r="L13" s="1619">
        <f>+RevBuild!O132</f>
        <v>-3.3066551555942916E-2</v>
      </c>
      <c r="M13" s="1619">
        <f>+RevBuild!P132</f>
        <v>-3.3945079543622123E-2</v>
      </c>
      <c r="N13" s="1619">
        <f>+RevBuild!Q132</f>
        <v>-3.0417048765068882E-2</v>
      </c>
      <c r="O13" s="1619">
        <f>+RevBuild!R132</f>
        <v>-3.8784232591296652E-2</v>
      </c>
      <c r="P13" s="1619">
        <f>+RevBuild!U132</f>
        <v>-2.2552057924710108E-3</v>
      </c>
      <c r="Q13" s="1619">
        <f>+RevBuild!V132</f>
        <v>-2.5541535276446979E-3</v>
      </c>
      <c r="R13" s="1619">
        <f>+RevBuild!W132</f>
        <v>-2.9287264546215101E-3</v>
      </c>
      <c r="S13" s="1619">
        <f>+RevBuild!X132</f>
        <v>4.7012078119251077E-3</v>
      </c>
      <c r="T13" s="1619">
        <f>+RevBuild!AA132</f>
        <v>-6.7366223866483612E-3</v>
      </c>
      <c r="U13" s="1619">
        <f>+RevBuild!AB132</f>
        <v>1.7188633875177592E-2</v>
      </c>
      <c r="V13" s="1619">
        <f>+RevBuild!AC132</f>
        <v>-4.3024399470759214E-2</v>
      </c>
      <c r="W13" s="1619">
        <f>+RevBuild!AD132</f>
        <v>-0.17502954349790306</v>
      </c>
      <c r="X13" s="1619">
        <f>+RevBuild!AG132</f>
        <v>-0.17019157053030268</v>
      </c>
      <c r="Y13" s="1619">
        <f>+RevBuild!AH132</f>
        <v>-0.18294071147443683</v>
      </c>
      <c r="Z13" s="1619">
        <f>+RevBuild!AI132</f>
        <v>-0.1262644460782614</v>
      </c>
      <c r="AA13" s="1619">
        <f>+RevBuild!AJ132</f>
        <v>-1.8599389132477533E-2</v>
      </c>
      <c r="AB13" s="1619">
        <f>+RevBuild!AM132</f>
        <v>-1.9730457709041791E-3</v>
      </c>
      <c r="AC13" s="1619">
        <f>+RevBuild!AN132</f>
        <v>1.0294602321031132E-2</v>
      </c>
      <c r="AD13" s="1619">
        <f>+RevBuild!AO132</f>
        <v>-1.302417705524169E-3</v>
      </c>
      <c r="AE13" s="1619">
        <f>+RevBuild!AP132</f>
        <v>-3.0221089339981947E-3</v>
      </c>
      <c r="AF13" s="1619">
        <f>+RevBuild!AS132</f>
        <v>2.6398906293519835E-3</v>
      </c>
      <c r="AG13" s="1619">
        <f>+RevBuild!AT132</f>
        <v>8.7649514187291954E-3</v>
      </c>
      <c r="AH13" s="1619">
        <f>+RevBuild!AU132</f>
        <v>-2.7129960817328376E-3</v>
      </c>
      <c r="AI13" s="1619">
        <f>+RevBuild!AV132</f>
        <v>6.8760192500700052E-3</v>
      </c>
      <c r="AJ13" s="1619">
        <f>+RevBuild!AY73</f>
        <v>1.7999999999999999E-2</v>
      </c>
      <c r="AK13" s="1619">
        <f>+RevBuild!AZ73</f>
        <v>7.2999999999999995E-2</v>
      </c>
      <c r="AL13" s="1619">
        <f>+RevBuild!BA73</f>
        <v>5.6000000000000001E-2</v>
      </c>
      <c r="AM13" s="1619">
        <f>+RevBuild!BB73</f>
        <v>3.6999999999999998E-2</v>
      </c>
      <c r="AN13" s="1632">
        <f>+RevBuild!BE73</f>
        <v>5.5E-2</v>
      </c>
      <c r="AO13" s="1619">
        <f>+RevBuild!BF73</f>
        <v>2.4E-2</v>
      </c>
      <c r="AP13" s="1619">
        <f>+RevBuild!BG73</f>
        <v>0</v>
      </c>
      <c r="AQ13" s="1619">
        <f>+RevBuild!BH73</f>
        <v>1.7999999999999999E-2</v>
      </c>
      <c r="AR13" s="1632">
        <f>+RevBuild!BK73</f>
        <v>-4.7E-2</v>
      </c>
      <c r="AS13" s="1619">
        <f>+RevBuild!BL73</f>
        <v>-3.5999999999999997E-2</v>
      </c>
      <c r="AT13" s="1619">
        <f>+RevBuild!BM73</f>
        <v>2.4E-2</v>
      </c>
      <c r="AU13" s="1619">
        <f>+RevBuild!BN73</f>
        <v>0.05</v>
      </c>
      <c r="AV13" s="1632">
        <f>+RevBuild!BQ73</f>
        <v>-3.8017734874845706E-3</v>
      </c>
      <c r="AW13" s="1619">
        <f>+RevBuild!BR73</f>
        <v>2.7110208227526661E-2</v>
      </c>
      <c r="AX13" s="1619">
        <f>+RevBuild!BS73</f>
        <v>4.6514788169464423E-2</v>
      </c>
      <c r="AY13" s="1619">
        <f>+RevBuild!BT73</f>
        <v>0.04</v>
      </c>
      <c r="AZ13" s="1632">
        <f>+RevBuild!BW73</f>
        <v>3.4184657306779359E-2</v>
      </c>
      <c r="BA13" s="1619">
        <f>+RevBuild!BX73</f>
        <v>4.6528612937991029E-2</v>
      </c>
      <c r="BB13" s="1619">
        <f>+RevBuild!BY73</f>
        <v>4.2025032343696984E-2</v>
      </c>
      <c r="BC13" s="1619">
        <f>+RevBuild!BZ73</f>
        <v>3.4261624315451197E-2</v>
      </c>
      <c r="BD13" s="1635"/>
      <c r="BF13" s="1619"/>
      <c r="BL13" s="887"/>
    </row>
    <row r="14" spans="1:70" s="587" customFormat="1" x14ac:dyDescent="0.2">
      <c r="A14" s="873"/>
      <c r="B14" s="896" t="s">
        <v>781</v>
      </c>
      <c r="C14" s="896"/>
      <c r="D14" s="923"/>
      <c r="E14" s="923"/>
      <c r="F14" s="923"/>
      <c r="G14" s="923"/>
      <c r="H14" s="923"/>
      <c r="I14" s="923"/>
      <c r="J14" s="972"/>
      <c r="K14" s="972"/>
      <c r="L14" s="923">
        <f>+RevBuild!O133</f>
        <v>-3.9235724892046041E-2</v>
      </c>
      <c r="M14" s="923">
        <f>+RevBuild!P133</f>
        <v>-1.3963180684328684E-2</v>
      </c>
      <c r="N14" s="923">
        <f>+RevBuild!Q133</f>
        <v>1.2161377426378663E-2</v>
      </c>
      <c r="O14" s="923">
        <f>+RevBuild!R133</f>
        <v>3.0762573600200353E-2</v>
      </c>
      <c r="P14" s="923">
        <f>+RevBuild!U133</f>
        <v>4.7630410390945198E-2</v>
      </c>
      <c r="Q14" s="923">
        <f>+RevBuild!V133</f>
        <v>3.4982658139565123E-2</v>
      </c>
      <c r="R14" s="923">
        <f>+RevBuild!W133</f>
        <v>2.9157174863524198E-2</v>
      </c>
      <c r="S14" s="923">
        <f>+RevBuild!X133</f>
        <v>5.3543506921771997E-2</v>
      </c>
      <c r="T14" s="923">
        <f>+RevBuild!AA133</f>
        <v>6.6448078714758982E-2</v>
      </c>
      <c r="U14" s="923">
        <f>+RevBuild!AB133</f>
        <v>8.7405100199801064E-2</v>
      </c>
      <c r="V14" s="923">
        <f>+RevBuild!AC133</f>
        <v>6.0152514230448359E-2</v>
      </c>
      <c r="W14" s="923">
        <f>+RevBuild!AD133</f>
        <v>6.0433268279009009E-2</v>
      </c>
      <c r="X14" s="923">
        <f>+RevBuild!AG133</f>
        <v>6.4399963949729147E-2</v>
      </c>
      <c r="Y14" s="923">
        <f>+RevBuild!AH133</f>
        <v>4.8868054696813067E-2</v>
      </c>
      <c r="Z14" s="923">
        <f>+RevBuild!AI133</f>
        <v>8.5279721576184464E-2</v>
      </c>
      <c r="AA14" s="923">
        <f>+RevBuild!AJ133</f>
        <v>4.9065275088790015E-2</v>
      </c>
      <c r="AB14" s="923">
        <f>+RevBuild!AM133</f>
        <v>4.9799017592416166E-2</v>
      </c>
      <c r="AC14" s="923">
        <f>+RevBuild!AN133</f>
        <v>6.449189643238025E-2</v>
      </c>
      <c r="AD14" s="923">
        <f>+RevBuild!AO133</f>
        <v>4.2385168655895457E-2</v>
      </c>
      <c r="AE14" s="923">
        <f>+RevBuild!AP133</f>
        <v>3.3997842064112591E-2</v>
      </c>
      <c r="AF14" s="923">
        <f>+RevBuild!AS133</f>
        <v>3.7041166690603471E-2</v>
      </c>
      <c r="AG14" s="923">
        <f>+RevBuild!AT133</f>
        <v>2.4842277820426712E-2</v>
      </c>
      <c r="AH14" s="923">
        <f>+RevBuild!AU133</f>
        <v>3.2001299538305265E-2</v>
      </c>
      <c r="AI14" s="923">
        <f>+RevBuild!AV133</f>
        <v>3.4068597718281898E-2</v>
      </c>
      <c r="AJ14" s="923">
        <f>+RevBuild!AY72</f>
        <v>1.8449709258731392E-2</v>
      </c>
      <c r="AK14" s="923">
        <f>+RevBuild!AZ72</f>
        <v>7.297259141607447E-2</v>
      </c>
      <c r="AL14" s="923">
        <f>+RevBuild!BA72</f>
        <v>5.770862446832143E-2</v>
      </c>
      <c r="AM14" s="923">
        <f>+RevBuild!BB72</f>
        <v>3.9537427952736008E-2</v>
      </c>
      <c r="AN14" s="1638">
        <f>+RevBuild!BE72</f>
        <v>5.4823032759202965E-2</v>
      </c>
      <c r="AO14" s="923">
        <f>+RevBuild!BF72</f>
        <v>2.3995408631772266E-2</v>
      </c>
      <c r="AP14" s="923">
        <f>+RevBuild!BG72</f>
        <v>1.8571061368747987E-2</v>
      </c>
      <c r="AQ14" s="923">
        <f>+RevBuild!BH72</f>
        <v>4.9060657118786856E-2</v>
      </c>
      <c r="AR14" s="1638">
        <f>+RevBuild!BK72</f>
        <v>1.0107405803378077E-2</v>
      </c>
      <c r="AS14" s="923">
        <f>+RevBuild!BL72</f>
        <v>1.2368379210970882E-2</v>
      </c>
      <c r="AT14" s="923">
        <f>+RevBuild!BM72</f>
        <v>1.5190901360544224E-2</v>
      </c>
      <c r="AU14" s="923">
        <f>+RevBuild!BN72</f>
        <v>2.8519561020221528E-2</v>
      </c>
      <c r="AV14" s="1638">
        <f>+RevBuild!BQ72</f>
        <v>3.548434167695589E-2</v>
      </c>
      <c r="AW14" s="923">
        <f>+RevBuild!BR72</f>
        <v>3.7267648552564751E-2</v>
      </c>
      <c r="AX14" s="923">
        <f>+RevBuild!BS72</f>
        <v>4.6514788169464423E-2</v>
      </c>
      <c r="AY14" s="923">
        <f>+RevBuild!BT72</f>
        <v>0.04</v>
      </c>
      <c r="AZ14" s="1638">
        <f>+RevBuild!BW72</f>
        <v>3.4184657306779359E-2</v>
      </c>
      <c r="BA14" s="923">
        <f>+RevBuild!BX72</f>
        <v>4.6528612937991029E-2</v>
      </c>
      <c r="BB14" s="923">
        <f>+RevBuild!BY72</f>
        <v>4.2025032343696984E-2</v>
      </c>
      <c r="BC14" s="923">
        <f>+RevBuild!BZ72</f>
        <v>3.4261624315451197E-2</v>
      </c>
      <c r="BD14" s="1635"/>
      <c r="BF14" s="1619"/>
      <c r="BL14" s="887"/>
      <c r="BR14" s="51"/>
    </row>
    <row r="15" spans="1:70" s="587" customFormat="1" x14ac:dyDescent="0.2">
      <c r="A15" s="873"/>
      <c r="BF15" s="409"/>
      <c r="BL15" s="887"/>
      <c r="BR15" s="51"/>
    </row>
    <row r="16" spans="1:70" s="587" customFormat="1" x14ac:dyDescent="0.2">
      <c r="A16" s="873"/>
      <c r="B16" s="1461" t="s">
        <v>714</v>
      </c>
      <c r="AJ16" s="1613" t="s">
        <v>380</v>
      </c>
      <c r="AK16" s="1614" t="s">
        <v>382</v>
      </c>
      <c r="AL16" s="1614" t="s">
        <v>397</v>
      </c>
      <c r="AM16" s="1614" t="s">
        <v>584</v>
      </c>
      <c r="AN16" s="1613" t="s">
        <v>585</v>
      </c>
      <c r="AO16" s="1614" t="s">
        <v>657</v>
      </c>
      <c r="AP16" s="1614" t="s">
        <v>659</v>
      </c>
      <c r="AQ16" s="1614" t="s">
        <v>667</v>
      </c>
      <c r="AR16" s="1613" t="s">
        <v>709</v>
      </c>
      <c r="AS16" s="1614" t="s">
        <v>713</v>
      </c>
      <c r="AT16" s="1614" t="s">
        <v>750</v>
      </c>
      <c r="AU16" s="1614" t="s">
        <v>763</v>
      </c>
      <c r="AV16" s="1613" t="s">
        <v>751</v>
      </c>
      <c r="AW16" s="1614" t="s">
        <v>752</v>
      </c>
      <c r="AX16" s="1614" t="s">
        <v>753</v>
      </c>
      <c r="AY16" s="1614" t="s">
        <v>754</v>
      </c>
      <c r="AZ16" s="1613" t="s">
        <v>768</v>
      </c>
      <c r="BA16" s="1614" t="s">
        <v>769</v>
      </c>
      <c r="BB16" s="1614" t="s">
        <v>770</v>
      </c>
      <c r="BC16" s="1614" t="s">
        <v>771</v>
      </c>
      <c r="BD16" s="1613" t="s">
        <v>772</v>
      </c>
      <c r="BE16" s="1614" t="s">
        <v>773</v>
      </c>
      <c r="BF16" s="1614" t="s">
        <v>774</v>
      </c>
      <c r="BG16" s="1614" t="s">
        <v>775</v>
      </c>
      <c r="BI16" s="386"/>
      <c r="BK16" s="386"/>
      <c r="BL16" s="887"/>
      <c r="BR16" s="51"/>
    </row>
    <row r="17" spans="1:70" s="587" customFormat="1" x14ac:dyDescent="0.2">
      <c r="A17" s="873"/>
      <c r="B17" s="1615" t="s">
        <v>777</v>
      </c>
      <c r="C17" s="918"/>
      <c r="D17" s="918"/>
      <c r="E17" s="918"/>
      <c r="F17" s="918"/>
      <c r="G17" s="918"/>
      <c r="H17" s="918"/>
      <c r="I17" s="918"/>
      <c r="J17" s="918"/>
      <c r="K17" s="918"/>
      <c r="L17" s="918"/>
      <c r="M17" s="918"/>
      <c r="N17" s="918"/>
      <c r="O17" s="918"/>
      <c r="P17" s="918"/>
      <c r="Q17" s="918"/>
      <c r="R17" s="918"/>
      <c r="S17" s="918"/>
      <c r="T17" s="918"/>
      <c r="U17" s="918"/>
      <c r="V17" s="918"/>
      <c r="W17" s="918"/>
      <c r="X17" s="918"/>
      <c r="Y17" s="918"/>
      <c r="Z17" s="918"/>
      <c r="AA17" s="918"/>
      <c r="AB17" s="918"/>
      <c r="AC17" s="918"/>
      <c r="AD17" s="918"/>
      <c r="AE17" s="918"/>
      <c r="AF17" s="918"/>
      <c r="AG17" s="918"/>
      <c r="AH17" s="918"/>
      <c r="AI17" s="918"/>
      <c r="AJ17" s="1616"/>
      <c r="AK17" s="1616"/>
      <c r="AL17" s="1616"/>
      <c r="AM17" s="1616"/>
      <c r="AN17" s="1630"/>
      <c r="AO17" s="1616"/>
      <c r="AP17" s="1616"/>
      <c r="AQ17" s="1616"/>
      <c r="AR17" s="1630"/>
      <c r="AS17" s="1616"/>
      <c r="AT17" s="1616"/>
      <c r="AU17" s="837"/>
      <c r="AV17" s="1633"/>
      <c r="AW17" s="837"/>
      <c r="AX17" s="837"/>
      <c r="AY17" s="837"/>
      <c r="AZ17" s="1633"/>
      <c r="BA17" s="837"/>
      <c r="BB17" s="837"/>
      <c r="BC17" s="837"/>
      <c r="BD17" s="1635"/>
      <c r="BF17" s="409"/>
      <c r="BL17" s="887"/>
      <c r="BR17" s="51"/>
    </row>
    <row r="18" spans="1:70" s="587" customFormat="1" outlineLevel="1" x14ac:dyDescent="0.2">
      <c r="A18" s="873"/>
      <c r="B18" s="886" t="s">
        <v>716</v>
      </c>
      <c r="C18" s="886"/>
      <c r="D18" s="409"/>
      <c r="E18" s="409"/>
      <c r="F18" s="409"/>
      <c r="G18" s="409"/>
      <c r="H18" s="409"/>
      <c r="I18" s="409"/>
      <c r="J18" s="409"/>
      <c r="K18" s="409"/>
      <c r="L18" s="409"/>
      <c r="M18" s="409"/>
      <c r="N18" s="409"/>
      <c r="O18" s="409"/>
      <c r="P18" s="409"/>
      <c r="Q18" s="409"/>
      <c r="R18" s="409"/>
      <c r="S18" s="409"/>
      <c r="T18" s="409"/>
      <c r="U18" s="409"/>
      <c r="V18" s="409"/>
      <c r="W18" s="409"/>
      <c r="X18" s="409"/>
      <c r="Y18" s="409"/>
      <c r="Z18" s="409"/>
      <c r="AA18" s="409"/>
      <c r="AB18" s="409"/>
      <c r="AC18" s="409"/>
      <c r="AD18" s="409"/>
      <c r="AE18" s="409"/>
      <c r="AF18" s="409"/>
      <c r="AG18" s="409"/>
      <c r="AH18" s="409"/>
      <c r="AI18" s="409"/>
      <c r="AJ18" s="409"/>
      <c r="AK18" s="409"/>
      <c r="AL18" s="409"/>
      <c r="AM18" s="409"/>
      <c r="AN18" s="1631">
        <f t="shared" ref="AN18:BC21" si="0">+AN6+AJ6</f>
        <v>0.115</v>
      </c>
      <c r="AO18" s="409">
        <f t="shared" si="0"/>
        <v>3.7000000000000005E-2</v>
      </c>
      <c r="AP18" s="409">
        <f t="shared" si="0"/>
        <v>0.03</v>
      </c>
      <c r="AQ18" s="409">
        <f t="shared" si="0"/>
        <v>-4.0000000000000036E-3</v>
      </c>
      <c r="AR18" s="1631">
        <f t="shared" si="0"/>
        <v>-5.6000000000000001E-2</v>
      </c>
      <c r="AS18" s="409">
        <f t="shared" si="0"/>
        <v>-9.9000000000000005E-2</v>
      </c>
      <c r="AT18" s="409">
        <f t="shared" si="0"/>
        <v>3.9000000000000007E-2</v>
      </c>
      <c r="AU18" s="409">
        <f t="shared" si="0"/>
        <v>2.6999999999999996E-2</v>
      </c>
      <c r="AV18" s="1631">
        <f t="shared" si="0"/>
        <v>-0.183</v>
      </c>
      <c r="AW18" s="409">
        <f t="shared" si="0"/>
        <v>-0.10100000000000001</v>
      </c>
      <c r="AX18" s="409">
        <f t="shared" si="0"/>
        <v>0.11100000000000002</v>
      </c>
      <c r="AY18" s="409">
        <f t="shared" si="0"/>
        <v>0.13700000000000001</v>
      </c>
      <c r="AZ18" s="1631">
        <f t="shared" si="0"/>
        <v>-3.5000000000000003E-2</v>
      </c>
      <c r="BA18" s="409">
        <f t="shared" si="0"/>
        <v>4.5000000000000005E-2</v>
      </c>
      <c r="BB18" s="409">
        <f t="shared" si="0"/>
        <v>7.5000000000000011E-2</v>
      </c>
      <c r="BC18" s="409">
        <f t="shared" si="0"/>
        <v>7.5000000000000011E-2</v>
      </c>
      <c r="BD18" s="1635"/>
      <c r="BF18" s="409"/>
      <c r="BL18" s="887"/>
      <c r="BR18" s="51"/>
    </row>
    <row r="19" spans="1:70" s="587" customFormat="1" x14ac:dyDescent="0.2">
      <c r="A19" s="873"/>
      <c r="B19" s="886" t="s">
        <v>776</v>
      </c>
      <c r="C19" s="886"/>
      <c r="D19" s="409"/>
      <c r="E19" s="409"/>
      <c r="F19" s="409"/>
      <c r="G19" s="409"/>
      <c r="H19" s="409"/>
      <c r="I19" s="409"/>
      <c r="J19" s="409"/>
      <c r="K19" s="409"/>
      <c r="L19" s="409"/>
      <c r="M19" s="409"/>
      <c r="N19" s="409"/>
      <c r="O19" s="409"/>
      <c r="P19" s="409"/>
      <c r="Q19" s="409"/>
      <c r="R19" s="409"/>
      <c r="S19" s="409"/>
      <c r="T19" s="409"/>
      <c r="U19" s="409"/>
      <c r="V19" s="409"/>
      <c r="W19" s="409"/>
      <c r="X19" s="409"/>
      <c r="Y19" s="409"/>
      <c r="Z19" s="409"/>
      <c r="AA19" s="409"/>
      <c r="AB19" s="409"/>
      <c r="AC19" s="409"/>
      <c r="AD19" s="409"/>
      <c r="AE19" s="409"/>
      <c r="AF19" s="409"/>
      <c r="AG19" s="409"/>
      <c r="AH19" s="409"/>
      <c r="AI19" s="409"/>
      <c r="AJ19" s="409"/>
      <c r="AK19" s="409"/>
      <c r="AL19" s="409"/>
      <c r="AM19" s="409"/>
      <c r="AN19" s="1631">
        <f t="shared" si="0"/>
        <v>0.115</v>
      </c>
      <c r="AO19" s="409">
        <f t="shared" si="0"/>
        <v>3.7000000000000005E-2</v>
      </c>
      <c r="AP19" s="409">
        <f t="shared" si="0"/>
        <v>8.0999999999999989E-2</v>
      </c>
      <c r="AQ19" s="409">
        <f t="shared" si="0"/>
        <v>8.223548107483386E-2</v>
      </c>
      <c r="AR19" s="1631">
        <f t="shared" si="0"/>
        <v>6.4828538550057518E-2</v>
      </c>
      <c r="AS19" s="409">
        <f t="shared" si="0"/>
        <v>2.0891008174386914E-2</v>
      </c>
      <c r="AT19" s="409">
        <f t="shared" si="0"/>
        <v>3.7316731285416058E-2</v>
      </c>
      <c r="AU19" s="409">
        <f t="shared" si="0"/>
        <v>4.226286166503769E-2</v>
      </c>
      <c r="AV19" s="1631">
        <f t="shared" si="0"/>
        <v>4.9435681407200366E-2</v>
      </c>
      <c r="AW19" s="409">
        <f t="shared" si="0"/>
        <v>4.9047823614676418E-2</v>
      </c>
      <c r="AX19" s="409">
        <f t="shared" si="0"/>
        <v>5.7316731285416055E-2</v>
      </c>
      <c r="AY19" s="409">
        <f t="shared" si="0"/>
        <v>6.7027380590203828E-2</v>
      </c>
      <c r="AZ19" s="1631">
        <f t="shared" si="0"/>
        <v>7.6607142857142846E-2</v>
      </c>
      <c r="BA19" s="409">
        <f t="shared" si="0"/>
        <v>7.5156815440289515E-2</v>
      </c>
      <c r="BB19" s="409">
        <f t="shared" si="0"/>
        <v>7.5000000000000011E-2</v>
      </c>
      <c r="BC19" s="409">
        <f t="shared" si="0"/>
        <v>7.5000000000000011E-2</v>
      </c>
      <c r="BD19" s="1635"/>
      <c r="BF19" s="409"/>
      <c r="BL19" s="887"/>
      <c r="BR19" s="51"/>
    </row>
    <row r="20" spans="1:70" s="587" customFormat="1" x14ac:dyDescent="0.2">
      <c r="A20" s="873"/>
      <c r="B20" s="891" t="s">
        <v>706</v>
      </c>
      <c r="C20" s="891"/>
      <c r="D20" s="1618"/>
      <c r="E20" s="1618"/>
      <c r="F20" s="1618"/>
      <c r="G20" s="1618"/>
      <c r="H20" s="1618"/>
      <c r="I20" s="1618"/>
      <c r="J20" s="1618"/>
      <c r="K20" s="1618"/>
      <c r="L20" s="1618"/>
      <c r="M20" s="1618"/>
      <c r="N20" s="1618"/>
      <c r="O20" s="1618"/>
      <c r="P20" s="1618"/>
      <c r="Q20" s="1618"/>
      <c r="R20" s="1618"/>
      <c r="S20" s="1618"/>
      <c r="T20" s="1618"/>
      <c r="U20" s="1618"/>
      <c r="V20" s="1618"/>
      <c r="W20" s="1618"/>
      <c r="X20" s="1618"/>
      <c r="Y20" s="1618"/>
      <c r="Z20" s="1618"/>
      <c r="AA20" s="1618"/>
      <c r="AB20" s="1618"/>
      <c r="AC20" s="1618"/>
      <c r="AD20" s="1618"/>
      <c r="AE20" s="1618"/>
      <c r="AF20" s="1618"/>
      <c r="AG20" s="1618"/>
      <c r="AH20" s="1618"/>
      <c r="AI20" s="1618"/>
      <c r="AJ20" s="1618"/>
      <c r="AK20" s="1618"/>
      <c r="AL20" s="1618"/>
      <c r="AM20" s="1618"/>
      <c r="AN20" s="1636">
        <f t="shared" si="0"/>
        <v>4.65E-2</v>
      </c>
      <c r="AO20" s="1618">
        <f t="shared" si="0"/>
        <v>9.1600000000000015E-2</v>
      </c>
      <c r="AP20" s="1618">
        <f t="shared" si="0"/>
        <v>9.0000000000000011E-3</v>
      </c>
      <c r="AQ20" s="1618">
        <f t="shared" si="0"/>
        <v>5.7600000000000005E-2</v>
      </c>
      <c r="AR20" s="1636">
        <f t="shared" si="0"/>
        <v>7.6927576601671308E-2</v>
      </c>
      <c r="AS20" s="1618">
        <f t="shared" si="0"/>
        <v>3.1226025607525475E-2</v>
      </c>
      <c r="AT20" s="1618">
        <f t="shared" si="0"/>
        <v>4.3334862385321096E-2</v>
      </c>
      <c r="AU20" s="1618">
        <f t="shared" si="0"/>
        <v>7.5000000000000011E-2</v>
      </c>
      <c r="AV20" s="1636">
        <f t="shared" si="0"/>
        <v>4.5927576601671308E-2</v>
      </c>
      <c r="AW20" s="1618">
        <f t="shared" si="0"/>
        <v>4.822602560752548E-2</v>
      </c>
      <c r="AX20" s="1618">
        <f t="shared" si="0"/>
        <v>6.1334862385321098E-2</v>
      </c>
      <c r="AY20" s="1618">
        <f t="shared" si="0"/>
        <v>6.3E-2</v>
      </c>
      <c r="AZ20" s="1636">
        <f t="shared" si="0"/>
        <v>0.04</v>
      </c>
      <c r="BA20" s="1618">
        <f t="shared" si="0"/>
        <v>0.08</v>
      </c>
      <c r="BB20" s="1618">
        <f t="shared" si="0"/>
        <v>7.9999999999999988E-2</v>
      </c>
      <c r="BC20" s="1618">
        <f t="shared" si="0"/>
        <v>7.0000000000000007E-2</v>
      </c>
      <c r="BD20" s="1635"/>
      <c r="BF20" s="409"/>
      <c r="BL20" s="887"/>
      <c r="BR20" s="51"/>
    </row>
    <row r="21" spans="1:70" s="587" customFormat="1" x14ac:dyDescent="0.2">
      <c r="A21" s="873"/>
      <c r="B21" s="886" t="s">
        <v>707</v>
      </c>
      <c r="C21" s="886"/>
      <c r="D21" s="409"/>
      <c r="E21" s="409"/>
      <c r="F21" s="409"/>
      <c r="G21" s="409"/>
      <c r="H21" s="409"/>
      <c r="I21" s="409"/>
      <c r="J21" s="409"/>
      <c r="K21" s="409"/>
      <c r="L21" s="409"/>
      <c r="M21" s="409"/>
      <c r="N21" s="409"/>
      <c r="O21" s="409"/>
      <c r="P21" s="409"/>
      <c r="Q21" s="409"/>
      <c r="R21" s="409"/>
      <c r="S21" s="409"/>
      <c r="T21" s="409"/>
      <c r="U21" s="409"/>
      <c r="V21" s="409"/>
      <c r="W21" s="409"/>
      <c r="X21" s="409"/>
      <c r="Y21" s="409"/>
      <c r="Z21" s="409"/>
      <c r="AA21" s="409"/>
      <c r="AB21" s="409"/>
      <c r="AC21" s="409"/>
      <c r="AD21" s="409"/>
      <c r="AE21" s="409"/>
      <c r="AF21" s="409"/>
      <c r="AG21" s="409"/>
      <c r="AH21" s="409"/>
      <c r="AI21" s="409"/>
      <c r="AJ21" s="409"/>
      <c r="AK21" s="409"/>
      <c r="AL21" s="409"/>
      <c r="AM21" s="409"/>
      <c r="AN21" s="1631">
        <f t="shared" si="0"/>
        <v>6.6000000000000003E-2</v>
      </c>
      <c r="AO21" s="409">
        <f t="shared" si="0"/>
        <v>0.188</v>
      </c>
      <c r="AP21" s="409">
        <f t="shared" si="0"/>
        <v>0.18239999999999998</v>
      </c>
      <c r="AQ21" s="409">
        <f t="shared" si="0"/>
        <v>0.156</v>
      </c>
      <c r="AR21" s="1631">
        <f t="shared" si="0"/>
        <v>4.604147465437787E-2</v>
      </c>
      <c r="AS21" s="409">
        <f t="shared" si="0"/>
        <v>6.8691348402182384E-2</v>
      </c>
      <c r="AT21" s="409">
        <f t="shared" si="0"/>
        <v>1.6477989871445269E-2</v>
      </c>
      <c r="AU21" s="409">
        <f t="shared" si="0"/>
        <v>0.13259013282732449</v>
      </c>
      <c r="AV21" s="1631">
        <f t="shared" si="0"/>
        <v>4.104147465437788E-2</v>
      </c>
      <c r="AW21" s="409">
        <f t="shared" si="0"/>
        <v>5.3691348402182378E-2</v>
      </c>
      <c r="AX21" s="409">
        <f t="shared" si="0"/>
        <v>7.0477989871445268E-2</v>
      </c>
      <c r="AY21" s="409">
        <f t="shared" si="0"/>
        <v>7.859013282732448E-2</v>
      </c>
      <c r="AZ21" s="1631">
        <f t="shared" si="0"/>
        <v>0.11000000000000001</v>
      </c>
      <c r="BA21" s="409">
        <f t="shared" si="0"/>
        <v>0.1</v>
      </c>
      <c r="BB21" s="409">
        <f t="shared" si="0"/>
        <v>0.12</v>
      </c>
      <c r="BC21" s="409">
        <f t="shared" si="0"/>
        <v>0.08</v>
      </c>
      <c r="BD21" s="1635"/>
      <c r="BF21" s="409"/>
      <c r="BL21" s="887"/>
      <c r="BR21" s="51"/>
    </row>
    <row r="22" spans="1:70" s="587" customFormat="1" x14ac:dyDescent="0.2">
      <c r="A22" s="873"/>
      <c r="B22" s="1615" t="s">
        <v>778</v>
      </c>
      <c r="AJ22" s="1616"/>
      <c r="AK22" s="1616"/>
      <c r="AL22" s="1616"/>
      <c r="AM22" s="1616"/>
      <c r="AN22" s="1630"/>
      <c r="AO22" s="1616"/>
      <c r="AP22" s="1616"/>
      <c r="AQ22" s="1616"/>
      <c r="AR22" s="1630"/>
      <c r="AS22" s="1616"/>
      <c r="AT22" s="1616"/>
      <c r="AU22" s="837"/>
      <c r="AV22" s="1633"/>
      <c r="AW22" s="837"/>
      <c r="AX22" s="837"/>
      <c r="AY22" s="837"/>
      <c r="AZ22" s="1633"/>
      <c r="BA22" s="837"/>
      <c r="BB22" s="837"/>
      <c r="BC22" s="837"/>
      <c r="BD22" s="1635"/>
      <c r="BF22" s="409"/>
      <c r="BL22" s="887"/>
      <c r="BR22" s="51"/>
    </row>
    <row r="23" spans="1:70" s="587" customFormat="1" x14ac:dyDescent="0.2">
      <c r="A23" s="873"/>
      <c r="B23" s="863" t="s">
        <v>711</v>
      </c>
      <c r="C23" s="1621"/>
      <c r="D23" s="1619"/>
      <c r="E23" s="1619"/>
      <c r="F23" s="1619"/>
      <c r="G23" s="1619"/>
      <c r="H23" s="1619"/>
      <c r="I23" s="1619"/>
      <c r="J23" s="1619"/>
      <c r="K23" s="1619"/>
      <c r="L23" s="1619"/>
      <c r="M23" s="1619"/>
      <c r="N23" s="1619"/>
      <c r="O23" s="1619"/>
      <c r="P23" s="409"/>
      <c r="Q23" s="409"/>
      <c r="R23" s="409"/>
      <c r="S23" s="409"/>
      <c r="T23" s="409"/>
      <c r="U23" s="409"/>
      <c r="V23" s="409"/>
      <c r="W23" s="409"/>
      <c r="X23" s="409"/>
      <c r="Y23" s="409"/>
      <c r="Z23" s="409"/>
      <c r="AA23" s="409"/>
      <c r="AB23" s="409"/>
      <c r="AC23" s="409"/>
      <c r="AD23" s="409"/>
      <c r="AE23" s="409"/>
      <c r="AF23" s="409"/>
      <c r="AG23" s="409"/>
      <c r="AH23" s="409"/>
      <c r="AI23" s="409"/>
      <c r="AJ23" s="409"/>
      <c r="AK23" s="409"/>
      <c r="AL23" s="409"/>
      <c r="AM23" s="409"/>
      <c r="AN23" s="1631"/>
      <c r="AO23" s="409"/>
      <c r="AP23" s="409"/>
      <c r="AQ23" s="409"/>
      <c r="AR23" s="1631">
        <f t="shared" ref="AR23:BC26" si="1">+AR11+AN11</f>
        <v>5.3647598166234781E-2</v>
      </c>
      <c r="AS23" s="409">
        <f t="shared" si="1"/>
        <v>1.6637863033345308E-2</v>
      </c>
      <c r="AT23" s="409">
        <f t="shared" si="1"/>
        <v>8.1882991088725269E-3</v>
      </c>
      <c r="AU23" s="409">
        <f t="shared" si="1"/>
        <v>7.6145814581458152E-2</v>
      </c>
      <c r="AV23" s="1631">
        <f t="shared" si="1"/>
        <v>0.1512099683315199</v>
      </c>
      <c r="AW23" s="409">
        <f t="shared" si="1"/>
        <v>0.12217327848983939</v>
      </c>
      <c r="AX23" s="409">
        <f t="shared" si="1"/>
        <v>0.12315240907317682</v>
      </c>
      <c r="AY23" s="409">
        <f t="shared" si="1"/>
        <v>0.12166197051475131</v>
      </c>
      <c r="AZ23" s="1631">
        <f t="shared" si="1"/>
        <v>0.18981237412281315</v>
      </c>
      <c r="BA23" s="409">
        <f t="shared" si="1"/>
        <v>0.17888618465694178</v>
      </c>
      <c r="BB23" s="409">
        <f t="shared" si="1"/>
        <v>0.16455717735289255</v>
      </c>
      <c r="BC23" s="409">
        <f t="shared" si="1"/>
        <v>0.13784381135123641</v>
      </c>
      <c r="BD23" s="1635"/>
      <c r="BF23" s="409"/>
      <c r="BL23" s="887"/>
      <c r="BR23" s="51"/>
    </row>
    <row r="24" spans="1:70" s="587" customFormat="1" x14ac:dyDescent="0.2">
      <c r="A24" s="873"/>
      <c r="B24" s="865" t="s">
        <v>712</v>
      </c>
      <c r="C24" s="1637"/>
      <c r="D24" s="923"/>
      <c r="E24" s="923"/>
      <c r="F24" s="923"/>
      <c r="G24" s="923"/>
      <c r="H24" s="923"/>
      <c r="I24" s="923"/>
      <c r="J24" s="923"/>
      <c r="K24" s="923"/>
      <c r="L24" s="923"/>
      <c r="M24" s="923"/>
      <c r="N24" s="923"/>
      <c r="O24" s="923"/>
      <c r="P24" s="1618"/>
      <c r="Q24" s="1618"/>
      <c r="R24" s="1618"/>
      <c r="S24" s="1618"/>
      <c r="T24" s="1618"/>
      <c r="U24" s="1618"/>
      <c r="V24" s="1618"/>
      <c r="W24" s="1618"/>
      <c r="X24" s="1618"/>
      <c r="Y24" s="1618"/>
      <c r="Z24" s="1618"/>
      <c r="AA24" s="1618"/>
      <c r="AB24" s="1618"/>
      <c r="AC24" s="1618"/>
      <c r="AD24" s="1618"/>
      <c r="AE24" s="1618"/>
      <c r="AF24" s="1618"/>
      <c r="AG24" s="1618"/>
      <c r="AH24" s="1618"/>
      <c r="AI24" s="1618"/>
      <c r="AJ24" s="1618"/>
      <c r="AK24" s="1618"/>
      <c r="AL24" s="1618"/>
      <c r="AM24" s="1618"/>
      <c r="AN24" s="1636"/>
      <c r="AO24" s="1618"/>
      <c r="AP24" s="1618"/>
      <c r="AQ24" s="1618"/>
      <c r="AR24" s="1636">
        <f t="shared" si="1"/>
        <v>8.1000000000000003E-2</v>
      </c>
      <c r="AS24" s="1618">
        <f t="shared" si="1"/>
        <v>6.3E-2</v>
      </c>
      <c r="AT24" s="1618">
        <f t="shared" si="1"/>
        <v>3.5000000000000003E-2</v>
      </c>
      <c r="AU24" s="1618">
        <f t="shared" si="1"/>
        <v>0.08</v>
      </c>
      <c r="AV24" s="1636">
        <f t="shared" si="1"/>
        <v>6.4000000000000001E-2</v>
      </c>
      <c r="AW24" s="1618">
        <f t="shared" si="1"/>
        <v>6.4000000000000001E-2</v>
      </c>
      <c r="AX24" s="1618">
        <f t="shared" si="1"/>
        <v>6.3E-2</v>
      </c>
      <c r="AY24" s="1618">
        <f t="shared" si="1"/>
        <v>6.9000000000000006E-2</v>
      </c>
      <c r="AZ24" s="1636">
        <f t="shared" si="1"/>
        <v>7.0000000000000007E-2</v>
      </c>
      <c r="BA24" s="1618">
        <f t="shared" si="1"/>
        <v>7.0000000000000007E-2</v>
      </c>
      <c r="BB24" s="1618">
        <f t="shared" si="1"/>
        <v>0.06</v>
      </c>
      <c r="BC24" s="1618">
        <f t="shared" si="1"/>
        <v>0.06</v>
      </c>
      <c r="BD24" s="1635"/>
      <c r="BF24" s="409"/>
      <c r="BL24" s="887"/>
      <c r="BR24" s="51"/>
    </row>
    <row r="25" spans="1:70" s="587" customFormat="1" outlineLevel="1" x14ac:dyDescent="0.2">
      <c r="A25" s="873"/>
      <c r="B25" s="1282" t="s">
        <v>780</v>
      </c>
      <c r="C25" s="1621"/>
      <c r="D25" s="1619"/>
      <c r="E25" s="1619"/>
      <c r="F25" s="1619"/>
      <c r="G25" s="1619"/>
      <c r="H25" s="1619"/>
      <c r="I25" s="1619"/>
      <c r="J25" s="1619"/>
      <c r="K25" s="1619"/>
      <c r="L25" s="1619"/>
      <c r="M25" s="1619"/>
      <c r="N25" s="1619"/>
      <c r="O25" s="1619"/>
      <c r="P25" s="409"/>
      <c r="Q25" s="409"/>
      <c r="R25" s="409"/>
      <c r="S25" s="409"/>
      <c r="T25" s="409"/>
      <c r="U25" s="409"/>
      <c r="V25" s="409"/>
      <c r="W25" s="409"/>
      <c r="X25" s="409"/>
      <c r="Y25" s="409"/>
      <c r="Z25" s="409"/>
      <c r="AA25" s="409"/>
      <c r="AB25" s="409"/>
      <c r="AC25" s="409"/>
      <c r="AD25" s="409"/>
      <c r="AE25" s="409"/>
      <c r="AF25" s="409"/>
      <c r="AG25" s="409"/>
      <c r="AH25" s="409"/>
      <c r="AI25" s="409"/>
      <c r="AJ25" s="409"/>
      <c r="AK25" s="409"/>
      <c r="AL25" s="409"/>
      <c r="AM25" s="409"/>
      <c r="AN25" s="1632">
        <f t="shared" ref="AN25:AQ26" si="2">+AN13+AJ13</f>
        <v>7.2999999999999995E-2</v>
      </c>
      <c r="AO25" s="1619">
        <f t="shared" si="2"/>
        <v>9.7000000000000003E-2</v>
      </c>
      <c r="AP25" s="1619">
        <f t="shared" si="2"/>
        <v>5.6000000000000001E-2</v>
      </c>
      <c r="AQ25" s="1619">
        <f t="shared" si="2"/>
        <v>5.4999999999999993E-2</v>
      </c>
      <c r="AR25" s="1632">
        <f t="shared" si="1"/>
        <v>8.0000000000000002E-3</v>
      </c>
      <c r="AS25" s="1619">
        <f t="shared" si="1"/>
        <v>-1.1999999999999997E-2</v>
      </c>
      <c r="AT25" s="1619">
        <f t="shared" si="1"/>
        <v>2.4E-2</v>
      </c>
      <c r="AU25" s="1619">
        <f t="shared" si="1"/>
        <v>6.8000000000000005E-2</v>
      </c>
      <c r="AV25" s="1632">
        <f t="shared" si="1"/>
        <v>-5.0801773487484568E-2</v>
      </c>
      <c r="AW25" s="1619">
        <f t="shared" si="1"/>
        <v>-8.8897917724733364E-3</v>
      </c>
      <c r="AX25" s="1619">
        <f t="shared" si="1"/>
        <v>7.0514788169464424E-2</v>
      </c>
      <c r="AY25" s="1619">
        <f t="shared" si="1"/>
        <v>0.09</v>
      </c>
      <c r="AZ25" s="1632">
        <f t="shared" si="1"/>
        <v>3.0382883819294788E-2</v>
      </c>
      <c r="BA25" s="1619">
        <f t="shared" si="1"/>
        <v>7.363882116551769E-2</v>
      </c>
      <c r="BB25" s="1619">
        <f t="shared" si="1"/>
        <v>8.8539820513161407E-2</v>
      </c>
      <c r="BC25" s="1619">
        <f t="shared" si="1"/>
        <v>7.4261624315451191E-2</v>
      </c>
      <c r="BD25" s="1635"/>
      <c r="BF25" s="409"/>
      <c r="BL25" s="887"/>
      <c r="BR25" s="51"/>
    </row>
    <row r="26" spans="1:70" s="587" customFormat="1" ht="12" x14ac:dyDescent="0.2">
      <c r="A26" s="1292" t="s">
        <v>653</v>
      </c>
      <c r="B26" s="896" t="s">
        <v>781</v>
      </c>
      <c r="C26" s="1637"/>
      <c r="D26" s="923"/>
      <c r="E26" s="923"/>
      <c r="F26" s="923"/>
      <c r="G26" s="923"/>
      <c r="H26" s="923"/>
      <c r="I26" s="923"/>
      <c r="J26" s="923"/>
      <c r="K26" s="923"/>
      <c r="L26" s="923"/>
      <c r="M26" s="923"/>
      <c r="N26" s="923"/>
      <c r="O26" s="923"/>
      <c r="P26" s="1618"/>
      <c r="Q26" s="1618"/>
      <c r="R26" s="1618"/>
      <c r="S26" s="1618"/>
      <c r="T26" s="1618"/>
      <c r="U26" s="1618"/>
      <c r="V26" s="1618"/>
      <c r="W26" s="1618"/>
      <c r="X26" s="1618"/>
      <c r="Y26" s="1618"/>
      <c r="Z26" s="1618"/>
      <c r="AA26" s="1618"/>
      <c r="AB26" s="1618"/>
      <c r="AC26" s="1618"/>
      <c r="AD26" s="1618"/>
      <c r="AE26" s="1618"/>
      <c r="AF26" s="1618"/>
      <c r="AG26" s="1618"/>
      <c r="AH26" s="1618"/>
      <c r="AI26" s="1618"/>
      <c r="AJ26" s="1618"/>
      <c r="AK26" s="1618"/>
      <c r="AL26" s="1618"/>
      <c r="AM26" s="1618"/>
      <c r="AN26" s="1638">
        <f t="shared" si="2"/>
        <v>7.327274201793435E-2</v>
      </c>
      <c r="AO26" s="923">
        <f t="shared" si="2"/>
        <v>9.6968000047846739E-2</v>
      </c>
      <c r="AP26" s="923">
        <f t="shared" si="2"/>
        <v>7.6279685837069414E-2</v>
      </c>
      <c r="AQ26" s="923">
        <f t="shared" si="2"/>
        <v>8.8598085071522864E-2</v>
      </c>
      <c r="AR26" s="1638">
        <f t="shared" si="1"/>
        <v>6.4930438562581044E-2</v>
      </c>
      <c r="AS26" s="923">
        <f t="shared" si="1"/>
        <v>3.6363787842743148E-2</v>
      </c>
      <c r="AT26" s="923">
        <f t="shared" si="1"/>
        <v>3.3761962729292209E-2</v>
      </c>
      <c r="AU26" s="923">
        <f t="shared" si="1"/>
        <v>7.7580218139008381E-2</v>
      </c>
      <c r="AV26" s="1638">
        <f t="shared" si="1"/>
        <v>4.5591747480333969E-2</v>
      </c>
      <c r="AW26" s="923">
        <f t="shared" si="1"/>
        <v>4.9636027763535637E-2</v>
      </c>
      <c r="AX26" s="923">
        <f t="shared" si="1"/>
        <v>6.1705689530008649E-2</v>
      </c>
      <c r="AY26" s="923">
        <f t="shared" si="1"/>
        <v>6.8519561020221526E-2</v>
      </c>
      <c r="AZ26" s="1638">
        <f t="shared" si="1"/>
        <v>6.9668998983735242E-2</v>
      </c>
      <c r="BA26" s="923">
        <f t="shared" si="1"/>
        <v>8.3796261490555773E-2</v>
      </c>
      <c r="BB26" s="923">
        <f t="shared" si="1"/>
        <v>8.8539820513161407E-2</v>
      </c>
      <c r="BC26" s="923">
        <f t="shared" si="1"/>
        <v>7.4261624315451191E-2</v>
      </c>
      <c r="BD26" s="1635"/>
      <c r="BF26" s="409"/>
      <c r="BL26" s="887"/>
      <c r="BR26" s="51"/>
    </row>
    <row r="27" spans="1:70" s="587" customFormat="1" x14ac:dyDescent="0.2">
      <c r="A27" s="873"/>
      <c r="B27" s="1620"/>
      <c r="C27" s="1621"/>
      <c r="D27" s="1619"/>
      <c r="E27" s="1619"/>
      <c r="F27" s="1619"/>
      <c r="G27" s="1619"/>
      <c r="H27" s="1619"/>
      <c r="I27" s="1619"/>
      <c r="J27" s="1619"/>
      <c r="K27" s="1619"/>
      <c r="L27" s="1619"/>
      <c r="M27" s="1619"/>
      <c r="N27" s="1619"/>
      <c r="O27" s="1619"/>
      <c r="P27" s="409"/>
      <c r="Q27" s="409"/>
      <c r="R27" s="409"/>
      <c r="S27" s="409"/>
      <c r="T27" s="409"/>
      <c r="U27" s="409"/>
      <c r="V27" s="409"/>
      <c r="W27" s="409"/>
      <c r="X27" s="409"/>
      <c r="Y27" s="409"/>
      <c r="Z27" s="409"/>
      <c r="AA27" s="409"/>
      <c r="AB27" s="409"/>
      <c r="AC27" s="409"/>
      <c r="AD27" s="409"/>
      <c r="AE27" s="409"/>
      <c r="AF27" s="409"/>
      <c r="AG27" s="409"/>
      <c r="AH27" s="409"/>
      <c r="AI27" s="409"/>
      <c r="AJ27" s="409"/>
      <c r="AK27" s="409"/>
      <c r="AL27" s="409"/>
      <c r="AM27" s="409"/>
      <c r="AN27" s="409"/>
      <c r="AO27" s="409"/>
      <c r="AP27" s="409"/>
      <c r="AQ27" s="409"/>
      <c r="AR27" s="409"/>
      <c r="AS27" s="409"/>
      <c r="AT27" s="409"/>
      <c r="AU27" s="409"/>
      <c r="AV27" s="409"/>
      <c r="AW27" s="409"/>
      <c r="AX27" s="409"/>
      <c r="AY27" s="409"/>
      <c r="AZ27" s="409"/>
      <c r="BA27" s="409"/>
      <c r="BB27" s="409"/>
      <c r="BC27" s="409"/>
      <c r="BF27" s="409"/>
      <c r="BL27" s="887"/>
      <c r="BR27" s="51"/>
    </row>
    <row r="28" spans="1:70" s="587" customFormat="1" x14ac:dyDescent="0.2">
      <c r="A28" s="873"/>
      <c r="B28" s="1620"/>
      <c r="C28" s="1621"/>
      <c r="D28" s="1619"/>
      <c r="E28" s="1619"/>
      <c r="F28" s="1619"/>
      <c r="G28" s="1619"/>
      <c r="H28" s="1619"/>
      <c r="I28" s="1619"/>
      <c r="J28" s="1619"/>
      <c r="K28" s="1619"/>
      <c r="L28" s="1619"/>
      <c r="M28" s="1619"/>
      <c r="N28" s="1619"/>
      <c r="O28" s="1619"/>
      <c r="P28" s="409"/>
      <c r="Q28" s="409"/>
      <c r="R28" s="409"/>
      <c r="S28" s="409"/>
      <c r="T28" s="409"/>
      <c r="U28" s="409"/>
      <c r="V28" s="409"/>
      <c r="W28" s="409"/>
      <c r="X28" s="409"/>
      <c r="Y28" s="409"/>
      <c r="Z28" s="409"/>
      <c r="AA28" s="409"/>
      <c r="AB28" s="409"/>
      <c r="AC28" s="409"/>
      <c r="AD28" s="409"/>
      <c r="AE28" s="409"/>
      <c r="AF28" s="409"/>
      <c r="AG28" s="409"/>
      <c r="AH28" s="409"/>
      <c r="AI28" s="409"/>
      <c r="AJ28" s="409"/>
      <c r="AK28" s="409"/>
      <c r="AL28" s="409"/>
      <c r="AM28" s="409"/>
      <c r="AN28" s="409"/>
      <c r="AO28" s="409"/>
      <c r="AP28" s="409"/>
      <c r="AQ28" s="409"/>
      <c r="AR28" s="409"/>
      <c r="AS28" s="409"/>
      <c r="AT28" s="409"/>
      <c r="AU28" s="409"/>
      <c r="AV28" s="409"/>
      <c r="AW28" s="409"/>
      <c r="AX28" s="409"/>
      <c r="AY28" s="409"/>
      <c r="AZ28" s="409"/>
      <c r="BA28" s="409"/>
      <c r="BB28" s="409"/>
      <c r="BC28" s="409"/>
      <c r="BF28" s="409"/>
      <c r="BL28" s="887"/>
      <c r="BR28" s="51"/>
    </row>
    <row r="29" spans="1:70" s="587" customFormat="1" x14ac:dyDescent="0.2">
      <c r="A29" s="873"/>
      <c r="B29" s="1620"/>
      <c r="C29" s="1621"/>
      <c r="D29" s="1619"/>
      <c r="E29" s="1619"/>
      <c r="F29" s="1619"/>
      <c r="G29" s="1619"/>
      <c r="H29" s="1619"/>
      <c r="I29" s="1619"/>
      <c r="J29" s="1619"/>
      <c r="K29" s="1619"/>
      <c r="L29" s="1619"/>
      <c r="M29" s="1619"/>
      <c r="N29" s="1619"/>
      <c r="O29" s="1619"/>
      <c r="P29" s="409"/>
      <c r="Q29" s="409"/>
      <c r="R29" s="409"/>
      <c r="S29" s="409"/>
      <c r="T29" s="409"/>
      <c r="U29" s="409"/>
      <c r="V29" s="409"/>
      <c r="W29" s="409"/>
      <c r="X29" s="409"/>
      <c r="Y29" s="409"/>
      <c r="Z29" s="409"/>
      <c r="AA29" s="409"/>
      <c r="AB29" s="409"/>
      <c r="AC29" s="409"/>
      <c r="AD29" s="409"/>
      <c r="AE29" s="409"/>
      <c r="AF29" s="409"/>
      <c r="AG29" s="409"/>
      <c r="AH29" s="409"/>
      <c r="AI29" s="409"/>
      <c r="AJ29" s="409"/>
      <c r="AK29" s="409"/>
      <c r="AL29" s="409"/>
      <c r="AM29" s="409"/>
      <c r="AN29" s="409"/>
      <c r="AO29" s="409"/>
      <c r="AP29" s="409"/>
      <c r="AQ29" s="409"/>
      <c r="AR29" s="409"/>
      <c r="AS29" s="409"/>
      <c r="AT29" s="409"/>
      <c r="AU29" s="409"/>
      <c r="AV29" s="409"/>
      <c r="AW29" s="409"/>
      <c r="AX29" s="409"/>
      <c r="AY29" s="409"/>
      <c r="AZ29" s="409"/>
      <c r="BA29" s="409"/>
      <c r="BB29" s="409"/>
      <c r="BC29" s="409"/>
      <c r="BF29" s="409"/>
      <c r="BL29" s="887"/>
      <c r="BR29" s="51"/>
    </row>
    <row r="30" spans="1:70" s="30" customFormat="1" x14ac:dyDescent="0.2">
      <c r="A30" s="847"/>
      <c r="B30" s="1623" t="s">
        <v>362</v>
      </c>
      <c r="C30" s="1624"/>
      <c r="D30" s="1624"/>
      <c r="E30" s="1624"/>
      <c r="F30" s="1624"/>
      <c r="G30" s="1624"/>
      <c r="H30" s="1624"/>
      <c r="I30" s="1624"/>
      <c r="J30" s="1624"/>
      <c r="K30" s="1624"/>
      <c r="L30" s="1624"/>
      <c r="M30" s="1624"/>
      <c r="N30" s="1624"/>
      <c r="O30" s="1624"/>
      <c r="P30" s="1624"/>
      <c r="Q30" s="1624"/>
      <c r="R30" s="1624"/>
      <c r="S30" s="1624"/>
      <c r="T30" s="1624"/>
      <c r="U30" s="1624"/>
      <c r="V30" s="1624"/>
      <c r="W30" s="1624"/>
      <c r="X30" s="1624"/>
      <c r="Y30" s="1624"/>
      <c r="Z30" s="1624"/>
      <c r="AA30" s="1624"/>
      <c r="AB30" s="1624"/>
      <c r="AC30" s="1624"/>
      <c r="AD30" s="1624"/>
      <c r="AE30" s="1624"/>
      <c r="AF30" s="1624"/>
      <c r="AG30" s="1624"/>
      <c r="AH30" s="1624"/>
      <c r="AI30" s="1624"/>
      <c r="AJ30" s="1624"/>
      <c r="AK30" s="1624"/>
      <c r="AL30" s="1624"/>
      <c r="AM30" s="1624"/>
      <c r="AN30" s="1624"/>
      <c r="AO30" s="1624"/>
      <c r="AP30" s="1624"/>
      <c r="AQ30" s="1624"/>
      <c r="AR30" s="1624"/>
      <c r="AS30" s="1624"/>
      <c r="AT30" s="1624"/>
      <c r="AU30" s="1624"/>
      <c r="AV30" s="1624"/>
      <c r="AW30" s="1624"/>
      <c r="AX30" s="1624"/>
      <c r="AY30" s="1624"/>
      <c r="AZ30" s="1624"/>
      <c r="BA30" s="1624"/>
      <c r="BB30" s="1624"/>
      <c r="BC30" s="1624"/>
      <c r="BF30" s="283"/>
    </row>
    <row r="31" spans="1:70" s="30" customFormat="1" x14ac:dyDescent="0.2">
      <c r="A31" s="847"/>
      <c r="B31" s="850" t="str">
        <f>+B7</f>
        <v>US Organic (adj. for inventory)</v>
      </c>
      <c r="C31" s="850"/>
      <c r="D31" s="409"/>
      <c r="E31" s="409"/>
      <c r="F31" s="409"/>
      <c r="G31" s="409"/>
      <c r="H31" s="409"/>
      <c r="I31" s="409"/>
      <c r="J31" s="409"/>
      <c r="K31" s="409"/>
      <c r="L31" s="409">
        <v>-3.9E-2</v>
      </c>
      <c r="M31" s="409">
        <v>-3.2000000000000001E-2</v>
      </c>
      <c r="N31" s="409">
        <v>-2.5999999999999999E-2</v>
      </c>
      <c r="O31" s="409">
        <v>2.0999999999999998E-2</v>
      </c>
      <c r="P31" s="409">
        <v>8.9999999999999993E-3</v>
      </c>
      <c r="Q31" s="409">
        <v>0</v>
      </c>
      <c r="R31" s="409">
        <v>-8.0000000000000002E-3</v>
      </c>
      <c r="S31" s="409">
        <v>3.0000000000000009E-3</v>
      </c>
      <c r="T31" s="409">
        <v>1.0999999999999999E-2</v>
      </c>
      <c r="U31" s="409">
        <v>0.02</v>
      </c>
      <c r="V31" s="409">
        <v>3.2000000000000001E-2</v>
      </c>
      <c r="W31" s="409">
        <v>7.5999999999999998E-2</v>
      </c>
      <c r="X31" s="409">
        <v>7.3999999999999996E-2</v>
      </c>
      <c r="Y31" s="409">
        <v>2.9000000000000001E-2</v>
      </c>
      <c r="Z31" s="409">
        <v>3.1E-2</v>
      </c>
      <c r="AA31" s="409">
        <v>1.8999999999999996E-2</v>
      </c>
      <c r="AB31" s="409">
        <v>1.9E-2</v>
      </c>
      <c r="AC31" s="409">
        <v>6.2E-2</v>
      </c>
      <c r="AD31" s="409">
        <v>4.2999999999999997E-2</v>
      </c>
      <c r="AE31" s="409">
        <v>2.5000000000000001E-2</v>
      </c>
      <c r="AF31" s="409">
        <v>1.6E-2</v>
      </c>
      <c r="AG31" s="409">
        <v>0.01</v>
      </c>
      <c r="AH31" s="409">
        <v>2.1999999999999999E-2</v>
      </c>
      <c r="AI31" s="409">
        <v>1.3000000000000001E-2</v>
      </c>
      <c r="AJ31" s="1617">
        <v>4.4999999999999998E-2</v>
      </c>
      <c r="AK31" s="1617">
        <v>3.3000000000000002E-2</v>
      </c>
      <c r="AL31" s="1617">
        <v>2.6000000000000002E-2</v>
      </c>
      <c r="AM31" s="1617">
        <v>4.2999999999999997E-2</v>
      </c>
      <c r="AN31" s="1617">
        <v>4.4999999999999998E-2</v>
      </c>
      <c r="AO31" s="1617">
        <v>0.04</v>
      </c>
      <c r="AP31" s="1617">
        <v>-0.02</v>
      </c>
      <c r="AQ31" s="1617">
        <v>0.02</v>
      </c>
      <c r="AR31" s="1617">
        <v>2.5000000000000001E-2</v>
      </c>
      <c r="AS31" s="1617">
        <v>0.02</v>
      </c>
      <c r="AT31" s="1617">
        <v>0.02</v>
      </c>
      <c r="AU31" s="1617">
        <v>0.02</v>
      </c>
      <c r="AV31" s="409">
        <v>0.02</v>
      </c>
      <c r="AW31" s="409">
        <v>0.02</v>
      </c>
      <c r="AX31" s="409">
        <v>0.02</v>
      </c>
      <c r="AY31" s="409">
        <v>0.02</v>
      </c>
      <c r="AZ31" s="409">
        <v>0.02</v>
      </c>
      <c r="BA31" s="409">
        <v>0.02</v>
      </c>
      <c r="BB31" s="409">
        <v>0.02</v>
      </c>
      <c r="BC31" s="409">
        <v>0.02</v>
      </c>
      <c r="BF31" s="409"/>
      <c r="BL31" s="850"/>
    </row>
    <row r="32" spans="1:70" s="30" customFormat="1" outlineLevel="1" x14ac:dyDescent="0.2">
      <c r="A32" s="847"/>
      <c r="B32" s="1622" t="str">
        <f>+A26</f>
        <v>US (2 year)</v>
      </c>
      <c r="C32" s="850"/>
      <c r="D32" s="409"/>
      <c r="E32" s="409"/>
      <c r="F32" s="409"/>
      <c r="G32" s="409"/>
      <c r="H32" s="409"/>
      <c r="I32" s="409"/>
      <c r="J32" s="409"/>
      <c r="K32" s="409"/>
      <c r="L32" s="409"/>
      <c r="M32" s="409"/>
      <c r="N32" s="409"/>
      <c r="O32" s="409"/>
      <c r="P32" s="409">
        <f t="shared" ref="P32:AU32" si="3">+L31+P31</f>
        <v>-0.03</v>
      </c>
      <c r="Q32" s="409">
        <f t="shared" si="3"/>
        <v>-3.2000000000000001E-2</v>
      </c>
      <c r="R32" s="409">
        <f t="shared" si="3"/>
        <v>-3.4000000000000002E-2</v>
      </c>
      <c r="S32" s="409">
        <f t="shared" si="3"/>
        <v>2.4E-2</v>
      </c>
      <c r="T32" s="409">
        <f t="shared" si="3"/>
        <v>1.9999999999999997E-2</v>
      </c>
      <c r="U32" s="409">
        <f t="shared" si="3"/>
        <v>0.02</v>
      </c>
      <c r="V32" s="409">
        <f t="shared" si="3"/>
        <v>2.4E-2</v>
      </c>
      <c r="W32" s="409">
        <f t="shared" si="3"/>
        <v>7.9000000000000001E-2</v>
      </c>
      <c r="X32" s="409">
        <f t="shared" si="3"/>
        <v>8.4999999999999992E-2</v>
      </c>
      <c r="Y32" s="409">
        <f t="shared" si="3"/>
        <v>4.9000000000000002E-2</v>
      </c>
      <c r="Z32" s="409">
        <f t="shared" si="3"/>
        <v>6.3E-2</v>
      </c>
      <c r="AA32" s="409">
        <f t="shared" si="3"/>
        <v>9.5000000000000001E-2</v>
      </c>
      <c r="AB32" s="409">
        <f t="shared" si="3"/>
        <v>9.2999999999999999E-2</v>
      </c>
      <c r="AC32" s="409">
        <f t="shared" si="3"/>
        <v>9.0999999999999998E-2</v>
      </c>
      <c r="AD32" s="409">
        <f t="shared" si="3"/>
        <v>7.3999999999999996E-2</v>
      </c>
      <c r="AE32" s="409">
        <f t="shared" si="3"/>
        <v>4.3999999999999997E-2</v>
      </c>
      <c r="AF32" s="409">
        <f t="shared" si="3"/>
        <v>3.5000000000000003E-2</v>
      </c>
      <c r="AG32" s="409">
        <f t="shared" si="3"/>
        <v>7.1999999999999995E-2</v>
      </c>
      <c r="AH32" s="409">
        <f t="shared" si="3"/>
        <v>6.5000000000000002E-2</v>
      </c>
      <c r="AI32" s="409">
        <f t="shared" si="3"/>
        <v>3.8000000000000006E-2</v>
      </c>
      <c r="AJ32" s="1617">
        <f t="shared" si="3"/>
        <v>6.0999999999999999E-2</v>
      </c>
      <c r="AK32" s="1617">
        <f t="shared" si="3"/>
        <v>4.3000000000000003E-2</v>
      </c>
      <c r="AL32" s="1617">
        <f t="shared" si="3"/>
        <v>4.8000000000000001E-2</v>
      </c>
      <c r="AM32" s="1617">
        <f t="shared" si="3"/>
        <v>5.5999999999999994E-2</v>
      </c>
      <c r="AN32" s="1617">
        <f t="shared" si="3"/>
        <v>0.09</v>
      </c>
      <c r="AO32" s="1617">
        <f t="shared" si="3"/>
        <v>7.3000000000000009E-2</v>
      </c>
      <c r="AP32" s="1617">
        <f t="shared" si="3"/>
        <v>6.0000000000000019E-3</v>
      </c>
      <c r="AQ32" s="1617">
        <f t="shared" si="3"/>
        <v>6.3E-2</v>
      </c>
      <c r="AR32" s="1617">
        <f t="shared" si="3"/>
        <v>7.0000000000000007E-2</v>
      </c>
      <c r="AS32" s="1617">
        <f t="shared" si="3"/>
        <v>0.06</v>
      </c>
      <c r="AT32" s="1617">
        <f t="shared" si="3"/>
        <v>0</v>
      </c>
      <c r="AU32" s="1617">
        <f t="shared" si="3"/>
        <v>0.04</v>
      </c>
      <c r="AV32" s="409">
        <f t="shared" ref="AV32" si="4">+AR31+AV31</f>
        <v>4.4999999999999998E-2</v>
      </c>
      <c r="AW32" s="409">
        <f t="shared" ref="AW32" si="5">+AS31+AW31</f>
        <v>0.04</v>
      </c>
      <c r="AX32" s="409">
        <f t="shared" ref="AX32" si="6">+AT31+AX31</f>
        <v>0.04</v>
      </c>
      <c r="AY32" s="409">
        <f t="shared" ref="AY32" si="7">+AU31+AY31</f>
        <v>0.04</v>
      </c>
      <c r="AZ32" s="409">
        <f t="shared" ref="AZ32" si="8">+AV31+AZ31</f>
        <v>0.04</v>
      </c>
      <c r="BA32" s="409">
        <f t="shared" ref="BA32" si="9">+AW31+BA31</f>
        <v>0.04</v>
      </c>
      <c r="BB32" s="409">
        <f t="shared" ref="BB32" si="10">+AX31+BB31</f>
        <v>0.04</v>
      </c>
      <c r="BC32" s="409">
        <f t="shared" ref="BC32" si="11">+AY31+BC31</f>
        <v>0.04</v>
      </c>
      <c r="BF32" s="409"/>
      <c r="BL32" s="1311"/>
    </row>
    <row r="33" spans="1:70" s="30" customFormat="1" x14ac:dyDescent="0.2">
      <c r="A33" s="847"/>
      <c r="B33" s="891" t="str">
        <f>+B8</f>
        <v>Europe Organic</v>
      </c>
      <c r="C33" s="891"/>
      <c r="D33" s="1618"/>
      <c r="E33" s="1618"/>
      <c r="F33" s="1618"/>
      <c r="G33" s="1618"/>
      <c r="H33" s="1618"/>
      <c r="I33" s="1618"/>
      <c r="J33" s="1618"/>
      <c r="K33" s="1618"/>
      <c r="L33" s="1618">
        <v>-3.3000000000000002E-2</v>
      </c>
      <c r="M33" s="1618">
        <v>-6.6000000000000003E-2</v>
      </c>
      <c r="N33" s="1618">
        <v>-1.0999999999999999E-2</v>
      </c>
      <c r="O33" s="1618">
        <v>-4.1999999999999982E-2</v>
      </c>
      <c r="P33" s="1618">
        <v>2.4E-2</v>
      </c>
      <c r="Q33" s="1618">
        <v>4.3999999999999997E-2</v>
      </c>
      <c r="R33" s="1618">
        <v>4.4999999999999998E-2</v>
      </c>
      <c r="S33" s="1618">
        <v>3.0000000000000096E-3</v>
      </c>
      <c r="T33" s="1618">
        <v>4.1000000000000002E-2</v>
      </c>
      <c r="U33" s="1618">
        <v>0.02</v>
      </c>
      <c r="V33" s="1618">
        <v>3.0000000000000001E-3</v>
      </c>
      <c r="W33" s="1618">
        <v>2.8000000000000001E-2</v>
      </c>
      <c r="X33" s="1618">
        <v>2.1999999999999999E-2</v>
      </c>
      <c r="Y33" s="1618">
        <v>2.5999999999999999E-2</v>
      </c>
      <c r="Z33" s="1618">
        <v>2.8999999999999998E-2</v>
      </c>
      <c r="AA33" s="1618">
        <v>9.0000000000000063E-3</v>
      </c>
      <c r="AB33" s="1618">
        <v>8.0000000000000002E-3</v>
      </c>
      <c r="AC33" s="1618">
        <v>0.01</v>
      </c>
      <c r="AD33" s="1618">
        <v>3.0000000000000001E-3</v>
      </c>
      <c r="AE33" s="1618">
        <v>-1.0999999999999999E-2</v>
      </c>
      <c r="AF33" s="1618">
        <v>1.5000000000000001E-2</v>
      </c>
      <c r="AG33" s="1618">
        <v>1.0000000000000009E-3</v>
      </c>
      <c r="AH33" s="1618">
        <v>1.8000000000000002E-2</v>
      </c>
      <c r="AI33" s="1618">
        <v>4.3999999999999997E-2</v>
      </c>
      <c r="AJ33" s="1618">
        <v>0.02</v>
      </c>
      <c r="AK33" s="1618">
        <v>0.04</v>
      </c>
      <c r="AL33" s="1618">
        <v>1.0999999999999999E-2</v>
      </c>
      <c r="AM33" s="1618">
        <v>-5.000000000000001E-3</v>
      </c>
      <c r="AN33" s="1618">
        <v>4.4999999999999998E-2</v>
      </c>
      <c r="AO33" s="1618">
        <v>2.5000000000000005E-3</v>
      </c>
      <c r="AP33" s="1618">
        <v>0</v>
      </c>
      <c r="AQ33" s="1618">
        <v>0.03</v>
      </c>
      <c r="AR33" s="1618">
        <v>0.03</v>
      </c>
      <c r="AS33" s="1618">
        <v>0.01</v>
      </c>
      <c r="AT33" s="1618">
        <v>0.05</v>
      </c>
      <c r="AU33" s="1618">
        <v>0.02</v>
      </c>
      <c r="AV33" s="1618">
        <v>0.03</v>
      </c>
      <c r="AW33" s="1618">
        <v>0.03</v>
      </c>
      <c r="AX33" s="1618">
        <v>0.03</v>
      </c>
      <c r="AY33" s="1618">
        <v>0.03</v>
      </c>
      <c r="AZ33" s="1618">
        <v>0.03</v>
      </c>
      <c r="BA33" s="1618">
        <v>0.03</v>
      </c>
      <c r="BB33" s="1618">
        <v>0.03</v>
      </c>
      <c r="BC33" s="1618">
        <v>0.03</v>
      </c>
      <c r="BF33" s="409"/>
      <c r="BL33" s="850"/>
    </row>
    <row r="34" spans="1:70" s="30" customFormat="1" outlineLevel="1" x14ac:dyDescent="0.2">
      <c r="A34" s="847"/>
      <c r="B34" s="897"/>
      <c r="C34" s="891"/>
      <c r="D34" s="1618"/>
      <c r="E34" s="1618"/>
      <c r="F34" s="1618"/>
      <c r="G34" s="1618"/>
      <c r="H34" s="1618"/>
      <c r="I34" s="1618"/>
      <c r="J34" s="1618"/>
      <c r="K34" s="1618"/>
      <c r="L34" s="1618"/>
      <c r="M34" s="1618"/>
      <c r="N34" s="1618"/>
      <c r="O34" s="1618"/>
      <c r="P34" s="1618">
        <f t="shared" ref="P34:AU34" si="12">+L33+P33</f>
        <v>-9.0000000000000011E-3</v>
      </c>
      <c r="Q34" s="1618">
        <f t="shared" si="12"/>
        <v>-2.2000000000000006E-2</v>
      </c>
      <c r="R34" s="1618">
        <f t="shared" si="12"/>
        <v>3.4000000000000002E-2</v>
      </c>
      <c r="S34" s="1618">
        <f t="shared" si="12"/>
        <v>-3.8999999999999972E-2</v>
      </c>
      <c r="T34" s="1618">
        <f t="shared" si="12"/>
        <v>6.5000000000000002E-2</v>
      </c>
      <c r="U34" s="1618">
        <f t="shared" si="12"/>
        <v>6.4000000000000001E-2</v>
      </c>
      <c r="V34" s="1618">
        <f t="shared" si="12"/>
        <v>4.8000000000000001E-2</v>
      </c>
      <c r="W34" s="1618">
        <f t="shared" si="12"/>
        <v>3.100000000000001E-2</v>
      </c>
      <c r="X34" s="1618">
        <f t="shared" si="12"/>
        <v>6.3E-2</v>
      </c>
      <c r="Y34" s="1618">
        <f t="shared" si="12"/>
        <v>4.5999999999999999E-2</v>
      </c>
      <c r="Z34" s="1618">
        <f t="shared" si="12"/>
        <v>3.2000000000000001E-2</v>
      </c>
      <c r="AA34" s="1618">
        <f t="shared" si="12"/>
        <v>3.7000000000000005E-2</v>
      </c>
      <c r="AB34" s="1618">
        <f t="shared" si="12"/>
        <v>0.03</v>
      </c>
      <c r="AC34" s="1618">
        <f t="shared" si="12"/>
        <v>3.5999999999999997E-2</v>
      </c>
      <c r="AD34" s="1618">
        <f t="shared" si="12"/>
        <v>3.2000000000000001E-2</v>
      </c>
      <c r="AE34" s="1618">
        <f t="shared" si="12"/>
        <v>-1.9999999999999931E-3</v>
      </c>
      <c r="AF34" s="1618">
        <f t="shared" si="12"/>
        <v>2.3E-2</v>
      </c>
      <c r="AG34" s="1618">
        <f t="shared" si="12"/>
        <v>1.1000000000000001E-2</v>
      </c>
      <c r="AH34" s="1618">
        <f t="shared" si="12"/>
        <v>2.1000000000000001E-2</v>
      </c>
      <c r="AI34" s="1618">
        <f t="shared" si="12"/>
        <v>3.3000000000000002E-2</v>
      </c>
      <c r="AJ34" s="1618">
        <f t="shared" si="12"/>
        <v>3.5000000000000003E-2</v>
      </c>
      <c r="AK34" s="1618">
        <f t="shared" si="12"/>
        <v>4.1000000000000002E-2</v>
      </c>
      <c r="AL34" s="1618">
        <f t="shared" si="12"/>
        <v>2.9000000000000001E-2</v>
      </c>
      <c r="AM34" s="1618">
        <f t="shared" si="12"/>
        <v>3.8999999999999993E-2</v>
      </c>
      <c r="AN34" s="1618">
        <f t="shared" si="12"/>
        <v>6.5000000000000002E-2</v>
      </c>
      <c r="AO34" s="1618">
        <f t="shared" si="12"/>
        <v>4.2500000000000003E-2</v>
      </c>
      <c r="AP34" s="1618">
        <f t="shared" si="12"/>
        <v>1.0999999999999999E-2</v>
      </c>
      <c r="AQ34" s="1618">
        <f t="shared" si="12"/>
        <v>2.4999999999999998E-2</v>
      </c>
      <c r="AR34" s="1618">
        <f t="shared" si="12"/>
        <v>7.4999999999999997E-2</v>
      </c>
      <c r="AS34" s="1618">
        <f t="shared" si="12"/>
        <v>1.2500000000000001E-2</v>
      </c>
      <c r="AT34" s="1618">
        <f t="shared" si="12"/>
        <v>0.05</v>
      </c>
      <c r="AU34" s="1618">
        <f t="shared" si="12"/>
        <v>0.05</v>
      </c>
      <c r="AV34" s="1618">
        <f t="shared" ref="AV34" si="13">+AR33+AV33</f>
        <v>0.06</v>
      </c>
      <c r="AW34" s="1618">
        <f t="shared" ref="AW34" si="14">+AS33+AW33</f>
        <v>0.04</v>
      </c>
      <c r="AX34" s="1618">
        <f t="shared" ref="AX34" si="15">+AT33+AX33</f>
        <v>0.08</v>
      </c>
      <c r="AY34" s="1618">
        <f t="shared" ref="AY34" si="16">+AU33+AY33</f>
        <v>0.05</v>
      </c>
      <c r="AZ34" s="1618">
        <f t="shared" ref="AZ34" si="17">+AV33+AZ33</f>
        <v>0.06</v>
      </c>
      <c r="BA34" s="1618">
        <f t="shared" ref="BA34" si="18">+AW33+BA33</f>
        <v>0.06</v>
      </c>
      <c r="BB34" s="1618">
        <f t="shared" ref="BB34" si="19">+AX33+BB33</f>
        <v>0.06</v>
      </c>
      <c r="BC34" s="1618">
        <f t="shared" ref="BC34" si="20">+AY33+BC33</f>
        <v>0.06</v>
      </c>
      <c r="BF34" s="409"/>
      <c r="BL34" s="850"/>
    </row>
    <row r="35" spans="1:70" s="30" customFormat="1" x14ac:dyDescent="0.2">
      <c r="A35" s="847"/>
      <c r="B35" s="850" t="str">
        <f>+B9</f>
        <v xml:space="preserve">ROW Organic </v>
      </c>
      <c r="C35" s="850"/>
      <c r="D35" s="409"/>
      <c r="E35" s="409"/>
      <c r="F35" s="409"/>
      <c r="G35" s="409"/>
      <c r="H35" s="409"/>
      <c r="I35" s="409"/>
      <c r="J35" s="409"/>
      <c r="K35" s="409"/>
      <c r="L35" s="409">
        <v>-4.2000000000000003E-2</v>
      </c>
      <c r="M35" s="409">
        <v>0</v>
      </c>
      <c r="N35" s="409">
        <v>0</v>
      </c>
      <c r="O35" s="409">
        <v>5.4000000000000006E-2</v>
      </c>
      <c r="P35" s="409">
        <v>0.06</v>
      </c>
      <c r="Q35" s="409">
        <v>3.6999999999999998E-2</v>
      </c>
      <c r="R35" s="409">
        <v>2.7E-2</v>
      </c>
      <c r="S35" s="409">
        <v>4.0000000000000008E-2</v>
      </c>
      <c r="T35" s="409">
        <v>8.4000000000000005E-2</v>
      </c>
      <c r="U35" s="409">
        <v>0.08</v>
      </c>
      <c r="V35" s="409">
        <v>0.108</v>
      </c>
      <c r="W35" s="409">
        <v>0.01</v>
      </c>
      <c r="X35" s="409">
        <v>4.3999999999999997E-2</v>
      </c>
      <c r="Y35" s="409">
        <v>8.1000000000000003E-2</v>
      </c>
      <c r="Z35" s="409">
        <v>0.02</v>
      </c>
      <c r="AA35" s="409">
        <v>0.14849558814658806</v>
      </c>
      <c r="AB35" s="409">
        <v>2.9000000000000001E-2</v>
      </c>
      <c r="AC35" s="409">
        <v>3.4000000000000002E-2</v>
      </c>
      <c r="AD35" s="409">
        <v>4.5999999999999999E-2</v>
      </c>
      <c r="AE35" s="409">
        <v>2.5000000000000001E-2</v>
      </c>
      <c r="AF35" s="409">
        <v>0.06</v>
      </c>
      <c r="AG35" s="409">
        <v>6.2E-2</v>
      </c>
      <c r="AH35" s="409">
        <v>5.8000000000000003E-2</v>
      </c>
      <c r="AI35" s="409">
        <v>3.4100000000000005E-2</v>
      </c>
      <c r="AJ35" s="1617">
        <v>0.05</v>
      </c>
      <c r="AK35" s="1617">
        <v>4.7E-2</v>
      </c>
      <c r="AL35" s="1617">
        <v>7.8E-2</v>
      </c>
      <c r="AM35" s="1617">
        <v>4.5999999999999999E-2</v>
      </c>
      <c r="AN35" s="1617">
        <v>4.4999999999999998E-2</v>
      </c>
      <c r="AO35" s="1617">
        <v>0.10298398628840046</v>
      </c>
      <c r="AP35" s="1617">
        <v>2.1606471027444538E-2</v>
      </c>
      <c r="AQ35" s="1617">
        <v>6.3848522700519883E-2</v>
      </c>
      <c r="AR35" s="1617">
        <v>5.6083113586857655E-3</v>
      </c>
      <c r="AS35" s="1617">
        <v>3.9168622893088791E-2</v>
      </c>
      <c r="AT35" s="1617">
        <v>0.15274901330461732</v>
      </c>
      <c r="AU35" s="1617">
        <v>0.11797815243703662</v>
      </c>
      <c r="AV35" s="409">
        <v>-0.47301639168102888</v>
      </c>
      <c r="AW35" s="409">
        <v>-0.21630601417989082</v>
      </c>
      <c r="AX35" s="409">
        <v>2.5137400858638703E-2</v>
      </c>
      <c r="AY35" s="409">
        <v>-2.2688502676928683E-2</v>
      </c>
      <c r="AZ35" s="409">
        <v>-0.20000749628758627</v>
      </c>
      <c r="BA35" s="409">
        <v>5.734386139692539E-3</v>
      </c>
      <c r="BB35" s="409">
        <v>-1.2935575700003473E-2</v>
      </c>
      <c r="BC35" s="409">
        <v>-6.2436483463921146E-2</v>
      </c>
      <c r="BF35" s="409"/>
      <c r="BL35" s="850"/>
      <c r="BR35" s="26"/>
    </row>
    <row r="36" spans="1:70" s="30" customFormat="1" outlineLevel="1" x14ac:dyDescent="0.2">
      <c r="A36" s="847"/>
      <c r="B36" s="1622" t="s">
        <v>654</v>
      </c>
      <c r="C36" s="850"/>
      <c r="D36" s="409"/>
      <c r="E36" s="409"/>
      <c r="F36" s="409"/>
      <c r="G36" s="409"/>
      <c r="H36" s="409"/>
      <c r="I36" s="409"/>
      <c r="J36" s="409"/>
      <c r="K36" s="409"/>
      <c r="L36" s="409"/>
      <c r="M36" s="409"/>
      <c r="N36" s="409"/>
      <c r="O36" s="409"/>
      <c r="P36" s="409">
        <f t="shared" ref="P36:AU36" si="21">+L35+P35</f>
        <v>1.7999999999999995E-2</v>
      </c>
      <c r="Q36" s="409">
        <f t="shared" si="21"/>
        <v>3.6999999999999998E-2</v>
      </c>
      <c r="R36" s="409">
        <f t="shared" si="21"/>
        <v>2.7E-2</v>
      </c>
      <c r="S36" s="409">
        <f t="shared" si="21"/>
        <v>9.4000000000000014E-2</v>
      </c>
      <c r="T36" s="409">
        <f t="shared" si="21"/>
        <v>0.14400000000000002</v>
      </c>
      <c r="U36" s="409">
        <f t="shared" si="21"/>
        <v>0.11699999999999999</v>
      </c>
      <c r="V36" s="409">
        <f t="shared" si="21"/>
        <v>0.13500000000000001</v>
      </c>
      <c r="W36" s="409">
        <f t="shared" si="21"/>
        <v>5.000000000000001E-2</v>
      </c>
      <c r="X36" s="409">
        <f t="shared" si="21"/>
        <v>0.128</v>
      </c>
      <c r="Y36" s="409">
        <f t="shared" si="21"/>
        <v>0.161</v>
      </c>
      <c r="Z36" s="409">
        <f t="shared" si="21"/>
        <v>0.128</v>
      </c>
      <c r="AA36" s="409">
        <f t="shared" si="21"/>
        <v>0.15849558814658807</v>
      </c>
      <c r="AB36" s="409">
        <f t="shared" si="21"/>
        <v>7.2999999999999995E-2</v>
      </c>
      <c r="AC36" s="409">
        <f t="shared" si="21"/>
        <v>0.115</v>
      </c>
      <c r="AD36" s="409">
        <f t="shared" si="21"/>
        <v>6.6000000000000003E-2</v>
      </c>
      <c r="AE36" s="409">
        <f t="shared" si="21"/>
        <v>0.17349558814658805</v>
      </c>
      <c r="AF36" s="409">
        <f t="shared" si="21"/>
        <v>8.8999999999999996E-2</v>
      </c>
      <c r="AG36" s="409">
        <f t="shared" si="21"/>
        <v>9.6000000000000002E-2</v>
      </c>
      <c r="AH36" s="409">
        <f t="shared" si="21"/>
        <v>0.10400000000000001</v>
      </c>
      <c r="AI36" s="409">
        <f t="shared" si="21"/>
        <v>5.9100000000000007E-2</v>
      </c>
      <c r="AJ36" s="1617">
        <f t="shared" si="21"/>
        <v>0.11</v>
      </c>
      <c r="AK36" s="1617">
        <f t="shared" si="21"/>
        <v>0.109</v>
      </c>
      <c r="AL36" s="1617">
        <f t="shared" si="21"/>
        <v>0.13600000000000001</v>
      </c>
      <c r="AM36" s="1617">
        <f t="shared" si="21"/>
        <v>8.0100000000000005E-2</v>
      </c>
      <c r="AN36" s="1617">
        <f t="shared" si="21"/>
        <v>9.5000000000000001E-2</v>
      </c>
      <c r="AO36" s="1617">
        <f t="shared" si="21"/>
        <v>0.14998398628840046</v>
      </c>
      <c r="AP36" s="1617">
        <f t="shared" si="21"/>
        <v>9.9606471027444535E-2</v>
      </c>
      <c r="AQ36" s="1617">
        <f t="shared" si="21"/>
        <v>0.10984852270051988</v>
      </c>
      <c r="AR36" s="1617">
        <f t="shared" si="21"/>
        <v>5.0608311358685765E-2</v>
      </c>
      <c r="AS36" s="1617">
        <f t="shared" si="21"/>
        <v>0.14215260918148925</v>
      </c>
      <c r="AT36" s="1617">
        <f t="shared" si="21"/>
        <v>0.17435548433206186</v>
      </c>
      <c r="AU36" s="1617">
        <f t="shared" si="21"/>
        <v>0.18182667513755651</v>
      </c>
      <c r="AV36" s="409">
        <f t="shared" ref="AV36" si="22">+AR35+AV35</f>
        <v>-0.4674080803223431</v>
      </c>
      <c r="AW36" s="409">
        <f t="shared" ref="AW36" si="23">+AS35+AW35</f>
        <v>-0.17713739128680203</v>
      </c>
      <c r="AX36" s="409">
        <f t="shared" ref="AX36" si="24">+AT35+AX35</f>
        <v>0.17788641416325601</v>
      </c>
      <c r="AY36" s="409">
        <f t="shared" ref="AY36" si="25">+AU35+AY35</f>
        <v>9.5289649760107939E-2</v>
      </c>
      <c r="AZ36" s="409">
        <f t="shared" ref="AZ36" si="26">+AV35+AZ35</f>
        <v>-0.67302388796861512</v>
      </c>
      <c r="BA36" s="409">
        <f t="shared" ref="BA36" si="27">+AW35+BA35</f>
        <v>-0.21057162804019827</v>
      </c>
      <c r="BB36" s="409">
        <f t="shared" ref="BB36" si="28">+AX35+BB35</f>
        <v>1.2201825158635229E-2</v>
      </c>
      <c r="BC36" s="409">
        <f t="shared" ref="BC36" si="29">+AY35+BC35</f>
        <v>-8.5124986140849832E-2</v>
      </c>
      <c r="BF36" s="409"/>
      <c r="BL36" s="850"/>
      <c r="BR36" s="26"/>
    </row>
    <row r="37" spans="1:70" s="30" customFormat="1" x14ac:dyDescent="0.2">
      <c r="A37" s="847"/>
      <c r="B37" s="1625" t="s">
        <v>655</v>
      </c>
      <c r="C37" s="1625"/>
      <c r="D37" s="1626"/>
      <c r="E37" s="1626"/>
      <c r="F37" s="1626"/>
      <c r="G37" s="1626"/>
      <c r="H37" s="1626"/>
      <c r="I37" s="1626"/>
      <c r="J37" s="1626"/>
      <c r="K37" s="1626"/>
      <c r="L37" s="1626">
        <v>-3.7035000000000005E-2</v>
      </c>
      <c r="M37" s="1626">
        <v>-4.0150000000000005E-2</v>
      </c>
      <c r="N37" s="1626">
        <v>-1.4421E-2</v>
      </c>
      <c r="O37" s="1626">
        <v>6.6600000000001012E-4</v>
      </c>
      <c r="P37" s="1626">
        <v>2.5553999999999997E-2</v>
      </c>
      <c r="Q37" s="1626">
        <v>2.6150999999999997E-2</v>
      </c>
      <c r="R37" s="1626">
        <v>2.1596000000000004E-2</v>
      </c>
      <c r="S37" s="1626">
        <v>1.0363000000000006E-2</v>
      </c>
      <c r="T37" s="1626">
        <v>3.8336999999999996E-2</v>
      </c>
      <c r="U37" s="1626">
        <v>3.3799999999999997E-2</v>
      </c>
      <c r="V37" s="1626">
        <v>3.8749999999999993E-2</v>
      </c>
      <c r="W37" s="1626">
        <v>4.1619999999999997E-2</v>
      </c>
      <c r="X37" s="1626">
        <v>4.5411999999999994E-2</v>
      </c>
      <c r="Y37" s="1626">
        <v>3.9700000000000006E-2</v>
      </c>
      <c r="Z37" s="1626">
        <v>2.7560000000000001E-2</v>
      </c>
      <c r="AA37" s="1626">
        <v>3.4999999999999996E-2</v>
      </c>
      <c r="AB37" s="1626">
        <v>1.5939999999999996E-2</v>
      </c>
      <c r="AC37" s="1626">
        <v>3.2439999999999997E-2</v>
      </c>
      <c r="AD37" s="1626">
        <v>2.6859999999999998E-2</v>
      </c>
      <c r="AE37" s="1626">
        <v>8.4399999999999996E-3</v>
      </c>
      <c r="AF37" s="1626">
        <v>2.4339999999999997E-2</v>
      </c>
      <c r="AG37" s="1626">
        <v>1.6869999999999996E-2</v>
      </c>
      <c r="AH37" s="1626">
        <v>2.784E-2</v>
      </c>
      <c r="AI37" s="1626">
        <v>3.2423E-2</v>
      </c>
      <c r="AJ37" s="1626">
        <v>3.424E-2</v>
      </c>
      <c r="AK37" s="1626">
        <v>3.9118000000000007E-2</v>
      </c>
      <c r="AL37" s="1626">
        <v>3.1140000000000001E-2</v>
      </c>
      <c r="AM37" s="1626">
        <v>2.1603999999999998E-2</v>
      </c>
      <c r="AN37" s="1626">
        <v>4.4999999999999998E-2</v>
      </c>
      <c r="AO37" s="1626">
        <v>3.8180025024582898E-2</v>
      </c>
      <c r="AP37" s="1626">
        <v>-3.3810346132092037E-3</v>
      </c>
      <c r="AQ37" s="1626">
        <v>3.4578251357322697E-2</v>
      </c>
      <c r="AR37" s="1626">
        <v>2.4135815423835756E-2</v>
      </c>
      <c r="AS37" s="1626">
        <v>2.0451198590851691E-2</v>
      </c>
      <c r="AT37" s="1626">
        <v>6.0470766035904809E-2</v>
      </c>
      <c r="AU37" s="1626">
        <v>4.3663268496354581E-2</v>
      </c>
      <c r="AV37" s="1626">
        <v>-6.9805883626833473E-2</v>
      </c>
      <c r="AW37" s="1626">
        <v>-3.167888376600074E-2</v>
      </c>
      <c r="AX37" s="1626">
        <v>2.5154144101310984E-2</v>
      </c>
      <c r="AY37" s="1626">
        <v>1.2966665127730075E-2</v>
      </c>
      <c r="AZ37" s="1626">
        <v>-3.0326717964652972E-3</v>
      </c>
      <c r="BA37" s="1626">
        <v>2.1187930214992226E-2</v>
      </c>
      <c r="BB37" s="1626">
        <v>1.5867938970385458E-2</v>
      </c>
      <c r="BC37" s="1626">
        <v>2.6844603300433742E-3</v>
      </c>
      <c r="BF37" s="1627"/>
      <c r="BL37" s="850"/>
    </row>
    <row r="38" spans="1:70" s="30" customFormat="1" outlineLevel="1" x14ac:dyDescent="0.2">
      <c r="A38" s="847"/>
      <c r="B38" s="1625" t="s">
        <v>656</v>
      </c>
      <c r="C38" s="1625"/>
      <c r="D38" s="1626"/>
      <c r="E38" s="1626"/>
      <c r="F38" s="1626"/>
      <c r="G38" s="1626"/>
      <c r="H38" s="1626"/>
      <c r="I38" s="1626"/>
      <c r="J38" s="1626"/>
      <c r="K38" s="1626"/>
      <c r="L38" s="1626"/>
      <c r="M38" s="1626"/>
      <c r="N38" s="1626"/>
      <c r="O38" s="1626"/>
      <c r="P38" s="1626">
        <f t="shared" ref="P38:AU38" si="30">+L37+P37</f>
        <v>-1.1481000000000009E-2</v>
      </c>
      <c r="Q38" s="1626">
        <f t="shared" si="30"/>
        <v>-1.3999000000000008E-2</v>
      </c>
      <c r="R38" s="1626">
        <f t="shared" si="30"/>
        <v>7.1750000000000043E-3</v>
      </c>
      <c r="S38" s="1626">
        <f t="shared" si="30"/>
        <v>1.1029000000000016E-2</v>
      </c>
      <c r="T38" s="1626">
        <f t="shared" si="30"/>
        <v>6.3890999999999989E-2</v>
      </c>
      <c r="U38" s="1626">
        <f t="shared" si="30"/>
        <v>5.995099999999999E-2</v>
      </c>
      <c r="V38" s="1626">
        <f t="shared" si="30"/>
        <v>6.0345999999999997E-2</v>
      </c>
      <c r="W38" s="1626">
        <f t="shared" si="30"/>
        <v>5.1983000000000001E-2</v>
      </c>
      <c r="X38" s="1626">
        <f t="shared" si="30"/>
        <v>8.374899999999999E-2</v>
      </c>
      <c r="Y38" s="1626">
        <f t="shared" si="30"/>
        <v>7.350000000000001E-2</v>
      </c>
      <c r="Z38" s="1626">
        <f t="shared" si="30"/>
        <v>6.6309999999999994E-2</v>
      </c>
      <c r="AA38" s="1626">
        <f t="shared" si="30"/>
        <v>7.6619999999999994E-2</v>
      </c>
      <c r="AB38" s="1626">
        <f t="shared" si="30"/>
        <v>6.135199999999999E-2</v>
      </c>
      <c r="AC38" s="1626">
        <f t="shared" si="30"/>
        <v>7.214000000000001E-2</v>
      </c>
      <c r="AD38" s="1626">
        <f t="shared" si="30"/>
        <v>5.4419999999999996E-2</v>
      </c>
      <c r="AE38" s="1626">
        <f t="shared" si="30"/>
        <v>4.3439999999999993E-2</v>
      </c>
      <c r="AF38" s="1626">
        <f t="shared" si="30"/>
        <v>4.0279999999999996E-2</v>
      </c>
      <c r="AG38" s="1626">
        <f t="shared" si="30"/>
        <v>4.9309999999999993E-2</v>
      </c>
      <c r="AH38" s="1626">
        <f t="shared" si="30"/>
        <v>5.4699999999999999E-2</v>
      </c>
      <c r="AI38" s="1626">
        <f t="shared" si="30"/>
        <v>4.0862999999999997E-2</v>
      </c>
      <c r="AJ38" s="1626">
        <f t="shared" si="30"/>
        <v>5.8579999999999993E-2</v>
      </c>
      <c r="AK38" s="1626">
        <f t="shared" si="30"/>
        <v>5.5988000000000003E-2</v>
      </c>
      <c r="AL38" s="1626">
        <f t="shared" si="30"/>
        <v>5.8980000000000005E-2</v>
      </c>
      <c r="AM38" s="1626">
        <f t="shared" si="30"/>
        <v>5.4026999999999999E-2</v>
      </c>
      <c r="AN38" s="1626">
        <f t="shared" si="30"/>
        <v>7.9240000000000005E-2</v>
      </c>
      <c r="AO38" s="1626">
        <f t="shared" si="30"/>
        <v>7.7298025024582911E-2</v>
      </c>
      <c r="AP38" s="1626">
        <f t="shared" si="30"/>
        <v>2.7758965386790797E-2</v>
      </c>
      <c r="AQ38" s="1626">
        <f t="shared" si="30"/>
        <v>5.6182251357322695E-2</v>
      </c>
      <c r="AR38" s="1626">
        <f t="shared" si="30"/>
        <v>6.9135815423835761E-2</v>
      </c>
      <c r="AS38" s="1626">
        <f t="shared" si="30"/>
        <v>5.8631223615434588E-2</v>
      </c>
      <c r="AT38" s="1626">
        <f t="shared" si="30"/>
        <v>5.7089731422695605E-2</v>
      </c>
      <c r="AU38" s="1626">
        <f t="shared" si="30"/>
        <v>7.8241519853677277E-2</v>
      </c>
      <c r="AV38" s="1626">
        <f>+AR37+AV37</f>
        <v>-4.5670068202997717E-2</v>
      </c>
      <c r="AW38" s="1626">
        <f t="shared" ref="AW38" si="31">+AS37+AW37</f>
        <v>-1.1227685175149049E-2</v>
      </c>
      <c r="AX38" s="1626">
        <f t="shared" ref="AX38" si="32">+AT37+AX37</f>
        <v>8.5624910137215793E-2</v>
      </c>
      <c r="AY38" s="1626">
        <f t="shared" ref="AY38" si="33">+AU37+AY37</f>
        <v>5.6629933624084652E-2</v>
      </c>
      <c r="AZ38" s="1626">
        <f>+AV37+AZ37</f>
        <v>-7.283855542329877E-2</v>
      </c>
      <c r="BA38" s="1626">
        <f t="shared" ref="BA38" si="34">+AW37+BA37</f>
        <v>-1.0490953551008514E-2</v>
      </c>
      <c r="BB38" s="1626">
        <f t="shared" ref="BB38" si="35">+AX37+BB37</f>
        <v>4.1022083071696441E-2</v>
      </c>
      <c r="BC38" s="1626">
        <f t="shared" ref="BC38" si="36">+AY37+BC37</f>
        <v>1.5651125457773449E-2</v>
      </c>
      <c r="BF38" s="1627"/>
      <c r="BH38" s="386">
        <f>AQ38-AVERAGE(AN38:AP38)</f>
        <v>-5.2500787798018742E-3</v>
      </c>
      <c r="BI38" s="386">
        <f>+AVERAGE(AR38:AU38)-AVERAGE(AN38:AQ38)</f>
        <v>5.6547621367367129E-3</v>
      </c>
      <c r="BL38" s="850"/>
    </row>
    <row r="39" spans="1:70" s="30" customFormat="1" x14ac:dyDescent="0.2">
      <c r="A39" s="847"/>
      <c r="B39" s="1615" t="s">
        <v>489</v>
      </c>
      <c r="C39" s="918"/>
      <c r="D39" s="918"/>
      <c r="E39" s="918"/>
      <c r="F39" s="918"/>
      <c r="G39" s="918"/>
      <c r="H39" s="918"/>
      <c r="I39" s="918"/>
      <c r="J39" s="918"/>
      <c r="K39" s="918"/>
      <c r="L39" s="918"/>
      <c r="M39" s="918"/>
      <c r="N39" s="918"/>
      <c r="O39" s="918"/>
      <c r="P39" s="918"/>
      <c r="Q39" s="918"/>
      <c r="R39" s="918"/>
      <c r="S39" s="918"/>
      <c r="T39" s="918"/>
      <c r="U39" s="918"/>
      <c r="V39" s="918"/>
      <c r="W39" s="918"/>
      <c r="X39" s="918"/>
      <c r="Y39" s="918"/>
      <c r="Z39" s="918"/>
      <c r="AA39" s="918"/>
      <c r="AB39" s="918"/>
      <c r="AC39" s="918"/>
      <c r="AD39" s="918"/>
      <c r="AE39" s="918"/>
      <c r="AF39" s="918"/>
      <c r="AG39" s="918"/>
      <c r="AH39" s="918"/>
      <c r="AI39" s="918"/>
      <c r="AJ39" s="918"/>
      <c r="AK39" s="918"/>
      <c r="AL39" s="918"/>
      <c r="AM39" s="918"/>
      <c r="AN39" s="918"/>
      <c r="AO39" s="918"/>
      <c r="AP39" s="918"/>
      <c r="AQ39" s="918"/>
      <c r="AR39" s="918"/>
      <c r="AS39" s="918"/>
      <c r="AT39" s="918"/>
      <c r="AU39" s="918"/>
      <c r="AV39" s="918"/>
      <c r="AW39" s="918"/>
      <c r="AX39" s="918"/>
      <c r="AY39" s="918"/>
      <c r="AZ39" s="918"/>
      <c r="BA39" s="918"/>
      <c r="BB39" s="918"/>
      <c r="BC39" s="918"/>
      <c r="BF39" s="283"/>
    </row>
    <row r="40" spans="1:70" s="30" customFormat="1" x14ac:dyDescent="0.2">
      <c r="A40" s="847"/>
      <c r="B40" s="850" t="s">
        <v>409</v>
      </c>
      <c r="C40" s="850"/>
      <c r="D40" s="409"/>
      <c r="E40" s="409"/>
      <c r="F40" s="409"/>
      <c r="G40" s="409"/>
      <c r="H40" s="409"/>
      <c r="I40" s="409"/>
      <c r="J40" s="409"/>
      <c r="K40" s="409"/>
      <c r="L40" s="409">
        <v>-5.8000000000000003E-2</v>
      </c>
      <c r="M40" s="409">
        <v>0.127</v>
      </c>
      <c r="N40" s="409">
        <v>0.40100000000000002</v>
      </c>
      <c r="O40" s="409">
        <v>0.29299999999999998</v>
      </c>
      <c r="P40" s="409">
        <v>3.4000000000000002E-2</v>
      </c>
      <c r="Q40" s="409">
        <v>4.2999999999999997E-2</v>
      </c>
      <c r="R40" s="409">
        <v>-8.5000000000000006E-2</v>
      </c>
      <c r="S40" s="409">
        <v>0.185</v>
      </c>
      <c r="T40" s="409">
        <v>0.17</v>
      </c>
      <c r="U40" s="409">
        <v>0.23799999999999999</v>
      </c>
      <c r="V40" s="409">
        <v>3.9E-2</v>
      </c>
      <c r="W40" s="409">
        <v>1.4999999999999999E-2</v>
      </c>
      <c r="X40" s="409">
        <v>0.13700000000000001</v>
      </c>
      <c r="Y40" s="409">
        <v>9.5000000000000001E-2</v>
      </c>
      <c r="Z40" s="409">
        <v>0.36499999999999999</v>
      </c>
      <c r="AA40" s="409">
        <v>0.16600000000000001</v>
      </c>
      <c r="AB40" s="409">
        <v>0.23</v>
      </c>
      <c r="AC40" s="409">
        <v>0.251</v>
      </c>
      <c r="AD40" s="409">
        <v>0.374</v>
      </c>
      <c r="AE40" s="409">
        <v>0.123</v>
      </c>
      <c r="AF40" s="409">
        <v>7.5999999999999998E-2</v>
      </c>
      <c r="AG40" s="409">
        <v>5.8000000000000003E-2</v>
      </c>
      <c r="AH40" s="409">
        <v>-4.9000000000000002E-2</v>
      </c>
      <c r="AI40" s="409">
        <v>-2.1000000000000001E-2</v>
      </c>
      <c r="AJ40" s="1617">
        <v>2.9000000000000001E-2</v>
      </c>
      <c r="AK40" s="1617">
        <v>0.245</v>
      </c>
      <c r="AL40" s="1617">
        <v>0.12200000000000001</v>
      </c>
      <c r="AM40" s="1617">
        <v>0.23500000000000004</v>
      </c>
      <c r="AN40" s="1617">
        <v>0.19</v>
      </c>
      <c r="AO40" s="1617">
        <v>-0.01</v>
      </c>
      <c r="AP40" s="1617">
        <v>0</v>
      </c>
      <c r="AQ40" s="1617">
        <v>0</v>
      </c>
      <c r="AR40" s="1617">
        <v>-0.18</v>
      </c>
      <c r="AS40" s="1617">
        <v>-0.14000000000000001</v>
      </c>
      <c r="AT40" s="1617">
        <v>-0.02</v>
      </c>
      <c r="AU40" s="1617">
        <v>0.05</v>
      </c>
      <c r="AV40" s="409">
        <v>0.4</v>
      </c>
      <c r="AW40" s="409">
        <v>0.4</v>
      </c>
      <c r="AX40" s="409">
        <v>0.2</v>
      </c>
      <c r="AY40" s="409">
        <v>0.2</v>
      </c>
      <c r="AZ40" s="409">
        <v>0.1</v>
      </c>
      <c r="BA40" s="409">
        <v>0.1</v>
      </c>
      <c r="BB40" s="409">
        <v>0.1</v>
      </c>
      <c r="BC40" s="409">
        <v>0.1</v>
      </c>
      <c r="BF40" s="409"/>
      <c r="BL40" s="850"/>
    </row>
    <row r="41" spans="1:70" s="30" customFormat="1" outlineLevel="1" x14ac:dyDescent="0.2">
      <c r="A41" s="847"/>
      <c r="B41" s="850"/>
      <c r="C41" s="850"/>
      <c r="D41" s="409"/>
      <c r="E41" s="409"/>
      <c r="F41" s="409"/>
      <c r="G41" s="409"/>
      <c r="H41" s="409"/>
      <c r="I41" s="409"/>
      <c r="J41" s="409"/>
      <c r="K41" s="409"/>
      <c r="L41" s="409"/>
      <c r="M41" s="409"/>
      <c r="N41" s="409"/>
      <c r="O41" s="409"/>
      <c r="P41" s="409">
        <f t="shared" ref="P41:AU41" si="37">+L40+P40</f>
        <v>-2.4E-2</v>
      </c>
      <c r="Q41" s="409">
        <f t="shared" si="37"/>
        <v>0.16999999999999998</v>
      </c>
      <c r="R41" s="409">
        <f t="shared" si="37"/>
        <v>0.316</v>
      </c>
      <c r="S41" s="409">
        <f t="shared" si="37"/>
        <v>0.47799999999999998</v>
      </c>
      <c r="T41" s="409">
        <f t="shared" si="37"/>
        <v>0.20400000000000001</v>
      </c>
      <c r="U41" s="409">
        <f t="shared" si="37"/>
        <v>0.28099999999999997</v>
      </c>
      <c r="V41" s="409">
        <f t="shared" si="37"/>
        <v>-4.6000000000000006E-2</v>
      </c>
      <c r="W41" s="409">
        <f t="shared" si="37"/>
        <v>0.2</v>
      </c>
      <c r="X41" s="409">
        <f t="shared" si="37"/>
        <v>0.30700000000000005</v>
      </c>
      <c r="Y41" s="409">
        <f t="shared" si="37"/>
        <v>0.33299999999999996</v>
      </c>
      <c r="Z41" s="409">
        <f t="shared" si="37"/>
        <v>0.40399999999999997</v>
      </c>
      <c r="AA41" s="409">
        <f t="shared" si="37"/>
        <v>0.18099999999999999</v>
      </c>
      <c r="AB41" s="409">
        <f t="shared" si="37"/>
        <v>0.36699999999999999</v>
      </c>
      <c r="AC41" s="409">
        <f t="shared" si="37"/>
        <v>0.34599999999999997</v>
      </c>
      <c r="AD41" s="409">
        <f t="shared" si="37"/>
        <v>0.73899999999999999</v>
      </c>
      <c r="AE41" s="409">
        <f t="shared" si="37"/>
        <v>0.28900000000000003</v>
      </c>
      <c r="AF41" s="409">
        <f t="shared" si="37"/>
        <v>0.30599999999999999</v>
      </c>
      <c r="AG41" s="409">
        <f t="shared" si="37"/>
        <v>0.309</v>
      </c>
      <c r="AH41" s="409">
        <f t="shared" si="37"/>
        <v>0.32500000000000001</v>
      </c>
      <c r="AI41" s="409">
        <f t="shared" si="37"/>
        <v>0.10199999999999999</v>
      </c>
      <c r="AJ41" s="1617">
        <f t="shared" si="37"/>
        <v>0.105</v>
      </c>
      <c r="AK41" s="1617">
        <f t="shared" si="37"/>
        <v>0.30299999999999999</v>
      </c>
      <c r="AL41" s="1617">
        <f t="shared" si="37"/>
        <v>7.3000000000000009E-2</v>
      </c>
      <c r="AM41" s="1617">
        <f t="shared" si="37"/>
        <v>0.21400000000000005</v>
      </c>
      <c r="AN41" s="1617">
        <f t="shared" si="37"/>
        <v>0.219</v>
      </c>
      <c r="AO41" s="1617">
        <f t="shared" si="37"/>
        <v>0.23499999999999999</v>
      </c>
      <c r="AP41" s="1617">
        <f t="shared" si="37"/>
        <v>0.12200000000000001</v>
      </c>
      <c r="AQ41" s="1617">
        <f t="shared" si="37"/>
        <v>0.23500000000000004</v>
      </c>
      <c r="AR41" s="1617">
        <f t="shared" si="37"/>
        <v>1.0000000000000009E-2</v>
      </c>
      <c r="AS41" s="1617">
        <f t="shared" si="37"/>
        <v>-0.15000000000000002</v>
      </c>
      <c r="AT41" s="1617">
        <f t="shared" si="37"/>
        <v>-0.02</v>
      </c>
      <c r="AU41" s="1617">
        <f t="shared" si="37"/>
        <v>0.05</v>
      </c>
      <c r="AV41" s="409">
        <f t="shared" ref="AV41" si="38">+AR40+AV40</f>
        <v>0.22000000000000003</v>
      </c>
      <c r="AW41" s="409">
        <f t="shared" ref="AW41" si="39">+AS40+AW40</f>
        <v>0.26</v>
      </c>
      <c r="AX41" s="409">
        <f t="shared" ref="AX41" si="40">+AT40+AX40</f>
        <v>0.18000000000000002</v>
      </c>
      <c r="AY41" s="409">
        <f t="shared" ref="AY41" si="41">+AU40+AY40</f>
        <v>0.25</v>
      </c>
      <c r="AZ41" s="409">
        <f t="shared" ref="AZ41" si="42">+AV40+AZ40</f>
        <v>0.5</v>
      </c>
      <c r="BA41" s="409">
        <f t="shared" ref="BA41" si="43">+AW40+BA40</f>
        <v>0.5</v>
      </c>
      <c r="BB41" s="409">
        <f t="shared" ref="BB41" si="44">+AX40+BB40</f>
        <v>0.30000000000000004</v>
      </c>
      <c r="BC41" s="409">
        <f t="shared" ref="BC41" si="45">+AY40+BC40</f>
        <v>0.30000000000000004</v>
      </c>
      <c r="BF41" s="409"/>
      <c r="BL41" s="850"/>
    </row>
    <row r="42" spans="1:70" s="30" customFormat="1" x14ac:dyDescent="0.2">
      <c r="A42" s="847"/>
      <c r="B42" s="891" t="s">
        <v>408</v>
      </c>
      <c r="C42" s="891"/>
      <c r="D42" s="1618"/>
      <c r="E42" s="1618"/>
      <c r="F42" s="1618"/>
      <c r="G42" s="1618"/>
      <c r="H42" s="1618"/>
      <c r="I42" s="1618"/>
      <c r="J42" s="1618"/>
      <c r="K42" s="1618"/>
      <c r="L42" s="1618">
        <v>-0.105</v>
      </c>
      <c r="M42" s="1618">
        <v>-9.0999999999999998E-2</v>
      </c>
      <c r="N42" s="1618">
        <v>-2.7E-2</v>
      </c>
      <c r="O42" s="1618">
        <v>3.6999999999999998E-2</v>
      </c>
      <c r="P42" s="1618">
        <v>0.16600000000000001</v>
      </c>
      <c r="Q42" s="1618">
        <v>0.22</v>
      </c>
      <c r="R42" s="1618">
        <v>7.1999999999999995E-2</v>
      </c>
      <c r="S42" s="1618">
        <v>0.112</v>
      </c>
      <c r="T42" s="1618">
        <v>0.222</v>
      </c>
      <c r="U42" s="1618">
        <v>0.29599999999999999</v>
      </c>
      <c r="V42" s="1618">
        <v>0.371</v>
      </c>
      <c r="W42" s="1618">
        <v>0.24299999999999999</v>
      </c>
      <c r="X42" s="1618">
        <v>0.06</v>
      </c>
      <c r="Y42" s="1618">
        <v>2.8000000000000001E-2</v>
      </c>
      <c r="Z42" s="1618">
        <v>0.14000000000000001</v>
      </c>
      <c r="AA42" s="1618">
        <v>4.9000000000000002E-2</v>
      </c>
      <c r="AB42" s="1618">
        <v>0.13300000000000001</v>
      </c>
      <c r="AC42" s="1618">
        <v>0.22900000000000001</v>
      </c>
      <c r="AD42" s="1618">
        <v>5.8999999999999997E-2</v>
      </c>
      <c r="AE42" s="1618">
        <v>9.6000000000000002E-2</v>
      </c>
      <c r="AF42" s="1618">
        <v>0.06</v>
      </c>
      <c r="AG42" s="1618">
        <v>0.121</v>
      </c>
      <c r="AH42" s="1618">
        <v>-3.0000000000000001E-3</v>
      </c>
      <c r="AI42" s="1618">
        <v>5.5E-2</v>
      </c>
      <c r="AJ42" s="1618">
        <v>-7.0000000000000001E-3</v>
      </c>
      <c r="AK42" s="1618">
        <v>0.03</v>
      </c>
      <c r="AL42" s="1618">
        <v>0.115</v>
      </c>
      <c r="AM42" s="1618">
        <v>2.8000000000000001E-2</v>
      </c>
      <c r="AN42" s="1618">
        <v>0.12</v>
      </c>
      <c r="AO42" s="1618">
        <v>0.01</v>
      </c>
      <c r="AP42" s="1618">
        <v>6.0000000000000001E-3</v>
      </c>
      <c r="AQ42" s="1618">
        <v>0.02</v>
      </c>
      <c r="AR42" s="1618">
        <v>-0.05</v>
      </c>
      <c r="AS42" s="1618">
        <v>-0.09</v>
      </c>
      <c r="AT42" s="1618">
        <v>0</v>
      </c>
      <c r="AU42" s="1618">
        <v>0.05</v>
      </c>
      <c r="AV42" s="1618">
        <v>0.15</v>
      </c>
      <c r="AW42" s="1618">
        <v>0.15</v>
      </c>
      <c r="AX42" s="1618">
        <v>0.05</v>
      </c>
      <c r="AY42" s="1618">
        <v>0.05</v>
      </c>
      <c r="AZ42" s="1618">
        <v>0.05</v>
      </c>
      <c r="BA42" s="1618">
        <v>0.05</v>
      </c>
      <c r="BB42" s="1618">
        <v>0.05</v>
      </c>
      <c r="BC42" s="1618">
        <v>0.05</v>
      </c>
      <c r="BF42" s="409"/>
      <c r="BL42" s="850"/>
    </row>
    <row r="43" spans="1:70" s="30" customFormat="1" outlineLevel="1" x14ac:dyDescent="0.2">
      <c r="A43" s="847"/>
      <c r="B43" s="891"/>
      <c r="C43" s="891"/>
      <c r="D43" s="1618"/>
      <c r="E43" s="1618"/>
      <c r="F43" s="1618"/>
      <c r="G43" s="1618"/>
      <c r="H43" s="1618"/>
      <c r="I43" s="1618"/>
      <c r="J43" s="1618"/>
      <c r="K43" s="1618"/>
      <c r="L43" s="1618"/>
      <c r="M43" s="1618"/>
      <c r="N43" s="1618"/>
      <c r="O43" s="1618"/>
      <c r="P43" s="1618">
        <f t="shared" ref="P43:AU43" si="46">+L42+P42</f>
        <v>6.1000000000000013E-2</v>
      </c>
      <c r="Q43" s="1618">
        <f t="shared" si="46"/>
        <v>0.129</v>
      </c>
      <c r="R43" s="1618">
        <f t="shared" si="46"/>
        <v>4.4999999999999998E-2</v>
      </c>
      <c r="S43" s="1618">
        <f t="shared" si="46"/>
        <v>0.14899999999999999</v>
      </c>
      <c r="T43" s="1618">
        <f t="shared" si="46"/>
        <v>0.38800000000000001</v>
      </c>
      <c r="U43" s="1618">
        <f t="shared" si="46"/>
        <v>0.51600000000000001</v>
      </c>
      <c r="V43" s="1618">
        <f t="shared" si="46"/>
        <v>0.443</v>
      </c>
      <c r="W43" s="1618">
        <f t="shared" si="46"/>
        <v>0.35499999999999998</v>
      </c>
      <c r="X43" s="1618">
        <f t="shared" si="46"/>
        <v>0.28200000000000003</v>
      </c>
      <c r="Y43" s="1618">
        <f t="shared" si="46"/>
        <v>0.32400000000000001</v>
      </c>
      <c r="Z43" s="1618">
        <f t="shared" si="46"/>
        <v>0.51100000000000001</v>
      </c>
      <c r="AA43" s="1618">
        <f t="shared" si="46"/>
        <v>0.29199999999999998</v>
      </c>
      <c r="AB43" s="1618">
        <f t="shared" si="46"/>
        <v>0.193</v>
      </c>
      <c r="AC43" s="1618">
        <f t="shared" si="46"/>
        <v>0.25700000000000001</v>
      </c>
      <c r="AD43" s="1618">
        <f t="shared" si="46"/>
        <v>0.19900000000000001</v>
      </c>
      <c r="AE43" s="1618">
        <f t="shared" si="46"/>
        <v>0.14500000000000002</v>
      </c>
      <c r="AF43" s="1618">
        <f t="shared" si="46"/>
        <v>0.193</v>
      </c>
      <c r="AG43" s="1618">
        <f t="shared" si="46"/>
        <v>0.35</v>
      </c>
      <c r="AH43" s="1618">
        <f t="shared" si="46"/>
        <v>5.5999999999999994E-2</v>
      </c>
      <c r="AI43" s="1618">
        <f t="shared" si="46"/>
        <v>0.151</v>
      </c>
      <c r="AJ43" s="1618">
        <f t="shared" si="46"/>
        <v>5.2999999999999999E-2</v>
      </c>
      <c r="AK43" s="1618">
        <f t="shared" si="46"/>
        <v>0.151</v>
      </c>
      <c r="AL43" s="1618">
        <f t="shared" si="46"/>
        <v>0.112</v>
      </c>
      <c r="AM43" s="1618">
        <f t="shared" si="46"/>
        <v>8.3000000000000004E-2</v>
      </c>
      <c r="AN43" s="1618">
        <f t="shared" si="46"/>
        <v>0.11299999999999999</v>
      </c>
      <c r="AO43" s="1618">
        <f t="shared" si="46"/>
        <v>0.04</v>
      </c>
      <c r="AP43" s="1618">
        <f t="shared" si="46"/>
        <v>0.12100000000000001</v>
      </c>
      <c r="AQ43" s="1618">
        <f t="shared" si="46"/>
        <v>4.8000000000000001E-2</v>
      </c>
      <c r="AR43" s="1618">
        <f t="shared" si="46"/>
        <v>6.9999999999999993E-2</v>
      </c>
      <c r="AS43" s="1618">
        <f t="shared" si="46"/>
        <v>-0.08</v>
      </c>
      <c r="AT43" s="1618">
        <f t="shared" si="46"/>
        <v>6.0000000000000001E-3</v>
      </c>
      <c r="AU43" s="1618">
        <f t="shared" si="46"/>
        <v>7.0000000000000007E-2</v>
      </c>
      <c r="AV43" s="1618">
        <f t="shared" ref="AV43" si="47">+AR42+AV42</f>
        <v>9.9999999999999992E-2</v>
      </c>
      <c r="AW43" s="1618">
        <f t="shared" ref="AW43" si="48">+AS42+AW42</f>
        <v>0.06</v>
      </c>
      <c r="AX43" s="1618">
        <f t="shared" ref="AX43" si="49">+AT42+AX42</f>
        <v>0.05</v>
      </c>
      <c r="AY43" s="1618">
        <f t="shared" ref="AY43" si="50">+AU42+AY42</f>
        <v>0.1</v>
      </c>
      <c r="AZ43" s="1618">
        <f t="shared" ref="AZ43" si="51">+AV42+AZ42</f>
        <v>0.2</v>
      </c>
      <c r="BA43" s="1618">
        <f t="shared" ref="BA43" si="52">+AW42+BA42</f>
        <v>0.2</v>
      </c>
      <c r="BB43" s="1618">
        <f t="shared" ref="BB43" si="53">+AX42+BB42</f>
        <v>0.1</v>
      </c>
      <c r="BC43" s="1618">
        <f t="shared" ref="BC43" si="54">+AY42+BC42</f>
        <v>0.1</v>
      </c>
      <c r="BF43" s="409"/>
      <c r="BL43" s="850"/>
    </row>
    <row r="44" spans="1:70" s="30" customFormat="1" x14ac:dyDescent="0.2">
      <c r="A44" s="847"/>
      <c r="B44" s="850" t="s">
        <v>407</v>
      </c>
      <c r="C44" s="850"/>
      <c r="D44" s="409"/>
      <c r="E44" s="409"/>
      <c r="F44" s="409"/>
      <c r="G44" s="409"/>
      <c r="H44" s="409"/>
      <c r="I44" s="409"/>
      <c r="J44" s="409"/>
      <c r="K44" s="409"/>
      <c r="L44" s="409">
        <v>-4.2000000000000003E-2</v>
      </c>
      <c r="M44" s="409">
        <v>0.20799999999999999</v>
      </c>
      <c r="N44" s="409">
        <v>-0.104</v>
      </c>
      <c r="O44" s="409">
        <v>5.0000000000000001E-3</v>
      </c>
      <c r="P44" s="409">
        <v>0.13900000000000001</v>
      </c>
      <c r="Q44" s="409">
        <v>-9.6000000000000002E-2</v>
      </c>
      <c r="R44" s="409">
        <v>0.24099999999999999</v>
      </c>
      <c r="S44" s="409">
        <v>0.23</v>
      </c>
      <c r="T44" s="409">
        <v>4.8000000000000001E-2</v>
      </c>
      <c r="U44" s="409">
        <v>0.221</v>
      </c>
      <c r="V44" s="409">
        <v>-6.4000000000000001E-2</v>
      </c>
      <c r="W44" s="409">
        <v>3.7999999999999999E-2</v>
      </c>
      <c r="X44" s="409">
        <v>0.17499999999999999</v>
      </c>
      <c r="Y44" s="409">
        <v>0.13300000000000001</v>
      </c>
      <c r="Z44" s="409">
        <v>0.28000000000000003</v>
      </c>
      <c r="AA44" s="409">
        <v>8.4000000000000005E-2</v>
      </c>
      <c r="AB44" s="409">
        <v>0.185</v>
      </c>
      <c r="AC44" s="409">
        <v>0.108</v>
      </c>
      <c r="AD44" s="409">
        <v>-4.9000000000000002E-2</v>
      </c>
      <c r="AE44" s="409">
        <v>6.0000000000000001E-3</v>
      </c>
      <c r="AF44" s="409">
        <v>4.1000000000000002E-2</v>
      </c>
      <c r="AG44" s="409">
        <v>-7.0000000000000007E-2</v>
      </c>
      <c r="AH44" s="409">
        <v>0.27800000000000002</v>
      </c>
      <c r="AI44" s="409">
        <v>8.5000000000000006E-2</v>
      </c>
      <c r="AJ44" s="1617">
        <v>2.1999999999999999E-2</v>
      </c>
      <c r="AK44" s="1617">
        <v>0.26200000000000001</v>
      </c>
      <c r="AL44" s="1617">
        <v>0.11700000000000001</v>
      </c>
      <c r="AM44" s="1617">
        <v>1.2999999999999999E-2</v>
      </c>
      <c r="AN44" s="1617">
        <v>8.5000000000000006E-2</v>
      </c>
      <c r="AO44" s="1617">
        <v>0.02</v>
      </c>
      <c r="AP44" s="1617">
        <v>-0.08</v>
      </c>
      <c r="AQ44" s="1617">
        <v>0.12</v>
      </c>
      <c r="AR44" s="1617">
        <v>-0.05</v>
      </c>
      <c r="AS44" s="1617">
        <v>-0.05</v>
      </c>
      <c r="AT44" s="1617">
        <v>0</v>
      </c>
      <c r="AU44" s="1617">
        <v>0.12</v>
      </c>
      <c r="AV44" s="409">
        <v>0.08</v>
      </c>
      <c r="AW44" s="409">
        <v>0.08</v>
      </c>
      <c r="AX44" s="409">
        <v>0.08</v>
      </c>
      <c r="AY44" s="409">
        <v>0.08</v>
      </c>
      <c r="AZ44" s="409">
        <v>0.04</v>
      </c>
      <c r="BA44" s="409">
        <v>0.04</v>
      </c>
      <c r="BB44" s="409">
        <v>0.04</v>
      </c>
      <c r="BC44" s="409">
        <v>0.04</v>
      </c>
      <c r="BF44" s="409"/>
      <c r="BL44" s="850"/>
      <c r="BR44" s="26"/>
    </row>
    <row r="45" spans="1:70" s="30" customFormat="1" ht="11.25" outlineLevel="1" x14ac:dyDescent="0.2">
      <c r="A45" s="846"/>
      <c r="B45" s="850"/>
      <c r="C45" s="848"/>
      <c r="D45" s="849"/>
      <c r="E45" s="849"/>
      <c r="F45" s="849"/>
      <c r="G45" s="849"/>
      <c r="H45" s="849"/>
      <c r="I45" s="849"/>
      <c r="J45" s="849"/>
      <c r="K45" s="849"/>
      <c r="L45" s="850"/>
      <c r="M45" s="849"/>
      <c r="N45" s="849"/>
      <c r="O45" s="850"/>
      <c r="P45" s="409">
        <f t="shared" ref="P45:AU45" si="55">+L44+P44</f>
        <v>9.7000000000000003E-2</v>
      </c>
      <c r="Q45" s="409">
        <f t="shared" si="55"/>
        <v>0.11199999999999999</v>
      </c>
      <c r="R45" s="409">
        <f t="shared" si="55"/>
        <v>0.13700000000000001</v>
      </c>
      <c r="S45" s="409">
        <f t="shared" si="55"/>
        <v>0.23500000000000001</v>
      </c>
      <c r="T45" s="409">
        <f t="shared" si="55"/>
        <v>0.187</v>
      </c>
      <c r="U45" s="409">
        <f t="shared" si="55"/>
        <v>0.125</v>
      </c>
      <c r="V45" s="409">
        <f t="shared" si="55"/>
        <v>0.17699999999999999</v>
      </c>
      <c r="W45" s="409">
        <f t="shared" si="55"/>
        <v>0.26800000000000002</v>
      </c>
      <c r="X45" s="409">
        <f t="shared" si="55"/>
        <v>0.22299999999999998</v>
      </c>
      <c r="Y45" s="409">
        <f t="shared" si="55"/>
        <v>0.35399999999999998</v>
      </c>
      <c r="Z45" s="409">
        <f t="shared" si="55"/>
        <v>0.21600000000000003</v>
      </c>
      <c r="AA45" s="409">
        <f t="shared" si="55"/>
        <v>0.122</v>
      </c>
      <c r="AB45" s="409">
        <f t="shared" si="55"/>
        <v>0.36</v>
      </c>
      <c r="AC45" s="409">
        <f t="shared" si="55"/>
        <v>0.24099999999999999</v>
      </c>
      <c r="AD45" s="409">
        <f t="shared" si="55"/>
        <v>0.23100000000000004</v>
      </c>
      <c r="AE45" s="409">
        <f t="shared" si="55"/>
        <v>9.0000000000000011E-2</v>
      </c>
      <c r="AF45" s="409">
        <f t="shared" si="55"/>
        <v>0.22600000000000001</v>
      </c>
      <c r="AG45" s="409">
        <f t="shared" si="55"/>
        <v>3.7999999999999992E-2</v>
      </c>
      <c r="AH45" s="409">
        <f t="shared" si="55"/>
        <v>0.22900000000000004</v>
      </c>
      <c r="AI45" s="409">
        <f t="shared" si="55"/>
        <v>9.1000000000000011E-2</v>
      </c>
      <c r="AJ45" s="1617">
        <f t="shared" si="55"/>
        <v>6.3E-2</v>
      </c>
      <c r="AK45" s="1617">
        <f t="shared" si="55"/>
        <v>0.192</v>
      </c>
      <c r="AL45" s="1617">
        <f t="shared" si="55"/>
        <v>0.39500000000000002</v>
      </c>
      <c r="AM45" s="1617">
        <f t="shared" si="55"/>
        <v>9.8000000000000004E-2</v>
      </c>
      <c r="AN45" s="1617">
        <f t="shared" si="55"/>
        <v>0.10700000000000001</v>
      </c>
      <c r="AO45" s="1617">
        <f t="shared" si="55"/>
        <v>0.28200000000000003</v>
      </c>
      <c r="AP45" s="1617">
        <f t="shared" si="55"/>
        <v>3.7000000000000005E-2</v>
      </c>
      <c r="AQ45" s="1617">
        <f t="shared" si="55"/>
        <v>0.13300000000000001</v>
      </c>
      <c r="AR45" s="1617">
        <f t="shared" si="55"/>
        <v>3.5000000000000003E-2</v>
      </c>
      <c r="AS45" s="1617">
        <f t="shared" si="55"/>
        <v>-3.0000000000000002E-2</v>
      </c>
      <c r="AT45" s="1617">
        <f t="shared" si="55"/>
        <v>-0.08</v>
      </c>
      <c r="AU45" s="1617">
        <f t="shared" si="55"/>
        <v>0.24</v>
      </c>
      <c r="AV45" s="409">
        <f t="shared" ref="AV45" si="56">+AR44+AV44</f>
        <v>0.03</v>
      </c>
      <c r="AW45" s="409">
        <f t="shared" ref="AW45" si="57">+AS44+AW44</f>
        <v>0.03</v>
      </c>
      <c r="AX45" s="409">
        <f t="shared" ref="AX45" si="58">+AT44+AX44</f>
        <v>0.08</v>
      </c>
      <c r="AY45" s="409">
        <f t="shared" ref="AY45" si="59">+AU44+AY44</f>
        <v>0.2</v>
      </c>
      <c r="AZ45" s="409">
        <f t="shared" ref="AZ45" si="60">+AV44+AZ44</f>
        <v>0.12</v>
      </c>
      <c r="BA45" s="409">
        <f t="shared" ref="BA45" si="61">+AW44+BA44</f>
        <v>0.12</v>
      </c>
      <c r="BB45" s="409">
        <f t="shared" ref="BB45" si="62">+AX44+BB44</f>
        <v>0.12</v>
      </c>
      <c r="BC45" s="409">
        <f t="shared" ref="BC45" si="63">+AY44+BC44</f>
        <v>0.12</v>
      </c>
      <c r="BF45" s="409"/>
    </row>
    <row r="46" spans="1:70" s="30" customFormat="1" x14ac:dyDescent="0.2">
      <c r="A46" s="847"/>
      <c r="B46" s="891" t="s">
        <v>406</v>
      </c>
      <c r="C46" s="891"/>
      <c r="D46" s="1618"/>
      <c r="E46" s="1618"/>
      <c r="F46" s="1618"/>
      <c r="G46" s="1618"/>
      <c r="H46" s="1618"/>
      <c r="I46" s="1618"/>
      <c r="J46" s="1618"/>
      <c r="K46" s="1618"/>
      <c r="L46" s="1618">
        <v>-4.2999999999999997E-2</v>
      </c>
      <c r="M46" s="1618">
        <v>6.0999999999999999E-2</v>
      </c>
      <c r="N46" s="1618">
        <v>7.6999999999999999E-2</v>
      </c>
      <c r="O46" s="1618">
        <v>6.7000000000000004E-2</v>
      </c>
      <c r="P46" s="1618">
        <v>0.151</v>
      </c>
      <c r="Q46" s="1618">
        <v>1.6E-2</v>
      </c>
      <c r="R46" s="1618">
        <v>7.0999999999999994E-2</v>
      </c>
      <c r="S46" s="1618">
        <v>8.4000000000000005E-2</v>
      </c>
      <c r="T46" s="1618">
        <v>0</v>
      </c>
      <c r="U46" s="1618">
        <v>0.123</v>
      </c>
      <c r="V46" s="1618">
        <v>1.6E-2</v>
      </c>
      <c r="W46" s="1618">
        <v>8.4000000000000005E-2</v>
      </c>
      <c r="X46" s="1618">
        <v>7.6999999999999999E-2</v>
      </c>
      <c r="Y46" s="1618">
        <v>6.0000000000000001E-3</v>
      </c>
      <c r="Z46" s="1618">
        <v>0.14000000000000001</v>
      </c>
      <c r="AA46" s="1618">
        <v>-2.1000000000000001E-2</v>
      </c>
      <c r="AB46" s="1618">
        <v>3.9E-2</v>
      </c>
      <c r="AC46" s="1618">
        <v>5.3999999999999999E-2</v>
      </c>
      <c r="AD46" s="1618">
        <v>1.9E-2</v>
      </c>
      <c r="AE46" s="1618">
        <v>0.219</v>
      </c>
      <c r="AF46" s="1618">
        <v>0.129</v>
      </c>
      <c r="AG46" s="1618">
        <v>0.121</v>
      </c>
      <c r="AH46" s="1618">
        <v>0.14499999999999999</v>
      </c>
      <c r="AI46" s="1618">
        <v>9.1999999999999998E-2</v>
      </c>
      <c r="AJ46" s="1618">
        <v>6.0999999999999999E-2</v>
      </c>
      <c r="AK46" s="1618">
        <v>7.1999999999999995E-2</v>
      </c>
      <c r="AL46" s="1618">
        <v>0.35099999999999998</v>
      </c>
      <c r="AM46" s="1618">
        <v>-8.5999999999999993E-2</v>
      </c>
      <c r="AN46" s="1618">
        <v>0.08</v>
      </c>
      <c r="AO46" s="1618">
        <v>0.05</v>
      </c>
      <c r="AP46" s="1618">
        <v>0.04</v>
      </c>
      <c r="AQ46" s="1618">
        <v>0.16</v>
      </c>
      <c r="AR46" s="1618">
        <v>-0.05</v>
      </c>
      <c r="AS46" s="1618">
        <v>-0.06</v>
      </c>
      <c r="AT46" s="1618">
        <v>0</v>
      </c>
      <c r="AU46" s="1618">
        <v>0.02</v>
      </c>
      <c r="AV46" s="1618">
        <v>0.02</v>
      </c>
      <c r="AW46" s="1618">
        <v>0.02</v>
      </c>
      <c r="AX46" s="1618">
        <v>0.02</v>
      </c>
      <c r="AY46" s="1618">
        <v>0.02</v>
      </c>
      <c r="AZ46" s="1618">
        <v>0.02</v>
      </c>
      <c r="BA46" s="1618">
        <v>0.02</v>
      </c>
      <c r="BB46" s="1618">
        <v>0.02</v>
      </c>
      <c r="BC46" s="1618">
        <v>0.02</v>
      </c>
      <c r="BF46" s="409"/>
      <c r="BL46" s="850"/>
    </row>
    <row r="47" spans="1:70" s="30" customFormat="1" outlineLevel="1" x14ac:dyDescent="0.2">
      <c r="A47" s="847"/>
      <c r="B47" s="891"/>
      <c r="C47" s="891"/>
      <c r="D47" s="1618"/>
      <c r="E47" s="1618"/>
      <c r="F47" s="1618"/>
      <c r="G47" s="1618"/>
      <c r="H47" s="1618"/>
      <c r="I47" s="1618"/>
      <c r="J47" s="1618"/>
      <c r="K47" s="1618"/>
      <c r="L47" s="1618"/>
      <c r="M47" s="1618"/>
      <c r="N47" s="1618"/>
      <c r="O47" s="1618"/>
      <c r="P47" s="1618">
        <f t="shared" ref="P47:AU47" si="64">+L46+P46</f>
        <v>0.108</v>
      </c>
      <c r="Q47" s="1618">
        <f t="shared" si="64"/>
        <v>7.6999999999999999E-2</v>
      </c>
      <c r="R47" s="1618">
        <f t="shared" si="64"/>
        <v>0.14799999999999999</v>
      </c>
      <c r="S47" s="1618">
        <f t="shared" si="64"/>
        <v>0.15100000000000002</v>
      </c>
      <c r="T47" s="1618">
        <f t="shared" si="64"/>
        <v>0.151</v>
      </c>
      <c r="U47" s="1618">
        <f t="shared" si="64"/>
        <v>0.13900000000000001</v>
      </c>
      <c r="V47" s="1618">
        <f t="shared" si="64"/>
        <v>8.6999999999999994E-2</v>
      </c>
      <c r="W47" s="1618">
        <f t="shared" si="64"/>
        <v>0.16800000000000001</v>
      </c>
      <c r="X47" s="1618">
        <f t="shared" si="64"/>
        <v>7.6999999999999999E-2</v>
      </c>
      <c r="Y47" s="1618">
        <f t="shared" si="64"/>
        <v>0.129</v>
      </c>
      <c r="Z47" s="1618">
        <f t="shared" si="64"/>
        <v>0.15600000000000003</v>
      </c>
      <c r="AA47" s="1618">
        <f t="shared" si="64"/>
        <v>6.3E-2</v>
      </c>
      <c r="AB47" s="1618">
        <f t="shared" si="64"/>
        <v>0.11599999999999999</v>
      </c>
      <c r="AC47" s="1618">
        <f t="shared" si="64"/>
        <v>0.06</v>
      </c>
      <c r="AD47" s="1618">
        <f t="shared" si="64"/>
        <v>0.159</v>
      </c>
      <c r="AE47" s="1618">
        <f t="shared" si="64"/>
        <v>0.19800000000000001</v>
      </c>
      <c r="AF47" s="1618">
        <f t="shared" si="64"/>
        <v>0.16800000000000001</v>
      </c>
      <c r="AG47" s="1618">
        <f t="shared" si="64"/>
        <v>0.17499999999999999</v>
      </c>
      <c r="AH47" s="1618">
        <f t="shared" si="64"/>
        <v>0.16399999999999998</v>
      </c>
      <c r="AI47" s="1618">
        <f t="shared" si="64"/>
        <v>0.311</v>
      </c>
      <c r="AJ47" s="1618">
        <f t="shared" si="64"/>
        <v>0.19</v>
      </c>
      <c r="AK47" s="1618">
        <f t="shared" si="64"/>
        <v>0.193</v>
      </c>
      <c r="AL47" s="1618">
        <f t="shared" si="64"/>
        <v>0.496</v>
      </c>
      <c r="AM47" s="1618">
        <f t="shared" si="64"/>
        <v>6.0000000000000053E-3</v>
      </c>
      <c r="AN47" s="1618">
        <f t="shared" si="64"/>
        <v>0.14100000000000001</v>
      </c>
      <c r="AO47" s="1618">
        <f t="shared" si="64"/>
        <v>0.122</v>
      </c>
      <c r="AP47" s="1618">
        <f t="shared" si="64"/>
        <v>0.39099999999999996</v>
      </c>
      <c r="AQ47" s="1618">
        <f t="shared" si="64"/>
        <v>7.400000000000001E-2</v>
      </c>
      <c r="AR47" s="1618">
        <f t="shared" si="64"/>
        <v>0.03</v>
      </c>
      <c r="AS47" s="1618">
        <f t="shared" si="64"/>
        <v>-9.999999999999995E-3</v>
      </c>
      <c r="AT47" s="1618">
        <f t="shared" si="64"/>
        <v>0.04</v>
      </c>
      <c r="AU47" s="1618">
        <f t="shared" si="64"/>
        <v>0.18</v>
      </c>
      <c r="AV47" s="1618">
        <f t="shared" ref="AV47" si="65">+AR46+AV46</f>
        <v>-3.0000000000000002E-2</v>
      </c>
      <c r="AW47" s="1618">
        <f t="shared" ref="AW47" si="66">+AS46+AW46</f>
        <v>-3.9999999999999994E-2</v>
      </c>
      <c r="AX47" s="1618">
        <f t="shared" ref="AX47" si="67">+AT46+AX46</f>
        <v>0.02</v>
      </c>
      <c r="AY47" s="1618">
        <f t="shared" ref="AY47" si="68">+AU46+AY46</f>
        <v>0.04</v>
      </c>
      <c r="AZ47" s="1618">
        <f t="shared" ref="AZ47" si="69">+AV46+AZ46</f>
        <v>0.04</v>
      </c>
      <c r="BA47" s="1618">
        <f t="shared" ref="BA47" si="70">+AW46+BA46</f>
        <v>0.04</v>
      </c>
      <c r="BB47" s="1618">
        <f t="shared" ref="BB47" si="71">+AX46+BB46</f>
        <v>0.04</v>
      </c>
      <c r="BC47" s="1618">
        <f t="shared" ref="BC47" si="72">+AY46+BC46</f>
        <v>0.04</v>
      </c>
      <c r="BF47" s="409"/>
      <c r="BL47" s="850"/>
    </row>
    <row r="48" spans="1:70" s="26" customFormat="1" x14ac:dyDescent="0.2">
      <c r="A48" s="876"/>
      <c r="B48" s="1628" t="s">
        <v>655</v>
      </c>
      <c r="C48" s="1628"/>
      <c r="D48" s="1627"/>
      <c r="E48" s="1627"/>
      <c r="F48" s="1627"/>
      <c r="G48" s="1627"/>
      <c r="H48" s="1627"/>
      <c r="I48" s="1627"/>
      <c r="J48" s="1627"/>
      <c r="K48" s="1627"/>
      <c r="L48" s="1627">
        <v>-4.4999999999999998E-2</v>
      </c>
      <c r="M48" s="1627">
        <v>6.2E-2</v>
      </c>
      <c r="N48" s="1627">
        <v>8.4000000000000005E-2</v>
      </c>
      <c r="O48" s="1627">
        <v>0.109</v>
      </c>
      <c r="P48" s="1627">
        <v>0.11</v>
      </c>
      <c r="Q48" s="1627">
        <v>0.06</v>
      </c>
      <c r="R48" s="1627">
        <v>4.9000000000000002E-2</v>
      </c>
      <c r="S48" s="1627">
        <v>0.158</v>
      </c>
      <c r="T48" s="1627">
        <v>0.14000000000000001</v>
      </c>
      <c r="U48" s="1627">
        <v>0.24</v>
      </c>
      <c r="V48" s="1627">
        <v>0.11799999999999999</v>
      </c>
      <c r="W48" s="1627">
        <v>0.10199999999999999</v>
      </c>
      <c r="X48" s="1627">
        <v>0.111</v>
      </c>
      <c r="Y48" s="1627">
        <v>7.0000000000000007E-2</v>
      </c>
      <c r="Z48" s="1627">
        <v>0.23400000000000001</v>
      </c>
      <c r="AA48" s="1627">
        <v>8.5999999999999993E-2</v>
      </c>
      <c r="AB48" s="1627">
        <v>0.14699999999999999</v>
      </c>
      <c r="AC48" s="1627">
        <v>0.157</v>
      </c>
      <c r="AD48" s="1627">
        <v>8.3000000000000004E-2</v>
      </c>
      <c r="AE48" s="1627">
        <v>0.1</v>
      </c>
      <c r="AF48" s="1627">
        <v>6.9000000000000006E-2</v>
      </c>
      <c r="AG48" s="1627">
        <v>4.4999999999999998E-2</v>
      </c>
      <c r="AH48" s="1627">
        <v>4.2000000000000003E-2</v>
      </c>
      <c r="AI48" s="1627">
        <v>3.7999999999999999E-2</v>
      </c>
      <c r="AJ48" s="1629">
        <v>0.02</v>
      </c>
      <c r="AK48" s="1629">
        <v>0.152</v>
      </c>
      <c r="AL48" s="1629">
        <v>0.14099999999999999</v>
      </c>
      <c r="AM48" s="1629">
        <v>8.2000000000000003E-2</v>
      </c>
      <c r="AN48" s="1629">
        <v>8.047518666476107E-2</v>
      </c>
      <c r="AO48" s="1629">
        <v>8.2191381679866532E-3</v>
      </c>
      <c r="AP48" s="1629">
        <v>1.7981443672820882E-3</v>
      </c>
      <c r="AQ48" s="1629">
        <v>9.2402064285175556E-4</v>
      </c>
      <c r="AR48" s="1629">
        <v>-0.12652150556446767</v>
      </c>
      <c r="AS48" s="1629">
        <v>-9.961250567959945E-2</v>
      </c>
      <c r="AT48" s="1629">
        <v>-7.4869345232514897E-3</v>
      </c>
      <c r="AU48" s="1629">
        <v>5.9165248000876303E-2</v>
      </c>
      <c r="AV48" s="1627">
        <v>0.21760771630764519</v>
      </c>
      <c r="AW48" s="1627">
        <v>0.21753393358229611</v>
      </c>
      <c r="AX48" s="1627">
        <v>0.10746983919409789</v>
      </c>
      <c r="AY48" s="1627">
        <v>0.11068131789237527</v>
      </c>
      <c r="AZ48" s="1627">
        <v>6.7261595147403777E-2</v>
      </c>
      <c r="BA48" s="1627">
        <v>6.7229714159240922E-2</v>
      </c>
      <c r="BB48" s="1627">
        <v>6.5013413045392016E-2</v>
      </c>
      <c r="BC48" s="1627">
        <v>6.6478629596515099E-2</v>
      </c>
      <c r="BF48" s="1627"/>
      <c r="BL48" s="886"/>
    </row>
    <row r="49" spans="1:64" s="26" customFormat="1" outlineLevel="1" x14ac:dyDescent="0.2">
      <c r="A49" s="876"/>
      <c r="B49" s="1628" t="s">
        <v>656</v>
      </c>
      <c r="C49" s="1628"/>
      <c r="D49" s="1627"/>
      <c r="E49" s="1627"/>
      <c r="F49" s="1627"/>
      <c r="G49" s="1627"/>
      <c r="H49" s="1627"/>
      <c r="I49" s="1627"/>
      <c r="J49" s="1627"/>
      <c r="K49" s="1627"/>
      <c r="L49" s="1627"/>
      <c r="M49" s="1627"/>
      <c r="N49" s="1627"/>
      <c r="O49" s="1627"/>
      <c r="P49" s="1627">
        <f t="shared" ref="P49:AU49" si="73">+L48+P48</f>
        <v>6.5000000000000002E-2</v>
      </c>
      <c r="Q49" s="1627">
        <f t="shared" si="73"/>
        <v>0.122</v>
      </c>
      <c r="R49" s="1627">
        <f t="shared" si="73"/>
        <v>0.13300000000000001</v>
      </c>
      <c r="S49" s="1627">
        <f t="shared" si="73"/>
        <v>0.26700000000000002</v>
      </c>
      <c r="T49" s="1627">
        <f t="shared" si="73"/>
        <v>0.25</v>
      </c>
      <c r="U49" s="1627">
        <f t="shared" si="73"/>
        <v>0.3</v>
      </c>
      <c r="V49" s="1627">
        <f t="shared" si="73"/>
        <v>0.16699999999999998</v>
      </c>
      <c r="W49" s="1627">
        <f t="shared" si="73"/>
        <v>0.26</v>
      </c>
      <c r="X49" s="1627">
        <f t="shared" si="73"/>
        <v>0.251</v>
      </c>
      <c r="Y49" s="1627">
        <f t="shared" si="73"/>
        <v>0.31</v>
      </c>
      <c r="Z49" s="1627">
        <f t="shared" si="73"/>
        <v>0.35199999999999998</v>
      </c>
      <c r="AA49" s="1627">
        <f t="shared" si="73"/>
        <v>0.188</v>
      </c>
      <c r="AB49" s="1627">
        <f t="shared" si="73"/>
        <v>0.25800000000000001</v>
      </c>
      <c r="AC49" s="1627">
        <f t="shared" si="73"/>
        <v>0.22700000000000001</v>
      </c>
      <c r="AD49" s="1627">
        <f t="shared" si="73"/>
        <v>0.317</v>
      </c>
      <c r="AE49" s="1627">
        <f t="shared" si="73"/>
        <v>0.186</v>
      </c>
      <c r="AF49" s="1627">
        <f t="shared" si="73"/>
        <v>0.216</v>
      </c>
      <c r="AG49" s="1627">
        <f t="shared" si="73"/>
        <v>0.20200000000000001</v>
      </c>
      <c r="AH49" s="1627">
        <f t="shared" si="73"/>
        <v>0.125</v>
      </c>
      <c r="AI49" s="1627">
        <f t="shared" si="73"/>
        <v>0.13800000000000001</v>
      </c>
      <c r="AJ49" s="1629">
        <f t="shared" si="73"/>
        <v>8.900000000000001E-2</v>
      </c>
      <c r="AK49" s="1629">
        <f t="shared" si="73"/>
        <v>0.19700000000000001</v>
      </c>
      <c r="AL49" s="1629">
        <f t="shared" si="73"/>
        <v>0.183</v>
      </c>
      <c r="AM49" s="1629">
        <f t="shared" si="73"/>
        <v>0.12</v>
      </c>
      <c r="AN49" s="1629">
        <f t="shared" si="73"/>
        <v>0.10047518666476107</v>
      </c>
      <c r="AO49" s="1629">
        <f t="shared" si="73"/>
        <v>0.16021913816798666</v>
      </c>
      <c r="AP49" s="1629">
        <f t="shared" si="73"/>
        <v>0.14279814436728208</v>
      </c>
      <c r="AQ49" s="1629">
        <f t="shared" si="73"/>
        <v>8.2924020642851759E-2</v>
      </c>
      <c r="AR49" s="1629">
        <f t="shared" si="73"/>
        <v>-4.6046318899706604E-2</v>
      </c>
      <c r="AS49" s="1629">
        <f t="shared" si="73"/>
        <v>-9.1393367511612797E-2</v>
      </c>
      <c r="AT49" s="1629">
        <f t="shared" si="73"/>
        <v>-5.6887901559694014E-3</v>
      </c>
      <c r="AU49" s="1629">
        <f t="shared" si="73"/>
        <v>6.0089268643728058E-2</v>
      </c>
      <c r="AV49" s="1627">
        <f t="shared" ref="AV49" si="74">+AR48+AV48</f>
        <v>9.108621074317752E-2</v>
      </c>
      <c r="AW49" s="1627">
        <f t="shared" ref="AW49" si="75">+AS48+AW48</f>
        <v>0.11792142790269666</v>
      </c>
      <c r="AX49" s="1627">
        <f t="shared" ref="AX49" si="76">+AT48+AX48</f>
        <v>9.9982904670846404E-2</v>
      </c>
      <c r="AY49" s="1627">
        <f t="shared" ref="AY49" si="77">+AU48+AY48</f>
        <v>0.16984656589325159</v>
      </c>
      <c r="AZ49" s="1627">
        <f t="shared" ref="AZ49" si="78">+AV48+AZ48</f>
        <v>0.28486931145504896</v>
      </c>
      <c r="BA49" s="1627">
        <f t="shared" ref="BA49" si="79">+AW48+BA48</f>
        <v>0.28476364774153706</v>
      </c>
      <c r="BB49" s="1627">
        <f t="shared" ref="BB49" si="80">+AX48+BB48</f>
        <v>0.1724832522394899</v>
      </c>
      <c r="BC49" s="1627">
        <f t="shared" ref="BC49" si="81">+AY48+BC48</f>
        <v>0.17715994748889036</v>
      </c>
      <c r="BF49" s="1627"/>
      <c r="BH49" s="386">
        <f>AQ49-AVERAGE(AN49:AP49)</f>
        <v>-5.1573469090491514E-2</v>
      </c>
      <c r="BI49" s="386">
        <f>+AVERAGE(AR49:AU49)-AVERAGE(AN49:AQ49)</f>
        <v>-0.14236392444161058</v>
      </c>
      <c r="BL49" s="886"/>
    </row>
    <row r="50" spans="1:64" s="1248" customFormat="1" x14ac:dyDescent="0.2">
      <c r="A50" s="846"/>
      <c r="B50" s="847"/>
      <c r="C50" s="848"/>
      <c r="D50" s="849"/>
      <c r="E50" s="849"/>
      <c r="F50" s="849"/>
      <c r="G50" s="849"/>
      <c r="H50" s="849"/>
      <c r="I50" s="849"/>
      <c r="J50" s="849"/>
      <c r="K50" s="849"/>
      <c r="L50" s="850"/>
      <c r="M50" s="849"/>
      <c r="N50" s="849"/>
      <c r="O50" s="850"/>
      <c r="P50" s="849"/>
      <c r="Q50" s="849"/>
      <c r="R50" s="849"/>
      <c r="S50" s="849"/>
      <c r="T50" s="849"/>
      <c r="U50" s="850"/>
      <c r="V50" s="849"/>
      <c r="W50" s="850"/>
      <c r="X50" s="849"/>
      <c r="Y50" s="849"/>
      <c r="Z50" s="849"/>
      <c r="AA50" s="851"/>
      <c r="AB50" s="852"/>
      <c r="AC50" s="849"/>
      <c r="AD50" s="849"/>
      <c r="AE50" s="849"/>
      <c r="AF50" s="849"/>
      <c r="AG50" s="851"/>
      <c r="AH50" s="853"/>
      <c r="AI50" s="853"/>
      <c r="AJ50" s="853"/>
      <c r="AK50" s="853"/>
      <c r="AL50" s="853"/>
      <c r="AM50" s="853"/>
      <c r="AN50" s="853"/>
      <c r="AO50" s="853"/>
      <c r="AP50" s="853"/>
      <c r="AQ50" s="853"/>
      <c r="AU50" s="1557"/>
      <c r="AZ50" s="1560"/>
      <c r="BA50" s="1560"/>
      <c r="BB50" s="1560"/>
      <c r="BC50" s="1560"/>
      <c r="BD50" s="1560"/>
      <c r="BE50" s="1560"/>
      <c r="BF50" s="24"/>
    </row>
    <row r="51" spans="1:64" s="1248" customFormat="1" x14ac:dyDescent="0.2">
      <c r="A51" s="846"/>
      <c r="B51" s="847"/>
      <c r="C51" s="848"/>
      <c r="D51" s="849"/>
      <c r="E51" s="849"/>
      <c r="F51" s="849"/>
      <c r="G51" s="849"/>
      <c r="H51" s="849"/>
      <c r="I51" s="849"/>
      <c r="J51" s="849"/>
      <c r="K51" s="849"/>
      <c r="L51" s="850"/>
      <c r="M51" s="849"/>
      <c r="N51" s="849"/>
      <c r="O51" s="850"/>
      <c r="P51" s="849"/>
      <c r="Q51" s="849"/>
      <c r="R51" s="849"/>
      <c r="S51" s="849"/>
      <c r="T51" s="849"/>
      <c r="U51" s="850"/>
      <c r="V51" s="849"/>
      <c r="W51" s="850"/>
      <c r="X51" s="849"/>
      <c r="Y51" s="849"/>
      <c r="Z51" s="849"/>
      <c r="AA51" s="851"/>
      <c r="AB51" s="852"/>
      <c r="AC51" s="849"/>
      <c r="AD51" s="849"/>
      <c r="AE51" s="849"/>
      <c r="AF51" s="849"/>
      <c r="AG51" s="851"/>
      <c r="AH51" s="853"/>
      <c r="AI51" s="853"/>
      <c r="AJ51" s="853"/>
      <c r="AK51" s="853"/>
      <c r="AL51" s="853"/>
      <c r="AM51" s="853"/>
      <c r="AN51" s="853"/>
      <c r="AO51" s="853"/>
      <c r="AP51" s="853"/>
      <c r="AQ51" s="853"/>
      <c r="AZ51" s="1560"/>
      <c r="BA51" s="1560"/>
      <c r="BB51" s="1560"/>
      <c r="BC51" s="1560"/>
      <c r="BD51" s="1560"/>
      <c r="BE51" s="1560"/>
      <c r="BF51" s="24"/>
    </row>
    <row r="52" spans="1:64" s="1248" customFormat="1" x14ac:dyDescent="0.2">
      <c r="A52" s="846"/>
      <c r="B52" s="847"/>
      <c r="C52" s="848"/>
      <c r="D52" s="849"/>
      <c r="E52" s="849"/>
      <c r="F52" s="849"/>
      <c r="G52" s="849"/>
      <c r="H52" s="849"/>
      <c r="I52" s="849"/>
      <c r="J52" s="849"/>
      <c r="K52" s="849"/>
      <c r="L52" s="850"/>
      <c r="M52" s="849"/>
      <c r="N52" s="849"/>
      <c r="O52" s="850"/>
      <c r="P52" s="849"/>
      <c r="Q52" s="849"/>
      <c r="R52" s="849"/>
      <c r="S52" s="849"/>
      <c r="T52" s="849"/>
      <c r="U52" s="850"/>
      <c r="V52" s="849"/>
      <c r="W52" s="850"/>
      <c r="X52" s="849"/>
      <c r="Y52" s="849"/>
      <c r="Z52" s="849"/>
      <c r="AA52" s="851"/>
      <c r="AB52" s="852"/>
      <c r="AC52" s="849"/>
      <c r="AD52" s="849"/>
      <c r="AE52" s="849"/>
      <c r="AF52" s="849"/>
      <c r="AG52" s="851"/>
      <c r="AH52" s="853"/>
      <c r="AI52" s="853"/>
      <c r="AJ52" s="853"/>
      <c r="AK52" s="853"/>
      <c r="AL52" s="853"/>
      <c r="AM52" s="853"/>
      <c r="AN52" s="853"/>
      <c r="AO52" s="853"/>
      <c r="AP52" s="853"/>
      <c r="AQ52" s="853"/>
      <c r="AZ52" s="1560"/>
      <c r="BA52" s="1560"/>
      <c r="BB52" s="1560"/>
      <c r="BC52" s="1560"/>
      <c r="BD52" s="1560"/>
      <c r="BE52" s="1560"/>
      <c r="BF52" s="24"/>
    </row>
    <row r="53" spans="1:64" s="1248" customFormat="1" x14ac:dyDescent="0.2">
      <c r="A53" s="846"/>
      <c r="B53" s="847"/>
      <c r="C53" s="848"/>
      <c r="D53" s="849"/>
      <c r="E53" s="849"/>
      <c r="F53" s="849"/>
      <c r="G53" s="849"/>
      <c r="H53" s="849"/>
      <c r="I53" s="849"/>
      <c r="J53" s="849"/>
      <c r="K53" s="849"/>
      <c r="L53" s="850"/>
      <c r="M53" s="849"/>
      <c r="N53" s="849"/>
      <c r="O53" s="850"/>
      <c r="P53" s="849"/>
      <c r="Q53" s="849"/>
      <c r="R53" s="849"/>
      <c r="S53" s="849"/>
      <c r="T53" s="849"/>
      <c r="U53" s="850"/>
      <c r="V53" s="849"/>
      <c r="W53" s="850"/>
      <c r="X53" s="849"/>
      <c r="Y53" s="849"/>
      <c r="Z53" s="849"/>
      <c r="AA53" s="851"/>
      <c r="AB53" s="852"/>
      <c r="AC53" s="849"/>
      <c r="AD53" s="849"/>
      <c r="AE53" s="849"/>
      <c r="AF53" s="849"/>
      <c r="AG53" s="851"/>
      <c r="AH53" s="853"/>
      <c r="AI53" s="853"/>
      <c r="AJ53" s="853"/>
      <c r="AK53" s="853"/>
      <c r="AL53" s="853"/>
      <c r="AM53" s="853"/>
      <c r="AN53" s="853"/>
      <c r="AO53" s="853"/>
      <c r="AP53" s="853"/>
      <c r="AQ53" s="853"/>
      <c r="AR53" s="379"/>
      <c r="AZ53" s="1560"/>
      <c r="BA53" s="1560"/>
      <c r="BB53" s="1560"/>
      <c r="BC53" s="1560"/>
      <c r="BD53" s="1560"/>
      <c r="BE53" s="1560"/>
      <c r="BF53" s="24"/>
    </row>
    <row r="54" spans="1:64" s="1248" customFormat="1" x14ac:dyDescent="0.2">
      <c r="A54" s="846"/>
      <c r="B54" s="847"/>
      <c r="C54" s="848"/>
      <c r="D54" s="849"/>
      <c r="E54" s="849"/>
      <c r="F54" s="849"/>
      <c r="G54" s="849"/>
      <c r="H54" s="849"/>
      <c r="I54" s="849"/>
      <c r="J54" s="849"/>
      <c r="K54" s="849"/>
      <c r="L54" s="850"/>
      <c r="M54" s="849"/>
      <c r="N54" s="849"/>
      <c r="O54" s="850"/>
      <c r="P54" s="849"/>
      <c r="Q54" s="849"/>
      <c r="R54" s="849"/>
      <c r="S54" s="849"/>
      <c r="T54" s="849"/>
      <c r="U54" s="850"/>
      <c r="V54" s="849"/>
      <c r="W54" s="850"/>
      <c r="X54" s="849"/>
      <c r="Y54" s="849"/>
      <c r="Z54" s="849"/>
      <c r="AA54" s="851"/>
      <c r="AB54" s="852"/>
      <c r="AC54" s="849"/>
      <c r="AD54" s="849"/>
      <c r="AE54" s="849"/>
      <c r="AF54" s="849"/>
      <c r="AG54" s="851"/>
      <c r="AH54" s="853"/>
      <c r="AI54" s="853"/>
      <c r="AJ54" s="853"/>
      <c r="AK54" s="853"/>
      <c r="AL54" s="853"/>
      <c r="AM54" s="853"/>
      <c r="AN54" s="853"/>
      <c r="AO54" s="853"/>
      <c r="AP54" s="853"/>
      <c r="AQ54" s="853"/>
      <c r="AZ54" s="1560"/>
      <c r="BA54" s="1560"/>
      <c r="BB54" s="1560"/>
      <c r="BC54" s="1560"/>
      <c r="BD54" s="1560"/>
      <c r="BE54" s="1560"/>
      <c r="BF54" s="24"/>
    </row>
    <row r="55" spans="1:64" ht="15.75" x14ac:dyDescent="0.2">
      <c r="A55" s="846"/>
      <c r="B55" s="854" t="s">
        <v>487</v>
      </c>
      <c r="C55" s="855"/>
      <c r="D55" s="855"/>
      <c r="E55" s="855"/>
      <c r="F55" s="855"/>
      <c r="G55" s="855"/>
      <c r="H55" s="855"/>
      <c r="I55" s="855"/>
      <c r="J55" s="855"/>
      <c r="K55" s="855"/>
      <c r="L55" s="855"/>
      <c r="M55" s="855"/>
      <c r="N55" s="855"/>
      <c r="O55" s="856"/>
      <c r="P55" s="855"/>
      <c r="Q55" s="855"/>
      <c r="R55" s="855"/>
      <c r="S55" s="855"/>
      <c r="T55" s="855"/>
      <c r="U55" s="855"/>
      <c r="V55" s="855"/>
      <c r="W55" s="855"/>
      <c r="X55" s="855"/>
      <c r="Y55" s="855"/>
      <c r="Z55" s="855"/>
      <c r="AA55" s="855"/>
      <c r="AB55" s="855"/>
      <c r="AC55" s="855"/>
      <c r="AD55" s="855"/>
      <c r="AE55" s="855"/>
      <c r="AF55" s="855"/>
      <c r="AG55" s="857"/>
      <c r="AH55" s="857"/>
      <c r="AI55" s="857"/>
      <c r="AJ55" s="857"/>
      <c r="AK55" s="857"/>
      <c r="AL55" s="857"/>
      <c r="AM55" s="857"/>
      <c r="AN55" s="857"/>
      <c r="AO55" s="857"/>
      <c r="AP55" s="857"/>
      <c r="AQ55" s="857"/>
    </row>
    <row r="56" spans="1:64" ht="15.75" x14ac:dyDescent="0.2">
      <c r="A56" s="846"/>
      <c r="B56" s="858"/>
      <c r="C56" s="859">
        <v>39082</v>
      </c>
      <c r="D56" s="859">
        <v>39172</v>
      </c>
      <c r="E56" s="859">
        <v>39263</v>
      </c>
      <c r="F56" s="859">
        <v>39355</v>
      </c>
      <c r="G56" s="859">
        <v>39447</v>
      </c>
      <c r="H56" s="859">
        <v>39538</v>
      </c>
      <c r="I56" s="859">
        <v>39629</v>
      </c>
      <c r="J56" s="859">
        <v>39721</v>
      </c>
      <c r="K56" s="859">
        <v>39813</v>
      </c>
      <c r="L56" s="859">
        <v>39903</v>
      </c>
      <c r="M56" s="859">
        <v>39994</v>
      </c>
      <c r="N56" s="859">
        <v>40086</v>
      </c>
      <c r="O56" s="859">
        <v>40178</v>
      </c>
      <c r="P56" s="859">
        <v>40268</v>
      </c>
      <c r="Q56" s="859">
        <v>40359</v>
      </c>
      <c r="R56" s="859">
        <v>40451</v>
      </c>
      <c r="S56" s="859">
        <v>40543</v>
      </c>
      <c r="T56" s="859">
        <v>40633</v>
      </c>
      <c r="U56" s="859">
        <v>40724</v>
      </c>
      <c r="V56" s="859">
        <v>40816</v>
      </c>
      <c r="W56" s="859">
        <v>40908</v>
      </c>
      <c r="X56" s="859">
        <v>40999</v>
      </c>
      <c r="Y56" s="859">
        <v>41090</v>
      </c>
      <c r="Z56" s="859">
        <v>41182</v>
      </c>
      <c r="AA56" s="859">
        <v>41273.25</v>
      </c>
      <c r="AB56" s="859">
        <v>41364.25</v>
      </c>
      <c r="AC56" s="859">
        <v>41455.25</v>
      </c>
      <c r="AD56" s="859">
        <v>41547.25</v>
      </c>
      <c r="AE56" s="859">
        <v>41639</v>
      </c>
      <c r="AF56" s="859">
        <v>41729</v>
      </c>
      <c r="AG56" s="859">
        <v>41820</v>
      </c>
      <c r="AH56" s="859">
        <v>41912</v>
      </c>
      <c r="AI56" s="859">
        <v>42004</v>
      </c>
      <c r="AJ56" s="859">
        <v>42094</v>
      </c>
      <c r="AK56" s="859">
        <v>42185</v>
      </c>
      <c r="AL56" s="859">
        <v>42277</v>
      </c>
      <c r="AM56" s="859">
        <v>42369</v>
      </c>
      <c r="AN56" s="859">
        <v>42460</v>
      </c>
      <c r="AO56" s="859">
        <v>42551</v>
      </c>
      <c r="AP56" s="859">
        <v>42643</v>
      </c>
      <c r="AQ56" s="859">
        <v>42734.25</v>
      </c>
    </row>
    <row r="57" spans="1:64" x14ac:dyDescent="0.2">
      <c r="A57" s="860"/>
      <c r="B57" s="861"/>
      <c r="D57" s="859" t="s">
        <v>486</v>
      </c>
      <c r="E57" s="859" t="s">
        <v>485</v>
      </c>
      <c r="F57" s="859" t="s">
        <v>484</v>
      </c>
      <c r="G57" s="859" t="s">
        <v>483</v>
      </c>
      <c r="H57" s="859" t="s">
        <v>482</v>
      </c>
      <c r="I57" s="859" t="s">
        <v>481</v>
      </c>
      <c r="J57" s="859" t="s">
        <v>480</v>
      </c>
      <c r="K57" s="859" t="s">
        <v>479</v>
      </c>
      <c r="L57" s="859" t="s">
        <v>478</v>
      </c>
      <c r="M57" s="859" t="s">
        <v>477</v>
      </c>
      <c r="N57" s="859" t="s">
        <v>476</v>
      </c>
      <c r="O57" s="859" t="s">
        <v>475</v>
      </c>
      <c r="P57" s="859" t="s">
        <v>474</v>
      </c>
      <c r="Q57" s="859" t="s">
        <v>473</v>
      </c>
      <c r="R57" s="859" t="s">
        <v>472</v>
      </c>
      <c r="S57" s="859" t="s">
        <v>471</v>
      </c>
      <c r="T57" s="859" t="s">
        <v>470</v>
      </c>
      <c r="U57" s="859" t="s">
        <v>469</v>
      </c>
      <c r="V57" s="859" t="s">
        <v>468</v>
      </c>
      <c r="W57" s="859" t="s">
        <v>467</v>
      </c>
      <c r="X57" s="859" t="s">
        <v>466</v>
      </c>
      <c r="Y57" s="859" t="s">
        <v>465</v>
      </c>
      <c r="Z57" s="859" t="s">
        <v>464</v>
      </c>
      <c r="AA57" s="859" t="s">
        <v>463</v>
      </c>
      <c r="AB57" s="859" t="s">
        <v>462</v>
      </c>
      <c r="AC57" s="859" t="s">
        <v>461</v>
      </c>
      <c r="AD57" s="859" t="s">
        <v>460</v>
      </c>
      <c r="AE57" s="859" t="s">
        <v>459</v>
      </c>
      <c r="AF57" s="859" t="s">
        <v>447</v>
      </c>
      <c r="AG57" s="859" t="s">
        <v>446</v>
      </c>
      <c r="AH57" s="859" t="s">
        <v>445</v>
      </c>
      <c r="AI57" s="859" t="s">
        <v>444</v>
      </c>
      <c r="AJ57" s="859" t="s">
        <v>443</v>
      </c>
      <c r="AK57" s="859" t="s">
        <v>442</v>
      </c>
      <c r="AL57" s="859" t="s">
        <v>441</v>
      </c>
      <c r="AM57" s="859" t="s">
        <v>458</v>
      </c>
      <c r="AN57" s="859" t="s">
        <v>717</v>
      </c>
      <c r="AO57" s="859" t="s">
        <v>718</v>
      </c>
      <c r="AP57" s="859" t="s">
        <v>440</v>
      </c>
      <c r="AQ57" s="859" t="s">
        <v>439</v>
      </c>
    </row>
    <row r="58" spans="1:64" x14ac:dyDescent="0.2">
      <c r="A58" s="862"/>
      <c r="B58" s="863" t="s">
        <v>409</v>
      </c>
      <c r="C58" s="864"/>
      <c r="D58" s="864"/>
      <c r="E58" s="864"/>
      <c r="F58" s="864"/>
      <c r="G58" s="864"/>
      <c r="H58" s="864"/>
      <c r="I58" s="864"/>
      <c r="J58" s="864"/>
      <c r="K58" s="864"/>
      <c r="L58" s="864"/>
      <c r="M58" s="864"/>
      <c r="N58" s="864"/>
      <c r="O58" s="864"/>
      <c r="P58" s="864"/>
      <c r="Q58" s="864"/>
      <c r="R58" s="864"/>
      <c r="S58" s="864"/>
      <c r="T58" s="864"/>
      <c r="U58" s="864"/>
      <c r="V58" s="864"/>
      <c r="W58" s="864"/>
      <c r="X58" s="864"/>
      <c r="Y58" s="864"/>
      <c r="Z58" s="864"/>
      <c r="AA58" s="864"/>
      <c r="AB58" s="864">
        <v>0.23</v>
      </c>
      <c r="AC58" s="864">
        <v>0.251</v>
      </c>
      <c r="AD58" s="864">
        <v>0.374</v>
      </c>
      <c r="AE58" s="864">
        <v>0.123</v>
      </c>
      <c r="AF58" s="864">
        <v>7.5999999999999998E-2</v>
      </c>
      <c r="AG58" s="864">
        <v>5.8000000000000003E-2</v>
      </c>
      <c r="AH58" s="864">
        <v>-4.9000000000000002E-2</v>
      </c>
      <c r="AI58" s="864">
        <v>-2.1000000000000001E-2</v>
      </c>
      <c r="AJ58" s="864">
        <v>2.9000000000000001E-2</v>
      </c>
      <c r="AK58" s="864">
        <v>0.245</v>
      </c>
      <c r="AL58" s="864">
        <v>0.12200000000000001</v>
      </c>
      <c r="AM58" s="864">
        <v>0.23500000000000004</v>
      </c>
      <c r="AN58" s="864">
        <v>0.19</v>
      </c>
      <c r="AO58" s="864">
        <v>-0.01</v>
      </c>
      <c r="AP58" s="864">
        <v>0</v>
      </c>
      <c r="AQ58" s="864">
        <v>0</v>
      </c>
    </row>
    <row r="59" spans="1:64" x14ac:dyDescent="0.2">
      <c r="A59" s="862"/>
      <c r="B59" s="865" t="s">
        <v>408</v>
      </c>
      <c r="C59" s="866"/>
      <c r="D59" s="866"/>
      <c r="E59" s="866"/>
      <c r="F59" s="866"/>
      <c r="G59" s="866"/>
      <c r="H59" s="866"/>
      <c r="I59" s="866"/>
      <c r="J59" s="866"/>
      <c r="K59" s="866"/>
      <c r="L59" s="866"/>
      <c r="M59" s="866"/>
      <c r="N59" s="866"/>
      <c r="O59" s="866"/>
      <c r="P59" s="866"/>
      <c r="Q59" s="866"/>
      <c r="R59" s="866"/>
      <c r="S59" s="866"/>
      <c r="T59" s="866"/>
      <c r="U59" s="866"/>
      <c r="V59" s="866"/>
      <c r="W59" s="866"/>
      <c r="X59" s="866"/>
      <c r="Y59" s="866"/>
      <c r="Z59" s="866"/>
      <c r="AA59" s="866"/>
      <c r="AB59" s="866">
        <v>0.13300000000000001</v>
      </c>
      <c r="AC59" s="866">
        <v>0.22900000000000001</v>
      </c>
      <c r="AD59" s="866">
        <v>5.8999999999999997E-2</v>
      </c>
      <c r="AE59" s="866">
        <v>9.6000000000000002E-2</v>
      </c>
      <c r="AF59" s="866">
        <v>0.06</v>
      </c>
      <c r="AG59" s="866">
        <v>0.121</v>
      </c>
      <c r="AH59" s="866">
        <v>-3.0000000000000001E-3</v>
      </c>
      <c r="AI59" s="866">
        <v>5.5E-2</v>
      </c>
      <c r="AJ59" s="866">
        <v>-7.0000000000000001E-3</v>
      </c>
      <c r="AK59" s="866">
        <v>0.03</v>
      </c>
      <c r="AL59" s="866">
        <v>0.115</v>
      </c>
      <c r="AM59" s="866">
        <v>2.8000000000000001E-2</v>
      </c>
      <c r="AN59" s="866">
        <v>0.12</v>
      </c>
      <c r="AO59" s="866">
        <v>0.01</v>
      </c>
      <c r="AP59" s="866">
        <v>6.0000000000000001E-3</v>
      </c>
      <c r="AQ59" s="866">
        <v>0.02</v>
      </c>
    </row>
    <row r="60" spans="1:64" x14ac:dyDescent="0.2">
      <c r="A60" s="862"/>
      <c r="B60" s="863" t="s">
        <v>407</v>
      </c>
      <c r="C60" s="867"/>
      <c r="D60" s="867"/>
      <c r="E60" s="867"/>
      <c r="F60" s="867"/>
      <c r="G60" s="867"/>
      <c r="H60" s="867"/>
      <c r="I60" s="867"/>
      <c r="J60" s="867"/>
      <c r="K60" s="867"/>
      <c r="L60" s="867"/>
      <c r="M60" s="867"/>
      <c r="N60" s="867"/>
      <c r="O60" s="867"/>
      <c r="P60" s="867"/>
      <c r="Q60" s="867"/>
      <c r="R60" s="867"/>
      <c r="S60" s="867"/>
      <c r="T60" s="867"/>
      <c r="U60" s="867"/>
      <c r="V60" s="867"/>
      <c r="W60" s="867"/>
      <c r="X60" s="867"/>
      <c r="Y60" s="867"/>
      <c r="Z60" s="867"/>
      <c r="AA60" s="867"/>
      <c r="AB60" s="867">
        <v>0.185</v>
      </c>
      <c r="AC60" s="867">
        <v>0.108</v>
      </c>
      <c r="AD60" s="867">
        <v>-4.9000000000000002E-2</v>
      </c>
      <c r="AE60" s="867">
        <v>6.0000000000000001E-3</v>
      </c>
      <c r="AF60" s="867">
        <v>4.1000000000000002E-2</v>
      </c>
      <c r="AG60" s="867">
        <v>-7.0000000000000007E-2</v>
      </c>
      <c r="AH60" s="867">
        <v>0.27800000000000002</v>
      </c>
      <c r="AI60" s="867">
        <v>8.5000000000000006E-2</v>
      </c>
      <c r="AJ60" s="867">
        <v>2.1999999999999999E-2</v>
      </c>
      <c r="AK60" s="867">
        <v>0.26200000000000001</v>
      </c>
      <c r="AL60" s="867">
        <v>0.11700000000000001</v>
      </c>
      <c r="AM60" s="867">
        <v>1.2999999999999999E-2</v>
      </c>
      <c r="AN60" s="867">
        <v>8.5000000000000006E-2</v>
      </c>
      <c r="AO60" s="867">
        <v>0.02</v>
      </c>
      <c r="AP60" s="867">
        <v>-0.08</v>
      </c>
      <c r="AQ60" s="867">
        <v>0.12</v>
      </c>
    </row>
    <row r="61" spans="1:64" x14ac:dyDescent="0.2">
      <c r="A61" s="862"/>
      <c r="B61" s="865" t="s">
        <v>406</v>
      </c>
      <c r="C61" s="866"/>
      <c r="D61" s="866"/>
      <c r="E61" s="866"/>
      <c r="F61" s="866"/>
      <c r="G61" s="866"/>
      <c r="H61" s="866"/>
      <c r="I61" s="866"/>
      <c r="J61" s="866"/>
      <c r="K61" s="866"/>
      <c r="L61" s="866"/>
      <c r="M61" s="866"/>
      <c r="N61" s="866"/>
      <c r="O61" s="866"/>
      <c r="P61" s="866"/>
      <c r="Q61" s="866"/>
      <c r="R61" s="866"/>
      <c r="S61" s="866"/>
      <c r="T61" s="866"/>
      <c r="U61" s="866"/>
      <c r="V61" s="866"/>
      <c r="W61" s="866"/>
      <c r="X61" s="866"/>
      <c r="Y61" s="866"/>
      <c r="Z61" s="866"/>
      <c r="AA61" s="866"/>
      <c r="AB61" s="866">
        <v>3.9E-2</v>
      </c>
      <c r="AC61" s="866">
        <v>5.3999999999999999E-2</v>
      </c>
      <c r="AD61" s="866">
        <v>1.9E-2</v>
      </c>
      <c r="AE61" s="866">
        <v>0.219</v>
      </c>
      <c r="AF61" s="866">
        <v>0.129</v>
      </c>
      <c r="AG61" s="866">
        <v>0.121</v>
      </c>
      <c r="AH61" s="866">
        <v>0.14499999999999999</v>
      </c>
      <c r="AI61" s="866">
        <v>9.1999999999999998E-2</v>
      </c>
      <c r="AJ61" s="866">
        <v>6.0999999999999999E-2</v>
      </c>
      <c r="AK61" s="866">
        <v>7.1999999999999995E-2</v>
      </c>
      <c r="AL61" s="866">
        <v>0.35099999999999998</v>
      </c>
      <c r="AM61" s="866">
        <v>-8.5999999999999993E-2</v>
      </c>
      <c r="AN61" s="866">
        <v>0.08</v>
      </c>
      <c r="AO61" s="866">
        <v>0.05</v>
      </c>
      <c r="AP61" s="866">
        <v>0.04</v>
      </c>
      <c r="AQ61" s="866">
        <v>0.16</v>
      </c>
    </row>
    <row r="62" spans="1:64" x14ac:dyDescent="0.2">
      <c r="A62" s="868"/>
      <c r="B62" s="869" t="s">
        <v>457</v>
      </c>
      <c r="C62" s="870"/>
      <c r="D62" s="870"/>
      <c r="E62" s="870"/>
      <c r="F62" s="870"/>
      <c r="G62" s="870"/>
      <c r="H62" s="870"/>
      <c r="I62" s="870"/>
      <c r="J62" s="870"/>
      <c r="K62" s="870"/>
      <c r="L62" s="870"/>
      <c r="M62" s="870"/>
      <c r="N62" s="870"/>
      <c r="O62" s="870"/>
      <c r="P62" s="870"/>
      <c r="Q62" s="870"/>
      <c r="R62" s="870"/>
      <c r="S62" s="870"/>
      <c r="T62" s="870"/>
      <c r="U62" s="870"/>
      <c r="V62" s="870"/>
      <c r="W62" s="870"/>
      <c r="X62" s="870"/>
      <c r="Y62" s="870"/>
      <c r="Z62" s="870"/>
      <c r="AA62" s="870"/>
      <c r="AB62" s="870">
        <v>0.14699999999999999</v>
      </c>
      <c r="AC62" s="870">
        <v>0.157</v>
      </c>
      <c r="AD62" s="870">
        <v>8.3000000000000004E-2</v>
      </c>
      <c r="AE62" s="870">
        <v>0.1</v>
      </c>
      <c r="AF62" s="870">
        <v>6.9000000000000006E-2</v>
      </c>
      <c r="AG62" s="870">
        <v>4.4999999999999998E-2</v>
      </c>
      <c r="AH62" s="870">
        <v>4.2000000000000003E-2</v>
      </c>
      <c r="AI62" s="870">
        <v>3.7999999999999999E-2</v>
      </c>
      <c r="AJ62" s="870">
        <v>0.02</v>
      </c>
      <c r="AK62" s="870">
        <v>0.152</v>
      </c>
      <c r="AL62" s="870">
        <v>0.14099999999999999</v>
      </c>
      <c r="AM62" s="870">
        <v>8.2000000000000003E-2</v>
      </c>
      <c r="AN62" s="870">
        <v>8.047518666476107E-2</v>
      </c>
      <c r="AO62" s="870">
        <v>8.2191381679866532E-3</v>
      </c>
      <c r="AP62" s="870">
        <v>1.7981443672820882E-3</v>
      </c>
      <c r="AQ62" s="870">
        <v>9.2402064285175556E-4</v>
      </c>
    </row>
    <row r="63" spans="1:64" x14ac:dyDescent="0.2">
      <c r="A63" s="868"/>
      <c r="B63" s="871" t="s">
        <v>364</v>
      </c>
      <c r="C63" s="866"/>
      <c r="D63" s="866"/>
      <c r="E63" s="866"/>
      <c r="F63" s="866"/>
      <c r="G63" s="866"/>
      <c r="H63" s="866"/>
      <c r="I63" s="866"/>
      <c r="J63" s="866"/>
      <c r="K63" s="866"/>
      <c r="L63" s="866"/>
      <c r="M63" s="866"/>
      <c r="N63" s="866"/>
      <c r="O63" s="866"/>
      <c r="P63" s="866"/>
      <c r="Q63" s="866"/>
      <c r="R63" s="866"/>
      <c r="S63" s="866"/>
      <c r="T63" s="866"/>
      <c r="U63" s="866"/>
      <c r="V63" s="866"/>
      <c r="W63" s="866"/>
      <c r="X63" s="866"/>
      <c r="Y63" s="866"/>
      <c r="Z63" s="866"/>
      <c r="AA63" s="866"/>
      <c r="AB63" s="866">
        <v>0.121</v>
      </c>
      <c r="AC63" s="866">
        <v>0.28799999999999998</v>
      </c>
      <c r="AD63" s="866">
        <v>2.8000000000000001E-2</v>
      </c>
      <c r="AE63" s="866">
        <v>0.122</v>
      </c>
      <c r="AF63" s="866">
        <v>4.4999999999999998E-2</v>
      </c>
      <c r="AG63" s="866">
        <v>8.2000000000000003E-2</v>
      </c>
      <c r="AH63" s="866">
        <v>-8.3000000000000004E-2</v>
      </c>
      <c r="AI63" s="866">
        <v>1.6E-2</v>
      </c>
      <c r="AJ63" s="866">
        <v>8.5999999999999993E-2</v>
      </c>
      <c r="AK63" s="866">
        <v>-2E-3</v>
      </c>
      <c r="AL63" s="866">
        <v>0.184</v>
      </c>
      <c r="AM63" s="866">
        <v>0.112</v>
      </c>
      <c r="AN63" s="866"/>
      <c r="AO63" s="866"/>
      <c r="AP63" s="866"/>
      <c r="AQ63" s="866"/>
    </row>
    <row r="64" spans="1:64" x14ac:dyDescent="0.2">
      <c r="A64" s="868"/>
      <c r="B64" s="872" t="s">
        <v>365</v>
      </c>
      <c r="C64" s="867"/>
      <c r="D64" s="867"/>
      <c r="E64" s="867"/>
      <c r="F64" s="867"/>
      <c r="G64" s="867"/>
      <c r="H64" s="867"/>
      <c r="I64" s="867"/>
      <c r="J64" s="867"/>
      <c r="K64" s="867"/>
      <c r="L64" s="867"/>
      <c r="M64" s="867"/>
      <c r="N64" s="867"/>
      <c r="O64" s="867"/>
      <c r="P64" s="867"/>
      <c r="Q64" s="867"/>
      <c r="R64" s="867"/>
      <c r="S64" s="867"/>
      <c r="T64" s="867"/>
      <c r="U64" s="867"/>
      <c r="V64" s="867"/>
      <c r="W64" s="867"/>
      <c r="X64" s="867"/>
      <c r="Y64" s="867"/>
      <c r="Z64" s="867"/>
      <c r="AA64" s="867"/>
      <c r="AB64" s="867">
        <v>0.184</v>
      </c>
      <c r="AC64" s="867">
        <v>0.13700000000000001</v>
      </c>
      <c r="AD64" s="867">
        <v>0.188</v>
      </c>
      <c r="AE64" s="867">
        <v>8.8999999999999996E-2</v>
      </c>
      <c r="AF64" s="867">
        <v>7.6999999999999999E-2</v>
      </c>
      <c r="AG64" s="867">
        <v>2.7E-2</v>
      </c>
      <c r="AH64" s="867">
        <v>9.0999999999999998E-2</v>
      </c>
      <c r="AI64" s="867">
        <v>4.9000000000000002E-2</v>
      </c>
      <c r="AJ64" s="867">
        <v>-4.0000000000000001E-3</v>
      </c>
      <c r="AK64" s="867">
        <v>0.23400000000000001</v>
      </c>
      <c r="AL64" s="867">
        <v>0.126</v>
      </c>
      <c r="AM64" s="867">
        <v>6.5000000000000002E-2</v>
      </c>
      <c r="AN64" s="867"/>
      <c r="AO64" s="867"/>
      <c r="AP64" s="867"/>
      <c r="AQ64" s="867"/>
    </row>
    <row r="65" spans="2:43" x14ac:dyDescent="0.2">
      <c r="AJ65" s="873"/>
      <c r="AK65" s="873"/>
      <c r="AL65" s="873"/>
      <c r="AM65" s="873"/>
    </row>
    <row r="66" spans="2:43" ht="15.75" x14ac:dyDescent="0.2">
      <c r="B66" s="874" t="s">
        <v>456</v>
      </c>
      <c r="C66" s="853"/>
      <c r="D66" s="853"/>
      <c r="E66" s="853"/>
      <c r="F66" s="853"/>
      <c r="G66" s="853"/>
      <c r="H66" s="853"/>
      <c r="I66" s="853"/>
      <c r="J66" s="853"/>
      <c r="K66" s="853"/>
      <c r="L66" s="853"/>
      <c r="M66" s="853"/>
      <c r="N66" s="853"/>
      <c r="O66" s="853"/>
    </row>
    <row r="67" spans="2:43" x14ac:dyDescent="0.2">
      <c r="B67" s="859"/>
      <c r="C67" s="875"/>
      <c r="D67" s="859" t="s">
        <v>486</v>
      </c>
      <c r="E67" s="859" t="s">
        <v>485</v>
      </c>
      <c r="F67" s="859" t="s">
        <v>484</v>
      </c>
      <c r="G67" s="859" t="str">
        <f>+G57</f>
        <v>F4Q07</v>
      </c>
      <c r="H67" s="859" t="str">
        <f t="shared" ref="H67:AQ67" si="82">+H57</f>
        <v>F1Q08</v>
      </c>
      <c r="I67" s="859" t="str">
        <f t="shared" si="82"/>
        <v>F2Q08</v>
      </c>
      <c r="J67" s="859" t="str">
        <f t="shared" si="82"/>
        <v>F3Q08</v>
      </c>
      <c r="K67" s="859" t="str">
        <f t="shared" si="82"/>
        <v>F4Q08</v>
      </c>
      <c r="L67" s="859" t="str">
        <f t="shared" si="82"/>
        <v>F1Q09</v>
      </c>
      <c r="M67" s="859" t="str">
        <f t="shared" si="82"/>
        <v>F2Q09</v>
      </c>
      <c r="N67" s="859" t="str">
        <f t="shared" si="82"/>
        <v>F3Q09</v>
      </c>
      <c r="O67" s="859" t="str">
        <f t="shared" si="82"/>
        <v>F4Q09</v>
      </c>
      <c r="P67" s="859" t="str">
        <f t="shared" si="82"/>
        <v>F1Q10</v>
      </c>
      <c r="Q67" s="859" t="str">
        <f t="shared" si="82"/>
        <v>F2Q10</v>
      </c>
      <c r="R67" s="859" t="str">
        <f t="shared" si="82"/>
        <v>F3Q10</v>
      </c>
      <c r="S67" s="859" t="str">
        <f t="shared" si="82"/>
        <v>F4Q10</v>
      </c>
      <c r="T67" s="859" t="str">
        <f t="shared" si="82"/>
        <v>F1Q11</v>
      </c>
      <c r="U67" s="859" t="str">
        <f t="shared" si="82"/>
        <v>F2Q11</v>
      </c>
      <c r="V67" s="859" t="str">
        <f t="shared" si="82"/>
        <v>F3Q11</v>
      </c>
      <c r="W67" s="859" t="str">
        <f t="shared" si="82"/>
        <v>F4Q11</v>
      </c>
      <c r="X67" s="859" t="str">
        <f t="shared" si="82"/>
        <v>F1Q12</v>
      </c>
      <c r="Y67" s="859" t="str">
        <f t="shared" si="82"/>
        <v>F2Q12</v>
      </c>
      <c r="Z67" s="859" t="str">
        <f t="shared" si="82"/>
        <v>F3Q12</v>
      </c>
      <c r="AA67" s="859" t="str">
        <f t="shared" si="82"/>
        <v>F4Q12</v>
      </c>
      <c r="AB67" s="859" t="str">
        <f t="shared" si="82"/>
        <v>F1Q13</v>
      </c>
      <c r="AC67" s="859" t="str">
        <f t="shared" si="82"/>
        <v>F2Q13</v>
      </c>
      <c r="AD67" s="859" t="str">
        <f t="shared" si="82"/>
        <v>F3Q13</v>
      </c>
      <c r="AE67" s="859" t="str">
        <f t="shared" si="82"/>
        <v>F4Q13</v>
      </c>
      <c r="AF67" s="859" t="str">
        <f t="shared" si="82"/>
        <v>F1Q14</v>
      </c>
      <c r="AG67" s="859" t="str">
        <f t="shared" si="82"/>
        <v>F2Q14</v>
      </c>
      <c r="AH67" s="859" t="str">
        <f t="shared" si="82"/>
        <v>F3Q14</v>
      </c>
      <c r="AI67" s="859" t="str">
        <f t="shared" si="82"/>
        <v>F4Q14</v>
      </c>
      <c r="AJ67" s="859" t="str">
        <f t="shared" si="82"/>
        <v>F1Q15</v>
      </c>
      <c r="AK67" s="859" t="str">
        <f t="shared" si="82"/>
        <v>F2Q15</v>
      </c>
      <c r="AL67" s="859" t="str">
        <f t="shared" si="82"/>
        <v>F3Q15</v>
      </c>
      <c r="AM67" s="859" t="str">
        <f t="shared" si="82"/>
        <v>F4Q15</v>
      </c>
      <c r="AN67" s="859" t="str">
        <f t="shared" si="82"/>
        <v>F1Q16</v>
      </c>
      <c r="AO67" s="859" t="str">
        <f t="shared" si="82"/>
        <v>F2Q16</v>
      </c>
      <c r="AP67" s="859" t="str">
        <f t="shared" si="82"/>
        <v>F3Q16E</v>
      </c>
      <c r="AQ67" s="859" t="str">
        <f t="shared" si="82"/>
        <v>F4Q16E</v>
      </c>
    </row>
    <row r="68" spans="2:43" x14ac:dyDescent="0.2">
      <c r="B68" s="863" t="str">
        <f>B58</f>
        <v>CAD/CAM</v>
      </c>
      <c r="C68" s="876"/>
      <c r="D68" s="876"/>
      <c r="E68" s="876"/>
      <c r="F68" s="876"/>
      <c r="G68" s="864"/>
      <c r="H68" s="864"/>
      <c r="I68" s="864"/>
      <c r="J68" s="864"/>
      <c r="K68" s="864"/>
      <c r="L68" s="864"/>
      <c r="M68" s="864"/>
      <c r="N68" s="864"/>
      <c r="O68" s="864"/>
      <c r="P68" s="864"/>
      <c r="Q68" s="864"/>
      <c r="R68" s="864"/>
      <c r="S68" s="864"/>
      <c r="T68" s="864"/>
      <c r="U68" s="864"/>
      <c r="V68" s="864"/>
      <c r="W68" s="864"/>
      <c r="X68" s="864"/>
      <c r="Y68" s="864"/>
      <c r="Z68" s="864"/>
      <c r="AA68" s="864"/>
      <c r="AB68" s="864"/>
      <c r="AC68" s="864"/>
      <c r="AD68" s="864"/>
      <c r="AE68" s="864"/>
      <c r="AF68" s="864">
        <f t="shared" ref="AF68:AQ74" si="83">AF58+AB58</f>
        <v>0.30599999999999999</v>
      </c>
      <c r="AG68" s="864">
        <f t="shared" si="83"/>
        <v>0.309</v>
      </c>
      <c r="AH68" s="864">
        <f t="shared" si="83"/>
        <v>0.32500000000000001</v>
      </c>
      <c r="AI68" s="864">
        <f t="shared" si="83"/>
        <v>0.10199999999999999</v>
      </c>
      <c r="AJ68" s="864">
        <f t="shared" si="83"/>
        <v>0.105</v>
      </c>
      <c r="AK68" s="864">
        <f t="shared" si="83"/>
        <v>0.30299999999999999</v>
      </c>
      <c r="AL68" s="864">
        <f t="shared" si="83"/>
        <v>7.3000000000000009E-2</v>
      </c>
      <c r="AM68" s="864">
        <f t="shared" si="83"/>
        <v>0.21400000000000005</v>
      </c>
      <c r="AN68" s="864">
        <f t="shared" si="83"/>
        <v>0.219</v>
      </c>
      <c r="AO68" s="864">
        <f t="shared" si="83"/>
        <v>0.23499999999999999</v>
      </c>
      <c r="AP68" s="864">
        <f t="shared" si="83"/>
        <v>0.12200000000000001</v>
      </c>
      <c r="AQ68" s="864">
        <f t="shared" si="83"/>
        <v>0.23500000000000004</v>
      </c>
    </row>
    <row r="69" spans="2:43" x14ac:dyDescent="0.2">
      <c r="B69" s="865" t="str">
        <f t="shared" ref="B69:B74" si="84">B59</f>
        <v>Imaging Systems</v>
      </c>
      <c r="C69" s="877"/>
      <c r="D69" s="877"/>
      <c r="E69" s="877"/>
      <c r="F69" s="877"/>
      <c r="G69" s="866"/>
      <c r="H69" s="866"/>
      <c r="I69" s="866"/>
      <c r="J69" s="866"/>
      <c r="K69" s="866"/>
      <c r="L69" s="866"/>
      <c r="M69" s="866"/>
      <c r="N69" s="866"/>
      <c r="O69" s="866"/>
      <c r="P69" s="866"/>
      <c r="Q69" s="866"/>
      <c r="R69" s="866"/>
      <c r="S69" s="866"/>
      <c r="T69" s="866"/>
      <c r="U69" s="866"/>
      <c r="V69" s="866"/>
      <c r="W69" s="866"/>
      <c r="X69" s="866"/>
      <c r="Y69" s="866"/>
      <c r="Z69" s="866"/>
      <c r="AA69" s="866"/>
      <c r="AB69" s="866"/>
      <c r="AC69" s="866"/>
      <c r="AD69" s="866"/>
      <c r="AE69" s="866"/>
      <c r="AF69" s="866">
        <f t="shared" si="83"/>
        <v>0.193</v>
      </c>
      <c r="AG69" s="866">
        <f t="shared" si="83"/>
        <v>0.35</v>
      </c>
      <c r="AH69" s="866">
        <f t="shared" si="83"/>
        <v>5.5999999999999994E-2</v>
      </c>
      <c r="AI69" s="866">
        <f t="shared" si="83"/>
        <v>0.151</v>
      </c>
      <c r="AJ69" s="866">
        <f t="shared" si="83"/>
        <v>5.2999999999999999E-2</v>
      </c>
      <c r="AK69" s="866">
        <f t="shared" si="83"/>
        <v>0.151</v>
      </c>
      <c r="AL69" s="866">
        <f t="shared" si="83"/>
        <v>0.112</v>
      </c>
      <c r="AM69" s="866">
        <f t="shared" si="83"/>
        <v>8.3000000000000004E-2</v>
      </c>
      <c r="AN69" s="866">
        <f t="shared" si="83"/>
        <v>0.11299999999999999</v>
      </c>
      <c r="AO69" s="866">
        <f t="shared" si="83"/>
        <v>0.04</v>
      </c>
      <c r="AP69" s="866">
        <f t="shared" si="83"/>
        <v>0.12100000000000001</v>
      </c>
      <c r="AQ69" s="866">
        <f t="shared" si="83"/>
        <v>4.8000000000000001E-2</v>
      </c>
    </row>
    <row r="70" spans="2:43" x14ac:dyDescent="0.2">
      <c r="B70" s="863" t="str">
        <f t="shared" si="84"/>
        <v>Treatment Centers</v>
      </c>
      <c r="C70" s="876"/>
      <c r="D70" s="876"/>
      <c r="E70" s="876"/>
      <c r="F70" s="876"/>
      <c r="G70" s="867"/>
      <c r="H70" s="867"/>
      <c r="I70" s="867"/>
      <c r="J70" s="867"/>
      <c r="K70" s="867"/>
      <c r="L70" s="867"/>
      <c r="M70" s="867"/>
      <c r="N70" s="867"/>
      <c r="O70" s="867"/>
      <c r="P70" s="867"/>
      <c r="Q70" s="867"/>
      <c r="R70" s="867"/>
      <c r="S70" s="867"/>
      <c r="T70" s="867"/>
      <c r="U70" s="867"/>
      <c r="V70" s="867"/>
      <c r="W70" s="867"/>
      <c r="X70" s="867"/>
      <c r="Y70" s="867"/>
      <c r="Z70" s="867"/>
      <c r="AA70" s="867"/>
      <c r="AB70" s="867"/>
      <c r="AC70" s="867"/>
      <c r="AD70" s="867"/>
      <c r="AE70" s="867"/>
      <c r="AF70" s="867">
        <f t="shared" si="83"/>
        <v>0.22600000000000001</v>
      </c>
      <c r="AG70" s="867">
        <f t="shared" si="83"/>
        <v>3.7999999999999992E-2</v>
      </c>
      <c r="AH70" s="867">
        <f t="shared" si="83"/>
        <v>0.22900000000000004</v>
      </c>
      <c r="AI70" s="867">
        <f t="shared" si="83"/>
        <v>9.1000000000000011E-2</v>
      </c>
      <c r="AJ70" s="867">
        <f t="shared" si="83"/>
        <v>6.3E-2</v>
      </c>
      <c r="AK70" s="867">
        <f t="shared" si="83"/>
        <v>0.192</v>
      </c>
      <c r="AL70" s="867">
        <f t="shared" si="83"/>
        <v>0.39500000000000002</v>
      </c>
      <c r="AM70" s="867">
        <f t="shared" si="83"/>
        <v>9.8000000000000004E-2</v>
      </c>
      <c r="AN70" s="867">
        <f t="shared" si="83"/>
        <v>0.10700000000000001</v>
      </c>
      <c r="AO70" s="867">
        <f t="shared" si="83"/>
        <v>0.28200000000000003</v>
      </c>
      <c r="AP70" s="867">
        <f t="shared" si="83"/>
        <v>3.7000000000000005E-2</v>
      </c>
      <c r="AQ70" s="867">
        <f t="shared" si="83"/>
        <v>0.13300000000000001</v>
      </c>
    </row>
    <row r="71" spans="2:43" x14ac:dyDescent="0.2">
      <c r="B71" s="865" t="str">
        <f t="shared" si="84"/>
        <v>Instruments</v>
      </c>
      <c r="C71" s="877"/>
      <c r="D71" s="877"/>
      <c r="E71" s="877"/>
      <c r="F71" s="877"/>
      <c r="G71" s="866"/>
      <c r="H71" s="866"/>
      <c r="I71" s="866"/>
      <c r="J71" s="866"/>
      <c r="K71" s="866"/>
      <c r="L71" s="866"/>
      <c r="M71" s="866"/>
      <c r="N71" s="866"/>
      <c r="O71" s="866"/>
      <c r="P71" s="866"/>
      <c r="Q71" s="866"/>
      <c r="R71" s="866"/>
      <c r="S71" s="866"/>
      <c r="T71" s="866"/>
      <c r="U71" s="866"/>
      <c r="V71" s="866"/>
      <c r="W71" s="866"/>
      <c r="X71" s="866"/>
      <c r="Y71" s="866"/>
      <c r="Z71" s="866"/>
      <c r="AA71" s="866"/>
      <c r="AB71" s="866"/>
      <c r="AC71" s="866"/>
      <c r="AD71" s="866"/>
      <c r="AE71" s="866"/>
      <c r="AF71" s="866">
        <f t="shared" si="83"/>
        <v>0.16800000000000001</v>
      </c>
      <c r="AG71" s="866">
        <f t="shared" si="83"/>
        <v>0.17499999999999999</v>
      </c>
      <c r="AH71" s="866">
        <f t="shared" si="83"/>
        <v>0.16399999999999998</v>
      </c>
      <c r="AI71" s="866">
        <f t="shared" si="83"/>
        <v>0.311</v>
      </c>
      <c r="AJ71" s="866">
        <f t="shared" si="83"/>
        <v>0.19</v>
      </c>
      <c r="AK71" s="866">
        <f t="shared" si="83"/>
        <v>0.193</v>
      </c>
      <c r="AL71" s="866">
        <f t="shared" si="83"/>
        <v>0.496</v>
      </c>
      <c r="AM71" s="866">
        <f t="shared" si="83"/>
        <v>6.0000000000000053E-3</v>
      </c>
      <c r="AN71" s="866">
        <f t="shared" si="83"/>
        <v>0.14100000000000001</v>
      </c>
      <c r="AO71" s="866">
        <f t="shared" si="83"/>
        <v>0.122</v>
      </c>
      <c r="AP71" s="866">
        <f t="shared" si="83"/>
        <v>0.39099999999999996</v>
      </c>
      <c r="AQ71" s="866">
        <f t="shared" si="83"/>
        <v>7.400000000000001E-2</v>
      </c>
    </row>
    <row r="72" spans="2:43" x14ac:dyDescent="0.2">
      <c r="B72" s="878" t="str">
        <f t="shared" si="84"/>
        <v>WW Sales</v>
      </c>
      <c r="C72" s="876"/>
      <c r="D72" s="876"/>
      <c r="E72" s="876"/>
      <c r="F72" s="876"/>
      <c r="G72" s="870"/>
      <c r="H72" s="870"/>
      <c r="I72" s="870"/>
      <c r="J72" s="870"/>
      <c r="K72" s="870"/>
      <c r="L72" s="870"/>
      <c r="M72" s="870"/>
      <c r="N72" s="870"/>
      <c r="O72" s="870"/>
      <c r="P72" s="870"/>
      <c r="Q72" s="870"/>
      <c r="R72" s="870"/>
      <c r="S72" s="870"/>
      <c r="T72" s="870"/>
      <c r="U72" s="870"/>
      <c r="V72" s="870"/>
      <c r="W72" s="870"/>
      <c r="X72" s="870"/>
      <c r="Y72" s="870"/>
      <c r="Z72" s="870"/>
      <c r="AA72" s="870"/>
      <c r="AB72" s="870"/>
      <c r="AC72" s="870"/>
      <c r="AD72" s="870"/>
      <c r="AE72" s="870"/>
      <c r="AF72" s="870">
        <f t="shared" si="83"/>
        <v>0.216</v>
      </c>
      <c r="AG72" s="870">
        <f t="shared" si="83"/>
        <v>0.20200000000000001</v>
      </c>
      <c r="AH72" s="870">
        <f t="shared" si="83"/>
        <v>0.125</v>
      </c>
      <c r="AI72" s="870">
        <f t="shared" si="83"/>
        <v>0.13800000000000001</v>
      </c>
      <c r="AJ72" s="870">
        <f t="shared" si="83"/>
        <v>8.900000000000001E-2</v>
      </c>
      <c r="AK72" s="870">
        <f t="shared" si="83"/>
        <v>0.19700000000000001</v>
      </c>
      <c r="AL72" s="870">
        <f t="shared" si="83"/>
        <v>0.183</v>
      </c>
      <c r="AM72" s="870">
        <f t="shared" si="83"/>
        <v>0.12</v>
      </c>
      <c r="AN72" s="870">
        <f t="shared" si="83"/>
        <v>0.10047518666476107</v>
      </c>
      <c r="AO72" s="870">
        <f t="shared" si="83"/>
        <v>0.16021913816798666</v>
      </c>
      <c r="AP72" s="870">
        <f t="shared" si="83"/>
        <v>0.14279814436728208</v>
      </c>
      <c r="AQ72" s="870">
        <f t="shared" si="83"/>
        <v>8.2924020642851759E-2</v>
      </c>
    </row>
    <row r="73" spans="2:43" x14ac:dyDescent="0.2">
      <c r="B73" s="871" t="str">
        <f t="shared" si="84"/>
        <v>US</v>
      </c>
      <c r="C73" s="866"/>
      <c r="D73" s="866"/>
      <c r="E73" s="866"/>
      <c r="F73" s="866"/>
      <c r="G73" s="866"/>
      <c r="H73" s="866"/>
      <c r="I73" s="866"/>
      <c r="J73" s="866"/>
      <c r="K73" s="866"/>
      <c r="L73" s="866"/>
      <c r="M73" s="866"/>
      <c r="N73" s="866"/>
      <c r="O73" s="866"/>
      <c r="P73" s="866"/>
      <c r="Q73" s="866"/>
      <c r="R73" s="866"/>
      <c r="S73" s="866"/>
      <c r="T73" s="866"/>
      <c r="U73" s="866"/>
      <c r="V73" s="866"/>
      <c r="W73" s="866"/>
      <c r="X73" s="866"/>
      <c r="Y73" s="866"/>
      <c r="Z73" s="866"/>
      <c r="AA73" s="866"/>
      <c r="AB73" s="866"/>
      <c r="AC73" s="866"/>
      <c r="AD73" s="866"/>
      <c r="AE73" s="866"/>
      <c r="AF73" s="866">
        <f t="shared" si="83"/>
        <v>0.16599999999999998</v>
      </c>
      <c r="AG73" s="866">
        <f t="shared" si="83"/>
        <v>0.37</v>
      </c>
      <c r="AH73" s="866">
        <f t="shared" si="83"/>
        <v>-5.5000000000000007E-2</v>
      </c>
      <c r="AI73" s="866">
        <f t="shared" si="83"/>
        <v>0.13800000000000001</v>
      </c>
      <c r="AJ73" s="866">
        <f t="shared" si="83"/>
        <v>0.13100000000000001</v>
      </c>
      <c r="AK73" s="866">
        <f t="shared" si="83"/>
        <v>0.08</v>
      </c>
      <c r="AL73" s="866">
        <f t="shared" si="83"/>
        <v>0.10099999999999999</v>
      </c>
      <c r="AM73" s="866">
        <f t="shared" si="83"/>
        <v>0.128</v>
      </c>
      <c r="AN73" s="866"/>
      <c r="AO73" s="866"/>
      <c r="AP73" s="866"/>
      <c r="AQ73" s="866"/>
    </row>
    <row r="74" spans="2:43" x14ac:dyDescent="0.2">
      <c r="B74" s="872" t="str">
        <f t="shared" si="84"/>
        <v>International</v>
      </c>
      <c r="C74" s="867"/>
      <c r="D74" s="867"/>
      <c r="E74" s="867"/>
      <c r="F74" s="867"/>
      <c r="G74" s="867"/>
      <c r="H74" s="867"/>
      <c r="I74" s="867"/>
      <c r="J74" s="867"/>
      <c r="K74" s="867"/>
      <c r="L74" s="867"/>
      <c r="M74" s="867"/>
      <c r="N74" s="867"/>
      <c r="O74" s="867"/>
      <c r="P74" s="867"/>
      <c r="Q74" s="867"/>
      <c r="R74" s="867"/>
      <c r="S74" s="867"/>
      <c r="T74" s="867"/>
      <c r="U74" s="867"/>
      <c r="V74" s="867"/>
      <c r="W74" s="867"/>
      <c r="X74" s="867"/>
      <c r="Y74" s="867"/>
      <c r="Z74" s="867"/>
      <c r="AA74" s="867"/>
      <c r="AB74" s="867"/>
      <c r="AC74" s="867"/>
      <c r="AD74" s="867"/>
      <c r="AE74" s="867"/>
      <c r="AF74" s="867">
        <f t="shared" si="83"/>
        <v>0.26100000000000001</v>
      </c>
      <c r="AG74" s="867">
        <f t="shared" si="83"/>
        <v>0.16400000000000001</v>
      </c>
      <c r="AH74" s="867">
        <f t="shared" si="83"/>
        <v>0.27900000000000003</v>
      </c>
      <c r="AI74" s="867">
        <f t="shared" si="83"/>
        <v>0.13800000000000001</v>
      </c>
      <c r="AJ74" s="867">
        <f t="shared" si="83"/>
        <v>7.2999999999999995E-2</v>
      </c>
      <c r="AK74" s="867">
        <f t="shared" si="83"/>
        <v>0.26100000000000001</v>
      </c>
      <c r="AL74" s="867">
        <f t="shared" si="83"/>
        <v>0.217</v>
      </c>
      <c r="AM74" s="867">
        <f t="shared" si="83"/>
        <v>0.114</v>
      </c>
      <c r="AN74" s="867"/>
      <c r="AO74" s="867"/>
      <c r="AP74" s="867"/>
      <c r="AQ74" s="867"/>
    </row>
    <row r="75" spans="2:43" x14ac:dyDescent="0.2">
      <c r="B75" s="850"/>
      <c r="C75" s="850"/>
      <c r="D75" s="850"/>
      <c r="E75" s="850"/>
      <c r="F75" s="850"/>
      <c r="G75" s="850"/>
      <c r="H75" s="850"/>
      <c r="I75" s="850"/>
      <c r="J75" s="850"/>
      <c r="K75" s="850"/>
      <c r="L75" s="850"/>
      <c r="M75" s="850"/>
      <c r="N75" s="850"/>
      <c r="O75" s="850"/>
      <c r="P75" s="850"/>
      <c r="Q75" s="850"/>
      <c r="R75" s="850"/>
      <c r="S75" s="850"/>
      <c r="T75" s="850"/>
      <c r="U75" s="850"/>
      <c r="V75" s="850"/>
      <c r="W75" s="850"/>
      <c r="X75" s="850"/>
      <c r="Y75" s="850"/>
      <c r="Z75" s="850"/>
      <c r="AA75" s="850"/>
      <c r="AB75" s="850"/>
      <c r="AC75" s="850"/>
      <c r="AD75" s="850"/>
      <c r="AE75" s="850"/>
      <c r="AF75" s="850"/>
      <c r="AG75" s="850"/>
      <c r="AH75" s="850"/>
      <c r="AI75" s="850"/>
      <c r="AJ75" s="879"/>
      <c r="AK75" s="850"/>
      <c r="AL75" s="850"/>
      <c r="AM75" s="850"/>
      <c r="AN75" s="850"/>
      <c r="AO75" s="850"/>
      <c r="AP75" s="850"/>
      <c r="AQ75" s="850"/>
    </row>
    <row r="76" spans="2:43" ht="15.75" x14ac:dyDescent="0.2">
      <c r="B76" s="874" t="s">
        <v>455</v>
      </c>
      <c r="C76" s="880"/>
      <c r="D76" s="880"/>
      <c r="E76" s="880"/>
      <c r="F76" s="880"/>
      <c r="G76" s="880"/>
      <c r="H76" s="880"/>
      <c r="I76" s="880"/>
      <c r="J76" s="880"/>
      <c r="K76" s="880"/>
      <c r="L76" s="880"/>
      <c r="M76" s="880"/>
      <c r="N76" s="880"/>
      <c r="O76" s="880"/>
      <c r="P76" s="880"/>
      <c r="Q76" s="880"/>
      <c r="R76" s="880"/>
      <c r="S76" s="880"/>
      <c r="T76" s="880"/>
      <c r="U76" s="880"/>
      <c r="V76" s="880"/>
      <c r="W76" s="880"/>
      <c r="X76" s="880"/>
      <c r="Y76" s="880"/>
      <c r="Z76" s="880"/>
      <c r="AA76" s="880"/>
      <c r="AB76" s="880"/>
      <c r="AC76" s="880"/>
      <c r="AD76" s="880"/>
      <c r="AE76" s="880"/>
      <c r="AF76" s="880"/>
      <c r="AG76" s="850"/>
      <c r="AH76" s="850"/>
      <c r="AI76" s="850"/>
      <c r="AJ76" s="850"/>
      <c r="AK76" s="850"/>
      <c r="AL76" s="850"/>
      <c r="AM76" s="850"/>
      <c r="AN76" s="850"/>
      <c r="AO76" s="850"/>
      <c r="AP76" s="850"/>
      <c r="AQ76" s="850"/>
    </row>
    <row r="77" spans="2:43" x14ac:dyDescent="0.2">
      <c r="B77" s="859"/>
      <c r="C77" s="875"/>
      <c r="D77" s="859">
        <v>39172</v>
      </c>
      <c r="E77" s="859">
        <v>39263</v>
      </c>
      <c r="F77" s="859">
        <v>39355</v>
      </c>
      <c r="G77" s="859">
        <v>39447</v>
      </c>
      <c r="H77" s="859">
        <v>39538</v>
      </c>
      <c r="I77" s="859">
        <v>39629</v>
      </c>
      <c r="J77" s="859">
        <v>39721</v>
      </c>
      <c r="K77" s="859">
        <v>39813</v>
      </c>
      <c r="L77" s="859">
        <v>39903</v>
      </c>
      <c r="M77" s="859">
        <v>39994</v>
      </c>
      <c r="N77" s="859">
        <v>40086</v>
      </c>
      <c r="O77" s="859">
        <v>40178</v>
      </c>
      <c r="P77" s="859">
        <v>40268</v>
      </c>
      <c r="Q77" s="859">
        <v>40359</v>
      </c>
      <c r="R77" s="859">
        <v>40451</v>
      </c>
      <c r="S77" s="859">
        <v>40543</v>
      </c>
      <c r="T77" s="859">
        <v>40633</v>
      </c>
      <c r="U77" s="859">
        <v>40724</v>
      </c>
      <c r="V77" s="859">
        <v>40816</v>
      </c>
      <c r="W77" s="859">
        <v>40908</v>
      </c>
      <c r="X77" s="859">
        <v>40999</v>
      </c>
      <c r="Y77" s="859">
        <v>41090</v>
      </c>
      <c r="Z77" s="859">
        <v>41182</v>
      </c>
      <c r="AA77" s="859">
        <v>41273.25</v>
      </c>
      <c r="AB77" s="859">
        <v>41364.25</v>
      </c>
      <c r="AC77" s="859">
        <v>41455.25</v>
      </c>
      <c r="AD77" s="859">
        <v>41547.25</v>
      </c>
      <c r="AE77" s="859">
        <v>41639</v>
      </c>
      <c r="AF77" s="859">
        <v>41729</v>
      </c>
      <c r="AG77" s="859">
        <v>41820</v>
      </c>
      <c r="AH77" s="859">
        <v>41912</v>
      </c>
      <c r="AI77" s="859">
        <v>42004</v>
      </c>
      <c r="AJ77" s="859">
        <v>42094</v>
      </c>
      <c r="AK77" s="859">
        <v>42185</v>
      </c>
      <c r="AL77" s="859">
        <v>42277</v>
      </c>
      <c r="AM77" s="859">
        <v>42369</v>
      </c>
      <c r="AN77" s="859">
        <v>42460</v>
      </c>
      <c r="AO77" s="859">
        <v>42551</v>
      </c>
      <c r="AP77" s="859">
        <v>42643</v>
      </c>
      <c r="AQ77" s="859">
        <v>42734.25</v>
      </c>
    </row>
    <row r="78" spans="2:43" x14ac:dyDescent="0.2">
      <c r="B78" s="863" t="str">
        <f>B93</f>
        <v>CAD/CAM</v>
      </c>
      <c r="C78" s="881"/>
      <c r="D78" s="881"/>
      <c r="E78" s="881"/>
      <c r="F78" s="881"/>
      <c r="G78" s="881"/>
      <c r="H78" s="881"/>
      <c r="I78" s="881"/>
      <c r="J78" s="881"/>
      <c r="K78" s="881"/>
      <c r="L78" s="881"/>
      <c r="M78" s="881"/>
      <c r="N78" s="881"/>
      <c r="O78" s="881"/>
      <c r="P78" s="881"/>
      <c r="Q78" s="881"/>
      <c r="R78" s="881"/>
      <c r="S78" s="881"/>
      <c r="T78" s="881"/>
      <c r="U78" s="881"/>
      <c r="V78" s="881"/>
      <c r="W78" s="881"/>
      <c r="X78" s="881"/>
      <c r="Y78" s="881"/>
      <c r="Z78" s="881"/>
      <c r="AA78" s="881"/>
      <c r="AB78" s="881">
        <v>103.61087121</v>
      </c>
      <c r="AC78" s="881">
        <v>102.92305564995998</v>
      </c>
      <c r="AD78" s="881">
        <v>107.25800957663999</v>
      </c>
      <c r="AE78" s="881">
        <v>105.8023938843</v>
      </c>
      <c r="AF78" s="881">
        <v>108.7914147705</v>
      </c>
      <c r="AG78" s="881">
        <v>109.3</v>
      </c>
      <c r="AH78" s="881">
        <v>101.89510909780799</v>
      </c>
      <c r="AI78" s="881">
        <v>98.163461045853538</v>
      </c>
      <c r="AJ78" s="881">
        <v>101.6546979615552</v>
      </c>
      <c r="AK78" s="881">
        <v>121.76020000000001</v>
      </c>
      <c r="AL78" s="881">
        <v>113.20546620766467</v>
      </c>
      <c r="AM78" s="881">
        <v>123.58779745672959</v>
      </c>
      <c r="AN78" s="881">
        <v>120.86743587628914</v>
      </c>
      <c r="AO78" s="881">
        <v>119.73821789290891</v>
      </c>
      <c r="AP78" s="892">
        <v>113.58293496416496</v>
      </c>
      <c r="AQ78" s="892">
        <v>122.75428261886955</v>
      </c>
    </row>
    <row r="79" spans="2:43" x14ac:dyDescent="0.2">
      <c r="B79" s="865" t="str">
        <f>B94</f>
        <v>Imaging Systems</v>
      </c>
      <c r="C79" s="892"/>
      <c r="D79" s="892"/>
      <c r="E79" s="892"/>
      <c r="F79" s="892"/>
      <c r="G79" s="892"/>
      <c r="H79" s="892"/>
      <c r="I79" s="892"/>
      <c r="J79" s="892"/>
      <c r="K79" s="892"/>
      <c r="L79" s="892"/>
      <c r="M79" s="892"/>
      <c r="N79" s="892"/>
      <c r="O79" s="892"/>
      <c r="P79" s="892"/>
      <c r="Q79" s="892"/>
      <c r="R79" s="892"/>
      <c r="S79" s="892"/>
      <c r="T79" s="892"/>
      <c r="U79" s="892"/>
      <c r="V79" s="892"/>
      <c r="W79" s="892"/>
      <c r="X79" s="892"/>
      <c r="Y79" s="892"/>
      <c r="Z79" s="892"/>
      <c r="AA79" s="892"/>
      <c r="AB79" s="892">
        <v>83.64314204999998</v>
      </c>
      <c r="AC79" s="892">
        <v>100.17054187391997</v>
      </c>
      <c r="AD79" s="892">
        <v>97.257986731139994</v>
      </c>
      <c r="AE79" s="892">
        <v>105.86671878710202</v>
      </c>
      <c r="AF79" s="892">
        <v>87.82529915249998</v>
      </c>
      <c r="AG79" s="892">
        <v>109.1</v>
      </c>
      <c r="AH79" s="892">
        <v>97.044019160331487</v>
      </c>
      <c r="AI79" s="892">
        <v>108.04757319411631</v>
      </c>
      <c r="AJ79" s="892">
        <v>80.658754741655983</v>
      </c>
      <c r="AK79" s="892">
        <v>103.75409999999999</v>
      </c>
      <c r="AL79" s="892">
        <v>99.178987581858777</v>
      </c>
      <c r="AM79" s="892">
        <v>105.23833629106929</v>
      </c>
      <c r="AN79" s="892">
        <v>90.216817178542215</v>
      </c>
      <c r="AO79" s="892">
        <v>104.10621395512702</v>
      </c>
      <c r="AP79" s="892">
        <v>100.10476081337821</v>
      </c>
      <c r="AQ79" s="892">
        <v>106.63334269576332</v>
      </c>
    </row>
    <row r="80" spans="2:43" x14ac:dyDescent="0.2">
      <c r="B80" s="863" t="str">
        <f>B95</f>
        <v>Treatment Centers</v>
      </c>
      <c r="C80" s="881"/>
      <c r="D80" s="881"/>
      <c r="E80" s="881"/>
      <c r="F80" s="881"/>
      <c r="G80" s="881"/>
      <c r="H80" s="881"/>
      <c r="I80" s="881"/>
      <c r="J80" s="881"/>
      <c r="K80" s="881"/>
      <c r="L80" s="881"/>
      <c r="M80" s="881"/>
      <c r="N80" s="881"/>
      <c r="O80" s="881"/>
      <c r="P80" s="881"/>
      <c r="Q80" s="881"/>
      <c r="R80" s="881"/>
      <c r="S80" s="881"/>
      <c r="T80" s="881"/>
      <c r="U80" s="881"/>
      <c r="V80" s="881"/>
      <c r="W80" s="881"/>
      <c r="X80" s="881"/>
      <c r="Y80" s="881"/>
      <c r="Z80" s="881"/>
      <c r="AA80" s="881"/>
      <c r="AB80" s="881">
        <v>54.603177047999992</v>
      </c>
      <c r="AC80" s="881">
        <v>53.803733903551993</v>
      </c>
      <c r="AD80" s="881">
        <v>48.823805036239996</v>
      </c>
      <c r="AE80" s="881">
        <v>54.368711455589988</v>
      </c>
      <c r="AF80" s="881">
        <v>57.114923192207996</v>
      </c>
      <c r="AG80" s="881">
        <v>51.2</v>
      </c>
      <c r="AH80" s="881">
        <v>62.592118056459675</v>
      </c>
      <c r="AI80" s="881">
        <v>53.971819861964185</v>
      </c>
      <c r="AJ80" s="881">
        <v>49.233063791683293</v>
      </c>
      <c r="AK80" s="881">
        <v>53.811199999999999</v>
      </c>
      <c r="AL80" s="881">
        <v>59.58769638974961</v>
      </c>
      <c r="AM80" s="881">
        <v>48.898468794939554</v>
      </c>
      <c r="AN80" s="881">
        <v>53.368641150184693</v>
      </c>
      <c r="AO80" s="881">
        <v>54.531932970758085</v>
      </c>
      <c r="AP80" s="892">
        <v>55.019368024794559</v>
      </c>
      <c r="AQ80" s="892">
        <v>54.436498452238034</v>
      </c>
    </row>
    <row r="81" spans="1:43" x14ac:dyDescent="0.2">
      <c r="B81" s="865" t="str">
        <f>B96</f>
        <v>Instruments</v>
      </c>
      <c r="C81" s="892"/>
      <c r="D81" s="892"/>
      <c r="E81" s="892"/>
      <c r="F81" s="892"/>
      <c r="G81" s="892"/>
      <c r="H81" s="892"/>
      <c r="I81" s="892"/>
      <c r="J81" s="892"/>
      <c r="K81" s="892"/>
      <c r="L81" s="892"/>
      <c r="M81" s="892"/>
      <c r="N81" s="892"/>
      <c r="O81" s="892"/>
      <c r="P81" s="892"/>
      <c r="Q81" s="892"/>
      <c r="R81" s="892"/>
      <c r="S81" s="892"/>
      <c r="T81" s="892"/>
      <c r="U81" s="892"/>
      <c r="V81" s="892"/>
      <c r="W81" s="892"/>
      <c r="X81" s="892"/>
      <c r="Y81" s="892"/>
      <c r="Z81" s="892"/>
      <c r="AA81" s="892"/>
      <c r="AB81" s="892">
        <v>25.394042729999995</v>
      </c>
      <c r="AC81" s="892">
        <v>26.400000000000002</v>
      </c>
      <c r="AD81" s="892">
        <v>25.3</v>
      </c>
      <c r="AE81" s="892">
        <v>32.718116947949994</v>
      </c>
      <c r="AF81" s="892">
        <v>28.796844455819993</v>
      </c>
      <c r="AG81" s="892">
        <v>30.170374738598952</v>
      </c>
      <c r="AH81" s="892">
        <v>28.538400000000003</v>
      </c>
      <c r="AI81" s="892">
        <v>32.809727675404254</v>
      </c>
      <c r="AJ81" s="892">
        <v>25.686785254591435</v>
      </c>
      <c r="AK81" s="892">
        <v>26.851633517353068</v>
      </c>
      <c r="AL81" s="892">
        <v>33.076005600000002</v>
      </c>
      <c r="AM81" s="892">
        <v>26.510259961726639</v>
      </c>
      <c r="AN81" s="892">
        <v>27.716041289704158</v>
      </c>
      <c r="AO81" s="892">
        <v>28.016826195467271</v>
      </c>
      <c r="AP81" s="892">
        <v>34.509333419838583</v>
      </c>
      <c r="AQ81" s="892">
        <v>30.573108054235078</v>
      </c>
    </row>
    <row r="82" spans="1:43" x14ac:dyDescent="0.2">
      <c r="B82" s="878" t="str">
        <f>B97</f>
        <v>Total Revenue</v>
      </c>
      <c r="C82" s="880"/>
      <c r="D82" s="880"/>
      <c r="E82" s="880"/>
      <c r="F82" s="880"/>
      <c r="G82" s="880"/>
      <c r="H82" s="880"/>
      <c r="I82" s="880"/>
      <c r="J82" s="880"/>
      <c r="K82" s="880"/>
      <c r="L82" s="880"/>
      <c r="M82" s="880"/>
      <c r="N82" s="880"/>
      <c r="O82" s="880"/>
      <c r="P82" s="880"/>
      <c r="Q82" s="880"/>
      <c r="R82" s="880"/>
      <c r="S82" s="880"/>
      <c r="T82" s="880"/>
      <c r="U82" s="880"/>
      <c r="V82" s="880"/>
      <c r="W82" s="880"/>
      <c r="X82" s="880"/>
      <c r="Y82" s="880"/>
      <c r="Z82" s="880"/>
      <c r="AA82" s="880"/>
      <c r="AB82" s="880">
        <v>267.32600000000002</v>
      </c>
      <c r="AC82" s="880">
        <v>283.15699999999998</v>
      </c>
      <c r="AD82" s="880">
        <v>278.60399999999998</v>
      </c>
      <c r="AE82" s="880">
        <v>298.726</v>
      </c>
      <c r="AF82" s="880">
        <v>282.7</v>
      </c>
      <c r="AG82" s="880">
        <v>299.7</v>
      </c>
      <c r="AH82" s="880">
        <v>290</v>
      </c>
      <c r="AI82" s="880">
        <v>293</v>
      </c>
      <c r="AJ82" s="880">
        <v>257.3</v>
      </c>
      <c r="AK82" s="880">
        <v>306.10000000000002</v>
      </c>
      <c r="AL82" s="880">
        <v>304.89999999999998</v>
      </c>
      <c r="AM82" s="880">
        <v>304.2</v>
      </c>
      <c r="AN82" s="880">
        <v>292.36893549472018</v>
      </c>
      <c r="AO82" s="880">
        <v>306.59319101426127</v>
      </c>
      <c r="AP82" s="893">
        <v>303.41639722217633</v>
      </c>
      <c r="AQ82" s="893">
        <v>314.59723182110599</v>
      </c>
    </row>
    <row r="83" spans="1:43" ht="15.75" x14ac:dyDescent="0.2">
      <c r="B83" s="874" t="s">
        <v>454</v>
      </c>
      <c r="C83" s="880"/>
      <c r="D83" s="880"/>
      <c r="E83" s="880"/>
      <c r="F83" s="880"/>
      <c r="G83" s="880"/>
      <c r="H83" s="880"/>
      <c r="I83" s="880"/>
      <c r="J83" s="880"/>
      <c r="K83" s="880"/>
      <c r="L83" s="880"/>
      <c r="M83" s="880"/>
      <c r="N83" s="880"/>
      <c r="O83" s="880"/>
      <c r="P83" s="880"/>
      <c r="Q83" s="880"/>
      <c r="R83" s="880"/>
      <c r="S83" s="880"/>
      <c r="T83" s="880"/>
      <c r="U83" s="880"/>
      <c r="V83" s="880"/>
      <c r="W83" s="880"/>
      <c r="X83" s="880"/>
      <c r="Y83" s="880"/>
      <c r="Z83" s="880"/>
      <c r="AA83" s="880"/>
      <c r="AB83" s="880"/>
      <c r="AC83" s="880"/>
      <c r="AD83" s="880"/>
      <c r="AE83" s="880"/>
      <c r="AF83" s="880"/>
      <c r="AG83" s="880"/>
      <c r="AH83" s="880"/>
      <c r="AI83" s="880"/>
      <c r="AJ83" s="880"/>
      <c r="AK83" s="880"/>
      <c r="AL83" s="880"/>
      <c r="AM83" s="880"/>
      <c r="AN83" s="880"/>
      <c r="AO83" s="880"/>
      <c r="AP83" s="880"/>
      <c r="AQ83" s="880"/>
    </row>
    <row r="84" spans="1:43" x14ac:dyDescent="0.2">
      <c r="A84" s="860"/>
      <c r="B84" s="861"/>
      <c r="D84" s="859">
        <f t="shared" ref="D84:AP84" si="85">D56</f>
        <v>39172</v>
      </c>
      <c r="E84" s="859">
        <f t="shared" si="85"/>
        <v>39263</v>
      </c>
      <c r="F84" s="859">
        <f t="shared" si="85"/>
        <v>39355</v>
      </c>
      <c r="G84" s="859">
        <f t="shared" si="85"/>
        <v>39447</v>
      </c>
      <c r="H84" s="859">
        <f t="shared" si="85"/>
        <v>39538</v>
      </c>
      <c r="I84" s="859">
        <f t="shared" si="85"/>
        <v>39629</v>
      </c>
      <c r="J84" s="859">
        <f t="shared" si="85"/>
        <v>39721</v>
      </c>
      <c r="K84" s="859">
        <f t="shared" si="85"/>
        <v>39813</v>
      </c>
      <c r="L84" s="859">
        <f t="shared" si="85"/>
        <v>39903</v>
      </c>
      <c r="M84" s="859">
        <f t="shared" si="85"/>
        <v>39994</v>
      </c>
      <c r="N84" s="859">
        <f t="shared" si="85"/>
        <v>40086</v>
      </c>
      <c r="O84" s="859">
        <f t="shared" si="85"/>
        <v>40178</v>
      </c>
      <c r="P84" s="859">
        <f t="shared" si="85"/>
        <v>40268</v>
      </c>
      <c r="Q84" s="859">
        <f t="shared" si="85"/>
        <v>40359</v>
      </c>
      <c r="R84" s="859">
        <f t="shared" si="85"/>
        <v>40451</v>
      </c>
      <c r="S84" s="859">
        <f t="shared" si="85"/>
        <v>40543</v>
      </c>
      <c r="T84" s="859">
        <f t="shared" si="85"/>
        <v>40633</v>
      </c>
      <c r="U84" s="859">
        <f t="shared" si="85"/>
        <v>40724</v>
      </c>
      <c r="V84" s="859">
        <f t="shared" si="85"/>
        <v>40816</v>
      </c>
      <c r="W84" s="859">
        <f t="shared" si="85"/>
        <v>40908</v>
      </c>
      <c r="X84" s="859">
        <f t="shared" si="85"/>
        <v>40999</v>
      </c>
      <c r="Y84" s="859">
        <f t="shared" si="85"/>
        <v>41090</v>
      </c>
      <c r="Z84" s="859">
        <f t="shared" si="85"/>
        <v>41182</v>
      </c>
      <c r="AA84" s="859">
        <f t="shared" si="85"/>
        <v>41273.25</v>
      </c>
      <c r="AB84" s="859">
        <f t="shared" si="85"/>
        <v>41364.25</v>
      </c>
      <c r="AC84" s="859">
        <f t="shared" si="85"/>
        <v>41455.25</v>
      </c>
      <c r="AD84" s="859">
        <f t="shared" si="85"/>
        <v>41547.25</v>
      </c>
      <c r="AE84" s="859">
        <f t="shared" si="85"/>
        <v>41639</v>
      </c>
      <c r="AF84" s="859">
        <f>AF56</f>
        <v>41729</v>
      </c>
      <c r="AG84" s="859">
        <f t="shared" si="85"/>
        <v>41820</v>
      </c>
      <c r="AH84" s="859">
        <f t="shared" si="85"/>
        <v>41912</v>
      </c>
      <c r="AI84" s="859">
        <f t="shared" si="85"/>
        <v>42004</v>
      </c>
      <c r="AJ84" s="859">
        <f t="shared" si="85"/>
        <v>42094</v>
      </c>
      <c r="AK84" s="859">
        <f t="shared" si="85"/>
        <v>42185</v>
      </c>
      <c r="AL84" s="859">
        <f t="shared" si="85"/>
        <v>42277</v>
      </c>
      <c r="AM84" s="859">
        <f t="shared" si="85"/>
        <v>42369</v>
      </c>
      <c r="AN84" s="859">
        <f t="shared" si="85"/>
        <v>42460</v>
      </c>
      <c r="AO84" s="859">
        <f t="shared" si="85"/>
        <v>42551</v>
      </c>
      <c r="AP84" s="859">
        <f t="shared" si="85"/>
        <v>42643</v>
      </c>
      <c r="AQ84" s="859">
        <f>AQ56</f>
        <v>42734.25</v>
      </c>
    </row>
    <row r="85" spans="1:43" x14ac:dyDescent="0.2">
      <c r="B85" s="863" t="str">
        <f>B78</f>
        <v>CAD/CAM</v>
      </c>
      <c r="C85" s="882"/>
      <c r="D85" s="882"/>
      <c r="E85" s="882"/>
      <c r="F85" s="882"/>
      <c r="G85" s="882"/>
      <c r="H85" s="882"/>
      <c r="I85" s="882"/>
      <c r="J85" s="882"/>
      <c r="K85" s="882"/>
      <c r="L85" s="882"/>
      <c r="M85" s="882"/>
      <c r="N85" s="882"/>
      <c r="O85" s="882"/>
      <c r="P85" s="882"/>
      <c r="Q85" s="882"/>
      <c r="R85" s="882"/>
      <c r="S85" s="882"/>
      <c r="T85" s="882"/>
      <c r="U85" s="882"/>
      <c r="V85" s="882"/>
      <c r="W85" s="882"/>
      <c r="X85" s="882"/>
      <c r="Y85" s="882"/>
      <c r="Z85" s="882"/>
      <c r="AA85" s="882"/>
      <c r="AB85" s="882"/>
      <c r="AC85" s="882"/>
      <c r="AD85" s="882"/>
      <c r="AE85" s="882"/>
      <c r="AF85" s="882">
        <f t="shared" ref="AF85:AL85" si="86">(AF103/2)/AB78</f>
        <v>9.4846739042925191E-2</v>
      </c>
      <c r="AG85" s="882">
        <f t="shared" si="86"/>
        <v>0.13354364342968536</v>
      </c>
      <c r="AH85" s="882">
        <f t="shared" si="86"/>
        <v>0.12083230543512455</v>
      </c>
      <c r="AI85" s="882">
        <f t="shared" si="86"/>
        <v>8.0217498993167852E-2</v>
      </c>
      <c r="AJ85" s="882">
        <f t="shared" si="86"/>
        <v>4.7254069989836597E-2</v>
      </c>
      <c r="AK85" s="882">
        <f t="shared" si="86"/>
        <v>0.1001313231198586</v>
      </c>
      <c r="AL85" s="882">
        <f t="shared" si="86"/>
        <v>9.7952684927332168E-2</v>
      </c>
      <c r="AM85" s="882">
        <f>(AM103/2)/AI78</f>
        <v>7.1365973694104398E-2</v>
      </c>
      <c r="AN85" s="882">
        <f>(AN103/2)/AJ78</f>
        <v>0.10652706560504199</v>
      </c>
      <c r="AO85" s="882">
        <f>(AO103/2)/AK78</f>
        <v>9.8616464249073138E-2</v>
      </c>
      <c r="AP85" s="894">
        <f>(AP103/2)/AL78</f>
        <v>8.3900765975910715E-2</v>
      </c>
      <c r="AQ85" s="894">
        <f>(AQ103/2)/AM78</f>
        <v>7.1810521318128595E-2</v>
      </c>
    </row>
    <row r="86" spans="1:43" x14ac:dyDescent="0.2">
      <c r="B86" s="865" t="str">
        <f>B79</f>
        <v>Imaging Systems</v>
      </c>
      <c r="C86" s="894"/>
      <c r="D86" s="894"/>
      <c r="E86" s="894"/>
      <c r="F86" s="894"/>
      <c r="G86" s="894"/>
      <c r="H86" s="894"/>
      <c r="I86" s="894"/>
      <c r="J86" s="894"/>
      <c r="K86" s="894"/>
      <c r="L86" s="894"/>
      <c r="M86" s="894"/>
      <c r="N86" s="894"/>
      <c r="O86" s="894"/>
      <c r="P86" s="894"/>
      <c r="Q86" s="894"/>
      <c r="R86" s="894"/>
      <c r="S86" s="894"/>
      <c r="T86" s="894"/>
      <c r="U86" s="894"/>
      <c r="V86" s="894"/>
      <c r="W86" s="894"/>
      <c r="X86" s="894"/>
      <c r="Y86" s="894"/>
      <c r="Z86" s="894"/>
      <c r="AA86" s="894"/>
      <c r="AB86" s="894"/>
      <c r="AC86" s="894"/>
      <c r="AD86" s="894"/>
      <c r="AE86" s="894"/>
      <c r="AF86" s="894">
        <f t="shared" ref="AF86:AL86" si="87">(AF105/2)/AB79</f>
        <v>0.14693976486740556</v>
      </c>
      <c r="AG86" s="894">
        <f t="shared" si="87"/>
        <v>0.12271679301389041</v>
      </c>
      <c r="AH86" s="894">
        <f t="shared" si="87"/>
        <v>9.9376902489835606E-2</v>
      </c>
      <c r="AI86" s="894">
        <f t="shared" si="87"/>
        <v>0.10502602656258411</v>
      </c>
      <c r="AJ86" s="894">
        <f t="shared" si="87"/>
        <v>0.1236821171023882</v>
      </c>
      <c r="AK86" s="894">
        <f t="shared" si="87"/>
        <v>4.5365368917682898E-2</v>
      </c>
      <c r="AL86" s="894">
        <f t="shared" si="87"/>
        <v>6.7654668564891982E-2</v>
      </c>
      <c r="AM86" s="894">
        <f>(AM105/2)/AI79</f>
        <v>4.5619464748524803E-2</v>
      </c>
      <c r="AN86" s="894">
        <f>(AN105/2)/AJ79</f>
        <v>5.5518694514404464E-2</v>
      </c>
      <c r="AO86" s="894">
        <f>(AO105/2)/AK79</f>
        <v>3.2227195057668127E-2</v>
      </c>
      <c r="AP86" s="894">
        <f>(AP105/2)/AL79</f>
        <v>4.0496675557585321E-2</v>
      </c>
      <c r="AQ86" s="894">
        <f>(AQ105/2)/AM79</f>
        <v>4.011189149143464E-2</v>
      </c>
    </row>
    <row r="87" spans="1:43" x14ac:dyDescent="0.2">
      <c r="B87" s="863" t="str">
        <f>B80</f>
        <v>Treatment Centers</v>
      </c>
      <c r="C87" s="882"/>
      <c r="D87" s="882"/>
      <c r="E87" s="882"/>
      <c r="F87" s="882"/>
      <c r="G87" s="882"/>
      <c r="H87" s="882"/>
      <c r="I87" s="882"/>
      <c r="J87" s="882"/>
      <c r="K87" s="882"/>
      <c r="L87" s="882"/>
      <c r="M87" s="882"/>
      <c r="N87" s="882"/>
      <c r="O87" s="882"/>
      <c r="P87" s="882"/>
      <c r="Q87" s="882"/>
      <c r="R87" s="882"/>
      <c r="S87" s="882"/>
      <c r="T87" s="882"/>
      <c r="U87" s="882"/>
      <c r="V87" s="882"/>
      <c r="W87" s="882"/>
      <c r="X87" s="882"/>
      <c r="Y87" s="882"/>
      <c r="Z87" s="882"/>
      <c r="AA87" s="882"/>
      <c r="AB87" s="882"/>
      <c r="AC87" s="882"/>
      <c r="AD87" s="882"/>
      <c r="AE87" s="882"/>
      <c r="AF87" s="882">
        <f t="shared" ref="AF87:AL87" si="88">(AF107/2)/AB80</f>
        <v>5.708133708961835E-2</v>
      </c>
      <c r="AG87" s="882">
        <f t="shared" si="88"/>
        <v>6.0287372670165158E-2</v>
      </c>
      <c r="AH87" s="882">
        <f t="shared" si="88"/>
        <v>6.4810129600105959E-2</v>
      </c>
      <c r="AI87" s="882">
        <f t="shared" si="88"/>
        <v>7.7116943486443143E-2</v>
      </c>
      <c r="AJ87" s="882">
        <f t="shared" si="88"/>
        <v>4.0763299737870594E-2</v>
      </c>
      <c r="AK87" s="882">
        <f t="shared" si="88"/>
        <v>6.4176744120839527E-2</v>
      </c>
      <c r="AL87" s="882">
        <f t="shared" si="88"/>
        <v>0.12199792556899901</v>
      </c>
      <c r="AM87" s="882">
        <f>(AM107/2)/AI80</f>
        <v>0.12144888671379052</v>
      </c>
      <c r="AN87" s="882">
        <f>(AN107/2)/AJ80</f>
        <v>5.4659978657831891E-2</v>
      </c>
      <c r="AO87" s="882">
        <f>(AO107/2)/AK80</f>
        <v>9.2601367059839096E-2</v>
      </c>
      <c r="AP87" s="894">
        <f>(AP107/2)/AL80</f>
        <v>7.152015908588745E-2</v>
      </c>
      <c r="AQ87" s="894">
        <f>(AQ107/2)/AM80</f>
        <v>4.6656430354157147E-2</v>
      </c>
    </row>
    <row r="88" spans="1:43" x14ac:dyDescent="0.2">
      <c r="B88" s="865" t="str">
        <f>B81</f>
        <v>Instruments</v>
      </c>
      <c r="C88" s="894"/>
      <c r="D88" s="894"/>
      <c r="E88" s="894"/>
      <c r="F88" s="894"/>
      <c r="G88" s="894"/>
      <c r="H88" s="894"/>
      <c r="I88" s="894"/>
      <c r="J88" s="894"/>
      <c r="K88" s="894"/>
      <c r="L88" s="894"/>
      <c r="M88" s="894"/>
      <c r="N88" s="894"/>
      <c r="O88" s="894"/>
      <c r="P88" s="894"/>
      <c r="Q88" s="894"/>
      <c r="R88" s="894"/>
      <c r="S88" s="894"/>
      <c r="T88" s="894"/>
      <c r="U88" s="894"/>
      <c r="V88" s="894"/>
      <c r="W88" s="894"/>
      <c r="X88" s="894"/>
      <c r="Y88" s="894"/>
      <c r="Z88" s="894"/>
      <c r="AA88" s="894"/>
      <c r="AB88" s="894"/>
      <c r="AC88" s="894"/>
      <c r="AD88" s="894"/>
      <c r="AE88" s="894"/>
      <c r="AF88" s="894">
        <f t="shared" ref="AF88:AL88" si="89">(AF109/2)/AB81</f>
        <v>0.25922572873748173</v>
      </c>
      <c r="AG88" s="894">
        <f t="shared" si="89"/>
        <v>8.3115913038352265E-2</v>
      </c>
      <c r="AH88" s="894">
        <f t="shared" si="89"/>
        <v>8.5869766261166006E-2</v>
      </c>
      <c r="AI88" s="894">
        <f t="shared" si="89"/>
        <v>0.22353214630009724</v>
      </c>
      <c r="AJ88" s="894">
        <f t="shared" si="89"/>
        <v>0.26145583485996959</v>
      </c>
      <c r="AK88" s="894">
        <f t="shared" si="89"/>
        <v>8.6169844551598165E-2</v>
      </c>
      <c r="AL88" s="894">
        <f t="shared" si="89"/>
        <v>0.16689920756926738</v>
      </c>
      <c r="AM88" s="894">
        <f>(AM109/2)/AI81</f>
        <v>0.10571490196737585</v>
      </c>
      <c r="AN88" s="894">
        <f>(AN109/2)/AJ81</f>
        <v>3.8930333940717474E-2</v>
      </c>
      <c r="AO88" s="894">
        <f>(AO109/2)/AK81</f>
        <v>6.8211855570019339E-2</v>
      </c>
      <c r="AP88" s="894">
        <f>(AP109/2)/AL81</f>
        <v>0.11227827402053936</v>
      </c>
      <c r="AQ88" s="894">
        <f>(AQ109/2)/AM81</f>
        <v>0.12033099313448251</v>
      </c>
    </row>
    <row r="89" spans="1:43" x14ac:dyDescent="0.2">
      <c r="B89" s="878" t="str">
        <f>B82</f>
        <v>Total Revenue</v>
      </c>
      <c r="C89" s="880"/>
      <c r="D89" s="880"/>
      <c r="E89" s="880"/>
      <c r="F89" s="880"/>
      <c r="G89" s="880"/>
      <c r="H89" s="880"/>
      <c r="I89" s="880"/>
      <c r="J89" s="880"/>
      <c r="K89" s="880"/>
      <c r="L89" s="883"/>
      <c r="M89" s="883"/>
      <c r="N89" s="883"/>
      <c r="O89" s="883"/>
      <c r="P89" s="883"/>
      <c r="Q89" s="883"/>
      <c r="R89" s="883"/>
      <c r="S89" s="883"/>
      <c r="T89" s="883"/>
      <c r="U89" s="883"/>
      <c r="V89" s="883"/>
      <c r="W89" s="884"/>
      <c r="X89" s="884"/>
      <c r="Y89" s="884"/>
      <c r="Z89" s="884"/>
      <c r="AA89" s="884"/>
      <c r="AB89" s="884"/>
      <c r="AC89" s="884"/>
      <c r="AD89" s="884"/>
      <c r="AE89" s="884"/>
      <c r="AF89" s="884">
        <f t="shared" ref="AF89:AL89" si="90">(AF111/2)/AB82</f>
        <v>0.14344323316849089</v>
      </c>
      <c r="AG89" s="884">
        <f t="shared" si="90"/>
        <v>9.323337936197941E-2</v>
      </c>
      <c r="AH89" s="884">
        <f t="shared" si="90"/>
        <v>7.7070961831129506E-2</v>
      </c>
      <c r="AI89" s="884">
        <f t="shared" si="90"/>
        <v>0.12137074442800426</v>
      </c>
      <c r="AJ89" s="884">
        <f t="shared" si="90"/>
        <v>0.11922088963565616</v>
      </c>
      <c r="AK89" s="884">
        <f t="shared" si="90"/>
        <v>6.8732031197864529E-2</v>
      </c>
      <c r="AL89" s="884">
        <f t="shared" si="90"/>
        <v>9.5592959482758602E-2</v>
      </c>
      <c r="AM89" s="884">
        <f>(AM111/2)/AI82</f>
        <v>7.50588361774744E-2</v>
      </c>
      <c r="AN89" s="884">
        <f>(AN111/2)/AJ82</f>
        <v>5.9986254886166948E-2</v>
      </c>
      <c r="AO89" s="884">
        <f>(AO111/2)/AK82</f>
        <v>6.0789401929160179E-2</v>
      </c>
      <c r="AP89" s="895">
        <f>(AP111/2)/AL82</f>
        <v>7.3391712373569215E-2</v>
      </c>
      <c r="AQ89" s="895">
        <f>(AQ111/2)/AM82</f>
        <v>5.4031345576216146E-2</v>
      </c>
    </row>
    <row r="90" spans="1:43" x14ac:dyDescent="0.2">
      <c r="B90" s="850"/>
      <c r="C90" s="880"/>
      <c r="D90" s="880"/>
      <c r="E90" s="880"/>
      <c r="F90" s="880"/>
      <c r="G90" s="880"/>
      <c r="H90" s="880"/>
      <c r="I90" s="880"/>
      <c r="J90" s="880"/>
      <c r="K90" s="880"/>
      <c r="L90" s="880"/>
      <c r="M90" s="880"/>
      <c r="N90" s="880"/>
      <c r="O90" s="880"/>
      <c r="P90" s="880"/>
      <c r="Q90" s="880"/>
      <c r="R90" s="880"/>
      <c r="S90" s="880"/>
      <c r="T90" s="880"/>
      <c r="U90" s="880"/>
      <c r="V90" s="880"/>
      <c r="W90" s="880"/>
      <c r="X90" s="880"/>
      <c r="Y90" s="880"/>
      <c r="Z90" s="880"/>
      <c r="AA90" s="880"/>
      <c r="AB90" s="880"/>
      <c r="AC90" s="880"/>
      <c r="AD90" s="880"/>
      <c r="AE90" s="880"/>
      <c r="AF90" s="880"/>
      <c r="AG90" s="850"/>
      <c r="AH90" s="850"/>
      <c r="AI90" s="850"/>
      <c r="AJ90" s="850"/>
      <c r="AK90" s="850"/>
      <c r="AL90" s="850"/>
      <c r="AM90" s="850"/>
      <c r="AN90" s="850"/>
      <c r="AO90" s="850"/>
      <c r="AP90" s="850"/>
      <c r="AQ90" s="850"/>
    </row>
    <row r="91" spans="1:43" ht="15.75" x14ac:dyDescent="0.2">
      <c r="B91" s="874" t="s">
        <v>453</v>
      </c>
      <c r="C91" s="850"/>
      <c r="D91" s="850"/>
      <c r="E91" s="850"/>
      <c r="F91" s="850"/>
      <c r="G91" s="850"/>
      <c r="H91" s="850"/>
      <c r="I91" s="850"/>
      <c r="J91" s="850"/>
      <c r="K91" s="850"/>
      <c r="L91" s="850"/>
      <c r="M91" s="850"/>
      <c r="N91" s="850"/>
      <c r="O91" s="850"/>
      <c r="P91" s="850"/>
      <c r="Q91" s="850"/>
      <c r="R91" s="850"/>
      <c r="S91" s="850"/>
      <c r="T91" s="850"/>
      <c r="U91" s="850"/>
      <c r="V91" s="850"/>
      <c r="W91" s="850"/>
      <c r="X91" s="850"/>
      <c r="Y91" s="850"/>
      <c r="Z91" s="850"/>
      <c r="AA91" s="850"/>
      <c r="AB91" s="850"/>
      <c r="AC91" s="850"/>
      <c r="AD91" s="850"/>
      <c r="AE91" s="850"/>
      <c r="AF91" s="850"/>
      <c r="AG91" s="850"/>
      <c r="AH91" s="850"/>
      <c r="AI91" s="850"/>
      <c r="AJ91" s="850"/>
      <c r="AK91" s="850"/>
      <c r="AL91" s="850"/>
      <c r="AM91" s="850"/>
      <c r="AN91" s="850"/>
      <c r="AO91" s="850"/>
      <c r="AP91" s="850"/>
      <c r="AQ91" s="850"/>
    </row>
    <row r="92" spans="1:43" x14ac:dyDescent="0.2">
      <c r="B92" s="861"/>
      <c r="C92" s="861"/>
      <c r="D92" s="859">
        <v>39172</v>
      </c>
      <c r="E92" s="859">
        <v>39263</v>
      </c>
      <c r="F92" s="859">
        <v>39355</v>
      </c>
      <c r="G92" s="859">
        <v>39447</v>
      </c>
      <c r="H92" s="859">
        <v>39538</v>
      </c>
      <c r="I92" s="859">
        <v>39629</v>
      </c>
      <c r="J92" s="859">
        <v>39721</v>
      </c>
      <c r="K92" s="859">
        <v>39813</v>
      </c>
      <c r="L92" s="859">
        <v>39903</v>
      </c>
      <c r="M92" s="859">
        <v>39994</v>
      </c>
      <c r="N92" s="859">
        <v>40086</v>
      </c>
      <c r="O92" s="859">
        <v>40178</v>
      </c>
      <c r="P92" s="859">
        <v>40268</v>
      </c>
      <c r="Q92" s="859">
        <v>40359</v>
      </c>
      <c r="R92" s="859">
        <v>40451</v>
      </c>
      <c r="S92" s="859">
        <v>40543</v>
      </c>
      <c r="T92" s="859">
        <v>40633</v>
      </c>
      <c r="U92" s="859">
        <v>40724</v>
      </c>
      <c r="V92" s="859">
        <v>40816</v>
      </c>
      <c r="W92" s="859">
        <v>40908</v>
      </c>
      <c r="X92" s="859">
        <v>40999</v>
      </c>
      <c r="Y92" s="859">
        <v>41090</v>
      </c>
      <c r="Z92" s="859">
        <v>41182</v>
      </c>
      <c r="AA92" s="859">
        <v>41273.25</v>
      </c>
      <c r="AB92" s="859">
        <v>41364.25</v>
      </c>
      <c r="AC92" s="859">
        <v>41455.25</v>
      </c>
      <c r="AD92" s="859">
        <v>41547.25</v>
      </c>
      <c r="AE92" s="859">
        <v>41639</v>
      </c>
      <c r="AF92" s="859">
        <v>41729</v>
      </c>
      <c r="AG92" s="859">
        <v>41820</v>
      </c>
      <c r="AH92" s="859">
        <v>41912</v>
      </c>
      <c r="AI92" s="859">
        <v>42004</v>
      </c>
      <c r="AJ92" s="859">
        <v>42094</v>
      </c>
      <c r="AK92" s="859">
        <v>42185</v>
      </c>
      <c r="AL92" s="859">
        <v>42277</v>
      </c>
      <c r="AM92" s="859">
        <v>42369</v>
      </c>
      <c r="AN92" s="859">
        <v>42460</v>
      </c>
      <c r="AO92" s="859">
        <v>42551</v>
      </c>
      <c r="AP92" s="859">
        <v>42643</v>
      </c>
      <c r="AQ92" s="859">
        <v>42734.25</v>
      </c>
    </row>
    <row r="93" spans="1:43" x14ac:dyDescent="0.2">
      <c r="B93" s="863" t="s">
        <v>409</v>
      </c>
      <c r="C93" s="850"/>
      <c r="D93" s="850"/>
      <c r="E93" s="850"/>
      <c r="F93" s="850"/>
      <c r="G93" s="881"/>
      <c r="H93" s="881"/>
      <c r="I93" s="881"/>
      <c r="J93" s="881"/>
      <c r="K93" s="881"/>
      <c r="L93" s="881"/>
      <c r="M93" s="881"/>
      <c r="N93" s="881"/>
      <c r="O93" s="881"/>
      <c r="P93" s="881"/>
      <c r="Q93" s="881"/>
      <c r="R93" s="881"/>
      <c r="S93" s="881"/>
      <c r="T93" s="881"/>
      <c r="U93" s="881"/>
      <c r="V93" s="881"/>
      <c r="W93" s="881"/>
      <c r="AB93" s="881">
        <v>19.678365299999999</v>
      </c>
      <c r="AC93" s="881">
        <v>21.456550637989995</v>
      </c>
      <c r="AD93" s="881">
        <v>29.670484897679998</v>
      </c>
      <c r="AE93" s="881">
        <v>11.7558215427</v>
      </c>
      <c r="AF93" s="881">
        <v>7.8744262119599995</v>
      </c>
      <c r="AG93" s="881">
        <v>5.9695372276976792</v>
      </c>
      <c r="AH93" s="881">
        <v>-5.2556424692553598</v>
      </c>
      <c r="AI93" s="881">
        <v>-2.2218502715703004</v>
      </c>
      <c r="AJ93" s="881">
        <v>3.1549510283445001</v>
      </c>
      <c r="AK93" s="881">
        <v>26.778499999999998</v>
      </c>
      <c r="AL93" s="881">
        <v>12.431203309932576</v>
      </c>
      <c r="AM93" s="881">
        <v>23.068413345775586</v>
      </c>
      <c r="AN93" s="881">
        <v>19.314392612695489</v>
      </c>
      <c r="AO93" s="881">
        <v>-1.2176020000000001</v>
      </c>
      <c r="AP93" s="881">
        <v>0</v>
      </c>
      <c r="AQ93" s="881">
        <v>0</v>
      </c>
    </row>
    <row r="94" spans="1:43" x14ac:dyDescent="0.2">
      <c r="B94" s="865" t="s">
        <v>408</v>
      </c>
      <c r="C94" s="891"/>
      <c r="D94" s="891"/>
      <c r="E94" s="891"/>
      <c r="F94" s="891"/>
      <c r="G94" s="892"/>
      <c r="H94" s="892"/>
      <c r="I94" s="892"/>
      <c r="J94" s="892"/>
      <c r="K94" s="892"/>
      <c r="L94" s="892"/>
      <c r="M94" s="892"/>
      <c r="N94" s="892"/>
      <c r="O94" s="892"/>
      <c r="P94" s="892"/>
      <c r="Q94" s="892"/>
      <c r="R94" s="892"/>
      <c r="S94" s="892"/>
      <c r="T94" s="892"/>
      <c r="U94" s="892"/>
      <c r="V94" s="892"/>
      <c r="W94" s="892"/>
      <c r="X94" s="892"/>
      <c r="AB94" s="892">
        <v>10.920231204287999</v>
      </c>
      <c r="AC94" s="892">
        <v>21.110975318891999</v>
      </c>
      <c r="AD94" s="892">
        <v>5.7209529295100001</v>
      </c>
      <c r="AE94" s="892">
        <v>33.223194775104005</v>
      </c>
      <c r="AF94" s="892">
        <v>5.0185885229999982</v>
      </c>
      <c r="AG94" s="892">
        <v>12.120635566744316</v>
      </c>
      <c r="AH94" s="892">
        <v>-0.29177396019342</v>
      </c>
      <c r="AI94" s="892">
        <v>5.8226695332906111</v>
      </c>
      <c r="AJ94" s="892">
        <v>-0.61477709406749992</v>
      </c>
      <c r="AK94" s="892">
        <v>3.2729999999999997</v>
      </c>
      <c r="AL94" s="892">
        <v>11.160062203438121</v>
      </c>
      <c r="AM94" s="892">
        <v>3.0253320494352569</v>
      </c>
      <c r="AN94" s="892">
        <v>9.6790505689987167</v>
      </c>
      <c r="AO94" s="892">
        <v>1.037541</v>
      </c>
      <c r="AP94" s="892">
        <v>0.59507392549115268</v>
      </c>
      <c r="AQ94" s="892">
        <v>2.1047667258213858</v>
      </c>
    </row>
    <row r="95" spans="1:43" x14ac:dyDescent="0.2">
      <c r="B95" s="863" t="s">
        <v>407</v>
      </c>
      <c r="C95" s="850"/>
      <c r="D95" s="850"/>
      <c r="E95" s="850"/>
      <c r="F95" s="850"/>
      <c r="G95" s="881"/>
      <c r="H95" s="881"/>
      <c r="I95" s="881"/>
      <c r="J95" s="881"/>
      <c r="K95" s="881"/>
      <c r="L95" s="881"/>
      <c r="M95" s="881"/>
      <c r="N95" s="881"/>
      <c r="O95" s="881"/>
      <c r="P95" s="881"/>
      <c r="Q95" s="881"/>
      <c r="R95" s="881"/>
      <c r="S95" s="881"/>
      <c r="T95" s="881"/>
      <c r="U95" s="881"/>
      <c r="V95" s="881"/>
      <c r="W95" s="881"/>
      <c r="X95" s="881"/>
      <c r="AB95" s="881">
        <v>9.0323872705599975</v>
      </c>
      <c r="AC95" s="881">
        <v>5.46988687128</v>
      </c>
      <c r="AD95" s="881">
        <v>-2.61953477023</v>
      </c>
      <c r="AE95" s="881">
        <v>1.196171891436</v>
      </c>
      <c r="AF95" s="881">
        <v>2.2387302589679998</v>
      </c>
      <c r="AG95" s="881">
        <v>-3.7662613732486401</v>
      </c>
      <c r="AH95" s="881">
        <v>13.573017800074719</v>
      </c>
      <c r="AI95" s="881">
        <v>4.6213404737251489</v>
      </c>
      <c r="AJ95" s="881">
        <v>1.2565283102285758</v>
      </c>
      <c r="AK95" s="881">
        <v>13.414400000000001</v>
      </c>
      <c r="AL95" s="881">
        <v>7.3232778126057827</v>
      </c>
      <c r="AM95" s="881">
        <v>0.70163365820553436</v>
      </c>
      <c r="AN95" s="881">
        <v>4.1848104222930802</v>
      </c>
      <c r="AO95" s="881">
        <v>1.0762240000000001</v>
      </c>
      <c r="AP95" s="881">
        <v>-4.7670157111799689</v>
      </c>
      <c r="AQ95" s="881">
        <v>5.8678162553927464</v>
      </c>
    </row>
    <row r="96" spans="1:43" x14ac:dyDescent="0.2">
      <c r="B96" s="865" t="s">
        <v>406</v>
      </c>
      <c r="C96" s="891"/>
      <c r="D96" s="891"/>
      <c r="E96" s="891"/>
      <c r="F96" s="891"/>
      <c r="G96" s="892"/>
      <c r="H96" s="892"/>
      <c r="I96" s="892"/>
      <c r="J96" s="892"/>
      <c r="K96" s="892"/>
      <c r="L96" s="892"/>
      <c r="M96" s="892"/>
      <c r="N96" s="892"/>
      <c r="O96" s="892"/>
      <c r="P96" s="892"/>
      <c r="Q96" s="892"/>
      <c r="R96" s="892"/>
      <c r="S96" s="892"/>
      <c r="T96" s="892"/>
      <c r="U96" s="892"/>
      <c r="V96" s="892"/>
      <c r="W96" s="892"/>
      <c r="X96" s="892"/>
      <c r="AB96" s="892">
        <v>0.9814191659999999</v>
      </c>
      <c r="AC96" s="892">
        <v>1.3253897386799998</v>
      </c>
      <c r="AD96" s="892">
        <v>0.50173060694999994</v>
      </c>
      <c r="AE96" s="892">
        <v>22.073906250929998</v>
      </c>
      <c r="AF96" s="892">
        <v>3.2758315121699995</v>
      </c>
      <c r="AG96" s="892">
        <v>3.1944000000000004</v>
      </c>
      <c r="AH96" s="892">
        <v>3.6684999999999999</v>
      </c>
      <c r="AI96" s="892">
        <v>3.0100667592113992</v>
      </c>
      <c r="AJ96" s="892">
        <v>1.7566075118050195</v>
      </c>
      <c r="AK96" s="892">
        <v>2.1722669811791242</v>
      </c>
      <c r="AL96" s="892">
        <v>10.016978400000001</v>
      </c>
      <c r="AM96" s="892">
        <v>-2.8216365800847658</v>
      </c>
      <c r="AN96" s="892">
        <v>2.054942820367315</v>
      </c>
      <c r="AO96" s="892">
        <v>1.3425816758676534</v>
      </c>
      <c r="AP96" s="892">
        <v>1.3230402240000001</v>
      </c>
      <c r="AQ96" s="892">
        <v>4.2416415938762624</v>
      </c>
    </row>
    <row r="97" spans="2:44" x14ac:dyDescent="0.2">
      <c r="B97" s="878" t="s">
        <v>214</v>
      </c>
      <c r="C97" s="850"/>
      <c r="D97" s="850"/>
      <c r="E97" s="850"/>
      <c r="F97" s="850"/>
      <c r="G97" s="880"/>
      <c r="H97" s="880"/>
      <c r="I97" s="880"/>
      <c r="J97" s="880"/>
      <c r="K97" s="880"/>
      <c r="L97" s="880"/>
      <c r="M97" s="880"/>
      <c r="N97" s="880"/>
      <c r="O97" s="880"/>
      <c r="P97" s="880"/>
      <c r="Q97" s="880"/>
      <c r="R97" s="880"/>
      <c r="S97" s="880"/>
      <c r="T97" s="880"/>
      <c r="U97" s="880"/>
      <c r="V97" s="880"/>
      <c r="W97" s="880"/>
      <c r="X97" s="880"/>
      <c r="AB97" s="880">
        <v>35.575029000000001</v>
      </c>
      <c r="AC97" s="880">
        <v>38.836148000000001</v>
      </c>
      <c r="AD97" s="880">
        <v>22.609532000000002</v>
      </c>
      <c r="AE97" s="880">
        <v>99.363900000000001</v>
      </c>
      <c r="AF97" s="880">
        <v>18.445494000000004</v>
      </c>
      <c r="AG97" s="880">
        <v>12.742064999999998</v>
      </c>
      <c r="AH97" s="880">
        <v>11.701368</v>
      </c>
      <c r="AI97" s="880">
        <v>11.351588</v>
      </c>
      <c r="AJ97" s="880">
        <v>5.6539999999999999</v>
      </c>
      <c r="AK97" s="880">
        <v>45.554399999999994</v>
      </c>
      <c r="AL97" s="880">
        <v>40.889999999999993</v>
      </c>
      <c r="AM97" s="880">
        <v>24.026</v>
      </c>
      <c r="AN97" s="880">
        <v>20.706265528843023</v>
      </c>
      <c r="AO97" s="880">
        <v>2.5158781932207148</v>
      </c>
      <c r="AP97" s="880">
        <v>0.5482542175843087</v>
      </c>
      <c r="AQ97" s="880">
        <v>0.28108707955550405</v>
      </c>
    </row>
    <row r="98" spans="2:44" x14ac:dyDescent="0.2">
      <c r="B98" s="891"/>
      <c r="C98" s="893"/>
      <c r="D98" s="893"/>
      <c r="E98" s="893"/>
      <c r="F98" s="893"/>
      <c r="G98" s="893"/>
      <c r="H98" s="893"/>
      <c r="I98" s="893"/>
      <c r="J98" s="893"/>
      <c r="K98" s="893"/>
      <c r="L98" s="893"/>
      <c r="M98" s="892"/>
      <c r="N98" s="892"/>
      <c r="O98" s="892"/>
      <c r="P98" s="892"/>
      <c r="Q98" s="892"/>
      <c r="R98" s="892"/>
      <c r="S98" s="892"/>
      <c r="T98" s="892"/>
      <c r="U98" s="892"/>
      <c r="V98" s="892"/>
      <c r="W98" s="892"/>
      <c r="X98" s="892"/>
      <c r="Y98" s="892"/>
      <c r="Z98" s="892"/>
      <c r="AA98" s="892"/>
      <c r="AB98" s="892"/>
      <c r="AC98" s="892"/>
      <c r="AD98" s="892"/>
      <c r="AE98" s="892"/>
      <c r="AF98" s="892"/>
      <c r="AG98" s="896"/>
      <c r="AH98" s="892"/>
      <c r="AI98" s="892"/>
      <c r="AJ98" s="892"/>
      <c r="AK98" s="892"/>
      <c r="AL98" s="892"/>
      <c r="AM98" s="892"/>
      <c r="AN98" s="892"/>
      <c r="AO98" s="892"/>
      <c r="AP98" s="892"/>
      <c r="AQ98" s="892"/>
    </row>
    <row r="99" spans="2:44" x14ac:dyDescent="0.2">
      <c r="B99" s="850"/>
      <c r="C99" s="880"/>
      <c r="D99" s="880"/>
      <c r="E99" s="880"/>
      <c r="F99" s="880"/>
      <c r="G99" s="880"/>
      <c r="H99" s="880"/>
      <c r="I99" s="880"/>
      <c r="J99" s="880"/>
      <c r="K99" s="880"/>
      <c r="L99" s="880"/>
      <c r="M99" s="885"/>
      <c r="N99" s="885"/>
      <c r="O99" s="885"/>
      <c r="P99" s="885"/>
      <c r="Q99" s="885"/>
      <c r="R99" s="885"/>
      <c r="S99" s="885"/>
      <c r="T99" s="885"/>
      <c r="U99" s="885"/>
      <c r="V99" s="885"/>
      <c r="W99" s="885"/>
      <c r="X99" s="885"/>
      <c r="Y99" s="885"/>
      <c r="Z99" s="885"/>
      <c r="AA99" s="885"/>
      <c r="AB99" s="885"/>
      <c r="AC99" s="885"/>
      <c r="AD99" s="885"/>
      <c r="AE99" s="885"/>
      <c r="AF99" s="885"/>
      <c r="AG99" s="881"/>
      <c r="AH99" s="881"/>
      <c r="AI99" s="881"/>
      <c r="AJ99" s="881"/>
      <c r="AK99" s="881"/>
      <c r="AL99" s="881"/>
      <c r="AM99" s="881"/>
      <c r="AN99" s="881"/>
      <c r="AO99" s="850"/>
      <c r="AP99" s="850"/>
      <c r="AQ99" s="850"/>
    </row>
    <row r="100" spans="2:44" ht="15.75" x14ac:dyDescent="0.2">
      <c r="B100" s="874" t="s">
        <v>452</v>
      </c>
      <c r="C100" s="850"/>
      <c r="D100" s="850"/>
      <c r="E100" s="850"/>
      <c r="F100" s="850"/>
      <c r="G100" s="850"/>
      <c r="H100" s="850"/>
      <c r="I100" s="850"/>
      <c r="J100" s="850"/>
      <c r="K100" s="850"/>
      <c r="L100" s="850"/>
      <c r="M100" s="850"/>
      <c r="N100" s="850"/>
      <c r="O100" s="850"/>
      <c r="P100" s="850"/>
      <c r="Q100" s="850"/>
      <c r="R100" s="850"/>
      <c r="S100" s="850"/>
      <c r="T100" s="850"/>
      <c r="U100" s="850"/>
      <c r="V100" s="850"/>
      <c r="W100" s="850"/>
      <c r="X100" s="850"/>
      <c r="Y100" s="850"/>
      <c r="Z100" s="850"/>
      <c r="AA100" s="850"/>
      <c r="AB100" s="850"/>
      <c r="AC100" s="850"/>
      <c r="AD100" s="850"/>
      <c r="AE100" s="850"/>
      <c r="AF100" s="850"/>
      <c r="AG100" s="850"/>
      <c r="AH100" s="850"/>
      <c r="AI100" s="850"/>
      <c r="AJ100" s="850"/>
      <c r="AK100" s="850"/>
      <c r="AL100" s="850"/>
      <c r="AM100" s="850"/>
      <c r="AN100" s="850"/>
      <c r="AO100" s="850"/>
      <c r="AP100" s="850"/>
      <c r="AQ100" s="850"/>
    </row>
    <row r="101" spans="2:44" x14ac:dyDescent="0.2">
      <c r="B101" s="861"/>
      <c r="C101" s="861"/>
      <c r="D101" s="859">
        <v>39172</v>
      </c>
      <c r="E101" s="859">
        <v>39263</v>
      </c>
      <c r="F101" s="859">
        <v>39355</v>
      </c>
      <c r="G101" s="859">
        <v>39447</v>
      </c>
      <c r="H101" s="859">
        <f t="shared" ref="H101:AL101" si="91">H92</f>
        <v>39538</v>
      </c>
      <c r="I101" s="859">
        <f t="shared" si="91"/>
        <v>39629</v>
      </c>
      <c r="J101" s="859">
        <f t="shared" si="91"/>
        <v>39721</v>
      </c>
      <c r="K101" s="859">
        <f t="shared" si="91"/>
        <v>39813</v>
      </c>
      <c r="L101" s="859">
        <f t="shared" si="91"/>
        <v>39903</v>
      </c>
      <c r="M101" s="859">
        <f t="shared" si="91"/>
        <v>39994</v>
      </c>
      <c r="N101" s="859">
        <f t="shared" si="91"/>
        <v>40086</v>
      </c>
      <c r="O101" s="859">
        <f t="shared" si="91"/>
        <v>40178</v>
      </c>
      <c r="P101" s="859">
        <f t="shared" si="91"/>
        <v>40268</v>
      </c>
      <c r="Q101" s="859">
        <f t="shared" si="91"/>
        <v>40359</v>
      </c>
      <c r="R101" s="859">
        <f t="shared" si="91"/>
        <v>40451</v>
      </c>
      <c r="S101" s="859">
        <f t="shared" si="91"/>
        <v>40543</v>
      </c>
      <c r="T101" s="859">
        <f t="shared" si="91"/>
        <v>40633</v>
      </c>
      <c r="U101" s="859">
        <f t="shared" si="91"/>
        <v>40724</v>
      </c>
      <c r="V101" s="859">
        <f t="shared" si="91"/>
        <v>40816</v>
      </c>
      <c r="W101" s="859">
        <f t="shared" si="91"/>
        <v>40908</v>
      </c>
      <c r="X101" s="859">
        <f t="shared" si="91"/>
        <v>40999</v>
      </c>
      <c r="Y101" s="859">
        <f t="shared" si="91"/>
        <v>41090</v>
      </c>
      <c r="Z101" s="859">
        <f>Z92</f>
        <v>41182</v>
      </c>
      <c r="AA101" s="859">
        <f t="shared" si="91"/>
        <v>41273.25</v>
      </c>
      <c r="AB101" s="859">
        <f t="shared" si="91"/>
        <v>41364.25</v>
      </c>
      <c r="AC101" s="859">
        <f t="shared" si="91"/>
        <v>41455.25</v>
      </c>
      <c r="AD101" s="859">
        <f t="shared" si="91"/>
        <v>41547.25</v>
      </c>
      <c r="AE101" s="859">
        <f t="shared" si="91"/>
        <v>41639</v>
      </c>
      <c r="AF101" s="859">
        <f>AF92</f>
        <v>41729</v>
      </c>
      <c r="AG101" s="859">
        <f t="shared" si="91"/>
        <v>41820</v>
      </c>
      <c r="AH101" s="859">
        <f t="shared" si="91"/>
        <v>41912</v>
      </c>
      <c r="AI101" s="859">
        <f t="shared" si="91"/>
        <v>42004</v>
      </c>
      <c r="AJ101" s="859">
        <f t="shared" si="91"/>
        <v>42094</v>
      </c>
      <c r="AK101" s="859">
        <f t="shared" si="91"/>
        <v>42185</v>
      </c>
      <c r="AL101" s="859">
        <f t="shared" si="91"/>
        <v>42277</v>
      </c>
      <c r="AM101" s="859">
        <f>AM92</f>
        <v>42369</v>
      </c>
      <c r="AN101" s="859">
        <f>AN92</f>
        <v>42460</v>
      </c>
      <c r="AO101" s="859">
        <f>AO92</f>
        <v>42551</v>
      </c>
      <c r="AP101" s="859">
        <f>AP92</f>
        <v>42643</v>
      </c>
      <c r="AQ101" s="859">
        <f>AQ92</f>
        <v>42734.25</v>
      </c>
      <c r="AR101" s="902"/>
    </row>
    <row r="102" spans="2:44" x14ac:dyDescent="0.2">
      <c r="B102" s="863" t="str">
        <f>B93</f>
        <v>CAD/CAM</v>
      </c>
      <c r="C102" s="850"/>
      <c r="D102" s="850"/>
      <c r="E102" s="850"/>
      <c r="F102" s="850"/>
      <c r="G102" s="881"/>
      <c r="H102" s="881"/>
      <c r="I102" s="881"/>
      <c r="J102" s="881"/>
      <c r="K102" s="881">
        <f t="shared" ref="K102:AQ102" si="92">K93+G93</f>
        <v>0</v>
      </c>
      <c r="L102" s="881">
        <f t="shared" si="92"/>
        <v>0</v>
      </c>
      <c r="M102" s="881">
        <f t="shared" si="92"/>
        <v>0</v>
      </c>
      <c r="N102" s="881">
        <f t="shared" si="92"/>
        <v>0</v>
      </c>
      <c r="O102" s="881">
        <f t="shared" si="92"/>
        <v>0</v>
      </c>
      <c r="P102" s="881">
        <f t="shared" si="92"/>
        <v>0</v>
      </c>
      <c r="Q102" s="881">
        <f t="shared" si="92"/>
        <v>0</v>
      </c>
      <c r="R102" s="881">
        <f t="shared" si="92"/>
        <v>0</v>
      </c>
      <c r="S102" s="881">
        <f t="shared" si="92"/>
        <v>0</v>
      </c>
      <c r="T102" s="881">
        <f t="shared" si="92"/>
        <v>0</v>
      </c>
      <c r="U102" s="881">
        <f t="shared" si="92"/>
        <v>0</v>
      </c>
      <c r="V102" s="881">
        <f t="shared" si="92"/>
        <v>0</v>
      </c>
      <c r="W102" s="881">
        <f t="shared" si="92"/>
        <v>0</v>
      </c>
      <c r="X102" s="881">
        <f t="shared" si="92"/>
        <v>0</v>
      </c>
      <c r="Y102" s="881">
        <f t="shared" si="92"/>
        <v>0</v>
      </c>
      <c r="Z102" s="881">
        <f t="shared" si="92"/>
        <v>0</v>
      </c>
      <c r="AA102" s="881">
        <f t="shared" si="92"/>
        <v>0</v>
      </c>
      <c r="AB102" s="881">
        <f t="shared" si="92"/>
        <v>19.678365299999999</v>
      </c>
      <c r="AC102" s="881">
        <f t="shared" si="92"/>
        <v>21.456550637989995</v>
      </c>
      <c r="AD102" s="881">
        <f t="shared" si="92"/>
        <v>29.670484897679998</v>
      </c>
      <c r="AE102" s="881">
        <f t="shared" si="92"/>
        <v>11.7558215427</v>
      </c>
      <c r="AF102" s="881">
        <f t="shared" si="92"/>
        <v>27.552791511959999</v>
      </c>
      <c r="AG102" s="881">
        <f t="shared" si="92"/>
        <v>27.426087865687673</v>
      </c>
      <c r="AH102" s="881">
        <f t="shared" si="92"/>
        <v>24.414842428424638</v>
      </c>
      <c r="AI102" s="881">
        <f t="shared" si="92"/>
        <v>9.5339712711296993</v>
      </c>
      <c r="AJ102" s="881">
        <f t="shared" si="92"/>
        <v>11.0293772403045</v>
      </c>
      <c r="AK102" s="881">
        <f t="shared" si="92"/>
        <v>32.748037227697679</v>
      </c>
      <c r="AL102" s="881">
        <f t="shared" si="92"/>
        <v>7.1755608406772158</v>
      </c>
      <c r="AM102" s="881">
        <f t="shared" si="92"/>
        <v>20.846563074205285</v>
      </c>
      <c r="AN102" s="881">
        <f t="shared" si="92"/>
        <v>22.469343641039988</v>
      </c>
      <c r="AO102" s="881">
        <f t="shared" si="92"/>
        <v>25.560897999999998</v>
      </c>
      <c r="AP102" s="892">
        <f t="shared" si="92"/>
        <v>12.431203309932576</v>
      </c>
      <c r="AQ102" s="892">
        <f t="shared" si="92"/>
        <v>23.068413345775586</v>
      </c>
      <c r="AR102" s="902"/>
    </row>
    <row r="103" spans="2:44" x14ac:dyDescent="0.2">
      <c r="B103" s="897" t="s">
        <v>451</v>
      </c>
      <c r="C103" s="891"/>
      <c r="D103" s="891"/>
      <c r="E103" s="891"/>
      <c r="F103" s="891"/>
      <c r="G103" s="891"/>
      <c r="H103" s="891"/>
      <c r="I103" s="891"/>
      <c r="J103" s="891"/>
      <c r="K103" s="891"/>
      <c r="L103" s="891"/>
      <c r="M103" s="892">
        <f t="shared" ref="M103:AQ103" si="93">AVERAGE(L102:M102)</f>
        <v>0</v>
      </c>
      <c r="N103" s="892">
        <f t="shared" si="93"/>
        <v>0</v>
      </c>
      <c r="O103" s="892">
        <f t="shared" si="93"/>
        <v>0</v>
      </c>
      <c r="P103" s="892">
        <f t="shared" si="93"/>
        <v>0</v>
      </c>
      <c r="Q103" s="892">
        <f t="shared" si="93"/>
        <v>0</v>
      </c>
      <c r="R103" s="892">
        <f t="shared" si="93"/>
        <v>0</v>
      </c>
      <c r="S103" s="892">
        <f t="shared" si="93"/>
        <v>0</v>
      </c>
      <c r="T103" s="892">
        <f t="shared" si="93"/>
        <v>0</v>
      </c>
      <c r="U103" s="892">
        <f t="shared" si="93"/>
        <v>0</v>
      </c>
      <c r="V103" s="892">
        <f t="shared" si="93"/>
        <v>0</v>
      </c>
      <c r="W103" s="892">
        <f t="shared" si="93"/>
        <v>0</v>
      </c>
      <c r="X103" s="892">
        <f t="shared" si="93"/>
        <v>0</v>
      </c>
      <c r="Y103" s="892">
        <f t="shared" si="93"/>
        <v>0</v>
      </c>
      <c r="Z103" s="892">
        <f t="shared" si="93"/>
        <v>0</v>
      </c>
      <c r="AA103" s="892">
        <f t="shared" si="93"/>
        <v>0</v>
      </c>
      <c r="AB103" s="892">
        <f t="shared" si="93"/>
        <v>9.8391826499999997</v>
      </c>
      <c r="AC103" s="892">
        <f t="shared" si="93"/>
        <v>20.567457968994997</v>
      </c>
      <c r="AD103" s="892">
        <f t="shared" si="93"/>
        <v>25.563517767834995</v>
      </c>
      <c r="AE103" s="892">
        <f t="shared" si="93"/>
        <v>20.713153220189998</v>
      </c>
      <c r="AF103" s="892">
        <f t="shared" si="93"/>
        <v>19.65430652733</v>
      </c>
      <c r="AG103" s="892">
        <f t="shared" si="93"/>
        <v>27.489439688823836</v>
      </c>
      <c r="AH103" s="892">
        <f t="shared" si="93"/>
        <v>25.920465147056156</v>
      </c>
      <c r="AI103" s="892">
        <f t="shared" si="93"/>
        <v>16.974406849777168</v>
      </c>
      <c r="AJ103" s="892">
        <f t="shared" si="93"/>
        <v>10.2816742557171</v>
      </c>
      <c r="AK103" s="892">
        <f t="shared" si="93"/>
        <v>21.888707234001089</v>
      </c>
      <c r="AL103" s="892">
        <f t="shared" si="93"/>
        <v>19.961799034187447</v>
      </c>
      <c r="AM103" s="892">
        <f t="shared" si="93"/>
        <v>14.01106195744125</v>
      </c>
      <c r="AN103" s="892">
        <f t="shared" si="93"/>
        <v>21.657953357622638</v>
      </c>
      <c r="AO103" s="892">
        <f t="shared" si="93"/>
        <v>24.015120820519993</v>
      </c>
      <c r="AP103" s="892">
        <f t="shared" si="93"/>
        <v>18.996050654966286</v>
      </c>
      <c r="AQ103" s="892">
        <f t="shared" si="93"/>
        <v>17.74980832785408</v>
      </c>
      <c r="AR103" s="902"/>
    </row>
    <row r="104" spans="2:44" x14ac:dyDescent="0.2">
      <c r="B104" s="863" t="str">
        <f>B94</f>
        <v>Imaging Systems</v>
      </c>
      <c r="C104" s="886"/>
      <c r="D104" s="886"/>
      <c r="E104" s="886"/>
      <c r="F104" s="886"/>
      <c r="G104" s="881"/>
      <c r="H104" s="881"/>
      <c r="I104" s="881"/>
      <c r="J104" s="881"/>
      <c r="K104" s="881">
        <f t="shared" ref="K104:AQ104" si="94">K94+G94</f>
        <v>0</v>
      </c>
      <c r="L104" s="881">
        <f t="shared" si="94"/>
        <v>0</v>
      </c>
      <c r="M104" s="881">
        <f t="shared" si="94"/>
        <v>0</v>
      </c>
      <c r="N104" s="881">
        <f t="shared" si="94"/>
        <v>0</v>
      </c>
      <c r="O104" s="881">
        <f t="shared" si="94"/>
        <v>0</v>
      </c>
      <c r="P104" s="881">
        <f t="shared" si="94"/>
        <v>0</v>
      </c>
      <c r="Q104" s="881">
        <f t="shared" si="94"/>
        <v>0</v>
      </c>
      <c r="R104" s="881">
        <f t="shared" si="94"/>
        <v>0</v>
      </c>
      <c r="S104" s="881">
        <f t="shared" si="94"/>
        <v>0</v>
      </c>
      <c r="T104" s="881">
        <f t="shared" si="94"/>
        <v>0</v>
      </c>
      <c r="U104" s="881">
        <f t="shared" si="94"/>
        <v>0</v>
      </c>
      <c r="V104" s="881">
        <f t="shared" si="94"/>
        <v>0</v>
      </c>
      <c r="W104" s="881">
        <f t="shared" si="94"/>
        <v>0</v>
      </c>
      <c r="X104" s="881">
        <f t="shared" si="94"/>
        <v>0</v>
      </c>
      <c r="Y104" s="881">
        <f t="shared" si="94"/>
        <v>0</v>
      </c>
      <c r="Z104" s="881">
        <f t="shared" si="94"/>
        <v>0</v>
      </c>
      <c r="AA104" s="881">
        <f t="shared" si="94"/>
        <v>0</v>
      </c>
      <c r="AB104" s="881">
        <f t="shared" si="94"/>
        <v>10.920231204287999</v>
      </c>
      <c r="AC104" s="881">
        <f t="shared" si="94"/>
        <v>21.110975318891999</v>
      </c>
      <c r="AD104" s="881">
        <f t="shared" si="94"/>
        <v>5.7209529295100001</v>
      </c>
      <c r="AE104" s="881">
        <f t="shared" si="94"/>
        <v>33.223194775104005</v>
      </c>
      <c r="AF104" s="881">
        <f t="shared" si="94"/>
        <v>15.938819727287997</v>
      </c>
      <c r="AG104" s="881">
        <f t="shared" si="94"/>
        <v>33.231610885636314</v>
      </c>
      <c r="AH104" s="881">
        <f t="shared" si="94"/>
        <v>5.4291789693165802</v>
      </c>
      <c r="AI104" s="881">
        <f t="shared" si="94"/>
        <v>39.045864308394613</v>
      </c>
      <c r="AJ104" s="881">
        <f t="shared" si="94"/>
        <v>4.4038114289324986</v>
      </c>
      <c r="AK104" s="881">
        <f t="shared" si="94"/>
        <v>15.393635566744315</v>
      </c>
      <c r="AL104" s="881">
        <f t="shared" si="94"/>
        <v>10.868288243244701</v>
      </c>
      <c r="AM104" s="881">
        <f t="shared" si="94"/>
        <v>8.8480015827258676</v>
      </c>
      <c r="AN104" s="881">
        <f t="shared" si="94"/>
        <v>9.0642734749312162</v>
      </c>
      <c r="AO104" s="881">
        <f t="shared" si="94"/>
        <v>4.3105409999999997</v>
      </c>
      <c r="AP104" s="892">
        <f t="shared" si="94"/>
        <v>11.755136128929275</v>
      </c>
      <c r="AQ104" s="892">
        <f t="shared" si="94"/>
        <v>5.1300987752566432</v>
      </c>
      <c r="AR104" s="902"/>
    </row>
    <row r="105" spans="2:44" x14ac:dyDescent="0.2">
      <c r="B105" s="897" t="s">
        <v>451</v>
      </c>
      <c r="C105" s="891"/>
      <c r="D105" s="891"/>
      <c r="E105" s="891"/>
      <c r="F105" s="891"/>
      <c r="G105" s="891"/>
      <c r="H105" s="891"/>
      <c r="I105" s="891"/>
      <c r="J105" s="891"/>
      <c r="K105" s="891"/>
      <c r="L105" s="891"/>
      <c r="M105" s="892">
        <f t="shared" ref="M105:AQ105" si="95">AVERAGE(L104:M104)</f>
        <v>0</v>
      </c>
      <c r="N105" s="892">
        <f t="shared" si="95"/>
        <v>0</v>
      </c>
      <c r="O105" s="892">
        <f t="shared" si="95"/>
        <v>0</v>
      </c>
      <c r="P105" s="892">
        <f t="shared" si="95"/>
        <v>0</v>
      </c>
      <c r="Q105" s="892">
        <f t="shared" si="95"/>
        <v>0</v>
      </c>
      <c r="R105" s="892">
        <f t="shared" si="95"/>
        <v>0</v>
      </c>
      <c r="S105" s="892">
        <f t="shared" si="95"/>
        <v>0</v>
      </c>
      <c r="T105" s="892">
        <f t="shared" si="95"/>
        <v>0</v>
      </c>
      <c r="U105" s="892">
        <f t="shared" si="95"/>
        <v>0</v>
      </c>
      <c r="V105" s="892">
        <f t="shared" si="95"/>
        <v>0</v>
      </c>
      <c r="W105" s="892">
        <f t="shared" si="95"/>
        <v>0</v>
      </c>
      <c r="X105" s="892">
        <f t="shared" si="95"/>
        <v>0</v>
      </c>
      <c r="Y105" s="892">
        <f t="shared" si="95"/>
        <v>0</v>
      </c>
      <c r="Z105" s="892">
        <f t="shared" si="95"/>
        <v>0</v>
      </c>
      <c r="AA105" s="892">
        <f t="shared" si="95"/>
        <v>0</v>
      </c>
      <c r="AB105" s="892">
        <f t="shared" si="95"/>
        <v>5.4601156021439996</v>
      </c>
      <c r="AC105" s="892">
        <f t="shared" si="95"/>
        <v>16.015603261589998</v>
      </c>
      <c r="AD105" s="892">
        <f t="shared" si="95"/>
        <v>13.415964124201</v>
      </c>
      <c r="AE105" s="892">
        <f t="shared" si="95"/>
        <v>19.472073852307002</v>
      </c>
      <c r="AF105" s="892">
        <f t="shared" si="95"/>
        <v>24.581007251196002</v>
      </c>
      <c r="AG105" s="892">
        <f t="shared" si="95"/>
        <v>24.585215306462157</v>
      </c>
      <c r="AH105" s="892">
        <f t="shared" si="95"/>
        <v>19.330394927476448</v>
      </c>
      <c r="AI105" s="892">
        <f t="shared" si="95"/>
        <v>22.237521638855597</v>
      </c>
      <c r="AJ105" s="892">
        <f t="shared" si="95"/>
        <v>21.724837868663556</v>
      </c>
      <c r="AK105" s="892">
        <f t="shared" si="95"/>
        <v>9.8987234978384073</v>
      </c>
      <c r="AL105" s="892">
        <f t="shared" si="95"/>
        <v>13.130961904994507</v>
      </c>
      <c r="AM105" s="892">
        <f t="shared" si="95"/>
        <v>9.8581449129852849</v>
      </c>
      <c r="AN105" s="892">
        <f t="shared" si="95"/>
        <v>8.9561375288285419</v>
      </c>
      <c r="AO105" s="892">
        <f t="shared" si="95"/>
        <v>6.6874072374656084</v>
      </c>
      <c r="AP105" s="892">
        <f t="shared" si="95"/>
        <v>8.0328385644646367</v>
      </c>
      <c r="AQ105" s="892">
        <f t="shared" si="95"/>
        <v>8.4426174520929589</v>
      </c>
      <c r="AR105" s="902"/>
    </row>
    <row r="106" spans="2:44" x14ac:dyDescent="0.2">
      <c r="B106" s="863" t="str">
        <f>B95</f>
        <v>Treatment Centers</v>
      </c>
      <c r="C106" s="850"/>
      <c r="D106" s="850"/>
      <c r="E106" s="850"/>
      <c r="F106" s="850"/>
      <c r="G106" s="881"/>
      <c r="H106" s="881"/>
      <c r="I106" s="881"/>
      <c r="J106" s="881"/>
      <c r="K106" s="881">
        <f t="shared" ref="K106:AQ106" si="96">K95+G95</f>
        <v>0</v>
      </c>
      <c r="L106" s="881">
        <f t="shared" si="96"/>
        <v>0</v>
      </c>
      <c r="M106" s="881">
        <f t="shared" si="96"/>
        <v>0</v>
      </c>
      <c r="N106" s="881">
        <f t="shared" si="96"/>
        <v>0</v>
      </c>
      <c r="O106" s="881">
        <f t="shared" si="96"/>
        <v>0</v>
      </c>
      <c r="P106" s="881">
        <f t="shared" si="96"/>
        <v>0</v>
      </c>
      <c r="Q106" s="881">
        <f t="shared" si="96"/>
        <v>0</v>
      </c>
      <c r="R106" s="881">
        <f t="shared" si="96"/>
        <v>0</v>
      </c>
      <c r="S106" s="881">
        <f t="shared" si="96"/>
        <v>0</v>
      </c>
      <c r="T106" s="881">
        <f t="shared" si="96"/>
        <v>0</v>
      </c>
      <c r="U106" s="881">
        <f t="shared" si="96"/>
        <v>0</v>
      </c>
      <c r="V106" s="881">
        <f t="shared" si="96"/>
        <v>0</v>
      </c>
      <c r="W106" s="881">
        <f t="shared" si="96"/>
        <v>0</v>
      </c>
      <c r="X106" s="881">
        <f t="shared" si="96"/>
        <v>0</v>
      </c>
      <c r="Y106" s="881">
        <f t="shared" si="96"/>
        <v>0</v>
      </c>
      <c r="Z106" s="881">
        <f t="shared" si="96"/>
        <v>0</v>
      </c>
      <c r="AA106" s="881">
        <f t="shared" si="96"/>
        <v>0</v>
      </c>
      <c r="AB106" s="881">
        <f t="shared" si="96"/>
        <v>9.0323872705599975</v>
      </c>
      <c r="AC106" s="881">
        <f t="shared" si="96"/>
        <v>5.46988687128</v>
      </c>
      <c r="AD106" s="881">
        <f t="shared" si="96"/>
        <v>-2.61953477023</v>
      </c>
      <c r="AE106" s="881">
        <f t="shared" si="96"/>
        <v>1.196171891436</v>
      </c>
      <c r="AF106" s="881">
        <f t="shared" si="96"/>
        <v>11.271117529527997</v>
      </c>
      <c r="AG106" s="881">
        <f t="shared" si="96"/>
        <v>1.7036254980313599</v>
      </c>
      <c r="AH106" s="881">
        <f t="shared" si="96"/>
        <v>10.953483029844719</v>
      </c>
      <c r="AI106" s="881">
        <f t="shared" si="96"/>
        <v>5.8175123651611491</v>
      </c>
      <c r="AJ106" s="881">
        <f t="shared" si="96"/>
        <v>3.4952585691965758</v>
      </c>
      <c r="AK106" s="881">
        <f t="shared" si="96"/>
        <v>9.6481386267513614</v>
      </c>
      <c r="AL106" s="881">
        <f t="shared" si="96"/>
        <v>20.896295612680504</v>
      </c>
      <c r="AM106" s="881">
        <f t="shared" si="96"/>
        <v>5.3229741319306836</v>
      </c>
      <c r="AN106" s="881">
        <f t="shared" si="96"/>
        <v>5.4413387325216558</v>
      </c>
      <c r="AO106" s="881">
        <f t="shared" si="96"/>
        <v>14.490624</v>
      </c>
      <c r="AP106" s="892">
        <f t="shared" si="96"/>
        <v>2.5562621014258138</v>
      </c>
      <c r="AQ106" s="892">
        <f t="shared" si="96"/>
        <v>6.5694499135982811</v>
      </c>
      <c r="AR106" s="902"/>
    </row>
    <row r="107" spans="2:44" x14ac:dyDescent="0.2">
      <c r="B107" s="897" t="s">
        <v>451</v>
      </c>
      <c r="C107" s="891"/>
      <c r="D107" s="891"/>
      <c r="E107" s="891"/>
      <c r="F107" s="891"/>
      <c r="G107" s="891"/>
      <c r="H107" s="891"/>
      <c r="I107" s="891"/>
      <c r="J107" s="891"/>
      <c r="K107" s="891"/>
      <c r="L107" s="891"/>
      <c r="M107" s="892">
        <f t="shared" ref="M107:AQ107" si="97">AVERAGE(L106:M106)</f>
        <v>0</v>
      </c>
      <c r="N107" s="892">
        <f t="shared" si="97"/>
        <v>0</v>
      </c>
      <c r="O107" s="892">
        <f t="shared" si="97"/>
        <v>0</v>
      </c>
      <c r="P107" s="892">
        <f t="shared" si="97"/>
        <v>0</v>
      </c>
      <c r="Q107" s="892">
        <f t="shared" si="97"/>
        <v>0</v>
      </c>
      <c r="R107" s="892">
        <f t="shared" si="97"/>
        <v>0</v>
      </c>
      <c r="S107" s="892">
        <f t="shared" si="97"/>
        <v>0</v>
      </c>
      <c r="T107" s="892">
        <f t="shared" si="97"/>
        <v>0</v>
      </c>
      <c r="U107" s="892">
        <f t="shared" si="97"/>
        <v>0</v>
      </c>
      <c r="V107" s="892">
        <f t="shared" si="97"/>
        <v>0</v>
      </c>
      <c r="W107" s="892">
        <f t="shared" si="97"/>
        <v>0</v>
      </c>
      <c r="X107" s="892">
        <f t="shared" si="97"/>
        <v>0</v>
      </c>
      <c r="Y107" s="892">
        <f t="shared" si="97"/>
        <v>0</v>
      </c>
      <c r="Z107" s="892">
        <f t="shared" si="97"/>
        <v>0</v>
      </c>
      <c r="AA107" s="892">
        <f t="shared" si="97"/>
        <v>0</v>
      </c>
      <c r="AB107" s="892">
        <f t="shared" si="97"/>
        <v>4.5161936352799987</v>
      </c>
      <c r="AC107" s="892">
        <f t="shared" si="97"/>
        <v>7.2511370709199987</v>
      </c>
      <c r="AD107" s="892">
        <f t="shared" si="97"/>
        <v>1.425176050525</v>
      </c>
      <c r="AE107" s="892">
        <f t="shared" si="97"/>
        <v>-0.71168143939700002</v>
      </c>
      <c r="AF107" s="892">
        <f t="shared" si="97"/>
        <v>6.2336447104819985</v>
      </c>
      <c r="AG107" s="892">
        <f t="shared" si="97"/>
        <v>6.4873715137796779</v>
      </c>
      <c r="AH107" s="892">
        <f t="shared" si="97"/>
        <v>6.3285542639380399</v>
      </c>
      <c r="AI107" s="892">
        <f t="shared" si="97"/>
        <v>8.3854976975029345</v>
      </c>
      <c r="AJ107" s="892">
        <f t="shared" si="97"/>
        <v>4.6563854671788629</v>
      </c>
      <c r="AK107" s="892">
        <f t="shared" si="97"/>
        <v>6.5716985979739686</v>
      </c>
      <c r="AL107" s="892">
        <f t="shared" si="97"/>
        <v>15.272217119715933</v>
      </c>
      <c r="AM107" s="892">
        <f t="shared" si="97"/>
        <v>13.109634872305595</v>
      </c>
      <c r="AN107" s="892">
        <f t="shared" si="97"/>
        <v>5.3821564322261697</v>
      </c>
      <c r="AO107" s="892">
        <f t="shared" si="97"/>
        <v>9.9659813662608272</v>
      </c>
      <c r="AP107" s="892">
        <f t="shared" si="97"/>
        <v>8.5234430507129062</v>
      </c>
      <c r="AQ107" s="892">
        <f t="shared" si="97"/>
        <v>4.5628560075120479</v>
      </c>
      <c r="AR107" s="902"/>
    </row>
    <row r="108" spans="2:44" x14ac:dyDescent="0.2">
      <c r="B108" s="863" t="str">
        <f>B96</f>
        <v>Instruments</v>
      </c>
      <c r="C108" s="886"/>
      <c r="D108" s="886"/>
      <c r="E108" s="886"/>
      <c r="F108" s="886"/>
      <c r="G108" s="881"/>
      <c r="H108" s="881"/>
      <c r="I108" s="881"/>
      <c r="J108" s="881"/>
      <c r="K108" s="881">
        <f t="shared" ref="K108:AQ108" si="98">K96+G96</f>
        <v>0</v>
      </c>
      <c r="L108" s="881">
        <f t="shared" si="98"/>
        <v>0</v>
      </c>
      <c r="M108" s="881">
        <f t="shared" si="98"/>
        <v>0</v>
      </c>
      <c r="N108" s="881">
        <f t="shared" si="98"/>
        <v>0</v>
      </c>
      <c r="O108" s="881">
        <f t="shared" si="98"/>
        <v>0</v>
      </c>
      <c r="P108" s="881">
        <f t="shared" si="98"/>
        <v>0</v>
      </c>
      <c r="Q108" s="881">
        <f t="shared" si="98"/>
        <v>0</v>
      </c>
      <c r="R108" s="881">
        <f t="shared" si="98"/>
        <v>0</v>
      </c>
      <c r="S108" s="881">
        <f t="shared" si="98"/>
        <v>0</v>
      </c>
      <c r="T108" s="881">
        <f t="shared" si="98"/>
        <v>0</v>
      </c>
      <c r="U108" s="881">
        <f t="shared" si="98"/>
        <v>0</v>
      </c>
      <c r="V108" s="881">
        <f t="shared" si="98"/>
        <v>0</v>
      </c>
      <c r="W108" s="881">
        <f t="shared" si="98"/>
        <v>0</v>
      </c>
      <c r="X108" s="881">
        <f t="shared" si="98"/>
        <v>0</v>
      </c>
      <c r="Y108" s="881">
        <f t="shared" si="98"/>
        <v>0</v>
      </c>
      <c r="Z108" s="881">
        <f t="shared" si="98"/>
        <v>0</v>
      </c>
      <c r="AA108" s="881">
        <f t="shared" si="98"/>
        <v>0</v>
      </c>
      <c r="AB108" s="881">
        <f t="shared" si="98"/>
        <v>0.9814191659999999</v>
      </c>
      <c r="AC108" s="881">
        <f t="shared" si="98"/>
        <v>1.3253897386799998</v>
      </c>
      <c r="AD108" s="881">
        <f t="shared" si="98"/>
        <v>0.50173060694999994</v>
      </c>
      <c r="AE108" s="881">
        <f t="shared" si="98"/>
        <v>22.073906250929998</v>
      </c>
      <c r="AF108" s="881">
        <f t="shared" si="98"/>
        <v>4.2572506781699992</v>
      </c>
      <c r="AG108" s="881">
        <f t="shared" si="98"/>
        <v>4.5197897386800001</v>
      </c>
      <c r="AH108" s="881">
        <f t="shared" si="98"/>
        <v>4.1702306069499997</v>
      </c>
      <c r="AI108" s="881">
        <f t="shared" si="98"/>
        <v>25.083973010141396</v>
      </c>
      <c r="AJ108" s="881">
        <f t="shared" si="98"/>
        <v>5.0324390239750194</v>
      </c>
      <c r="AK108" s="881">
        <f t="shared" si="98"/>
        <v>5.3666669811791241</v>
      </c>
      <c r="AL108" s="881">
        <f t="shared" si="98"/>
        <v>13.685478400000001</v>
      </c>
      <c r="AM108" s="881">
        <f t="shared" si="98"/>
        <v>0.1884301791266334</v>
      </c>
      <c r="AN108" s="881">
        <f t="shared" si="98"/>
        <v>3.8115503321723345</v>
      </c>
      <c r="AO108" s="881">
        <f t="shared" si="98"/>
        <v>3.5148486570467776</v>
      </c>
      <c r="AP108" s="892">
        <f t="shared" si="98"/>
        <v>11.340018624000001</v>
      </c>
      <c r="AQ108" s="892">
        <f t="shared" si="98"/>
        <v>1.4200050137914966</v>
      </c>
      <c r="AR108" s="902"/>
    </row>
    <row r="109" spans="2:44" x14ac:dyDescent="0.2">
      <c r="B109" s="897" t="s">
        <v>451</v>
      </c>
      <c r="C109" s="891"/>
      <c r="D109" s="891"/>
      <c r="E109" s="891"/>
      <c r="F109" s="891"/>
      <c r="G109" s="891"/>
      <c r="H109" s="891"/>
      <c r="I109" s="891"/>
      <c r="J109" s="891"/>
      <c r="K109" s="891"/>
      <c r="L109" s="891"/>
      <c r="M109" s="892">
        <f t="shared" ref="M109:AQ109" si="99">AVERAGE(L108:M108)</f>
        <v>0</v>
      </c>
      <c r="N109" s="892">
        <f t="shared" si="99"/>
        <v>0</v>
      </c>
      <c r="O109" s="892">
        <f t="shared" si="99"/>
        <v>0</v>
      </c>
      <c r="P109" s="892">
        <f t="shared" si="99"/>
        <v>0</v>
      </c>
      <c r="Q109" s="892">
        <f t="shared" si="99"/>
        <v>0</v>
      </c>
      <c r="R109" s="892">
        <f t="shared" si="99"/>
        <v>0</v>
      </c>
      <c r="S109" s="892">
        <f t="shared" si="99"/>
        <v>0</v>
      </c>
      <c r="T109" s="892">
        <f t="shared" si="99"/>
        <v>0</v>
      </c>
      <c r="U109" s="892">
        <f t="shared" si="99"/>
        <v>0</v>
      </c>
      <c r="V109" s="892">
        <f t="shared" si="99"/>
        <v>0</v>
      </c>
      <c r="W109" s="892">
        <f t="shared" si="99"/>
        <v>0</v>
      </c>
      <c r="X109" s="892">
        <f t="shared" si="99"/>
        <v>0</v>
      </c>
      <c r="Y109" s="892">
        <f t="shared" si="99"/>
        <v>0</v>
      </c>
      <c r="Z109" s="892">
        <f t="shared" si="99"/>
        <v>0</v>
      </c>
      <c r="AA109" s="892">
        <f t="shared" si="99"/>
        <v>0</v>
      </c>
      <c r="AB109" s="892">
        <f t="shared" si="99"/>
        <v>0.49070958299999995</v>
      </c>
      <c r="AC109" s="892">
        <f t="shared" si="99"/>
        <v>1.1534044523399998</v>
      </c>
      <c r="AD109" s="892">
        <f t="shared" si="99"/>
        <v>0.91356017281499979</v>
      </c>
      <c r="AE109" s="892">
        <f t="shared" si="99"/>
        <v>11.28781842894</v>
      </c>
      <c r="AF109" s="892">
        <f t="shared" si="99"/>
        <v>13.165578464549998</v>
      </c>
      <c r="AG109" s="892">
        <f t="shared" si="99"/>
        <v>4.3885202084249997</v>
      </c>
      <c r="AH109" s="892">
        <f t="shared" si="99"/>
        <v>4.3450101728149999</v>
      </c>
      <c r="AI109" s="892">
        <f t="shared" si="99"/>
        <v>14.627101808545698</v>
      </c>
      <c r="AJ109" s="892">
        <f t="shared" si="99"/>
        <v>15.058206017058207</v>
      </c>
      <c r="AK109" s="892">
        <f t="shared" si="99"/>
        <v>5.1995530025770718</v>
      </c>
      <c r="AL109" s="892">
        <f t="shared" si="99"/>
        <v>9.5260726905895616</v>
      </c>
      <c r="AM109" s="892">
        <f t="shared" si="99"/>
        <v>6.9369542895633174</v>
      </c>
      <c r="AN109" s="892">
        <f t="shared" si="99"/>
        <v>1.999990255649484</v>
      </c>
      <c r="AO109" s="892">
        <f t="shared" si="99"/>
        <v>3.6631994946095561</v>
      </c>
      <c r="AP109" s="892">
        <f t="shared" si="99"/>
        <v>7.4274336405233896</v>
      </c>
      <c r="AQ109" s="892">
        <f t="shared" si="99"/>
        <v>6.3800118188957491</v>
      </c>
      <c r="AR109" s="902"/>
    </row>
    <row r="110" spans="2:44" x14ac:dyDescent="0.2">
      <c r="B110" s="878" t="str">
        <f>B97</f>
        <v>Total Revenue</v>
      </c>
      <c r="C110" s="850"/>
      <c r="D110" s="850"/>
      <c r="E110" s="850"/>
      <c r="F110" s="850"/>
      <c r="G110" s="880"/>
      <c r="H110" s="880"/>
      <c r="I110" s="880"/>
      <c r="J110" s="880"/>
      <c r="K110" s="880">
        <f t="shared" ref="K110:AQ110" si="100">K97+G97</f>
        <v>0</v>
      </c>
      <c r="L110" s="880">
        <f t="shared" si="100"/>
        <v>0</v>
      </c>
      <c r="M110" s="880">
        <f t="shared" si="100"/>
        <v>0</v>
      </c>
      <c r="N110" s="880">
        <f t="shared" si="100"/>
        <v>0</v>
      </c>
      <c r="O110" s="880">
        <f t="shared" si="100"/>
        <v>0</v>
      </c>
      <c r="P110" s="880">
        <f t="shared" si="100"/>
        <v>0</v>
      </c>
      <c r="Q110" s="880">
        <f t="shared" si="100"/>
        <v>0</v>
      </c>
      <c r="R110" s="880">
        <f t="shared" si="100"/>
        <v>0</v>
      </c>
      <c r="S110" s="880">
        <f t="shared" si="100"/>
        <v>0</v>
      </c>
      <c r="T110" s="880">
        <f t="shared" si="100"/>
        <v>0</v>
      </c>
      <c r="U110" s="880">
        <f t="shared" si="100"/>
        <v>0</v>
      </c>
      <c r="V110" s="880">
        <f t="shared" si="100"/>
        <v>0</v>
      </c>
      <c r="W110" s="880">
        <f t="shared" si="100"/>
        <v>0</v>
      </c>
      <c r="X110" s="880">
        <f t="shared" si="100"/>
        <v>0</v>
      </c>
      <c r="Y110" s="880">
        <f t="shared" si="100"/>
        <v>0</v>
      </c>
      <c r="Z110" s="880">
        <f t="shared" si="100"/>
        <v>0</v>
      </c>
      <c r="AA110" s="880">
        <f t="shared" si="100"/>
        <v>0</v>
      </c>
      <c r="AB110" s="880">
        <f t="shared" si="100"/>
        <v>35.575029000000001</v>
      </c>
      <c r="AC110" s="880">
        <f t="shared" si="100"/>
        <v>38.836148000000001</v>
      </c>
      <c r="AD110" s="880">
        <f t="shared" si="100"/>
        <v>22.609532000000002</v>
      </c>
      <c r="AE110" s="880">
        <f t="shared" si="100"/>
        <v>99.363900000000001</v>
      </c>
      <c r="AF110" s="880">
        <f t="shared" si="100"/>
        <v>54.020523000000004</v>
      </c>
      <c r="AG110" s="880">
        <f t="shared" si="100"/>
        <v>51.578212999999998</v>
      </c>
      <c r="AH110" s="880">
        <f t="shared" si="100"/>
        <v>34.310900000000004</v>
      </c>
      <c r="AI110" s="880">
        <f t="shared" si="100"/>
        <v>110.71548799999999</v>
      </c>
      <c r="AJ110" s="880">
        <f t="shared" si="100"/>
        <v>24.099494000000004</v>
      </c>
      <c r="AK110" s="880">
        <f t="shared" si="100"/>
        <v>58.296464999999991</v>
      </c>
      <c r="AL110" s="880">
        <f t="shared" si="100"/>
        <v>52.591367999999996</v>
      </c>
      <c r="AM110" s="880">
        <f t="shared" si="100"/>
        <v>35.377588000000003</v>
      </c>
      <c r="AN110" s="880">
        <f t="shared" si="100"/>
        <v>26.360265528843023</v>
      </c>
      <c r="AO110" s="880">
        <f t="shared" si="100"/>
        <v>48.070278193220709</v>
      </c>
      <c r="AP110" s="893">
        <f t="shared" si="100"/>
        <v>41.438254217584301</v>
      </c>
      <c r="AQ110" s="893">
        <f t="shared" si="100"/>
        <v>24.307087079555505</v>
      </c>
      <c r="AR110" s="902"/>
    </row>
    <row r="111" spans="2:44" x14ac:dyDescent="0.2">
      <c r="B111" s="897" t="s">
        <v>451</v>
      </c>
      <c r="C111" s="891"/>
      <c r="D111" s="891"/>
      <c r="E111" s="891"/>
      <c r="F111" s="891"/>
      <c r="G111" s="891"/>
      <c r="H111" s="891"/>
      <c r="I111" s="891"/>
      <c r="J111" s="891"/>
      <c r="K111" s="891"/>
      <c r="L111" s="891"/>
      <c r="M111" s="892">
        <f t="shared" ref="M111:AQ111" si="101">AVERAGE(L110:M110)</f>
        <v>0</v>
      </c>
      <c r="N111" s="892">
        <f t="shared" si="101"/>
        <v>0</v>
      </c>
      <c r="O111" s="892">
        <f t="shared" si="101"/>
        <v>0</v>
      </c>
      <c r="P111" s="892">
        <f t="shared" si="101"/>
        <v>0</v>
      </c>
      <c r="Q111" s="892">
        <f t="shared" si="101"/>
        <v>0</v>
      </c>
      <c r="R111" s="892">
        <f t="shared" si="101"/>
        <v>0</v>
      </c>
      <c r="S111" s="892">
        <f t="shared" si="101"/>
        <v>0</v>
      </c>
      <c r="T111" s="892">
        <f t="shared" si="101"/>
        <v>0</v>
      </c>
      <c r="U111" s="892">
        <f t="shared" si="101"/>
        <v>0</v>
      </c>
      <c r="V111" s="892">
        <f t="shared" si="101"/>
        <v>0</v>
      </c>
      <c r="W111" s="892">
        <f t="shared" si="101"/>
        <v>0</v>
      </c>
      <c r="X111" s="892">
        <f t="shared" si="101"/>
        <v>0</v>
      </c>
      <c r="Y111" s="892">
        <f t="shared" si="101"/>
        <v>0</v>
      </c>
      <c r="Z111" s="892">
        <f t="shared" si="101"/>
        <v>0</v>
      </c>
      <c r="AA111" s="892">
        <f t="shared" si="101"/>
        <v>0</v>
      </c>
      <c r="AB111" s="892">
        <f t="shared" si="101"/>
        <v>17.7875145</v>
      </c>
      <c r="AC111" s="892">
        <f t="shared" si="101"/>
        <v>37.205588500000005</v>
      </c>
      <c r="AD111" s="892">
        <f t="shared" si="101"/>
        <v>30.722840000000001</v>
      </c>
      <c r="AE111" s="892">
        <f t="shared" si="101"/>
        <v>60.986716000000001</v>
      </c>
      <c r="AF111" s="892">
        <f t="shared" si="101"/>
        <v>76.692211499999999</v>
      </c>
      <c r="AG111" s="892">
        <f t="shared" si="101"/>
        <v>52.799368000000001</v>
      </c>
      <c r="AH111" s="892">
        <f t="shared" si="101"/>
        <v>42.944556500000004</v>
      </c>
      <c r="AI111" s="892">
        <f t="shared" si="101"/>
        <v>72.513193999999999</v>
      </c>
      <c r="AJ111" s="892">
        <f t="shared" si="101"/>
        <v>67.407490999999993</v>
      </c>
      <c r="AK111" s="892">
        <f t="shared" si="101"/>
        <v>41.197979499999995</v>
      </c>
      <c r="AL111" s="892">
        <f t="shared" si="101"/>
        <v>55.443916499999993</v>
      </c>
      <c r="AM111" s="892">
        <f t="shared" si="101"/>
        <v>43.984477999999996</v>
      </c>
      <c r="AN111" s="892">
        <f t="shared" si="101"/>
        <v>30.868926764421513</v>
      </c>
      <c r="AO111" s="892">
        <f t="shared" si="101"/>
        <v>37.215271861031866</v>
      </c>
      <c r="AP111" s="892">
        <f t="shared" si="101"/>
        <v>44.754266205402502</v>
      </c>
      <c r="AQ111" s="892">
        <f t="shared" si="101"/>
        <v>32.872670648569901</v>
      </c>
      <c r="AR111" s="902"/>
    </row>
    <row r="112" spans="2:44" x14ac:dyDescent="0.2">
      <c r="B112" s="850"/>
      <c r="C112" s="850"/>
      <c r="D112" s="850"/>
      <c r="E112" s="850"/>
      <c r="F112" s="850"/>
      <c r="G112" s="850"/>
      <c r="H112" s="850"/>
      <c r="I112" s="850"/>
      <c r="J112" s="850"/>
      <c r="K112" s="850"/>
      <c r="L112" s="850"/>
      <c r="M112" s="850"/>
      <c r="N112" s="850"/>
      <c r="O112" s="850"/>
      <c r="P112" s="850"/>
      <c r="Q112" s="850"/>
      <c r="R112" s="850"/>
      <c r="S112" s="850"/>
      <c r="T112" s="850"/>
      <c r="U112" s="850"/>
      <c r="V112" s="850"/>
      <c r="W112" s="850"/>
      <c r="X112" s="850"/>
      <c r="Y112" s="850"/>
      <c r="Z112" s="850"/>
      <c r="AA112" s="850"/>
      <c r="AB112" s="850"/>
      <c r="AC112" s="850"/>
      <c r="AD112" s="850"/>
      <c r="AE112" s="850"/>
      <c r="AF112" s="850"/>
      <c r="AG112" s="850"/>
      <c r="AH112" s="850"/>
      <c r="AI112" s="850"/>
      <c r="AJ112" s="850"/>
      <c r="AK112" s="850"/>
      <c r="AL112" s="850"/>
      <c r="AM112" s="850"/>
      <c r="AN112" s="850"/>
      <c r="AO112" s="850"/>
      <c r="AP112" s="850"/>
      <c r="AQ112" s="850"/>
      <c r="AR112" s="902"/>
    </row>
    <row r="113" spans="1:44" x14ac:dyDescent="0.2">
      <c r="B113" s="865" t="s">
        <v>1</v>
      </c>
      <c r="C113" s="866"/>
      <c r="D113" s="866"/>
      <c r="E113" s="866"/>
      <c r="F113" s="866"/>
      <c r="G113" s="866">
        <v>8.4777716119657287E-2</v>
      </c>
      <c r="H113" s="866">
        <v>0.10766027382664758</v>
      </c>
      <c r="I113" s="866">
        <v>0.11537703529651484</v>
      </c>
      <c r="J113" s="866">
        <v>6.6976874357230709E-2</v>
      </c>
      <c r="K113" s="866">
        <v>-5.7871008365566176E-2</v>
      </c>
      <c r="L113" s="866">
        <v>-8.504787264925244E-2</v>
      </c>
      <c r="M113" s="866">
        <v>-9.6011276465994E-2</v>
      </c>
      <c r="N113" s="866">
        <v>-4.2113240977597874E-2</v>
      </c>
      <c r="O113" s="866">
        <v>8.6313847574852151E-2</v>
      </c>
      <c r="P113" s="866">
        <v>4.3583866231449706E-2</v>
      </c>
      <c r="Q113" s="866">
        <v>-4.9821685679477257E-2</v>
      </c>
      <c r="R113" s="866">
        <v>-7.7017069580328348E-2</v>
      </c>
      <c r="S113" s="866">
        <v>-6.1069038231474332E-2</v>
      </c>
      <c r="T113" s="866">
        <v>-1.0613666007489475E-2</v>
      </c>
      <c r="U113" s="866">
        <v>0.10134789330000338</v>
      </c>
      <c r="V113" s="866">
        <v>7.8272259553086587E-2</v>
      </c>
      <c r="W113" s="866">
        <v>-6.6451032480924349E-3</v>
      </c>
      <c r="X113" s="866">
        <v>-3.1241970410315748E-2</v>
      </c>
      <c r="Y113" s="866">
        <v>-8.0948726122459014E-2</v>
      </c>
      <c r="Z113" s="866">
        <v>-0.10343605259669911</v>
      </c>
      <c r="AA113" s="866">
        <v>-2.16450433138589E-2</v>
      </c>
      <c r="AB113" s="866">
        <v>-1.4056895421453913E-2</v>
      </c>
      <c r="AC113" s="866">
        <v>-1.29635960943279E-2</v>
      </c>
      <c r="AD113" s="866">
        <v>-1.2708381171067762E-2</v>
      </c>
      <c r="AE113" s="866">
        <v>-3.3714629741118662E-3</v>
      </c>
      <c r="AF113" s="866">
        <v>-1.1489694231013925E-2</v>
      </c>
      <c r="AG113" s="866">
        <v>1.3423418810059415E-2</v>
      </c>
      <c r="AH113" s="866">
        <v>-1.0960646652595427E-3</v>
      </c>
      <c r="AI113" s="866">
        <v>-5.7168067058106807E-2</v>
      </c>
      <c r="AJ113" s="866">
        <v>-0.10984789529536608</v>
      </c>
      <c r="AK113" s="866">
        <v>-0.13064531197864512</v>
      </c>
      <c r="AL113" s="866">
        <v>-0.12862068965517254</v>
      </c>
      <c r="AM113" s="866">
        <v>-7.7774744027303902E-2</v>
      </c>
      <c r="AN113" s="866">
        <v>-3.0325492787378758E-2</v>
      </c>
      <c r="AO113" s="866">
        <v>-2.2969054082263386E-2</v>
      </c>
      <c r="AP113" s="866">
        <v>-1.2278867490337133E-2</v>
      </c>
      <c r="AQ113" s="866">
        <v>-2.2683630280666291E-3</v>
      </c>
      <c r="AR113" s="902"/>
    </row>
    <row r="114" spans="1:44" x14ac:dyDescent="0.2">
      <c r="B114" s="863" t="s">
        <v>448</v>
      </c>
      <c r="C114" s="867"/>
      <c r="D114" s="867"/>
      <c r="E114" s="867"/>
      <c r="F114" s="867"/>
      <c r="G114" s="867">
        <v>0.5780886130350914</v>
      </c>
      <c r="H114" s="867">
        <v>0.55556024722766151</v>
      </c>
      <c r="I114" s="867">
        <v>0.55346692486278881</v>
      </c>
      <c r="J114" s="867">
        <v>0.58822519739100587</v>
      </c>
      <c r="K114" s="867">
        <v>0.57420668703156563</v>
      </c>
      <c r="L114" s="867">
        <v>0.5855589666428026</v>
      </c>
      <c r="M114" s="867">
        <v>0.56662421087606607</v>
      </c>
      <c r="N114" s="867">
        <v>0.58569598928634081</v>
      </c>
      <c r="O114" s="867">
        <v>0.59178486474911907</v>
      </c>
      <c r="P114" s="867">
        <v>0.59834013548197085</v>
      </c>
      <c r="Q114" s="867">
        <v>0.58985407141839075</v>
      </c>
      <c r="R114" s="867">
        <v>0.58572764203194094</v>
      </c>
      <c r="S114" s="867">
        <v>0.60405438666474287</v>
      </c>
      <c r="T114" s="867">
        <v>0.59901647131141822</v>
      </c>
      <c r="U114" s="867">
        <v>0.57124641377111895</v>
      </c>
      <c r="V114" s="867">
        <v>0.56386513526236648</v>
      </c>
      <c r="W114" s="867">
        <v>0.58284647212881024</v>
      </c>
      <c r="X114" s="867">
        <v>0.58503691819342374</v>
      </c>
      <c r="Y114" s="867">
        <v>0.57576846950708049</v>
      </c>
      <c r="Z114" s="867">
        <v>0.57881906825568785</v>
      </c>
      <c r="AA114" s="867">
        <v>0.59288409861822866</v>
      </c>
      <c r="AB114" s="867">
        <v>0.57572402235472786</v>
      </c>
      <c r="AC114" s="867">
        <v>0.5692495682607176</v>
      </c>
      <c r="AD114" s="867">
        <v>0.54949318746320952</v>
      </c>
      <c r="AE114" s="867">
        <v>0.57632077556021233</v>
      </c>
      <c r="AF114" s="867">
        <v>0.5670321896002829</v>
      </c>
      <c r="AG114" s="867">
        <v>0.58658658658658669</v>
      </c>
      <c r="AH114" s="867">
        <v>0.57275862068965511</v>
      </c>
      <c r="AI114" s="867">
        <v>0.57986348122866893</v>
      </c>
      <c r="AJ114" s="867">
        <v>0.5841430237077343</v>
      </c>
      <c r="AK114" s="867">
        <v>0.59163672002613532</v>
      </c>
      <c r="AL114" s="867">
        <v>0.56805510003279769</v>
      </c>
      <c r="AM114" s="867">
        <v>0.58974358974358976</v>
      </c>
      <c r="AN114" s="867">
        <v>0.58391213731810043</v>
      </c>
      <c r="AO114" s="867">
        <v>0.59760862844067952</v>
      </c>
      <c r="AP114" s="898">
        <v>0.58464704141228696</v>
      </c>
      <c r="AQ114" s="898">
        <v>0.59557367403520178</v>
      </c>
    </row>
    <row r="115" spans="1:44" x14ac:dyDescent="0.2">
      <c r="B115" s="850"/>
      <c r="C115" s="850"/>
      <c r="D115" s="850"/>
      <c r="E115" s="850"/>
      <c r="F115" s="850"/>
      <c r="G115" s="850"/>
      <c r="H115" s="850"/>
      <c r="I115" s="850"/>
      <c r="J115" s="850"/>
      <c r="K115" s="850"/>
      <c r="L115" s="850"/>
      <c r="M115" s="850"/>
      <c r="N115" s="850"/>
      <c r="O115" s="850"/>
      <c r="P115" s="850"/>
      <c r="Q115" s="850"/>
      <c r="R115" s="850"/>
      <c r="S115" s="850"/>
      <c r="T115" s="850"/>
      <c r="U115" s="850"/>
      <c r="V115" s="850"/>
      <c r="W115" s="850"/>
      <c r="X115" s="850"/>
      <c r="Y115" s="850"/>
      <c r="Z115" s="850"/>
      <c r="AA115" s="850"/>
      <c r="AB115" s="850"/>
      <c r="AC115" s="850"/>
      <c r="AD115" s="850"/>
      <c r="AE115" s="850"/>
      <c r="AF115" s="850"/>
      <c r="AG115" s="850"/>
      <c r="AH115" s="850"/>
      <c r="AI115" s="850"/>
      <c r="AJ115" s="850"/>
      <c r="AK115" s="850"/>
      <c r="AL115" s="850"/>
      <c r="AM115" s="850"/>
      <c r="AN115" s="850"/>
      <c r="AO115" s="850"/>
      <c r="AP115" s="850"/>
      <c r="AQ115" s="850"/>
    </row>
    <row r="116" spans="1:44" ht="15.75" x14ac:dyDescent="0.2">
      <c r="B116" s="874" t="s">
        <v>162</v>
      </c>
      <c r="C116" s="850"/>
      <c r="D116" s="850"/>
      <c r="E116" s="850"/>
      <c r="F116" s="850"/>
      <c r="G116" s="850"/>
      <c r="H116" s="850"/>
      <c r="I116" s="850"/>
      <c r="J116" s="850"/>
      <c r="K116" s="850"/>
      <c r="L116" s="850"/>
      <c r="M116" s="850"/>
      <c r="N116" s="850"/>
      <c r="O116" s="850"/>
      <c r="P116" s="850"/>
      <c r="Q116" s="850"/>
      <c r="R116" s="850"/>
      <c r="S116" s="850"/>
      <c r="T116" s="850"/>
      <c r="U116" s="850"/>
      <c r="V116" s="850"/>
      <c r="W116" s="850"/>
      <c r="X116" s="850"/>
      <c r="Y116" s="850"/>
      <c r="Z116" s="850"/>
      <c r="AA116" s="850"/>
      <c r="AB116" s="850"/>
      <c r="AC116" s="850"/>
      <c r="AD116" s="850"/>
      <c r="AE116" s="864"/>
      <c r="AF116" s="864"/>
      <c r="AG116" s="879"/>
      <c r="AH116" s="879"/>
      <c r="AI116" s="879"/>
      <c r="AJ116" s="879"/>
      <c r="AK116" s="879"/>
      <c r="AL116" s="879"/>
      <c r="AM116" s="879"/>
      <c r="AN116" s="879"/>
      <c r="AO116" s="879"/>
      <c r="AP116" s="850"/>
      <c r="AQ116" s="850"/>
    </row>
    <row r="117" spans="1:44" x14ac:dyDescent="0.2">
      <c r="A117" s="860"/>
      <c r="B117" s="861"/>
      <c r="C117" s="861"/>
      <c r="D117" s="859" t="str">
        <f t="shared" ref="D117:AP117" si="102">D67</f>
        <v>F1Q07</v>
      </c>
      <c r="E117" s="859" t="str">
        <f t="shared" si="102"/>
        <v>F2Q07</v>
      </c>
      <c r="F117" s="859" t="str">
        <f t="shared" si="102"/>
        <v>F3Q07</v>
      </c>
      <c r="G117" s="859" t="str">
        <f t="shared" si="102"/>
        <v>F4Q07</v>
      </c>
      <c r="H117" s="859" t="str">
        <f t="shared" si="102"/>
        <v>F1Q08</v>
      </c>
      <c r="I117" s="859" t="str">
        <f t="shared" si="102"/>
        <v>F2Q08</v>
      </c>
      <c r="J117" s="859" t="str">
        <f t="shared" si="102"/>
        <v>F3Q08</v>
      </c>
      <c r="K117" s="859" t="str">
        <f t="shared" si="102"/>
        <v>F4Q08</v>
      </c>
      <c r="L117" s="859" t="str">
        <f t="shared" si="102"/>
        <v>F1Q09</v>
      </c>
      <c r="M117" s="859" t="str">
        <f t="shared" si="102"/>
        <v>F2Q09</v>
      </c>
      <c r="N117" s="859" t="str">
        <f t="shared" si="102"/>
        <v>F3Q09</v>
      </c>
      <c r="O117" s="859" t="str">
        <f t="shared" si="102"/>
        <v>F4Q09</v>
      </c>
      <c r="P117" s="859" t="str">
        <f t="shared" si="102"/>
        <v>F1Q10</v>
      </c>
      <c r="Q117" s="859" t="str">
        <f t="shared" si="102"/>
        <v>F2Q10</v>
      </c>
      <c r="R117" s="859" t="str">
        <f t="shared" si="102"/>
        <v>F3Q10</v>
      </c>
      <c r="S117" s="859" t="str">
        <f t="shared" si="102"/>
        <v>F4Q10</v>
      </c>
      <c r="T117" s="859" t="str">
        <f t="shared" si="102"/>
        <v>F1Q11</v>
      </c>
      <c r="U117" s="859" t="str">
        <f t="shared" si="102"/>
        <v>F2Q11</v>
      </c>
      <c r="V117" s="859" t="str">
        <f t="shared" si="102"/>
        <v>F3Q11</v>
      </c>
      <c r="W117" s="859" t="str">
        <f t="shared" si="102"/>
        <v>F4Q11</v>
      </c>
      <c r="X117" s="859" t="str">
        <f t="shared" si="102"/>
        <v>F1Q12</v>
      </c>
      <c r="Y117" s="859" t="str">
        <f t="shared" si="102"/>
        <v>F2Q12</v>
      </c>
      <c r="Z117" s="859" t="str">
        <f t="shared" si="102"/>
        <v>F3Q12</v>
      </c>
      <c r="AA117" s="859" t="str">
        <f t="shared" si="102"/>
        <v>F4Q12</v>
      </c>
      <c r="AB117" s="859" t="str">
        <f t="shared" si="102"/>
        <v>F1Q13</v>
      </c>
      <c r="AC117" s="859" t="str">
        <f t="shared" si="102"/>
        <v>F2Q13</v>
      </c>
      <c r="AD117" s="859" t="str">
        <f t="shared" si="102"/>
        <v>F3Q13</v>
      </c>
      <c r="AE117" s="859" t="str">
        <f t="shared" si="102"/>
        <v>F4Q13</v>
      </c>
      <c r="AF117" s="859" t="str">
        <f>AF67</f>
        <v>F1Q14</v>
      </c>
      <c r="AG117" s="859" t="str">
        <f t="shared" si="102"/>
        <v>F2Q14</v>
      </c>
      <c r="AH117" s="859" t="str">
        <f t="shared" si="102"/>
        <v>F3Q14</v>
      </c>
      <c r="AI117" s="859" t="str">
        <f t="shared" si="102"/>
        <v>F4Q14</v>
      </c>
      <c r="AJ117" s="859" t="str">
        <f t="shared" si="102"/>
        <v>F1Q15</v>
      </c>
      <c r="AK117" s="859" t="str">
        <f t="shared" si="102"/>
        <v>F2Q15</v>
      </c>
      <c r="AL117" s="859" t="str">
        <f t="shared" si="102"/>
        <v>F3Q15</v>
      </c>
      <c r="AM117" s="859" t="str">
        <f t="shared" si="102"/>
        <v>F4Q15</v>
      </c>
      <c r="AN117" s="859" t="str">
        <f t="shared" si="102"/>
        <v>F1Q16</v>
      </c>
      <c r="AO117" s="859" t="str">
        <f t="shared" si="102"/>
        <v>F2Q16</v>
      </c>
      <c r="AP117" s="859" t="str">
        <f t="shared" si="102"/>
        <v>F3Q16E</v>
      </c>
      <c r="AQ117" s="859" t="str">
        <f>AQ67</f>
        <v>F4Q16E</v>
      </c>
    </row>
    <row r="118" spans="1:44" x14ac:dyDescent="0.2">
      <c r="B118" s="850" t="s">
        <v>409</v>
      </c>
      <c r="C118" s="864"/>
      <c r="D118" s="864"/>
      <c r="E118" s="864"/>
      <c r="F118" s="864"/>
      <c r="G118" s="864"/>
      <c r="H118" s="864"/>
      <c r="I118" s="864"/>
      <c r="J118" s="864"/>
      <c r="K118" s="864"/>
      <c r="L118" s="864"/>
      <c r="M118" s="864"/>
      <c r="N118" s="864"/>
      <c r="O118" s="864"/>
      <c r="P118" s="864"/>
      <c r="Q118" s="864"/>
      <c r="R118" s="864"/>
      <c r="S118" s="864"/>
      <c r="T118" s="864"/>
      <c r="U118" s="864"/>
      <c r="V118" s="864"/>
      <c r="W118" s="864"/>
      <c r="X118" s="864">
        <v>0.7</v>
      </c>
      <c r="Y118" s="864">
        <v>0.69638546531073453</v>
      </c>
      <c r="Z118" s="864">
        <v>0.68950002234711172</v>
      </c>
      <c r="AA118" s="864">
        <v>0.70699999999999996</v>
      </c>
      <c r="AB118" s="864">
        <v>0.67463963176533559</v>
      </c>
      <c r="AC118" s="864">
        <v>0.68100000000000005</v>
      </c>
      <c r="AD118" s="864">
        <v>0.64517326280005161</v>
      </c>
      <c r="AE118" s="864">
        <v>0.69280095949584153</v>
      </c>
      <c r="AF118" s="864">
        <v>0.67100883055888672</v>
      </c>
      <c r="AG118" s="864">
        <v>0.68892955169258918</v>
      </c>
      <c r="AH118" s="864">
        <v>0.68207395443571017</v>
      </c>
      <c r="AI118" s="864">
        <v>0.69679694736974895</v>
      </c>
      <c r="AJ118" s="864">
        <v>0.70041032463573039</v>
      </c>
      <c r="AK118" s="864">
        <v>0.70137861140175528</v>
      </c>
      <c r="AL118" s="864">
        <v>0.70226290887901832</v>
      </c>
      <c r="AM118" s="864">
        <v>0.70314385229193299</v>
      </c>
      <c r="AN118" s="864">
        <v>0.69199999999999995</v>
      </c>
      <c r="AO118" s="864">
        <v>0.69</v>
      </c>
      <c r="AP118" s="866">
        <v>0.69</v>
      </c>
      <c r="AQ118" s="866">
        <v>0.69799999999999995</v>
      </c>
    </row>
    <row r="119" spans="1:44" x14ac:dyDescent="0.2">
      <c r="B119" s="865" t="s">
        <v>408</v>
      </c>
      <c r="C119" s="866"/>
      <c r="D119" s="866"/>
      <c r="E119" s="866"/>
      <c r="F119" s="866"/>
      <c r="G119" s="866"/>
      <c r="H119" s="866"/>
      <c r="I119" s="866"/>
      <c r="J119" s="866"/>
      <c r="K119" s="866"/>
      <c r="L119" s="866"/>
      <c r="M119" s="866"/>
      <c r="N119" s="866"/>
      <c r="O119" s="866"/>
      <c r="P119" s="866"/>
      <c r="Q119" s="866"/>
      <c r="R119" s="866"/>
      <c r="S119" s="866"/>
      <c r="T119" s="866"/>
      <c r="U119" s="866"/>
      <c r="V119" s="866"/>
      <c r="W119" s="866"/>
      <c r="X119" s="866">
        <v>0.56940472144781185</v>
      </c>
      <c r="Y119" s="866">
        <v>0.58272740576236748</v>
      </c>
      <c r="Z119" s="866">
        <v>0.59660910070454498</v>
      </c>
      <c r="AA119" s="866">
        <v>0.60199999999999998</v>
      </c>
      <c r="AB119" s="866">
        <v>0.59538652876323894</v>
      </c>
      <c r="AC119" s="866">
        <v>0.5720244587687352</v>
      </c>
      <c r="AD119" s="866">
        <v>0.58092915449903992</v>
      </c>
      <c r="AE119" s="866">
        <v>0.58091910946703196</v>
      </c>
      <c r="AF119" s="866">
        <v>0.56589616522342667</v>
      </c>
      <c r="AG119" s="866">
        <v>0.60311640696608615</v>
      </c>
      <c r="AH119" s="866">
        <v>0.57293587467910145</v>
      </c>
      <c r="AI119" s="866">
        <v>0.58677856545742779</v>
      </c>
      <c r="AJ119" s="866">
        <v>0.56782428822133446</v>
      </c>
      <c r="AK119" s="866">
        <v>0.58985620809201766</v>
      </c>
      <c r="AL119" s="866">
        <v>0.56161089519115348</v>
      </c>
      <c r="AM119" s="866">
        <v>0.56633354441443939</v>
      </c>
      <c r="AN119" s="866">
        <v>0.57182428822133446</v>
      </c>
      <c r="AO119" s="866">
        <v>0.57999999999999996</v>
      </c>
      <c r="AP119" s="866">
        <v>0.56999999999999995</v>
      </c>
      <c r="AQ119" s="866">
        <v>0.56999999999999995</v>
      </c>
    </row>
    <row r="120" spans="1:44" x14ac:dyDescent="0.2">
      <c r="B120" s="850" t="s">
        <v>407</v>
      </c>
      <c r="C120" s="864"/>
      <c r="D120" s="864"/>
      <c r="E120" s="864"/>
      <c r="F120" s="864"/>
      <c r="G120" s="864"/>
      <c r="H120" s="864"/>
      <c r="I120" s="864"/>
      <c r="J120" s="864"/>
      <c r="K120" s="864"/>
      <c r="L120" s="864"/>
      <c r="M120" s="864"/>
      <c r="N120" s="864"/>
      <c r="O120" s="864"/>
      <c r="P120" s="864"/>
      <c r="Q120" s="864"/>
      <c r="R120" s="864"/>
      <c r="S120" s="864"/>
      <c r="T120" s="864"/>
      <c r="U120" s="864"/>
      <c r="V120" s="864"/>
      <c r="W120" s="864"/>
      <c r="X120" s="864">
        <v>0.40489951675458052</v>
      </c>
      <c r="Y120" s="864">
        <v>0.40828519521299944</v>
      </c>
      <c r="Z120" s="864">
        <v>0.4008126770429824</v>
      </c>
      <c r="AA120" s="864">
        <v>0.39600000000000002</v>
      </c>
      <c r="AB120" s="864">
        <v>0.4029069587042613</v>
      </c>
      <c r="AC120" s="864">
        <v>0.40145912621454738</v>
      </c>
      <c r="AD120" s="864">
        <v>0.3420462618102838</v>
      </c>
      <c r="AE120" s="864">
        <v>0.38993015343607695</v>
      </c>
      <c r="AF120" s="864">
        <v>0.41145113547497564</v>
      </c>
      <c r="AG120" s="864">
        <v>0.38671875</v>
      </c>
      <c r="AH120" s="864">
        <v>0.43136421706716038</v>
      </c>
      <c r="AI120" s="864">
        <v>0.39835603199942859</v>
      </c>
      <c r="AJ120" s="864">
        <v>0.43263608558113154</v>
      </c>
      <c r="AK120" s="864">
        <v>0.41627021883920073</v>
      </c>
      <c r="AL120" s="864">
        <v>0.3926985169378911</v>
      </c>
      <c r="AM120" s="864">
        <v>0.39469538567631662</v>
      </c>
      <c r="AN120" s="864">
        <v>0.42499999999999999</v>
      </c>
      <c r="AO120" s="864">
        <v>0.42</v>
      </c>
      <c r="AP120" s="866">
        <v>0.42</v>
      </c>
      <c r="AQ120" s="866">
        <v>0.41199999999999998</v>
      </c>
    </row>
    <row r="121" spans="1:44" x14ac:dyDescent="0.2">
      <c r="B121" s="865" t="s">
        <v>406</v>
      </c>
      <c r="C121" s="866"/>
      <c r="D121" s="866"/>
      <c r="E121" s="866"/>
      <c r="F121" s="866"/>
      <c r="G121" s="866"/>
      <c r="H121" s="866"/>
      <c r="I121" s="866"/>
      <c r="J121" s="866"/>
      <c r="K121" s="866"/>
      <c r="L121" s="866"/>
      <c r="M121" s="866"/>
      <c r="N121" s="866"/>
      <c r="O121" s="866"/>
      <c r="P121" s="866"/>
      <c r="Q121" s="866"/>
      <c r="R121" s="866"/>
      <c r="S121" s="866"/>
      <c r="T121" s="866"/>
      <c r="U121" s="866"/>
      <c r="V121" s="866"/>
      <c r="W121" s="866"/>
      <c r="X121" s="866">
        <v>0.48811975831466992</v>
      </c>
      <c r="Y121" s="866">
        <v>0.41192796514022839</v>
      </c>
      <c r="Z121" s="866">
        <v>0.45631860753829329</v>
      </c>
      <c r="AA121" s="866">
        <v>0.46300000000000002</v>
      </c>
      <c r="AB121" s="866">
        <v>0.42529659868773495</v>
      </c>
      <c r="AC121" s="866">
        <v>0.40530303030303022</v>
      </c>
      <c r="AD121" s="866">
        <v>0.37549407114624506</v>
      </c>
      <c r="AE121" s="866">
        <v>0.41261543326214756</v>
      </c>
      <c r="AF121" s="866">
        <v>0.38893150314379049</v>
      </c>
      <c r="AG121" s="866">
        <v>0.42856610539403733</v>
      </c>
      <c r="AH121" s="866">
        <v>0.4730468421495248</v>
      </c>
      <c r="AI121" s="866">
        <v>0.40841545935918522</v>
      </c>
      <c r="AJ121" s="866">
        <v>0.40098439325562962</v>
      </c>
      <c r="AK121" s="866">
        <v>0.37241682125362785</v>
      </c>
      <c r="AL121" s="866">
        <v>0.44745427180602482</v>
      </c>
      <c r="AM121" s="866">
        <v>0.43002218825686339</v>
      </c>
      <c r="AN121" s="866">
        <v>0.40998439325562963</v>
      </c>
      <c r="AO121" s="866">
        <v>0.42</v>
      </c>
      <c r="AP121" s="866">
        <v>0.44</v>
      </c>
      <c r="AQ121" s="866">
        <v>0.41241545935918522</v>
      </c>
    </row>
    <row r="122" spans="1:44" x14ac:dyDescent="0.2">
      <c r="B122" s="887" t="s">
        <v>410</v>
      </c>
      <c r="C122" s="870"/>
      <c r="D122" s="870"/>
      <c r="E122" s="870"/>
      <c r="F122" s="870"/>
      <c r="G122" s="870"/>
      <c r="H122" s="870"/>
      <c r="I122" s="870"/>
      <c r="J122" s="870"/>
      <c r="K122" s="870"/>
      <c r="L122" s="870"/>
      <c r="M122" s="870"/>
      <c r="N122" s="870"/>
      <c r="O122" s="870"/>
      <c r="P122" s="870"/>
      <c r="Q122" s="870"/>
      <c r="R122" s="870"/>
      <c r="S122" s="870"/>
      <c r="T122" s="870"/>
      <c r="U122" s="870"/>
      <c r="V122" s="870"/>
      <c r="W122" s="870"/>
      <c r="X122" s="870">
        <v>0.58503691819342374</v>
      </c>
      <c r="Y122" s="870">
        <v>0.57576846950708049</v>
      </c>
      <c r="Z122" s="870">
        <v>0.57881906825568785</v>
      </c>
      <c r="AA122" s="870">
        <v>0.59288409861822866</v>
      </c>
      <c r="AB122" s="870">
        <v>0.57572402235472786</v>
      </c>
      <c r="AC122" s="870">
        <v>0.5692495682607176</v>
      </c>
      <c r="AD122" s="870">
        <v>0.54949318746320952</v>
      </c>
      <c r="AE122" s="870">
        <v>0.57632077556021233</v>
      </c>
      <c r="AF122" s="870">
        <v>0.5670321896002829</v>
      </c>
      <c r="AG122" s="870">
        <v>0.58658658658658669</v>
      </c>
      <c r="AH122" s="870">
        <v>0.57275862068965511</v>
      </c>
      <c r="AI122" s="870">
        <v>0.57986348122866893</v>
      </c>
      <c r="AJ122" s="870">
        <v>0.5841430237077343</v>
      </c>
      <c r="AK122" s="870">
        <v>0.59163672002613532</v>
      </c>
      <c r="AL122" s="870">
        <v>0.56805510003279769</v>
      </c>
      <c r="AM122" s="870">
        <v>0.58974358974358976</v>
      </c>
      <c r="AN122" s="870">
        <v>0.58581206469739688</v>
      </c>
      <c r="AO122" s="870">
        <v>0.58602558228874024</v>
      </c>
      <c r="AP122" s="890">
        <v>0.57915189051357774</v>
      </c>
      <c r="AQ122" s="890">
        <v>0.58328597904971335</v>
      </c>
    </row>
    <row r="123" spans="1:44" x14ac:dyDescent="0.2">
      <c r="B123" s="850"/>
      <c r="C123" s="850"/>
      <c r="D123" s="850"/>
      <c r="E123" s="850"/>
      <c r="F123" s="850"/>
      <c r="G123" s="850"/>
      <c r="H123" s="850"/>
      <c r="I123" s="850"/>
      <c r="J123" s="864"/>
      <c r="K123" s="864"/>
      <c r="L123" s="864"/>
      <c r="M123" s="864"/>
      <c r="N123" s="864"/>
      <c r="O123" s="864"/>
      <c r="P123" s="864"/>
      <c r="Q123" s="864"/>
      <c r="R123" s="864"/>
      <c r="S123" s="864"/>
      <c r="T123" s="864"/>
      <c r="U123" s="864"/>
      <c r="V123" s="864"/>
      <c r="W123" s="864"/>
      <c r="X123" s="864"/>
      <c r="Y123" s="864"/>
      <c r="Z123" s="864"/>
      <c r="AA123" s="864"/>
      <c r="AB123" s="864"/>
      <c r="AC123" s="864"/>
      <c r="AD123" s="864"/>
      <c r="AE123" s="864"/>
      <c r="AF123" s="864"/>
      <c r="AG123" s="864"/>
      <c r="AH123" s="864"/>
      <c r="AI123" s="864"/>
      <c r="AJ123" s="864"/>
      <c r="AK123" s="864"/>
      <c r="AL123" s="864"/>
      <c r="AM123" s="864"/>
      <c r="AN123" s="864"/>
      <c r="AO123" s="864"/>
      <c r="AP123" s="864"/>
      <c r="AQ123" s="864"/>
    </row>
    <row r="124" spans="1:44" ht="15.75" x14ac:dyDescent="0.2">
      <c r="B124" s="874" t="s">
        <v>450</v>
      </c>
      <c r="C124" s="850"/>
      <c r="D124" s="850"/>
      <c r="E124" s="850"/>
      <c r="F124" s="850"/>
      <c r="G124" s="850"/>
      <c r="H124" s="850"/>
      <c r="I124" s="850"/>
      <c r="J124" s="864"/>
      <c r="K124" s="864"/>
      <c r="L124" s="864"/>
      <c r="M124" s="864"/>
      <c r="N124" s="864"/>
      <c r="O124" s="864"/>
      <c r="P124" s="864"/>
      <c r="Q124" s="864"/>
      <c r="R124" s="864"/>
      <c r="S124" s="864"/>
      <c r="T124" s="864"/>
      <c r="U124" s="864"/>
      <c r="V124" s="864"/>
      <c r="W124" s="864"/>
      <c r="X124" s="864"/>
      <c r="Y124" s="864"/>
      <c r="Z124" s="864"/>
      <c r="AA124" s="864"/>
      <c r="AB124" s="864"/>
      <c r="AC124" s="864"/>
      <c r="AD124" s="864"/>
      <c r="AE124" s="864"/>
      <c r="AF124" s="864"/>
      <c r="AG124" s="850"/>
      <c r="AH124" s="850"/>
      <c r="AI124" s="850"/>
      <c r="AJ124" s="850"/>
      <c r="AK124" s="850"/>
      <c r="AL124" s="850"/>
      <c r="AM124" s="850"/>
      <c r="AN124" s="850"/>
      <c r="AO124" s="850"/>
      <c r="AP124" s="850"/>
      <c r="AQ124" s="850"/>
    </row>
    <row r="125" spans="1:44" x14ac:dyDescent="0.2">
      <c r="A125" s="860"/>
      <c r="B125" s="861"/>
      <c r="C125" s="861"/>
      <c r="D125" s="859" t="str">
        <f t="shared" ref="D125:AP125" si="103">+D117</f>
        <v>F1Q07</v>
      </c>
      <c r="E125" s="859" t="str">
        <f t="shared" si="103"/>
        <v>F2Q07</v>
      </c>
      <c r="F125" s="859" t="str">
        <f t="shared" si="103"/>
        <v>F3Q07</v>
      </c>
      <c r="G125" s="859" t="str">
        <f t="shared" si="103"/>
        <v>F4Q07</v>
      </c>
      <c r="H125" s="859" t="str">
        <f t="shared" si="103"/>
        <v>F1Q08</v>
      </c>
      <c r="I125" s="859" t="str">
        <f t="shared" si="103"/>
        <v>F2Q08</v>
      </c>
      <c r="J125" s="859" t="str">
        <f t="shared" si="103"/>
        <v>F3Q08</v>
      </c>
      <c r="K125" s="859" t="str">
        <f t="shared" si="103"/>
        <v>F4Q08</v>
      </c>
      <c r="L125" s="859" t="str">
        <f t="shared" si="103"/>
        <v>F1Q09</v>
      </c>
      <c r="M125" s="859" t="str">
        <f t="shared" si="103"/>
        <v>F2Q09</v>
      </c>
      <c r="N125" s="859" t="str">
        <f t="shared" si="103"/>
        <v>F3Q09</v>
      </c>
      <c r="O125" s="859" t="str">
        <f t="shared" si="103"/>
        <v>F4Q09</v>
      </c>
      <c r="P125" s="859" t="str">
        <f t="shared" si="103"/>
        <v>F1Q10</v>
      </c>
      <c r="Q125" s="859" t="str">
        <f t="shared" si="103"/>
        <v>F2Q10</v>
      </c>
      <c r="R125" s="859" t="str">
        <f t="shared" si="103"/>
        <v>F3Q10</v>
      </c>
      <c r="S125" s="859" t="str">
        <f t="shared" si="103"/>
        <v>F4Q10</v>
      </c>
      <c r="T125" s="859" t="str">
        <f t="shared" si="103"/>
        <v>F1Q11</v>
      </c>
      <c r="U125" s="859" t="str">
        <f t="shared" si="103"/>
        <v>F2Q11</v>
      </c>
      <c r="V125" s="859" t="str">
        <f t="shared" si="103"/>
        <v>F3Q11</v>
      </c>
      <c r="W125" s="859" t="str">
        <f t="shared" si="103"/>
        <v>F4Q11</v>
      </c>
      <c r="X125" s="859" t="str">
        <f t="shared" si="103"/>
        <v>F1Q12</v>
      </c>
      <c r="Y125" s="859" t="str">
        <f t="shared" si="103"/>
        <v>F2Q12</v>
      </c>
      <c r="Z125" s="859" t="str">
        <f t="shared" si="103"/>
        <v>F3Q12</v>
      </c>
      <c r="AA125" s="859" t="str">
        <f t="shared" si="103"/>
        <v>F4Q12</v>
      </c>
      <c r="AB125" s="859" t="str">
        <f t="shared" si="103"/>
        <v>F1Q13</v>
      </c>
      <c r="AC125" s="859" t="str">
        <f t="shared" si="103"/>
        <v>F2Q13</v>
      </c>
      <c r="AD125" s="859" t="str">
        <f t="shared" si="103"/>
        <v>F3Q13</v>
      </c>
      <c r="AE125" s="859" t="str">
        <f t="shared" si="103"/>
        <v>F4Q13</v>
      </c>
      <c r="AF125" s="859" t="str">
        <f>+AF117</f>
        <v>F1Q14</v>
      </c>
      <c r="AG125" s="859" t="str">
        <f t="shared" si="103"/>
        <v>F2Q14</v>
      </c>
      <c r="AH125" s="859" t="str">
        <f t="shared" si="103"/>
        <v>F3Q14</v>
      </c>
      <c r="AI125" s="859" t="str">
        <f t="shared" si="103"/>
        <v>F4Q14</v>
      </c>
      <c r="AJ125" s="859" t="str">
        <f t="shared" si="103"/>
        <v>F1Q15</v>
      </c>
      <c r="AK125" s="859" t="str">
        <f t="shared" si="103"/>
        <v>F2Q15</v>
      </c>
      <c r="AL125" s="859" t="str">
        <f t="shared" si="103"/>
        <v>F3Q15</v>
      </c>
      <c r="AM125" s="859" t="str">
        <f t="shared" si="103"/>
        <v>F4Q15</v>
      </c>
      <c r="AN125" s="859" t="str">
        <f t="shared" si="103"/>
        <v>F1Q16</v>
      </c>
      <c r="AO125" s="859" t="str">
        <f t="shared" si="103"/>
        <v>F2Q16</v>
      </c>
      <c r="AP125" s="859" t="str">
        <f t="shared" si="103"/>
        <v>F3Q16E</v>
      </c>
      <c r="AQ125" s="859" t="str">
        <f>+AQ117</f>
        <v>F4Q16E</v>
      </c>
    </row>
    <row r="126" spans="1:44" x14ac:dyDescent="0.2">
      <c r="B126" s="850" t="str">
        <f>B118</f>
        <v>CAD/CAM</v>
      </c>
      <c r="C126" s="850"/>
      <c r="D126" s="850"/>
      <c r="E126" s="850"/>
      <c r="F126" s="850"/>
      <c r="G126" s="850"/>
      <c r="H126" s="850"/>
      <c r="I126" s="850"/>
      <c r="J126" s="864"/>
      <c r="K126" s="864"/>
      <c r="L126" s="864"/>
      <c r="M126" s="864"/>
      <c r="N126" s="864"/>
      <c r="O126" s="864"/>
      <c r="P126" s="864"/>
      <c r="Q126" s="864"/>
      <c r="R126" s="864"/>
      <c r="S126" s="864"/>
      <c r="T126" s="864"/>
      <c r="U126" s="864"/>
      <c r="V126" s="864"/>
      <c r="W126" s="864"/>
      <c r="X126" s="864"/>
      <c r="Y126" s="864"/>
      <c r="Z126" s="864"/>
      <c r="AA126" s="864"/>
      <c r="AB126" s="864">
        <f t="shared" ref="AB126:AP130" si="104">AB118-X118</f>
        <v>-2.5360368234664366E-2</v>
      </c>
      <c r="AC126" s="864">
        <f t="shared" si="104"/>
        <v>-1.5385465310734481E-2</v>
      </c>
      <c r="AD126" s="864">
        <f t="shared" si="104"/>
        <v>-4.4326759547060113E-2</v>
      </c>
      <c r="AE126" s="864">
        <f t="shared" si="104"/>
        <v>-1.4199040504158433E-2</v>
      </c>
      <c r="AF126" s="888">
        <f t="shared" si="104"/>
        <v>-3.6308012064488748E-3</v>
      </c>
      <c r="AG126" s="864">
        <f t="shared" si="104"/>
        <v>7.9295516925891318E-3</v>
      </c>
      <c r="AH126" s="864">
        <f t="shared" si="104"/>
        <v>3.6900691635658567E-2</v>
      </c>
      <c r="AI126" s="864">
        <f t="shared" si="104"/>
        <v>3.995987873907425E-3</v>
      </c>
      <c r="AJ126" s="864">
        <f t="shared" si="104"/>
        <v>2.9401494076843671E-2</v>
      </c>
      <c r="AK126" s="864">
        <f t="shared" si="104"/>
        <v>1.2449059709166099E-2</v>
      </c>
      <c r="AL126" s="864">
        <f t="shared" si="104"/>
        <v>2.0188954443308149E-2</v>
      </c>
      <c r="AM126" s="864">
        <f t="shared" si="104"/>
        <v>6.3469049221840379E-3</v>
      </c>
      <c r="AN126" s="864">
        <f t="shared" si="104"/>
        <v>-8.4103246357304373E-3</v>
      </c>
      <c r="AO126" s="864">
        <f t="shared" si="104"/>
        <v>-1.1378611401755334E-2</v>
      </c>
      <c r="AP126" s="866">
        <f t="shared" si="104"/>
        <v>-1.2262908879018375E-2</v>
      </c>
      <c r="AQ126" s="866">
        <f>AQ118-AM118</f>
        <v>-5.1438522919330376E-3</v>
      </c>
    </row>
    <row r="127" spans="1:44" x14ac:dyDescent="0.2">
      <c r="B127" s="865" t="str">
        <f>B119</f>
        <v>Imaging Systems</v>
      </c>
      <c r="C127" s="891"/>
      <c r="D127" s="891"/>
      <c r="E127" s="891"/>
      <c r="F127" s="891"/>
      <c r="G127" s="891"/>
      <c r="H127" s="891"/>
      <c r="I127" s="891"/>
      <c r="J127" s="866"/>
      <c r="K127" s="866"/>
      <c r="L127" s="866"/>
      <c r="M127" s="866"/>
      <c r="N127" s="866"/>
      <c r="O127" s="866"/>
      <c r="P127" s="866"/>
      <c r="Q127" s="866"/>
      <c r="R127" s="866"/>
      <c r="S127" s="866"/>
      <c r="T127" s="866"/>
      <c r="U127" s="866"/>
      <c r="V127" s="866"/>
      <c r="W127" s="866"/>
      <c r="X127" s="866"/>
      <c r="Y127" s="866"/>
      <c r="Z127" s="866"/>
      <c r="AA127" s="866"/>
      <c r="AB127" s="866">
        <f t="shared" si="104"/>
        <v>2.5981807315427097E-2</v>
      </c>
      <c r="AC127" s="866">
        <f t="shared" si="104"/>
        <v>-1.0702946993632279E-2</v>
      </c>
      <c r="AD127" s="866">
        <f t="shared" si="104"/>
        <v>-1.5679946205505058E-2</v>
      </c>
      <c r="AE127" s="866">
        <f t="shared" si="104"/>
        <v>-2.1080890532968022E-2</v>
      </c>
      <c r="AF127" s="866">
        <f t="shared" si="104"/>
        <v>-2.949036353981227E-2</v>
      </c>
      <c r="AG127" s="866">
        <f t="shared" si="104"/>
        <v>3.1091948197350949E-2</v>
      </c>
      <c r="AH127" s="866">
        <f t="shared" si="104"/>
        <v>-7.9932798199384703E-3</v>
      </c>
      <c r="AI127" s="866">
        <f t="shared" si="104"/>
        <v>5.8594559903958343E-3</v>
      </c>
      <c r="AJ127" s="866">
        <f t="shared" si="104"/>
        <v>1.9281229979077885E-3</v>
      </c>
      <c r="AK127" s="866">
        <f t="shared" si="104"/>
        <v>-1.3260198874068485E-2</v>
      </c>
      <c r="AL127" s="866">
        <f t="shared" si="104"/>
        <v>-1.1324979487947973E-2</v>
      </c>
      <c r="AM127" s="866">
        <f t="shared" si="104"/>
        <v>-2.0445021042988398E-2</v>
      </c>
      <c r="AN127" s="866">
        <f t="shared" si="104"/>
        <v>4.0000000000000036E-3</v>
      </c>
      <c r="AO127" s="866">
        <f t="shared" si="104"/>
        <v>-9.8562080920177042E-3</v>
      </c>
      <c r="AP127" s="866">
        <f t="shared" si="104"/>
        <v>8.3891048088464704E-3</v>
      </c>
      <c r="AQ127" s="866">
        <f>AQ119-AM119</f>
        <v>3.6664555855605574E-3</v>
      </c>
    </row>
    <row r="128" spans="1:44" x14ac:dyDescent="0.2">
      <c r="B128" s="850" t="str">
        <f>B120</f>
        <v>Treatment Centers</v>
      </c>
      <c r="C128" s="850"/>
      <c r="D128" s="850"/>
      <c r="E128" s="850"/>
      <c r="F128" s="850"/>
      <c r="G128" s="850"/>
      <c r="H128" s="850"/>
      <c r="I128" s="850"/>
      <c r="J128" s="864"/>
      <c r="K128" s="864"/>
      <c r="L128" s="864"/>
      <c r="M128" s="864"/>
      <c r="N128" s="864"/>
      <c r="O128" s="864"/>
      <c r="P128" s="864"/>
      <c r="Q128" s="864"/>
      <c r="R128" s="864"/>
      <c r="S128" s="864"/>
      <c r="T128" s="864"/>
      <c r="U128" s="864"/>
      <c r="V128" s="864"/>
      <c r="W128" s="864"/>
      <c r="X128" s="864"/>
      <c r="Y128" s="864"/>
      <c r="Z128" s="864"/>
      <c r="AA128" s="864"/>
      <c r="AB128" s="864">
        <f t="shared" si="104"/>
        <v>-1.9925580503192264E-3</v>
      </c>
      <c r="AC128" s="864">
        <f t="shared" si="104"/>
        <v>-6.8260689984520617E-3</v>
      </c>
      <c r="AD128" s="864">
        <f t="shared" si="104"/>
        <v>-5.8766415232698599E-2</v>
      </c>
      <c r="AE128" s="864">
        <f t="shared" si="104"/>
        <v>-6.0698465639230648E-3</v>
      </c>
      <c r="AF128" s="864">
        <f t="shared" si="104"/>
        <v>8.5441767707143401E-3</v>
      </c>
      <c r="AG128" s="864">
        <f t="shared" si="104"/>
        <v>-1.4740376214547379E-2</v>
      </c>
      <c r="AH128" s="864">
        <f t="shared" si="104"/>
        <v>8.931795525687658E-2</v>
      </c>
      <c r="AI128" s="864">
        <f t="shared" si="104"/>
        <v>8.4258785633516409E-3</v>
      </c>
      <c r="AJ128" s="864">
        <f t="shared" si="104"/>
        <v>2.1184950106155898E-2</v>
      </c>
      <c r="AK128" s="864">
        <f t="shared" si="104"/>
        <v>2.9551468839200734E-2</v>
      </c>
      <c r="AL128" s="864">
        <f t="shared" si="104"/>
        <v>-3.8665700129269287E-2</v>
      </c>
      <c r="AM128" s="864">
        <f t="shared" si="104"/>
        <v>-3.6606463231119712E-3</v>
      </c>
      <c r="AN128" s="864">
        <f t="shared" si="104"/>
        <v>-7.6360855811315465E-3</v>
      </c>
      <c r="AO128" s="864">
        <f t="shared" si="104"/>
        <v>3.7297811607992504E-3</v>
      </c>
      <c r="AP128" s="866">
        <f t="shared" si="104"/>
        <v>2.7301483062108889E-2</v>
      </c>
      <c r="AQ128" s="866">
        <f>AQ120-AM120</f>
        <v>1.7304614323683354E-2</v>
      </c>
    </row>
    <row r="129" spans="1:66" x14ac:dyDescent="0.2">
      <c r="B129" s="865" t="str">
        <f>B121</f>
        <v>Instruments</v>
      </c>
      <c r="C129" s="891"/>
      <c r="D129" s="891"/>
      <c r="E129" s="891"/>
      <c r="F129" s="891"/>
      <c r="G129" s="891"/>
      <c r="H129" s="891"/>
      <c r="I129" s="891"/>
      <c r="J129" s="866"/>
      <c r="K129" s="866"/>
      <c r="L129" s="866"/>
      <c r="M129" s="866"/>
      <c r="N129" s="866"/>
      <c r="O129" s="866"/>
      <c r="P129" s="866"/>
      <c r="Q129" s="866"/>
      <c r="R129" s="866"/>
      <c r="S129" s="866"/>
      <c r="T129" s="866"/>
      <c r="U129" s="866"/>
      <c r="V129" s="866"/>
      <c r="W129" s="866"/>
      <c r="X129" s="866"/>
      <c r="Y129" s="866"/>
      <c r="Z129" s="866"/>
      <c r="AA129" s="866"/>
      <c r="AB129" s="866">
        <f t="shared" si="104"/>
        <v>-6.2823159626934966E-2</v>
      </c>
      <c r="AC129" s="866">
        <f t="shared" si="104"/>
        <v>-6.6249348371981709E-3</v>
      </c>
      <c r="AD129" s="866">
        <f t="shared" si="104"/>
        <v>-8.082453639204823E-2</v>
      </c>
      <c r="AE129" s="866">
        <f t="shared" si="104"/>
        <v>-5.0384566737852465E-2</v>
      </c>
      <c r="AF129" s="866">
        <f t="shared" si="104"/>
        <v>-3.6365095543944459E-2</v>
      </c>
      <c r="AG129" s="866">
        <f t="shared" si="104"/>
        <v>2.3263075091007113E-2</v>
      </c>
      <c r="AH129" s="866">
        <f t="shared" si="104"/>
        <v>9.7552771003279748E-2</v>
      </c>
      <c r="AI129" s="866">
        <f t="shared" si="104"/>
        <v>-4.1999739029623395E-3</v>
      </c>
      <c r="AJ129" s="866">
        <f t="shared" si="104"/>
        <v>1.2052890111839132E-2</v>
      </c>
      <c r="AK129" s="866">
        <f t="shared" si="104"/>
        <v>-5.6149284140409483E-2</v>
      </c>
      <c r="AL129" s="866">
        <f t="shared" si="104"/>
        <v>-2.5592570343499987E-2</v>
      </c>
      <c r="AM129" s="866">
        <f t="shared" si="104"/>
        <v>2.1606728897678174E-2</v>
      </c>
      <c r="AN129" s="866">
        <f t="shared" si="104"/>
        <v>9.000000000000008E-3</v>
      </c>
      <c r="AO129" s="866">
        <f t="shared" si="104"/>
        <v>4.7583178746372135E-2</v>
      </c>
      <c r="AP129" s="866">
        <f t="shared" si="104"/>
        <v>-7.4542718060248148E-3</v>
      </c>
      <c r="AQ129" s="866">
        <f>AQ121-AM121</f>
        <v>-1.760672889767817E-2</v>
      </c>
    </row>
    <row r="130" spans="1:66" x14ac:dyDescent="0.2">
      <c r="B130" s="887" t="s">
        <v>30</v>
      </c>
      <c r="C130" s="850"/>
      <c r="D130" s="850"/>
      <c r="E130" s="850"/>
      <c r="F130" s="850"/>
      <c r="G130" s="850"/>
      <c r="H130" s="850"/>
      <c r="I130" s="850"/>
      <c r="J130" s="870"/>
      <c r="K130" s="870"/>
      <c r="L130" s="870"/>
      <c r="M130" s="870"/>
      <c r="N130" s="870"/>
      <c r="O130" s="870"/>
      <c r="P130" s="870"/>
      <c r="Q130" s="870"/>
      <c r="R130" s="870"/>
      <c r="S130" s="870"/>
      <c r="T130" s="870"/>
      <c r="U130" s="870"/>
      <c r="V130" s="870"/>
      <c r="W130" s="870"/>
      <c r="X130" s="870"/>
      <c r="Y130" s="870"/>
      <c r="Z130" s="870"/>
      <c r="AA130" s="870"/>
      <c r="AB130" s="870">
        <f t="shared" si="104"/>
        <v>-9.3128958386958782E-3</v>
      </c>
      <c r="AC130" s="870">
        <f t="shared" si="104"/>
        <v>-6.5189012463628959E-3</v>
      </c>
      <c r="AD130" s="870">
        <f t="shared" si="104"/>
        <v>-2.9325880792478332E-2</v>
      </c>
      <c r="AE130" s="870">
        <f t="shared" si="104"/>
        <v>-1.6563323058016333E-2</v>
      </c>
      <c r="AF130" s="889">
        <f t="shared" si="104"/>
        <v>-8.6918327544449614E-3</v>
      </c>
      <c r="AG130" s="870">
        <f t="shared" si="104"/>
        <v>1.7337018325869091E-2</v>
      </c>
      <c r="AH130" s="870">
        <f t="shared" si="104"/>
        <v>2.3265433226445587E-2</v>
      </c>
      <c r="AI130" s="870">
        <f t="shared" si="104"/>
        <v>3.5427056684566027E-3</v>
      </c>
      <c r="AJ130" s="870">
        <f t="shared" si="104"/>
        <v>1.71108341074514E-2</v>
      </c>
      <c r="AK130" s="870">
        <f t="shared" si="104"/>
        <v>5.0501334395486319E-3</v>
      </c>
      <c r="AL130" s="870">
        <f t="shared" si="104"/>
        <v>-4.7035206568574184E-3</v>
      </c>
      <c r="AM130" s="870">
        <f t="shared" si="104"/>
        <v>9.8801085149208268E-3</v>
      </c>
      <c r="AN130" s="870">
        <f t="shared" si="104"/>
        <v>1.6690409896625846E-3</v>
      </c>
      <c r="AO130" s="870">
        <f t="shared" si="104"/>
        <v>-5.6111377373950777E-3</v>
      </c>
      <c r="AP130" s="890">
        <f t="shared" si="104"/>
        <v>1.109679048078005E-2</v>
      </c>
      <c r="AQ130" s="890">
        <f>AQ122-AM122</f>
        <v>-6.4576106938764033E-3</v>
      </c>
    </row>
    <row r="131" spans="1:66" x14ac:dyDescent="0.2">
      <c r="B131" s="850"/>
      <c r="C131" s="850"/>
      <c r="D131" s="850"/>
      <c r="E131" s="850"/>
      <c r="F131" s="850"/>
      <c r="G131" s="850"/>
      <c r="H131" s="850"/>
      <c r="I131" s="850"/>
      <c r="J131" s="864"/>
      <c r="K131" s="864"/>
      <c r="L131" s="864"/>
      <c r="M131" s="864"/>
      <c r="N131" s="864"/>
      <c r="O131" s="864"/>
      <c r="P131" s="864"/>
      <c r="Q131" s="864"/>
      <c r="R131" s="864"/>
      <c r="S131" s="864"/>
      <c r="T131" s="864"/>
      <c r="U131" s="864"/>
      <c r="V131" s="864"/>
      <c r="W131" s="864"/>
      <c r="X131" s="864"/>
      <c r="Y131" s="864"/>
      <c r="Z131" s="864"/>
      <c r="AA131" s="864"/>
      <c r="AB131" s="864"/>
      <c r="AC131" s="864"/>
      <c r="AD131" s="864"/>
      <c r="AE131" s="864"/>
      <c r="AF131" s="864"/>
      <c r="AG131" s="864"/>
      <c r="AH131" s="864"/>
      <c r="AI131" s="864"/>
      <c r="AJ131" s="864"/>
      <c r="AK131" s="864"/>
      <c r="AL131" s="864"/>
      <c r="AM131" s="864"/>
      <c r="AN131" s="864"/>
      <c r="AO131" s="864"/>
      <c r="AP131" s="864"/>
      <c r="AQ131" s="864"/>
    </row>
    <row r="132" spans="1:66" ht="15.75" x14ac:dyDescent="0.2">
      <c r="B132" s="874" t="s">
        <v>449</v>
      </c>
      <c r="C132" s="850"/>
      <c r="D132" s="850"/>
      <c r="E132" s="850"/>
      <c r="F132" s="850"/>
      <c r="G132" s="850"/>
      <c r="H132" s="850"/>
      <c r="I132" s="850"/>
      <c r="J132" s="864"/>
      <c r="K132" s="864"/>
      <c r="L132" s="864"/>
      <c r="M132" s="864"/>
      <c r="N132" s="864"/>
      <c r="O132" s="864"/>
      <c r="P132" s="864"/>
      <c r="Q132" s="864"/>
      <c r="R132" s="864"/>
      <c r="S132" s="864"/>
      <c r="T132" s="864"/>
      <c r="U132" s="864"/>
      <c r="V132" s="864"/>
      <c r="W132" s="864"/>
      <c r="X132" s="864"/>
      <c r="Y132" s="864"/>
      <c r="Z132" s="864"/>
      <c r="AA132" s="864"/>
      <c r="AB132" s="864"/>
      <c r="AC132" s="864"/>
      <c r="AD132" s="864"/>
      <c r="AE132" s="864"/>
      <c r="AF132" s="864"/>
      <c r="AG132" s="864"/>
      <c r="AH132" s="864"/>
      <c r="AI132" s="864"/>
      <c r="AJ132" s="864"/>
      <c r="AK132" s="864"/>
      <c r="AL132" s="864"/>
      <c r="AM132" s="864"/>
      <c r="AN132" s="864"/>
      <c r="AO132" s="864"/>
      <c r="AP132" s="864"/>
      <c r="AQ132" s="864"/>
    </row>
    <row r="133" spans="1:66" x14ac:dyDescent="0.2">
      <c r="A133" s="860"/>
      <c r="B133" s="861"/>
      <c r="C133" s="861"/>
      <c r="D133" s="859" t="str">
        <f t="shared" ref="D133:AP133" si="105">D125</f>
        <v>F1Q07</v>
      </c>
      <c r="E133" s="859" t="str">
        <f t="shared" si="105"/>
        <v>F2Q07</v>
      </c>
      <c r="F133" s="859" t="str">
        <f t="shared" si="105"/>
        <v>F3Q07</v>
      </c>
      <c r="G133" s="859" t="str">
        <f t="shared" si="105"/>
        <v>F4Q07</v>
      </c>
      <c r="H133" s="859" t="str">
        <f t="shared" si="105"/>
        <v>F1Q08</v>
      </c>
      <c r="I133" s="859" t="str">
        <f t="shared" si="105"/>
        <v>F2Q08</v>
      </c>
      <c r="J133" s="859" t="str">
        <f t="shared" si="105"/>
        <v>F3Q08</v>
      </c>
      <c r="K133" s="859" t="str">
        <f t="shared" si="105"/>
        <v>F4Q08</v>
      </c>
      <c r="L133" s="859" t="str">
        <f t="shared" si="105"/>
        <v>F1Q09</v>
      </c>
      <c r="M133" s="859" t="str">
        <f t="shared" si="105"/>
        <v>F2Q09</v>
      </c>
      <c r="N133" s="859" t="str">
        <f t="shared" si="105"/>
        <v>F3Q09</v>
      </c>
      <c r="O133" s="859" t="str">
        <f t="shared" si="105"/>
        <v>F4Q09</v>
      </c>
      <c r="P133" s="859" t="str">
        <f t="shared" si="105"/>
        <v>F1Q10</v>
      </c>
      <c r="Q133" s="859" t="str">
        <f t="shared" si="105"/>
        <v>F2Q10</v>
      </c>
      <c r="R133" s="859" t="str">
        <f t="shared" si="105"/>
        <v>F3Q10</v>
      </c>
      <c r="S133" s="859" t="str">
        <f t="shared" si="105"/>
        <v>F4Q10</v>
      </c>
      <c r="T133" s="859" t="str">
        <f t="shared" si="105"/>
        <v>F1Q11</v>
      </c>
      <c r="U133" s="859" t="str">
        <f t="shared" si="105"/>
        <v>F2Q11</v>
      </c>
      <c r="V133" s="859" t="str">
        <f t="shared" si="105"/>
        <v>F3Q11</v>
      </c>
      <c r="W133" s="859" t="str">
        <f t="shared" si="105"/>
        <v>F4Q11</v>
      </c>
      <c r="X133" s="859" t="str">
        <f t="shared" si="105"/>
        <v>F1Q12</v>
      </c>
      <c r="Y133" s="859" t="str">
        <f t="shared" si="105"/>
        <v>F2Q12</v>
      </c>
      <c r="Z133" s="859" t="str">
        <f t="shared" si="105"/>
        <v>F3Q12</v>
      </c>
      <c r="AA133" s="859" t="str">
        <f t="shared" si="105"/>
        <v>F4Q12</v>
      </c>
      <c r="AB133" s="859" t="str">
        <f t="shared" si="105"/>
        <v>F1Q13</v>
      </c>
      <c r="AC133" s="859" t="str">
        <f t="shared" si="105"/>
        <v>F2Q13</v>
      </c>
      <c r="AD133" s="859" t="str">
        <f t="shared" si="105"/>
        <v>F3Q13</v>
      </c>
      <c r="AE133" s="859" t="str">
        <f t="shared" si="105"/>
        <v>F4Q13</v>
      </c>
      <c r="AF133" s="859" t="str">
        <f>AF125</f>
        <v>F1Q14</v>
      </c>
      <c r="AG133" s="859" t="str">
        <f t="shared" si="105"/>
        <v>F2Q14</v>
      </c>
      <c r="AH133" s="859" t="str">
        <f t="shared" si="105"/>
        <v>F3Q14</v>
      </c>
      <c r="AI133" s="859" t="str">
        <f t="shared" si="105"/>
        <v>F4Q14</v>
      </c>
      <c r="AJ133" s="859" t="str">
        <f t="shared" si="105"/>
        <v>F1Q15</v>
      </c>
      <c r="AK133" s="859" t="str">
        <f t="shared" si="105"/>
        <v>F2Q15</v>
      </c>
      <c r="AL133" s="859" t="str">
        <f t="shared" si="105"/>
        <v>F3Q15</v>
      </c>
      <c r="AM133" s="859" t="str">
        <f t="shared" si="105"/>
        <v>F4Q15</v>
      </c>
      <c r="AN133" s="859" t="str">
        <f t="shared" si="105"/>
        <v>F1Q16</v>
      </c>
      <c r="AO133" s="859" t="str">
        <f t="shared" si="105"/>
        <v>F2Q16</v>
      </c>
      <c r="AP133" s="859" t="str">
        <f t="shared" si="105"/>
        <v>F3Q16E</v>
      </c>
      <c r="AQ133" s="859" t="str">
        <f>AQ125</f>
        <v>F4Q16E</v>
      </c>
    </row>
    <row r="134" spans="1:66" x14ac:dyDescent="0.2">
      <c r="B134" s="850" t="str">
        <f>B126</f>
        <v>CAD/CAM</v>
      </c>
      <c r="C134" s="850"/>
      <c r="D134" s="850"/>
      <c r="E134" s="850"/>
      <c r="F134" s="850"/>
      <c r="G134" s="850"/>
      <c r="H134" s="850"/>
      <c r="I134" s="850"/>
      <c r="J134" s="864"/>
      <c r="K134" s="864"/>
      <c r="L134" s="864"/>
      <c r="M134" s="864"/>
      <c r="N134" s="864"/>
      <c r="O134" s="864"/>
      <c r="P134" s="864"/>
      <c r="Q134" s="864"/>
      <c r="R134" s="864"/>
      <c r="S134" s="864"/>
      <c r="T134" s="864"/>
      <c r="U134" s="864"/>
      <c r="V134" s="864"/>
      <c r="W134" s="864"/>
      <c r="X134" s="864"/>
      <c r="Y134" s="864"/>
      <c r="Z134" s="864"/>
      <c r="AA134" s="864"/>
      <c r="AB134" s="864"/>
      <c r="AC134" s="864"/>
      <c r="AD134" s="864"/>
      <c r="AE134" s="864"/>
      <c r="AF134" s="864">
        <f t="shared" ref="AF134:AP138" si="106">AF126+AB126</f>
        <v>-2.899116944111324E-2</v>
      </c>
      <c r="AG134" s="864">
        <f t="shared" si="106"/>
        <v>-7.4559136181453489E-3</v>
      </c>
      <c r="AH134" s="864">
        <f t="shared" si="106"/>
        <v>-7.426067911401546E-3</v>
      </c>
      <c r="AI134" s="864">
        <f t="shared" si="106"/>
        <v>-1.0203052630251008E-2</v>
      </c>
      <c r="AJ134" s="864">
        <f t="shared" si="106"/>
        <v>2.5770692870394796E-2</v>
      </c>
      <c r="AK134" s="864">
        <f t="shared" si="106"/>
        <v>2.0378611401755231E-2</v>
      </c>
      <c r="AL134" s="864">
        <f t="shared" si="106"/>
        <v>5.7089646078966716E-2</v>
      </c>
      <c r="AM134" s="864">
        <f t="shared" si="106"/>
        <v>1.0342892796091463E-2</v>
      </c>
      <c r="AN134" s="864">
        <f t="shared" si="106"/>
        <v>2.0991169441113233E-2</v>
      </c>
      <c r="AO134" s="864">
        <f t="shared" si="106"/>
        <v>1.0704483074107651E-3</v>
      </c>
      <c r="AP134" s="866">
        <f t="shared" si="106"/>
        <v>7.9260455642897742E-3</v>
      </c>
      <c r="AQ134" s="866">
        <f>AQ126+AM126</f>
        <v>1.2030526302510003E-3</v>
      </c>
    </row>
    <row r="135" spans="1:66" x14ac:dyDescent="0.2">
      <c r="B135" s="865" t="str">
        <f>B127</f>
        <v>Imaging Systems</v>
      </c>
      <c r="C135" s="891"/>
      <c r="D135" s="891"/>
      <c r="E135" s="891"/>
      <c r="F135" s="891"/>
      <c r="G135" s="891"/>
      <c r="H135" s="891"/>
      <c r="I135" s="891"/>
      <c r="J135" s="866"/>
      <c r="K135" s="866"/>
      <c r="L135" s="866"/>
      <c r="M135" s="866"/>
      <c r="N135" s="866"/>
      <c r="O135" s="866"/>
      <c r="P135" s="866"/>
      <c r="Q135" s="866"/>
      <c r="R135" s="866"/>
      <c r="S135" s="866"/>
      <c r="T135" s="866"/>
      <c r="U135" s="866"/>
      <c r="V135" s="866"/>
      <c r="W135" s="866"/>
      <c r="X135" s="866"/>
      <c r="Y135" s="866"/>
      <c r="Z135" s="866"/>
      <c r="AA135" s="866"/>
      <c r="AB135" s="866"/>
      <c r="AC135" s="866"/>
      <c r="AD135" s="866"/>
      <c r="AE135" s="866"/>
      <c r="AF135" s="866">
        <f t="shared" si="106"/>
        <v>-3.5085562243851731E-3</v>
      </c>
      <c r="AG135" s="866">
        <f t="shared" si="106"/>
        <v>2.0389001203718671E-2</v>
      </c>
      <c r="AH135" s="866">
        <f t="shared" si="106"/>
        <v>-2.3673226025443528E-2</v>
      </c>
      <c r="AI135" s="866">
        <f t="shared" si="106"/>
        <v>-1.5221434542572188E-2</v>
      </c>
      <c r="AJ135" s="866">
        <f t="shared" si="106"/>
        <v>-2.7562240541904481E-2</v>
      </c>
      <c r="AK135" s="866">
        <f t="shared" si="106"/>
        <v>1.7831749323282464E-2</v>
      </c>
      <c r="AL135" s="866">
        <f t="shared" si="106"/>
        <v>-1.9318259307886443E-2</v>
      </c>
      <c r="AM135" s="866">
        <f t="shared" si="106"/>
        <v>-1.4585565052592564E-2</v>
      </c>
      <c r="AN135" s="866">
        <f t="shared" si="106"/>
        <v>5.9281229979077921E-3</v>
      </c>
      <c r="AO135" s="866">
        <f t="shared" si="106"/>
        <v>-2.3116406966086189E-2</v>
      </c>
      <c r="AP135" s="866">
        <f t="shared" si="106"/>
        <v>-2.9358746791015022E-3</v>
      </c>
      <c r="AQ135" s="866">
        <f>AQ127+AM127</f>
        <v>-1.6778565457427841E-2</v>
      </c>
    </row>
    <row r="136" spans="1:66" x14ac:dyDescent="0.2">
      <c r="B136" s="850" t="str">
        <f>B128</f>
        <v>Treatment Centers</v>
      </c>
      <c r="C136" s="850"/>
      <c r="D136" s="850"/>
      <c r="E136" s="850"/>
      <c r="F136" s="850"/>
      <c r="G136" s="850"/>
      <c r="H136" s="850"/>
      <c r="I136" s="850"/>
      <c r="J136" s="864"/>
      <c r="K136" s="864"/>
      <c r="L136" s="864"/>
      <c r="M136" s="864"/>
      <c r="N136" s="864"/>
      <c r="O136" s="864"/>
      <c r="P136" s="864"/>
      <c r="Q136" s="864"/>
      <c r="R136" s="864"/>
      <c r="S136" s="864"/>
      <c r="T136" s="864"/>
      <c r="U136" s="864"/>
      <c r="V136" s="864"/>
      <c r="W136" s="864"/>
      <c r="X136" s="864"/>
      <c r="Y136" s="864"/>
      <c r="Z136" s="864"/>
      <c r="AA136" s="864"/>
      <c r="AB136" s="864"/>
      <c r="AC136" s="864"/>
      <c r="AD136" s="864"/>
      <c r="AE136" s="864"/>
      <c r="AF136" s="864">
        <f t="shared" si="106"/>
        <v>6.5516187203951137E-3</v>
      </c>
      <c r="AG136" s="864">
        <f t="shared" si="106"/>
        <v>-2.1566445212999441E-2</v>
      </c>
      <c r="AH136" s="864">
        <f t="shared" si="106"/>
        <v>3.0551540024177981E-2</v>
      </c>
      <c r="AI136" s="864">
        <f t="shared" si="106"/>
        <v>2.3560319994285761E-3</v>
      </c>
      <c r="AJ136" s="864">
        <f t="shared" si="106"/>
        <v>2.9729126876870238E-2</v>
      </c>
      <c r="AK136" s="864">
        <f t="shared" si="106"/>
        <v>1.4811092624653355E-2</v>
      </c>
      <c r="AL136" s="864">
        <f t="shared" si="106"/>
        <v>5.0652255127607293E-2</v>
      </c>
      <c r="AM136" s="864">
        <f t="shared" si="106"/>
        <v>4.7652322402396696E-3</v>
      </c>
      <c r="AN136" s="864">
        <f t="shared" si="106"/>
        <v>1.3548864525024351E-2</v>
      </c>
      <c r="AO136" s="864">
        <f t="shared" si="106"/>
        <v>3.3281249999999984E-2</v>
      </c>
      <c r="AP136" s="866">
        <f t="shared" si="106"/>
        <v>-1.1364217067160398E-2</v>
      </c>
      <c r="AQ136" s="866">
        <f>AQ128+AM128</f>
        <v>1.3643968000571383E-2</v>
      </c>
    </row>
    <row r="137" spans="1:66" x14ac:dyDescent="0.2">
      <c r="B137" s="865" t="str">
        <f>B129</f>
        <v>Instruments</v>
      </c>
      <c r="C137" s="891"/>
      <c r="D137" s="891"/>
      <c r="E137" s="891"/>
      <c r="F137" s="891"/>
      <c r="G137" s="891"/>
      <c r="H137" s="891"/>
      <c r="I137" s="891"/>
      <c r="J137" s="866"/>
      <c r="K137" s="866"/>
      <c r="L137" s="866"/>
      <c r="M137" s="866"/>
      <c r="N137" s="866"/>
      <c r="O137" s="866"/>
      <c r="P137" s="866"/>
      <c r="Q137" s="866"/>
      <c r="R137" s="866"/>
      <c r="S137" s="866"/>
      <c r="T137" s="866"/>
      <c r="U137" s="866"/>
      <c r="V137" s="866"/>
      <c r="W137" s="866"/>
      <c r="X137" s="866"/>
      <c r="Y137" s="866"/>
      <c r="Z137" s="866"/>
      <c r="AA137" s="866"/>
      <c r="AB137" s="866"/>
      <c r="AC137" s="866"/>
      <c r="AD137" s="866"/>
      <c r="AE137" s="866"/>
      <c r="AF137" s="866">
        <f t="shared" si="106"/>
        <v>-9.9188255170879425E-2</v>
      </c>
      <c r="AG137" s="866">
        <f t="shared" si="106"/>
        <v>1.6638140253808942E-2</v>
      </c>
      <c r="AH137" s="866">
        <f t="shared" si="106"/>
        <v>1.6728234611231518E-2</v>
      </c>
      <c r="AI137" s="866">
        <f t="shared" si="106"/>
        <v>-5.4584540640814805E-2</v>
      </c>
      <c r="AJ137" s="866">
        <f t="shared" si="106"/>
        <v>-2.4312205432105327E-2</v>
      </c>
      <c r="AK137" s="866">
        <f t="shared" si="106"/>
        <v>-3.2886209049402371E-2</v>
      </c>
      <c r="AL137" s="866">
        <f t="shared" si="106"/>
        <v>7.1960200659779761E-2</v>
      </c>
      <c r="AM137" s="866">
        <f t="shared" si="106"/>
        <v>1.7406754994715834E-2</v>
      </c>
      <c r="AN137" s="866">
        <f t="shared" si="106"/>
        <v>2.105289011183914E-2</v>
      </c>
      <c r="AO137" s="866">
        <f t="shared" si="106"/>
        <v>-8.5661053940373488E-3</v>
      </c>
      <c r="AP137" s="866">
        <f t="shared" si="106"/>
        <v>-3.3046842149524802E-2</v>
      </c>
      <c r="AQ137" s="866">
        <f>AQ129+AM129</f>
        <v>4.0000000000000036E-3</v>
      </c>
    </row>
    <row r="138" spans="1:66" x14ac:dyDescent="0.2">
      <c r="B138" s="887" t="str">
        <f>B130</f>
        <v>Total</v>
      </c>
      <c r="C138" s="850"/>
      <c r="D138" s="850"/>
      <c r="E138" s="850"/>
      <c r="F138" s="850"/>
      <c r="G138" s="850"/>
      <c r="H138" s="850"/>
      <c r="I138" s="850"/>
      <c r="J138" s="870"/>
      <c r="K138" s="870"/>
      <c r="L138" s="870"/>
      <c r="M138" s="870"/>
      <c r="N138" s="870"/>
      <c r="O138" s="870"/>
      <c r="P138" s="870"/>
      <c r="Q138" s="870"/>
      <c r="R138" s="870"/>
      <c r="S138" s="870"/>
      <c r="T138" s="870"/>
      <c r="U138" s="870"/>
      <c r="V138" s="870"/>
      <c r="W138" s="870"/>
      <c r="X138" s="870"/>
      <c r="Y138" s="870"/>
      <c r="Z138" s="870"/>
      <c r="AA138" s="870"/>
      <c r="AB138" s="870"/>
      <c r="AC138" s="870"/>
      <c r="AD138" s="870"/>
      <c r="AE138" s="870"/>
      <c r="AF138" s="870">
        <f t="shared" si="106"/>
        <v>-1.800472859314084E-2</v>
      </c>
      <c r="AG138" s="870">
        <f t="shared" si="106"/>
        <v>1.0818117079506195E-2</v>
      </c>
      <c r="AH138" s="870">
        <f t="shared" si="106"/>
        <v>-6.060447566032745E-3</v>
      </c>
      <c r="AI138" s="870">
        <f t="shared" si="106"/>
        <v>-1.302061738955973E-2</v>
      </c>
      <c r="AJ138" s="870">
        <f t="shared" si="106"/>
        <v>8.4190013530064389E-3</v>
      </c>
      <c r="AK138" s="870">
        <f t="shared" si="106"/>
        <v>2.2387151765417723E-2</v>
      </c>
      <c r="AL138" s="870">
        <f t="shared" si="106"/>
        <v>1.8561912569588168E-2</v>
      </c>
      <c r="AM138" s="870">
        <f t="shared" si="106"/>
        <v>1.3422814183377429E-2</v>
      </c>
      <c r="AN138" s="870">
        <f t="shared" si="106"/>
        <v>1.8779875097113985E-2</v>
      </c>
      <c r="AO138" s="870">
        <f t="shared" si="106"/>
        <v>-5.6100429784644579E-4</v>
      </c>
      <c r="AP138" s="890">
        <f t="shared" si="106"/>
        <v>6.3932698239226315E-3</v>
      </c>
      <c r="AQ138" s="890">
        <f>AQ130+AM130</f>
        <v>3.4224978210444235E-3</v>
      </c>
    </row>
    <row r="139" spans="1:66" s="906" customFormat="1" x14ac:dyDescent="0.2">
      <c r="A139" s="847"/>
      <c r="B139" s="887"/>
      <c r="C139" s="850"/>
      <c r="D139" s="850"/>
      <c r="E139" s="850"/>
      <c r="F139" s="850"/>
      <c r="G139" s="850"/>
      <c r="H139" s="850"/>
      <c r="I139" s="850"/>
      <c r="J139" s="870"/>
      <c r="K139" s="870"/>
      <c r="L139" s="870"/>
      <c r="M139" s="870"/>
      <c r="N139" s="870"/>
      <c r="O139" s="870"/>
      <c r="P139" s="870"/>
      <c r="Q139" s="870"/>
      <c r="R139" s="870"/>
      <c r="S139" s="870"/>
      <c r="T139" s="870"/>
      <c r="U139" s="870"/>
      <c r="V139" s="870"/>
      <c r="W139" s="870"/>
      <c r="X139" s="870"/>
      <c r="Y139" s="870"/>
      <c r="Z139" s="870"/>
      <c r="AA139" s="870"/>
      <c r="AB139" s="870"/>
      <c r="AC139" s="870"/>
      <c r="AD139" s="870"/>
      <c r="AE139" s="870"/>
      <c r="AF139" s="870"/>
      <c r="AG139" s="870"/>
      <c r="AH139" s="870"/>
      <c r="AI139" s="870"/>
      <c r="AJ139" s="870"/>
      <c r="AK139" s="870"/>
      <c r="AL139" s="870"/>
      <c r="AM139" s="870"/>
      <c r="AN139" s="870"/>
      <c r="AO139" s="870"/>
      <c r="AP139" s="890"/>
      <c r="AQ139" s="890"/>
      <c r="AZ139" s="1560"/>
      <c r="BA139" s="1560"/>
      <c r="BB139" s="1560"/>
      <c r="BC139" s="1560"/>
      <c r="BD139" s="1560"/>
      <c r="BE139" s="1560"/>
      <c r="BF139" s="24"/>
    </row>
    <row r="140" spans="1:66" x14ac:dyDescent="0.2">
      <c r="B140" s="850"/>
      <c r="C140" s="850"/>
      <c r="D140" s="850"/>
      <c r="E140" s="850"/>
      <c r="F140" s="850"/>
      <c r="G140" s="850"/>
      <c r="H140" s="850"/>
      <c r="I140" s="850"/>
      <c r="J140" s="864"/>
      <c r="K140" s="864"/>
      <c r="L140" s="864"/>
      <c r="M140" s="864"/>
      <c r="N140" s="864"/>
      <c r="O140" s="864"/>
      <c r="P140" s="864"/>
      <c r="Q140" s="864"/>
      <c r="R140" s="864"/>
      <c r="S140" s="864"/>
      <c r="T140" s="864"/>
      <c r="U140" s="864"/>
      <c r="V140" s="864"/>
      <c r="W140" s="864"/>
      <c r="X140" s="864"/>
      <c r="Y140" s="864"/>
      <c r="Z140" s="864"/>
      <c r="AA140" s="864"/>
      <c r="AB140" s="864"/>
      <c r="AC140" s="864"/>
      <c r="AD140" s="864"/>
      <c r="AE140" s="864"/>
      <c r="AF140" s="864"/>
      <c r="AG140" s="864"/>
      <c r="AH140" s="864"/>
      <c r="AI140" s="864"/>
      <c r="AJ140" s="864"/>
      <c r="AK140" s="864"/>
      <c r="AL140" s="864"/>
      <c r="AM140" s="864"/>
      <c r="AN140" s="864"/>
      <c r="AO140" s="864"/>
      <c r="AP140" s="864"/>
      <c r="AQ140" s="864"/>
    </row>
    <row r="141" spans="1:66" x14ac:dyDescent="0.2">
      <c r="B141" s="873" t="s">
        <v>634</v>
      </c>
      <c r="C141" s="850"/>
      <c r="D141" s="850"/>
      <c r="E141" s="850"/>
      <c r="F141" s="850"/>
      <c r="G141" s="850"/>
      <c r="H141" s="850"/>
      <c r="I141" s="850"/>
      <c r="J141" s="864"/>
      <c r="K141" s="864"/>
      <c r="L141" s="864"/>
      <c r="M141" s="864"/>
      <c r="N141" s="864"/>
      <c r="O141" s="864"/>
      <c r="P141" s="864"/>
      <c r="Q141" s="864"/>
      <c r="R141" s="864"/>
      <c r="S141" s="864"/>
      <c r="T141" s="864"/>
      <c r="U141" s="864"/>
      <c r="V141" s="864"/>
      <c r="W141" s="864"/>
      <c r="X141" s="864"/>
      <c r="Y141" s="864"/>
      <c r="Z141" s="864"/>
      <c r="AA141" s="864"/>
      <c r="AB141" s="864"/>
      <c r="AC141" s="864"/>
      <c r="AD141" s="864"/>
      <c r="AE141" s="864"/>
      <c r="AF141" s="864"/>
      <c r="AG141" s="850"/>
      <c r="AH141" s="850"/>
      <c r="AI141" s="850"/>
      <c r="AJ141" s="850"/>
      <c r="AK141" s="850"/>
      <c r="AL141" s="850"/>
      <c r="AM141" s="850"/>
      <c r="AN141" s="850"/>
      <c r="AO141" s="850"/>
      <c r="AP141" s="850"/>
      <c r="AQ141" s="850"/>
      <c r="AR141" s="36"/>
    </row>
    <row r="142" spans="1:66" x14ac:dyDescent="0.2">
      <c r="B142" s="907"/>
      <c r="AF142" s="910"/>
      <c r="AG142" s="908"/>
      <c r="AH142" s="908"/>
      <c r="AI142" s="908"/>
      <c r="AK142" s="1316" t="s">
        <v>376</v>
      </c>
      <c r="AL142" s="1320" t="s">
        <v>529</v>
      </c>
      <c r="AM142" s="1320" t="s">
        <v>580</v>
      </c>
      <c r="AN142" s="908">
        <v>42825</v>
      </c>
      <c r="AO142" s="908">
        <v>42916</v>
      </c>
      <c r="AP142" s="908">
        <v>43008</v>
      </c>
      <c r="AQ142" s="1329">
        <v>43100</v>
      </c>
      <c r="AR142" s="1320" t="s">
        <v>581</v>
      </c>
      <c r="AS142" s="908">
        <v>43190</v>
      </c>
      <c r="AT142" s="908">
        <v>43281</v>
      </c>
      <c r="AU142" s="908">
        <v>43373</v>
      </c>
      <c r="AV142" s="1329">
        <v>43465</v>
      </c>
      <c r="AW142" s="1275" t="s">
        <v>393</v>
      </c>
      <c r="AX142" s="1275" t="s">
        <v>394</v>
      </c>
      <c r="AY142" s="1275" t="s">
        <v>395</v>
      </c>
      <c r="BG142" s="906"/>
      <c r="BH142" s="906"/>
      <c r="BI142" s="906"/>
      <c r="BJ142" s="906"/>
      <c r="BK142" s="906"/>
      <c r="BL142" s="906"/>
      <c r="BM142" s="906"/>
      <c r="BN142" s="906"/>
    </row>
    <row r="143" spans="1:66" x14ac:dyDescent="0.2">
      <c r="B143" s="918" t="s">
        <v>398</v>
      </c>
      <c r="AB143" s="919"/>
      <c r="AC143" s="919"/>
      <c r="AD143" s="919"/>
      <c r="AE143" s="920"/>
      <c r="AF143" s="1321"/>
      <c r="AG143" s="919"/>
      <c r="AH143" s="919"/>
      <c r="AI143" s="919"/>
      <c r="AK143" s="1441">
        <v>773.37396821224934</v>
      </c>
      <c r="AL143" s="1442">
        <v>815.11025003102645</v>
      </c>
      <c r="AM143" s="1321">
        <f>'P&amp;L'!BI151</f>
        <v>840.31370422971111</v>
      </c>
      <c r="AN143" s="919">
        <f>'P&amp;L'!BK151</f>
        <v>147.9</v>
      </c>
      <c r="AO143" s="919">
        <f>'P&amp;L'!BL151</f>
        <v>195.1</v>
      </c>
      <c r="AP143" s="919">
        <f>'P&amp;L'!BM151</f>
        <v>211.70000000000002</v>
      </c>
      <c r="AQ143" s="1330">
        <f>'P&amp;L'!BN151</f>
        <v>236.9</v>
      </c>
      <c r="AR143" s="1321">
        <f>'P&amp;L'!BO151</f>
        <v>791.60000000000014</v>
      </c>
      <c r="AS143" s="919">
        <f>'P&amp;L'!BQ151</f>
        <v>138.82124999999991</v>
      </c>
      <c r="AT143" s="919">
        <f>'P&amp;L'!BR151</f>
        <v>189.61024000000003</v>
      </c>
      <c r="AU143" s="919">
        <f>'P&amp;L'!BS151</f>
        <v>220.21661999999998</v>
      </c>
      <c r="AV143" s="1330">
        <f>'P&amp;L'!BT151</f>
        <v>252.57679999999999</v>
      </c>
      <c r="AW143" s="1276">
        <f>'P&amp;L'!BU151</f>
        <v>801.22491000000014</v>
      </c>
      <c r="AX143" s="1276">
        <f>'P&amp;L'!CA151</f>
        <v>909.00530436000031</v>
      </c>
      <c r="AY143" s="1276">
        <f>'P&amp;L'!CG151</f>
        <v>977.20618564999995</v>
      </c>
      <c r="BG143" s="906"/>
      <c r="BH143" s="906"/>
      <c r="BI143" s="906"/>
      <c r="BJ143" s="906"/>
      <c r="BK143" s="906"/>
      <c r="BL143" s="906"/>
      <c r="BM143" s="906"/>
      <c r="BN143" s="906"/>
    </row>
    <row r="144" spans="1:66" x14ac:dyDescent="0.2">
      <c r="B144" s="918" t="s">
        <v>398</v>
      </c>
      <c r="AB144" s="825"/>
      <c r="AC144" s="825"/>
      <c r="AD144" s="825"/>
      <c r="AE144" s="825"/>
      <c r="AF144" s="1322"/>
      <c r="AG144" s="825"/>
      <c r="AH144" s="825"/>
      <c r="AI144" s="825"/>
      <c r="AK144" s="1443">
        <v>0.18939779455206726</v>
      </c>
      <c r="AL144" s="1444">
        <v>0.21201536657207284</v>
      </c>
      <c r="AM144" s="1322">
        <f>'P&amp;L'!BI152</f>
        <v>0.21442666666666665</v>
      </c>
      <c r="AN144" s="825">
        <f>'P&amp;L'!BK152</f>
        <v>0.1639689578713969</v>
      </c>
      <c r="AO144" s="825">
        <f>'P&amp;L'!BL152</f>
        <v>0.19623818145242405</v>
      </c>
      <c r="AP144" s="825">
        <f>'P&amp;L'!BM152</f>
        <v>0.20956246287863789</v>
      </c>
      <c r="AQ144" s="1331">
        <f>'P&amp;L'!BN152</f>
        <v>0.21714023831347387</v>
      </c>
      <c r="AR144" s="1322">
        <f>'P&amp;L'!BO152</f>
        <v>0.19802871866713367</v>
      </c>
      <c r="AS144" s="825">
        <f>'P&amp;L'!BQ152</f>
        <v>0.14604000757440261</v>
      </c>
      <c r="AT144" s="825">
        <f>'P&amp;L'!BR152</f>
        <v>0.17886678540163614</v>
      </c>
      <c r="AU144" s="825">
        <f>'P&amp;L'!BS152</f>
        <v>0.20347998432897324</v>
      </c>
      <c r="AV144" s="1331">
        <f>'P&amp;L'!BT152</f>
        <v>0.21719861998273257</v>
      </c>
      <c r="AW144" s="1277">
        <f>'P&amp;L'!BU152</f>
        <v>0.18826790686526765</v>
      </c>
      <c r="AX144" s="1277">
        <f>'P&amp;L'!CA152</f>
        <v>0.20559528216360645</v>
      </c>
      <c r="AY144" s="1277">
        <f>'P&amp;L'!CG152</f>
        <v>0.21455215311184805</v>
      </c>
      <c r="BG144" s="906"/>
      <c r="BH144" s="906"/>
      <c r="BI144" s="906"/>
      <c r="BJ144" s="906"/>
      <c r="BK144" s="906"/>
      <c r="BL144" s="906"/>
      <c r="BM144" s="906"/>
      <c r="BN144" s="906"/>
    </row>
    <row r="145" spans="1:99" x14ac:dyDescent="0.2">
      <c r="B145" s="283" t="s">
        <v>399</v>
      </c>
      <c r="AB145" s="532"/>
      <c r="AC145" s="532"/>
      <c r="AD145" s="532"/>
      <c r="AE145" s="912"/>
      <c r="AF145" s="1323"/>
      <c r="AG145" s="532"/>
      <c r="AH145" s="532"/>
      <c r="AI145" s="532"/>
      <c r="AK145" s="1445">
        <v>0.19562316533678037</v>
      </c>
      <c r="AL145" s="1446">
        <v>0.21726424021937427</v>
      </c>
      <c r="AM145" s="1323">
        <f>'P&amp;L'!BI153</f>
        <v>0.21442666666666665</v>
      </c>
      <c r="AN145" s="532">
        <f>'P&amp;L'!BK153</f>
        <v>0.16601189808059266</v>
      </c>
      <c r="AO145" s="532">
        <f>'P&amp;L'!BL153</f>
        <v>0.19817166074149314</v>
      </c>
      <c r="AP145" s="532">
        <f>'P&amp;L'!BM153</f>
        <v>0.21153077537969628</v>
      </c>
      <c r="AQ145" s="1332">
        <f>'P&amp;L'!BN153</f>
        <v>0.21920977144443415</v>
      </c>
      <c r="AR145" s="1323">
        <f>'P&amp;L'!BO153</f>
        <v>0.20005559908008799</v>
      </c>
      <c r="AS145" s="532">
        <f>'P&amp;L'!BQ153</f>
        <v>0.14776549543891759</v>
      </c>
      <c r="AT145" s="532">
        <f>'P&amp;L'!BR153</f>
        <v>0.18051860117064183</v>
      </c>
      <c r="AU145" s="532">
        <f>'P&amp;L'!BS153</f>
        <v>0.20526281351015793</v>
      </c>
      <c r="AV145" s="1332">
        <f>'P&amp;L'!BT153</f>
        <v>0.21913960284022682</v>
      </c>
      <c r="AW145" s="1278">
        <f>'P&amp;L'!BU153</f>
        <v>0.19007677088300395</v>
      </c>
      <c r="AX145" s="1278">
        <f>'P&amp;L'!CA153</f>
        <v>0.20749597274352466</v>
      </c>
      <c r="AY145" s="1278">
        <f>'P&amp;L'!CG153</f>
        <v>0.21647707720636264</v>
      </c>
      <c r="BG145" s="906"/>
      <c r="BH145" s="906"/>
      <c r="BI145" s="906"/>
      <c r="BJ145" s="906"/>
      <c r="BK145" s="906"/>
      <c r="BL145" s="906"/>
      <c r="BM145" s="906"/>
      <c r="BN145" s="906"/>
    </row>
    <row r="146" spans="1:99" x14ac:dyDescent="0.2">
      <c r="B146" s="911" t="s">
        <v>384</v>
      </c>
      <c r="AB146" s="912"/>
      <c r="AC146" s="912"/>
      <c r="AD146" s="912"/>
      <c r="AE146" s="912"/>
      <c r="AF146" s="1323"/>
      <c r="AG146" s="912"/>
      <c r="AH146" s="912"/>
      <c r="AI146" s="912"/>
      <c r="AK146" s="1445">
        <v>0.20012316533678032</v>
      </c>
      <c r="AL146" s="1446">
        <v>0.22176424021937424</v>
      </c>
      <c r="AM146" s="1323">
        <f>'P&amp;L'!BI154</f>
        <v>0.22266751227717929</v>
      </c>
      <c r="AN146" s="912">
        <f>'P&amp;L'!BK154</f>
        <v>0.17051189808059264</v>
      </c>
      <c r="AO146" s="912">
        <f>'P&amp;L'!BL154</f>
        <v>0.20267166074149312</v>
      </c>
      <c r="AP146" s="912">
        <f>'P&amp;L'!BM154</f>
        <v>0.21603077537969617</v>
      </c>
      <c r="AQ146" s="1333">
        <f>'P&amp;L'!BN154</f>
        <v>0.22370977144443416</v>
      </c>
      <c r="AR146" s="1323">
        <f>'P&amp;L'!BO154</f>
        <v>0.20455559908008791</v>
      </c>
      <c r="AS146" s="912">
        <f>'P&amp;L'!BQ154</f>
        <v>0.15226549543891754</v>
      </c>
      <c r="AT146" s="912">
        <f>'P&amp;L'!BR154</f>
        <v>0.18501860117064173</v>
      </c>
      <c r="AU146" s="912">
        <f>'P&amp;L'!BS154</f>
        <v>0.20976281351015791</v>
      </c>
      <c r="AV146" s="1333">
        <f>'P&amp;L'!BT154</f>
        <v>0.22363960284022677</v>
      </c>
      <c r="AW146" s="1278">
        <f>'P&amp;L'!BU154</f>
        <v>0.19457677088300385</v>
      </c>
      <c r="AX146" s="1278">
        <f>'P&amp;L'!CA154</f>
        <v>0.21199597274352466</v>
      </c>
      <c r="AY146" s="1278">
        <f>'P&amp;L'!CG154</f>
        <v>0.22097707720636262</v>
      </c>
      <c r="BG146" s="906"/>
      <c r="BH146" s="906"/>
      <c r="BI146" s="906"/>
      <c r="BJ146" s="906"/>
      <c r="BK146" s="906"/>
      <c r="BL146" s="906"/>
      <c r="BM146" s="906"/>
      <c r="BN146" s="906"/>
    </row>
    <row r="147" spans="1:99" x14ac:dyDescent="0.2">
      <c r="B147" s="407" t="s">
        <v>666</v>
      </c>
      <c r="AB147" s="792"/>
      <c r="AC147" s="792"/>
      <c r="AD147" s="792"/>
      <c r="AE147" s="1317"/>
      <c r="AF147" s="1324"/>
      <c r="AG147" s="792"/>
      <c r="AH147" s="792"/>
      <c r="AI147" s="792"/>
      <c r="AK147" s="1317">
        <v>-4.5</v>
      </c>
      <c r="AL147" s="1324">
        <f>'P&amp;L'!BC156</f>
        <v>-0.40000000000000008</v>
      </c>
      <c r="AM147" s="1504">
        <f>'P&amp;L'!BI156</f>
        <v>-22.951000000000001</v>
      </c>
      <c r="AN147" s="1503">
        <f>'P&amp;L'!BK156</f>
        <v>-8.5</v>
      </c>
      <c r="AO147" s="1503">
        <f>'P&amp;L'!BL156</f>
        <v>-6</v>
      </c>
      <c r="AP147" s="1503">
        <f>'P&amp;L'!BM156</f>
        <v>-6</v>
      </c>
      <c r="AQ147" s="1505">
        <f>'P&amp;L'!BN156</f>
        <v>-4.8549084253115353</v>
      </c>
      <c r="AR147" s="1504">
        <f>'P&amp;L'!BO156</f>
        <v>-25.354908425311535</v>
      </c>
      <c r="AS147" s="1503">
        <f>'P&amp;L'!BQ156</f>
        <v>8</v>
      </c>
      <c r="AT147" s="1503">
        <f>'P&amp;L'!BR156</f>
        <v>7</v>
      </c>
      <c r="AU147" s="1503">
        <f>'P&amp;L'!BS156</f>
        <v>6</v>
      </c>
      <c r="AV147" s="1505">
        <f>'P&amp;L'!BT156</f>
        <v>5</v>
      </c>
      <c r="AW147" s="1506">
        <f>'P&amp;L'!BU156</f>
        <v>26</v>
      </c>
      <c r="AX147" s="1506">
        <f>'P&amp;L'!CA156</f>
        <v>0</v>
      </c>
      <c r="AY147" s="1506">
        <f>'P&amp;L'!CG156</f>
        <v>0</v>
      </c>
      <c r="BG147" s="906"/>
      <c r="BH147" s="906"/>
      <c r="BI147" s="906"/>
      <c r="BJ147" s="906"/>
      <c r="BK147" s="906"/>
      <c r="BL147" s="906"/>
      <c r="BM147" s="906"/>
      <c r="BN147" s="906"/>
    </row>
    <row r="148" spans="1:99" x14ac:dyDescent="0.2">
      <c r="B148" s="1308" t="s">
        <v>664</v>
      </c>
      <c r="AB148" s="914"/>
      <c r="AC148" s="914"/>
      <c r="AD148" s="914"/>
      <c r="AE148" s="1317"/>
      <c r="AF148" s="1324"/>
      <c r="AG148" s="914"/>
      <c r="AH148" s="914"/>
      <c r="AI148" s="914"/>
      <c r="AK148" s="1317">
        <v>-2.0120197050196333</v>
      </c>
      <c r="AL148" s="1324">
        <f>'P&amp;L'!BC158</f>
        <v>4.0230187660365049</v>
      </c>
      <c r="AM148" s="1504">
        <f>'P&amp;L'!BI158</f>
        <v>0</v>
      </c>
      <c r="AN148" s="1507">
        <f>'P&amp;L'!BK158</f>
        <v>-31.2</v>
      </c>
      <c r="AO148" s="1507">
        <f>'P&amp;L'!BL158</f>
        <v>-24</v>
      </c>
      <c r="AP148" s="1507">
        <f>'P&amp;L'!BM158</f>
        <v>6</v>
      </c>
      <c r="AQ148" s="1508">
        <f>'P&amp;L'!BN158</f>
        <v>12</v>
      </c>
      <c r="AR148" s="1504">
        <f>'P&amp;L'!BO158</f>
        <v>-37.200000000000003</v>
      </c>
      <c r="AS148" s="1507">
        <f>'P&amp;L'!BQ158</f>
        <v>-21</v>
      </c>
      <c r="AT148" s="1507">
        <f>'P&amp;L'!BR158</f>
        <v>-6</v>
      </c>
      <c r="AU148" s="1507">
        <f>'P&amp;L'!BS158</f>
        <v>0</v>
      </c>
      <c r="AV148" s="1508">
        <f>'P&amp;L'!BT158</f>
        <v>0</v>
      </c>
      <c r="AW148" s="1506">
        <f>'P&amp;L'!BU158</f>
        <v>-27</v>
      </c>
      <c r="AX148" s="1506">
        <f>'P&amp;L'!CA158</f>
        <v>0</v>
      </c>
      <c r="AY148" s="1506">
        <f>'P&amp;L'!CG158</f>
        <v>0</v>
      </c>
      <c r="BG148" s="906"/>
      <c r="BH148" s="906"/>
      <c r="BI148" s="906"/>
      <c r="BJ148" s="906"/>
      <c r="BK148" s="906"/>
      <c r="BL148" s="906"/>
      <c r="BM148" s="906"/>
      <c r="BN148" s="906"/>
    </row>
    <row r="149" spans="1:99" x14ac:dyDescent="0.2">
      <c r="B149" s="407" t="s">
        <v>532</v>
      </c>
      <c r="AB149" s="792"/>
      <c r="AC149" s="792"/>
      <c r="AD149" s="792"/>
      <c r="AE149" s="1319"/>
      <c r="AF149" s="1324"/>
      <c r="AG149" s="792"/>
      <c r="AH149" s="792"/>
      <c r="AI149" s="792"/>
      <c r="AK149" s="1319"/>
      <c r="AL149" s="1324">
        <f>'P&amp;L'!BC160</f>
        <v>0</v>
      </c>
      <c r="AM149" s="1504">
        <f>'P&amp;L'!BI160</f>
        <v>-10.325089999999999</v>
      </c>
      <c r="AN149" s="1503">
        <f>'P&amp;L'!BK160</f>
        <v>-1</v>
      </c>
      <c r="AO149" s="1503">
        <f>'P&amp;L'!BL160</f>
        <v>-1</v>
      </c>
      <c r="AP149" s="1503">
        <f>'P&amp;L'!BM160</f>
        <v>-1</v>
      </c>
      <c r="AQ149" s="1505">
        <f>'P&amp;L'!BN160</f>
        <v>-1</v>
      </c>
      <c r="AR149" s="1504">
        <f>'P&amp;L'!BO160</f>
        <v>-4</v>
      </c>
      <c r="AS149" s="1503">
        <f>'P&amp;L'!BQ160</f>
        <v>0</v>
      </c>
      <c r="AT149" s="1503">
        <f>'P&amp;L'!BR160</f>
        <v>0</v>
      </c>
      <c r="AU149" s="1503">
        <f>'P&amp;L'!BS160</f>
        <v>0</v>
      </c>
      <c r="AV149" s="1505">
        <f>'P&amp;L'!BT160</f>
        <v>0</v>
      </c>
      <c r="AW149" s="1506">
        <f>'P&amp;L'!BU160</f>
        <v>0</v>
      </c>
      <c r="AX149" s="1506">
        <f>'P&amp;L'!CA160</f>
        <v>0</v>
      </c>
      <c r="AY149" s="1506">
        <f>'P&amp;L'!CG160</f>
        <v>0</v>
      </c>
      <c r="BG149" s="906"/>
      <c r="BH149" s="906"/>
      <c r="BI149" s="906"/>
      <c r="BJ149" s="906"/>
      <c r="BK149" s="906"/>
      <c r="BL149" s="906"/>
      <c r="BM149" s="906"/>
      <c r="BN149" s="906"/>
    </row>
    <row r="150" spans="1:99" x14ac:dyDescent="0.2">
      <c r="B150" s="913" t="s">
        <v>533</v>
      </c>
      <c r="AB150" s="915"/>
      <c r="AC150" s="915"/>
      <c r="AD150" s="915"/>
      <c r="AE150" s="1318"/>
      <c r="AF150" s="1325"/>
      <c r="AG150" s="915"/>
      <c r="AH150" s="915"/>
      <c r="AI150" s="915"/>
      <c r="AK150" s="1318"/>
      <c r="AL150" s="1325">
        <f>'P&amp;L'!BC162</f>
        <v>0</v>
      </c>
      <c r="AM150" s="1510">
        <f>'P&amp;L'!BI162</f>
        <v>4.2604363974312811</v>
      </c>
      <c r="AN150" s="1509">
        <f>'P&amp;L'!BK162</f>
        <v>1.8446507760532151</v>
      </c>
      <c r="AO150" s="1509">
        <f>'P&amp;L'!BL162</f>
        <v>0.69169780617995213</v>
      </c>
      <c r="AP150" s="1509">
        <f>'P&amp;L'!BM162</f>
        <v>0.99188056014327497</v>
      </c>
      <c r="AQ150" s="1511">
        <f>'P&amp;L'!BN162</f>
        <v>1.0640701659965206</v>
      </c>
      <c r="AR150" s="1510">
        <f>'P&amp;L'!BO162</f>
        <v>4.5922993083729633</v>
      </c>
      <c r="AS150" s="1509">
        <f>'P&amp;L'!BQ162</f>
        <v>0.49909922394678308</v>
      </c>
      <c r="AT150" s="1509">
        <f>'P&amp;L'!BR162</f>
        <v>0.79232045866022993</v>
      </c>
      <c r="AU150" s="1509">
        <f>'P&amp;L'!BS162</f>
        <v>1.111172292615322</v>
      </c>
      <c r="AV150" s="1511">
        <f>'P&amp;L'!BT162</f>
        <v>1.3071723189734188</v>
      </c>
      <c r="AW150" s="1512">
        <f>'P&amp;L'!BU162</f>
        <v>3.7097642941957538</v>
      </c>
      <c r="AX150" s="1512">
        <f>'P&amp;L'!CA162</f>
        <v>8.2574999999999985</v>
      </c>
      <c r="AY150" s="1512">
        <f>'P&amp;L'!CG162</f>
        <v>4.9204363974312813</v>
      </c>
      <c r="BG150" s="906"/>
      <c r="BH150" s="906"/>
      <c r="BI150" s="906"/>
      <c r="BJ150" s="906"/>
      <c r="BK150" s="906"/>
      <c r="BL150" s="906"/>
      <c r="BM150" s="906"/>
      <c r="BN150" s="906"/>
    </row>
    <row r="151" spans="1:99" x14ac:dyDescent="0.2">
      <c r="B151" s="407" t="s">
        <v>526</v>
      </c>
      <c r="AB151" s="792"/>
      <c r="AC151" s="792"/>
      <c r="AD151" s="792"/>
      <c r="AE151" s="1319"/>
      <c r="AF151" s="1326"/>
      <c r="AG151" s="792"/>
      <c r="AH151" s="792"/>
      <c r="AI151" s="792"/>
      <c r="AK151" s="1319"/>
      <c r="AL151" s="1326">
        <f>'P&amp;L'!BC164</f>
        <v>0</v>
      </c>
      <c r="AM151" s="1513">
        <f>'P&amp;L'!BI164</f>
        <v>5</v>
      </c>
      <c r="AN151" s="1503">
        <f>'P&amp;L'!BK164</f>
        <v>5</v>
      </c>
      <c r="AO151" s="1503">
        <f>'P&amp;L'!BL164</f>
        <v>10</v>
      </c>
      <c r="AP151" s="1503">
        <f>'P&amp;L'!BM164</f>
        <v>10</v>
      </c>
      <c r="AQ151" s="1505">
        <f>'P&amp;L'!BN164</f>
        <v>5</v>
      </c>
      <c r="AR151" s="1513">
        <f>'P&amp;L'!BO164</f>
        <v>30</v>
      </c>
      <c r="AS151" s="1503">
        <f>'P&amp;L'!BQ164</f>
        <v>15</v>
      </c>
      <c r="AT151" s="1503">
        <f>'P&amp;L'!BR164</f>
        <v>10</v>
      </c>
      <c r="AU151" s="1503">
        <f>'P&amp;L'!BS164</f>
        <v>10</v>
      </c>
      <c r="AV151" s="1505">
        <f>'P&amp;L'!BT164</f>
        <v>10</v>
      </c>
      <c r="AW151" s="1514">
        <f>'P&amp;L'!BU164</f>
        <v>45</v>
      </c>
      <c r="AX151" s="1514">
        <f>'P&amp;L'!CA164</f>
        <v>60</v>
      </c>
      <c r="AY151" s="1514">
        <f>'P&amp;L'!CG164</f>
        <v>25</v>
      </c>
      <c r="BG151" s="906"/>
      <c r="BH151" s="906"/>
      <c r="BI151" s="906"/>
      <c r="BJ151" s="906"/>
      <c r="BK151" s="906"/>
      <c r="BL151" s="906"/>
      <c r="BM151" s="906"/>
      <c r="BN151" s="906"/>
    </row>
    <row r="152" spans="1:99" x14ac:dyDescent="0.2">
      <c r="B152" s="913" t="s">
        <v>404</v>
      </c>
      <c r="AB152" s="916"/>
      <c r="AC152" s="916"/>
      <c r="AD152" s="916"/>
      <c r="AE152" s="917"/>
      <c r="AF152" s="1327"/>
      <c r="AG152" s="916"/>
      <c r="AH152" s="916"/>
      <c r="AI152" s="916"/>
      <c r="AK152" s="917">
        <v>779.88598791726861</v>
      </c>
      <c r="AL152" s="1327">
        <f>'P&amp;L'!BC166</f>
        <v>811.48723126498976</v>
      </c>
      <c r="AM152" s="1327">
        <f>'P&amp;L'!BI166</f>
        <v>864.32935783227992</v>
      </c>
      <c r="AN152" s="916">
        <f>'P&amp;L'!BK166</f>
        <v>181.75534922394678</v>
      </c>
      <c r="AO152" s="916">
        <f>'P&amp;L'!BL166</f>
        <v>215.40830219382005</v>
      </c>
      <c r="AP152" s="916">
        <f>'P&amp;L'!BM166</f>
        <v>201.70811943985674</v>
      </c>
      <c r="AQ152" s="1334">
        <f>'P&amp;L'!BN166</f>
        <v>224.69083825931503</v>
      </c>
      <c r="AR152" s="1327">
        <f>'P&amp;L'!BO166</f>
        <v>823.56260911693857</v>
      </c>
      <c r="AS152" s="916">
        <f>'P&amp;L'!BQ166</f>
        <v>136.32215077605312</v>
      </c>
      <c r="AT152" s="916">
        <f>'P&amp;L'!BR166</f>
        <v>177.81791954133979</v>
      </c>
      <c r="AU152" s="916">
        <f>'P&amp;L'!BS166</f>
        <v>203.10544770738466</v>
      </c>
      <c r="AV152" s="1334">
        <f>'P&amp;L'!BT166</f>
        <v>236.26962768102658</v>
      </c>
      <c r="AW152" s="1279">
        <f>'P&amp;L'!BU166</f>
        <v>753.51514570580412</v>
      </c>
      <c r="AX152" s="1279">
        <f>'P&amp;L'!CA166</f>
        <v>840.74780436000015</v>
      </c>
      <c r="AY152" s="1279">
        <f>'P&amp;L'!CG166</f>
        <v>947.28574925256862</v>
      </c>
      <c r="BG152" s="906"/>
      <c r="BH152" s="906"/>
      <c r="BI152" s="906"/>
      <c r="BJ152" s="906"/>
      <c r="BK152" s="906"/>
      <c r="BL152" s="906"/>
      <c r="BM152" s="906"/>
      <c r="BN152" s="906"/>
    </row>
    <row r="153" spans="1:99" x14ac:dyDescent="0.2">
      <c r="B153" s="1336" t="s">
        <v>403</v>
      </c>
      <c r="C153" s="873"/>
      <c r="D153" s="873"/>
      <c r="E153" s="873"/>
      <c r="F153" s="873"/>
      <c r="G153" s="873"/>
      <c r="H153" s="873"/>
      <c r="I153" s="873"/>
      <c r="J153" s="873"/>
      <c r="K153" s="873"/>
      <c r="L153" s="873"/>
      <c r="M153" s="873"/>
      <c r="N153" s="873"/>
      <c r="O153" s="873"/>
      <c r="P153" s="873"/>
      <c r="Q153" s="873"/>
      <c r="R153" s="873"/>
      <c r="S153" s="873"/>
      <c r="T153" s="873"/>
      <c r="U153" s="873"/>
      <c r="V153" s="873"/>
      <c r="W153" s="873"/>
      <c r="X153" s="873"/>
      <c r="Y153" s="873"/>
      <c r="Z153" s="873"/>
      <c r="AB153" s="1337"/>
      <c r="AC153" s="1337"/>
      <c r="AD153" s="1337"/>
      <c r="AE153" s="1337"/>
      <c r="AF153" s="1338"/>
      <c r="AG153" s="1337"/>
      <c r="AH153" s="1337"/>
      <c r="AI153" s="1337"/>
      <c r="AK153" s="1337">
        <v>0.19727036573373211</v>
      </c>
      <c r="AL153" s="1338">
        <f>'P&amp;L'!BC167</f>
        <v>0.21629853966601534</v>
      </c>
      <c r="AM153" s="1338">
        <f>'P&amp;L'!BI167</f>
        <v>0.22422158291799316</v>
      </c>
      <c r="AN153" s="1337">
        <f>'P&amp;L'!BK167</f>
        <v>0.2040131880390019</v>
      </c>
      <c r="AO153" s="1337">
        <f>'P&amp;L'!BL167</f>
        <v>0.21879969750514988</v>
      </c>
      <c r="AP153" s="1337">
        <f>'P&amp;L'!BM167</f>
        <v>0.20154688193430931</v>
      </c>
      <c r="AQ153" s="1339">
        <f>'P&amp;L'!BN167</f>
        <v>0.20791231448072084</v>
      </c>
      <c r="AR153" s="1338">
        <f>'P&amp;L'!BO167</f>
        <v>0.20813328846241722</v>
      </c>
      <c r="AS153" s="1337">
        <f>'P&amp;L'!BQ167</f>
        <v>0.14510537939056395</v>
      </c>
      <c r="AT153" s="1337">
        <f>'P&amp;L'!BR167</f>
        <v>0.16929171176976723</v>
      </c>
      <c r="AU153" s="1337">
        <f>'P&amp;L'!BS167</f>
        <v>0.18931357513187713</v>
      </c>
      <c r="AV153" s="1339">
        <f>'P&amp;L'!BT167</f>
        <v>0.2049912437453813</v>
      </c>
      <c r="AW153" s="1340">
        <f>'P&amp;L'!BU167</f>
        <v>0.17875845336260882</v>
      </c>
      <c r="AX153" s="1340">
        <f>'P&amp;L'!CA167</f>
        <v>0.19191503356571318</v>
      </c>
      <c r="AY153" s="1340">
        <f>'P&amp;L'!CG167</f>
        <v>0.20984890731226144</v>
      </c>
      <c r="BG153" s="906"/>
      <c r="BH153" s="906"/>
      <c r="BI153" s="906"/>
      <c r="BJ153" s="906"/>
      <c r="BK153" s="906"/>
      <c r="BL153" s="906"/>
      <c r="BM153" s="906"/>
      <c r="BN153" s="906"/>
    </row>
    <row r="154" spans="1:99" x14ac:dyDescent="0.2">
      <c r="B154" s="1196" t="s">
        <v>386</v>
      </c>
      <c r="C154" s="924"/>
      <c r="D154" s="924"/>
      <c r="E154" s="924"/>
      <c r="F154" s="924"/>
      <c r="G154" s="924"/>
      <c r="H154" s="924"/>
      <c r="I154" s="924"/>
      <c r="J154" s="924"/>
      <c r="K154" s="924"/>
      <c r="L154" s="924"/>
      <c r="M154" s="924"/>
      <c r="N154" s="924"/>
      <c r="O154" s="924"/>
      <c r="P154" s="924"/>
      <c r="Q154" s="924"/>
      <c r="R154" s="924"/>
      <c r="S154" s="924"/>
      <c r="T154" s="924"/>
      <c r="U154" s="924"/>
      <c r="V154" s="924"/>
      <c r="W154" s="924"/>
      <c r="X154" s="924"/>
      <c r="Y154" s="924"/>
      <c r="Z154" s="924"/>
      <c r="AA154" s="924"/>
      <c r="AB154" s="1198"/>
      <c r="AC154" s="1337"/>
      <c r="AD154" s="1337"/>
      <c r="AE154" s="1197"/>
      <c r="AF154" s="1197"/>
      <c r="AG154" s="1198"/>
      <c r="AH154" s="1198"/>
      <c r="AI154" s="1198"/>
      <c r="AK154" s="1198">
        <v>4.4940446046189686E-3</v>
      </c>
      <c r="AL154" s="1328">
        <f>'P&amp;L'!BC168</f>
        <v>2.6900745113948077E-2</v>
      </c>
      <c r="AM154" s="1328">
        <f>'P&amp;L'!BI168</f>
        <v>1.2206216345920312E-2</v>
      </c>
      <c r="AN154" s="1198">
        <f>'P&amp;L'!BK168</f>
        <v>-1.4436110282874642E-2</v>
      </c>
      <c r="AO154" s="1198">
        <f>'P&amp;L'!BL168</f>
        <v>-8.2421157031346004E-3</v>
      </c>
      <c r="AP154" s="1198">
        <f>'P&amp;L'!BM168</f>
        <v>-3.3076901519012158E-3</v>
      </c>
      <c r="AQ154" s="1335">
        <f>'P&amp;L'!BN168</f>
        <v>1.0986872262118141E-3</v>
      </c>
      <c r="AR154" s="1328">
        <f>'P&amp;L'!BO168</f>
        <v>-6.2933782042494391E-3</v>
      </c>
      <c r="AS154" s="1198">
        <f>'P&amp;L'!BQ168</f>
        <v>-1.8863578480832949E-2</v>
      </c>
      <c r="AT154" s="1198">
        <f>'P&amp;L'!BR168</f>
        <v>-2.6946469682656821E-2</v>
      </c>
      <c r="AU154" s="1198">
        <f>'P&amp;L'!BS168</f>
        <v>-2.0248887746760758E-2</v>
      </c>
      <c r="AV154" s="1335">
        <f>'P&amp;L'!BT168</f>
        <v>-1.2148994568092569E-2</v>
      </c>
      <c r="AW154" s="1280">
        <f>'P&amp;L'!BU168</f>
        <v>-1.9270265304524858E-2</v>
      </c>
      <c r="AX154" s="1280">
        <f>'P&amp;L'!CA168</f>
        <v>3.6471267004455354E-3</v>
      </c>
      <c r="AY154" s="1280">
        <f>'P&amp;L'!CG168</f>
        <v>4.2536251486549881E-3</v>
      </c>
      <c r="BG154" s="906"/>
      <c r="BH154" s="906"/>
      <c r="BI154" s="906"/>
      <c r="BJ154" s="906"/>
      <c r="BK154" s="906"/>
      <c r="BL154" s="906"/>
      <c r="BM154" s="906"/>
      <c r="BN154" s="906"/>
    </row>
    <row r="155" spans="1:99" x14ac:dyDescent="0.2">
      <c r="B155" s="1196" t="s">
        <v>663</v>
      </c>
      <c r="C155" s="924"/>
      <c r="D155" s="924"/>
      <c r="E155" s="924"/>
      <c r="F155" s="924"/>
      <c r="G155" s="924"/>
      <c r="H155" s="924"/>
      <c r="I155" s="924"/>
      <c r="J155" s="924"/>
      <c r="K155" s="924"/>
      <c r="L155" s="924"/>
      <c r="M155" s="924"/>
      <c r="N155" s="924"/>
      <c r="O155" s="924"/>
      <c r="P155" s="924"/>
      <c r="Q155" s="924"/>
      <c r="R155" s="924"/>
      <c r="S155" s="924"/>
      <c r="T155" s="924"/>
      <c r="U155" s="924"/>
      <c r="V155" s="924"/>
      <c r="W155" s="924"/>
      <c r="X155" s="924"/>
      <c r="Y155" s="924"/>
      <c r="Z155" s="924"/>
      <c r="AA155" s="924"/>
      <c r="AB155" s="1198"/>
      <c r="AC155" s="1435"/>
      <c r="AD155" s="1435"/>
      <c r="AE155" s="1197"/>
      <c r="AF155" s="1197"/>
      <c r="AG155" s="1198"/>
      <c r="AH155" s="1198"/>
      <c r="AI155" s="1198"/>
      <c r="AK155" s="1198"/>
      <c r="AL155" s="1328">
        <f>'P&amp;L'!BC170</f>
        <v>0.20285594183451422</v>
      </c>
      <c r="AM155" s="1328">
        <f>'P&amp;L'!BI170</f>
        <v>0.36151976055862117</v>
      </c>
      <c r="AN155" s="1198">
        <f>'P&amp;L'!BK170</f>
        <v>-2.5664533170970496</v>
      </c>
      <c r="AO155" s="1198">
        <f>'P&amp;L'!BL170</f>
        <v>-1.3652007268168018</v>
      </c>
      <c r="AP155" s="1198">
        <f>'P&amp;L'!BM170</f>
        <v>0.41339804079716275</v>
      </c>
      <c r="AQ155" s="1335">
        <f>'P&amp;L'!BN170</f>
        <v>0.6517057325141371</v>
      </c>
      <c r="AR155" s="1328">
        <f>'P&amp;L'!BO170</f>
        <v>-0.26116782112612147</v>
      </c>
      <c r="AS155" s="1198">
        <f>'P&amp;L'!BQ170</f>
        <v>-0.36623696656270788</v>
      </c>
      <c r="AT155" s="1198">
        <f>'P&amp;L'!BR170</f>
        <v>-0.47102972086836209</v>
      </c>
      <c r="AU155" s="1198">
        <f>'P&amp;L'!BS170</f>
        <v>-0.18462262185545977</v>
      </c>
      <c r="AV155" s="1335">
        <f>'P&amp;L'!BT170</f>
        <v>-1.4582500207583707E-2</v>
      </c>
      <c r="AW155" s="1280">
        <f>'P&amp;L'!BU170</f>
        <v>-0.24091682403671502</v>
      </c>
      <c r="AX155" s="1280">
        <f>'P&amp;L'!CA170</f>
        <v>0.23871746571164126</v>
      </c>
      <c r="AY155" s="1280">
        <f>'P&amp;L'!CG170</f>
        <v>0.28717748132510068</v>
      </c>
      <c r="BG155" s="906"/>
      <c r="BH155" s="906"/>
      <c r="BI155" s="906"/>
      <c r="BJ155" s="906"/>
      <c r="BK155" s="906"/>
      <c r="BL155" s="906"/>
      <c r="BM155" s="906"/>
      <c r="BN155" s="906"/>
    </row>
    <row r="156" spans="1:99" s="921" customFormat="1" x14ac:dyDescent="0.2">
      <c r="A156" s="847"/>
      <c r="AJ156" s="1310"/>
      <c r="AZ156" s="1560"/>
      <c r="BA156" s="1560"/>
      <c r="BB156" s="1560"/>
      <c r="BC156" s="1560"/>
      <c r="BD156" s="1560"/>
      <c r="BE156" s="1560"/>
      <c r="BF156" s="24"/>
    </row>
    <row r="157" spans="1:99" s="921" customFormat="1" x14ac:dyDescent="0.2">
      <c r="A157" s="847"/>
      <c r="B157" s="842" t="s">
        <v>649</v>
      </c>
      <c r="C157" s="850"/>
      <c r="D157" s="850"/>
      <c r="E157" s="850"/>
      <c r="F157" s="850"/>
      <c r="G157" s="850"/>
      <c r="H157" s="850"/>
      <c r="I157" s="850"/>
      <c r="J157" s="850"/>
      <c r="K157" s="850"/>
      <c r="L157" s="850"/>
      <c r="M157" s="850"/>
      <c r="N157" s="850"/>
      <c r="O157" s="850"/>
      <c r="P157" s="850"/>
      <c r="Q157" s="850"/>
      <c r="R157" s="850"/>
      <c r="S157" s="850"/>
      <c r="T157" s="850"/>
      <c r="U157" s="850"/>
      <c r="V157" s="850"/>
      <c r="W157" s="850"/>
      <c r="X157" s="850"/>
      <c r="Y157" s="850"/>
      <c r="Z157" s="850"/>
      <c r="AA157" s="850"/>
      <c r="AB157" s="850"/>
      <c r="AC157" s="850"/>
      <c r="AD157" s="850"/>
      <c r="AE157" s="850"/>
      <c r="AF157" s="850"/>
      <c r="AG157" s="850"/>
      <c r="AH157" s="850"/>
      <c r="AI157" s="909"/>
      <c r="AJ157" s="850"/>
      <c r="AK157" s="850"/>
      <c r="AL157" s="850"/>
      <c r="AM157" s="850"/>
      <c r="AN157" s="850"/>
      <c r="AO157" s="850"/>
      <c r="AP157" s="850"/>
      <c r="AR157" s="36"/>
      <c r="AZ157" s="1560"/>
      <c r="BA157" s="1560"/>
      <c r="BB157" s="1560"/>
      <c r="BC157" s="1560"/>
      <c r="BD157" s="1560"/>
      <c r="BE157" s="1560"/>
      <c r="BF157" s="24"/>
    </row>
    <row r="158" spans="1:99" s="922" customFormat="1" x14ac:dyDescent="0.2">
      <c r="A158" s="860"/>
      <c r="B158" s="927" t="s">
        <v>535</v>
      </c>
      <c r="C158" s="861"/>
      <c r="D158" s="859">
        <v>39172</v>
      </c>
      <c r="E158" s="859">
        <v>39263</v>
      </c>
      <c r="F158" s="859">
        <v>39355</v>
      </c>
      <c r="G158" s="859">
        <v>39447</v>
      </c>
      <c r="H158" s="859">
        <v>39538</v>
      </c>
      <c r="I158" s="859">
        <v>39629</v>
      </c>
      <c r="J158" s="859">
        <v>39721</v>
      </c>
      <c r="K158" s="859">
        <v>39813</v>
      </c>
      <c r="L158" s="859">
        <v>39903</v>
      </c>
      <c r="M158" s="859">
        <v>39994</v>
      </c>
      <c r="N158" s="859">
        <v>40086</v>
      </c>
      <c r="O158" s="859">
        <v>40178</v>
      </c>
      <c r="P158" s="859">
        <v>40268</v>
      </c>
      <c r="Q158" s="859">
        <v>40359</v>
      </c>
      <c r="R158" s="859">
        <v>40451</v>
      </c>
      <c r="S158" s="859">
        <v>40543</v>
      </c>
      <c r="T158" s="859">
        <v>40633</v>
      </c>
      <c r="U158" s="859">
        <v>40724</v>
      </c>
      <c r="V158" s="859">
        <v>40816</v>
      </c>
      <c r="W158" s="859">
        <v>40908</v>
      </c>
      <c r="X158" s="859">
        <v>40999</v>
      </c>
      <c r="Y158" s="859">
        <v>41090</v>
      </c>
      <c r="Z158" s="859">
        <v>41182</v>
      </c>
      <c r="AA158" s="859">
        <v>41274</v>
      </c>
      <c r="AB158" s="859">
        <v>41364</v>
      </c>
      <c r="AC158" s="859">
        <v>41455</v>
      </c>
      <c r="AD158" s="859">
        <v>41547</v>
      </c>
      <c r="AE158" s="859">
        <v>41639</v>
      </c>
      <c r="AF158" s="859">
        <v>41729</v>
      </c>
      <c r="AG158" s="859">
        <v>41820</v>
      </c>
      <c r="AH158" s="859">
        <v>41912</v>
      </c>
      <c r="AI158" s="859">
        <v>42004</v>
      </c>
      <c r="AJ158" s="859">
        <v>42094</v>
      </c>
      <c r="AK158" s="859">
        <v>42185</v>
      </c>
      <c r="AL158" s="859">
        <v>42277</v>
      </c>
      <c r="AM158" s="859">
        <v>42369</v>
      </c>
      <c r="AN158" s="859">
        <v>42460</v>
      </c>
      <c r="AO158" s="859">
        <v>42551</v>
      </c>
      <c r="AP158" s="859">
        <v>42643</v>
      </c>
      <c r="AQ158" s="859">
        <v>42735</v>
      </c>
      <c r="AR158" s="859">
        <v>42825</v>
      </c>
      <c r="AS158" s="859">
        <v>42916</v>
      </c>
      <c r="AT158" s="859">
        <v>43008</v>
      </c>
      <c r="AU158" s="859">
        <v>43100</v>
      </c>
      <c r="AZ158" s="1560"/>
      <c r="BA158" s="1560"/>
      <c r="BB158" s="1560"/>
      <c r="BC158" s="1560"/>
      <c r="BD158" s="1560"/>
      <c r="BE158" s="1560"/>
      <c r="BF158" s="24"/>
    </row>
    <row r="159" spans="1:99" x14ac:dyDescent="0.2">
      <c r="B159" s="850" t="s">
        <v>527</v>
      </c>
      <c r="C159" s="850"/>
      <c r="D159" s="532"/>
      <c r="E159" s="532"/>
      <c r="F159" s="532"/>
      <c r="G159" s="532"/>
      <c r="H159" s="532">
        <v>0.18592660891926638</v>
      </c>
      <c r="I159" s="532">
        <v>0.1724311241283345</v>
      </c>
      <c r="J159" s="532">
        <v>8.5740099937922976E-2</v>
      </c>
      <c r="K159" s="532">
        <v>-6.1611733246661471E-2</v>
      </c>
      <c r="L159" s="532">
        <v>-9.5996305159580575E-2</v>
      </c>
      <c r="M159" s="532">
        <v>-7.0631607791583728E-2</v>
      </c>
      <c r="N159" s="532">
        <v>2.3586997337496918E-3</v>
      </c>
      <c r="O159" s="532">
        <v>0.11857535605274894</v>
      </c>
      <c r="P159" s="532">
        <v>7.6920952600754822E-2</v>
      </c>
      <c r="Q159" s="532">
        <v>2.2165865941190299E-2</v>
      </c>
      <c r="R159" s="532">
        <v>1.9977296814965406E-2</v>
      </c>
      <c r="S159" s="532">
        <v>-3.9585217296433939E-4</v>
      </c>
      <c r="T159" s="532">
        <v>4.49844672713684E-2</v>
      </c>
      <c r="U159" s="532">
        <v>7.8496016535536173E-2</v>
      </c>
      <c r="V159" s="532">
        <v>0.14385722063804063</v>
      </c>
      <c r="W159" s="532">
        <v>0.29893218391006915</v>
      </c>
      <c r="X159" s="532">
        <v>0.25575676201527409</v>
      </c>
      <c r="Y159" s="532">
        <v>0.25195301283302962</v>
      </c>
      <c r="Z159" s="532">
        <v>0.12258797371236252</v>
      </c>
      <c r="AA159" s="532">
        <v>2.0697467388785862E-2</v>
      </c>
      <c r="AB159" s="532">
        <v>2.187425409644983E-2</v>
      </c>
      <c r="AC159" s="532">
        <v>-2.6002825710293997E-3</v>
      </c>
      <c r="AD159" s="532">
        <v>1.1906849456832624E-2</v>
      </c>
      <c r="AE159" s="532">
        <v>4.9118000021231012E-4</v>
      </c>
      <c r="AF159" s="532">
        <v>-2.6909480332857338E-3</v>
      </c>
      <c r="AG159" s="532">
        <v>5.5386920014190988E-3</v>
      </c>
      <c r="AH159" s="532">
        <v>5.9970057583753622E-3</v>
      </c>
      <c r="AI159" s="532">
        <v>-4.5931974449949342E-2</v>
      </c>
      <c r="AJ159" s="532">
        <f>AJ162+AJ161+AJ160</f>
        <v>-8.4666732130958211E-2</v>
      </c>
      <c r="AK159" s="532">
        <f t="shared" ref="AK159:AM159" si="107">AK162+AK161+AK160</f>
        <v>-4.7439947945939531E-2</v>
      </c>
      <c r="AL159" s="532">
        <f t="shared" si="107"/>
        <v>-3.8170099123864265E-2</v>
      </c>
      <c r="AM159" s="532">
        <f t="shared" si="107"/>
        <v>-3.4228108236233672E-2</v>
      </c>
      <c r="AN159" s="532">
        <f t="shared" ref="AN159:AU159" si="108">AN162+AN161+AN160</f>
        <v>-1.0825396825396755E-2</v>
      </c>
      <c r="AO159" s="532">
        <f t="shared" si="108"/>
        <v>1.3424140393837353E-2</v>
      </c>
      <c r="AP159" s="532">
        <f t="shared" si="108"/>
        <v>3.33179822212702E-2</v>
      </c>
      <c r="AQ159" s="532">
        <f t="shared" si="108"/>
        <v>6.7661225779275358E-2</v>
      </c>
      <c r="AR159" s="532">
        <f t="shared" si="108"/>
        <v>2.089649198787346E-2</v>
      </c>
      <c r="AS159" s="532">
        <f t="shared" si="108"/>
        <v>2.7029712809301415E-2</v>
      </c>
      <c r="AT159" s="532">
        <f t="shared" si="108"/>
        <v>5.5272108843537351E-2</v>
      </c>
      <c r="AU159" s="532">
        <f t="shared" si="108"/>
        <v>7.6821461233614691E-2</v>
      </c>
      <c r="AY159" s="850"/>
      <c r="AZ159" s="850"/>
      <c r="BA159" s="850"/>
      <c r="BB159" s="850"/>
      <c r="BC159" s="850"/>
      <c r="BD159" s="850"/>
      <c r="BE159" s="850"/>
      <c r="BF159" s="886"/>
      <c r="BL159" s="850"/>
      <c r="BR159" s="922"/>
      <c r="BS159" s="922"/>
      <c r="BT159" s="922"/>
      <c r="BU159" s="922"/>
      <c r="BV159" s="922"/>
      <c r="BW159" s="922"/>
      <c r="BX159" s="922"/>
      <c r="BY159" s="922"/>
      <c r="BZ159" s="922"/>
      <c r="CA159" s="922"/>
      <c r="CB159" s="922"/>
      <c r="CC159" s="922"/>
      <c r="CD159" s="922"/>
      <c r="CE159" s="922"/>
      <c r="CF159" s="922"/>
      <c r="CG159" s="922"/>
      <c r="CH159" s="922"/>
      <c r="CI159" s="922"/>
      <c r="CJ159" s="922"/>
      <c r="CK159" s="922"/>
      <c r="CL159" s="922"/>
      <c r="CM159" s="922"/>
      <c r="CN159" s="922"/>
      <c r="CO159" s="922"/>
      <c r="CP159" s="921"/>
      <c r="CQ159" s="921"/>
      <c r="CR159" s="921"/>
      <c r="CS159" s="921"/>
      <c r="CT159" s="921"/>
      <c r="CU159" s="921"/>
    </row>
    <row r="160" spans="1:99" x14ac:dyDescent="0.2">
      <c r="B160" s="891" t="s">
        <v>1</v>
      </c>
      <c r="C160" s="891"/>
      <c r="D160" s="912"/>
      <c r="E160" s="912"/>
      <c r="F160" s="912"/>
      <c r="G160" s="912"/>
      <c r="H160" s="912">
        <v>1.3500758508413702E-2</v>
      </c>
      <c r="I160" s="912">
        <v>-1.0456388794473082E-3</v>
      </c>
      <c r="J160" s="912">
        <v>-1.0264678519497528E-2</v>
      </c>
      <c r="K160" s="912">
        <v>-1.6639707890615529E-2</v>
      </c>
      <c r="L160" s="912">
        <v>-3.4337618373941003E-2</v>
      </c>
      <c r="M160" s="912">
        <v>-1.3933228930751551E-2</v>
      </c>
      <c r="N160" s="912">
        <v>-9.3851322958515837E-3</v>
      </c>
      <c r="O160" s="912">
        <v>6.2491867822327407E-3</v>
      </c>
      <c r="P160" s="912">
        <v>8.5520059670167736E-3</v>
      </c>
      <c r="Q160" s="912">
        <v>7.009285741122584E-3</v>
      </c>
      <c r="R160" s="912">
        <v>1.8908076980937549E-2</v>
      </c>
      <c r="S160" s="912">
        <v>-2.2701149276687094E-3</v>
      </c>
      <c r="T160" s="912">
        <v>-1.4351875861905672E-2</v>
      </c>
      <c r="U160" s="912">
        <v>-7.6039680585171521E-3</v>
      </c>
      <c r="V160" s="912">
        <v>3.459604393547977E-3</v>
      </c>
      <c r="W160" s="912">
        <v>-2.91456387392941E-3</v>
      </c>
      <c r="X160" s="912">
        <v>-7.2767955411059404E-3</v>
      </c>
      <c r="Y160" s="912">
        <v>1.3491337980638507E-2</v>
      </c>
      <c r="Z160" s="912">
        <v>-2.5294690797323494E-2</v>
      </c>
      <c r="AA160" s="912">
        <v>-1.7179487465153409E-2</v>
      </c>
      <c r="AB160" s="912">
        <v>1.1321765833538944E-2</v>
      </c>
      <c r="AC160" s="912">
        <v>-2.7620326094108139E-2</v>
      </c>
      <c r="AD160" s="912">
        <v>-2.2561255376892131E-2</v>
      </c>
      <c r="AE160" s="912">
        <v>-1.4002624310685219E-2</v>
      </c>
      <c r="AF160" s="912">
        <v>-2.726988890735238E-2</v>
      </c>
      <c r="AG160" s="912">
        <v>-1.5331305596198552E-2</v>
      </c>
      <c r="AH160" s="912">
        <v>-1.2166343384545808E-2</v>
      </c>
      <c r="AI160" s="912">
        <v>-1.4183362698563129E-2</v>
      </c>
      <c r="AJ160" s="912">
        <f>RevBuild!AY69</f>
        <v>-0.10021314752612877</v>
      </c>
      <c r="AK160" s="912">
        <f>RevBuild!AZ69</f>
        <v>-0.11489321746334671</v>
      </c>
      <c r="AL160" s="912">
        <f>RevBuild!BA69</f>
        <v>-0.1017901664383984</v>
      </c>
      <c r="AM160" s="912">
        <f>RevBuild!BB69</f>
        <v>-7.9661083245283204E-2</v>
      </c>
      <c r="AN160" s="912">
        <f>RevBuild!BE69</f>
        <v>-2.5999999999999999E-2</v>
      </c>
      <c r="AO160" s="912">
        <f>RevBuild!BF69</f>
        <v>-6.6062646668706843E-3</v>
      </c>
      <c r="AP160" s="912">
        <f>RevBuild!BG69</f>
        <v>3.3343686408910745E-3</v>
      </c>
      <c r="AQ160" s="912">
        <f>RevBuild!BH69</f>
        <v>-6.7443133951138393E-3</v>
      </c>
      <c r="AR160" s="912">
        <f>RevBuild!BK69</f>
        <v>-1.2731702035513277E-2</v>
      </c>
      <c r="AS160" s="912">
        <f>RevBuild!BL69</f>
        <v>-1.1644340653880534E-2</v>
      </c>
      <c r="AT160" s="912">
        <f>RevBuild!BM69</f>
        <v>2.0918048469387683E-2</v>
      </c>
      <c r="AU160" s="912">
        <f>RevBuild!BN69</f>
        <v>4.5500660501981725E-2</v>
      </c>
      <c r="AY160" s="850"/>
      <c r="AZ160" s="850"/>
      <c r="BA160" s="850"/>
      <c r="BB160" s="850"/>
      <c r="BC160" s="850"/>
      <c r="BD160" s="850"/>
      <c r="BE160" s="850"/>
      <c r="BF160" s="886"/>
      <c r="BL160" s="850"/>
      <c r="BR160" s="922"/>
      <c r="BS160" s="922"/>
      <c r="BT160" s="922"/>
      <c r="BU160" s="922"/>
      <c r="BV160" s="922"/>
      <c r="BW160" s="922"/>
      <c r="BX160" s="922"/>
      <c r="BY160" s="922"/>
      <c r="BZ160" s="922"/>
      <c r="CA160" s="922"/>
      <c r="CB160" s="922"/>
      <c r="CC160" s="922"/>
      <c r="CD160" s="922"/>
      <c r="CE160" s="922"/>
      <c r="CF160" s="922"/>
      <c r="CG160" s="922"/>
      <c r="CH160" s="922"/>
      <c r="CI160" s="922"/>
      <c r="CJ160" s="922"/>
      <c r="CK160" s="922"/>
      <c r="CL160" s="922"/>
      <c r="CM160" s="922"/>
      <c r="CN160" s="922"/>
      <c r="CO160" s="922"/>
      <c r="CP160" s="921"/>
      <c r="CQ160" s="921"/>
      <c r="CR160" s="921"/>
      <c r="CS160" s="921"/>
      <c r="CT160" s="921"/>
      <c r="CU160" s="921"/>
    </row>
    <row r="161" spans="1:99" x14ac:dyDescent="0.2">
      <c r="B161" s="850" t="s">
        <v>528</v>
      </c>
      <c r="C161" s="850"/>
      <c r="D161" s="532"/>
      <c r="E161" s="532"/>
      <c r="F161" s="532"/>
      <c r="G161" s="532"/>
      <c r="H161" s="532">
        <v>3.2000000000000001E-2</v>
      </c>
      <c r="I161" s="532">
        <v>3.1E-2</v>
      </c>
      <c r="J161" s="532">
        <v>0.01</v>
      </c>
      <c r="K161" s="532">
        <v>1.100000000000001E-2</v>
      </c>
      <c r="L161" s="532">
        <v>4.3999999999999997E-2</v>
      </c>
      <c r="M161" s="532">
        <v>4.3999999999999997E-2</v>
      </c>
      <c r="N161" s="532">
        <v>0.04</v>
      </c>
      <c r="O161" s="532">
        <v>5.1999999999999991E-2</v>
      </c>
      <c r="P161" s="532">
        <v>1.4459999999998756E-3</v>
      </c>
      <c r="Q161" s="532">
        <v>1.8489999999998969E-3</v>
      </c>
      <c r="R161" s="532">
        <v>2.4040000000001456E-3</v>
      </c>
      <c r="S161" s="532">
        <v>-8.3109670791712571E-3</v>
      </c>
      <c r="T161" s="532">
        <v>7.6630000000000248E-3</v>
      </c>
      <c r="U161" s="532">
        <v>-2.4799999999999822E-2</v>
      </c>
      <c r="V161" s="532">
        <v>5.7250000000000009E-2</v>
      </c>
      <c r="W161" s="532">
        <v>0.25222674778399867</v>
      </c>
      <c r="X161" s="532">
        <v>0.23758799999999988</v>
      </c>
      <c r="Y161" s="532">
        <v>0.26029999999999981</v>
      </c>
      <c r="Z161" s="532">
        <v>0.17341694017394221</v>
      </c>
      <c r="AA161" s="532">
        <v>2.4016228976099438E-2</v>
      </c>
      <c r="AB161" s="532">
        <v>1.059999999999892E-3</v>
      </c>
      <c r="AC161" s="532">
        <v>-1.5440000000000086E-2</v>
      </c>
      <c r="AD161" s="532">
        <v>1.607810223908171E-4</v>
      </c>
      <c r="AE161" s="532">
        <v>2.5441364112806309E-3</v>
      </c>
      <c r="AF161" s="532">
        <v>-5.3400000000001164E-3</v>
      </c>
      <c r="AG161" s="532">
        <v>-1.3869999999999955E-2</v>
      </c>
      <c r="AH161" s="532">
        <v>2.1600000000000282E-3</v>
      </c>
      <c r="AI161" s="532">
        <v>-1.1422999999999879E-2</v>
      </c>
      <c r="AJ161" s="532">
        <f>RevBuild!AY70</f>
        <v>-2.9032938635608317E-3</v>
      </c>
      <c r="AK161" s="532">
        <f>RevBuild!AZ70</f>
        <v>-5.5193218986672862E-3</v>
      </c>
      <c r="AL161" s="532">
        <f>RevBuild!BA70</f>
        <v>5.9114428462127078E-3</v>
      </c>
      <c r="AM161" s="532">
        <f>RevBuild!BB70</f>
        <v>5.8955470563135225E-3</v>
      </c>
      <c r="AN161" s="532">
        <f>RevBuild!BE70</f>
        <v>-3.9648429584599722E-2</v>
      </c>
      <c r="AO161" s="532">
        <f>RevBuild!BF70</f>
        <v>-3.9650035710642306E-3</v>
      </c>
      <c r="AP161" s="532">
        <f>RevBuild!BG70</f>
        <v>1.1412552211631136E-2</v>
      </c>
      <c r="AQ161" s="532">
        <f>RevBuild!BH70</f>
        <v>2.5344882055602345E-2</v>
      </c>
      <c r="AR161" s="532">
        <f>RevBuild!BK70</f>
        <v>2.3520788220008658E-2</v>
      </c>
      <c r="AS161" s="532">
        <f>RevBuild!BL70</f>
        <v>2.6305674252211069E-2</v>
      </c>
      <c r="AT161" s="532">
        <f>RevBuild!BM70</f>
        <v>1.9163159013605442E-2</v>
      </c>
      <c r="AU161" s="532">
        <f>RevBuild!BN70</f>
        <v>2.801239711411442E-3</v>
      </c>
      <c r="AY161" s="850"/>
      <c r="AZ161" s="850"/>
      <c r="BA161" s="850"/>
      <c r="BB161" s="850"/>
      <c r="BC161" s="850"/>
      <c r="BD161" s="850"/>
      <c r="BE161" s="850"/>
      <c r="BF161" s="886"/>
      <c r="BL161" s="850"/>
      <c r="BR161" s="24"/>
      <c r="BS161" s="921"/>
      <c r="BT161" s="921"/>
      <c r="BU161" s="921"/>
      <c r="BV161" s="921"/>
      <c r="BW161" s="921"/>
      <c r="BX161" s="921"/>
      <c r="BY161" s="921"/>
      <c r="BZ161" s="921"/>
      <c r="CA161" s="921"/>
      <c r="CB161" s="921"/>
      <c r="CC161" s="921"/>
      <c r="CD161" s="921"/>
      <c r="CE161" s="921"/>
      <c r="CF161" s="921"/>
      <c r="CG161" s="921"/>
      <c r="CH161" s="921"/>
      <c r="CI161" s="921"/>
      <c r="CJ161" s="921"/>
      <c r="CK161" s="921"/>
      <c r="CL161" s="921"/>
      <c r="CM161" s="921"/>
      <c r="CN161" s="921"/>
      <c r="CO161" s="921"/>
      <c r="CP161" s="921"/>
      <c r="CQ161" s="921"/>
      <c r="CR161" s="921"/>
      <c r="CS161" s="921"/>
      <c r="CT161" s="921"/>
      <c r="CU161" s="921"/>
    </row>
    <row r="162" spans="1:99" x14ac:dyDescent="0.2">
      <c r="B162" s="896" t="s">
        <v>411</v>
      </c>
      <c r="C162" s="926"/>
      <c r="D162" s="923"/>
      <c r="E162" s="923"/>
      <c r="F162" s="923"/>
      <c r="G162" s="923"/>
      <c r="H162" s="923">
        <v>6.3792000000000001E-2</v>
      </c>
      <c r="I162" s="923">
        <v>6.2839999999999993E-2</v>
      </c>
      <c r="J162" s="923">
        <v>5.5713000000000006E-2</v>
      </c>
      <c r="K162" s="923">
        <v>-2.0528999999999988E-2</v>
      </c>
      <c r="L162" s="923">
        <v>-3.7035000000000005E-2</v>
      </c>
      <c r="M162" s="923">
        <v>-4.0150000000000005E-2</v>
      </c>
      <c r="N162" s="923">
        <v>-1.4421E-2</v>
      </c>
      <c r="O162" s="923">
        <v>6.6600000000001012E-4</v>
      </c>
      <c r="P162" s="923">
        <v>2.5553999999999997E-2</v>
      </c>
      <c r="Q162" s="923">
        <v>2.6150999999999997E-2</v>
      </c>
      <c r="R162" s="923">
        <v>2.1596000000000004E-2</v>
      </c>
      <c r="S162" s="923">
        <v>1.0363000000000006E-2</v>
      </c>
      <c r="T162" s="923">
        <v>3.8336999999999996E-2</v>
      </c>
      <c r="U162" s="923">
        <v>3.3799999999999997E-2</v>
      </c>
      <c r="V162" s="923">
        <v>3.8749999999999993E-2</v>
      </c>
      <c r="W162" s="923">
        <v>4.1619999999999997E-2</v>
      </c>
      <c r="X162" s="923">
        <v>4.5411999999999994E-2</v>
      </c>
      <c r="Y162" s="923">
        <v>3.9700000000000006E-2</v>
      </c>
      <c r="Z162" s="923">
        <v>2.7560000000000001E-2</v>
      </c>
      <c r="AA162" s="923">
        <v>3.4999999999999996E-2</v>
      </c>
      <c r="AB162" s="923">
        <v>1.5939999999999996E-2</v>
      </c>
      <c r="AC162" s="923">
        <v>3.2439999999999997E-2</v>
      </c>
      <c r="AD162" s="923">
        <v>2.6859999999999998E-2</v>
      </c>
      <c r="AE162" s="923">
        <v>8.4399999999999996E-3</v>
      </c>
      <c r="AF162" s="923">
        <v>2.4339999999999997E-2</v>
      </c>
      <c r="AG162" s="923">
        <v>1.6869999999999996E-2</v>
      </c>
      <c r="AH162" s="923">
        <v>2.784E-2</v>
      </c>
      <c r="AI162" s="923">
        <v>3.2423E-2</v>
      </c>
      <c r="AJ162" s="923">
        <f>RevBuild!AY72</f>
        <v>1.8449709258731392E-2</v>
      </c>
      <c r="AK162" s="923">
        <f>RevBuild!AZ72</f>
        <v>7.297259141607447E-2</v>
      </c>
      <c r="AL162" s="923">
        <f>RevBuild!BA72</f>
        <v>5.770862446832143E-2</v>
      </c>
      <c r="AM162" s="923">
        <f>RevBuild!BB72</f>
        <v>3.9537427952736008E-2</v>
      </c>
      <c r="AN162" s="923">
        <f>RevBuild!BE72</f>
        <v>5.4823032759202965E-2</v>
      </c>
      <c r="AO162" s="923">
        <f>RevBuild!BF72</f>
        <v>2.3995408631772266E-2</v>
      </c>
      <c r="AP162" s="923">
        <f>RevBuild!BG72</f>
        <v>1.8571061368747987E-2</v>
      </c>
      <c r="AQ162" s="923">
        <f>RevBuild!BH72</f>
        <v>4.9060657118786856E-2</v>
      </c>
      <c r="AR162" s="923">
        <f>RevBuild!BK72</f>
        <v>1.0107405803378077E-2</v>
      </c>
      <c r="AS162" s="923">
        <f>RevBuild!BL72</f>
        <v>1.2368379210970882E-2</v>
      </c>
      <c r="AT162" s="923">
        <f>RevBuild!BM72</f>
        <v>1.5190901360544224E-2</v>
      </c>
      <c r="AU162" s="923">
        <f>RevBuild!BN72</f>
        <v>2.8519561020221528E-2</v>
      </c>
      <c r="AY162" s="850"/>
      <c r="AZ162" s="850"/>
      <c r="BA162" s="850"/>
      <c r="BB162" s="850"/>
      <c r="BC162" s="850"/>
      <c r="BD162" s="850"/>
      <c r="BE162" s="850"/>
      <c r="BF162" s="886"/>
      <c r="BL162" s="850"/>
      <c r="BR162" s="55"/>
      <c r="BS162" s="921"/>
      <c r="BT162" s="921"/>
      <c r="BU162" s="921"/>
      <c r="BV162" s="921"/>
      <c r="BW162" s="921"/>
      <c r="BX162" s="921"/>
      <c r="BY162" s="921"/>
      <c r="BZ162" s="921"/>
      <c r="CA162" s="921"/>
      <c r="CB162" s="921"/>
      <c r="CC162" s="921"/>
      <c r="CD162" s="921"/>
      <c r="CE162" s="921"/>
      <c r="CF162" s="921"/>
      <c r="CG162" s="921"/>
      <c r="CH162" s="921"/>
      <c r="CI162" s="921"/>
      <c r="CJ162" s="921"/>
      <c r="CK162" s="921"/>
      <c r="CL162" s="921"/>
      <c r="CM162" s="921"/>
      <c r="CN162" s="921"/>
      <c r="CO162" s="921"/>
      <c r="CP162" s="921"/>
      <c r="CQ162" s="921"/>
      <c r="CR162" s="921"/>
      <c r="CS162" s="921"/>
      <c r="CT162" s="921"/>
      <c r="CU162" s="921"/>
    </row>
    <row r="163" spans="1:99" x14ac:dyDescent="0.2">
      <c r="A163" s="862"/>
      <c r="B163" s="925" t="s">
        <v>537</v>
      </c>
      <c r="C163" s="924"/>
      <c r="D163" s="795"/>
      <c r="E163" s="795"/>
      <c r="F163" s="795"/>
      <c r="G163" s="795"/>
      <c r="H163" s="795"/>
      <c r="I163" s="795"/>
      <c r="J163" s="795"/>
      <c r="K163" s="795"/>
      <c r="L163" s="795"/>
      <c r="M163" s="795"/>
      <c r="N163" s="795"/>
      <c r="O163" s="795"/>
      <c r="P163" s="795"/>
      <c r="Q163" s="795"/>
      <c r="R163" s="795"/>
      <c r="S163" s="795"/>
      <c r="T163" s="795"/>
      <c r="U163" s="795"/>
      <c r="V163" s="795"/>
      <c r="W163" s="795"/>
      <c r="X163" s="795"/>
      <c r="Y163" s="795"/>
      <c r="Z163" s="795"/>
      <c r="AA163" s="795"/>
      <c r="AB163" s="904">
        <f>+AB162+X162</f>
        <v>6.135199999999999E-2</v>
      </c>
      <c r="AC163" s="904">
        <f t="shared" ref="AC163:AJ163" si="109">+AC162+Y162</f>
        <v>7.214000000000001E-2</v>
      </c>
      <c r="AD163" s="904">
        <f t="shared" si="109"/>
        <v>5.4419999999999996E-2</v>
      </c>
      <c r="AE163" s="904">
        <f t="shared" si="109"/>
        <v>4.3439999999999993E-2</v>
      </c>
      <c r="AF163" s="904">
        <f t="shared" si="109"/>
        <v>4.0279999999999996E-2</v>
      </c>
      <c r="AG163" s="904">
        <f t="shared" si="109"/>
        <v>4.9309999999999993E-2</v>
      </c>
      <c r="AH163" s="904">
        <f t="shared" si="109"/>
        <v>5.4699999999999999E-2</v>
      </c>
      <c r="AI163" s="904">
        <f t="shared" si="109"/>
        <v>4.0862999999999997E-2</v>
      </c>
      <c r="AJ163" s="904">
        <f t="shared" si="109"/>
        <v>4.2789709258731393E-2</v>
      </c>
      <c r="AK163" s="904">
        <f t="shared" ref="AK163:AM163" si="110">+AK162+AG162</f>
        <v>8.9842591416074466E-2</v>
      </c>
      <c r="AL163" s="904">
        <f t="shared" si="110"/>
        <v>8.5548624468321427E-2</v>
      </c>
      <c r="AM163" s="904">
        <f t="shared" si="110"/>
        <v>7.1960427952736009E-2</v>
      </c>
      <c r="AN163" s="904">
        <f>+AN162+AJ162</f>
        <v>7.327274201793435E-2</v>
      </c>
      <c r="AO163" s="904">
        <f>+AO162+AK162</f>
        <v>9.6968000047846739E-2</v>
      </c>
      <c r="AP163" s="904">
        <f>+AP162+AL162</f>
        <v>7.6279685837069414E-2</v>
      </c>
      <c r="AQ163" s="904">
        <f>+AQ162+AM162</f>
        <v>8.8598085071522864E-2</v>
      </c>
      <c r="AR163" s="904">
        <f t="shared" ref="AR163:AU163" si="111">+AR162+AN162</f>
        <v>6.4930438562581044E-2</v>
      </c>
      <c r="AS163" s="904">
        <f t="shared" si="111"/>
        <v>3.6363787842743148E-2</v>
      </c>
      <c r="AT163" s="904">
        <f t="shared" si="111"/>
        <v>3.3761962729292209E-2</v>
      </c>
      <c r="AU163" s="904">
        <f t="shared" si="111"/>
        <v>7.7580218139008381E-2</v>
      </c>
      <c r="AY163" s="850"/>
      <c r="AZ163" s="850"/>
      <c r="BA163" s="850"/>
      <c r="BB163" s="850"/>
      <c r="BC163" s="850"/>
      <c r="BD163" s="850"/>
      <c r="BE163" s="850"/>
      <c r="BF163" s="886"/>
      <c r="BL163" s="850"/>
      <c r="BR163" s="903"/>
      <c r="BS163" s="921"/>
      <c r="BT163" s="921"/>
      <c r="BU163" s="921"/>
      <c r="BV163" s="921"/>
      <c r="BW163" s="921"/>
      <c r="BX163" s="921"/>
      <c r="BY163" s="921"/>
      <c r="BZ163" s="921"/>
      <c r="CA163" s="921"/>
      <c r="CB163" s="921"/>
      <c r="CC163" s="921"/>
      <c r="CD163" s="921"/>
      <c r="CE163" s="921"/>
      <c r="CF163" s="921"/>
      <c r="CG163" s="921"/>
      <c r="CH163" s="921"/>
      <c r="CI163" s="921"/>
      <c r="CJ163" s="921"/>
      <c r="CK163" s="921"/>
      <c r="CL163" s="921"/>
      <c r="CM163" s="921"/>
      <c r="CN163" s="921"/>
      <c r="CO163" s="921"/>
      <c r="CP163" s="921"/>
      <c r="CQ163" s="921"/>
      <c r="CR163" s="921"/>
      <c r="CS163" s="921"/>
      <c r="CT163" s="921"/>
      <c r="CU163" s="921"/>
    </row>
    <row r="164" spans="1:99" x14ac:dyDescent="0.2">
      <c r="H164" s="850"/>
      <c r="I164" s="850"/>
      <c r="L164" s="850"/>
      <c r="T164" s="850"/>
      <c r="U164" s="650"/>
      <c r="X164" s="850"/>
      <c r="AB164" s="850"/>
      <c r="AF164" s="850"/>
      <c r="AI164" s="862"/>
      <c r="AJ164" s="850"/>
      <c r="AR164" s="36"/>
    </row>
    <row r="165" spans="1:99" x14ac:dyDescent="0.2">
      <c r="H165" s="850">
        <v>0.18592660891926638</v>
      </c>
      <c r="I165" s="850">
        <v>0.1724311241283345</v>
      </c>
      <c r="J165" s="847">
        <v>8.5740099937922976E-2</v>
      </c>
      <c r="K165" s="847">
        <v>-6.1611733246661471E-2</v>
      </c>
      <c r="L165" s="850">
        <v>-9.5996305159580575E-2</v>
      </c>
      <c r="M165" s="847">
        <v>-7.0631607791583728E-2</v>
      </c>
      <c r="N165" s="847">
        <v>2.3586997337496918E-3</v>
      </c>
      <c r="O165" s="847">
        <v>0.11857535605274894</v>
      </c>
      <c r="P165" s="847">
        <v>7.6920952600754822E-2</v>
      </c>
      <c r="Q165" s="847">
        <v>2.2165865941190299E-2</v>
      </c>
      <c r="R165" s="847">
        <v>1.9977296814965406E-2</v>
      </c>
      <c r="S165" s="847">
        <v>-3.9585217296433939E-4</v>
      </c>
      <c r="T165" s="850">
        <v>4.49844672713684E-2</v>
      </c>
      <c r="U165" s="650">
        <v>7.8496016535536173E-2</v>
      </c>
      <c r="V165" s="847">
        <v>0.14385722063804063</v>
      </c>
      <c r="W165" s="847">
        <v>0.29893218391006915</v>
      </c>
      <c r="X165" s="850">
        <v>0.25575676201527409</v>
      </c>
      <c r="Y165" s="847">
        <v>0.25195301283302962</v>
      </c>
      <c r="Z165" s="847">
        <v>0.12258797371236252</v>
      </c>
      <c r="AA165" s="847">
        <v>2.0697467388785862E-2</v>
      </c>
      <c r="AB165" s="850">
        <v>2.187425409644983E-2</v>
      </c>
      <c r="AC165" s="847">
        <v>-2.6002825710293997E-3</v>
      </c>
      <c r="AD165" s="847">
        <v>1.1906849456832624E-2</v>
      </c>
      <c r="AE165" s="847">
        <v>4.9118000021231012E-4</v>
      </c>
      <c r="AF165"/>
      <c r="AG165"/>
      <c r="AH165"/>
      <c r="AI165"/>
      <c r="AJ165"/>
      <c r="AK165"/>
      <c r="AL165"/>
      <c r="AM165"/>
      <c r="AN165"/>
      <c r="AO165"/>
      <c r="AP165"/>
      <c r="AQ165"/>
      <c r="AR165" s="36"/>
    </row>
    <row r="166" spans="1:99" x14ac:dyDescent="0.2">
      <c r="H166" s="850">
        <v>9.0926608919266377E-2</v>
      </c>
      <c r="I166" s="850">
        <v>8.2431124128334504E-2</v>
      </c>
      <c r="J166" s="847">
        <v>2.1740099937922981E-2</v>
      </c>
      <c r="K166" s="847">
        <v>-4.8611733246661487E-2</v>
      </c>
      <c r="L166" s="850">
        <v>-0.10299630515958055</v>
      </c>
      <c r="M166" s="847">
        <v>-7.5631607791583733E-2</v>
      </c>
      <c r="N166" s="847">
        <v>-2.264130026625031E-2</v>
      </c>
      <c r="O166" s="847">
        <v>6.3575356052748944E-2</v>
      </c>
      <c r="P166" s="847">
        <v>4.9920952600754818E-2</v>
      </c>
      <c r="Q166" s="847">
        <v>-5.8341340588097014E-3</v>
      </c>
      <c r="R166" s="847">
        <v>-4.0227031850345943E-3</v>
      </c>
      <c r="S166" s="847">
        <v>-2.5395852172964341E-2</v>
      </c>
      <c r="T166" s="850">
        <v>-1.015532728631599E-3</v>
      </c>
      <c r="U166" s="650">
        <v>3.6496016535536163E-2</v>
      </c>
      <c r="V166" s="847">
        <v>8.5722063804063303E-4</v>
      </c>
      <c r="W166" s="847">
        <v>-4.4067816089930843E-2</v>
      </c>
      <c r="X166" s="850">
        <v>-6.1243237984725932E-2</v>
      </c>
      <c r="Y166" s="847">
        <v>-5.1046987166970391E-2</v>
      </c>
      <c r="Z166" s="847">
        <v>-5.9412026287637476E-2</v>
      </c>
      <c r="AA166" s="847">
        <v>2.7697467388785903E-2</v>
      </c>
      <c r="AB166" s="847">
        <v>4.8742540964498288E-3</v>
      </c>
      <c r="AC166" s="847">
        <v>-3.5600282571029401E-2</v>
      </c>
      <c r="AD166" s="847">
        <v>-1.5093150543167375E-2</v>
      </c>
      <c r="AE166" s="847">
        <v>-1.0508819999787689E-2</v>
      </c>
      <c r="AF166"/>
      <c r="AG166"/>
      <c r="AH166"/>
      <c r="AI166"/>
      <c r="AJ166"/>
      <c r="AK166"/>
      <c r="AL166"/>
      <c r="AM166"/>
      <c r="AN166"/>
      <c r="AO166"/>
      <c r="AP166"/>
      <c r="AQ166"/>
      <c r="AR166" s="36"/>
    </row>
    <row r="167" spans="1:99" x14ac:dyDescent="0.2">
      <c r="B167" s="873" t="s">
        <v>728</v>
      </c>
      <c r="C167" s="850"/>
      <c r="D167" s="850"/>
      <c r="E167" s="850"/>
      <c r="F167" s="850"/>
      <c r="G167" s="850"/>
      <c r="H167" s="850"/>
      <c r="I167" s="850"/>
      <c r="J167" s="864"/>
      <c r="K167" s="864"/>
      <c r="L167" s="864"/>
      <c r="M167" s="864"/>
      <c r="N167" s="864"/>
      <c r="O167" s="864"/>
      <c r="P167" s="864"/>
      <c r="Q167" s="864"/>
      <c r="R167" s="864"/>
      <c r="S167" s="864"/>
      <c r="T167" s="864"/>
      <c r="U167" s="864"/>
      <c r="V167" s="864"/>
      <c r="W167" s="864"/>
      <c r="X167" s="864"/>
      <c r="Y167" s="864"/>
      <c r="Z167" s="864"/>
      <c r="AA167" s="864"/>
      <c r="AB167" s="864"/>
      <c r="AC167" s="864"/>
      <c r="AD167" s="864"/>
      <c r="AE167" s="864"/>
      <c r="AF167" s="864"/>
      <c r="AG167" s="850"/>
      <c r="AH167" s="850"/>
      <c r="AI167" s="850"/>
      <c r="AJ167" s="850"/>
      <c r="AK167" s="850"/>
      <c r="AL167" s="850"/>
      <c r="AM167" s="850"/>
      <c r="AN167" s="850"/>
      <c r="AO167" s="850"/>
      <c r="AP167" s="850"/>
      <c r="AQ167" s="850"/>
      <c r="AR167" s="36"/>
      <c r="AS167" s="1472"/>
      <c r="AT167" s="1472"/>
      <c r="AU167" s="1472"/>
      <c r="AV167" s="1472"/>
      <c r="AW167" s="1472"/>
    </row>
    <row r="168" spans="1:99" x14ac:dyDescent="0.2">
      <c r="B168" s="907"/>
      <c r="AF168" s="910"/>
      <c r="AG168" s="908"/>
      <c r="AH168" s="908"/>
      <c r="AI168" s="908"/>
      <c r="AJ168" s="1316" t="s">
        <v>376</v>
      </c>
      <c r="AK168" s="1320" t="s">
        <v>529</v>
      </c>
      <c r="AL168" s="1320" t="s">
        <v>580</v>
      </c>
      <c r="AM168" s="908">
        <v>42825</v>
      </c>
      <c r="AN168" s="908">
        <v>42916</v>
      </c>
      <c r="AO168" s="908">
        <v>43008</v>
      </c>
      <c r="AP168" s="1329">
        <v>43100</v>
      </c>
      <c r="AQ168" s="1320" t="s">
        <v>581</v>
      </c>
      <c r="AR168" s="908">
        <v>43190</v>
      </c>
      <c r="AS168" s="908">
        <v>43281</v>
      </c>
      <c r="AT168" s="908">
        <v>43373</v>
      </c>
      <c r="AU168" s="1329">
        <v>43465</v>
      </c>
      <c r="AV168" s="1275" t="s">
        <v>393</v>
      </c>
      <c r="AW168" s="1275" t="s">
        <v>394</v>
      </c>
      <c r="AX168" s="1275" t="s">
        <v>395</v>
      </c>
    </row>
    <row r="169" spans="1:99" x14ac:dyDescent="0.2">
      <c r="B169" s="918" t="s">
        <v>720</v>
      </c>
      <c r="AB169" s="919"/>
      <c r="AC169" s="919"/>
      <c r="AD169" s="919"/>
      <c r="AE169" s="920"/>
      <c r="AF169" s="1321"/>
      <c r="AG169" s="919"/>
      <c r="AH169" s="919"/>
      <c r="AI169" s="919"/>
      <c r="AJ169" s="1474">
        <f>+RevBuild!AW63</f>
        <v>3953.3864349900809</v>
      </c>
      <c r="AK169" s="1473">
        <f>+RevBuild!BC63</f>
        <v>3751.7000000000003</v>
      </c>
      <c r="AL169" s="1473">
        <f>+RevBuild!BI63</f>
        <v>3854.7999999999997</v>
      </c>
      <c r="AM169" s="1474">
        <f>+RevBuild!BK63</f>
        <v>890.9</v>
      </c>
      <c r="AN169" s="1474">
        <f>+RevBuild!BL63</f>
        <v>984.5</v>
      </c>
      <c r="AO169" s="1474">
        <f>+RevBuild!BM63</f>
        <v>1000.8</v>
      </c>
      <c r="AP169" s="1475">
        <f>+RevBuild!BN63</f>
        <v>1080.7</v>
      </c>
      <c r="AQ169" s="1473">
        <f>+RevBuild!BO63</f>
        <v>3956.8999999999996</v>
      </c>
      <c r="AR169" s="1474">
        <f>+RevBuild!BQ63</f>
        <v>939.47</v>
      </c>
      <c r="AS169" s="1474">
        <f>+RevBuild!BR63</f>
        <v>1050.364</v>
      </c>
      <c r="AT169" s="1474">
        <f>+RevBuild!BS63</f>
        <v>1072.8520000000001</v>
      </c>
      <c r="AU169" s="1475">
        <f>+RevBuild!BT63</f>
        <v>1152.5840000000001</v>
      </c>
      <c r="AV169" s="1476">
        <f>+RevBuild!BU63</f>
        <v>4215.2700000000004</v>
      </c>
      <c r="AW169" s="1476">
        <f>+RevBuild!CA63</f>
        <v>4380.8334800000002</v>
      </c>
      <c r="AX169" s="1476">
        <f>+RevBuild!CG63</f>
        <v>4514.1323888000006</v>
      </c>
    </row>
    <row r="170" spans="1:99" x14ac:dyDescent="0.2">
      <c r="B170" s="918" t="s">
        <v>719</v>
      </c>
      <c r="AB170" s="825"/>
      <c r="AC170" s="825"/>
      <c r="AD170" s="825"/>
      <c r="AE170" s="825"/>
      <c r="AF170" s="1322"/>
      <c r="AG170" s="825"/>
      <c r="AH170" s="825"/>
      <c r="AI170" s="825"/>
      <c r="AJ170" s="834"/>
      <c r="AK170" s="1477">
        <f>+AK169/AJ169-1</f>
        <v>-5.1016119548805694E-2</v>
      </c>
      <c r="AL170" s="1477">
        <f>+AL169/AK169-1</f>
        <v>2.7480875336513888E-2</v>
      </c>
      <c r="AM170" s="825">
        <f>+AM169/RevBuild!BE63-1</f>
        <v>-3.5404937202252129E-2</v>
      </c>
      <c r="AN170" s="825">
        <f>+AN169/RevBuild!BF63-1</f>
        <v>-2.166351982510184E-2</v>
      </c>
      <c r="AO170" s="825">
        <f>+AO169/RevBuild!BG63-1</f>
        <v>6.3775510204081565E-2</v>
      </c>
      <c r="AP170" s="1331">
        <f>+AP169/RevBuild!BH63-1</f>
        <v>9.8160756020729822E-2</v>
      </c>
      <c r="AQ170" s="1477">
        <f>+AQ169/AL169-1</f>
        <v>2.6486458441423721E-2</v>
      </c>
      <c r="AR170" s="825">
        <f>+AR169/RevBuild!BK63-1</f>
        <v>5.4517903243910704E-2</v>
      </c>
      <c r="AS170" s="825">
        <f>+AS169/RevBuild!BL63-1</f>
        <v>6.6900964956830844E-2</v>
      </c>
      <c r="AT170" s="825">
        <f>+AT169/RevBuild!BM63-1</f>
        <v>7.1994404476418916E-2</v>
      </c>
      <c r="AU170" s="1331">
        <f>+AU169/RevBuild!BN63-1</f>
        <v>6.6516146941796972E-2</v>
      </c>
      <c r="AV170" s="1477">
        <f>+AV169/AQ169-1</f>
        <v>6.5296065101468459E-2</v>
      </c>
      <c r="AW170" s="1277">
        <f>+AW169/AV169-1</f>
        <v>3.9277075964291752E-2</v>
      </c>
      <c r="AX170" s="1277">
        <f>+AX169/AW169-1</f>
        <v>3.0427750657165076E-2</v>
      </c>
    </row>
    <row r="171" spans="1:99" x14ac:dyDescent="0.2">
      <c r="B171" s="283" t="s">
        <v>1</v>
      </c>
      <c r="AB171" s="532"/>
      <c r="AC171" s="532"/>
      <c r="AD171" s="532"/>
      <c r="AE171" s="912"/>
      <c r="AF171" s="1323"/>
      <c r="AG171" s="532"/>
      <c r="AH171" s="532"/>
      <c r="AI171" s="532"/>
      <c r="AJ171" s="1478"/>
      <c r="AK171" s="1488">
        <f>+RevBuild!BC69*AJ169</f>
        <v>-392.60876890784181</v>
      </c>
      <c r="AL171" s="1479">
        <f>+RevBuild!BI69*AK$169</f>
        <v>-32.861700000000063</v>
      </c>
      <c r="AM171" s="440">
        <f>+RevBuild!BK69*RevBuild!BE$63</f>
        <v>-11.759000000000063</v>
      </c>
      <c r="AN171" s="440">
        <f>+RevBuild!BL69*RevBuild!BF$63</f>
        <v>-11.717699999999981</v>
      </c>
      <c r="AO171" s="440">
        <f>+RevBuild!BM69*RevBuild!BG$63</f>
        <v>19.679699999999933</v>
      </c>
      <c r="AP171" s="1480">
        <f>+RevBuild!BN69*RevBuild!BH$63</f>
        <v>44.777200000000214</v>
      </c>
      <c r="AQ171" s="1479">
        <f t="shared" ref="AQ171:AQ176" si="112">+SUM(AM171:AP171)</f>
        <v>40.980200000000103</v>
      </c>
      <c r="AR171" s="440">
        <f>+RevBuild!BQ69*RevBuild!BK$63</f>
        <v>51.957000000000043</v>
      </c>
      <c r="AS171" s="440">
        <f>+RevBuild!BR69*RevBuild!BL$63</f>
        <v>39.173999999999971</v>
      </c>
      <c r="AT171" s="440">
        <f>+RevBuild!BS69*RevBuild!BM$63</f>
        <v>25.500000000000057</v>
      </c>
      <c r="AU171" s="1480">
        <f>+RevBuild!BT69*RevBuild!BN$63</f>
        <v>28.655999999999988</v>
      </c>
      <c r="AV171" s="1479">
        <f t="shared" ref="AV171:AV176" si="113">+SUM(AR171:AU171)</f>
        <v>145.28700000000006</v>
      </c>
      <c r="AW171" s="1482">
        <f>+RevBuild!CA69*AV$169</f>
        <v>4.8133752539314397E-13</v>
      </c>
      <c r="AX171" s="1482">
        <f>+RevBuild!CG69*AW$169</f>
        <v>-1.9774625673041339E-13</v>
      </c>
    </row>
    <row r="172" spans="1:99" x14ac:dyDescent="0.2">
      <c r="B172" s="911" t="s">
        <v>727</v>
      </c>
      <c r="AB172" s="912"/>
      <c r="AC172" s="912"/>
      <c r="AD172" s="912"/>
      <c r="AE172" s="912"/>
      <c r="AF172" s="1323"/>
      <c r="AG172" s="912"/>
      <c r="AH172" s="912"/>
      <c r="AI172" s="912"/>
      <c r="AJ172" s="1478"/>
      <c r="AK172" s="1488">
        <f>+RevBuild!BC70*AJ169</f>
        <v>3.0389388933624746</v>
      </c>
      <c r="AL172" s="1497">
        <f>+(1.7%-0.5%)*AK$169</f>
        <v>45.020400000000002</v>
      </c>
      <c r="AM172" s="1501">
        <f>+RevBuild!BK70*RevBuild!BE$63</f>
        <v>21.723799999999997</v>
      </c>
      <c r="AN172" s="1501">
        <f>+RevBuild!BL70*RevBuild!BF$63</f>
        <v>26.471399999999999</v>
      </c>
      <c r="AO172" s="1501">
        <f>+RevBuild!BM70*RevBuild!BG$63</f>
        <v>18.028700000000001</v>
      </c>
      <c r="AP172" s="1502">
        <f>+RevBuild!BN70*RevBuild!BH$63</f>
        <v>2.7566999999999999</v>
      </c>
      <c r="AQ172" s="1479">
        <f t="shared" si="112"/>
        <v>68.980599999999995</v>
      </c>
      <c r="AR172" s="1481">
        <f>+RevBuild!BQ70*RevBuild!BK$63</f>
        <v>0</v>
      </c>
      <c r="AS172" s="1481">
        <f>+RevBuild!BR70*RevBuild!BL$63</f>
        <v>0</v>
      </c>
      <c r="AT172" s="1481">
        <f>+RevBuild!BS70*RevBuild!BM$63</f>
        <v>0</v>
      </c>
      <c r="AU172" s="1483">
        <f>+RevBuild!BT70*RevBuild!BN$63</f>
        <v>0</v>
      </c>
      <c r="AV172" s="1479">
        <f t="shared" si="113"/>
        <v>0</v>
      </c>
      <c r="AW172" s="1482">
        <f>+RevBuild!CA70*AV$169</f>
        <v>0</v>
      </c>
      <c r="AX172" s="1482">
        <f>+RevBuild!CG70*AW$169</f>
        <v>0</v>
      </c>
    </row>
    <row r="173" spans="1:99" x14ac:dyDescent="0.2">
      <c r="B173" s="283" t="s">
        <v>726</v>
      </c>
      <c r="AB173" s="792"/>
      <c r="AC173" s="792"/>
      <c r="AD173" s="792"/>
      <c r="AE173" s="1317"/>
      <c r="AF173" s="1324"/>
      <c r="AG173" s="792"/>
      <c r="AH173" s="792"/>
      <c r="AI173" s="792"/>
      <c r="AJ173" s="1484"/>
      <c r="AK173" s="1479">
        <v>0</v>
      </c>
      <c r="AL173" s="1497">
        <v>-29.5</v>
      </c>
      <c r="AM173" s="1485">
        <f>-4.3%*RevBuild!BE63</f>
        <v>-39.714799999999997</v>
      </c>
      <c r="AN173" s="1485">
        <f>-1.9%*RevBuild!BF63</f>
        <v>-19.119699999999998</v>
      </c>
      <c r="AO173" s="1485">
        <v>-10</v>
      </c>
      <c r="AP173" s="1610">
        <f>+RevBuild!BN60*RevBuild!BH54</f>
        <v>-2</v>
      </c>
      <c r="AQ173" s="1479">
        <f t="shared" si="112"/>
        <v>-70.834499999999991</v>
      </c>
      <c r="AR173" s="1485">
        <f>'P&amp;L'!BQ182</f>
        <v>0</v>
      </c>
      <c r="AS173" s="1485">
        <f>'P&amp;L'!BR182</f>
        <v>0</v>
      </c>
      <c r="AT173" s="1485">
        <f>'P&amp;L'!BS182</f>
        <v>0</v>
      </c>
      <c r="AU173" s="1486">
        <f>'P&amp;L'!BT182</f>
        <v>0</v>
      </c>
      <c r="AV173" s="1479">
        <f t="shared" si="113"/>
        <v>0</v>
      </c>
      <c r="AW173" s="1482">
        <f>'P&amp;L'!CA182</f>
        <v>0</v>
      </c>
      <c r="AX173" s="1482">
        <f>'P&amp;L'!CG182</f>
        <v>0</v>
      </c>
    </row>
    <row r="174" spans="1:99" x14ac:dyDescent="0.2">
      <c r="B174" s="911" t="s">
        <v>721</v>
      </c>
      <c r="AB174" s="914"/>
      <c r="AC174" s="914"/>
      <c r="AD174" s="914"/>
      <c r="AE174" s="1317"/>
      <c r="AF174" s="1324"/>
      <c r="AG174" s="914"/>
      <c r="AH174" s="914"/>
      <c r="AI174" s="914"/>
      <c r="AJ174" s="1484"/>
      <c r="AK174" s="1479">
        <v>0</v>
      </c>
      <c r="AL174" s="1479">
        <v>0</v>
      </c>
      <c r="AM174" s="1484">
        <v>-14</v>
      </c>
      <c r="AN174" s="1484">
        <v>-29</v>
      </c>
      <c r="AO174" s="1484">
        <v>0</v>
      </c>
      <c r="AP174" s="1487">
        <v>0</v>
      </c>
      <c r="AQ174" s="1479">
        <f t="shared" si="112"/>
        <v>-43</v>
      </c>
      <c r="AR174" s="1484">
        <f>'P&amp;L'!BQ184</f>
        <v>0</v>
      </c>
      <c r="AS174" s="1484">
        <f>'P&amp;L'!BR184</f>
        <v>0</v>
      </c>
      <c r="AT174" s="1484">
        <f>'P&amp;L'!BS184</f>
        <v>0</v>
      </c>
      <c r="AU174" s="1487">
        <f>'P&amp;L'!BT184</f>
        <v>0</v>
      </c>
      <c r="AV174" s="1479">
        <f t="shared" si="113"/>
        <v>0</v>
      </c>
      <c r="AW174" s="1482">
        <f>'P&amp;L'!CA184</f>
        <v>0</v>
      </c>
      <c r="AX174" s="1482">
        <f>'P&amp;L'!CG184</f>
        <v>0</v>
      </c>
    </row>
    <row r="175" spans="1:99" x14ac:dyDescent="0.2">
      <c r="B175" s="283" t="s">
        <v>725</v>
      </c>
      <c r="AB175" s="792"/>
      <c r="AC175" s="792"/>
      <c r="AD175" s="792"/>
      <c r="AE175" s="1319"/>
      <c r="AF175" s="1324"/>
      <c r="AG175" s="792"/>
      <c r="AH175" s="792"/>
      <c r="AI175" s="792"/>
      <c r="AJ175" s="1484"/>
      <c r="AK175" s="1479">
        <v>0</v>
      </c>
      <c r="AL175" s="1479">
        <v>0</v>
      </c>
      <c r="AM175" s="1485">
        <f>'P&amp;L'!BK186</f>
        <v>0</v>
      </c>
      <c r="AN175" s="1485">
        <f>'P&amp;L'!BL186</f>
        <v>0</v>
      </c>
      <c r="AO175" s="1609">
        <f>+RevBuild!BM42*RevBuild!BG36</f>
        <v>18</v>
      </c>
      <c r="AP175" s="1609">
        <f>+RevBuild!BN42*RevBuild!BH36</f>
        <v>23</v>
      </c>
      <c r="AQ175" s="1479">
        <f t="shared" si="112"/>
        <v>41</v>
      </c>
      <c r="AR175" s="1609">
        <f>+RevBuild!BQ42*RevBuild!BK36</f>
        <v>-35</v>
      </c>
      <c r="AS175" s="1609">
        <f>+RevBuild!BR42*RevBuild!BL36</f>
        <v>-10</v>
      </c>
      <c r="AT175" s="1609">
        <f>+RevBuild!BS42*RevBuild!BM36</f>
        <v>0</v>
      </c>
      <c r="AU175" s="1609">
        <f>+RevBuild!BT42*RevBuild!BN36</f>
        <v>0</v>
      </c>
      <c r="AV175" s="1479">
        <f t="shared" si="113"/>
        <v>-45</v>
      </c>
      <c r="AW175" s="1482">
        <f>'P&amp;L'!CA186</f>
        <v>0</v>
      </c>
      <c r="AX175" s="1482">
        <f>'P&amp;L'!CG186</f>
        <v>0</v>
      </c>
    </row>
    <row r="176" spans="1:99" x14ac:dyDescent="0.2">
      <c r="B176" s="911" t="s">
        <v>722</v>
      </c>
      <c r="AB176" s="915"/>
      <c r="AC176" s="915"/>
      <c r="AD176" s="915"/>
      <c r="AE176" s="1318"/>
      <c r="AF176" s="1325"/>
      <c r="AG176" s="915"/>
      <c r="AH176" s="915"/>
      <c r="AI176" s="915"/>
      <c r="AJ176" s="1481"/>
      <c r="AK176" s="1479">
        <v>0</v>
      </c>
      <c r="AL176" s="1479">
        <v>0</v>
      </c>
      <c r="AM176" s="1481">
        <f>'P&amp;L'!BK188</f>
        <v>0</v>
      </c>
      <c r="AN176" s="1481">
        <f>'P&amp;L'!BL188</f>
        <v>0</v>
      </c>
      <c r="AO176" s="1481">
        <f>'P&amp;L'!BM188</f>
        <v>0</v>
      </c>
      <c r="AP176" s="1483">
        <f>'P&amp;L'!BN188</f>
        <v>0</v>
      </c>
      <c r="AQ176" s="1479">
        <f t="shared" si="112"/>
        <v>0</v>
      </c>
      <c r="AR176" s="1498">
        <v>0</v>
      </c>
      <c r="AS176" s="1498">
        <v>0</v>
      </c>
      <c r="AT176" s="1498">
        <v>0</v>
      </c>
      <c r="AU176" s="1499">
        <v>0</v>
      </c>
      <c r="AV176" s="1479">
        <f t="shared" si="113"/>
        <v>0</v>
      </c>
      <c r="AW176" s="1482">
        <f>'P&amp;L'!CA188</f>
        <v>0</v>
      </c>
      <c r="AX176" s="1482">
        <f>'P&amp;L'!CG188</f>
        <v>0</v>
      </c>
    </row>
    <row r="177" spans="2:50" x14ac:dyDescent="0.2">
      <c r="B177" s="1489" t="s">
        <v>723</v>
      </c>
      <c r="C177" s="989"/>
      <c r="D177" s="989"/>
      <c r="E177" s="989"/>
      <c r="F177" s="989"/>
      <c r="G177" s="989"/>
      <c r="H177" s="989"/>
      <c r="I177" s="989"/>
      <c r="J177" s="989"/>
      <c r="K177" s="989"/>
      <c r="L177" s="989"/>
      <c r="M177" s="989"/>
      <c r="N177" s="989"/>
      <c r="O177" s="989"/>
      <c r="P177" s="989"/>
      <c r="Q177" s="989"/>
      <c r="R177" s="989"/>
      <c r="S177" s="989"/>
      <c r="T177" s="989"/>
      <c r="U177" s="989"/>
      <c r="V177" s="989"/>
      <c r="W177" s="989"/>
      <c r="X177" s="989"/>
      <c r="Y177" s="989"/>
      <c r="Z177" s="989"/>
      <c r="AA177" s="989"/>
      <c r="AB177" s="1490"/>
      <c r="AC177" s="1490"/>
      <c r="AD177" s="1490"/>
      <c r="AE177" s="1490"/>
      <c r="AF177" s="1491"/>
      <c r="AG177" s="1490"/>
      <c r="AH177" s="1490"/>
      <c r="AI177" s="1490"/>
      <c r="AJ177" s="1492"/>
      <c r="AK177" s="1493">
        <f>AK169-SUM(AK171:AK176)</f>
        <v>4141.2698300144793</v>
      </c>
      <c r="AL177" s="1493">
        <f>AL169-SUM(AL171:AL176)</f>
        <v>3872.1412999999998</v>
      </c>
      <c r="AM177" s="1495">
        <f t="shared" ref="AM177:AV177" si="114">AM169-SUM(AM171:AM176)</f>
        <v>934.65000000000009</v>
      </c>
      <c r="AN177" s="1495">
        <f t="shared" si="114"/>
        <v>1017.866</v>
      </c>
      <c r="AO177" s="1495">
        <f t="shared" si="114"/>
        <v>955.09159999999997</v>
      </c>
      <c r="AP177" s="1496">
        <f t="shared" si="114"/>
        <v>1012.1660999999998</v>
      </c>
      <c r="AQ177" s="1493">
        <f t="shared" si="114"/>
        <v>3919.7736999999997</v>
      </c>
      <c r="AR177" s="1495">
        <f>AR169-SUM(AR171:AR176)</f>
        <v>922.51300000000003</v>
      </c>
      <c r="AS177" s="1495">
        <f t="shared" si="114"/>
        <v>1021.19</v>
      </c>
      <c r="AT177" s="1495">
        <f t="shared" si="114"/>
        <v>1047.3520000000001</v>
      </c>
      <c r="AU177" s="1496">
        <f t="shared" si="114"/>
        <v>1123.9280000000001</v>
      </c>
      <c r="AV177" s="1493">
        <f t="shared" si="114"/>
        <v>4114.9830000000002</v>
      </c>
      <c r="AW177" s="1494">
        <f>AW169-SUM(AW171:AW176)</f>
        <v>4380.8334799999993</v>
      </c>
      <c r="AX177" s="1494">
        <f>AX169-SUM(AX171:AX176)</f>
        <v>4514.1323888000006</v>
      </c>
    </row>
    <row r="178" spans="2:50" x14ac:dyDescent="0.2">
      <c r="B178" s="1196" t="s">
        <v>724</v>
      </c>
      <c r="C178" s="924"/>
      <c r="D178" s="924"/>
      <c r="E178" s="924"/>
      <c r="F178" s="924"/>
      <c r="G178" s="924"/>
      <c r="H178" s="924"/>
      <c r="I178" s="924"/>
      <c r="J178" s="924"/>
      <c r="K178" s="924"/>
      <c r="L178" s="924"/>
      <c r="M178" s="924"/>
      <c r="N178" s="924"/>
      <c r="O178" s="924"/>
      <c r="P178" s="924"/>
      <c r="Q178" s="924"/>
      <c r="R178" s="924"/>
      <c r="S178" s="924"/>
      <c r="T178" s="924"/>
      <c r="U178" s="924"/>
      <c r="V178" s="924"/>
      <c r="W178" s="924"/>
      <c r="X178" s="924"/>
      <c r="Y178" s="924"/>
      <c r="Z178" s="924"/>
      <c r="AA178" s="924"/>
      <c r="AB178" s="1198"/>
      <c r="AC178" s="1337"/>
      <c r="AD178" s="1337"/>
      <c r="AE178" s="1197"/>
      <c r="AF178" s="1197"/>
      <c r="AG178" s="1198"/>
      <c r="AH178" s="1198"/>
      <c r="AI178" s="1198"/>
      <c r="AJ178" s="1198"/>
      <c r="AK178" s="1328">
        <f>+AK177/AJ169-1</f>
        <v>4.752467235722424E-2</v>
      </c>
      <c r="AL178" s="1328">
        <f>+AL177/AK169-1</f>
        <v>3.2103126582615715E-2</v>
      </c>
      <c r="AM178" s="1198">
        <f>+AM177/RevBuild!BE63-1</f>
        <v>1.1964053702901767E-2</v>
      </c>
      <c r="AN178" s="1198">
        <f>+AN177/RevBuild!BF63-1</f>
        <v>1.1493590380602159E-2</v>
      </c>
      <c r="AO178" s="1198">
        <f>+AO177/RevBuild!BG63-1</f>
        <v>1.519090136054424E-2</v>
      </c>
      <c r="AP178" s="1335">
        <f>+AP177/RevBuild!BH63-1</f>
        <v>2.8519561020221351E-2</v>
      </c>
      <c r="AQ178" s="1328">
        <f>+AQ177/AL169-1</f>
        <v>1.6855271350005196E-2</v>
      </c>
      <c r="AR178" s="1198">
        <f>+AR177/RevBuild!BK63-1</f>
        <v>3.5484341676955911E-2</v>
      </c>
      <c r="AS178" s="1198">
        <f>+AS177/RevBuild!BL63-1</f>
        <v>3.7267648552564703E-2</v>
      </c>
      <c r="AT178" s="1198">
        <f>+AT177/RevBuild!BM63-1</f>
        <v>4.6514788169464527E-2</v>
      </c>
      <c r="AU178" s="1335">
        <f>+AU177/RevBuild!BN63-1</f>
        <v>4.0000000000000036E-2</v>
      </c>
      <c r="AV178" s="1328">
        <f>+AV177/AQ169-1</f>
        <v>3.9951224443377509E-2</v>
      </c>
      <c r="AW178" s="1280">
        <f>+AW177/AV169-1</f>
        <v>3.927707596429153E-2</v>
      </c>
      <c r="AX178" s="1280">
        <f>+AX177/AW169-1</f>
        <v>3.0427750657165076E-2</v>
      </c>
    </row>
  </sheetData>
  <printOptions horizontalCentered="1" verticalCentered="1"/>
  <pageMargins left="0" right="0" top="0" bottom="0" header="0" footer="0"/>
  <pageSetup paperSize="5" scale="26" orientation="landscape" r:id="rId1"/>
  <headerFooter alignWithMargins="0"/>
  <ignoredErrors>
    <ignoredError sqref="AF101:AQ110 AF30:AY30 AZ34:BC34 AZ13:BC13 AF32:AY32 AF34:AY34 AF36:AY36 AZ36:BC36 AF38:AY39 AZ38:BC39 AF41:AY41 AZ41:BC41 AF43:AY43 AZ43:BC43 AF45:AY45 AZ45:BC45 AF47:AY47 AZ47:BC47 AZ49:BC49" formula="1"/>
    <ignoredError sqref="AQ174" formulaRange="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tabColor theme="0"/>
    <pageSetUpPr fitToPage="1"/>
  </sheetPr>
  <dimension ref="A1:CQ195"/>
  <sheetViews>
    <sheetView showGridLines="0" zoomScaleNormal="100" workbookViewId="0">
      <pane xSplit="2" ySplit="7" topLeftCell="BG8" activePane="bottomRight" state="frozen"/>
      <selection activeCell="BG84" sqref="BG84"/>
      <selection pane="topRight" activeCell="BG84" sqref="BG84"/>
      <selection pane="bottomLeft" activeCell="BG84" sqref="BG84"/>
      <selection pane="bottomRight" sqref="A1:XFD1048576"/>
    </sheetView>
  </sheetViews>
  <sheetFormatPr defaultRowHeight="12.75" outlineLevelRow="1" outlineLevelCol="1" x14ac:dyDescent="0.2"/>
  <cols>
    <col min="1" max="1" width="1.85546875" style="763" customWidth="1"/>
    <col min="2" max="2" width="28.140625" style="763" customWidth="1"/>
    <col min="3" max="7" width="7.7109375" style="763" hidden="1" customWidth="1" outlineLevel="1"/>
    <col min="8" max="8" width="1" style="763" hidden="1" customWidth="1" outlineLevel="1"/>
    <col min="9" max="13" width="7.7109375" style="763" hidden="1" customWidth="1" outlineLevel="1"/>
    <col min="14" max="14" width="1" style="763" hidden="1" customWidth="1" outlineLevel="1"/>
    <col min="15" max="19" width="7.7109375" style="763" hidden="1" customWidth="1" outlineLevel="1"/>
    <col min="20" max="20" width="1" style="763" hidden="1" customWidth="1" outlineLevel="1"/>
    <col min="21" max="24" width="7.7109375" style="763" hidden="1" customWidth="1" outlineLevel="1"/>
    <col min="25" max="25" width="7.7109375" style="763" hidden="1" customWidth="1" outlineLevel="1" collapsed="1"/>
    <col min="26" max="26" width="1" style="763" hidden="1" customWidth="1" outlineLevel="1"/>
    <col min="27" max="31" width="7.7109375" style="763" hidden="1" customWidth="1" outlineLevel="1"/>
    <col min="32" max="32" width="1" style="763" hidden="1" customWidth="1" outlineLevel="1"/>
    <col min="33" max="36" width="7.7109375" style="763" hidden="1" customWidth="1" outlineLevel="1"/>
    <col min="37" max="37" width="7.7109375" style="763" customWidth="1" collapsed="1"/>
    <col min="38" max="38" width="1" style="763" customWidth="1"/>
    <col min="39" max="42" width="7.7109375" style="763" hidden="1" customWidth="1" outlineLevel="1"/>
    <col min="43" max="43" width="7.7109375" style="763" customWidth="1" collapsed="1"/>
    <col min="44" max="44" width="1" style="763" customWidth="1"/>
    <col min="45" max="48" width="7.7109375" style="763" hidden="1" customWidth="1" outlineLevel="1"/>
    <col min="49" max="49" width="7.7109375" style="763" customWidth="1" collapsed="1"/>
    <col min="50" max="50" width="1" style="763" customWidth="1"/>
    <col min="51" max="52" width="7.7109375" style="763" hidden="1" customWidth="1" outlineLevel="1"/>
    <col min="53" max="54" width="8.5703125" style="763" hidden="1" customWidth="1" outlineLevel="1"/>
    <col min="55" max="55" width="8.5703125" style="763" bestFit="1" customWidth="1" collapsed="1"/>
    <col min="56" max="56" width="1" style="763" customWidth="1"/>
    <col min="57" max="57" width="7.7109375" style="763" customWidth="1" outlineLevel="1"/>
    <col min="58" max="60" width="8.5703125" style="763" customWidth="1" outlineLevel="1"/>
    <col min="61" max="61" width="8.5703125" style="763" bestFit="1" customWidth="1"/>
    <col min="62" max="62" width="1" style="763" customWidth="1"/>
    <col min="63" max="66" width="7.7109375" style="763" customWidth="1" outlineLevel="1"/>
    <col min="67" max="67" width="7.7109375" style="763" customWidth="1"/>
    <col min="68" max="68" width="1" style="763" customWidth="1"/>
    <col min="69" max="72" width="7.7109375" style="763" customWidth="1" outlineLevel="1"/>
    <col min="73" max="73" width="7.7109375" style="763" customWidth="1"/>
    <col min="74" max="74" width="1" style="763" customWidth="1"/>
    <col min="75" max="78" width="7.7109375" style="763" customWidth="1" outlineLevel="1"/>
    <col min="79" max="79" width="7.7109375" style="763" customWidth="1"/>
    <col min="80" max="80" width="1" style="763" customWidth="1"/>
    <col min="81" max="84" width="7.7109375" style="763" customWidth="1" outlineLevel="1"/>
    <col min="85" max="85" width="7.7109375" style="763" customWidth="1"/>
    <col min="86" max="86" width="7" style="763" customWidth="1"/>
    <col min="87" max="87" width="9.140625" style="763"/>
    <col min="88" max="88" width="9.140625" style="763" customWidth="1"/>
    <col min="89" max="89" width="20" customWidth="1" outlineLevel="1"/>
    <col min="90" max="94" width="9.140625" customWidth="1" outlineLevel="1"/>
    <col min="95" max="16384" width="9.140625" style="763"/>
  </cols>
  <sheetData>
    <row r="1" spans="2:95" ht="11.25" customHeight="1" x14ac:dyDescent="0.2">
      <c r="B1" s="80" t="str">
        <f>RevBuild!B1</f>
        <v>Dentsply Sirona Inc.</v>
      </c>
      <c r="H1" s="34"/>
      <c r="N1" s="34"/>
      <c r="T1" s="34"/>
      <c r="Z1" s="34"/>
      <c r="AF1" s="34"/>
      <c r="AL1" s="34"/>
      <c r="AR1" s="34"/>
      <c r="AX1" s="34"/>
      <c r="BD1" s="34"/>
      <c r="BJ1" s="34"/>
      <c r="BP1" s="34"/>
      <c r="BV1" s="34"/>
      <c r="CB1" s="34"/>
      <c r="CQ1" s="36"/>
    </row>
    <row r="2" spans="2:95" ht="11.25" customHeight="1" x14ac:dyDescent="0.2">
      <c r="B2" s="7" t="s">
        <v>496</v>
      </c>
      <c r="H2" s="34"/>
      <c r="N2" s="34"/>
      <c r="T2" s="34"/>
      <c r="Z2" s="34"/>
      <c r="AF2" s="34"/>
      <c r="AL2" s="34"/>
      <c r="AR2" s="34"/>
      <c r="AX2" s="34"/>
      <c r="BD2" s="34"/>
      <c r="BI2" s="388"/>
      <c r="BJ2" s="34"/>
      <c r="BP2" s="34"/>
      <c r="BV2" s="34"/>
      <c r="CB2" s="34"/>
      <c r="CQ2" s="36"/>
    </row>
    <row r="3" spans="2:95" ht="11.25" customHeight="1" x14ac:dyDescent="0.2">
      <c r="B3" s="8" t="s">
        <v>78</v>
      </c>
      <c r="G3" s="379"/>
      <c r="H3" s="1"/>
      <c r="M3" s="379"/>
      <c r="N3" s="1"/>
      <c r="S3" s="379"/>
      <c r="T3" s="1"/>
      <c r="Y3" s="379"/>
      <c r="Z3" s="1"/>
      <c r="AE3" s="379"/>
      <c r="AF3" s="1"/>
      <c r="AK3" s="379"/>
      <c r="AL3" s="1"/>
      <c r="AQ3" s="379"/>
      <c r="AR3" s="1"/>
      <c r="AU3" s="533"/>
      <c r="AW3" s="379"/>
      <c r="AX3" s="1"/>
      <c r="BC3" s="379"/>
      <c r="BD3" s="1"/>
      <c r="BI3" s="379"/>
      <c r="BJ3" s="1"/>
      <c r="BO3" s="379"/>
      <c r="BP3" s="1"/>
      <c r="BU3" s="379"/>
      <c r="BV3" s="1"/>
      <c r="CA3" s="379"/>
      <c r="CB3" s="1"/>
      <c r="CG3" s="379"/>
      <c r="CQ3" s="36"/>
    </row>
    <row r="4" spans="2:95" ht="11.25" customHeight="1" x14ac:dyDescent="0.2">
      <c r="B4" s="9" t="s">
        <v>332</v>
      </c>
      <c r="C4" s="659"/>
      <c r="D4" s="659"/>
      <c r="E4" s="659"/>
      <c r="F4" s="659"/>
      <c r="G4" s="768"/>
      <c r="H4" s="769"/>
      <c r="I4" s="659"/>
      <c r="J4" s="659"/>
      <c r="K4" s="659"/>
      <c r="L4" s="659"/>
      <c r="M4" s="768"/>
      <c r="N4" s="769"/>
      <c r="O4" s="659"/>
      <c r="P4" s="659"/>
      <c r="Q4" s="659"/>
      <c r="R4" s="659"/>
      <c r="S4" s="768"/>
      <c r="T4" s="769"/>
      <c r="U4" s="659"/>
      <c r="V4" s="659"/>
      <c r="W4" s="659"/>
      <c r="X4" s="659"/>
      <c r="Y4" s="768"/>
      <c r="Z4" s="769"/>
      <c r="AA4" s="659"/>
      <c r="AB4" s="659"/>
      <c r="AC4" s="659"/>
      <c r="AD4" s="659"/>
      <c r="AE4" s="768"/>
      <c r="AF4" s="769"/>
      <c r="AG4" s="659"/>
      <c r="AH4" s="659"/>
      <c r="AI4" s="659"/>
      <c r="AJ4" s="659"/>
      <c r="AK4" s="768"/>
      <c r="AL4" s="769"/>
      <c r="AM4" s="659"/>
      <c r="AN4" s="659"/>
      <c r="AO4" s="659"/>
      <c r="AP4" s="659"/>
      <c r="AQ4" s="768"/>
      <c r="AR4" s="769"/>
      <c r="AS4" s="659"/>
      <c r="AT4" s="659"/>
      <c r="AU4" s="659"/>
      <c r="AV4" s="659"/>
      <c r="AW4" s="768"/>
      <c r="AX4" s="769"/>
      <c r="AY4" s="659"/>
      <c r="AZ4" s="659"/>
      <c r="BA4" s="659"/>
      <c r="BC4" s="379"/>
      <c r="BD4" s="1"/>
      <c r="BI4" s="379"/>
      <c r="BJ4" s="1"/>
      <c r="BO4" s="379"/>
      <c r="BP4" s="1"/>
      <c r="BU4" s="379"/>
      <c r="BV4" s="1"/>
      <c r="CA4" s="379"/>
      <c r="CB4" s="1"/>
      <c r="CG4" s="379"/>
      <c r="CQ4" s="36"/>
    </row>
    <row r="5" spans="2:95" s="762" customFormat="1" ht="11.25" customHeight="1" x14ac:dyDescent="0.2">
      <c r="C5" s="1712" t="s">
        <v>68</v>
      </c>
      <c r="D5" s="1712"/>
      <c r="E5" s="1712"/>
      <c r="F5" s="1712"/>
      <c r="G5" s="1712"/>
      <c r="H5" s="4"/>
      <c r="I5" s="1712" t="s">
        <v>69</v>
      </c>
      <c r="J5" s="1712"/>
      <c r="K5" s="1712"/>
      <c r="L5" s="1712"/>
      <c r="M5" s="1712"/>
      <c r="N5" s="4"/>
      <c r="O5" s="1712" t="s">
        <v>70</v>
      </c>
      <c r="P5" s="1712"/>
      <c r="Q5" s="1712"/>
      <c r="R5" s="1712"/>
      <c r="S5" s="1712"/>
      <c r="T5" s="4"/>
      <c r="U5" s="1712" t="s">
        <v>142</v>
      </c>
      <c r="V5" s="1712"/>
      <c r="W5" s="1712"/>
      <c r="X5" s="1712"/>
      <c r="Y5" s="1712"/>
      <c r="Z5" s="4"/>
      <c r="AA5" s="1712" t="s">
        <v>186</v>
      </c>
      <c r="AB5" s="1712"/>
      <c r="AC5" s="1712"/>
      <c r="AD5" s="1712"/>
      <c r="AE5" s="1712"/>
      <c r="AF5" s="4"/>
      <c r="AG5" s="1712" t="s">
        <v>187</v>
      </c>
      <c r="AH5" s="1712"/>
      <c r="AI5" s="1712"/>
      <c r="AJ5" s="1712"/>
      <c r="AK5" s="1712"/>
      <c r="AL5" s="4"/>
      <c r="AM5" s="1712" t="s">
        <v>188</v>
      </c>
      <c r="AN5" s="1712"/>
      <c r="AO5" s="1712"/>
      <c r="AP5" s="1712"/>
      <c r="AQ5" s="1712"/>
      <c r="AR5" s="4"/>
      <c r="AS5" s="1712" t="s">
        <v>376</v>
      </c>
      <c r="AT5" s="1712"/>
      <c r="AU5" s="1712"/>
      <c r="AV5" s="1712"/>
      <c r="AW5" s="1712"/>
      <c r="AX5" s="4"/>
      <c r="AY5" s="1712" t="s">
        <v>529</v>
      </c>
      <c r="AZ5" s="1712"/>
      <c r="BA5" s="1712"/>
      <c r="BB5" s="1712"/>
      <c r="BC5" s="1712"/>
      <c r="BD5" s="4"/>
      <c r="BE5" s="1712" t="s">
        <v>580</v>
      </c>
      <c r="BF5" s="1712"/>
      <c r="BG5" s="1712"/>
      <c r="BH5" s="1712"/>
      <c r="BI5" s="1712"/>
      <c r="BJ5" s="4"/>
      <c r="BK5" s="1712" t="s">
        <v>379</v>
      </c>
      <c r="BL5" s="1712"/>
      <c r="BM5" s="1712"/>
      <c r="BN5" s="1712"/>
      <c r="BO5" s="1712"/>
      <c r="BP5" s="4"/>
      <c r="BQ5" s="1712" t="s">
        <v>393</v>
      </c>
      <c r="BR5" s="1712"/>
      <c r="BS5" s="1712"/>
      <c r="BT5" s="1712"/>
      <c r="BU5" s="1712"/>
      <c r="BV5" s="4"/>
      <c r="BW5" s="1712" t="s">
        <v>394</v>
      </c>
      <c r="BX5" s="1712"/>
      <c r="BY5" s="1712"/>
      <c r="BZ5" s="1712"/>
      <c r="CA5" s="1712"/>
      <c r="CB5" s="4"/>
      <c r="CC5" s="1712" t="s">
        <v>395</v>
      </c>
      <c r="CD5" s="1712"/>
      <c r="CE5" s="1712"/>
      <c r="CF5" s="1712"/>
      <c r="CG5" s="1712"/>
      <c r="CK5"/>
      <c r="CL5"/>
      <c r="CM5"/>
      <c r="CN5"/>
      <c r="CO5"/>
      <c r="CP5"/>
      <c r="CQ5" s="107"/>
    </row>
    <row r="6" spans="2:95" ht="11.25" customHeight="1" x14ac:dyDescent="0.2">
      <c r="B6" s="379"/>
      <c r="C6" s="2">
        <v>39172</v>
      </c>
      <c r="D6" s="2">
        <v>39263</v>
      </c>
      <c r="E6" s="2">
        <v>39355</v>
      </c>
      <c r="F6" s="2">
        <v>39447</v>
      </c>
      <c r="G6" s="60" t="s">
        <v>68</v>
      </c>
      <c r="H6" s="3"/>
      <c r="I6" s="2">
        <v>39538</v>
      </c>
      <c r="J6" s="2">
        <v>39629</v>
      </c>
      <c r="K6" s="2">
        <v>39721</v>
      </c>
      <c r="L6" s="2">
        <v>39813</v>
      </c>
      <c r="M6" s="60" t="s">
        <v>69</v>
      </c>
      <c r="N6" s="3"/>
      <c r="O6" s="2">
        <v>39903</v>
      </c>
      <c r="P6" s="2">
        <v>39994</v>
      </c>
      <c r="Q6" s="2">
        <v>40086</v>
      </c>
      <c r="R6" s="2">
        <v>40178</v>
      </c>
      <c r="S6" s="60" t="s">
        <v>70</v>
      </c>
      <c r="T6" s="3"/>
      <c r="U6" s="2">
        <v>40268</v>
      </c>
      <c r="V6" s="2">
        <v>40359</v>
      </c>
      <c r="W6" s="2">
        <v>40451</v>
      </c>
      <c r="X6" s="2">
        <v>40543</v>
      </c>
      <c r="Y6" s="60" t="s">
        <v>142</v>
      </c>
      <c r="Z6" s="3"/>
      <c r="AA6" s="2">
        <v>40633</v>
      </c>
      <c r="AB6" s="2">
        <v>40724</v>
      </c>
      <c r="AC6" s="2">
        <v>40816</v>
      </c>
      <c r="AD6" s="2">
        <v>40908</v>
      </c>
      <c r="AE6" s="60" t="s">
        <v>186</v>
      </c>
      <c r="AF6" s="3"/>
      <c r="AG6" s="2">
        <v>40999</v>
      </c>
      <c r="AH6" s="2">
        <v>41090</v>
      </c>
      <c r="AI6" s="2">
        <v>41182</v>
      </c>
      <c r="AJ6" s="2">
        <v>41274</v>
      </c>
      <c r="AK6" s="60" t="s">
        <v>187</v>
      </c>
      <c r="AL6" s="3"/>
      <c r="AM6" s="2">
        <v>41364</v>
      </c>
      <c r="AN6" s="2">
        <v>41455</v>
      </c>
      <c r="AO6" s="2">
        <v>41547</v>
      </c>
      <c r="AP6" s="2">
        <v>41639</v>
      </c>
      <c r="AQ6" s="60" t="s">
        <v>188</v>
      </c>
      <c r="AR6" s="3"/>
      <c r="AS6" s="2">
        <v>41729</v>
      </c>
      <c r="AT6" s="2">
        <v>41820</v>
      </c>
      <c r="AU6" s="2">
        <v>41912</v>
      </c>
      <c r="AV6" s="2">
        <v>42004</v>
      </c>
      <c r="AW6" s="60" t="s">
        <v>376</v>
      </c>
      <c r="AX6" s="3"/>
      <c r="AY6" s="2">
        <v>42094</v>
      </c>
      <c r="AZ6" s="2">
        <v>42185</v>
      </c>
      <c r="BA6" s="2">
        <v>42277</v>
      </c>
      <c r="BB6" s="2">
        <v>42369</v>
      </c>
      <c r="BC6" s="60" t="s">
        <v>529</v>
      </c>
      <c r="BD6" s="3"/>
      <c r="BE6" s="2">
        <v>42460</v>
      </c>
      <c r="BF6" s="2">
        <v>42551</v>
      </c>
      <c r="BG6" s="2">
        <v>42643</v>
      </c>
      <c r="BH6" s="2">
        <v>42735</v>
      </c>
      <c r="BI6" s="60" t="s">
        <v>218</v>
      </c>
      <c r="BJ6" s="3"/>
      <c r="BK6" s="2">
        <v>42825</v>
      </c>
      <c r="BL6" s="2">
        <v>42916</v>
      </c>
      <c r="BM6" s="2">
        <v>43008</v>
      </c>
      <c r="BN6" s="2">
        <v>43100</v>
      </c>
      <c r="BO6" s="76" t="s">
        <v>379</v>
      </c>
      <c r="BP6" s="3"/>
      <c r="BQ6" s="75">
        <v>43190</v>
      </c>
      <c r="BR6" s="75">
        <v>43281</v>
      </c>
      <c r="BS6" s="75">
        <v>43373</v>
      </c>
      <c r="BT6" s="75">
        <v>43465</v>
      </c>
      <c r="BU6" s="76" t="s">
        <v>393</v>
      </c>
      <c r="BV6" s="3"/>
      <c r="BW6" s="75">
        <v>43555</v>
      </c>
      <c r="BX6" s="75">
        <v>43646</v>
      </c>
      <c r="BY6" s="75">
        <v>43738</v>
      </c>
      <c r="BZ6" s="75">
        <v>43830</v>
      </c>
      <c r="CA6" s="76" t="s">
        <v>394</v>
      </c>
      <c r="CB6" s="3"/>
      <c r="CC6" s="75">
        <v>43921</v>
      </c>
      <c r="CD6" s="75">
        <v>44012</v>
      </c>
      <c r="CE6" s="75">
        <v>44104</v>
      </c>
      <c r="CF6" s="75">
        <v>44196</v>
      </c>
      <c r="CG6" s="76" t="s">
        <v>395</v>
      </c>
      <c r="CQ6" s="36"/>
    </row>
    <row r="7" spans="2:95" ht="11.25" customHeight="1" x14ac:dyDescent="0.2">
      <c r="B7" s="5" t="s">
        <v>71</v>
      </c>
      <c r="C7" s="33"/>
      <c r="D7" s="33"/>
      <c r="E7" s="33"/>
      <c r="F7" s="33"/>
      <c r="G7" s="33"/>
      <c r="H7" s="3"/>
      <c r="I7" s="33"/>
      <c r="J7" s="33"/>
      <c r="K7" s="33"/>
      <c r="L7" s="33"/>
      <c r="M7" s="33"/>
      <c r="N7" s="3"/>
      <c r="O7" s="33"/>
      <c r="P7" s="33"/>
      <c r="Q7" s="33"/>
      <c r="R7" s="33"/>
      <c r="S7" s="33"/>
      <c r="T7" s="3"/>
      <c r="U7" s="33"/>
      <c r="V7" s="33"/>
      <c r="W7" s="33"/>
      <c r="X7" s="33"/>
      <c r="Y7" s="33"/>
      <c r="Z7" s="3"/>
      <c r="AA7" s="33"/>
      <c r="AB7" s="33"/>
      <c r="AC7" s="33"/>
      <c r="AD7" s="33"/>
      <c r="AE7" s="33"/>
      <c r="AF7" s="3"/>
      <c r="AG7" s="33"/>
      <c r="AH7" s="33"/>
      <c r="AI7" s="33"/>
      <c r="AJ7" s="33"/>
      <c r="AK7" s="33"/>
      <c r="AL7" s="3"/>
      <c r="AM7" s="33"/>
      <c r="AN7" s="33"/>
      <c r="AO7" s="33"/>
      <c r="AP7" s="33"/>
      <c r="AQ7" s="33"/>
      <c r="AR7" s="3"/>
      <c r="AS7" s="33"/>
      <c r="AT7" s="33"/>
      <c r="AU7" s="33"/>
      <c r="AV7" s="33"/>
      <c r="AW7" s="33"/>
      <c r="AX7" s="3"/>
      <c r="AY7" s="33"/>
      <c r="AZ7" s="33"/>
      <c r="BA7" s="33"/>
      <c r="BB7" s="33"/>
      <c r="BC7" s="33"/>
      <c r="BD7" s="3"/>
      <c r="BE7" s="33"/>
      <c r="BF7" s="33"/>
      <c r="BG7" s="33"/>
      <c r="BH7" s="33"/>
      <c r="BI7" s="33"/>
      <c r="BJ7" s="3"/>
      <c r="BK7" s="33"/>
      <c r="BL7" s="33"/>
      <c r="BM7" s="33"/>
      <c r="BN7" s="33"/>
      <c r="BO7" s="33"/>
      <c r="BP7" s="3"/>
      <c r="BQ7" s="33"/>
      <c r="BR7" s="33"/>
      <c r="BS7" s="33"/>
      <c r="BT7" s="33"/>
      <c r="BU7" s="33"/>
      <c r="BV7" s="3"/>
      <c r="BW7" s="33"/>
      <c r="BX7" s="33"/>
      <c r="BY7" s="33"/>
      <c r="BZ7" s="33"/>
      <c r="CA7" s="33"/>
      <c r="CB7" s="3"/>
      <c r="CC7" s="33"/>
      <c r="CD7" s="33"/>
      <c r="CE7" s="33"/>
      <c r="CF7" s="33"/>
      <c r="CG7" s="33"/>
      <c r="CQ7" s="36"/>
    </row>
    <row r="8" spans="2:95" ht="11.25" customHeight="1" x14ac:dyDescent="0.2">
      <c r="B8" s="6" t="s">
        <v>260</v>
      </c>
      <c r="C8" s="33"/>
      <c r="D8" s="33"/>
      <c r="E8" s="33"/>
      <c r="F8" s="33"/>
      <c r="G8" s="33"/>
      <c r="H8" s="3"/>
      <c r="I8" s="33"/>
      <c r="J8" s="33"/>
      <c r="K8" s="33"/>
      <c r="L8" s="33"/>
      <c r="M8" s="33"/>
      <c r="N8" s="3"/>
      <c r="O8" s="33"/>
      <c r="P8" s="33"/>
      <c r="Q8" s="33"/>
      <c r="R8" s="33"/>
      <c r="S8" s="33"/>
      <c r="T8" s="3"/>
      <c r="U8" s="33"/>
      <c r="V8" s="33"/>
      <c r="W8" s="33"/>
      <c r="X8" s="33"/>
      <c r="Y8" s="33"/>
      <c r="Z8" s="3"/>
      <c r="AA8" s="33"/>
      <c r="AB8" s="33"/>
      <c r="AC8" s="33"/>
      <c r="AD8" s="33"/>
      <c r="AE8" s="33"/>
      <c r="AF8" s="3"/>
      <c r="AG8" s="33"/>
      <c r="AH8" s="33"/>
      <c r="AI8" s="33"/>
      <c r="AJ8" s="33"/>
      <c r="AK8" s="33"/>
      <c r="AL8" s="3"/>
      <c r="AM8" s="33"/>
      <c r="AN8" s="33"/>
      <c r="AO8" s="33"/>
      <c r="AP8" s="33"/>
      <c r="AQ8" s="33"/>
      <c r="AR8" s="3"/>
      <c r="AS8" s="33"/>
      <c r="AT8" s="33"/>
      <c r="AU8" s="33"/>
      <c r="AV8" s="33"/>
      <c r="AW8" s="33"/>
      <c r="AX8" s="3"/>
      <c r="AY8" s="33"/>
      <c r="AZ8" s="33"/>
      <c r="BA8" s="33"/>
      <c r="BB8" s="33"/>
      <c r="BC8" s="33"/>
      <c r="BD8" s="3"/>
      <c r="BE8" s="33"/>
      <c r="BF8" s="33"/>
      <c r="BG8" s="33"/>
      <c r="BH8" s="33"/>
      <c r="BI8" s="33"/>
      <c r="BJ8" s="3"/>
      <c r="BK8" s="33"/>
      <c r="BL8" s="33"/>
      <c r="BM8" s="33"/>
      <c r="BN8" s="33"/>
      <c r="BO8" s="33"/>
      <c r="BP8" s="3"/>
      <c r="BQ8" s="33"/>
      <c r="BR8" s="33"/>
      <c r="BS8" s="33"/>
      <c r="BT8" s="33"/>
      <c r="BU8" s="33"/>
      <c r="BV8" s="3"/>
      <c r="BW8" s="33"/>
      <c r="BX8" s="33"/>
      <c r="BY8" s="33"/>
      <c r="BZ8" s="33"/>
      <c r="CA8" s="33"/>
      <c r="CB8" s="3"/>
      <c r="CC8" s="33"/>
      <c r="CD8" s="33"/>
      <c r="CE8" s="33"/>
      <c r="CF8" s="33"/>
      <c r="CG8" s="33"/>
      <c r="CQ8" s="36"/>
    </row>
    <row r="9" spans="2:95" ht="11.25" customHeight="1" x14ac:dyDescent="0.2">
      <c r="B9" s="93" t="s">
        <v>196</v>
      </c>
      <c r="C9" s="232">
        <f>+CashFlow!C62</f>
        <v>104.078</v>
      </c>
      <c r="D9" s="232">
        <f>+CashFlow!D62</f>
        <v>69.433999999999983</v>
      </c>
      <c r="E9" s="232">
        <f>+CashFlow!E62</f>
        <v>141.82099999999994</v>
      </c>
      <c r="F9" s="232">
        <f>+CashFlow!F62</f>
        <v>169.38399999999996</v>
      </c>
      <c r="G9" s="232">
        <f>+F9</f>
        <v>169.38399999999996</v>
      </c>
      <c r="H9" s="446"/>
      <c r="I9" s="232">
        <f>+CashFlow!I62</f>
        <v>90.660000000000011</v>
      </c>
      <c r="J9" s="232">
        <f>+CashFlow!J62</f>
        <v>113.45400000000004</v>
      </c>
      <c r="K9" s="232">
        <f>+CashFlow!K62</f>
        <v>54.205000000000013</v>
      </c>
      <c r="L9" s="232">
        <f>+CashFlow!L62</f>
        <v>203.99100000000004</v>
      </c>
      <c r="M9" s="234">
        <f>+L9</f>
        <v>203.99100000000004</v>
      </c>
      <c r="N9" s="446"/>
      <c r="O9" s="232">
        <f>+CashFlow!O62</f>
        <v>226.29899999999995</v>
      </c>
      <c r="P9" s="232">
        <f>+CashFlow!P62</f>
        <v>251.8709999999999</v>
      </c>
      <c r="Q9" s="232">
        <f>+CashFlow!Q62</f>
        <v>333.36799999999994</v>
      </c>
      <c r="R9" s="232">
        <f>+CashFlow!R62</f>
        <v>450.3479999999999</v>
      </c>
      <c r="S9" s="234">
        <f>+R9</f>
        <v>450.3479999999999</v>
      </c>
      <c r="T9" s="446"/>
      <c r="U9" s="232">
        <f>+CashFlow!U62</f>
        <v>405.01699999999994</v>
      </c>
      <c r="V9" s="232">
        <f>+CashFlow!V62</f>
        <v>340.34699999999998</v>
      </c>
      <c r="W9" s="232">
        <f>+CashFlow!W62</f>
        <v>534.24299999999994</v>
      </c>
      <c r="X9" s="232">
        <f>+CashFlow!X62</f>
        <v>540.0379999999999</v>
      </c>
      <c r="Y9" s="234">
        <f>+X9</f>
        <v>540.0379999999999</v>
      </c>
      <c r="Z9" s="446"/>
      <c r="AA9" s="232">
        <f>+CashFlow!AA62</f>
        <v>575.26399999999978</v>
      </c>
      <c r="AB9" s="232">
        <f>+CashFlow!AB62</f>
        <v>671.70999999999981</v>
      </c>
      <c r="AC9" s="232">
        <f>+CashFlow!AC62</f>
        <v>81.865999999999985</v>
      </c>
      <c r="AD9" s="232">
        <f>+CashFlow!AD62</f>
        <v>77.127999999999844</v>
      </c>
      <c r="AE9" s="234">
        <f>+AD9</f>
        <v>77.127999999999844</v>
      </c>
      <c r="AF9" s="57"/>
      <c r="AG9" s="232">
        <f>+CashFlow!AG62</f>
        <v>67.345999999999663</v>
      </c>
      <c r="AH9" s="232">
        <f>+CashFlow!AH62</f>
        <v>53.209999999999653</v>
      </c>
      <c r="AI9" s="232">
        <f>+CashFlow!AI62</f>
        <v>56.074999999999676</v>
      </c>
      <c r="AJ9" s="232">
        <f>+CashFlow!AJ62</f>
        <v>80.131999999999579</v>
      </c>
      <c r="AK9" s="234">
        <f>+AJ9</f>
        <v>80.131999999999579</v>
      </c>
      <c r="AL9" s="57"/>
      <c r="AM9" s="232">
        <f>+CashFlow!AM62</f>
        <v>56.202999999999534</v>
      </c>
      <c r="AN9" s="232">
        <f>+CashFlow!AN62</f>
        <v>57.026000000000067</v>
      </c>
      <c r="AO9" s="232">
        <f>+CashFlow!AO62</f>
        <v>50.657999999999518</v>
      </c>
      <c r="AP9" s="232">
        <f>+CashFlow!AP62</f>
        <v>74.953999999999482</v>
      </c>
      <c r="AQ9" s="234">
        <f>+AP9</f>
        <v>74.953999999999482</v>
      </c>
      <c r="AR9" s="57"/>
      <c r="AS9" s="232">
        <f>+CashFlow!AS62</f>
        <v>55.77799999999948</v>
      </c>
      <c r="AT9" s="232">
        <f>+CashFlow!AT62</f>
        <v>66.883999999999503</v>
      </c>
      <c r="AU9" s="232">
        <f>+CashFlow!AU62</f>
        <v>97.606999999999459</v>
      </c>
      <c r="AV9" s="232">
        <f>+CashFlow!AV62</f>
        <v>151.59399999999948</v>
      </c>
      <c r="AW9" s="234">
        <f>+AV9</f>
        <v>151.59399999999948</v>
      </c>
      <c r="AX9" s="57"/>
      <c r="AY9" s="728">
        <v>100.619</v>
      </c>
      <c r="AZ9" s="728">
        <v>96.471999999999994</v>
      </c>
      <c r="BA9" s="728">
        <v>236.4</v>
      </c>
      <c r="BB9" s="728">
        <v>284.60000000000002</v>
      </c>
      <c r="BC9" s="649">
        <f>BB9</f>
        <v>284.60000000000002</v>
      </c>
      <c r="BD9" s="57"/>
      <c r="BE9" s="728">
        <v>323.10000000000002</v>
      </c>
      <c r="BF9" s="728">
        <v>311.60000000000002</v>
      </c>
      <c r="BG9" s="728">
        <v>330.7</v>
      </c>
      <c r="BH9" s="728">
        <v>383.9</v>
      </c>
      <c r="BI9" s="649">
        <f>BH9</f>
        <v>383.9</v>
      </c>
      <c r="BJ9" s="57"/>
      <c r="BK9" s="728">
        <v>363.3</v>
      </c>
      <c r="BL9" s="728">
        <v>268.39999999999998</v>
      </c>
      <c r="BM9" s="728">
        <v>370</v>
      </c>
      <c r="BN9" s="728">
        <v>320.60000000000002</v>
      </c>
      <c r="BO9" s="649">
        <f>BN9</f>
        <v>320.60000000000002</v>
      </c>
      <c r="BP9" s="57"/>
      <c r="BQ9" s="649">
        <f>CashFlow!BQ62</f>
        <v>412.04769188686356</v>
      </c>
      <c r="BR9" s="649">
        <f>CashFlow!BR62</f>
        <v>325.62592569670232</v>
      </c>
      <c r="BS9" s="649">
        <f>CashFlow!BS62</f>
        <v>229.98791722566793</v>
      </c>
      <c r="BT9" s="649">
        <f>CashFlow!BT62</f>
        <v>222.68520568684852</v>
      </c>
      <c r="BU9" s="649">
        <f>BT9</f>
        <v>222.68520568684852</v>
      </c>
      <c r="BV9" s="57"/>
      <c r="BW9" s="649">
        <f>CashFlow!BW62</f>
        <v>388.45571862714547</v>
      </c>
      <c r="BX9" s="649">
        <f>CashFlow!BX62</f>
        <v>319.79225826526704</v>
      </c>
      <c r="BY9" s="649">
        <f>CashFlow!BY62</f>
        <v>240.44515190401728</v>
      </c>
      <c r="BZ9" s="649">
        <f>CashFlow!BZ62</f>
        <v>230.26397178660005</v>
      </c>
      <c r="CA9" s="649">
        <f>BZ9</f>
        <v>230.26397178660005</v>
      </c>
      <c r="CB9" s="57"/>
      <c r="CC9" s="649">
        <f>CashFlow!CC62</f>
        <v>416.34620365496158</v>
      </c>
      <c r="CD9" s="649">
        <f>CashFlow!CD62</f>
        <v>359.06419003925782</v>
      </c>
      <c r="CE9" s="649">
        <f>CashFlow!CE62</f>
        <v>296.25760191300799</v>
      </c>
      <c r="CF9" s="649">
        <f>CashFlow!CF62</f>
        <v>296.24523202720752</v>
      </c>
      <c r="CG9" s="649">
        <f>CF9</f>
        <v>296.24523202720752</v>
      </c>
      <c r="CI9" s="806"/>
      <c r="CQ9" s="36"/>
    </row>
    <row r="10" spans="2:95" s="24" customFormat="1" ht="11.25" customHeight="1" x14ac:dyDescent="0.2">
      <c r="B10" s="171" t="s">
        <v>292</v>
      </c>
      <c r="C10" s="233">
        <v>32.838999999999999</v>
      </c>
      <c r="D10" s="233">
        <v>110.791</v>
      </c>
      <c r="E10" s="233">
        <v>118.92100000000001</v>
      </c>
      <c r="F10" s="233">
        <v>146.93899999999999</v>
      </c>
      <c r="G10" s="234">
        <f>F10</f>
        <v>146.93899999999999</v>
      </c>
      <c r="H10" s="179"/>
      <c r="I10" s="233">
        <v>254.00299999999999</v>
      </c>
      <c r="J10" s="233">
        <v>309.79700000000003</v>
      </c>
      <c r="K10" s="233">
        <v>190.54499999999999</v>
      </c>
      <c r="L10" s="233">
        <v>0.25800000000000001</v>
      </c>
      <c r="M10" s="234">
        <f>L10</f>
        <v>0.25800000000000001</v>
      </c>
      <c r="N10" s="179"/>
      <c r="O10" s="233">
        <v>0.187</v>
      </c>
      <c r="P10" s="233">
        <v>3.5999999999999997E-2</v>
      </c>
      <c r="Q10" s="233">
        <v>3.6999999999999998E-2</v>
      </c>
      <c r="R10" s="233">
        <v>0</v>
      </c>
      <c r="S10" s="234">
        <f>R10</f>
        <v>0</v>
      </c>
      <c r="T10" s="179"/>
      <c r="U10" s="233">
        <v>0</v>
      </c>
      <c r="V10" s="233">
        <v>0</v>
      </c>
      <c r="W10" s="233">
        <v>0</v>
      </c>
      <c r="X10" s="233">
        <v>0</v>
      </c>
      <c r="Y10" s="234">
        <f>X10</f>
        <v>0</v>
      </c>
      <c r="Z10" s="179"/>
      <c r="AA10" s="233">
        <v>0</v>
      </c>
      <c r="AB10" s="233">
        <v>0</v>
      </c>
      <c r="AC10" s="233">
        <v>0</v>
      </c>
      <c r="AD10" s="233">
        <v>0</v>
      </c>
      <c r="AE10" s="234">
        <f>AD10</f>
        <v>0</v>
      </c>
      <c r="AF10" s="142"/>
      <c r="AG10" s="233">
        <v>0</v>
      </c>
      <c r="AH10" s="233">
        <v>0</v>
      </c>
      <c r="AI10" s="233">
        <v>0</v>
      </c>
      <c r="AJ10" s="233">
        <v>0</v>
      </c>
      <c r="AK10" s="234">
        <f>AJ10</f>
        <v>0</v>
      </c>
      <c r="AL10" s="142"/>
      <c r="AM10" s="233">
        <v>0</v>
      </c>
      <c r="AN10" s="233">
        <v>0</v>
      </c>
      <c r="AO10" s="233">
        <v>0</v>
      </c>
      <c r="AP10" s="233">
        <v>0</v>
      </c>
      <c r="AQ10" s="234">
        <f>AP10</f>
        <v>0</v>
      </c>
      <c r="AR10" s="142"/>
      <c r="AS10" s="233">
        <v>0</v>
      </c>
      <c r="AT10" s="233">
        <v>0</v>
      </c>
      <c r="AU10" s="233">
        <v>0</v>
      </c>
      <c r="AV10" s="233">
        <v>0</v>
      </c>
      <c r="AW10" s="234">
        <f>AV10</f>
        <v>0</v>
      </c>
      <c r="AX10" s="142"/>
      <c r="AY10" s="700">
        <v>0</v>
      </c>
      <c r="AZ10" s="700">
        <v>0</v>
      </c>
      <c r="BA10" s="700">
        <v>0</v>
      </c>
      <c r="BB10" s="700">
        <v>0</v>
      </c>
      <c r="BC10" s="237">
        <f>BB10</f>
        <v>0</v>
      </c>
      <c r="BD10" s="142"/>
      <c r="BE10" s="700">
        <v>0</v>
      </c>
      <c r="BF10" s="700">
        <v>0</v>
      </c>
      <c r="BG10" s="700">
        <v>0</v>
      </c>
      <c r="BH10" s="700">
        <v>0</v>
      </c>
      <c r="BI10" s="237">
        <f>BH10</f>
        <v>0</v>
      </c>
      <c r="BJ10" s="142"/>
      <c r="BK10" s="700">
        <v>0</v>
      </c>
      <c r="BL10" s="700">
        <v>0</v>
      </c>
      <c r="BM10" s="700">
        <v>0</v>
      </c>
      <c r="BN10" s="700">
        <v>0</v>
      </c>
      <c r="BO10" s="237">
        <f>BN10</f>
        <v>0</v>
      </c>
      <c r="BP10" s="142"/>
      <c r="BQ10" s="237">
        <f>BN10-CashFlow!BQ34</f>
        <v>0</v>
      </c>
      <c r="BR10" s="237">
        <f>BQ10-CashFlow!BR34</f>
        <v>0</v>
      </c>
      <c r="BS10" s="237">
        <f>BR10-CashFlow!BS34</f>
        <v>0</v>
      </c>
      <c r="BT10" s="237">
        <f>BS10-CashFlow!BT34</f>
        <v>0</v>
      </c>
      <c r="BU10" s="237">
        <f>BT10</f>
        <v>0</v>
      </c>
      <c r="BV10" s="142"/>
      <c r="BW10" s="237">
        <f>BT10-CashFlow!BW34</f>
        <v>0</v>
      </c>
      <c r="BX10" s="237">
        <f>BW10-CashFlow!BX34</f>
        <v>0</v>
      </c>
      <c r="BY10" s="237">
        <f>BX10-CashFlow!BY34</f>
        <v>0</v>
      </c>
      <c r="BZ10" s="237">
        <f>BY10-CashFlow!BZ34</f>
        <v>0</v>
      </c>
      <c r="CA10" s="237">
        <f>BZ10</f>
        <v>0</v>
      </c>
      <c r="CB10" s="142"/>
      <c r="CC10" s="237">
        <f>BZ10-CashFlow!CC34</f>
        <v>0</v>
      </c>
      <c r="CD10" s="237">
        <f>CC10-CashFlow!CD34</f>
        <v>0</v>
      </c>
      <c r="CE10" s="237">
        <f>CD10-CashFlow!CE34</f>
        <v>0</v>
      </c>
      <c r="CF10" s="237">
        <f>CE10-CashFlow!CF34</f>
        <v>0</v>
      </c>
      <c r="CG10" s="237">
        <f>CF10</f>
        <v>0</v>
      </c>
      <c r="CI10" s="1216"/>
      <c r="CK10"/>
      <c r="CL10"/>
      <c r="CM10"/>
      <c r="CN10"/>
      <c r="CO10"/>
      <c r="CP10"/>
      <c r="CQ10" s="19"/>
    </row>
    <row r="11" spans="2:95" s="24" customFormat="1" ht="11.25" customHeight="1" x14ac:dyDescent="0.2">
      <c r="B11" s="93" t="s">
        <v>26</v>
      </c>
      <c r="C11" s="235">
        <v>311.005</v>
      </c>
      <c r="D11" s="235">
        <v>322.89999999999998</v>
      </c>
      <c r="E11" s="235">
        <v>326.012</v>
      </c>
      <c r="F11" s="235">
        <v>307.62200000000001</v>
      </c>
      <c r="G11" s="234">
        <f>F11</f>
        <v>307.62200000000001</v>
      </c>
      <c r="H11" s="128"/>
      <c r="I11" s="235">
        <v>356.62900000000002</v>
      </c>
      <c r="J11" s="235">
        <v>371.48899999999998</v>
      </c>
      <c r="K11" s="235">
        <v>345.47699999999998</v>
      </c>
      <c r="L11" s="235">
        <v>319.26</v>
      </c>
      <c r="M11" s="234">
        <f>L11</f>
        <v>319.26</v>
      </c>
      <c r="N11" s="128"/>
      <c r="O11" s="235">
        <v>327.51400000000001</v>
      </c>
      <c r="P11" s="235">
        <v>357.54599999999999</v>
      </c>
      <c r="Q11" s="235">
        <v>356.976</v>
      </c>
      <c r="R11" s="235">
        <v>348.68400000000003</v>
      </c>
      <c r="S11" s="234">
        <f>R11</f>
        <v>348.68400000000003</v>
      </c>
      <c r="T11" s="128"/>
      <c r="U11" s="235">
        <v>355.03</v>
      </c>
      <c r="V11" s="235">
        <v>351.30399999999997</v>
      </c>
      <c r="W11" s="235">
        <v>366.78899999999999</v>
      </c>
      <c r="X11" s="235">
        <v>344.79599999999999</v>
      </c>
      <c r="Y11" s="234">
        <f>X11</f>
        <v>344.79599999999999</v>
      </c>
      <c r="Z11" s="128"/>
      <c r="AA11" s="235">
        <v>385.35700000000003</v>
      </c>
      <c r="AB11" s="235">
        <v>404.661</v>
      </c>
      <c r="AC11" s="235">
        <v>475.947</v>
      </c>
      <c r="AD11" s="235">
        <v>427.709</v>
      </c>
      <c r="AE11" s="237">
        <f>+AD11</f>
        <v>427.709</v>
      </c>
      <c r="AF11" s="238"/>
      <c r="AG11" s="235">
        <v>461.35199999999998</v>
      </c>
      <c r="AH11" s="235">
        <v>462.233</v>
      </c>
      <c r="AI11" s="235">
        <v>467.29599999999999</v>
      </c>
      <c r="AJ11" s="235">
        <v>442.41199999999998</v>
      </c>
      <c r="AK11" s="237">
        <f>+AJ11</f>
        <v>442.41199999999998</v>
      </c>
      <c r="AL11" s="238"/>
      <c r="AM11" s="235">
        <v>468.53699999999998</v>
      </c>
      <c r="AN11" s="235">
        <v>499.00599999999997</v>
      </c>
      <c r="AO11" s="235">
        <v>502.37</v>
      </c>
      <c r="AP11" s="235">
        <v>472.80200000000002</v>
      </c>
      <c r="AQ11" s="237">
        <f>+AP11</f>
        <v>472.80200000000002</v>
      </c>
      <c r="AR11" s="238"/>
      <c r="AS11" s="235">
        <v>496.221</v>
      </c>
      <c r="AT11" s="235">
        <v>503.97199999999998</v>
      </c>
      <c r="AU11" s="235">
        <v>476.85599999999999</v>
      </c>
      <c r="AV11" s="235">
        <v>426.60599999999999</v>
      </c>
      <c r="AW11" s="237">
        <f>+AV11</f>
        <v>426.60599999999999</v>
      </c>
      <c r="AX11" s="238"/>
      <c r="AY11" s="700">
        <v>409.86500000000001</v>
      </c>
      <c r="AZ11" s="700">
        <v>447.5</v>
      </c>
      <c r="BA11" s="700">
        <v>429.8</v>
      </c>
      <c r="BB11" s="700">
        <v>399.9</v>
      </c>
      <c r="BC11" s="237">
        <f>BB11</f>
        <v>399.9</v>
      </c>
      <c r="BD11" s="238"/>
      <c r="BE11" s="700">
        <v>625.20000000000005</v>
      </c>
      <c r="BF11" s="700">
        <v>637.20000000000005</v>
      </c>
      <c r="BG11" s="700">
        <v>672.1</v>
      </c>
      <c r="BH11" s="700">
        <v>636</v>
      </c>
      <c r="BI11" s="237">
        <f>BH11</f>
        <v>636</v>
      </c>
      <c r="BJ11" s="238"/>
      <c r="BK11" s="700">
        <v>598.6</v>
      </c>
      <c r="BL11" s="700">
        <v>664.2</v>
      </c>
      <c r="BM11" s="700">
        <v>734.4</v>
      </c>
      <c r="BN11" s="700">
        <v>746.2</v>
      </c>
      <c r="BO11" s="237">
        <f>BN11</f>
        <v>746.2</v>
      </c>
      <c r="BP11" s="238"/>
      <c r="BQ11" s="237">
        <f>BQ79*('P&amp;L'!BQ8/'P&amp;L'!BQ7)</f>
        <v>630.8328181818182</v>
      </c>
      <c r="BR11" s="237">
        <f>BR79*('P&amp;L'!BR8/'P&amp;L'!BR7)</f>
        <v>673.22913860390281</v>
      </c>
      <c r="BS11" s="237">
        <f>BS79*('P&amp;L'!BS8/'P&amp;L'!BS7)</f>
        <v>749.17721599683227</v>
      </c>
      <c r="BT11" s="237">
        <f>BT79*('P&amp;L'!BT8/'P&amp;L'!BT7)</f>
        <v>789.07701668194318</v>
      </c>
      <c r="BU11" s="237">
        <f>BT11</f>
        <v>789.07701668194318</v>
      </c>
      <c r="BV11" s="238"/>
      <c r="BW11" s="237">
        <f>BW79*('P&amp;L'!BW8/'P&amp;L'!BW7)</f>
        <v>652.14580527272733</v>
      </c>
      <c r="BX11" s="237">
        <f>BX79*('P&amp;L'!BX8/'P&amp;L'!BX7)</f>
        <v>704.26692594246651</v>
      </c>
      <c r="BY11" s="237">
        <f>BY79*('P&amp;L'!BY8/'P&amp;L'!BY7)</f>
        <v>780.38795382300532</v>
      </c>
      <c r="BZ11" s="237">
        <f>BZ79*('P&amp;L'!BZ8/'P&amp;L'!BZ7)</f>
        <v>815.87261963336402</v>
      </c>
      <c r="CA11" s="237">
        <f>BZ11</f>
        <v>815.87261963336402</v>
      </c>
      <c r="CB11" s="238"/>
      <c r="CC11" s="237">
        <f>CC79*('P&amp;L'!CC8/'P&amp;L'!CC7)</f>
        <v>667.12329051158849</v>
      </c>
      <c r="CD11" s="237">
        <f>CD79*('P&amp;L'!CD8/'P&amp;L'!CD7)</f>
        <v>721.51098458493288</v>
      </c>
      <c r="CE11" s="237">
        <f>CE79*('P&amp;L'!CE8/'P&amp;L'!CE7)</f>
        <v>801.73623794076411</v>
      </c>
      <c r="CF11" s="237">
        <f>CF79*('P&amp;L'!CF8/'P&amp;L'!CF7)</f>
        <v>844.0791435945556</v>
      </c>
      <c r="CG11" s="237">
        <f>CF11</f>
        <v>844.0791435945556</v>
      </c>
      <c r="CI11" s="806"/>
      <c r="CK11"/>
      <c r="CL11"/>
      <c r="CM11"/>
      <c r="CN11"/>
      <c r="CO11"/>
      <c r="CP11"/>
      <c r="CQ11" s="19"/>
    </row>
    <row r="12" spans="2:95" s="24" customFormat="1" ht="11.25" customHeight="1" x14ac:dyDescent="0.2">
      <c r="B12" s="93" t="s">
        <v>259</v>
      </c>
      <c r="C12" s="235">
        <v>247.517</v>
      </c>
      <c r="D12" s="235">
        <v>249.864</v>
      </c>
      <c r="E12" s="235">
        <v>277.05700000000002</v>
      </c>
      <c r="F12" s="235">
        <v>258.03199999999998</v>
      </c>
      <c r="G12" s="234">
        <f>F12</f>
        <v>258.03199999999998</v>
      </c>
      <c r="H12" s="128"/>
      <c r="I12" s="235">
        <v>280.93200000000002</v>
      </c>
      <c r="J12" s="235">
        <v>282.79500000000002</v>
      </c>
      <c r="K12" s="235">
        <v>278.76100000000002</v>
      </c>
      <c r="L12" s="235">
        <v>306.125</v>
      </c>
      <c r="M12" s="234">
        <f>L12</f>
        <v>306.125</v>
      </c>
      <c r="N12" s="128"/>
      <c r="O12" s="235">
        <v>314.089</v>
      </c>
      <c r="P12" s="235">
        <v>309.43099999999998</v>
      </c>
      <c r="Q12" s="235">
        <v>311.666</v>
      </c>
      <c r="R12" s="235">
        <v>291.64</v>
      </c>
      <c r="S12" s="234">
        <f>R12</f>
        <v>291.64</v>
      </c>
      <c r="T12" s="128"/>
      <c r="U12" s="235">
        <v>301.19799999999998</v>
      </c>
      <c r="V12" s="235">
        <v>284.39400000000001</v>
      </c>
      <c r="W12" s="235">
        <v>318.07100000000003</v>
      </c>
      <c r="X12" s="235">
        <v>308.738</v>
      </c>
      <c r="Y12" s="234">
        <f>X12</f>
        <v>308.738</v>
      </c>
      <c r="Z12" s="128"/>
      <c r="AA12" s="235">
        <v>332.28199999999998</v>
      </c>
      <c r="AB12" s="235">
        <v>337.2</v>
      </c>
      <c r="AC12" s="235">
        <v>391.52800000000002</v>
      </c>
      <c r="AD12" s="235">
        <v>361.762</v>
      </c>
      <c r="AE12" s="237">
        <f>+AD12</f>
        <v>361.762</v>
      </c>
      <c r="AF12" s="239"/>
      <c r="AG12" s="235">
        <v>403.05200000000002</v>
      </c>
      <c r="AH12" s="235">
        <v>403.19499999999999</v>
      </c>
      <c r="AI12" s="235">
        <v>415.92200000000003</v>
      </c>
      <c r="AJ12" s="235">
        <v>402.94</v>
      </c>
      <c r="AK12" s="237">
        <f>+AJ12</f>
        <v>402.94</v>
      </c>
      <c r="AL12" s="239"/>
      <c r="AM12" s="235">
        <v>417.09399999999999</v>
      </c>
      <c r="AN12" s="235">
        <v>433.18900000000002</v>
      </c>
      <c r="AO12" s="235">
        <v>448.27699999999999</v>
      </c>
      <c r="AP12" s="235">
        <v>438.55900000000003</v>
      </c>
      <c r="AQ12" s="237">
        <f>+AP12</f>
        <v>438.55900000000003</v>
      </c>
      <c r="AR12" s="239"/>
      <c r="AS12" s="235">
        <v>455.07400000000001</v>
      </c>
      <c r="AT12" s="235">
        <v>461.20299999999997</v>
      </c>
      <c r="AU12" s="235">
        <v>422.48500000000001</v>
      </c>
      <c r="AV12" s="235">
        <v>387.09500000000003</v>
      </c>
      <c r="AW12" s="237">
        <f>+AV12</f>
        <v>387.09500000000003</v>
      </c>
      <c r="AX12" s="239"/>
      <c r="AY12" s="700">
        <v>380.09800000000001</v>
      </c>
      <c r="AZ12" s="700">
        <v>374.82</v>
      </c>
      <c r="BA12" s="700">
        <v>361.3</v>
      </c>
      <c r="BB12" s="700">
        <v>340.4</v>
      </c>
      <c r="BC12" s="237">
        <f>BB12</f>
        <v>340.4</v>
      </c>
      <c r="BD12" s="239"/>
      <c r="BE12" s="700">
        <v>562.1</v>
      </c>
      <c r="BF12" s="700">
        <v>523.1</v>
      </c>
      <c r="BG12" s="700">
        <v>556.4</v>
      </c>
      <c r="BH12" s="700">
        <v>517.1</v>
      </c>
      <c r="BI12" s="237">
        <f>BH12</f>
        <v>517.1</v>
      </c>
      <c r="BJ12" s="239"/>
      <c r="BK12" s="700">
        <v>565.1</v>
      </c>
      <c r="BL12" s="700">
        <v>596.79999999999995</v>
      </c>
      <c r="BM12" s="700">
        <v>624.4</v>
      </c>
      <c r="BN12" s="700">
        <v>623.1</v>
      </c>
      <c r="BO12" s="237">
        <f>BN12</f>
        <v>623.1</v>
      </c>
      <c r="BP12" s="239"/>
      <c r="BQ12" s="237">
        <f>BQ80*('P&amp;L'!BQ10/'P&amp;L'!BQ7)</f>
        <v>608.30491473453037</v>
      </c>
      <c r="BR12" s="237">
        <f>BR80*('P&amp;L'!BR10/'P&amp;L'!BR7)</f>
        <v>650.42413289956528</v>
      </c>
      <c r="BS12" s="237">
        <f>BS80*('P&amp;L'!BS10/'P&amp;L'!BS7)</f>
        <v>651.87951755372796</v>
      </c>
      <c r="BT12" s="237">
        <f>BT80*('P&amp;L'!BT10/'P&amp;L'!BT7)</f>
        <v>695.13826882323769</v>
      </c>
      <c r="BU12" s="237">
        <f>BT12</f>
        <v>695.13826882323769</v>
      </c>
      <c r="BV12" s="239"/>
      <c r="BW12" s="237">
        <f>BW80*('P&amp;L'!BW10/'P&amp;L'!BW7)</f>
        <v>622.13826467189904</v>
      </c>
      <c r="BX12" s="237">
        <f>BX80*('P&amp;L'!BX10/'P&amp;L'!BX7)</f>
        <v>675.55046898337912</v>
      </c>
      <c r="BY12" s="237">
        <f>BY80*('P&amp;L'!BY10/'P&amp;L'!BY7)</f>
        <v>676.74146069415667</v>
      </c>
      <c r="BZ12" s="237">
        <f>BZ80*('P&amp;L'!BZ10/'P&amp;L'!BZ7)</f>
        <v>719.05988805676589</v>
      </c>
      <c r="CA12" s="237">
        <f>BZ12</f>
        <v>719.05988805676589</v>
      </c>
      <c r="CB12" s="239"/>
      <c r="CC12" s="237">
        <f>CC80*('P&amp;L'!CC10/'P&amp;L'!CC7)</f>
        <v>629.58726928256431</v>
      </c>
      <c r="CD12" s="237">
        <f>CD80*('P&amp;L'!CD10/'P&amp;L'!CD7)</f>
        <v>684.52803794519889</v>
      </c>
      <c r="CE12" s="237">
        <f>CE80*('P&amp;L'!CE10/'P&amp;L'!CE7)</f>
        <v>687.64666161348521</v>
      </c>
      <c r="CF12" s="237">
        <f>CF80*('P&amp;L'!CF10/'P&amp;L'!CF7)</f>
        <v>735.76857365831881</v>
      </c>
      <c r="CG12" s="237">
        <f>CF12</f>
        <v>735.76857365831881</v>
      </c>
      <c r="CI12" s="806"/>
      <c r="CK12"/>
      <c r="CL12"/>
      <c r="CM12"/>
      <c r="CN12"/>
      <c r="CO12"/>
      <c r="CP12"/>
      <c r="CQ12" s="19"/>
    </row>
    <row r="13" spans="2:95" s="24" customFormat="1" ht="11.25" customHeight="1" x14ac:dyDescent="0.2">
      <c r="B13" s="93" t="s">
        <v>27</v>
      </c>
      <c r="C13" s="233">
        <v>120.962</v>
      </c>
      <c r="D13" s="233">
        <v>116.75700000000001</v>
      </c>
      <c r="E13" s="233">
        <v>110.125</v>
      </c>
      <c r="F13" s="233">
        <v>100.045</v>
      </c>
      <c r="G13" s="234">
        <f>F13</f>
        <v>100.045</v>
      </c>
      <c r="H13" s="479"/>
      <c r="I13" s="233">
        <v>111.107</v>
      </c>
      <c r="J13" s="233">
        <v>104.55200000000001</v>
      </c>
      <c r="K13" s="233">
        <v>103.108</v>
      </c>
      <c r="L13" s="233">
        <v>120.22799999999999</v>
      </c>
      <c r="M13" s="234">
        <f>L13</f>
        <v>120.22799999999999</v>
      </c>
      <c r="N13" s="479"/>
      <c r="O13" s="233">
        <v>116.8</v>
      </c>
      <c r="P13" s="233">
        <v>113.621</v>
      </c>
      <c r="Q13" s="233">
        <v>125.056</v>
      </c>
      <c r="R13" s="233">
        <v>127.124</v>
      </c>
      <c r="S13" s="234">
        <f>R13</f>
        <v>127.124</v>
      </c>
      <c r="T13" s="479"/>
      <c r="U13" s="233">
        <v>117.209</v>
      </c>
      <c r="V13" s="233">
        <v>113.197</v>
      </c>
      <c r="W13" s="233">
        <v>112.45399999999999</v>
      </c>
      <c r="X13" s="233">
        <v>121.473</v>
      </c>
      <c r="Y13" s="234">
        <f>X13</f>
        <v>121.473</v>
      </c>
      <c r="Z13" s="479"/>
      <c r="AA13" s="233">
        <v>119.16500000000001</v>
      </c>
      <c r="AB13" s="233">
        <v>138.84200000000001</v>
      </c>
      <c r="AC13" s="233">
        <v>140.26400000000001</v>
      </c>
      <c r="AD13" s="233">
        <v>146.304</v>
      </c>
      <c r="AE13" s="237">
        <f>AD13</f>
        <v>146.304</v>
      </c>
      <c r="AF13" s="238"/>
      <c r="AG13" s="233">
        <v>187.435</v>
      </c>
      <c r="AH13" s="233">
        <v>186.54400000000001</v>
      </c>
      <c r="AI13" s="233">
        <v>189.685</v>
      </c>
      <c r="AJ13" s="233">
        <v>185.61199999999999</v>
      </c>
      <c r="AK13" s="237">
        <f>AJ13</f>
        <v>185.61199999999999</v>
      </c>
      <c r="AL13" s="238"/>
      <c r="AM13" s="233">
        <v>218.685</v>
      </c>
      <c r="AN13" s="233">
        <v>180.81100000000001</v>
      </c>
      <c r="AO13" s="233">
        <v>151.84</v>
      </c>
      <c r="AP13" s="233">
        <v>157.48699999999999</v>
      </c>
      <c r="AQ13" s="237">
        <f>AP13</f>
        <v>157.48699999999999</v>
      </c>
      <c r="AR13" s="238"/>
      <c r="AS13" s="233">
        <v>195.20500000000001</v>
      </c>
      <c r="AT13" s="233">
        <v>199.17</v>
      </c>
      <c r="AU13" s="233">
        <v>260.70800000000003</v>
      </c>
      <c r="AV13" s="233">
        <v>241.63</v>
      </c>
      <c r="AW13" s="237">
        <f>AV13</f>
        <v>241.63</v>
      </c>
      <c r="AX13" s="238"/>
      <c r="AY13" s="700">
        <v>309.5</v>
      </c>
      <c r="AZ13" s="700">
        <v>351.53800000000001</v>
      </c>
      <c r="BA13" s="700">
        <v>180.6</v>
      </c>
      <c r="BB13" s="700">
        <v>171.8</v>
      </c>
      <c r="BC13" s="237">
        <f>BB13</f>
        <v>171.8</v>
      </c>
      <c r="BD13" s="238"/>
      <c r="BE13" s="700">
        <v>295.10000000000002</v>
      </c>
      <c r="BF13" s="700">
        <v>266.5</v>
      </c>
      <c r="BG13" s="700">
        <v>282.39999999999998</v>
      </c>
      <c r="BH13" s="700">
        <v>345.6</v>
      </c>
      <c r="BI13" s="237">
        <f>BH13</f>
        <v>345.6</v>
      </c>
      <c r="BJ13" s="238"/>
      <c r="BK13" s="700">
        <v>193.6</v>
      </c>
      <c r="BL13" s="700">
        <v>236.3</v>
      </c>
      <c r="BM13" s="700">
        <v>243.6</v>
      </c>
      <c r="BN13" s="700">
        <v>312.60000000000002</v>
      </c>
      <c r="BO13" s="237">
        <f>BN13</f>
        <v>312.60000000000002</v>
      </c>
      <c r="BP13" s="238"/>
      <c r="BQ13" s="237">
        <f>BQ92*'P&amp;L'!BQ8*4</f>
        <v>266.15960000000001</v>
      </c>
      <c r="BR13" s="237">
        <f>BR92*'P&amp;L'!BR8*4</f>
        <v>296.81792000000007</v>
      </c>
      <c r="BS13" s="237">
        <f>BS92*'P&amp;L'!BS8*4</f>
        <v>303.03056000000009</v>
      </c>
      <c r="BT13" s="237">
        <f>BT92*'P&amp;L'!BT8*4</f>
        <v>325.60752000000002</v>
      </c>
      <c r="BU13" s="237">
        <f>BT13</f>
        <v>325.60752000000002</v>
      </c>
      <c r="BV13" s="238"/>
      <c r="BW13" s="237">
        <f>BW92*'P&amp;L'!BW8*4</f>
        <v>294.8056380000001</v>
      </c>
      <c r="BX13" s="237">
        <f>BX92*'P&amp;L'!BX8*4</f>
        <v>332.68079400000011</v>
      </c>
      <c r="BY13" s="237">
        <f>BY92*'P&amp;L'!BY8*4</f>
        <v>338.20159200000012</v>
      </c>
      <c r="BZ13" s="237">
        <f>BZ92*'P&amp;L'!BZ8*4</f>
        <v>360.71202000000011</v>
      </c>
      <c r="CA13" s="237">
        <f>BZ13</f>
        <v>360.71202000000011</v>
      </c>
      <c r="CB13" s="238"/>
      <c r="CC13" s="237">
        <f>CC92*'P&amp;L'!CC8*4</f>
        <v>325.25560489600008</v>
      </c>
      <c r="CD13" s="237">
        <f>CD92*'P&amp;L'!CD8*4</f>
        <v>363.54829059200011</v>
      </c>
      <c r="CE13" s="237">
        <f>CE92*'P&amp;L'!CE8*4</f>
        <v>370.61699302400012</v>
      </c>
      <c r="CF13" s="237">
        <f>CF92*'P&amp;L'!CF8*4</f>
        <v>398.06147590400013</v>
      </c>
      <c r="CG13" s="237">
        <f>CF13</f>
        <v>398.06147590400013</v>
      </c>
      <c r="CI13" s="806"/>
      <c r="CK13"/>
      <c r="CL13"/>
      <c r="CM13"/>
      <c r="CN13"/>
      <c r="CO13"/>
      <c r="CP13"/>
      <c r="CQ13" s="19"/>
    </row>
    <row r="14" spans="2:95" s="24" customFormat="1" ht="5.25" customHeight="1" x14ac:dyDescent="0.2">
      <c r="B14" s="93"/>
      <c r="C14" s="233"/>
      <c r="D14" s="233"/>
      <c r="E14" s="233"/>
      <c r="F14" s="233"/>
      <c r="G14" s="234"/>
      <c r="H14" s="479"/>
      <c r="I14" s="233"/>
      <c r="J14" s="233"/>
      <c r="K14" s="233"/>
      <c r="L14" s="233"/>
      <c r="M14" s="234"/>
      <c r="N14" s="479"/>
      <c r="O14" s="233"/>
      <c r="P14" s="233"/>
      <c r="Q14" s="233"/>
      <c r="R14" s="233"/>
      <c r="S14" s="234"/>
      <c r="T14" s="479"/>
      <c r="U14" s="233"/>
      <c r="V14" s="233"/>
      <c r="W14" s="233"/>
      <c r="X14" s="233"/>
      <c r="Y14" s="234"/>
      <c r="Z14" s="479"/>
      <c r="AA14" s="233"/>
      <c r="AB14" s="233"/>
      <c r="AC14" s="233"/>
      <c r="AD14" s="233"/>
      <c r="AE14" s="237"/>
      <c r="AF14" s="238"/>
      <c r="AG14" s="233"/>
      <c r="AH14" s="233"/>
      <c r="AI14" s="233"/>
      <c r="AJ14" s="233"/>
      <c r="AK14" s="237"/>
      <c r="AL14" s="238"/>
      <c r="AM14" s="233"/>
      <c r="AN14" s="233"/>
      <c r="AO14" s="233"/>
      <c r="AP14" s="233"/>
      <c r="AQ14" s="237"/>
      <c r="AR14" s="238"/>
      <c r="AS14" s="237"/>
      <c r="AT14" s="237"/>
      <c r="AU14" s="237"/>
      <c r="AV14" s="237"/>
      <c r="AW14" s="237"/>
      <c r="AX14" s="238"/>
      <c r="AY14" s="240"/>
      <c r="AZ14" s="240"/>
      <c r="BA14" s="240"/>
      <c r="BB14" s="240"/>
      <c r="BC14" s="237"/>
      <c r="BD14" s="238"/>
      <c r="BE14" s="240"/>
      <c r="BF14" s="240"/>
      <c r="BG14" s="240"/>
      <c r="BH14" s="240"/>
      <c r="BI14" s="237"/>
      <c r="BJ14" s="238"/>
      <c r="BK14" s="240"/>
      <c r="BL14" s="240"/>
      <c r="BM14" s="240"/>
      <c r="BN14" s="240"/>
      <c r="BO14" s="237"/>
      <c r="BP14" s="238"/>
      <c r="BQ14" s="240"/>
      <c r="BR14" s="240"/>
      <c r="BS14" s="240"/>
      <c r="BT14" s="240"/>
      <c r="BU14" s="237"/>
      <c r="BV14" s="238"/>
      <c r="BW14" s="240"/>
      <c r="BX14" s="240"/>
      <c r="BY14" s="240"/>
      <c r="BZ14" s="240"/>
      <c r="CA14" s="237"/>
      <c r="CB14" s="238"/>
      <c r="CC14" s="240"/>
      <c r="CD14" s="240"/>
      <c r="CE14" s="240"/>
      <c r="CF14" s="240"/>
      <c r="CG14" s="237"/>
      <c r="CI14" s="806"/>
      <c r="CK14"/>
      <c r="CL14"/>
      <c r="CM14"/>
      <c r="CN14"/>
      <c r="CO14"/>
      <c r="CP14"/>
      <c r="CQ14" s="19"/>
    </row>
    <row r="15" spans="2:95" s="24" customFormat="1" ht="11.25" customHeight="1" x14ac:dyDescent="0.2">
      <c r="B15" s="172" t="s">
        <v>72</v>
      </c>
      <c r="C15" s="241">
        <f>SUM(C9:C13)</f>
        <v>816.40100000000007</v>
      </c>
      <c r="D15" s="241">
        <f>SUM(D9:D13)</f>
        <v>869.74599999999987</v>
      </c>
      <c r="E15" s="241">
        <f>SUM(E9:E13)</f>
        <v>973.93599999999992</v>
      </c>
      <c r="F15" s="241">
        <f>SUM(F9:F13)</f>
        <v>982.02199999999982</v>
      </c>
      <c r="G15" s="241">
        <f>SUM(G9:G13)</f>
        <v>982.02199999999982</v>
      </c>
      <c r="H15" s="128"/>
      <c r="I15" s="241">
        <f>SUM(I9:I13)</f>
        <v>1093.3310000000001</v>
      </c>
      <c r="J15" s="241">
        <f>SUM(J9:J13)</f>
        <v>1182.087</v>
      </c>
      <c r="K15" s="241">
        <f>SUM(K9:K13)</f>
        <v>972.096</v>
      </c>
      <c r="L15" s="241">
        <f>SUM(L9:L13)</f>
        <v>949.86199999999997</v>
      </c>
      <c r="M15" s="241">
        <f>SUM(M9:M13)</f>
        <v>949.86199999999997</v>
      </c>
      <c r="N15" s="128"/>
      <c r="O15" s="241">
        <f>SUM(O9:O13)</f>
        <v>984.8889999999999</v>
      </c>
      <c r="P15" s="241">
        <f>SUM(P9:P13)</f>
        <v>1032.5049999999999</v>
      </c>
      <c r="Q15" s="241">
        <f>SUM(Q9:Q13)</f>
        <v>1127.1029999999998</v>
      </c>
      <c r="R15" s="241">
        <f>SUM(R9:R13)</f>
        <v>1217.796</v>
      </c>
      <c r="S15" s="241">
        <f>SUM(S9:S13)</f>
        <v>1217.796</v>
      </c>
      <c r="T15" s="128"/>
      <c r="U15" s="241">
        <f>SUM(U9:U13)</f>
        <v>1178.454</v>
      </c>
      <c r="V15" s="241">
        <f>SUM(V9:V13)</f>
        <v>1089.242</v>
      </c>
      <c r="W15" s="241">
        <f>SUM(W9:W13)</f>
        <v>1331.557</v>
      </c>
      <c r="X15" s="241">
        <f>SUM(X9:X13)</f>
        <v>1315.0449999999998</v>
      </c>
      <c r="Y15" s="241">
        <f>SUM(Y9:Y13)</f>
        <v>1315.0449999999998</v>
      </c>
      <c r="Z15" s="128"/>
      <c r="AA15" s="241">
        <f>SUM(AA9:AA13)</f>
        <v>1412.0679999999998</v>
      </c>
      <c r="AB15" s="241">
        <f>SUM(AB9:AB13)</f>
        <v>1552.413</v>
      </c>
      <c r="AC15" s="241">
        <f>SUM(AC9:AC13)</f>
        <v>1089.605</v>
      </c>
      <c r="AD15" s="241">
        <f>SUM(AD9:AD13)</f>
        <v>1012.9029999999999</v>
      </c>
      <c r="AE15" s="241">
        <f>SUM(AE9:AE13)</f>
        <v>1012.9029999999999</v>
      </c>
      <c r="AF15" s="239"/>
      <c r="AG15" s="241">
        <f>SUM(AG9:AG13)</f>
        <v>1119.1849999999997</v>
      </c>
      <c r="AH15" s="241">
        <f>SUM(AH9:AH13)</f>
        <v>1105.1819999999998</v>
      </c>
      <c r="AI15" s="241">
        <f>SUM(AI9:AI13)</f>
        <v>1128.9779999999996</v>
      </c>
      <c r="AJ15" s="241">
        <f>SUM(AJ9:AJ13)</f>
        <v>1111.0959999999995</v>
      </c>
      <c r="AK15" s="241">
        <f>SUM(AK9:AK13)</f>
        <v>1111.0959999999995</v>
      </c>
      <c r="AL15" s="239"/>
      <c r="AM15" s="241">
        <f>SUM(AM9:AM13)</f>
        <v>1160.5189999999996</v>
      </c>
      <c r="AN15" s="241">
        <f>SUM(AN9:AN13)</f>
        <v>1170.0319999999999</v>
      </c>
      <c r="AO15" s="241">
        <f>SUM(AO9:AO13)</f>
        <v>1153.1449999999995</v>
      </c>
      <c r="AP15" s="241">
        <f>SUM(AP9:AP13)</f>
        <v>1143.8019999999997</v>
      </c>
      <c r="AQ15" s="241">
        <f>SUM(AQ9:AQ13)</f>
        <v>1143.8019999999997</v>
      </c>
      <c r="AR15" s="239"/>
      <c r="AS15" s="241">
        <f>SUM(AS9:AS13)</f>
        <v>1202.2779999999993</v>
      </c>
      <c r="AT15" s="241">
        <f>SUM(AT9:AT13)</f>
        <v>1231.2289999999996</v>
      </c>
      <c r="AU15" s="241">
        <f>SUM(AU9:AU13)</f>
        <v>1257.6559999999995</v>
      </c>
      <c r="AV15" s="241">
        <f>SUM(AV9:AV13)</f>
        <v>1206.9249999999995</v>
      </c>
      <c r="AW15" s="241">
        <f>SUM(AW9:AW13)</f>
        <v>1206.9249999999995</v>
      </c>
      <c r="AX15" s="239"/>
      <c r="AY15" s="246">
        <f>SUM(AY9:AY13)</f>
        <v>1200.0820000000001</v>
      </c>
      <c r="AZ15" s="246">
        <f>SUM(AZ9:AZ13)</f>
        <v>1270.33</v>
      </c>
      <c r="BA15" s="246">
        <f>SUM(BA9:BA13)</f>
        <v>1208.0999999999999</v>
      </c>
      <c r="BB15" s="246">
        <f>SUM(BB9:BB13)</f>
        <v>1196.7</v>
      </c>
      <c r="BC15" s="246">
        <f>SUM(BC9:BC13)</f>
        <v>1196.7</v>
      </c>
      <c r="BD15" s="239"/>
      <c r="BE15" s="246">
        <f>SUM(BE9:BE13)</f>
        <v>1805.5</v>
      </c>
      <c r="BF15" s="246">
        <f>SUM(BF9:BF13)</f>
        <v>1738.4</v>
      </c>
      <c r="BG15" s="246">
        <f>SUM(BG9:BG13)</f>
        <v>1841.6</v>
      </c>
      <c r="BH15" s="246">
        <f>SUM(BH9:BH14)</f>
        <v>1882.6</v>
      </c>
      <c r="BI15" s="246">
        <f>SUM(BI9:BI14)</f>
        <v>1882.6</v>
      </c>
      <c r="BJ15" s="239"/>
      <c r="BK15" s="246">
        <f>SUM(BK9:BK13)</f>
        <v>1720.6</v>
      </c>
      <c r="BL15" s="246">
        <f>SUM(BL9:BL13)</f>
        <v>1765.7</v>
      </c>
      <c r="BM15" s="246">
        <f>SUM(BM9:BM13)</f>
        <v>1972.4</v>
      </c>
      <c r="BN15" s="246">
        <f>SUM(BN9:BN14)</f>
        <v>2002.5</v>
      </c>
      <c r="BO15" s="246">
        <f>SUM(BO9:BO13)</f>
        <v>2002.5</v>
      </c>
      <c r="BP15" s="239"/>
      <c r="BQ15" s="246">
        <f>SUM(BQ9:BQ13)</f>
        <v>1917.3450248032123</v>
      </c>
      <c r="BR15" s="246">
        <f>SUM(BR9:BR13)</f>
        <v>1946.0971172001705</v>
      </c>
      <c r="BS15" s="246">
        <f>SUM(BS9:BS13)</f>
        <v>1934.0752107762282</v>
      </c>
      <c r="BT15" s="246">
        <f>SUM(BT9:BT13)</f>
        <v>2032.5080111920295</v>
      </c>
      <c r="BU15" s="246">
        <f>SUM(BU9:BU13)</f>
        <v>2032.5080111920295</v>
      </c>
      <c r="BV15" s="239"/>
      <c r="BW15" s="246">
        <f>SUM(BW9:BW13)</f>
        <v>1957.5454265717719</v>
      </c>
      <c r="BX15" s="246">
        <f>SUM(BX9:BX13)</f>
        <v>2032.2904471911127</v>
      </c>
      <c r="BY15" s="246">
        <f>SUM(BY9:BY13)</f>
        <v>2035.7761584211794</v>
      </c>
      <c r="BZ15" s="246">
        <f>SUM(BZ9:BZ13)</f>
        <v>2125.90849947673</v>
      </c>
      <c r="CA15" s="246">
        <f>SUM(CA9:CA13)</f>
        <v>2125.90849947673</v>
      </c>
      <c r="CB15" s="239"/>
      <c r="CC15" s="246">
        <f>SUM(CC9:CC13)</f>
        <v>2038.3123683451145</v>
      </c>
      <c r="CD15" s="246">
        <f>SUM(CD9:CD13)</f>
        <v>2128.6515031613899</v>
      </c>
      <c r="CE15" s="246">
        <f>SUM(CE9:CE13)</f>
        <v>2156.2574944912576</v>
      </c>
      <c r="CF15" s="246">
        <f>SUM(CF9:CF13)</f>
        <v>2274.1544251840819</v>
      </c>
      <c r="CG15" s="246">
        <f>SUM(CG9:CG13)</f>
        <v>2274.1544251840819</v>
      </c>
      <c r="CI15" s="806"/>
      <c r="CK15"/>
      <c r="CL15"/>
      <c r="CM15"/>
      <c r="CN15"/>
      <c r="CO15"/>
      <c r="CP15"/>
      <c r="CQ15" s="19"/>
    </row>
    <row r="16" spans="2:95" s="24" customFormat="1" ht="5.25" customHeight="1" x14ac:dyDescent="0.2">
      <c r="B16" s="37"/>
      <c r="C16" s="242"/>
      <c r="D16" s="242"/>
      <c r="E16" s="242"/>
      <c r="F16" s="242"/>
      <c r="G16" s="242"/>
      <c r="H16" s="243"/>
      <c r="I16" s="242"/>
      <c r="J16" s="242"/>
      <c r="K16" s="242"/>
      <c r="L16" s="242"/>
      <c r="M16" s="242"/>
      <c r="N16" s="243"/>
      <c r="O16" s="242"/>
      <c r="P16" s="242"/>
      <c r="Q16" s="242"/>
      <c r="R16" s="242"/>
      <c r="S16" s="242"/>
      <c r="T16" s="243"/>
      <c r="U16" s="242"/>
      <c r="V16" s="242"/>
      <c r="W16" s="242"/>
      <c r="X16" s="242"/>
      <c r="Y16" s="242"/>
      <c r="Z16" s="243"/>
      <c r="AA16" s="242"/>
      <c r="AB16" s="242"/>
      <c r="AC16" s="242"/>
      <c r="AD16" s="242"/>
      <c r="AE16" s="237"/>
      <c r="AF16" s="244"/>
      <c r="AG16" s="242"/>
      <c r="AH16" s="242"/>
      <c r="AI16" s="242"/>
      <c r="AJ16" s="242"/>
      <c r="AK16" s="237"/>
      <c r="AL16" s="244"/>
      <c r="AM16" s="242"/>
      <c r="AN16" s="242"/>
      <c r="AO16" s="242"/>
      <c r="AP16" s="242"/>
      <c r="AQ16" s="237"/>
      <c r="AR16" s="244"/>
      <c r="AS16" s="237"/>
      <c r="AT16" s="237"/>
      <c r="AU16" s="237"/>
      <c r="AV16" s="237"/>
      <c r="AW16" s="237"/>
      <c r="AX16" s="244"/>
      <c r="AY16" s="504"/>
      <c r="AZ16" s="504"/>
      <c r="BA16" s="504"/>
      <c r="BB16" s="504"/>
      <c r="BC16" s="504"/>
      <c r="BD16" s="244"/>
      <c r="BE16" s="504"/>
      <c r="BF16" s="504"/>
      <c r="BG16" s="504"/>
      <c r="BH16" s="504"/>
      <c r="BI16" s="504"/>
      <c r="BJ16" s="244"/>
      <c r="BK16" s="504"/>
      <c r="BL16" s="504"/>
      <c r="BM16" s="504"/>
      <c r="BN16" s="504"/>
      <c r="BO16" s="504"/>
      <c r="BP16" s="244"/>
      <c r="BQ16" s="504"/>
      <c r="BR16" s="504"/>
      <c r="BS16" s="504"/>
      <c r="BT16" s="504"/>
      <c r="BU16" s="504"/>
      <c r="BV16" s="244"/>
      <c r="BW16" s="504"/>
      <c r="BX16" s="504"/>
      <c r="BY16" s="504"/>
      <c r="BZ16" s="504"/>
      <c r="CA16" s="504"/>
      <c r="CB16" s="244"/>
      <c r="CC16" s="504"/>
      <c r="CD16" s="504"/>
      <c r="CE16" s="504"/>
      <c r="CF16" s="504"/>
      <c r="CG16" s="504"/>
      <c r="CI16" s="806"/>
      <c r="CK16"/>
      <c r="CL16"/>
      <c r="CM16"/>
      <c r="CN16"/>
      <c r="CO16"/>
      <c r="CP16"/>
      <c r="CQ16" s="19"/>
    </row>
    <row r="17" spans="1:95" s="24" customFormat="1" ht="11.25" customHeight="1" x14ac:dyDescent="0.2">
      <c r="B17" s="59" t="s">
        <v>282</v>
      </c>
      <c r="C17" s="233">
        <v>331.68599999999998</v>
      </c>
      <c r="D17" s="233">
        <v>333.94900000000001</v>
      </c>
      <c r="E17" s="233">
        <v>351.56599999999997</v>
      </c>
      <c r="F17" s="233">
        <v>371.40899999999999</v>
      </c>
      <c r="G17" s="234">
        <f>F17</f>
        <v>371.40899999999999</v>
      </c>
      <c r="H17" s="128"/>
      <c r="I17" s="233">
        <v>402.00900000000001</v>
      </c>
      <c r="J17" s="233">
        <v>405.60300000000001</v>
      </c>
      <c r="K17" s="233">
        <v>386.88499999999999</v>
      </c>
      <c r="L17" s="233">
        <v>432.27600000000001</v>
      </c>
      <c r="M17" s="234">
        <f>L17</f>
        <v>432.27600000000001</v>
      </c>
      <c r="N17" s="128"/>
      <c r="O17" s="233">
        <v>416.39299999999997</v>
      </c>
      <c r="P17" s="233">
        <v>429.935</v>
      </c>
      <c r="Q17" s="233">
        <v>445.36500000000001</v>
      </c>
      <c r="R17" s="233">
        <v>439.61900000000003</v>
      </c>
      <c r="S17" s="234">
        <f>R17</f>
        <v>439.61900000000003</v>
      </c>
      <c r="T17" s="128"/>
      <c r="U17" s="233">
        <v>420.779</v>
      </c>
      <c r="V17" s="233">
        <v>399.077</v>
      </c>
      <c r="W17" s="233">
        <v>423.80200000000002</v>
      </c>
      <c r="X17" s="233">
        <v>423.10500000000002</v>
      </c>
      <c r="Y17" s="234">
        <f>X17</f>
        <v>423.10500000000002</v>
      </c>
      <c r="Z17" s="128"/>
      <c r="AA17" s="233">
        <v>432.71600000000001</v>
      </c>
      <c r="AB17" s="240">
        <v>442.95699999999999</v>
      </c>
      <c r="AC17" s="240">
        <v>569.85299999999995</v>
      </c>
      <c r="AD17" s="240">
        <v>591.44500000000005</v>
      </c>
      <c r="AE17" s="237">
        <f>+AD17</f>
        <v>591.44500000000005</v>
      </c>
      <c r="AF17" s="239"/>
      <c r="AG17" s="233">
        <v>604.16</v>
      </c>
      <c r="AH17" s="240">
        <v>587.28499999999997</v>
      </c>
      <c r="AI17" s="240">
        <v>602.66999999999996</v>
      </c>
      <c r="AJ17" s="240">
        <v>614.70500000000004</v>
      </c>
      <c r="AK17" s="237">
        <f>+AJ17</f>
        <v>614.70500000000004</v>
      </c>
      <c r="AL17" s="239"/>
      <c r="AM17" s="240">
        <v>608.85</v>
      </c>
      <c r="AN17" s="240">
        <v>605.02800000000002</v>
      </c>
      <c r="AO17" s="240">
        <v>628.50900000000001</v>
      </c>
      <c r="AP17" s="240">
        <v>637.17200000000003</v>
      </c>
      <c r="AQ17" s="237">
        <f>+AP17</f>
        <v>637.17200000000003</v>
      </c>
      <c r="AR17" s="239"/>
      <c r="AS17" s="233">
        <v>642.31799999999998</v>
      </c>
      <c r="AT17" s="233">
        <v>639.21199999999999</v>
      </c>
      <c r="AU17" s="233">
        <v>606.92399999999998</v>
      </c>
      <c r="AV17" s="240">
        <v>588.84500000000003</v>
      </c>
      <c r="AW17" s="237">
        <f>+AV17</f>
        <v>588.84500000000003</v>
      </c>
      <c r="AX17" s="239"/>
      <c r="AY17" s="536">
        <v>556.76599999999996</v>
      </c>
      <c r="AZ17" s="536">
        <v>568.03599999999994</v>
      </c>
      <c r="BA17" s="536">
        <v>555.20000000000005</v>
      </c>
      <c r="BB17" s="536">
        <v>558.79999999999995</v>
      </c>
      <c r="BC17" s="237">
        <f>BB17</f>
        <v>558.79999999999995</v>
      </c>
      <c r="BD17" s="239"/>
      <c r="BE17" s="536">
        <v>816.5</v>
      </c>
      <c r="BF17" s="536">
        <v>794.1</v>
      </c>
      <c r="BG17" s="536">
        <v>822.9</v>
      </c>
      <c r="BH17" s="536">
        <v>799.8</v>
      </c>
      <c r="BI17" s="237">
        <f>BH17</f>
        <v>799.8</v>
      </c>
      <c r="BJ17" s="239"/>
      <c r="BK17" s="536">
        <v>807.1</v>
      </c>
      <c r="BL17" s="536">
        <v>841</v>
      </c>
      <c r="BM17" s="536">
        <v>859.9</v>
      </c>
      <c r="BN17" s="536">
        <v>876</v>
      </c>
      <c r="BO17" s="237">
        <f>BN17</f>
        <v>876</v>
      </c>
      <c r="BP17" s="239"/>
      <c r="BQ17" s="237">
        <f>+BQ134</f>
        <v>877.29371437500004</v>
      </c>
      <c r="BR17" s="237">
        <f>+BR134</f>
        <v>881.90623249999999</v>
      </c>
      <c r="BS17" s="237">
        <f>+BS134</f>
        <v>886.82261542500009</v>
      </c>
      <c r="BT17" s="237">
        <f>+BT134</f>
        <v>894.02052924999998</v>
      </c>
      <c r="BU17" s="237">
        <f>BT17</f>
        <v>894.02052924999998</v>
      </c>
      <c r="BV17" s="239"/>
      <c r="BW17" s="237">
        <f>+BW134</f>
        <v>894.59746701500035</v>
      </c>
      <c r="BX17" s="237">
        <f>+BX134</f>
        <v>899.04928113950041</v>
      </c>
      <c r="BY17" s="237">
        <f>+BY134</f>
        <v>903.65548791250035</v>
      </c>
      <c r="BZ17" s="237">
        <f>+BZ134</f>
        <v>910.33375760350032</v>
      </c>
      <c r="CA17" s="237">
        <f>BZ17</f>
        <v>910.33375760350032</v>
      </c>
      <c r="CB17" s="239"/>
      <c r="CC17" s="237">
        <f>+CC134</f>
        <v>910.17873101970031</v>
      </c>
      <c r="CD17" s="237">
        <f>+CD134</f>
        <v>913.66032219084764</v>
      </c>
      <c r="CE17" s="237">
        <f>+CE134</f>
        <v>917.41012542195267</v>
      </c>
      <c r="CF17" s="237">
        <f>+CF134</f>
        <v>923.58367926519759</v>
      </c>
      <c r="CG17" s="237">
        <f>CF17</f>
        <v>923.58367926519759</v>
      </c>
      <c r="CI17" s="806"/>
      <c r="CK17"/>
      <c r="CL17"/>
      <c r="CM17"/>
      <c r="CN17"/>
      <c r="CO17"/>
      <c r="CP17"/>
      <c r="CQ17" s="19"/>
    </row>
    <row r="18" spans="1:95" s="24" customFormat="1" ht="11.25" customHeight="1" x14ac:dyDescent="0.2">
      <c r="B18" s="59" t="s">
        <v>262</v>
      </c>
      <c r="C18" s="233">
        <v>67.513000000000005</v>
      </c>
      <c r="D18" s="233">
        <v>71.424999999999997</v>
      </c>
      <c r="E18" s="233">
        <v>71.518000000000001</v>
      </c>
      <c r="F18" s="233">
        <v>76.167000000000002</v>
      </c>
      <c r="G18" s="234">
        <f>F18</f>
        <v>76.167000000000002</v>
      </c>
      <c r="H18" s="128"/>
      <c r="I18" s="233">
        <v>76.694999999999993</v>
      </c>
      <c r="J18" s="233">
        <v>76.346999999999994</v>
      </c>
      <c r="K18" s="233">
        <v>68.465999999999994</v>
      </c>
      <c r="L18" s="233">
        <v>103.718</v>
      </c>
      <c r="M18" s="234">
        <f>L18</f>
        <v>103.718</v>
      </c>
      <c r="N18" s="128"/>
      <c r="O18" s="233">
        <v>124.958</v>
      </c>
      <c r="P18" s="233">
        <v>122.696</v>
      </c>
      <c r="Q18" s="233">
        <v>119.34399999999999</v>
      </c>
      <c r="R18" s="233">
        <v>89.085999999999999</v>
      </c>
      <c r="S18" s="234">
        <f>R18</f>
        <v>89.085999999999999</v>
      </c>
      <c r="T18" s="128"/>
      <c r="U18" s="233">
        <v>83.515000000000001</v>
      </c>
      <c r="V18" s="233">
        <v>76.998000000000005</v>
      </c>
      <c r="W18" s="233">
        <v>79.700999999999993</v>
      </c>
      <c r="X18" s="233">
        <v>78.742999999999995</v>
      </c>
      <c r="Y18" s="234">
        <f>+X18</f>
        <v>78.742999999999995</v>
      </c>
      <c r="Z18" s="128"/>
      <c r="AA18" s="233">
        <v>79.468000000000004</v>
      </c>
      <c r="AB18" s="233">
        <v>86.77</v>
      </c>
      <c r="AC18" s="233">
        <v>808.03800000000001</v>
      </c>
      <c r="AD18" s="233">
        <v>791.1</v>
      </c>
      <c r="AE18" s="234">
        <f>+AD18</f>
        <v>791.1</v>
      </c>
      <c r="AF18" s="239"/>
      <c r="AG18" s="233">
        <v>998.53800000000001</v>
      </c>
      <c r="AH18" s="233">
        <v>947.74699999999996</v>
      </c>
      <c r="AI18" s="233">
        <v>841.75099999999998</v>
      </c>
      <c r="AJ18" s="233">
        <v>830.64200000000005</v>
      </c>
      <c r="AK18" s="234">
        <f>+AJ18</f>
        <v>830.64200000000005</v>
      </c>
      <c r="AL18" s="234"/>
      <c r="AM18" s="233">
        <v>805.64599999999996</v>
      </c>
      <c r="AN18" s="233">
        <v>786.66700000000003</v>
      </c>
      <c r="AO18" s="233">
        <v>800.47</v>
      </c>
      <c r="AP18" s="233">
        <v>795.32299999999998</v>
      </c>
      <c r="AQ18" s="234">
        <f>+AP18</f>
        <v>795.32299999999998</v>
      </c>
      <c r="AR18" s="234"/>
      <c r="AS18" s="233">
        <v>785.99699999999996</v>
      </c>
      <c r="AT18" s="233">
        <v>765.10500000000002</v>
      </c>
      <c r="AU18" s="233">
        <v>710.11199999999997</v>
      </c>
      <c r="AV18" s="233">
        <v>670.84</v>
      </c>
      <c r="AW18" s="237">
        <f>+AV18</f>
        <v>670.84</v>
      </c>
      <c r="AX18" s="237"/>
      <c r="AY18" s="536">
        <v>613.45699999999999</v>
      </c>
      <c r="AZ18" s="536">
        <v>616.66899999999998</v>
      </c>
      <c r="BA18" s="536">
        <v>600.4</v>
      </c>
      <c r="BB18" s="536">
        <v>600.70000000000005</v>
      </c>
      <c r="BC18" s="237">
        <f>BB18</f>
        <v>600.70000000000005</v>
      </c>
      <c r="BD18" s="237"/>
      <c r="BE18" s="536">
        <v>3138.1</v>
      </c>
      <c r="BF18" s="536">
        <v>3028.5</v>
      </c>
      <c r="BG18" s="536">
        <v>3135.6</v>
      </c>
      <c r="BH18" s="536">
        <v>2957.6</v>
      </c>
      <c r="BI18" s="237">
        <f>BH18</f>
        <v>2957.6</v>
      </c>
      <c r="BJ18" s="237"/>
      <c r="BK18" s="536">
        <v>2955.1</v>
      </c>
      <c r="BL18" s="536">
        <v>3059.4</v>
      </c>
      <c r="BM18" s="536">
        <v>3109.2</v>
      </c>
      <c r="BN18" s="536">
        <v>2800.7</v>
      </c>
      <c r="BO18" s="237">
        <f>BN18</f>
        <v>2800.7</v>
      </c>
      <c r="BP18" s="237"/>
      <c r="BQ18" s="237">
        <f>+BQ143</f>
        <v>2758.6894999999995</v>
      </c>
      <c r="BR18" s="237">
        <f>+BR143</f>
        <v>2717.3091574999994</v>
      </c>
      <c r="BS18" s="237">
        <f>+BS143</f>
        <v>2676.5495201374993</v>
      </c>
      <c r="BT18" s="237">
        <f>+BT143</f>
        <v>2636.4012773354366</v>
      </c>
      <c r="BU18" s="237">
        <f>BT18</f>
        <v>2636.4012773354366</v>
      </c>
      <c r="BV18" s="237"/>
      <c r="BW18" s="237">
        <f>+BW143</f>
        <v>2596.8552581754057</v>
      </c>
      <c r="BX18" s="237">
        <f>+BX143</f>
        <v>2557.9024293027746</v>
      </c>
      <c r="BY18" s="237">
        <f>+BY143</f>
        <v>2519.5338928632332</v>
      </c>
      <c r="BZ18" s="237">
        <f>+BZ143</f>
        <v>2481.7408844702845</v>
      </c>
      <c r="CA18" s="237">
        <f>BZ18</f>
        <v>2481.7408844702845</v>
      </c>
      <c r="CB18" s="237"/>
      <c r="CC18" s="237">
        <f>+CC143</f>
        <v>2444.5147712032299</v>
      </c>
      <c r="CD18" s="237">
        <f>+CD143</f>
        <v>2407.8470496351815</v>
      </c>
      <c r="CE18" s="237">
        <f>+CE143</f>
        <v>2371.7293438906536</v>
      </c>
      <c r="CF18" s="237">
        <f>+CF143</f>
        <v>2336.1534037322936</v>
      </c>
      <c r="CG18" s="237">
        <f>CF18</f>
        <v>2336.1534037322936</v>
      </c>
      <c r="CI18" s="806"/>
      <c r="CK18"/>
      <c r="CL18"/>
      <c r="CM18"/>
      <c r="CN18"/>
      <c r="CO18"/>
      <c r="CP18"/>
      <c r="CQ18" s="19"/>
    </row>
    <row r="19" spans="1:95" s="24" customFormat="1" ht="11.25" customHeight="1" x14ac:dyDescent="0.2">
      <c r="B19" s="59" t="s">
        <v>261</v>
      </c>
      <c r="C19" s="233">
        <v>998.39599999999996</v>
      </c>
      <c r="D19" s="233">
        <v>1020.02</v>
      </c>
      <c r="E19" s="233">
        <v>1121.81</v>
      </c>
      <c r="F19" s="233">
        <v>1127.42</v>
      </c>
      <c r="G19" s="234">
        <f>F19</f>
        <v>1127.42</v>
      </c>
      <c r="H19" s="128"/>
      <c r="I19" s="233">
        <v>1181.1969999999999</v>
      </c>
      <c r="J19" s="233">
        <v>1178.627</v>
      </c>
      <c r="K19" s="233">
        <v>1145.212</v>
      </c>
      <c r="L19" s="233">
        <v>1277.0260000000001</v>
      </c>
      <c r="M19" s="234">
        <f>L19</f>
        <v>1277.0260000000001</v>
      </c>
      <c r="N19" s="128"/>
      <c r="O19" s="233">
        <v>1206.008</v>
      </c>
      <c r="P19" s="233">
        <v>1267.8979999999999</v>
      </c>
      <c r="Q19" s="233">
        <v>1308.8240000000001</v>
      </c>
      <c r="R19" s="233">
        <v>1312.596</v>
      </c>
      <c r="S19" s="234">
        <f>R19</f>
        <v>1312.596</v>
      </c>
      <c r="T19" s="128"/>
      <c r="U19" s="233">
        <v>1279.1030000000001</v>
      </c>
      <c r="V19" s="233">
        <v>1208.7650000000001</v>
      </c>
      <c r="W19" s="233">
        <v>1304.9380000000001</v>
      </c>
      <c r="X19" s="233">
        <v>1303.0550000000001</v>
      </c>
      <c r="Y19" s="234">
        <f>X19</f>
        <v>1303.0550000000001</v>
      </c>
      <c r="Z19" s="128"/>
      <c r="AA19" s="233">
        <v>1350.78</v>
      </c>
      <c r="AB19" s="240">
        <v>1391.289</v>
      </c>
      <c r="AC19" s="240">
        <v>2208.9059999999999</v>
      </c>
      <c r="AD19" s="240">
        <v>2190.0630000000001</v>
      </c>
      <c r="AE19" s="237">
        <f>+AD19</f>
        <v>2190.0630000000001</v>
      </c>
      <c r="AF19" s="239"/>
      <c r="AG19" s="233">
        <v>2109.451</v>
      </c>
      <c r="AH19" s="240">
        <v>2036.0840000000001</v>
      </c>
      <c r="AI19" s="240">
        <v>2207.413</v>
      </c>
      <c r="AJ19" s="240">
        <v>2210.953</v>
      </c>
      <c r="AK19" s="237">
        <f>+AJ19</f>
        <v>2210.953</v>
      </c>
      <c r="AL19" s="239"/>
      <c r="AM19" s="240">
        <v>2167.241</v>
      </c>
      <c r="AN19" s="240">
        <v>2158.529</v>
      </c>
      <c r="AO19" s="240">
        <v>2218.136</v>
      </c>
      <c r="AP19" s="240">
        <v>2281.596</v>
      </c>
      <c r="AQ19" s="237">
        <f>+AP19</f>
        <v>2281.596</v>
      </c>
      <c r="AR19" s="239"/>
      <c r="AS19" s="233">
        <v>2286.7150000000001</v>
      </c>
      <c r="AT19" s="233">
        <v>2278.7979999999998</v>
      </c>
      <c r="AU19" s="233">
        <v>2160.6959999999999</v>
      </c>
      <c r="AV19" s="240">
        <v>2089.3389999999999</v>
      </c>
      <c r="AW19" s="237">
        <f>+AV19</f>
        <v>2089.3389999999999</v>
      </c>
      <c r="AX19" s="239"/>
      <c r="AY19" s="536">
        <v>1953.271</v>
      </c>
      <c r="AZ19" s="536">
        <v>1998.6079999999999</v>
      </c>
      <c r="BA19" s="536">
        <v>1984.3</v>
      </c>
      <c r="BB19" s="536">
        <v>1987.6</v>
      </c>
      <c r="BC19" s="237">
        <f>BB19</f>
        <v>1987.6</v>
      </c>
      <c r="BD19" s="239"/>
      <c r="BE19" s="536">
        <v>5836</v>
      </c>
      <c r="BF19" s="536">
        <v>5794.7</v>
      </c>
      <c r="BG19" s="536">
        <v>6056.7</v>
      </c>
      <c r="BH19" s="536">
        <v>5952</v>
      </c>
      <c r="BI19" s="237">
        <f>BH19</f>
        <v>5952</v>
      </c>
      <c r="BJ19" s="239"/>
      <c r="BK19" s="536">
        <v>5958.2</v>
      </c>
      <c r="BL19" s="536">
        <v>5023.6000000000004</v>
      </c>
      <c r="BM19" s="536">
        <v>5074.8999999999996</v>
      </c>
      <c r="BN19" s="536">
        <v>4539.2</v>
      </c>
      <c r="BO19" s="237">
        <f>BN19</f>
        <v>4539.2</v>
      </c>
      <c r="BP19" s="239"/>
      <c r="BQ19" s="237">
        <f>+BQ150</f>
        <v>4539.2000000000007</v>
      </c>
      <c r="BR19" s="237">
        <f>+BR150</f>
        <v>4539.2000000000007</v>
      </c>
      <c r="BS19" s="237">
        <f>+BS150</f>
        <v>4539.2000000000007</v>
      </c>
      <c r="BT19" s="237">
        <f>+BT150</f>
        <v>4539.2000000000007</v>
      </c>
      <c r="BU19" s="237">
        <f>BT19</f>
        <v>4539.2000000000007</v>
      </c>
      <c r="BV19" s="239"/>
      <c r="BW19" s="237">
        <f>+BW150</f>
        <v>4539.2000000000007</v>
      </c>
      <c r="BX19" s="237">
        <f>+BX150</f>
        <v>4539.2000000000007</v>
      </c>
      <c r="BY19" s="237">
        <f>+BY150</f>
        <v>4539.2000000000007</v>
      </c>
      <c r="BZ19" s="237">
        <f>+BZ150</f>
        <v>4539.2000000000007</v>
      </c>
      <c r="CA19" s="237">
        <f>BZ19</f>
        <v>4539.2000000000007</v>
      </c>
      <c r="CB19" s="239"/>
      <c r="CC19" s="237">
        <f>+CC150</f>
        <v>4539.2000000000007</v>
      </c>
      <c r="CD19" s="237">
        <f>+CD150</f>
        <v>4539.2000000000007</v>
      </c>
      <c r="CE19" s="237">
        <f>+CE150</f>
        <v>4539.2000000000007</v>
      </c>
      <c r="CF19" s="237">
        <f>+CF150</f>
        <v>4539.2000000000007</v>
      </c>
      <c r="CG19" s="237">
        <f>CF19</f>
        <v>4539.2000000000007</v>
      </c>
      <c r="CI19" s="806"/>
      <c r="CK19"/>
      <c r="CL19"/>
      <c r="CM19"/>
      <c r="CN19"/>
      <c r="CO19"/>
      <c r="CP19"/>
      <c r="CQ19" s="19"/>
    </row>
    <row r="20" spans="1:95" s="24" customFormat="1" ht="11.25" customHeight="1" x14ac:dyDescent="0.2">
      <c r="B20" s="59" t="s">
        <v>283</v>
      </c>
      <c r="C20" s="128">
        <v>80.762</v>
      </c>
      <c r="D20" s="128">
        <v>93.430999999999997</v>
      </c>
      <c r="E20" s="128">
        <v>96.087000000000003</v>
      </c>
      <c r="F20" s="128">
        <v>118.551</v>
      </c>
      <c r="G20" s="479">
        <f>F20</f>
        <v>118.551</v>
      </c>
      <c r="H20" s="128"/>
      <c r="I20" s="128">
        <v>161.773</v>
      </c>
      <c r="J20" s="128">
        <v>150.54400000000001</v>
      </c>
      <c r="K20" s="128">
        <v>88.652000000000001</v>
      </c>
      <c r="L20" s="128">
        <v>67.518000000000001</v>
      </c>
      <c r="M20" s="479">
        <f>L20</f>
        <v>67.518000000000001</v>
      </c>
      <c r="N20" s="128"/>
      <c r="O20" s="128">
        <v>28.541</v>
      </c>
      <c r="P20" s="128">
        <v>45.445</v>
      </c>
      <c r="Q20" s="128">
        <v>66.472999999999999</v>
      </c>
      <c r="R20" s="128">
        <v>28.835000000000001</v>
      </c>
      <c r="S20" s="479">
        <f>R20</f>
        <v>28.835000000000001</v>
      </c>
      <c r="T20" s="128"/>
      <c r="U20" s="128">
        <v>24.896000000000001</v>
      </c>
      <c r="V20" s="128">
        <v>23.184999999999999</v>
      </c>
      <c r="W20" s="128">
        <v>55.158000000000001</v>
      </c>
      <c r="X20" s="128">
        <v>138.00299999999999</v>
      </c>
      <c r="Y20" s="479">
        <f>X20</f>
        <v>138.00299999999999</v>
      </c>
      <c r="Z20" s="128"/>
      <c r="AA20" s="128">
        <v>162.017</v>
      </c>
      <c r="AB20" s="128">
        <v>183.214</v>
      </c>
      <c r="AC20" s="128">
        <v>157.309</v>
      </c>
      <c r="AD20" s="128">
        <v>169.887</v>
      </c>
      <c r="AE20" s="237">
        <f>+AD20</f>
        <v>169.887</v>
      </c>
      <c r="AF20" s="239"/>
      <c r="AG20" s="128">
        <v>183.727</v>
      </c>
      <c r="AH20" s="128">
        <v>194.458</v>
      </c>
      <c r="AI20" s="128">
        <v>196.61</v>
      </c>
      <c r="AJ20" s="128">
        <v>204.90100000000001</v>
      </c>
      <c r="AK20" s="238">
        <f>+AJ20</f>
        <v>204.90100000000001</v>
      </c>
      <c r="AL20" s="239"/>
      <c r="AM20" s="128">
        <v>159.87200000000001</v>
      </c>
      <c r="AN20" s="128">
        <v>154.42599999999999</v>
      </c>
      <c r="AO20" s="128">
        <v>209.71899999999999</v>
      </c>
      <c r="AP20" s="128">
        <v>220.154</v>
      </c>
      <c r="AQ20" s="238">
        <f>+AP20</f>
        <v>220.154</v>
      </c>
      <c r="AR20" s="239"/>
      <c r="AS20" s="233">
        <f>172.08+0.045</f>
        <v>172.125</v>
      </c>
      <c r="AT20" s="233">
        <f>157.984+0.045</f>
        <v>158.029</v>
      </c>
      <c r="AU20" s="233">
        <f>148.628+0.045</f>
        <v>148.67299999999997</v>
      </c>
      <c r="AV20" s="128">
        <f>94.271+0.045</f>
        <v>94.316000000000003</v>
      </c>
      <c r="AW20" s="238">
        <f>+AV20</f>
        <v>94.316000000000003</v>
      </c>
      <c r="AX20" s="239"/>
      <c r="AY20" s="536">
        <v>61.253999999999998</v>
      </c>
      <c r="AZ20" s="536">
        <v>43.113</v>
      </c>
      <c r="BA20" s="536">
        <v>54.2</v>
      </c>
      <c r="BB20" s="536">
        <v>59.1</v>
      </c>
      <c r="BC20" s="238">
        <f>BB20</f>
        <v>59.1</v>
      </c>
      <c r="BD20" s="239"/>
      <c r="BE20" s="536">
        <v>86.3</v>
      </c>
      <c r="BF20" s="536">
        <v>95.7</v>
      </c>
      <c r="BG20" s="536">
        <v>95.6</v>
      </c>
      <c r="BH20" s="536">
        <v>64.099999999999994</v>
      </c>
      <c r="BI20" s="238">
        <f>BH20</f>
        <v>64.099999999999994</v>
      </c>
      <c r="BJ20" s="239"/>
      <c r="BK20" s="536">
        <v>153</v>
      </c>
      <c r="BL20" s="536">
        <v>160.30000000000001</v>
      </c>
      <c r="BM20" s="536">
        <v>182.6</v>
      </c>
      <c r="BN20" s="536">
        <v>156.1</v>
      </c>
      <c r="BO20" s="238">
        <f>BN20</f>
        <v>156.1</v>
      </c>
      <c r="BP20" s="239"/>
      <c r="BQ20" s="237">
        <f>BN20-CashFlow!BQ26-CashFlow!BQ33-CashFlow!BQ38</f>
        <v>156.1</v>
      </c>
      <c r="BR20" s="237">
        <f>BQ20-CashFlow!BR26-CashFlow!BR33-CashFlow!BR38</f>
        <v>156.1</v>
      </c>
      <c r="BS20" s="237">
        <f>BR20-CashFlow!BS26-CashFlow!BS33-CashFlow!BS38</f>
        <v>156.1</v>
      </c>
      <c r="BT20" s="237">
        <f>BS20-CashFlow!BT26-CashFlow!BT33-CashFlow!BT38</f>
        <v>156.1</v>
      </c>
      <c r="BU20" s="238">
        <f>BT20</f>
        <v>156.1</v>
      </c>
      <c r="BV20" s="239"/>
      <c r="BW20" s="237">
        <f>BT20-CashFlow!BW26-CashFlow!BW33-CashFlow!BW38</f>
        <v>156.1</v>
      </c>
      <c r="BX20" s="237">
        <f>BW20-CashFlow!BX26-CashFlow!BX33-CashFlow!BX38</f>
        <v>156.1</v>
      </c>
      <c r="BY20" s="237">
        <f>BX20-CashFlow!BY26-CashFlow!BY33-CashFlow!BY38</f>
        <v>156.1</v>
      </c>
      <c r="BZ20" s="237">
        <f>BY20-CashFlow!BZ26-CashFlow!BZ33-CashFlow!BZ38</f>
        <v>156.1</v>
      </c>
      <c r="CA20" s="238">
        <f>BZ20</f>
        <v>156.1</v>
      </c>
      <c r="CB20" s="239"/>
      <c r="CC20" s="237">
        <f>BZ20-CashFlow!CC26-CashFlow!CC33-CashFlow!CC38</f>
        <v>156.1</v>
      </c>
      <c r="CD20" s="237">
        <f>CC20-CashFlow!CD26-CashFlow!CD33-CashFlow!CD38</f>
        <v>156.1</v>
      </c>
      <c r="CE20" s="237">
        <f>CD20-CashFlow!CE26-CashFlow!CE33-CashFlow!CE38</f>
        <v>156.1</v>
      </c>
      <c r="CF20" s="237">
        <f>CE20-CashFlow!CF26-CashFlow!CF33-CashFlow!CF38</f>
        <v>156.1</v>
      </c>
      <c r="CG20" s="238">
        <f>CF20</f>
        <v>156.1</v>
      </c>
      <c r="CI20" s="806"/>
      <c r="CK20"/>
      <c r="CL20"/>
      <c r="CM20"/>
      <c r="CN20"/>
      <c r="CO20"/>
      <c r="CP20"/>
      <c r="CQ20" s="19"/>
    </row>
    <row r="21" spans="1:95" s="24" customFormat="1" ht="5.25" customHeight="1" x14ac:dyDescent="0.2">
      <c r="B21" s="59"/>
      <c r="C21" s="128"/>
      <c r="D21" s="128"/>
      <c r="E21" s="128"/>
      <c r="F21" s="128"/>
      <c r="G21" s="479"/>
      <c r="H21" s="128"/>
      <c r="I21" s="128"/>
      <c r="J21" s="128"/>
      <c r="K21" s="128"/>
      <c r="L21" s="128"/>
      <c r="M21" s="479"/>
      <c r="N21" s="128"/>
      <c r="O21" s="128"/>
      <c r="P21" s="128"/>
      <c r="Q21" s="128"/>
      <c r="R21" s="128"/>
      <c r="S21" s="479"/>
      <c r="T21" s="128"/>
      <c r="U21" s="128"/>
      <c r="V21" s="128"/>
      <c r="W21" s="128"/>
      <c r="X21" s="128"/>
      <c r="Y21" s="479"/>
      <c r="Z21" s="128"/>
      <c r="AA21" s="128"/>
      <c r="AB21" s="128"/>
      <c r="AC21" s="128"/>
      <c r="AD21" s="128"/>
      <c r="AE21" s="238"/>
      <c r="AF21" s="239"/>
      <c r="AG21" s="128"/>
      <c r="AH21" s="128"/>
      <c r="AI21" s="128"/>
      <c r="AJ21" s="128"/>
      <c r="AK21" s="238"/>
      <c r="AL21" s="239"/>
      <c r="AM21" s="128"/>
      <c r="AN21" s="128"/>
      <c r="AO21" s="128"/>
      <c r="AP21" s="128"/>
      <c r="AQ21" s="238"/>
      <c r="AR21" s="239"/>
      <c r="AS21" s="128"/>
      <c r="AT21" s="238"/>
      <c r="AU21" s="238"/>
      <c r="AV21" s="238"/>
      <c r="AW21" s="238"/>
      <c r="AX21" s="239"/>
      <c r="AY21" s="239"/>
      <c r="AZ21" s="239"/>
      <c r="BA21" s="239"/>
      <c r="BB21" s="239"/>
      <c r="BC21" s="238"/>
      <c r="BD21" s="239"/>
      <c r="BE21" s="239"/>
      <c r="BF21" s="239"/>
      <c r="BG21" s="239"/>
      <c r="BH21" s="239"/>
      <c r="BI21" s="238"/>
      <c r="BJ21" s="239"/>
      <c r="BK21" s="239"/>
      <c r="BL21" s="239"/>
      <c r="BM21" s="239"/>
      <c r="BN21" s="239"/>
      <c r="BO21" s="238"/>
      <c r="BP21" s="239"/>
      <c r="BQ21" s="239"/>
      <c r="BR21" s="239"/>
      <c r="BS21" s="239"/>
      <c r="BT21" s="239"/>
      <c r="BU21" s="238"/>
      <c r="BV21" s="239"/>
      <c r="BW21" s="239"/>
      <c r="BX21" s="239"/>
      <c r="BY21" s="239"/>
      <c r="BZ21" s="239"/>
      <c r="CA21" s="238"/>
      <c r="CB21" s="239"/>
      <c r="CC21" s="239"/>
      <c r="CD21" s="239"/>
      <c r="CE21" s="239"/>
      <c r="CF21" s="239"/>
      <c r="CG21" s="238"/>
      <c r="CI21" s="806"/>
      <c r="CK21"/>
      <c r="CL21"/>
      <c r="CM21"/>
      <c r="CN21"/>
      <c r="CO21"/>
      <c r="CP21"/>
      <c r="CQ21" s="19"/>
    </row>
    <row r="22" spans="1:95" s="24" customFormat="1" ht="11.25" customHeight="1" thickBot="1" x14ac:dyDescent="0.25">
      <c r="B22" s="172" t="s">
        <v>75</v>
      </c>
      <c r="C22" s="341">
        <f>C15+SUM(C17:C20)</f>
        <v>2294.7579999999998</v>
      </c>
      <c r="D22" s="341">
        <f>D15+SUM(D17:D20)</f>
        <v>2388.5709999999999</v>
      </c>
      <c r="E22" s="341">
        <f>E15+SUM(E17:E20)</f>
        <v>2614.9169999999995</v>
      </c>
      <c r="F22" s="341">
        <f>F15+SUM(F17:F20)</f>
        <v>2675.569</v>
      </c>
      <c r="G22" s="341">
        <f>G15+SUM(G17:G20)</f>
        <v>2675.569</v>
      </c>
      <c r="H22" s="128"/>
      <c r="I22" s="341">
        <f>I15+SUM(I17:I20)</f>
        <v>2915.0050000000001</v>
      </c>
      <c r="J22" s="341">
        <f>J15+SUM(J17:J20)</f>
        <v>2993.2080000000001</v>
      </c>
      <c r="K22" s="341">
        <f>K15+SUM(K17:K20)</f>
        <v>2661.3110000000001</v>
      </c>
      <c r="L22" s="341">
        <f>L15+SUM(L17:L20)</f>
        <v>2830.4</v>
      </c>
      <c r="M22" s="341">
        <f>M15+SUM(M17:M20)</f>
        <v>2830.4</v>
      </c>
      <c r="N22" s="128"/>
      <c r="O22" s="341">
        <f>O15+SUM(O17:O20)</f>
        <v>2760.7889999999998</v>
      </c>
      <c r="P22" s="341">
        <f>P15+SUM(P17:P20)</f>
        <v>2898.4789999999998</v>
      </c>
      <c r="Q22" s="341">
        <f>Q15+SUM(Q17:Q20)</f>
        <v>3067.1089999999999</v>
      </c>
      <c r="R22" s="341">
        <f>R15+SUM(R17:R20)</f>
        <v>3087.9319999999998</v>
      </c>
      <c r="S22" s="341">
        <f>S15+SUM(S17:S20)</f>
        <v>3087.9319999999998</v>
      </c>
      <c r="T22" s="128"/>
      <c r="U22" s="341">
        <f>U15+SUM(U17:U20)</f>
        <v>2986.7469999999998</v>
      </c>
      <c r="V22" s="341">
        <f>V15+SUM(V17:V20)</f>
        <v>2797.2669999999998</v>
      </c>
      <c r="W22" s="341">
        <f>W15+SUM(W17:W20)</f>
        <v>3195.1559999999999</v>
      </c>
      <c r="X22" s="341">
        <f>X15+SUM(X17:X20)</f>
        <v>3257.951</v>
      </c>
      <c r="Y22" s="341">
        <f>Y15+SUM(Y17:Y20)</f>
        <v>3257.951</v>
      </c>
      <c r="Z22" s="128"/>
      <c r="AA22" s="341">
        <f>AA15+SUM(AA17:AA20)</f>
        <v>3437.049</v>
      </c>
      <c r="AB22" s="341">
        <f>AB15+SUM(AB17:AB20)</f>
        <v>3656.643</v>
      </c>
      <c r="AC22" s="341">
        <f>AC15+SUM(AC17:AC20)</f>
        <v>4833.7110000000002</v>
      </c>
      <c r="AD22" s="341">
        <f>AD15+SUM(AD17:AD20)</f>
        <v>4755.3980000000001</v>
      </c>
      <c r="AE22" s="341">
        <f>AE15+SUM(AE17:AE20)</f>
        <v>4755.3980000000001</v>
      </c>
      <c r="AF22" s="239"/>
      <c r="AG22" s="341">
        <f>AG15+SUM(AG17:AG20)</f>
        <v>5015.0609999999997</v>
      </c>
      <c r="AH22" s="341">
        <f>AH15+SUM(AH17:AH20)</f>
        <v>4870.7559999999994</v>
      </c>
      <c r="AI22" s="341">
        <f>AI15+SUM(AI17:AI20)</f>
        <v>4977.4219999999996</v>
      </c>
      <c r="AJ22" s="341">
        <f>AJ15+SUM(AJ17:AJ20)</f>
        <v>4972.2969999999996</v>
      </c>
      <c r="AK22" s="341">
        <f>AK15+SUM(AK17:AK20)</f>
        <v>4972.2969999999996</v>
      </c>
      <c r="AL22" s="239"/>
      <c r="AM22" s="341">
        <f>AM15+SUM(AM17:AM20)</f>
        <v>4902.1279999999997</v>
      </c>
      <c r="AN22" s="341">
        <f>AN15+SUM(AN17:AN20)</f>
        <v>4874.6819999999998</v>
      </c>
      <c r="AO22" s="341">
        <f>AO15+SUM(AO17:AO20)</f>
        <v>5009.9789999999994</v>
      </c>
      <c r="AP22" s="341">
        <f>AP15+SUM(AP17:AP20)</f>
        <v>5078.0469999999996</v>
      </c>
      <c r="AQ22" s="341">
        <f>AQ15+SUM(AQ17:AQ20)</f>
        <v>5078.0469999999996</v>
      </c>
      <c r="AR22" s="239"/>
      <c r="AS22" s="341">
        <f>AS15+SUM(AS17:AS20)</f>
        <v>5089.4329999999991</v>
      </c>
      <c r="AT22" s="341">
        <f>AT15+SUM(AT17:AT20)</f>
        <v>5072.3729999999996</v>
      </c>
      <c r="AU22" s="341">
        <f>AU15+SUM(AU17:AU20)</f>
        <v>4884.0609999999997</v>
      </c>
      <c r="AV22" s="341">
        <f>AV15+SUM(AV17:AV20)</f>
        <v>4650.2649999999994</v>
      </c>
      <c r="AW22" s="341">
        <f>AW15+SUM(AW17:AW20)</f>
        <v>4650.2649999999994</v>
      </c>
      <c r="AX22" s="239"/>
      <c r="AY22" s="486">
        <f>AY15+SUM(AY17:AY20)</f>
        <v>4384.83</v>
      </c>
      <c r="AZ22" s="486">
        <f>AZ15+SUM(AZ17:AZ20)</f>
        <v>4496.7559999999994</v>
      </c>
      <c r="BA22" s="486">
        <f>BA15+SUM(BA17:BA20)</f>
        <v>4402.1999999999989</v>
      </c>
      <c r="BB22" s="486">
        <f>BB15+SUM(BB17:BB20)</f>
        <v>4402.8999999999996</v>
      </c>
      <c r="BC22" s="486">
        <f>BC15+SUM(BC17:BC20)</f>
        <v>4402.8999999999996</v>
      </c>
      <c r="BD22" s="239"/>
      <c r="BE22" s="486">
        <f>BE15+SUM(BE17:BE20)</f>
        <v>11682.4</v>
      </c>
      <c r="BF22" s="486">
        <f>BF15+SUM(BF17:BF20)</f>
        <v>11451.4</v>
      </c>
      <c r="BG22" s="486">
        <f>BG15+SUM(BG17:BG20)</f>
        <v>11952.400000000001</v>
      </c>
      <c r="BH22" s="486">
        <f>BH15+SUM(BH17:BH20)</f>
        <v>11656.1</v>
      </c>
      <c r="BI22" s="486">
        <f>BI15+SUM(BI17:BI20)</f>
        <v>11656.1</v>
      </c>
      <c r="BJ22" s="239"/>
      <c r="BK22" s="486">
        <f>BK15+SUM(BK17:BK20)</f>
        <v>11594</v>
      </c>
      <c r="BL22" s="486">
        <f>BL15+SUM(BL17:BL20)</f>
        <v>10850</v>
      </c>
      <c r="BM22" s="486">
        <f>BM15+SUM(BM17:BM20)</f>
        <v>11199</v>
      </c>
      <c r="BN22" s="486">
        <f>BN15+SUM(BN17:BN20)</f>
        <v>10374.5</v>
      </c>
      <c r="BO22" s="486">
        <f>BO15+SUM(BO17:BO20)</f>
        <v>10374.5</v>
      </c>
      <c r="BP22" s="239"/>
      <c r="BQ22" s="486">
        <f>BQ15+SUM(BQ17:BQ20)</f>
        <v>10248.628239178212</v>
      </c>
      <c r="BR22" s="486">
        <f>BR15+SUM(BR17:BR20)</f>
        <v>10240.612507200171</v>
      </c>
      <c r="BS22" s="486">
        <f>BS15+SUM(BS17:BS20)</f>
        <v>10192.747346338729</v>
      </c>
      <c r="BT22" s="486">
        <f>BT15+SUM(BT17:BT20)</f>
        <v>10258.229817777466</v>
      </c>
      <c r="BU22" s="486">
        <f>BU15+SUM(BU17:BU20)</f>
        <v>10258.229817777466</v>
      </c>
      <c r="BV22" s="239"/>
      <c r="BW22" s="486">
        <f>BW15+SUM(BW17:BW20)</f>
        <v>10144.298151762179</v>
      </c>
      <c r="BX22" s="486">
        <f>BX15+SUM(BX17:BX20)</f>
        <v>10184.542157633388</v>
      </c>
      <c r="BY22" s="486">
        <f>BY15+SUM(BY17:BY20)</f>
        <v>10154.265539196913</v>
      </c>
      <c r="BZ22" s="486">
        <f>BZ15+SUM(BZ17:BZ20)</f>
        <v>10213.283141550517</v>
      </c>
      <c r="CA22" s="486">
        <f>CA15+SUM(CA17:CA20)</f>
        <v>10213.283141550517</v>
      </c>
      <c r="CB22" s="239"/>
      <c r="CC22" s="486">
        <f>CC15+SUM(CC17:CC20)</f>
        <v>10088.305870568045</v>
      </c>
      <c r="CD22" s="486">
        <f>CD15+SUM(CD17:CD20)</f>
        <v>10145.45887498742</v>
      </c>
      <c r="CE22" s="486">
        <f>CE15+SUM(CE17:CE20)</f>
        <v>10140.696963803864</v>
      </c>
      <c r="CF22" s="486">
        <f>CF15+SUM(CF17:CF20)</f>
        <v>10229.191508181575</v>
      </c>
      <c r="CG22" s="486">
        <f>CG15+SUM(CG17:CG20)</f>
        <v>10229.191508181575</v>
      </c>
      <c r="CI22" s="806"/>
      <c r="CK22"/>
      <c r="CL22"/>
      <c r="CM22"/>
      <c r="CN22"/>
      <c r="CO22"/>
      <c r="CP22"/>
      <c r="CQ22" s="19"/>
    </row>
    <row r="23" spans="1:95" s="24" customFormat="1" ht="5.25" customHeight="1" thickTop="1" x14ac:dyDescent="0.2">
      <c r="B23" s="37"/>
      <c r="C23" s="242"/>
      <c r="D23" s="242"/>
      <c r="E23" s="242"/>
      <c r="F23" s="242"/>
      <c r="G23" s="242"/>
      <c r="H23" s="128"/>
      <c r="I23" s="242"/>
      <c r="J23" s="242"/>
      <c r="K23" s="242"/>
      <c r="L23" s="242"/>
      <c r="M23" s="242"/>
      <c r="N23" s="128"/>
      <c r="O23" s="242"/>
      <c r="P23" s="242"/>
      <c r="Q23" s="242"/>
      <c r="R23" s="242"/>
      <c r="S23" s="242"/>
      <c r="T23" s="128"/>
      <c r="U23" s="242"/>
      <c r="V23" s="242"/>
      <c r="W23" s="242"/>
      <c r="X23" s="242"/>
      <c r="Y23" s="242"/>
      <c r="Z23" s="128"/>
      <c r="AA23" s="242"/>
      <c r="AB23" s="242"/>
      <c r="AC23" s="242"/>
      <c r="AD23" s="242"/>
      <c r="AE23" s="237"/>
      <c r="AF23" s="239"/>
      <c r="AG23" s="242"/>
      <c r="AH23" s="242"/>
      <c r="AI23" s="242"/>
      <c r="AJ23" s="242"/>
      <c r="AK23" s="237"/>
      <c r="AL23" s="239"/>
      <c r="AM23" s="237"/>
      <c r="AN23" s="242"/>
      <c r="AO23" s="242"/>
      <c r="AP23" s="242"/>
      <c r="AQ23" s="237"/>
      <c r="AR23" s="239"/>
      <c r="AS23" s="242"/>
      <c r="AT23" s="237"/>
      <c r="AU23" s="237"/>
      <c r="AV23" s="237"/>
      <c r="AW23" s="237"/>
      <c r="AX23" s="239"/>
      <c r="AY23" s="504"/>
      <c r="AZ23" s="504"/>
      <c r="BA23" s="504"/>
      <c r="BB23" s="504"/>
      <c r="BC23" s="504"/>
      <c r="BD23" s="239"/>
      <c r="BE23" s="504"/>
      <c r="BF23" s="504"/>
      <c r="BG23" s="504"/>
      <c r="BH23" s="504"/>
      <c r="BI23" s="504"/>
      <c r="BJ23" s="239"/>
      <c r="BK23" s="504"/>
      <c r="BL23" s="504"/>
      <c r="BM23" s="504"/>
      <c r="BN23" s="504"/>
      <c r="BO23" s="504"/>
      <c r="BP23" s="239"/>
      <c r="BQ23" s="504"/>
      <c r="BR23" s="504"/>
      <c r="BS23" s="504"/>
      <c r="BT23" s="504"/>
      <c r="BU23" s="504"/>
      <c r="BV23" s="239"/>
      <c r="BW23" s="504"/>
      <c r="BX23" s="504"/>
      <c r="BY23" s="504"/>
      <c r="BZ23" s="504"/>
      <c r="CA23" s="504"/>
      <c r="CB23" s="239"/>
      <c r="CC23" s="504"/>
      <c r="CD23" s="504"/>
      <c r="CE23" s="504"/>
      <c r="CF23" s="504"/>
      <c r="CG23" s="504"/>
      <c r="CI23" s="806"/>
      <c r="CK23"/>
      <c r="CL23"/>
      <c r="CM23"/>
      <c r="CN23"/>
      <c r="CO23"/>
      <c r="CP23"/>
      <c r="CQ23" s="19"/>
    </row>
    <row r="24" spans="1:95" s="24" customFormat="1" ht="11.25" customHeight="1" x14ac:dyDescent="0.2">
      <c r="B24" s="42" t="s">
        <v>263</v>
      </c>
      <c r="C24" s="242"/>
      <c r="D24" s="242"/>
      <c r="E24" s="242"/>
      <c r="F24" s="242"/>
      <c r="G24" s="242"/>
      <c r="H24" s="128"/>
      <c r="I24" s="242"/>
      <c r="J24" s="242"/>
      <c r="K24" s="242"/>
      <c r="L24" s="242"/>
      <c r="M24" s="242"/>
      <c r="N24" s="128"/>
      <c r="O24" s="242"/>
      <c r="P24" s="242"/>
      <c r="Q24" s="242"/>
      <c r="R24" s="242"/>
      <c r="S24" s="242"/>
      <c r="T24" s="128"/>
      <c r="U24" s="242"/>
      <c r="V24" s="242"/>
      <c r="W24" s="242"/>
      <c r="X24" s="242"/>
      <c r="Y24" s="242"/>
      <c r="Z24" s="128"/>
      <c r="AA24" s="242"/>
      <c r="AB24" s="242"/>
      <c r="AC24" s="242"/>
      <c r="AD24" s="242"/>
      <c r="AE24" s="237"/>
      <c r="AF24" s="239"/>
      <c r="AG24" s="242"/>
      <c r="AH24" s="242"/>
      <c r="AI24" s="242"/>
      <c r="AJ24" s="242"/>
      <c r="AK24" s="237"/>
      <c r="AL24" s="239"/>
      <c r="AM24" s="237"/>
      <c r="AN24" s="242"/>
      <c r="AO24" s="242"/>
      <c r="AP24" s="242"/>
      <c r="AQ24" s="237"/>
      <c r="AR24" s="239"/>
      <c r="AS24" s="242"/>
      <c r="AT24" s="237"/>
      <c r="AU24" s="237"/>
      <c r="AV24" s="237"/>
      <c r="AW24" s="237"/>
      <c r="AX24" s="239"/>
      <c r="AY24" s="504"/>
      <c r="AZ24" s="504"/>
      <c r="BA24" s="504"/>
      <c r="BB24" s="504"/>
      <c r="BC24" s="504"/>
      <c r="BD24" s="239"/>
      <c r="BE24" s="504"/>
      <c r="BF24" s="504"/>
      <c r="BG24" s="504"/>
      <c r="BH24" s="504"/>
      <c r="BI24" s="504"/>
      <c r="BJ24" s="239"/>
      <c r="BK24" s="504"/>
      <c r="BL24" s="504"/>
      <c r="BM24" s="504"/>
      <c r="BN24" s="504"/>
      <c r="BO24" s="504"/>
      <c r="BP24" s="239"/>
      <c r="BQ24" s="504"/>
      <c r="BR24" s="504"/>
      <c r="BS24" s="504"/>
      <c r="BT24" s="504"/>
      <c r="BU24" s="504"/>
      <c r="BV24" s="239"/>
      <c r="BW24" s="504"/>
      <c r="BX24" s="504"/>
      <c r="BY24" s="504"/>
      <c r="BZ24" s="504"/>
      <c r="CA24" s="504"/>
      <c r="CB24" s="239"/>
      <c r="CC24" s="504"/>
      <c r="CD24" s="504"/>
      <c r="CE24" s="504"/>
      <c r="CF24" s="504"/>
      <c r="CG24" s="504"/>
      <c r="CI24" s="806"/>
      <c r="CK24"/>
      <c r="CL24"/>
      <c r="CM24"/>
      <c r="CN24"/>
      <c r="CO24"/>
      <c r="CP24"/>
      <c r="CQ24" s="19"/>
    </row>
    <row r="25" spans="1:95" s="24" customFormat="1" ht="11.25" customHeight="1" x14ac:dyDescent="0.2">
      <c r="B25" s="59" t="s">
        <v>264</v>
      </c>
      <c r="C25" s="241"/>
      <c r="D25" s="241"/>
      <c r="E25" s="241"/>
      <c r="F25" s="241"/>
      <c r="G25" s="241"/>
      <c r="H25" s="245"/>
      <c r="I25" s="241"/>
      <c r="J25" s="241"/>
      <c r="K25" s="241"/>
      <c r="L25" s="241"/>
      <c r="M25" s="241"/>
      <c r="N25" s="245"/>
      <c r="O25" s="241"/>
      <c r="P25" s="241"/>
      <c r="Q25" s="241"/>
      <c r="R25" s="241"/>
      <c r="S25" s="241"/>
      <c r="T25" s="245"/>
      <c r="U25" s="241"/>
      <c r="V25" s="241"/>
      <c r="W25" s="241"/>
      <c r="X25" s="241"/>
      <c r="Y25" s="241"/>
      <c r="Z25" s="245"/>
      <c r="AA25" s="241"/>
      <c r="AB25" s="241"/>
      <c r="AC25" s="241"/>
      <c r="AD25" s="241"/>
      <c r="AE25" s="246"/>
      <c r="AF25" s="480"/>
      <c r="AG25" s="241"/>
      <c r="AH25" s="241"/>
      <c r="AI25" s="241"/>
      <c r="AJ25" s="241"/>
      <c r="AK25" s="246"/>
      <c r="AL25" s="480"/>
      <c r="AM25" s="246"/>
      <c r="AN25" s="241"/>
      <c r="AO25" s="241"/>
      <c r="AP25" s="241"/>
      <c r="AQ25" s="246"/>
      <c r="AR25" s="480"/>
      <c r="AS25" s="241"/>
      <c r="AT25" s="246"/>
      <c r="AU25" s="246"/>
      <c r="AV25" s="246"/>
      <c r="AW25" s="246"/>
      <c r="AX25" s="480"/>
      <c r="AY25" s="246"/>
      <c r="AZ25" s="246"/>
      <c r="BA25" s="246"/>
      <c r="BB25" s="246"/>
      <c r="BC25" s="246"/>
      <c r="BD25" s="480"/>
      <c r="BE25" s="246"/>
      <c r="BF25" s="246"/>
      <c r="BG25" s="246"/>
      <c r="BH25" s="246"/>
      <c r="BI25" s="246"/>
      <c r="BJ25" s="480"/>
      <c r="BK25" s="246"/>
      <c r="BL25" s="246"/>
      <c r="BM25" s="246"/>
      <c r="BN25" s="246"/>
      <c r="BO25" s="246"/>
      <c r="BP25" s="480"/>
      <c r="BQ25" s="246"/>
      <c r="BR25" s="246"/>
      <c r="BS25" s="246"/>
      <c r="BT25" s="246"/>
      <c r="BU25" s="246"/>
      <c r="BV25" s="480"/>
      <c r="BW25" s="246"/>
      <c r="BX25" s="246"/>
      <c r="BY25" s="246"/>
      <c r="BZ25" s="246"/>
      <c r="CA25" s="246"/>
      <c r="CB25" s="480"/>
      <c r="CC25" s="246"/>
      <c r="CD25" s="246"/>
      <c r="CE25" s="246"/>
      <c r="CF25" s="246"/>
      <c r="CG25" s="246"/>
      <c r="CI25" s="806"/>
      <c r="CK25"/>
      <c r="CL25"/>
      <c r="CM25"/>
      <c r="CN25"/>
      <c r="CO25"/>
      <c r="CP25"/>
      <c r="CQ25" s="19"/>
    </row>
    <row r="26" spans="1:95" s="24" customFormat="1" ht="11.25" customHeight="1" x14ac:dyDescent="0.2">
      <c r="B26" s="93" t="s">
        <v>136</v>
      </c>
      <c r="C26" s="231">
        <v>85.031000000000006</v>
      </c>
      <c r="D26" s="231">
        <v>87.031000000000006</v>
      </c>
      <c r="E26" s="231">
        <v>87.153999999999996</v>
      </c>
      <c r="F26" s="231">
        <v>82.320999999999998</v>
      </c>
      <c r="G26" s="234">
        <f>F26</f>
        <v>82.320999999999998</v>
      </c>
      <c r="H26" s="243"/>
      <c r="I26" s="233">
        <v>93.641999999999996</v>
      </c>
      <c r="J26" s="233">
        <v>94.412999999999997</v>
      </c>
      <c r="K26" s="233">
        <v>90.781999999999996</v>
      </c>
      <c r="L26" s="233">
        <v>104.32899999999999</v>
      </c>
      <c r="M26" s="234">
        <f>L26</f>
        <v>104.32899999999999</v>
      </c>
      <c r="N26" s="243"/>
      <c r="O26" s="233">
        <v>98.313000000000002</v>
      </c>
      <c r="P26" s="233">
        <v>93.42</v>
      </c>
      <c r="Q26" s="233">
        <v>98.125</v>
      </c>
      <c r="R26" s="233">
        <v>100.84699999999999</v>
      </c>
      <c r="S26" s="234">
        <f>R26</f>
        <v>100.84699999999999</v>
      </c>
      <c r="T26" s="243"/>
      <c r="U26" s="233">
        <v>108.11799999999999</v>
      </c>
      <c r="V26" s="233">
        <v>106.864</v>
      </c>
      <c r="W26" s="233">
        <v>100.663</v>
      </c>
      <c r="X26" s="233">
        <v>114.479</v>
      </c>
      <c r="Y26" s="234">
        <f>X26</f>
        <v>114.479</v>
      </c>
      <c r="Z26" s="243"/>
      <c r="AA26" s="233">
        <v>111.943</v>
      </c>
      <c r="AB26" s="240">
        <v>113.87</v>
      </c>
      <c r="AC26" s="240">
        <v>133.19999999999999</v>
      </c>
      <c r="AD26" s="240">
        <v>149.11699999999999</v>
      </c>
      <c r="AE26" s="237">
        <f>AD26</f>
        <v>149.11699999999999</v>
      </c>
      <c r="AF26" s="244"/>
      <c r="AG26" s="233">
        <v>163.41900000000001</v>
      </c>
      <c r="AH26" s="240">
        <v>145.85</v>
      </c>
      <c r="AI26" s="240">
        <v>137.66900000000001</v>
      </c>
      <c r="AJ26" s="240">
        <v>165.29</v>
      </c>
      <c r="AK26" s="237">
        <f>AJ26</f>
        <v>165.29</v>
      </c>
      <c r="AL26" s="244"/>
      <c r="AM26" s="240">
        <v>148.715</v>
      </c>
      <c r="AN26" s="240">
        <v>147.45500000000001</v>
      </c>
      <c r="AO26" s="240">
        <v>136.94499999999999</v>
      </c>
      <c r="AP26" s="240">
        <v>132.78899999999999</v>
      </c>
      <c r="AQ26" s="237">
        <f>AP26</f>
        <v>132.78899999999999</v>
      </c>
      <c r="AR26" s="244"/>
      <c r="AS26" s="240">
        <v>141.59100000000001</v>
      </c>
      <c r="AT26" s="240">
        <v>143.56200000000001</v>
      </c>
      <c r="AU26" s="240">
        <v>128.233</v>
      </c>
      <c r="AV26" s="240">
        <v>132.61099999999999</v>
      </c>
      <c r="AW26" s="237">
        <f>AV26</f>
        <v>132.61099999999999</v>
      </c>
      <c r="AX26" s="57"/>
      <c r="AY26" s="536">
        <v>134.09</v>
      </c>
      <c r="AZ26" s="536">
        <v>132.96600000000001</v>
      </c>
      <c r="BA26" s="536">
        <v>137.5</v>
      </c>
      <c r="BB26" s="536">
        <v>133.6</v>
      </c>
      <c r="BC26" s="649">
        <f>BB26</f>
        <v>133.6</v>
      </c>
      <c r="BD26" s="57"/>
      <c r="BE26" s="536">
        <v>287.39999999999998</v>
      </c>
      <c r="BF26" s="536">
        <v>227.1</v>
      </c>
      <c r="BG26" s="536">
        <v>224</v>
      </c>
      <c r="BH26" s="536">
        <v>223</v>
      </c>
      <c r="BI26" s="649">
        <f>BH26</f>
        <v>223</v>
      </c>
      <c r="BJ26" s="57"/>
      <c r="BK26" s="536">
        <v>258.39999999999998</v>
      </c>
      <c r="BL26" s="536">
        <v>245.6</v>
      </c>
      <c r="BM26" s="536">
        <v>249</v>
      </c>
      <c r="BN26" s="536">
        <v>284.39999999999998</v>
      </c>
      <c r="BO26" s="649">
        <f>BN26</f>
        <v>284.39999999999998</v>
      </c>
      <c r="BP26" s="57"/>
      <c r="BQ26" s="649">
        <f>BQ81*('P&amp;L'!BQ10/'P&amp;L'!BQ7)</f>
        <v>282.50358361177445</v>
      </c>
      <c r="BR26" s="649">
        <f>BR81*('P&amp;L'!BR10/'P&amp;L'!BR7)</f>
        <v>272.54060524573163</v>
      </c>
      <c r="BS26" s="649">
        <f>BS81*('P&amp;L'!BS10/'P&amp;L'!BS7)</f>
        <v>270.68602528492744</v>
      </c>
      <c r="BT26" s="649">
        <f>BT81*('P&amp;L'!BT10/'P&amp;L'!BT7)</f>
        <v>283.93121408832724</v>
      </c>
      <c r="BU26" s="649">
        <f>BT26</f>
        <v>283.93121408832724</v>
      </c>
      <c r="BV26" s="57"/>
      <c r="BW26" s="649">
        <f>BW81*('P&amp;L'!BW10/'P&amp;L'!BW7)</f>
        <v>292.34170506941774</v>
      </c>
      <c r="BX26" s="649">
        <f>BX81*('P&amp;L'!BX10/'P&amp;L'!BX7)</f>
        <v>285.60984201832434</v>
      </c>
      <c r="BY26" s="649">
        <f>BY81*('P&amp;L'!BY10/'P&amp;L'!BY7)</f>
        <v>282.50368290691807</v>
      </c>
      <c r="BZ26" s="649">
        <f>BZ81*('P&amp;L'!BZ10/'P&amp;L'!BZ7)</f>
        <v>294.2009895540005</v>
      </c>
      <c r="CA26" s="649">
        <f>BZ26</f>
        <v>294.2009895540005</v>
      </c>
      <c r="CB26" s="57"/>
      <c r="CC26" s="649">
        <f>CC81*('P&amp;L'!CC10/'P&amp;L'!CC7)</f>
        <v>299.32259919378055</v>
      </c>
      <c r="CD26" s="649">
        <f>CD81*('P&amp;L'!CD10/'P&amp;L'!CD7)</f>
        <v>293.08226387164058</v>
      </c>
      <c r="CE26" s="649">
        <f>CE81*('P&amp;L'!CE10/'P&amp;L'!CE7)</f>
        <v>290.74975229787196</v>
      </c>
      <c r="CF26" s="649">
        <f>CF81*('P&amp;L'!CF10/'P&amp;L'!CF7)</f>
        <v>304.98131145564065</v>
      </c>
      <c r="CG26" s="649">
        <f>CF26</f>
        <v>304.98131145564065</v>
      </c>
      <c r="CI26" s="806"/>
      <c r="CK26"/>
      <c r="CL26"/>
      <c r="CM26"/>
      <c r="CN26"/>
      <c r="CO26"/>
      <c r="CP26"/>
      <c r="CQ26" s="19"/>
    </row>
    <row r="27" spans="1:95" s="24" customFormat="1" ht="11.25" customHeight="1" x14ac:dyDescent="0.2">
      <c r="B27" s="173" t="s">
        <v>255</v>
      </c>
      <c r="C27" s="233">
        <v>152.505</v>
      </c>
      <c r="D27" s="233">
        <v>171.54300000000001</v>
      </c>
      <c r="E27" s="233">
        <v>193.83699999999999</v>
      </c>
      <c r="F27" s="233">
        <v>189.405</v>
      </c>
      <c r="G27" s="234">
        <f>F27</f>
        <v>189.405</v>
      </c>
      <c r="H27" s="128"/>
      <c r="I27" s="233">
        <v>167.655</v>
      </c>
      <c r="J27" s="233">
        <v>195.04300000000001</v>
      </c>
      <c r="K27" s="233">
        <v>213.11199999999999</v>
      </c>
      <c r="L27" s="233">
        <v>193.66</v>
      </c>
      <c r="M27" s="234">
        <f>L27</f>
        <v>193.66</v>
      </c>
      <c r="N27" s="128"/>
      <c r="O27" s="233">
        <v>188.65799999999999</v>
      </c>
      <c r="P27" s="233">
        <v>207.43</v>
      </c>
      <c r="Q27" s="233">
        <v>230.26499999999999</v>
      </c>
      <c r="R27" s="233">
        <v>249.16900000000001</v>
      </c>
      <c r="S27" s="234">
        <f>R27</f>
        <v>249.16900000000001</v>
      </c>
      <c r="T27" s="128"/>
      <c r="U27" s="233">
        <v>196.89</v>
      </c>
      <c r="V27" s="233">
        <v>192.203</v>
      </c>
      <c r="W27" s="233">
        <v>224.624</v>
      </c>
      <c r="X27" s="233">
        <v>224.745</v>
      </c>
      <c r="Y27" s="234">
        <f>X27</f>
        <v>224.745</v>
      </c>
      <c r="Z27" s="128"/>
      <c r="AA27" s="233">
        <v>214.97200000000001</v>
      </c>
      <c r="AB27" s="233">
        <v>283.61599999999999</v>
      </c>
      <c r="AC27" s="233">
        <v>323.14100000000002</v>
      </c>
      <c r="AD27" s="233">
        <v>289.20100000000002</v>
      </c>
      <c r="AE27" s="237">
        <f>AD27</f>
        <v>289.20100000000002</v>
      </c>
      <c r="AF27" s="239"/>
      <c r="AG27" s="233">
        <v>323.84500000000003</v>
      </c>
      <c r="AH27" s="233">
        <v>347.90600000000001</v>
      </c>
      <c r="AI27" s="233">
        <v>373.005</v>
      </c>
      <c r="AJ27" s="233">
        <v>424.33600000000001</v>
      </c>
      <c r="AK27" s="237">
        <f>AJ27</f>
        <v>424.33600000000001</v>
      </c>
      <c r="AL27" s="239"/>
      <c r="AM27" s="233">
        <v>347.39699999999999</v>
      </c>
      <c r="AN27" s="233">
        <v>308.14800000000002</v>
      </c>
      <c r="AO27" s="233">
        <v>335.745</v>
      </c>
      <c r="AP27" s="233">
        <v>339.30799999999999</v>
      </c>
      <c r="AQ27" s="237">
        <f>AP27</f>
        <v>339.30799999999999</v>
      </c>
      <c r="AR27" s="239"/>
      <c r="AS27" s="233">
        <v>398.88099999999997</v>
      </c>
      <c r="AT27" s="233">
        <v>412.84899999999999</v>
      </c>
      <c r="AU27" s="233">
        <v>443.51600000000002</v>
      </c>
      <c r="AV27" s="233">
        <v>379.202</v>
      </c>
      <c r="AW27" s="237">
        <f>AV27</f>
        <v>379.202</v>
      </c>
      <c r="AX27" s="239"/>
      <c r="AY27" s="536">
        <v>240.04</v>
      </c>
      <c r="AZ27" s="536">
        <v>296.27999999999997</v>
      </c>
      <c r="BA27" s="536">
        <v>309.10000000000002</v>
      </c>
      <c r="BB27" s="536">
        <v>310.10000000000002</v>
      </c>
      <c r="BC27" s="237">
        <f>BB27</f>
        <v>310.10000000000002</v>
      </c>
      <c r="BD27" s="239"/>
      <c r="BE27" s="536">
        <v>500.2</v>
      </c>
      <c r="BF27" s="536">
        <v>466.1</v>
      </c>
      <c r="BG27" s="536">
        <v>482.8</v>
      </c>
      <c r="BH27" s="536">
        <v>462.7</v>
      </c>
      <c r="BI27" s="237">
        <f>BH27</f>
        <v>462.7</v>
      </c>
      <c r="BJ27" s="239"/>
      <c r="BK27" s="536">
        <v>424.3</v>
      </c>
      <c r="BL27" s="536">
        <v>455.1</v>
      </c>
      <c r="BM27" s="536">
        <v>538.29999999999995</v>
      </c>
      <c r="BN27" s="536">
        <v>585.79999999999995</v>
      </c>
      <c r="BO27" s="237">
        <f>BN27</f>
        <v>585.79999999999995</v>
      </c>
      <c r="BP27" s="239"/>
      <c r="BQ27" s="237">
        <f>(BQ93*4)*('P&amp;L'!BQ13+'P&amp;L'!BQ14)</f>
        <v>531.48894653136529</v>
      </c>
      <c r="BR27" s="237">
        <f>(BR93*4)*('P&amp;L'!BR13+'P&amp;L'!BR14)</f>
        <v>560.79736867896668</v>
      </c>
      <c r="BS27" s="237">
        <f>(BS93*4)*('P&amp;L'!BS13+'P&amp;L'!BS14)</f>
        <v>537.40502433948336</v>
      </c>
      <c r="BT27" s="237">
        <f>(BT93*4)*('P&amp;L'!BT13+'P&amp;L'!BT14)</f>
        <v>556.40443471586696</v>
      </c>
      <c r="BU27" s="237">
        <f>BT27</f>
        <v>556.40443471586696</v>
      </c>
      <c r="BV27" s="239"/>
      <c r="BW27" s="237">
        <f>(BW93*4)*('P&amp;L'!BW13+'P&amp;L'!BW14)</f>
        <v>470.47890751740215</v>
      </c>
      <c r="BX27" s="237">
        <f>(BX93*4)*('P&amp;L'!BX13+'P&amp;L'!BX14)</f>
        <v>533.8378011710347</v>
      </c>
      <c r="BY27" s="237">
        <f>(BY93*4)*('P&amp;L'!BY13+'P&amp;L'!BY14)</f>
        <v>540.55621588867291</v>
      </c>
      <c r="BZ27" s="237">
        <f>(BZ93*4)*('P&amp;L'!BZ13+'P&amp;L'!BZ14)</f>
        <v>576.43907123105532</v>
      </c>
      <c r="CA27" s="237">
        <f>BZ27</f>
        <v>576.43907123105532</v>
      </c>
      <c r="CB27" s="239"/>
      <c r="CC27" s="237">
        <f>(CC93*4)*('P&amp;L'!CC13+'P&amp;L'!CC14)</f>
        <v>463.55707746588649</v>
      </c>
      <c r="CD27" s="237">
        <f>(CD93*4)*('P&amp;L'!CD13+'P&amp;L'!CD14)</f>
        <v>521.15122490388592</v>
      </c>
      <c r="CE27" s="237">
        <f>(CE93*4)*('P&amp;L'!CE13+'P&amp;L'!CE14)</f>
        <v>529.37824190901711</v>
      </c>
      <c r="CF27" s="237">
        <f>(CF93*4)*('P&amp;L'!CF13+'P&amp;L'!CF14)</f>
        <v>569.16650454603416</v>
      </c>
      <c r="CG27" s="237">
        <f>CF27</f>
        <v>569.16650454603416</v>
      </c>
      <c r="CI27" s="806"/>
      <c r="CK27"/>
      <c r="CL27"/>
      <c r="CM27"/>
      <c r="CN27"/>
      <c r="CO27"/>
      <c r="CP27"/>
      <c r="CQ27" s="19"/>
    </row>
    <row r="28" spans="1:95" s="24" customFormat="1" ht="11.25" customHeight="1" x14ac:dyDescent="0.2">
      <c r="B28" s="173" t="s">
        <v>197</v>
      </c>
      <c r="C28" s="233">
        <v>17.684999999999999</v>
      </c>
      <c r="D28" s="233">
        <v>27.396999999999998</v>
      </c>
      <c r="E28" s="233">
        <v>34.406999999999996</v>
      </c>
      <c r="F28" s="233">
        <v>39.441000000000003</v>
      </c>
      <c r="G28" s="234">
        <f>F28</f>
        <v>39.441000000000003</v>
      </c>
      <c r="H28" s="128"/>
      <c r="I28" s="233">
        <v>29.92</v>
      </c>
      <c r="J28" s="233">
        <v>31.251000000000001</v>
      </c>
      <c r="K28" s="233">
        <v>31.324999999999999</v>
      </c>
      <c r="L28" s="233">
        <v>36.177999999999997</v>
      </c>
      <c r="M28" s="234">
        <f>L28</f>
        <v>36.177999999999997</v>
      </c>
      <c r="N28" s="128"/>
      <c r="O28" s="233">
        <v>31.119</v>
      </c>
      <c r="P28" s="233">
        <v>15.737</v>
      </c>
      <c r="Q28" s="233">
        <v>34.896000000000001</v>
      </c>
      <c r="R28" s="233">
        <v>12.366</v>
      </c>
      <c r="S28" s="234">
        <f>R28</f>
        <v>12.366</v>
      </c>
      <c r="T28" s="128"/>
      <c r="U28" s="233">
        <v>3.4809999999999999</v>
      </c>
      <c r="V28" s="233">
        <v>11.38</v>
      </c>
      <c r="W28" s="233">
        <v>19.335000000000001</v>
      </c>
      <c r="X28" s="233">
        <v>13.113</v>
      </c>
      <c r="Y28" s="234">
        <f>X28</f>
        <v>13.113</v>
      </c>
      <c r="Z28" s="128"/>
      <c r="AA28" s="233">
        <v>23.643000000000001</v>
      </c>
      <c r="AB28" s="233">
        <v>24.44</v>
      </c>
      <c r="AC28" s="233">
        <v>10.775</v>
      </c>
      <c r="AD28" s="233">
        <v>9.0540000000000003</v>
      </c>
      <c r="AE28" s="237">
        <f>AD28</f>
        <v>9.0540000000000003</v>
      </c>
      <c r="AF28" s="238"/>
      <c r="AG28" s="233">
        <v>19.181999999999999</v>
      </c>
      <c r="AH28" s="233">
        <v>12.646000000000001</v>
      </c>
      <c r="AI28" s="233">
        <v>18.206</v>
      </c>
      <c r="AJ28" s="233">
        <v>39.191000000000003</v>
      </c>
      <c r="AK28" s="237">
        <f>AJ28</f>
        <v>39.191000000000003</v>
      </c>
      <c r="AL28" s="238"/>
      <c r="AM28" s="233">
        <v>14.615</v>
      </c>
      <c r="AN28" s="233">
        <v>17.946999999999999</v>
      </c>
      <c r="AO28" s="233">
        <v>33.923000000000002</v>
      </c>
      <c r="AP28" s="233">
        <v>14.446</v>
      </c>
      <c r="AQ28" s="237">
        <f>AP28</f>
        <v>14.446</v>
      </c>
      <c r="AR28" s="238"/>
      <c r="AS28" s="233">
        <v>23.829000000000001</v>
      </c>
      <c r="AT28" s="233">
        <v>38.603999999999999</v>
      </c>
      <c r="AU28" s="233">
        <v>47.567</v>
      </c>
      <c r="AV28" s="233">
        <v>28.948</v>
      </c>
      <c r="AW28" s="237">
        <f>AV28</f>
        <v>28.948</v>
      </c>
      <c r="AX28" s="238"/>
      <c r="AY28" s="536">
        <v>40.072000000000003</v>
      </c>
      <c r="AZ28" s="536">
        <v>64.022999999999996</v>
      </c>
      <c r="BA28" s="536">
        <v>33.6</v>
      </c>
      <c r="BB28" s="536">
        <v>20.2</v>
      </c>
      <c r="BC28" s="237">
        <f>BB28</f>
        <v>20.2</v>
      </c>
      <c r="BD28" s="238"/>
      <c r="BE28" s="536">
        <v>55.7</v>
      </c>
      <c r="BF28" s="536">
        <v>19.5</v>
      </c>
      <c r="BG28" s="536">
        <v>47</v>
      </c>
      <c r="BH28" s="536">
        <v>64.2</v>
      </c>
      <c r="BI28" s="237">
        <f>BH28</f>
        <v>64.2</v>
      </c>
      <c r="BJ28" s="238"/>
      <c r="BK28" s="536">
        <v>42.1</v>
      </c>
      <c r="BL28" s="536">
        <v>31.4</v>
      </c>
      <c r="BM28" s="536">
        <v>39.700000000000003</v>
      </c>
      <c r="BN28" s="536">
        <v>54.2</v>
      </c>
      <c r="BO28" s="237">
        <f>BN28</f>
        <v>54.2</v>
      </c>
      <c r="BP28" s="238"/>
      <c r="BQ28" s="1215">
        <f>+BN28</f>
        <v>54.2</v>
      </c>
      <c r="BR28" s="1215">
        <f>BQ28</f>
        <v>54.2</v>
      </c>
      <c r="BS28" s="1215">
        <f>BR28</f>
        <v>54.2</v>
      </c>
      <c r="BT28" s="1215">
        <f>BS28</f>
        <v>54.2</v>
      </c>
      <c r="BU28" s="237">
        <f>BT28</f>
        <v>54.2</v>
      </c>
      <c r="BV28" s="238"/>
      <c r="BW28" s="1215">
        <f>+BT28</f>
        <v>54.2</v>
      </c>
      <c r="BX28" s="1215">
        <f>BW28</f>
        <v>54.2</v>
      </c>
      <c r="BY28" s="1215">
        <f>BX28</f>
        <v>54.2</v>
      </c>
      <c r="BZ28" s="1215">
        <f>BY28</f>
        <v>54.2</v>
      </c>
      <c r="CA28" s="237">
        <f>BZ28</f>
        <v>54.2</v>
      </c>
      <c r="CB28" s="238"/>
      <c r="CC28" s="1215">
        <f>+BZ28</f>
        <v>54.2</v>
      </c>
      <c r="CD28" s="1215">
        <f>CC28</f>
        <v>54.2</v>
      </c>
      <c r="CE28" s="1215">
        <f>CD28</f>
        <v>54.2</v>
      </c>
      <c r="CF28" s="1215">
        <f>CE28</f>
        <v>54.2</v>
      </c>
      <c r="CG28" s="237">
        <f>CF28</f>
        <v>54.2</v>
      </c>
      <c r="CI28" s="806"/>
      <c r="CK28"/>
      <c r="CL28"/>
      <c r="CM28"/>
      <c r="CN28"/>
      <c r="CO28"/>
      <c r="CP28"/>
      <c r="CQ28" s="19"/>
    </row>
    <row r="29" spans="1:95" s="24" customFormat="1" ht="11.25" customHeight="1" x14ac:dyDescent="0.2">
      <c r="B29" s="173" t="s">
        <v>29</v>
      </c>
      <c r="C29" s="233">
        <v>9.7590000000000003</v>
      </c>
      <c r="D29" s="233">
        <v>5.1040000000000001</v>
      </c>
      <c r="E29" s="233">
        <v>7.02</v>
      </c>
      <c r="F29" s="233">
        <v>1.244</v>
      </c>
      <c r="G29" s="234">
        <f>F29</f>
        <v>1.244</v>
      </c>
      <c r="H29" s="128"/>
      <c r="I29" s="233">
        <v>5.8230000000000004</v>
      </c>
      <c r="J29" s="233">
        <v>4.8540000000000001</v>
      </c>
      <c r="K29" s="233">
        <v>2.8279999999999998</v>
      </c>
      <c r="L29" s="233">
        <v>25.795000000000002</v>
      </c>
      <c r="M29" s="234">
        <f>L29</f>
        <v>25.795000000000002</v>
      </c>
      <c r="N29" s="128"/>
      <c r="O29" s="233">
        <v>25.617000000000001</v>
      </c>
      <c r="P29" s="233">
        <v>273.90600000000001</v>
      </c>
      <c r="Q29" s="233">
        <v>240.36600000000001</v>
      </c>
      <c r="R29" s="233">
        <v>82.174000000000007</v>
      </c>
      <c r="S29" s="234">
        <f>R29</f>
        <v>82.174000000000007</v>
      </c>
      <c r="T29" s="128"/>
      <c r="U29" s="233">
        <v>18.946000000000002</v>
      </c>
      <c r="V29" s="233">
        <v>11.927</v>
      </c>
      <c r="W29" s="233">
        <v>7.29</v>
      </c>
      <c r="X29" s="233">
        <v>7.7539999999999996</v>
      </c>
      <c r="Y29" s="234">
        <f>X29</f>
        <v>7.7539999999999996</v>
      </c>
      <c r="Z29" s="128"/>
      <c r="AA29" s="233">
        <v>11.452999999999999</v>
      </c>
      <c r="AB29" s="233">
        <v>8.5</v>
      </c>
      <c r="AC29" s="233">
        <v>45.573</v>
      </c>
      <c r="AD29" s="233">
        <v>276.70100000000002</v>
      </c>
      <c r="AE29" s="237">
        <f>AD29</f>
        <v>276.70100000000002</v>
      </c>
      <c r="AF29" s="239"/>
      <c r="AG29" s="233">
        <v>288.03699999999998</v>
      </c>
      <c r="AH29" s="233">
        <v>241.80099999999999</v>
      </c>
      <c r="AI29" s="233">
        <v>411.84</v>
      </c>
      <c r="AJ29" s="233">
        <v>298.96300000000002</v>
      </c>
      <c r="AK29" s="237">
        <f>AJ29</f>
        <v>298.96300000000002</v>
      </c>
      <c r="AL29" s="239"/>
      <c r="AM29" s="233">
        <v>315.43799999999999</v>
      </c>
      <c r="AN29" s="233">
        <v>417.065</v>
      </c>
      <c r="AO29" s="233">
        <v>270.94799999999998</v>
      </c>
      <c r="AP29" s="233">
        <v>309.86200000000002</v>
      </c>
      <c r="AQ29" s="237">
        <f>AP29</f>
        <v>309.86200000000002</v>
      </c>
      <c r="AR29" s="239"/>
      <c r="AS29" s="233">
        <v>403.14499999999998</v>
      </c>
      <c r="AT29" s="233">
        <v>301.29399999999998</v>
      </c>
      <c r="AU29" s="233">
        <v>115.253</v>
      </c>
      <c r="AV29" s="233">
        <v>112.831</v>
      </c>
      <c r="AW29" s="237">
        <f>AV29</f>
        <v>112.831</v>
      </c>
      <c r="AX29" s="239"/>
      <c r="AY29" s="536">
        <v>247.631</v>
      </c>
      <c r="AZ29" s="536">
        <v>119.70399999999999</v>
      </c>
      <c r="BA29" s="536">
        <v>453.2</v>
      </c>
      <c r="BB29" s="536">
        <v>12.1</v>
      </c>
      <c r="BC29" s="237">
        <f>BB29</f>
        <v>12.1</v>
      </c>
      <c r="BD29" s="239"/>
      <c r="BE29" s="536">
        <v>10.9</v>
      </c>
      <c r="BF29" s="536">
        <v>9.8000000000000007</v>
      </c>
      <c r="BG29" s="536">
        <v>16.399999999999999</v>
      </c>
      <c r="BH29" s="536">
        <v>21.1</v>
      </c>
      <c r="BI29" s="237">
        <f>BH29</f>
        <v>21.1</v>
      </c>
      <c r="BJ29" s="238"/>
      <c r="BK29" s="536">
        <v>22.7</v>
      </c>
      <c r="BL29" s="536">
        <v>21.6</v>
      </c>
      <c r="BM29" s="536">
        <v>21.4</v>
      </c>
      <c r="BN29" s="536">
        <v>30.1</v>
      </c>
      <c r="BO29" s="237">
        <f>BN29</f>
        <v>30.1</v>
      </c>
      <c r="BP29" s="238"/>
      <c r="BQ29" s="1215">
        <f>Debt!BQ34</f>
        <v>30.1</v>
      </c>
      <c r="BR29" s="1215">
        <f>Debt!BR34</f>
        <v>30.1</v>
      </c>
      <c r="BS29" s="1215">
        <f>Debt!BS34</f>
        <v>30.1</v>
      </c>
      <c r="BT29" s="1215">
        <f>Debt!BT34</f>
        <v>30.1</v>
      </c>
      <c r="BU29" s="237">
        <f>BT29</f>
        <v>30.1</v>
      </c>
      <c r="BV29" s="238"/>
      <c r="BW29" s="1215">
        <f>Debt!BW34</f>
        <v>30.1</v>
      </c>
      <c r="BX29" s="1215">
        <f>Debt!BX34</f>
        <v>30.1</v>
      </c>
      <c r="BY29" s="1215">
        <f>Debt!BY34</f>
        <v>30.1</v>
      </c>
      <c r="BZ29" s="1215">
        <f>Debt!BZ34</f>
        <v>30.1</v>
      </c>
      <c r="CA29" s="237">
        <f>BZ29</f>
        <v>30.1</v>
      </c>
      <c r="CB29" s="238"/>
      <c r="CC29" s="1215">
        <f>Debt!CC34</f>
        <v>30.1</v>
      </c>
      <c r="CD29" s="1215">
        <f>Debt!CD34</f>
        <v>30.1</v>
      </c>
      <c r="CE29" s="1215">
        <f>Debt!CE34</f>
        <v>30.1</v>
      </c>
      <c r="CF29" s="1215">
        <f>Debt!CF34</f>
        <v>30.1</v>
      </c>
      <c r="CG29" s="237">
        <f>CF29</f>
        <v>30.1</v>
      </c>
      <c r="CI29" s="806"/>
      <c r="CK29"/>
      <c r="CL29"/>
      <c r="CM29"/>
      <c r="CN29"/>
      <c r="CO29"/>
      <c r="CP29"/>
      <c r="CQ29" s="19"/>
    </row>
    <row r="30" spans="1:95" s="24" customFormat="1" ht="5.25" customHeight="1" x14ac:dyDescent="0.2">
      <c r="B30" s="173"/>
      <c r="C30" s="233"/>
      <c r="D30" s="233"/>
      <c r="E30" s="233"/>
      <c r="F30" s="233"/>
      <c r="G30" s="234"/>
      <c r="H30" s="128"/>
      <c r="I30" s="233"/>
      <c r="J30" s="233"/>
      <c r="K30" s="233"/>
      <c r="L30" s="233"/>
      <c r="M30" s="234"/>
      <c r="N30" s="128"/>
      <c r="O30" s="233"/>
      <c r="P30" s="233"/>
      <c r="Q30" s="233"/>
      <c r="R30" s="233"/>
      <c r="S30" s="234"/>
      <c r="T30" s="128"/>
      <c r="U30" s="233"/>
      <c r="V30" s="233"/>
      <c r="W30" s="233"/>
      <c r="X30" s="233"/>
      <c r="Y30" s="234"/>
      <c r="Z30" s="128"/>
      <c r="AA30" s="233"/>
      <c r="AB30" s="234"/>
      <c r="AC30" s="234"/>
      <c r="AD30" s="234"/>
      <c r="AE30" s="237"/>
      <c r="AF30" s="239"/>
      <c r="AG30" s="233"/>
      <c r="AH30" s="234"/>
      <c r="AI30" s="234"/>
      <c r="AJ30" s="234"/>
      <c r="AK30" s="237"/>
      <c r="AL30" s="239"/>
      <c r="AM30" s="234"/>
      <c r="AN30" s="234"/>
      <c r="AO30" s="234"/>
      <c r="AP30" s="234"/>
      <c r="AQ30" s="237"/>
      <c r="AR30" s="239"/>
      <c r="AS30" s="234"/>
      <c r="AT30" s="234"/>
      <c r="AU30" s="237"/>
      <c r="AV30" s="234"/>
      <c r="AW30" s="237"/>
      <c r="AX30" s="239"/>
      <c r="AY30" s="240"/>
      <c r="AZ30" s="240"/>
      <c r="BA30" s="240"/>
      <c r="BB30" s="240"/>
      <c r="BC30" s="237"/>
      <c r="BD30" s="239"/>
      <c r="BE30" s="240"/>
      <c r="BF30" s="240"/>
      <c r="BG30" s="240"/>
      <c r="BH30" s="240"/>
      <c r="BI30" s="237"/>
      <c r="BJ30" s="239"/>
      <c r="BK30" s="240"/>
      <c r="BL30" s="240"/>
      <c r="BM30" s="240"/>
      <c r="BN30" s="240"/>
      <c r="BO30" s="237"/>
      <c r="BP30" s="239"/>
      <c r="BQ30" s="240"/>
      <c r="BR30" s="240"/>
      <c r="BS30" s="240"/>
      <c r="BT30" s="240"/>
      <c r="BU30" s="237"/>
      <c r="BV30" s="239"/>
      <c r="BW30" s="240"/>
      <c r="BX30" s="240"/>
      <c r="BY30" s="240"/>
      <c r="BZ30" s="240"/>
      <c r="CA30" s="237"/>
      <c r="CB30" s="239"/>
      <c r="CC30" s="240"/>
      <c r="CD30" s="240"/>
      <c r="CE30" s="240"/>
      <c r="CF30" s="240"/>
      <c r="CG30" s="237"/>
      <c r="CI30" s="806"/>
      <c r="CK30"/>
      <c r="CL30"/>
      <c r="CM30"/>
      <c r="CN30"/>
      <c r="CO30"/>
      <c r="CP30"/>
      <c r="CQ30" s="19"/>
    </row>
    <row r="31" spans="1:95" s="24" customFormat="1" ht="11.25" customHeight="1" x14ac:dyDescent="0.2">
      <c r="B31" s="172" t="s">
        <v>76</v>
      </c>
      <c r="C31" s="241">
        <f>SUM(C26:C29)</f>
        <v>264.98</v>
      </c>
      <c r="D31" s="241">
        <f>SUM(D26:D29)</f>
        <v>291.07499999999999</v>
      </c>
      <c r="E31" s="241">
        <f>SUM(E26:E29)</f>
        <v>322.41799999999995</v>
      </c>
      <c r="F31" s="241">
        <f>SUM(F26:F29)</f>
        <v>312.41100000000006</v>
      </c>
      <c r="G31" s="241">
        <f>SUM(G26:G29)</f>
        <v>312.41100000000006</v>
      </c>
      <c r="H31" s="128"/>
      <c r="I31" s="241">
        <f>SUM(I26:I29)</f>
        <v>297.04000000000002</v>
      </c>
      <c r="J31" s="241">
        <f>SUM(J26:J29)</f>
        <v>325.56099999999998</v>
      </c>
      <c r="K31" s="241">
        <f>SUM(K26:K29)</f>
        <v>338.04699999999997</v>
      </c>
      <c r="L31" s="241">
        <f>SUM(L26:L29)</f>
        <v>359.96199999999999</v>
      </c>
      <c r="M31" s="241">
        <f>SUM(M26:M29)</f>
        <v>359.96199999999999</v>
      </c>
      <c r="N31" s="128"/>
      <c r="O31" s="241">
        <f>SUM(O26:O29)</f>
        <v>343.70700000000005</v>
      </c>
      <c r="P31" s="241">
        <f>SUM(P26:P29)</f>
        <v>590.49300000000005</v>
      </c>
      <c r="Q31" s="241">
        <f>SUM(Q26:Q29)</f>
        <v>603.65200000000004</v>
      </c>
      <c r="R31" s="241">
        <f>SUM(R26:R29)</f>
        <v>444.55600000000004</v>
      </c>
      <c r="S31" s="241">
        <f>SUM(S26:S29)</f>
        <v>444.55600000000004</v>
      </c>
      <c r="T31" s="128"/>
      <c r="U31" s="241">
        <f>SUM(U26:U29)</f>
        <v>327.435</v>
      </c>
      <c r="V31" s="241">
        <f>SUM(V26:V29)</f>
        <v>322.37400000000002</v>
      </c>
      <c r="W31" s="241">
        <f>SUM(W26:W29)</f>
        <v>351.91199999999998</v>
      </c>
      <c r="X31" s="241">
        <f>SUM(X26:X29)</f>
        <v>360.09100000000001</v>
      </c>
      <c r="Y31" s="241">
        <f>SUM(Y26:Y29)</f>
        <v>360.09100000000001</v>
      </c>
      <c r="Z31" s="128"/>
      <c r="AA31" s="241">
        <f>SUM(AA26:AA29)</f>
        <v>362.01099999999997</v>
      </c>
      <c r="AB31" s="241">
        <f>SUM(AB26:AB29)</f>
        <v>430.42599999999999</v>
      </c>
      <c r="AC31" s="241">
        <f>SUM(AC26:AC29)</f>
        <v>512.68899999999996</v>
      </c>
      <c r="AD31" s="241">
        <f>SUM(AD26:AD29)</f>
        <v>724.07299999999998</v>
      </c>
      <c r="AE31" s="246">
        <f>SUM(AE26:AE29)</f>
        <v>724.07299999999998</v>
      </c>
      <c r="AF31" s="239"/>
      <c r="AG31" s="241">
        <f>SUM(AG26:AG29)</f>
        <v>794.48299999999995</v>
      </c>
      <c r="AH31" s="241">
        <f>SUM(AH26:AH29)</f>
        <v>748.20299999999997</v>
      </c>
      <c r="AI31" s="241">
        <f>SUM(AI26:AI29)</f>
        <v>940.72</v>
      </c>
      <c r="AJ31" s="241">
        <f>SUM(AJ26:AJ29)</f>
        <v>927.78</v>
      </c>
      <c r="AK31" s="246">
        <f>SUM(AK26:AK29)</f>
        <v>927.78</v>
      </c>
      <c r="AL31" s="239"/>
      <c r="AM31" s="241">
        <f>SUM(AM26:AM29)</f>
        <v>826.16499999999996</v>
      </c>
      <c r="AN31" s="241">
        <f>SUM(AN26:AN29)</f>
        <v>890.61500000000001</v>
      </c>
      <c r="AO31" s="241">
        <f>SUM(AO26:AO29)</f>
        <v>777.56099999999992</v>
      </c>
      <c r="AP31" s="241">
        <f>SUM(AP26:AP29)</f>
        <v>796.40499999999997</v>
      </c>
      <c r="AQ31" s="246">
        <f>SUM(AQ26:AQ29)</f>
        <v>796.40499999999997</v>
      </c>
      <c r="AR31" s="239"/>
      <c r="AS31" s="241">
        <f>SUM(AS26:AS29)</f>
        <v>967.44599999999991</v>
      </c>
      <c r="AT31" s="241">
        <f>SUM(AT26:AT29)</f>
        <v>896.30900000000008</v>
      </c>
      <c r="AU31" s="246">
        <f>SUM(AU26:AU29)</f>
        <v>734.56900000000007</v>
      </c>
      <c r="AV31" s="241">
        <f>SUM(AV26:AV29)</f>
        <v>653.59199999999998</v>
      </c>
      <c r="AW31" s="246">
        <f>SUM(AW26:AW29)</f>
        <v>653.59199999999998</v>
      </c>
      <c r="AX31" s="239"/>
      <c r="AY31" s="246">
        <f>SUM(AY26:AY29)</f>
        <v>661.83299999999997</v>
      </c>
      <c r="AZ31" s="246">
        <f>SUM(AZ26:AZ29)</f>
        <v>612.97299999999996</v>
      </c>
      <c r="BA31" s="246">
        <f>SUM(BA26:BA29)</f>
        <v>933.40000000000009</v>
      </c>
      <c r="BB31" s="246">
        <f>SUM(BB26:BB29)</f>
        <v>476.00000000000006</v>
      </c>
      <c r="BC31" s="246">
        <f>SUM(BC26:BC29)</f>
        <v>476.00000000000006</v>
      </c>
      <c r="BD31" s="239"/>
      <c r="BE31" s="246">
        <f>SUM(BE26:BE29)</f>
        <v>854.19999999999993</v>
      </c>
      <c r="BF31" s="246">
        <f>SUM(BF26:BF29)</f>
        <v>722.5</v>
      </c>
      <c r="BG31" s="246">
        <f>SUM(BG26:BG29)</f>
        <v>770.19999999999993</v>
      </c>
      <c r="BH31" s="246">
        <f>SUM(BH26:BH29)</f>
        <v>771.00000000000011</v>
      </c>
      <c r="BI31" s="246">
        <f>SUM(BI26:BI29)</f>
        <v>771.00000000000011</v>
      </c>
      <c r="BJ31" s="239"/>
      <c r="BK31" s="246">
        <f>SUM(BK26:BK29)</f>
        <v>747.50000000000011</v>
      </c>
      <c r="BL31" s="246">
        <f>SUM(BL26:BL29)</f>
        <v>753.7</v>
      </c>
      <c r="BM31" s="246">
        <f>SUM(BM26:BM29)</f>
        <v>848.4</v>
      </c>
      <c r="BN31" s="246">
        <f>SUM(BN26:BN29)</f>
        <v>954.5</v>
      </c>
      <c r="BO31" s="246">
        <f>SUM(BO26:BO29)</f>
        <v>954.5</v>
      </c>
      <c r="BP31" s="239"/>
      <c r="BQ31" s="246">
        <f>SUM(BQ26:BQ29)</f>
        <v>898.29253014313974</v>
      </c>
      <c r="BR31" s="246">
        <f>SUM(BR26:BR29)</f>
        <v>917.63797392469837</v>
      </c>
      <c r="BS31" s="246">
        <f>SUM(BS26:BS29)</f>
        <v>892.39104962441081</v>
      </c>
      <c r="BT31" s="246">
        <f>SUM(BT26:BT29)</f>
        <v>924.63564880419426</v>
      </c>
      <c r="BU31" s="246">
        <f>SUM(BU26:BU29)</f>
        <v>924.63564880419426</v>
      </c>
      <c r="BV31" s="239"/>
      <c r="BW31" s="246">
        <f>SUM(BW26:BW29)</f>
        <v>847.1206125868199</v>
      </c>
      <c r="BX31" s="246">
        <f>SUM(BX26:BX29)</f>
        <v>903.74764318935911</v>
      </c>
      <c r="BY31" s="246">
        <f>SUM(BY26:BY29)</f>
        <v>907.35989879559099</v>
      </c>
      <c r="BZ31" s="246">
        <f>SUM(BZ26:BZ29)</f>
        <v>954.94006078505583</v>
      </c>
      <c r="CA31" s="246">
        <f>SUM(CA26:CA29)</f>
        <v>954.94006078505583</v>
      </c>
      <c r="CB31" s="239"/>
      <c r="CC31" s="246">
        <f>SUM(CC26:CC29)</f>
        <v>847.17967665966705</v>
      </c>
      <c r="CD31" s="246">
        <f>SUM(CD26:CD29)</f>
        <v>898.53348877552651</v>
      </c>
      <c r="CE31" s="246">
        <f>SUM(CE26:CE29)</f>
        <v>904.42799420688914</v>
      </c>
      <c r="CF31" s="246">
        <f>SUM(CF26:CF29)</f>
        <v>958.44781600167482</v>
      </c>
      <c r="CG31" s="246">
        <f>SUM(CG26:CG29)</f>
        <v>958.44781600167482</v>
      </c>
      <c r="CI31" s="806"/>
      <c r="CK31"/>
      <c r="CL31"/>
      <c r="CM31"/>
      <c r="CN31"/>
      <c r="CO31"/>
      <c r="CP31"/>
      <c r="CQ31" s="19"/>
    </row>
    <row r="32" spans="1:95" ht="5.25" customHeight="1" x14ac:dyDescent="0.2">
      <c r="A32" s="24"/>
      <c r="B32" s="37"/>
      <c r="C32" s="242"/>
      <c r="D32" s="242"/>
      <c r="E32" s="242"/>
      <c r="F32" s="242"/>
      <c r="G32" s="242"/>
      <c r="H32" s="128"/>
      <c r="I32" s="242"/>
      <c r="J32" s="242"/>
      <c r="K32" s="242"/>
      <c r="L32" s="242"/>
      <c r="M32" s="242"/>
      <c r="N32" s="128"/>
      <c r="O32" s="242"/>
      <c r="P32" s="242"/>
      <c r="Q32" s="242"/>
      <c r="R32" s="242"/>
      <c r="S32" s="242"/>
      <c r="T32" s="128"/>
      <c r="U32" s="242"/>
      <c r="V32" s="242"/>
      <c r="W32" s="242"/>
      <c r="X32" s="242"/>
      <c r="Y32" s="242"/>
      <c r="Z32" s="128"/>
      <c r="AA32" s="242"/>
      <c r="AB32" s="236"/>
      <c r="AC32" s="236"/>
      <c r="AD32" s="236"/>
      <c r="AE32" s="237"/>
      <c r="AF32" s="239"/>
      <c r="AG32" s="242"/>
      <c r="AH32" s="236"/>
      <c r="AI32" s="236"/>
      <c r="AJ32" s="236"/>
      <c r="AK32" s="237"/>
      <c r="AL32" s="239"/>
      <c r="AM32" s="236"/>
      <c r="AN32" s="236"/>
      <c r="AO32" s="236"/>
      <c r="AP32" s="236"/>
      <c r="AQ32" s="237"/>
      <c r="AR32" s="239"/>
      <c r="AS32" s="236"/>
      <c r="AT32" s="236"/>
      <c r="AU32" s="237"/>
      <c r="AV32" s="237"/>
      <c r="AW32" s="237"/>
      <c r="AX32" s="239"/>
      <c r="AY32" s="504"/>
      <c r="AZ32" s="504"/>
      <c r="BA32" s="504"/>
      <c r="BB32" s="504"/>
      <c r="BC32" s="504"/>
      <c r="BD32" s="239"/>
      <c r="BE32" s="504"/>
      <c r="BF32" s="504"/>
      <c r="BG32" s="504"/>
      <c r="BH32" s="504"/>
      <c r="BI32" s="504"/>
      <c r="BJ32" s="239"/>
      <c r="BK32" s="504"/>
      <c r="BL32" s="504"/>
      <c r="BM32" s="504"/>
      <c r="BN32" s="504"/>
      <c r="BO32" s="504"/>
      <c r="BP32" s="239"/>
      <c r="BQ32" s="504"/>
      <c r="BR32" s="504"/>
      <c r="BS32" s="504"/>
      <c r="BT32" s="504"/>
      <c r="BU32" s="504"/>
      <c r="BV32" s="239"/>
      <c r="BW32" s="504"/>
      <c r="BX32" s="504"/>
      <c r="BY32" s="504"/>
      <c r="BZ32" s="504"/>
      <c r="CA32" s="504"/>
      <c r="CB32" s="239"/>
      <c r="CC32" s="504"/>
      <c r="CD32" s="504"/>
      <c r="CE32" s="504"/>
      <c r="CF32" s="504"/>
      <c r="CG32" s="504"/>
      <c r="CI32" s="806"/>
      <c r="CQ32" s="36"/>
    </row>
    <row r="33" spans="1:95" ht="11.25" customHeight="1" x14ac:dyDescent="0.2">
      <c r="A33" s="24"/>
      <c r="B33" s="59" t="s">
        <v>294</v>
      </c>
      <c r="C33" s="233">
        <v>413.35500000000002</v>
      </c>
      <c r="D33" s="233">
        <v>397.12400000000002</v>
      </c>
      <c r="E33" s="233">
        <v>495.66800000000001</v>
      </c>
      <c r="F33" s="233">
        <v>482.06299999999999</v>
      </c>
      <c r="G33" s="234">
        <f>F33</f>
        <v>482.06299999999999</v>
      </c>
      <c r="H33" s="243"/>
      <c r="I33" s="233">
        <v>586.81100000000004</v>
      </c>
      <c r="J33" s="233">
        <v>576.649</v>
      </c>
      <c r="K33" s="233">
        <v>401.685</v>
      </c>
      <c r="L33" s="233">
        <v>423.67899999999997</v>
      </c>
      <c r="M33" s="234">
        <f>L33</f>
        <v>423.67899999999997</v>
      </c>
      <c r="N33" s="243"/>
      <c r="O33" s="233">
        <v>460.84199999999998</v>
      </c>
      <c r="P33" s="233">
        <v>145.94900000000001</v>
      </c>
      <c r="Q33" s="233">
        <v>154.84200000000001</v>
      </c>
      <c r="R33" s="233">
        <v>387.15100000000001</v>
      </c>
      <c r="S33" s="234">
        <f>R33</f>
        <v>387.15100000000001</v>
      </c>
      <c r="T33" s="243"/>
      <c r="U33" s="233">
        <v>457.565</v>
      </c>
      <c r="V33" s="233">
        <v>462.976</v>
      </c>
      <c r="W33" s="233">
        <v>592.37599999999998</v>
      </c>
      <c r="X33" s="233">
        <v>604.01499999999999</v>
      </c>
      <c r="Y33" s="234">
        <f>X33</f>
        <v>604.01499999999999</v>
      </c>
      <c r="Z33" s="243"/>
      <c r="AA33" s="233">
        <v>652.29</v>
      </c>
      <c r="AB33" s="233">
        <v>654.87300000000005</v>
      </c>
      <c r="AC33" s="233">
        <v>1793.979</v>
      </c>
      <c r="AD33" s="233">
        <v>1490.01</v>
      </c>
      <c r="AE33" s="237">
        <f>AD33</f>
        <v>1490.01</v>
      </c>
      <c r="AF33" s="244"/>
      <c r="AG33" s="233">
        <v>1481.2170000000001</v>
      </c>
      <c r="AH33" s="233">
        <v>1482.7829999999999</v>
      </c>
      <c r="AI33" s="233">
        <v>1237.2439999999999</v>
      </c>
      <c r="AJ33" s="233">
        <v>1222.0350000000001</v>
      </c>
      <c r="AK33" s="237">
        <f>AJ33</f>
        <v>1222.0350000000001</v>
      </c>
      <c r="AL33" s="244"/>
      <c r="AM33" s="233">
        <v>1207.722</v>
      </c>
      <c r="AN33" s="233">
        <v>1123.7919999999999</v>
      </c>
      <c r="AO33" s="233">
        <v>1164.7940000000001</v>
      </c>
      <c r="AP33" s="233">
        <v>1166.1780000000001</v>
      </c>
      <c r="AQ33" s="237">
        <f>AP33</f>
        <v>1166.1780000000001</v>
      </c>
      <c r="AR33" s="244"/>
      <c r="AS33" s="233">
        <v>1065.463</v>
      </c>
      <c r="AT33" s="233">
        <v>1065.8810000000001</v>
      </c>
      <c r="AU33" s="233">
        <v>1165.566</v>
      </c>
      <c r="AV33" s="233">
        <v>1152.8820000000001</v>
      </c>
      <c r="AW33" s="237">
        <f>AV33</f>
        <v>1152.8820000000001</v>
      </c>
      <c r="AX33" s="244"/>
      <c r="AY33" s="536">
        <v>1078.8230000000001</v>
      </c>
      <c r="AZ33" s="536">
        <v>1077.779</v>
      </c>
      <c r="BA33" s="536">
        <v>701.9</v>
      </c>
      <c r="BB33" s="536">
        <v>1141</v>
      </c>
      <c r="BC33" s="237">
        <f>BB33</f>
        <v>1141</v>
      </c>
      <c r="BD33" s="244"/>
      <c r="BE33" s="536">
        <v>1169.0999999999999</v>
      </c>
      <c r="BF33" s="536">
        <v>1171.8</v>
      </c>
      <c r="BG33" s="536">
        <v>1569.8</v>
      </c>
      <c r="BH33" s="536">
        <v>1511.1</v>
      </c>
      <c r="BI33" s="237">
        <f>BH33</f>
        <v>1511.1</v>
      </c>
      <c r="BJ33" s="238"/>
      <c r="BK33" s="536">
        <v>1528.1</v>
      </c>
      <c r="BL33" s="536">
        <v>1587.3</v>
      </c>
      <c r="BM33" s="536">
        <v>1600.7</v>
      </c>
      <c r="BN33" s="536">
        <v>1611.6</v>
      </c>
      <c r="BO33" s="237">
        <f>BN33</f>
        <v>1611.6</v>
      </c>
      <c r="BP33" s="238"/>
      <c r="BQ33" s="1215">
        <f>Debt!BQ32</f>
        <v>1600.7</v>
      </c>
      <c r="BR33" s="1215">
        <f>Debt!BR32</f>
        <v>1600.7</v>
      </c>
      <c r="BS33" s="1215">
        <f>Debt!BS32</f>
        <v>1600.7</v>
      </c>
      <c r="BT33" s="1215">
        <f>Debt!BT32</f>
        <v>1600.7</v>
      </c>
      <c r="BU33" s="237">
        <f>BT33</f>
        <v>1600.7</v>
      </c>
      <c r="BV33" s="238"/>
      <c r="BW33" s="1215">
        <f>Debt!BW32</f>
        <v>1600.7</v>
      </c>
      <c r="BX33" s="1215">
        <f>Debt!BX32</f>
        <v>1600.7</v>
      </c>
      <c r="BY33" s="1215">
        <f>Debt!BY32</f>
        <v>1600.7</v>
      </c>
      <c r="BZ33" s="1215">
        <f>Debt!BZ32</f>
        <v>1600.7</v>
      </c>
      <c r="CA33" s="237">
        <f>BZ33</f>
        <v>1600.7</v>
      </c>
      <c r="CB33" s="238"/>
      <c r="CC33" s="1215">
        <f>Debt!CC32</f>
        <v>1600.7</v>
      </c>
      <c r="CD33" s="1215">
        <f>Debt!CD32</f>
        <v>1600.7</v>
      </c>
      <c r="CE33" s="1215">
        <f>Debt!CE32</f>
        <v>1600.7</v>
      </c>
      <c r="CF33" s="1215">
        <f>Debt!CF32</f>
        <v>1600.7</v>
      </c>
      <c r="CG33" s="237">
        <f>CF33</f>
        <v>1600.7</v>
      </c>
      <c r="CI33" s="806"/>
      <c r="CQ33" s="36"/>
    </row>
    <row r="34" spans="1:95" ht="11.25" customHeight="1" x14ac:dyDescent="0.2">
      <c r="A34" s="24"/>
      <c r="B34" s="59" t="s">
        <v>265</v>
      </c>
      <c r="C34" s="233">
        <v>44.600999999999999</v>
      </c>
      <c r="D34" s="233">
        <v>56.716000000000001</v>
      </c>
      <c r="E34" s="233">
        <v>51.716999999999999</v>
      </c>
      <c r="F34" s="233">
        <v>60.546999999999997</v>
      </c>
      <c r="G34" s="234">
        <f>F34</f>
        <v>60.546999999999997</v>
      </c>
      <c r="H34" s="243"/>
      <c r="I34" s="233">
        <v>68</v>
      </c>
      <c r="J34" s="233">
        <v>69.727000000000004</v>
      </c>
      <c r="K34" s="233">
        <v>63.186999999999998</v>
      </c>
      <c r="L34" s="233">
        <v>69.049000000000007</v>
      </c>
      <c r="M34" s="234">
        <f>L34</f>
        <v>69.049000000000007</v>
      </c>
      <c r="N34" s="243"/>
      <c r="O34" s="233">
        <v>59.030999999999999</v>
      </c>
      <c r="P34" s="233">
        <v>70.507999999999996</v>
      </c>
      <c r="Q34" s="233">
        <v>77.837999999999994</v>
      </c>
      <c r="R34" s="233">
        <v>72.524000000000001</v>
      </c>
      <c r="S34" s="234">
        <f>R34</f>
        <v>72.524000000000001</v>
      </c>
      <c r="T34" s="243"/>
      <c r="U34" s="233">
        <v>70.165999999999997</v>
      </c>
      <c r="V34" s="233">
        <v>73.778999999999996</v>
      </c>
      <c r="W34" s="233">
        <v>74.238</v>
      </c>
      <c r="X34" s="233">
        <v>72.489000000000004</v>
      </c>
      <c r="Y34" s="234">
        <f>X34</f>
        <v>72.489000000000004</v>
      </c>
      <c r="Z34" s="243"/>
      <c r="AA34" s="233">
        <v>79.962999999999994</v>
      </c>
      <c r="AB34" s="233">
        <v>81.323999999999998</v>
      </c>
      <c r="AC34" s="233">
        <v>242.16200000000001</v>
      </c>
      <c r="AD34" s="233">
        <v>249.822</v>
      </c>
      <c r="AE34" s="237">
        <f>AD34</f>
        <v>249.822</v>
      </c>
      <c r="AF34" s="244"/>
      <c r="AG34" s="233">
        <v>321.36200000000002</v>
      </c>
      <c r="AH34" s="233">
        <v>334.673</v>
      </c>
      <c r="AI34" s="233">
        <v>319.834</v>
      </c>
      <c r="AJ34" s="233">
        <v>232.64099999999999</v>
      </c>
      <c r="AK34" s="237">
        <f>AJ34</f>
        <v>232.64099999999999</v>
      </c>
      <c r="AL34" s="244"/>
      <c r="AM34" s="233">
        <v>226.1</v>
      </c>
      <c r="AN34" s="233">
        <v>218.624</v>
      </c>
      <c r="AO34" s="233">
        <v>226.66800000000001</v>
      </c>
      <c r="AP34" s="233">
        <v>238.39400000000001</v>
      </c>
      <c r="AQ34" s="237">
        <f>AP34</f>
        <v>238.39400000000001</v>
      </c>
      <c r="AR34" s="244"/>
      <c r="AS34" s="233">
        <v>236.26900000000001</v>
      </c>
      <c r="AT34" s="233">
        <v>231.005</v>
      </c>
      <c r="AU34" s="233">
        <v>215.482</v>
      </c>
      <c r="AV34" s="233">
        <v>165.55099999999999</v>
      </c>
      <c r="AW34" s="237">
        <f>AV34</f>
        <v>165.55099999999999</v>
      </c>
      <c r="AX34" s="244"/>
      <c r="AY34" s="536">
        <v>150.47</v>
      </c>
      <c r="AZ34" s="536">
        <v>155.58699999999999</v>
      </c>
      <c r="BA34" s="536">
        <v>152.9</v>
      </c>
      <c r="BB34" s="536">
        <v>160.30000000000001</v>
      </c>
      <c r="BC34" s="237">
        <f>BB34</f>
        <v>160.30000000000001</v>
      </c>
      <c r="BD34" s="238"/>
      <c r="BE34" s="536">
        <v>875.5</v>
      </c>
      <c r="BF34" s="536">
        <v>849.8</v>
      </c>
      <c r="BG34" s="536">
        <v>854.5</v>
      </c>
      <c r="BH34" s="536">
        <v>848.6</v>
      </c>
      <c r="BI34" s="237">
        <f>BH34</f>
        <v>848.6</v>
      </c>
      <c r="BJ34" s="238"/>
      <c r="BK34" s="536">
        <v>753.2</v>
      </c>
      <c r="BL34" s="536">
        <v>802.4</v>
      </c>
      <c r="BM34" s="536">
        <v>818.2</v>
      </c>
      <c r="BN34" s="536">
        <v>718</v>
      </c>
      <c r="BO34" s="237">
        <f>BN34</f>
        <v>718</v>
      </c>
      <c r="BP34" s="238"/>
      <c r="BQ34" s="700">
        <f>+BN34</f>
        <v>718</v>
      </c>
      <c r="BR34" s="700">
        <f>BQ34</f>
        <v>718</v>
      </c>
      <c r="BS34" s="700">
        <f>BR34</f>
        <v>718</v>
      </c>
      <c r="BT34" s="700">
        <f>BS34</f>
        <v>718</v>
      </c>
      <c r="BU34" s="237">
        <f>BT34</f>
        <v>718</v>
      </c>
      <c r="BV34" s="238"/>
      <c r="BW34" s="700">
        <f>+BT34</f>
        <v>718</v>
      </c>
      <c r="BX34" s="700">
        <f>BW34</f>
        <v>718</v>
      </c>
      <c r="BY34" s="700">
        <f>BX34</f>
        <v>718</v>
      </c>
      <c r="BZ34" s="700">
        <f>BY34</f>
        <v>718</v>
      </c>
      <c r="CA34" s="237">
        <f>BZ34</f>
        <v>718</v>
      </c>
      <c r="CB34" s="238"/>
      <c r="CC34" s="700">
        <f>+BZ34</f>
        <v>718</v>
      </c>
      <c r="CD34" s="700">
        <f>CC34</f>
        <v>718</v>
      </c>
      <c r="CE34" s="700">
        <f>CD34</f>
        <v>718</v>
      </c>
      <c r="CF34" s="700">
        <f>CE34</f>
        <v>718</v>
      </c>
      <c r="CG34" s="237">
        <f>CF34</f>
        <v>718</v>
      </c>
      <c r="CI34" s="806"/>
      <c r="CQ34" s="36"/>
    </row>
    <row r="35" spans="1:95" s="24" customFormat="1" ht="11.25" customHeight="1" x14ac:dyDescent="0.2">
      <c r="B35" s="59" t="s">
        <v>266</v>
      </c>
      <c r="C35" s="233">
        <v>233.55799999999999</v>
      </c>
      <c r="D35" s="233">
        <v>244.92</v>
      </c>
      <c r="E35" s="233">
        <v>291.19900000000001</v>
      </c>
      <c r="F35" s="233">
        <v>304.14600000000002</v>
      </c>
      <c r="G35" s="234">
        <f>F35</f>
        <v>304.14600000000002</v>
      </c>
      <c r="H35" s="479"/>
      <c r="I35" s="233">
        <v>442.90899999999999</v>
      </c>
      <c r="J35" s="233">
        <v>411.74400000000003</v>
      </c>
      <c r="K35" s="233">
        <v>271.61799999999999</v>
      </c>
      <c r="L35" s="233">
        <v>318.29700000000003</v>
      </c>
      <c r="M35" s="234">
        <f>L35</f>
        <v>318.29700000000003</v>
      </c>
      <c r="N35" s="479"/>
      <c r="O35" s="233">
        <v>217.61199999999999</v>
      </c>
      <c r="P35" s="233">
        <v>287.40699999999998</v>
      </c>
      <c r="Q35" s="233">
        <v>328.32600000000002</v>
      </c>
      <c r="R35" s="233">
        <v>276.74299999999999</v>
      </c>
      <c r="S35" s="234">
        <f>R35</f>
        <v>276.74299999999999</v>
      </c>
      <c r="T35" s="479"/>
      <c r="U35" s="233">
        <v>248.96299999999999</v>
      </c>
      <c r="V35" s="233">
        <v>196.72800000000001</v>
      </c>
      <c r="W35" s="233">
        <v>300.07400000000001</v>
      </c>
      <c r="X35" s="233">
        <v>311.44400000000002</v>
      </c>
      <c r="Y35" s="234">
        <f>X35</f>
        <v>311.44400000000002</v>
      </c>
      <c r="Z35" s="479"/>
      <c r="AA35" s="233">
        <v>360.286</v>
      </c>
      <c r="AB35" s="233">
        <v>408.78699999999998</v>
      </c>
      <c r="AC35" s="233">
        <v>394.46699999999998</v>
      </c>
      <c r="AD35" s="233">
        <v>407.34199999999998</v>
      </c>
      <c r="AE35" s="237">
        <f>AD35</f>
        <v>407.34199999999998</v>
      </c>
      <c r="AF35" s="238"/>
      <c r="AG35" s="233">
        <v>371.024</v>
      </c>
      <c r="AH35" s="233">
        <v>316.09800000000001</v>
      </c>
      <c r="AI35" s="233">
        <v>318.75700000000001</v>
      </c>
      <c r="AJ35" s="233">
        <v>340.39800000000002</v>
      </c>
      <c r="AK35" s="237">
        <f>AJ35</f>
        <v>340.39800000000002</v>
      </c>
      <c r="AL35" s="238"/>
      <c r="AM35" s="233">
        <v>372.74700000000001</v>
      </c>
      <c r="AN35" s="233">
        <v>353.55599999999998</v>
      </c>
      <c r="AO35" s="233">
        <v>361.93799999999999</v>
      </c>
      <c r="AP35" s="233">
        <v>299.096</v>
      </c>
      <c r="AQ35" s="237">
        <f>AP35</f>
        <v>299.096</v>
      </c>
      <c r="AR35" s="238"/>
      <c r="AS35" s="233">
        <v>295.65699999999998</v>
      </c>
      <c r="AT35" s="233">
        <v>294.404</v>
      </c>
      <c r="AU35" s="233">
        <v>272.2</v>
      </c>
      <c r="AV35" s="233">
        <v>356.04199999999997</v>
      </c>
      <c r="AW35" s="237">
        <f>AV35</f>
        <v>356.04199999999997</v>
      </c>
      <c r="AX35" s="238"/>
      <c r="AY35" s="536">
        <v>319.452</v>
      </c>
      <c r="AZ35" s="536">
        <v>334.12799999999999</v>
      </c>
      <c r="BA35" s="536">
        <v>332.5</v>
      </c>
      <c r="BB35" s="536">
        <v>286.2</v>
      </c>
      <c r="BC35" s="237">
        <f>BB35</f>
        <v>286.2</v>
      </c>
      <c r="BD35" s="238"/>
      <c r="BE35" s="536">
        <v>398.2</v>
      </c>
      <c r="BF35" s="536">
        <v>391.7</v>
      </c>
      <c r="BG35" s="536">
        <v>400.8</v>
      </c>
      <c r="BH35" s="536">
        <v>399.5</v>
      </c>
      <c r="BI35" s="237">
        <f>BH35</f>
        <v>399.5</v>
      </c>
      <c r="BJ35" s="238"/>
      <c r="BK35" s="536">
        <v>401.6</v>
      </c>
      <c r="BL35" s="536">
        <v>432.4</v>
      </c>
      <c r="BM35" s="536">
        <v>441.9</v>
      </c>
      <c r="BN35" s="536">
        <v>462.5</v>
      </c>
      <c r="BO35" s="237">
        <f>BN35</f>
        <v>462.5</v>
      </c>
      <c r="BP35" s="238"/>
      <c r="BQ35" s="237">
        <f>BN35+CashFlow!BQ46+CashFlow!BQ52</f>
        <v>462.5</v>
      </c>
      <c r="BR35" s="237">
        <f>BQ35+CashFlow!BR46+CashFlow!BR52</f>
        <v>462.5</v>
      </c>
      <c r="BS35" s="237">
        <f>BR35+CashFlow!BS46+CashFlow!BS52</f>
        <v>462.5</v>
      </c>
      <c r="BT35" s="237">
        <f>BS35+CashFlow!BT46+CashFlow!BT52</f>
        <v>462.5</v>
      </c>
      <c r="BU35" s="237">
        <f>BT35</f>
        <v>462.5</v>
      </c>
      <c r="BV35" s="238"/>
      <c r="BW35" s="237">
        <f>BT35+CashFlow!BW46+CashFlow!BW52</f>
        <v>462.5</v>
      </c>
      <c r="BX35" s="237">
        <f>BW35+CashFlow!BX46+CashFlow!BX52</f>
        <v>462.5</v>
      </c>
      <c r="BY35" s="237">
        <f>BX35+CashFlow!BY46+CashFlow!BY52</f>
        <v>462.5</v>
      </c>
      <c r="BZ35" s="237">
        <f>BY35+CashFlow!BZ46+CashFlow!BZ52</f>
        <v>462.5</v>
      </c>
      <c r="CA35" s="237">
        <f>BZ35</f>
        <v>462.5</v>
      </c>
      <c r="CB35" s="238"/>
      <c r="CC35" s="237">
        <f>BZ35+CashFlow!CC46+CashFlow!CC52</f>
        <v>462.5</v>
      </c>
      <c r="CD35" s="237">
        <f>CC35+CashFlow!CD46+CashFlow!CD52</f>
        <v>462.5</v>
      </c>
      <c r="CE35" s="237">
        <f>CD35+CashFlow!CE46+CashFlow!CE52</f>
        <v>462.5</v>
      </c>
      <c r="CF35" s="237">
        <f>CE35+CashFlow!CF46+CashFlow!CF52</f>
        <v>462.5</v>
      </c>
      <c r="CG35" s="237">
        <f>CF35</f>
        <v>462.5</v>
      </c>
      <c r="CI35" s="1216"/>
      <c r="CK35"/>
      <c r="CL35"/>
      <c r="CM35"/>
      <c r="CN35"/>
      <c r="CO35"/>
      <c r="CP35"/>
      <c r="CQ35" s="19"/>
    </row>
    <row r="36" spans="1:95" ht="5.25" customHeight="1" x14ac:dyDescent="0.2">
      <c r="A36" s="24"/>
      <c r="B36" s="59"/>
      <c r="C36" s="233"/>
      <c r="D36" s="233"/>
      <c r="E36" s="233"/>
      <c r="F36" s="233"/>
      <c r="G36" s="234"/>
      <c r="H36" s="479"/>
      <c r="I36" s="233"/>
      <c r="J36" s="233"/>
      <c r="K36" s="233"/>
      <c r="L36" s="233"/>
      <c r="M36" s="234"/>
      <c r="N36" s="479"/>
      <c r="O36" s="233"/>
      <c r="P36" s="233"/>
      <c r="Q36" s="233"/>
      <c r="R36" s="233"/>
      <c r="S36" s="234"/>
      <c r="T36" s="479"/>
      <c r="U36" s="233"/>
      <c r="V36" s="233"/>
      <c r="W36" s="233"/>
      <c r="X36" s="233"/>
      <c r="Y36" s="234"/>
      <c r="Z36" s="479"/>
      <c r="AA36" s="233"/>
      <c r="AB36" s="234"/>
      <c r="AC36" s="234"/>
      <c r="AD36" s="234"/>
      <c r="AE36" s="237"/>
      <c r="AF36" s="238"/>
      <c r="AG36" s="233"/>
      <c r="AH36" s="234"/>
      <c r="AI36" s="234"/>
      <c r="AJ36" s="234"/>
      <c r="AK36" s="237"/>
      <c r="AL36" s="238"/>
      <c r="AM36" s="237"/>
      <c r="AN36" s="234"/>
      <c r="AO36" s="234"/>
      <c r="AP36" s="234"/>
      <c r="AQ36" s="237"/>
      <c r="AR36" s="238"/>
      <c r="AS36" s="234"/>
      <c r="AT36" s="234"/>
      <c r="AU36" s="237"/>
      <c r="AV36" s="234"/>
      <c r="AW36" s="237"/>
      <c r="AX36" s="238"/>
      <c r="AY36" s="240"/>
      <c r="AZ36" s="240"/>
      <c r="BA36" s="240"/>
      <c r="BB36" s="240"/>
      <c r="BC36" s="237"/>
      <c r="BD36" s="238"/>
      <c r="BE36" s="240"/>
      <c r="BF36" s="240"/>
      <c r="BG36" s="240"/>
      <c r="BH36" s="240"/>
      <c r="BI36" s="237"/>
      <c r="BJ36" s="238"/>
      <c r="BK36" s="240"/>
      <c r="BL36" s="240"/>
      <c r="BM36" s="240"/>
      <c r="BN36" s="240"/>
      <c r="BO36" s="237"/>
      <c r="BP36" s="238"/>
      <c r="BQ36" s="240"/>
      <c r="BR36" s="240"/>
      <c r="BS36" s="240"/>
      <c r="BT36" s="240"/>
      <c r="BU36" s="237"/>
      <c r="BV36" s="238"/>
      <c r="BW36" s="240"/>
      <c r="BX36" s="240"/>
      <c r="BY36" s="240"/>
      <c r="BZ36" s="240"/>
      <c r="CA36" s="237"/>
      <c r="CB36" s="238"/>
      <c r="CC36" s="240"/>
      <c r="CD36" s="240"/>
      <c r="CE36" s="240"/>
      <c r="CF36" s="240"/>
      <c r="CG36" s="237"/>
      <c r="CI36" s="806"/>
      <c r="CQ36" s="36"/>
    </row>
    <row r="37" spans="1:95" ht="11.25" customHeight="1" x14ac:dyDescent="0.2">
      <c r="A37" s="24"/>
      <c r="B37" s="172" t="s">
        <v>77</v>
      </c>
      <c r="C37" s="247">
        <f>+SUM(C33:C35)+C31</f>
        <v>956.49400000000003</v>
      </c>
      <c r="D37" s="247">
        <f>+SUM(D33:D35)+D31</f>
        <v>989.83500000000004</v>
      </c>
      <c r="E37" s="247">
        <f>+SUM(E33:E35)+E31</f>
        <v>1161.002</v>
      </c>
      <c r="F37" s="247">
        <f>+SUM(F33:F35)+F31</f>
        <v>1159.1670000000001</v>
      </c>
      <c r="G37" s="247">
        <f>+SUM(G33:G35)+G31</f>
        <v>1159.1670000000001</v>
      </c>
      <c r="H37" s="243"/>
      <c r="I37" s="247">
        <f>+SUM(I33:I35)+I31</f>
        <v>1394.76</v>
      </c>
      <c r="J37" s="247">
        <f>+SUM(J33:J35)+J31</f>
        <v>1383.6809999999998</v>
      </c>
      <c r="K37" s="247">
        <f>+SUM(K33:K35)+K31</f>
        <v>1074.537</v>
      </c>
      <c r="L37" s="247">
        <f>+SUM(L33:L35)+L31</f>
        <v>1170.9870000000001</v>
      </c>
      <c r="M37" s="247">
        <f>+SUM(M33:M35)+M31</f>
        <v>1170.9870000000001</v>
      </c>
      <c r="N37" s="243"/>
      <c r="O37" s="247">
        <f>+SUM(O33:O35)+O31</f>
        <v>1081.192</v>
      </c>
      <c r="P37" s="247">
        <f>+SUM(P33:P35)+P31</f>
        <v>1094.357</v>
      </c>
      <c r="Q37" s="247">
        <f>+SUM(Q33:Q35)+Q31</f>
        <v>1164.6580000000001</v>
      </c>
      <c r="R37" s="247">
        <f>+SUM(R33:R35)+R31</f>
        <v>1180.9740000000002</v>
      </c>
      <c r="S37" s="247">
        <f>+SUM(S33:S35)+S31</f>
        <v>1180.9740000000002</v>
      </c>
      <c r="T37" s="243"/>
      <c r="U37" s="247">
        <f>+SUM(U33:U35)+U31</f>
        <v>1104.1289999999999</v>
      </c>
      <c r="V37" s="247">
        <f>+SUM(V33:V35)+V31</f>
        <v>1055.857</v>
      </c>
      <c r="W37" s="247">
        <f>+SUM(W33:W35)+W31</f>
        <v>1318.6000000000001</v>
      </c>
      <c r="X37" s="247">
        <f>+SUM(X33:X35)+X31</f>
        <v>1348.0390000000002</v>
      </c>
      <c r="Y37" s="247">
        <f>+SUM(Y33:Y35)+Y31</f>
        <v>1348.0390000000002</v>
      </c>
      <c r="Z37" s="243"/>
      <c r="AA37" s="247">
        <f>+SUM(AA33:AA35)+AA31</f>
        <v>1454.55</v>
      </c>
      <c r="AB37" s="247">
        <f>+SUM(AB33:AB35)+AB31</f>
        <v>1575.4099999999999</v>
      </c>
      <c r="AC37" s="247">
        <f>+SUM(AC33:AC35)+AC31</f>
        <v>2943.297</v>
      </c>
      <c r="AD37" s="247">
        <f>+SUM(AD33:AD35)+AD31</f>
        <v>2871.2469999999998</v>
      </c>
      <c r="AE37" s="247">
        <f>+SUM(AE33:AE35)+AE31</f>
        <v>2871.2469999999998</v>
      </c>
      <c r="AF37" s="244"/>
      <c r="AG37" s="247">
        <f>+SUM(AG33:AG35)+AG31</f>
        <v>2968.0860000000002</v>
      </c>
      <c r="AH37" s="247">
        <f>+SUM(AH33:AH35)+AH31</f>
        <v>2881.7570000000001</v>
      </c>
      <c r="AI37" s="247">
        <f>+SUM(AI33:AI35)+AI31</f>
        <v>2816.5550000000003</v>
      </c>
      <c r="AJ37" s="247">
        <f>+SUM(AJ33:AJ35)+AJ31</f>
        <v>2722.8540000000003</v>
      </c>
      <c r="AK37" s="247">
        <f>+SUM(AK33:AK35)+AK31</f>
        <v>2722.8540000000003</v>
      </c>
      <c r="AL37" s="244"/>
      <c r="AM37" s="247">
        <f>+SUM(AM33:AM35)+AM31</f>
        <v>2632.7339999999999</v>
      </c>
      <c r="AN37" s="247">
        <f>+SUM(AN33:AN35)+AN31</f>
        <v>2586.587</v>
      </c>
      <c r="AO37" s="247">
        <f>+SUM(AO33:AO35)+AO31</f>
        <v>2530.9610000000002</v>
      </c>
      <c r="AP37" s="247">
        <f>+SUM(AP33:AP35)+AP31</f>
        <v>2500.0730000000003</v>
      </c>
      <c r="AQ37" s="247">
        <f>+SUM(AQ33:AQ35)+AQ31</f>
        <v>2500.0730000000003</v>
      </c>
      <c r="AR37" s="244"/>
      <c r="AS37" s="247">
        <f>+SUM(AS33:AS35)+AS31</f>
        <v>2564.835</v>
      </c>
      <c r="AT37" s="247">
        <f>+SUM(AT33:AT35)+AT31</f>
        <v>2487.5990000000002</v>
      </c>
      <c r="AU37" s="247">
        <f>+SUM(AU33:AU35)+AU31</f>
        <v>2387.817</v>
      </c>
      <c r="AV37" s="247">
        <f>+SUM(AV33:AV35)+AV31</f>
        <v>2328.067</v>
      </c>
      <c r="AW37" s="247">
        <f>+SUM(AW33:AW35)+AW31</f>
        <v>2328.067</v>
      </c>
      <c r="AX37" s="244"/>
      <c r="AY37" s="482">
        <f>+SUM(AY33:AY35)+AY31</f>
        <v>2210.578</v>
      </c>
      <c r="AZ37" s="482">
        <f>+SUM(AZ33:AZ35)+AZ31</f>
        <v>2180.4669999999996</v>
      </c>
      <c r="BA37" s="482">
        <f>+SUM(BA33:BA35)+BA31</f>
        <v>2120.6999999999998</v>
      </c>
      <c r="BB37" s="482">
        <f>+SUM(BB33:BB35)+BB31</f>
        <v>2063.5</v>
      </c>
      <c r="BC37" s="482">
        <f>+SUM(BC33:BC35)+BC31</f>
        <v>2063.5</v>
      </c>
      <c r="BD37" s="244"/>
      <c r="BE37" s="482">
        <f>+SUM(BE33:BE35)+BE31</f>
        <v>3296.9999999999995</v>
      </c>
      <c r="BF37" s="482">
        <f>+SUM(BF33:BF35)+BF31</f>
        <v>3135.7999999999997</v>
      </c>
      <c r="BG37" s="482">
        <f>+SUM(BG33:BG35)+BG31</f>
        <v>3595.3</v>
      </c>
      <c r="BH37" s="482">
        <f>+SUM(BH33:BH35)+BH31</f>
        <v>3530.2</v>
      </c>
      <c r="BI37" s="482">
        <f>+SUM(BI33:BI35)+BI31</f>
        <v>3530.2</v>
      </c>
      <c r="BJ37" s="244"/>
      <c r="BK37" s="482">
        <f>+SUM(BK33:BK35)+BK31</f>
        <v>3430.4</v>
      </c>
      <c r="BL37" s="482">
        <f>+SUM(BL33:BL35)+BL31</f>
        <v>3575.8</v>
      </c>
      <c r="BM37" s="482">
        <f>+SUM(BM33:BM35)+BM31</f>
        <v>3709.2000000000003</v>
      </c>
      <c r="BN37" s="482">
        <f>+SUM(BN33:BN35)+BN31</f>
        <v>3746.6</v>
      </c>
      <c r="BO37" s="482">
        <f>+SUM(BO33:BO35)+BO31</f>
        <v>3746.6</v>
      </c>
      <c r="BP37" s="244"/>
      <c r="BQ37" s="482">
        <f>+SUM(BQ33:BQ35)+BQ31</f>
        <v>3679.4925301431394</v>
      </c>
      <c r="BR37" s="482">
        <f>+SUM(BR33:BR35)+BR31</f>
        <v>3698.8379739246984</v>
      </c>
      <c r="BS37" s="482">
        <f>+SUM(BS33:BS35)+BS31</f>
        <v>3673.5910496244105</v>
      </c>
      <c r="BT37" s="482">
        <f>+SUM(BT33:BT35)+BT31</f>
        <v>3705.8356488041941</v>
      </c>
      <c r="BU37" s="482">
        <f>+SUM(BU33:BU35)+BU31</f>
        <v>3705.8356488041941</v>
      </c>
      <c r="BV37" s="244"/>
      <c r="BW37" s="482">
        <f>+SUM(BW33:BW35)+BW31</f>
        <v>3628.3206125868196</v>
      </c>
      <c r="BX37" s="482">
        <f>+SUM(BX33:BX35)+BX31</f>
        <v>3684.947643189359</v>
      </c>
      <c r="BY37" s="482">
        <f>+SUM(BY33:BY35)+BY31</f>
        <v>3688.5598987955909</v>
      </c>
      <c r="BZ37" s="482">
        <f>+SUM(BZ33:BZ35)+BZ31</f>
        <v>3736.1400607850555</v>
      </c>
      <c r="CA37" s="482">
        <f>+SUM(CA33:CA35)+CA31</f>
        <v>3736.1400607850555</v>
      </c>
      <c r="CB37" s="244"/>
      <c r="CC37" s="482">
        <f>+SUM(CC33:CC35)+CC31</f>
        <v>3628.379676659667</v>
      </c>
      <c r="CD37" s="482">
        <f>+SUM(CD33:CD35)+CD31</f>
        <v>3679.7334887755264</v>
      </c>
      <c r="CE37" s="482">
        <f>+SUM(CE33:CE35)+CE31</f>
        <v>3685.6279942068891</v>
      </c>
      <c r="CF37" s="482">
        <f>+SUM(CF33:CF35)+CF31</f>
        <v>3739.6478160016745</v>
      </c>
      <c r="CG37" s="482">
        <f>+SUM(CG33:CG35)+CG31</f>
        <v>3739.6478160016745</v>
      </c>
      <c r="CI37" s="806"/>
      <c r="CQ37" s="36"/>
    </row>
    <row r="38" spans="1:95" ht="11.25" customHeight="1" x14ac:dyDescent="0.2">
      <c r="A38" s="24"/>
      <c r="B38" s="37"/>
      <c r="C38" s="248"/>
      <c r="D38" s="248"/>
      <c r="E38" s="248"/>
      <c r="F38" s="248"/>
      <c r="G38" s="248"/>
      <c r="H38" s="128"/>
      <c r="I38" s="248"/>
      <c r="J38" s="248"/>
      <c r="K38" s="248"/>
      <c r="L38" s="248"/>
      <c r="M38" s="248"/>
      <c r="N38" s="128"/>
      <c r="O38" s="248"/>
      <c r="P38" s="248"/>
      <c r="Q38" s="248"/>
      <c r="R38" s="248"/>
      <c r="S38" s="248"/>
      <c r="T38" s="128"/>
      <c r="U38" s="248"/>
      <c r="V38" s="248"/>
      <c r="W38" s="248"/>
      <c r="X38" s="248"/>
      <c r="Y38" s="248"/>
      <c r="Z38" s="128"/>
      <c r="AA38" s="248"/>
      <c r="AB38" s="349"/>
      <c r="AC38" s="349"/>
      <c r="AD38" s="349"/>
      <c r="AE38" s="68"/>
      <c r="AF38" s="244"/>
      <c r="AG38" s="248"/>
      <c r="AH38" s="349"/>
      <c r="AI38" s="349"/>
      <c r="AJ38" s="349"/>
      <c r="AK38" s="68"/>
      <c r="AL38" s="244"/>
      <c r="AM38" s="68"/>
      <c r="AN38" s="349"/>
      <c r="AO38" s="349"/>
      <c r="AP38" s="349"/>
      <c r="AQ38" s="68"/>
      <c r="AR38" s="244"/>
      <c r="AS38" s="349"/>
      <c r="AT38" s="349"/>
      <c r="AU38" s="68"/>
      <c r="AV38" s="68"/>
      <c r="AW38" s="68"/>
      <c r="AX38" s="244"/>
      <c r="AY38" s="702"/>
      <c r="AZ38" s="702"/>
      <c r="BA38" s="702"/>
      <c r="BB38" s="702"/>
      <c r="BC38" s="702"/>
      <c r="BD38" s="280"/>
      <c r="BE38" s="702"/>
      <c r="BF38" s="702"/>
      <c r="BG38" s="702"/>
      <c r="BH38" s="702"/>
      <c r="BI38" s="702"/>
      <c r="BJ38" s="280"/>
      <c r="BK38" s="702"/>
      <c r="BL38" s="702"/>
      <c r="BM38" s="702"/>
      <c r="BN38" s="702"/>
      <c r="BO38" s="702"/>
      <c r="BP38" s="280"/>
      <c r="BQ38" s="702"/>
      <c r="BR38" s="702"/>
      <c r="BS38" s="702"/>
      <c r="BT38" s="702"/>
      <c r="BU38" s="702"/>
      <c r="BV38" s="280"/>
      <c r="BW38" s="702"/>
      <c r="BX38" s="702"/>
      <c r="BY38" s="702"/>
      <c r="BZ38" s="702"/>
      <c r="CA38" s="702"/>
      <c r="CB38" s="280"/>
      <c r="CC38" s="702"/>
      <c r="CD38" s="702"/>
      <c r="CE38" s="702"/>
      <c r="CF38" s="702"/>
      <c r="CG38" s="702"/>
      <c r="CI38" s="806"/>
      <c r="CQ38" s="36"/>
    </row>
    <row r="39" spans="1:95" ht="11.25" customHeight="1" x14ac:dyDescent="0.2">
      <c r="A39" s="24"/>
      <c r="B39" s="59" t="s">
        <v>245</v>
      </c>
      <c r="C39" s="248"/>
      <c r="D39" s="248"/>
      <c r="E39" s="248"/>
      <c r="F39" s="248"/>
      <c r="G39" s="248"/>
      <c r="H39" s="128"/>
      <c r="I39" s="248"/>
      <c r="J39" s="248"/>
      <c r="K39" s="248"/>
      <c r="L39" s="248"/>
      <c r="M39" s="248"/>
      <c r="N39" s="128"/>
      <c r="O39" s="248"/>
      <c r="P39" s="248"/>
      <c r="Q39" s="248"/>
      <c r="R39" s="248"/>
      <c r="S39" s="248"/>
      <c r="T39" s="128"/>
      <c r="U39" s="248"/>
      <c r="V39" s="248"/>
      <c r="W39" s="248"/>
      <c r="X39" s="248"/>
      <c r="Y39" s="248"/>
      <c r="Z39" s="128"/>
      <c r="AA39" s="248"/>
      <c r="AB39" s="349"/>
      <c r="AC39" s="349"/>
      <c r="AD39" s="349"/>
      <c r="AE39" s="68"/>
      <c r="AF39" s="238"/>
      <c r="AG39" s="248"/>
      <c r="AH39" s="349"/>
      <c r="AI39" s="349"/>
      <c r="AJ39" s="349"/>
      <c r="AK39" s="68"/>
      <c r="AL39" s="238"/>
      <c r="AM39" s="68"/>
      <c r="AN39" s="349"/>
      <c r="AO39" s="349"/>
      <c r="AP39" s="349"/>
      <c r="AQ39" s="68"/>
      <c r="AR39" s="238"/>
      <c r="AS39" s="349"/>
      <c r="AT39" s="349"/>
      <c r="AU39" s="68"/>
      <c r="AV39" s="68"/>
      <c r="AW39" s="68"/>
      <c r="AX39" s="238"/>
      <c r="AY39" s="702"/>
      <c r="AZ39" s="702"/>
      <c r="BA39" s="702"/>
      <c r="BB39" s="702"/>
      <c r="BC39" s="702"/>
      <c r="BD39" s="238"/>
      <c r="BE39" s="702"/>
      <c r="BF39" s="702"/>
      <c r="BG39" s="702"/>
      <c r="BH39" s="702"/>
      <c r="BI39" s="702"/>
      <c r="BJ39" s="238"/>
      <c r="BK39" s="702"/>
      <c r="BL39" s="702"/>
      <c r="BM39" s="702"/>
      <c r="BN39" s="702"/>
      <c r="BO39" s="702"/>
      <c r="BP39" s="238"/>
      <c r="BQ39" s="702"/>
      <c r="BR39" s="702"/>
      <c r="BS39" s="702"/>
      <c r="BT39" s="702"/>
      <c r="BU39" s="702"/>
      <c r="BV39" s="238"/>
      <c r="BW39" s="702"/>
      <c r="BX39" s="702"/>
      <c r="BY39" s="702"/>
      <c r="BZ39" s="702"/>
      <c r="CA39" s="702"/>
      <c r="CB39" s="238"/>
      <c r="CC39" s="702"/>
      <c r="CD39" s="702"/>
      <c r="CE39" s="702"/>
      <c r="CF39" s="702"/>
      <c r="CG39" s="702"/>
      <c r="CI39" s="806"/>
      <c r="CQ39" s="36"/>
    </row>
    <row r="40" spans="1:95" ht="11.25" customHeight="1" x14ac:dyDescent="0.2">
      <c r="A40" s="24"/>
      <c r="B40" s="93" t="s">
        <v>203</v>
      </c>
      <c r="C40" s="250">
        <v>0</v>
      </c>
      <c r="D40" s="250">
        <v>0</v>
      </c>
      <c r="E40" s="250">
        <v>0</v>
      </c>
      <c r="F40" s="250">
        <v>0</v>
      </c>
      <c r="G40" s="248">
        <f t="shared" ref="G40:G45" si="0">F40</f>
        <v>0</v>
      </c>
      <c r="H40" s="128"/>
      <c r="I40" s="250">
        <v>0</v>
      </c>
      <c r="J40" s="250">
        <v>0</v>
      </c>
      <c r="K40" s="250">
        <v>0</v>
      </c>
      <c r="L40" s="250">
        <v>0</v>
      </c>
      <c r="M40" s="248">
        <f t="shared" ref="M40:M45" si="1">L40</f>
        <v>0</v>
      </c>
      <c r="N40" s="128"/>
      <c r="O40" s="250">
        <v>0</v>
      </c>
      <c r="P40" s="250">
        <v>0</v>
      </c>
      <c r="Q40" s="250">
        <v>0</v>
      </c>
      <c r="R40" s="250">
        <v>0</v>
      </c>
      <c r="S40" s="248">
        <f t="shared" ref="S40:S45" si="2">R40</f>
        <v>0</v>
      </c>
      <c r="T40" s="128"/>
      <c r="U40" s="250">
        <v>0</v>
      </c>
      <c r="V40" s="250">
        <v>0</v>
      </c>
      <c r="W40" s="250">
        <v>0</v>
      </c>
      <c r="X40" s="250">
        <v>0</v>
      </c>
      <c r="Y40" s="248">
        <f t="shared" ref="Y40:Y45" si="3">X40</f>
        <v>0</v>
      </c>
      <c r="Z40" s="128"/>
      <c r="AA40" s="250">
        <v>0</v>
      </c>
      <c r="AB40" s="481">
        <v>0</v>
      </c>
      <c r="AC40" s="481">
        <v>0</v>
      </c>
      <c r="AD40" s="481">
        <v>0</v>
      </c>
      <c r="AE40" s="68">
        <f t="shared" ref="AE40:AE45" si="4">AD40</f>
        <v>0</v>
      </c>
      <c r="AF40" s="238"/>
      <c r="AG40" s="250">
        <v>0</v>
      </c>
      <c r="AH40" s="481">
        <v>0</v>
      </c>
      <c r="AI40" s="481">
        <v>0</v>
      </c>
      <c r="AJ40" s="481">
        <v>0</v>
      </c>
      <c r="AK40" s="68">
        <f t="shared" ref="AK40:AK45" si="5">AJ40</f>
        <v>0</v>
      </c>
      <c r="AL40" s="238"/>
      <c r="AM40" s="481">
        <v>0</v>
      </c>
      <c r="AN40" s="481">
        <v>0</v>
      </c>
      <c r="AO40" s="481">
        <v>0</v>
      </c>
      <c r="AP40" s="481">
        <v>0</v>
      </c>
      <c r="AQ40" s="68">
        <f t="shared" ref="AQ40:AQ45" si="6">AP40</f>
        <v>0</v>
      </c>
      <c r="AR40" s="238"/>
      <c r="AS40" s="481">
        <v>0</v>
      </c>
      <c r="AT40" s="481">
        <v>0</v>
      </c>
      <c r="AU40" s="481">
        <v>0</v>
      </c>
      <c r="AV40" s="481">
        <v>0</v>
      </c>
      <c r="AW40" s="68">
        <f t="shared" ref="AW40:AW45" si="7">AV40</f>
        <v>0</v>
      </c>
      <c r="AX40" s="238"/>
      <c r="AY40" s="536">
        <v>0</v>
      </c>
      <c r="AZ40" s="536">
        <v>0</v>
      </c>
      <c r="BA40" s="536">
        <v>0</v>
      </c>
      <c r="BB40" s="536">
        <v>0</v>
      </c>
      <c r="BC40" s="68">
        <f t="shared" ref="BC40:BC45" si="8">BB40</f>
        <v>0</v>
      </c>
      <c r="BD40" s="238"/>
      <c r="BE40" s="536">
        <f>BC40</f>
        <v>0</v>
      </c>
      <c r="BF40" s="536">
        <v>0</v>
      </c>
      <c r="BG40" s="536">
        <v>0</v>
      </c>
      <c r="BH40" s="536">
        <v>0</v>
      </c>
      <c r="BI40" s="68">
        <f t="shared" ref="BI40:BI41" si="9">BH40</f>
        <v>0</v>
      </c>
      <c r="BJ40" s="238"/>
      <c r="BK40" s="536">
        <v>0</v>
      </c>
      <c r="BL40" s="536">
        <v>0</v>
      </c>
      <c r="BM40" s="536">
        <v>0</v>
      </c>
      <c r="BN40" s="536">
        <f t="shared" ref="BN40:BO41" si="10">BM40</f>
        <v>0</v>
      </c>
      <c r="BO40" s="68">
        <f t="shared" si="10"/>
        <v>0</v>
      </c>
      <c r="BP40" s="238"/>
      <c r="BQ40" s="68">
        <f>BN40</f>
        <v>0</v>
      </c>
      <c r="BR40" s="68">
        <f t="shared" ref="BR40:BU41" si="11">BQ40</f>
        <v>0</v>
      </c>
      <c r="BS40" s="68">
        <f t="shared" si="11"/>
        <v>0</v>
      </c>
      <c r="BT40" s="68">
        <f t="shared" si="11"/>
        <v>0</v>
      </c>
      <c r="BU40" s="68">
        <f t="shared" si="11"/>
        <v>0</v>
      </c>
      <c r="BV40" s="238"/>
      <c r="BW40" s="68">
        <f>BT40</f>
        <v>0</v>
      </c>
      <c r="BX40" s="68">
        <f t="shared" ref="BX40:CA41" si="12">BW40</f>
        <v>0</v>
      </c>
      <c r="BY40" s="68">
        <f t="shared" si="12"/>
        <v>0</v>
      </c>
      <c r="BZ40" s="68">
        <f t="shared" si="12"/>
        <v>0</v>
      </c>
      <c r="CA40" s="68">
        <f t="shared" si="12"/>
        <v>0</v>
      </c>
      <c r="CB40" s="238"/>
      <c r="CC40" s="68">
        <f>BZ40</f>
        <v>0</v>
      </c>
      <c r="CD40" s="68">
        <f t="shared" ref="CD40:CG41" si="13">CC40</f>
        <v>0</v>
      </c>
      <c r="CE40" s="68">
        <f t="shared" si="13"/>
        <v>0</v>
      </c>
      <c r="CF40" s="68">
        <f t="shared" si="13"/>
        <v>0</v>
      </c>
      <c r="CG40" s="68">
        <f t="shared" si="13"/>
        <v>0</v>
      </c>
      <c r="CI40" s="806"/>
      <c r="CQ40" s="36"/>
    </row>
    <row r="41" spans="1:95" ht="11.25" customHeight="1" x14ac:dyDescent="0.2">
      <c r="A41" s="24"/>
      <c r="B41" s="93" t="s">
        <v>199</v>
      </c>
      <c r="C41" s="233">
        <v>1.6279999999999999</v>
      </c>
      <c r="D41" s="233">
        <v>1.6279999999999999</v>
      </c>
      <c r="E41" s="233">
        <v>1.6279999999999999</v>
      </c>
      <c r="F41" s="233">
        <v>1.6279999999999999</v>
      </c>
      <c r="G41" s="234">
        <f t="shared" si="0"/>
        <v>1.6279999999999999</v>
      </c>
      <c r="H41" s="128"/>
      <c r="I41" s="233">
        <v>1.6279999999999999</v>
      </c>
      <c r="J41" s="233">
        <v>1.6279999999999999</v>
      </c>
      <c r="K41" s="233">
        <v>1.6279999999999999</v>
      </c>
      <c r="L41" s="233">
        <v>1.6279999999999999</v>
      </c>
      <c r="M41" s="234">
        <f t="shared" si="1"/>
        <v>1.6279999999999999</v>
      </c>
      <c r="N41" s="128"/>
      <c r="O41" s="233">
        <v>1.6279999999999999</v>
      </c>
      <c r="P41" s="233">
        <v>1.6279999999999999</v>
      </c>
      <c r="Q41" s="233">
        <v>1.6279999999999999</v>
      </c>
      <c r="R41" s="233">
        <v>1.6279999999999999</v>
      </c>
      <c r="S41" s="234">
        <f t="shared" si="2"/>
        <v>1.6279999999999999</v>
      </c>
      <c r="T41" s="128"/>
      <c r="U41" s="233">
        <v>1.6279999999999999</v>
      </c>
      <c r="V41" s="233">
        <v>1.6279999999999999</v>
      </c>
      <c r="W41" s="233">
        <v>1.6279999999999999</v>
      </c>
      <c r="X41" s="233">
        <v>1.6279999999999999</v>
      </c>
      <c r="Y41" s="234">
        <f t="shared" si="3"/>
        <v>1.6279999999999999</v>
      </c>
      <c r="Z41" s="128"/>
      <c r="AA41" s="233">
        <v>1.6279999999999999</v>
      </c>
      <c r="AB41" s="251">
        <v>1.6279999999999999</v>
      </c>
      <c r="AC41" s="251">
        <v>1.6279999999999999</v>
      </c>
      <c r="AD41" s="251">
        <v>1.6279999999999999</v>
      </c>
      <c r="AE41" s="237">
        <f t="shared" si="4"/>
        <v>1.6279999999999999</v>
      </c>
      <c r="AF41" s="238"/>
      <c r="AG41" s="233">
        <v>1.6279999999999999</v>
      </c>
      <c r="AH41" s="251">
        <v>1.6279999999999999</v>
      </c>
      <c r="AI41" s="251">
        <v>1.6279999999999999</v>
      </c>
      <c r="AJ41" s="251">
        <v>1.6279999999999999</v>
      </c>
      <c r="AK41" s="237">
        <f t="shared" si="5"/>
        <v>1.6279999999999999</v>
      </c>
      <c r="AL41" s="238"/>
      <c r="AM41" s="251">
        <v>1.6279999999999999</v>
      </c>
      <c r="AN41" s="251">
        <v>1.6279999999999999</v>
      </c>
      <c r="AO41" s="251">
        <v>1.6279999999999999</v>
      </c>
      <c r="AP41" s="251">
        <v>1.6279999999999999</v>
      </c>
      <c r="AQ41" s="237">
        <f t="shared" si="6"/>
        <v>1.6279999999999999</v>
      </c>
      <c r="AR41" s="238"/>
      <c r="AS41" s="251">
        <v>1.6279999999999999</v>
      </c>
      <c r="AT41" s="251">
        <v>1.6279999999999999</v>
      </c>
      <c r="AU41" s="251">
        <v>1.6279999999999999</v>
      </c>
      <c r="AV41" s="251">
        <v>1.6279999999999999</v>
      </c>
      <c r="AW41" s="237">
        <f t="shared" si="7"/>
        <v>1.6279999999999999</v>
      </c>
      <c r="AX41" s="238"/>
      <c r="AY41" s="536">
        <v>1.6279999999999999</v>
      </c>
      <c r="AZ41" s="536">
        <v>1.6279999999999999</v>
      </c>
      <c r="BA41" s="536">
        <v>1.6</v>
      </c>
      <c r="BB41" s="536">
        <v>1.6</v>
      </c>
      <c r="BC41" s="68">
        <f>BB41</f>
        <v>1.6</v>
      </c>
      <c r="BD41" s="238"/>
      <c r="BE41" s="536">
        <v>2.6</v>
      </c>
      <c r="BF41" s="536">
        <v>2.6</v>
      </c>
      <c r="BG41" s="536">
        <v>2.6</v>
      </c>
      <c r="BH41" s="536">
        <v>2.6</v>
      </c>
      <c r="BI41" s="68">
        <f t="shared" si="9"/>
        <v>2.6</v>
      </c>
      <c r="BJ41" s="238"/>
      <c r="BK41" s="536">
        <v>2.6</v>
      </c>
      <c r="BL41" s="536">
        <v>2.6</v>
      </c>
      <c r="BM41" s="536">
        <v>2.6</v>
      </c>
      <c r="BN41" s="536">
        <v>2.6</v>
      </c>
      <c r="BO41" s="68">
        <f t="shared" si="10"/>
        <v>2.6</v>
      </c>
      <c r="BP41" s="238"/>
      <c r="BQ41" s="68">
        <f>BN41</f>
        <v>2.6</v>
      </c>
      <c r="BR41" s="68">
        <f t="shared" si="11"/>
        <v>2.6</v>
      </c>
      <c r="BS41" s="68">
        <f t="shared" si="11"/>
        <v>2.6</v>
      </c>
      <c r="BT41" s="68">
        <f t="shared" si="11"/>
        <v>2.6</v>
      </c>
      <c r="BU41" s="68">
        <f t="shared" si="11"/>
        <v>2.6</v>
      </c>
      <c r="BV41" s="238"/>
      <c r="BW41" s="68">
        <f>BT41</f>
        <v>2.6</v>
      </c>
      <c r="BX41" s="68">
        <f t="shared" si="12"/>
        <v>2.6</v>
      </c>
      <c r="BY41" s="68">
        <f t="shared" si="12"/>
        <v>2.6</v>
      </c>
      <c r="BZ41" s="68">
        <f t="shared" si="12"/>
        <v>2.6</v>
      </c>
      <c r="CA41" s="68">
        <f t="shared" si="12"/>
        <v>2.6</v>
      </c>
      <c r="CB41" s="238"/>
      <c r="CC41" s="68">
        <f>BZ41</f>
        <v>2.6</v>
      </c>
      <c r="CD41" s="68">
        <f t="shared" si="13"/>
        <v>2.6</v>
      </c>
      <c r="CE41" s="68">
        <f t="shared" si="13"/>
        <v>2.6</v>
      </c>
      <c r="CF41" s="68">
        <f t="shared" si="13"/>
        <v>2.6</v>
      </c>
      <c r="CG41" s="68">
        <f t="shared" si="13"/>
        <v>2.6</v>
      </c>
      <c r="CI41" s="806"/>
      <c r="CQ41" s="36"/>
    </row>
    <row r="42" spans="1:95" ht="11.25" customHeight="1" x14ac:dyDescent="0.2">
      <c r="A42" s="24"/>
      <c r="B42" s="93" t="s">
        <v>267</v>
      </c>
      <c r="C42" s="233">
        <v>167.98099999999999</v>
      </c>
      <c r="D42" s="233">
        <v>167.76599999999999</v>
      </c>
      <c r="E42" s="233">
        <v>169.40899999999999</v>
      </c>
      <c r="F42" s="233">
        <v>173.084</v>
      </c>
      <c r="G42" s="234">
        <f t="shared" si="0"/>
        <v>173.084</v>
      </c>
      <c r="H42" s="128"/>
      <c r="I42" s="233">
        <v>176.32</v>
      </c>
      <c r="J42" s="233">
        <v>180.196</v>
      </c>
      <c r="K42" s="233">
        <v>186.27500000000001</v>
      </c>
      <c r="L42" s="233">
        <v>187.154</v>
      </c>
      <c r="M42" s="234">
        <f t="shared" si="1"/>
        <v>187.154</v>
      </c>
      <c r="N42" s="128"/>
      <c r="O42" s="233">
        <v>190.238</v>
      </c>
      <c r="P42" s="233">
        <v>192.501</v>
      </c>
      <c r="Q42" s="233">
        <v>195.78100000000001</v>
      </c>
      <c r="R42" s="233">
        <v>195.495</v>
      </c>
      <c r="S42" s="234">
        <f t="shared" si="2"/>
        <v>195.495</v>
      </c>
      <c r="T42" s="128"/>
      <c r="U42" s="233">
        <v>194.80600000000001</v>
      </c>
      <c r="V42" s="233">
        <v>198.23699999999999</v>
      </c>
      <c r="W42" s="233">
        <v>202.482</v>
      </c>
      <c r="X42" s="233">
        <v>204.90199999999999</v>
      </c>
      <c r="Y42" s="234">
        <f t="shared" si="3"/>
        <v>204.90199999999999</v>
      </c>
      <c r="Z42" s="128"/>
      <c r="AA42" s="233">
        <v>223.74799999999999</v>
      </c>
      <c r="AB42" s="240">
        <v>227.071</v>
      </c>
      <c r="AC42" s="240">
        <v>231.82499999999999</v>
      </c>
      <c r="AD42" s="240">
        <v>229.68700000000001</v>
      </c>
      <c r="AE42" s="237">
        <f t="shared" si="4"/>
        <v>229.68700000000001</v>
      </c>
      <c r="AF42" s="239"/>
      <c r="AG42" s="233">
        <v>224.84100000000001</v>
      </c>
      <c r="AH42" s="240">
        <v>230.86199999999999</v>
      </c>
      <c r="AI42" s="240">
        <v>241.84399999999999</v>
      </c>
      <c r="AJ42" s="240">
        <v>246.548</v>
      </c>
      <c r="AK42" s="237">
        <f t="shared" si="5"/>
        <v>246.548</v>
      </c>
      <c r="AL42" s="239"/>
      <c r="AM42" s="240">
        <v>238.94499999999999</v>
      </c>
      <c r="AN42" s="240">
        <v>244.59800000000001</v>
      </c>
      <c r="AO42" s="240">
        <v>250.15299999999999</v>
      </c>
      <c r="AP42" s="240">
        <v>255.27199999999999</v>
      </c>
      <c r="AQ42" s="237">
        <f t="shared" si="6"/>
        <v>255.27199999999999</v>
      </c>
      <c r="AR42" s="239"/>
      <c r="AS42" s="240">
        <v>211.46700000000001</v>
      </c>
      <c r="AT42" s="240">
        <v>217.274</v>
      </c>
      <c r="AU42" s="240">
        <v>227.02699999999999</v>
      </c>
      <c r="AV42" s="240">
        <v>221.66900000000001</v>
      </c>
      <c r="AW42" s="237">
        <f t="shared" si="7"/>
        <v>221.66900000000001</v>
      </c>
      <c r="AX42" s="239"/>
      <c r="AY42" s="536">
        <v>211.114</v>
      </c>
      <c r="AZ42" s="536">
        <v>225.00200000000001</v>
      </c>
      <c r="BA42" s="536">
        <v>232</v>
      </c>
      <c r="BB42" s="536">
        <v>237.8</v>
      </c>
      <c r="BC42" s="237">
        <f t="shared" si="8"/>
        <v>237.8</v>
      </c>
      <c r="BD42" s="239"/>
      <c r="BE42" s="536">
        <v>6489.7</v>
      </c>
      <c r="BF42" s="536">
        <v>6498.8</v>
      </c>
      <c r="BG42" s="536">
        <v>6509.3</v>
      </c>
      <c r="BH42" s="536">
        <v>6516.7</v>
      </c>
      <c r="BI42" s="237">
        <f>BH42</f>
        <v>6516.7</v>
      </c>
      <c r="BJ42" s="239"/>
      <c r="BK42" s="536">
        <v>6516.2</v>
      </c>
      <c r="BL42" s="536">
        <v>6527.4</v>
      </c>
      <c r="BM42" s="536">
        <v>6544.9</v>
      </c>
      <c r="BN42" s="536">
        <v>6543.9</v>
      </c>
      <c r="BO42" s="237">
        <f>BN42</f>
        <v>6543.9</v>
      </c>
      <c r="BP42" s="239"/>
      <c r="BQ42" s="237">
        <f>BN42+CashFlow!BQ14+CashFlow!BQ16+CashFlow!BQ50+CashFlow!BQ51</f>
        <v>6564.2514048923176</v>
      </c>
      <c r="BR42" s="237">
        <f>BQ42+CashFlow!BR14+CashFlow!BR16+CashFlow!BR50+CashFlow!BR51</f>
        <v>6588.1896296192681</v>
      </c>
      <c r="BS42" s="237">
        <f>BR42+CashFlow!BS14+CashFlow!BS16+CashFlow!BS50+CashFlow!BS51</f>
        <v>6611.4298328662871</v>
      </c>
      <c r="BT42" s="237">
        <f>BS42+CashFlow!BT14+CashFlow!BT16+CashFlow!BT50+CashFlow!BT51</f>
        <v>6634.7233015815464</v>
      </c>
      <c r="BU42" s="237">
        <f>BT42</f>
        <v>6634.7233015815464</v>
      </c>
      <c r="BV42" s="239"/>
      <c r="BW42" s="237">
        <f>BT42+CashFlow!BW14+CashFlow!BW16+CashFlow!BW50+CashFlow!BW51</f>
        <v>6657.8566019748241</v>
      </c>
      <c r="BX42" s="237">
        <f>BW42+CashFlow!BX14+CashFlow!BX16+CashFlow!BX50+CashFlow!BX51</f>
        <v>6686.0429379757943</v>
      </c>
      <c r="BY42" s="237">
        <f>BX42+CashFlow!BY14+CashFlow!BY16+CashFlow!BY50+CashFlow!BY51</f>
        <v>6713.5287053749253</v>
      </c>
      <c r="BZ42" s="237">
        <f>BY42+CashFlow!BZ14+CashFlow!BZ16+CashFlow!BZ50+CashFlow!BZ51</f>
        <v>6740.98460758896</v>
      </c>
      <c r="CA42" s="237">
        <f>BZ42</f>
        <v>6740.98460758896</v>
      </c>
      <c r="CB42" s="239"/>
      <c r="CC42" s="237">
        <f>BZ42+CashFlow!CC14+CashFlow!CC16+CashFlow!CC50+CashFlow!CC51</f>
        <v>6768.3889192067099</v>
      </c>
      <c r="CD42" s="237">
        <f>CC42+CashFlow!CD14+CashFlow!CD16+CashFlow!CD50+CashFlow!CD51</f>
        <v>6802.0091203892443</v>
      </c>
      <c r="CE42" s="237">
        <f>CD42+CashFlow!CE14+CashFlow!CE16+CashFlow!CE50+CashFlow!CE51</f>
        <v>6834.5467447145711</v>
      </c>
      <c r="CF42" s="237">
        <f>CE42+CashFlow!CF14+CashFlow!CF16+CashFlow!CF50+CashFlow!CF51</f>
        <v>6866.8603695889615</v>
      </c>
      <c r="CG42" s="237">
        <f>CF42</f>
        <v>6866.8603695889615</v>
      </c>
      <c r="CI42" s="806"/>
      <c r="CQ42" s="36"/>
    </row>
    <row r="43" spans="1:95" ht="11.25" customHeight="1" x14ac:dyDescent="0.2">
      <c r="A43" s="24"/>
      <c r="B43" s="93" t="s">
        <v>28</v>
      </c>
      <c r="C43" s="233">
        <v>1400.4780000000001</v>
      </c>
      <c r="D43" s="233">
        <v>1460.5260000000001</v>
      </c>
      <c r="E43" s="233">
        <v>1519.461</v>
      </c>
      <c r="F43" s="233">
        <v>1582.683</v>
      </c>
      <c r="G43" s="234">
        <f t="shared" si="0"/>
        <v>1582.683</v>
      </c>
      <c r="H43" s="86"/>
      <c r="I43" s="233">
        <v>1644.1489999999999</v>
      </c>
      <c r="J43" s="233">
        <v>1716.0830000000001</v>
      </c>
      <c r="K43" s="233">
        <v>1775.41</v>
      </c>
      <c r="L43" s="233">
        <v>1838.9580000000001</v>
      </c>
      <c r="M43" s="234">
        <f t="shared" si="1"/>
        <v>1838.9580000000001</v>
      </c>
      <c r="N43" s="86"/>
      <c r="O43" s="233">
        <v>1893.242</v>
      </c>
      <c r="P43" s="233">
        <v>1955.9770000000001</v>
      </c>
      <c r="Q43" s="233">
        <v>2016.0070000000001</v>
      </c>
      <c r="R43" s="233">
        <v>2083.4589999999998</v>
      </c>
      <c r="S43" s="234">
        <f t="shared" si="2"/>
        <v>2083.4589999999998</v>
      </c>
      <c r="T43" s="86"/>
      <c r="U43" s="233">
        <v>2137.9520000000002</v>
      </c>
      <c r="V43" s="233">
        <v>2202.13</v>
      </c>
      <c r="W43" s="233">
        <v>2258.5309999999999</v>
      </c>
      <c r="X43" s="233">
        <v>2320.35</v>
      </c>
      <c r="Y43" s="234">
        <f t="shared" si="3"/>
        <v>2320.35</v>
      </c>
      <c r="Z43" s="86"/>
      <c r="AA43" s="233">
        <v>2382.3359999999998</v>
      </c>
      <c r="AB43" s="233">
        <v>2449.4630000000002</v>
      </c>
      <c r="AC43" s="233">
        <v>2502.9450000000002</v>
      </c>
      <c r="AD43" s="233">
        <v>2535.7089999999998</v>
      </c>
      <c r="AE43" s="237">
        <f t="shared" si="4"/>
        <v>2535.7089999999998</v>
      </c>
      <c r="AF43" s="50"/>
      <c r="AG43" s="233">
        <v>2581.134</v>
      </c>
      <c r="AH43" s="233">
        <v>2654.0439999999999</v>
      </c>
      <c r="AI43" s="233">
        <v>2699.5459999999998</v>
      </c>
      <c r="AJ43" s="233">
        <v>2818.4609999999998</v>
      </c>
      <c r="AK43" s="237">
        <f t="shared" si="5"/>
        <v>2818.4609999999998</v>
      </c>
      <c r="AL43" s="50"/>
      <c r="AM43" s="233">
        <v>2881.1260000000002</v>
      </c>
      <c r="AN43" s="233">
        <v>2959.3910000000001</v>
      </c>
      <c r="AO43" s="233">
        <v>3030.252</v>
      </c>
      <c r="AP43" s="233">
        <v>3095.721</v>
      </c>
      <c r="AQ43" s="237">
        <f t="shared" si="6"/>
        <v>3095.721</v>
      </c>
      <c r="AR43" s="50"/>
      <c r="AS43" s="233">
        <v>3159.123</v>
      </c>
      <c r="AT43" s="233">
        <v>3239.6410000000001</v>
      </c>
      <c r="AU43" s="233">
        <v>3305.4479999999999</v>
      </c>
      <c r="AV43" s="233">
        <v>3380.748</v>
      </c>
      <c r="AW43" s="237">
        <f t="shared" si="7"/>
        <v>3380.748</v>
      </c>
      <c r="AX43" s="50"/>
      <c r="AY43" s="536">
        <v>3434.4839999999999</v>
      </c>
      <c r="AZ43" s="536">
        <v>3468.364</v>
      </c>
      <c r="BA43" s="536">
        <v>3542.7</v>
      </c>
      <c r="BB43" s="536">
        <v>3591</v>
      </c>
      <c r="BC43" s="237">
        <f t="shared" si="8"/>
        <v>3591</v>
      </c>
      <c r="BD43" s="50"/>
      <c r="BE43" s="536">
        <v>3697.5</v>
      </c>
      <c r="BF43" s="536">
        <v>3784.7</v>
      </c>
      <c r="BG43" s="536">
        <v>3859</v>
      </c>
      <c r="BH43" s="536">
        <v>3948</v>
      </c>
      <c r="BI43" s="237">
        <f>BH43</f>
        <v>3948</v>
      </c>
      <c r="BJ43" s="50"/>
      <c r="BK43" s="536">
        <v>3986.4</v>
      </c>
      <c r="BL43" s="536">
        <v>2915.6</v>
      </c>
      <c r="BM43" s="536">
        <v>2986</v>
      </c>
      <c r="BN43" s="536">
        <v>2316.1999999999998</v>
      </c>
      <c r="BO43" s="237">
        <f>BN43</f>
        <v>2316.1999999999998</v>
      </c>
      <c r="BP43" s="50"/>
      <c r="BQ43" s="237">
        <f>BN43+CashFlow!BQ9+CashFlow!BQ45</f>
        <v>2362.0843041427547</v>
      </c>
      <c r="BR43" s="237">
        <f>BQ43+CashFlow!BR9+CashFlow!BR45</f>
        <v>2435.7849036562043</v>
      </c>
      <c r="BS43" s="237">
        <f>BR43+CashFlow!BS9+CashFlow!BS45</f>
        <v>2514.9264638480308</v>
      </c>
      <c r="BT43" s="237">
        <f>BS43+CashFlow!BT9+CashFlow!BT45</f>
        <v>2649.8708673917267</v>
      </c>
      <c r="BU43" s="237">
        <f>BT43</f>
        <v>2649.8708673917267</v>
      </c>
      <c r="BV43" s="50"/>
      <c r="BW43" s="237">
        <f>BT43+CashFlow!BW9+CashFlow!BW45</f>
        <v>2740.3209372005344</v>
      </c>
      <c r="BX43" s="237">
        <f>BW43+CashFlow!BX9+CashFlow!BX45</f>
        <v>2845.7515764682348</v>
      </c>
      <c r="BY43" s="237">
        <f>BX43+CashFlow!BY9+CashFlow!BY45</f>
        <v>2934.3769350263969</v>
      </c>
      <c r="BZ43" s="237">
        <f>BY43+CashFlow!BZ9+CashFlow!BZ45</f>
        <v>3068.358473176499</v>
      </c>
      <c r="CA43" s="237">
        <f>BZ43</f>
        <v>3068.358473176499</v>
      </c>
      <c r="CB43" s="50"/>
      <c r="CC43" s="237">
        <f>BZ43+CashFlow!CC9+CashFlow!CC45</f>
        <v>3173.7372747016675</v>
      </c>
      <c r="CD43" s="237">
        <f>CC43+CashFlow!CD9+CashFlow!CD45</f>
        <v>3295.9162658226483</v>
      </c>
      <c r="CE43" s="237">
        <f>CD43+CashFlow!CE9+CashFlow!CE45</f>
        <v>3402.7222248824046</v>
      </c>
      <c r="CF43" s="237">
        <f>CE43+CashFlow!CF9+CashFlow!CF45</f>
        <v>3554.8833225909389</v>
      </c>
      <c r="CG43" s="237">
        <f>CF43</f>
        <v>3554.8833225909389</v>
      </c>
      <c r="CI43" s="806"/>
      <c r="CQ43" s="36"/>
    </row>
    <row r="44" spans="1:95" ht="11.25" customHeight="1" x14ac:dyDescent="0.2">
      <c r="A44" s="24"/>
      <c r="B44" s="93" t="s">
        <v>79</v>
      </c>
      <c r="C44" s="233">
        <v>87.882000000000005</v>
      </c>
      <c r="D44" s="233">
        <v>101.858</v>
      </c>
      <c r="E44" s="233">
        <v>124.136</v>
      </c>
      <c r="F44" s="233">
        <v>145.81899999999999</v>
      </c>
      <c r="G44" s="234">
        <f t="shared" si="0"/>
        <v>145.81899999999999</v>
      </c>
      <c r="H44" s="86"/>
      <c r="I44" s="233">
        <v>167.37899999999999</v>
      </c>
      <c r="J44" s="233">
        <v>184.61500000000001</v>
      </c>
      <c r="K44" s="233">
        <v>91.826999999999998</v>
      </c>
      <c r="L44" s="233">
        <v>39.612000000000002</v>
      </c>
      <c r="M44" s="234">
        <f t="shared" si="1"/>
        <v>39.612000000000002</v>
      </c>
      <c r="N44" s="86"/>
      <c r="O44" s="233">
        <v>8.3030000000000008</v>
      </c>
      <c r="P44" s="233">
        <v>58.277000000000001</v>
      </c>
      <c r="Q44" s="233">
        <v>95.138999999999996</v>
      </c>
      <c r="R44" s="233">
        <v>83.542000000000002</v>
      </c>
      <c r="S44" s="234">
        <f t="shared" si="2"/>
        <v>83.542000000000002</v>
      </c>
      <c r="T44" s="86"/>
      <c r="U44" s="233">
        <v>34.606999999999999</v>
      </c>
      <c r="V44" s="233">
        <v>-55.677999999999997</v>
      </c>
      <c r="W44" s="233">
        <v>41.82</v>
      </c>
      <c r="X44" s="233">
        <v>24.155999999999999</v>
      </c>
      <c r="Y44" s="234">
        <f t="shared" si="3"/>
        <v>24.155999999999999</v>
      </c>
      <c r="Z44" s="86"/>
      <c r="AA44" s="233">
        <v>88.265000000000001</v>
      </c>
      <c r="AB44" s="233">
        <v>103.51300000000001</v>
      </c>
      <c r="AC44" s="233">
        <v>-146.68299999999999</v>
      </c>
      <c r="AD44" s="233">
        <v>-190.97</v>
      </c>
      <c r="AE44" s="237">
        <f t="shared" si="4"/>
        <v>-190.97</v>
      </c>
      <c r="AF44" s="50"/>
      <c r="AG44" s="233">
        <v>-68.031000000000006</v>
      </c>
      <c r="AH44" s="233">
        <v>-203.71199999999999</v>
      </c>
      <c r="AI44" s="233">
        <v>-95.778999999999996</v>
      </c>
      <c r="AJ44" s="233">
        <v>-144.19999999999999</v>
      </c>
      <c r="AK44" s="237">
        <f t="shared" si="5"/>
        <v>-144.19999999999999</v>
      </c>
      <c r="AL44" s="50"/>
      <c r="AM44" s="233">
        <v>-199.101</v>
      </c>
      <c r="AN44" s="233">
        <v>-223.22200000000001</v>
      </c>
      <c r="AO44" s="233">
        <v>-120.104</v>
      </c>
      <c r="AP44" s="233">
        <v>-69.061999999999998</v>
      </c>
      <c r="AQ44" s="237">
        <f t="shared" si="6"/>
        <v>-69.061999999999998</v>
      </c>
      <c r="AR44" s="50"/>
      <c r="AS44" s="233">
        <v>-75.665000000000006</v>
      </c>
      <c r="AT44" s="233">
        <v>-97.998999999999995</v>
      </c>
      <c r="AU44" s="233">
        <v>-253.05500000000001</v>
      </c>
      <c r="AV44" s="233">
        <v>-441.13600000000002</v>
      </c>
      <c r="AW44" s="237">
        <f t="shared" si="7"/>
        <v>-441.13600000000002</v>
      </c>
      <c r="AX44" s="50"/>
      <c r="AY44" s="536">
        <v>-573.56700000000001</v>
      </c>
      <c r="AZ44" s="536">
        <v>-475.00599999999997</v>
      </c>
      <c r="BA44" s="536">
        <v>-587.5</v>
      </c>
      <c r="BB44" s="536">
        <v>-594</v>
      </c>
      <c r="BC44" s="237">
        <f t="shared" si="8"/>
        <v>-594</v>
      </c>
      <c r="BD44" s="50"/>
      <c r="BE44" s="536">
        <v>-431.2</v>
      </c>
      <c r="BF44" s="536">
        <v>-514.6</v>
      </c>
      <c r="BG44" s="536">
        <v>-479.4</v>
      </c>
      <c r="BH44" s="536">
        <v>-705.7</v>
      </c>
      <c r="BI44" s="237">
        <f>BH44</f>
        <v>-705.7</v>
      </c>
      <c r="BJ44" s="50"/>
      <c r="BK44" s="536">
        <v>-658</v>
      </c>
      <c r="BL44" s="536">
        <v>-438</v>
      </c>
      <c r="BM44" s="536">
        <v>-318.60000000000002</v>
      </c>
      <c r="BN44" s="536">
        <v>-291</v>
      </c>
      <c r="BO44" s="237">
        <f>BN44</f>
        <v>-291</v>
      </c>
      <c r="BP44" s="50"/>
      <c r="BQ44" s="237">
        <f>BN44+CashFlow!BQ56+CashFlow!BQ61</f>
        <v>-291</v>
      </c>
      <c r="BR44" s="237">
        <f>BQ44+CashFlow!BR56+CashFlow!BR61</f>
        <v>-291</v>
      </c>
      <c r="BS44" s="237">
        <f>BR44+CashFlow!BS56+CashFlow!BS61</f>
        <v>-291</v>
      </c>
      <c r="BT44" s="237">
        <f>BS44+CashFlow!BT56+CashFlow!BT61</f>
        <v>-291</v>
      </c>
      <c r="BU44" s="237">
        <f>BT44</f>
        <v>-291</v>
      </c>
      <c r="BV44" s="50"/>
      <c r="BW44" s="237">
        <f>BT44+CashFlow!BW56+CashFlow!BW61</f>
        <v>-291</v>
      </c>
      <c r="BX44" s="237">
        <f>BW44+CashFlow!BX56+CashFlow!BX61</f>
        <v>-291</v>
      </c>
      <c r="BY44" s="237">
        <f>BX44+CashFlow!BY56+CashFlow!BY61</f>
        <v>-291</v>
      </c>
      <c r="BZ44" s="237">
        <f>BY44+CashFlow!BZ56+CashFlow!BZ61</f>
        <v>-291</v>
      </c>
      <c r="CA44" s="237">
        <f>BZ44</f>
        <v>-291</v>
      </c>
      <c r="CB44" s="50"/>
      <c r="CC44" s="237">
        <f>BZ44+CashFlow!CC56+CashFlow!CC61</f>
        <v>-291</v>
      </c>
      <c r="CD44" s="237">
        <f>CC44+CashFlow!CD56+CashFlow!CD61</f>
        <v>-291</v>
      </c>
      <c r="CE44" s="237">
        <f>CD44+CashFlow!CE56+CashFlow!CE61</f>
        <v>-291</v>
      </c>
      <c r="CF44" s="237">
        <f>CE44+CashFlow!CF56+CashFlow!CF61</f>
        <v>-291</v>
      </c>
      <c r="CG44" s="237">
        <f>CF44</f>
        <v>-291</v>
      </c>
      <c r="CI44" s="806"/>
      <c r="CQ44" s="36"/>
    </row>
    <row r="45" spans="1:95" ht="11.25" customHeight="1" x14ac:dyDescent="0.2">
      <c r="A45" s="24"/>
      <c r="B45" s="93" t="s">
        <v>200</v>
      </c>
      <c r="C45" s="233">
        <v>-319.94</v>
      </c>
      <c r="D45" s="233">
        <v>-333.29199999999997</v>
      </c>
      <c r="E45" s="233">
        <v>-360.99900000000002</v>
      </c>
      <c r="F45" s="233">
        <v>-387.108</v>
      </c>
      <c r="G45" s="234">
        <f t="shared" si="0"/>
        <v>-387.108</v>
      </c>
      <c r="H45" s="86"/>
      <c r="I45" s="233">
        <v>-469.53500000000003</v>
      </c>
      <c r="J45" s="233">
        <v>-473.33199999999999</v>
      </c>
      <c r="K45" s="233">
        <v>-468.721</v>
      </c>
      <c r="L45" s="233">
        <v>-479.63</v>
      </c>
      <c r="M45" s="234">
        <f t="shared" si="1"/>
        <v>-479.63</v>
      </c>
      <c r="N45" s="86"/>
      <c r="O45" s="233">
        <v>-479.26499999999999</v>
      </c>
      <c r="P45" s="233">
        <v>-475.76499999999999</v>
      </c>
      <c r="Q45" s="233">
        <v>-481.3</v>
      </c>
      <c r="R45" s="233">
        <v>-532.01900000000001</v>
      </c>
      <c r="S45" s="234">
        <f t="shared" si="2"/>
        <v>-532.01900000000001</v>
      </c>
      <c r="T45" s="86"/>
      <c r="U45" s="233">
        <v>-557.80499999999995</v>
      </c>
      <c r="V45" s="233">
        <v>-670.60299999999995</v>
      </c>
      <c r="W45" s="233">
        <v>-700.98</v>
      </c>
      <c r="X45" s="233">
        <v>-711.65</v>
      </c>
      <c r="Y45" s="234">
        <f t="shared" si="3"/>
        <v>-711.65</v>
      </c>
      <c r="Z45" s="86"/>
      <c r="AA45" s="233">
        <v>-750.63900000000001</v>
      </c>
      <c r="AB45" s="233">
        <v>-739.44500000000005</v>
      </c>
      <c r="AC45" s="233">
        <v>-736.02300000000002</v>
      </c>
      <c r="AD45" s="233">
        <v>-727.97699999999998</v>
      </c>
      <c r="AE45" s="237">
        <f t="shared" si="4"/>
        <v>-727.97699999999998</v>
      </c>
      <c r="AF45" s="50"/>
      <c r="AG45" s="233">
        <v>-730.95500000000004</v>
      </c>
      <c r="AH45" s="233">
        <v>-731.25300000000004</v>
      </c>
      <c r="AI45" s="233">
        <v>-725.16800000000001</v>
      </c>
      <c r="AJ45" s="233">
        <v>-713.73900000000003</v>
      </c>
      <c r="AK45" s="237">
        <f t="shared" si="5"/>
        <v>-713.73900000000003</v>
      </c>
      <c r="AL45" s="50"/>
      <c r="AM45" s="233">
        <v>-689.096</v>
      </c>
      <c r="AN45" s="233">
        <v>-732.21</v>
      </c>
      <c r="AO45" s="233">
        <v>-723.48800000000006</v>
      </c>
      <c r="AP45" s="233">
        <v>-748.50599999999997</v>
      </c>
      <c r="AQ45" s="237">
        <f t="shared" si="6"/>
        <v>-748.50599999999997</v>
      </c>
      <c r="AR45" s="50"/>
      <c r="AS45" s="233">
        <v>-773.52</v>
      </c>
      <c r="AT45" s="233">
        <v>-777.08100000000002</v>
      </c>
      <c r="AU45" s="233">
        <v>-785.94</v>
      </c>
      <c r="AV45" s="233">
        <v>-841.63</v>
      </c>
      <c r="AW45" s="237">
        <f t="shared" si="7"/>
        <v>-841.63</v>
      </c>
      <c r="AX45" s="50"/>
      <c r="AY45" s="536">
        <v>-900.86599999999999</v>
      </c>
      <c r="AZ45" s="536">
        <v>-905.11800000000005</v>
      </c>
      <c r="BA45" s="536">
        <v>-908.7</v>
      </c>
      <c r="BB45" s="536">
        <v>-898.4</v>
      </c>
      <c r="BC45" s="237">
        <f t="shared" si="8"/>
        <v>-898.4</v>
      </c>
      <c r="BD45" s="50"/>
      <c r="BE45" s="536">
        <v>-1376.8</v>
      </c>
      <c r="BF45" s="536">
        <v>-1460</v>
      </c>
      <c r="BG45" s="536">
        <v>-1547.4</v>
      </c>
      <c r="BH45" s="536">
        <v>-1647.3</v>
      </c>
      <c r="BI45" s="237">
        <f>BH45</f>
        <v>-1647.3</v>
      </c>
      <c r="BJ45" s="50"/>
      <c r="BK45" s="536">
        <v>-1695</v>
      </c>
      <c r="BL45" s="536">
        <v>-1745.1</v>
      </c>
      <c r="BM45" s="536">
        <v>-1737.1</v>
      </c>
      <c r="BN45" s="536">
        <v>-1955.4</v>
      </c>
      <c r="BO45" s="237">
        <f>BN45</f>
        <v>-1955.4</v>
      </c>
      <c r="BP45" s="50"/>
      <c r="BQ45" s="237">
        <f>BN45+CashFlow!BQ44</f>
        <v>-2080.4</v>
      </c>
      <c r="BR45" s="237">
        <f>BQ45+CashFlow!BR44</f>
        <v>-2205.4</v>
      </c>
      <c r="BS45" s="237">
        <f>BR45+CashFlow!BS44</f>
        <v>-2330.4</v>
      </c>
      <c r="BT45" s="237">
        <f>BS45+CashFlow!BT44</f>
        <v>-2455.4</v>
      </c>
      <c r="BU45" s="237">
        <f>BT45</f>
        <v>-2455.4</v>
      </c>
      <c r="BV45" s="50"/>
      <c r="BW45" s="237">
        <f>BT45+CashFlow!BW44</f>
        <v>-2605.4</v>
      </c>
      <c r="BX45" s="237">
        <f>BW45+CashFlow!BX44</f>
        <v>-2755.4</v>
      </c>
      <c r="BY45" s="237">
        <f>BX45+CashFlow!BY44</f>
        <v>-2905.4</v>
      </c>
      <c r="BZ45" s="237">
        <f>BY45+CashFlow!BZ44</f>
        <v>-3055.4</v>
      </c>
      <c r="CA45" s="237">
        <f>BZ45</f>
        <v>-3055.4</v>
      </c>
      <c r="CB45" s="50"/>
      <c r="CC45" s="237">
        <f>BZ45+CashFlow!CC44</f>
        <v>-3205.4</v>
      </c>
      <c r="CD45" s="237">
        <f>CC45+CashFlow!CD44</f>
        <v>-3355.4</v>
      </c>
      <c r="CE45" s="237">
        <f>CD45+CashFlow!CE44</f>
        <v>-3505.4</v>
      </c>
      <c r="CF45" s="237">
        <f>CE45+CashFlow!CF44</f>
        <v>-3655.4</v>
      </c>
      <c r="CG45" s="237">
        <f>CF45</f>
        <v>-3655.4</v>
      </c>
      <c r="CI45" s="806"/>
      <c r="CQ45" s="36"/>
    </row>
    <row r="46" spans="1:95" ht="11.25" customHeight="1" x14ac:dyDescent="0.2">
      <c r="A46" s="24"/>
      <c r="B46" s="59" t="s">
        <v>501</v>
      </c>
      <c r="C46" s="247">
        <f>SUM(C40:C45)</f>
        <v>1338.029</v>
      </c>
      <c r="D46" s="247">
        <f>SUM(D40:D45)</f>
        <v>1398.4860000000001</v>
      </c>
      <c r="E46" s="247">
        <f>SUM(E40:E45)</f>
        <v>1453.635</v>
      </c>
      <c r="F46" s="247">
        <f>SUM(F40:F45)</f>
        <v>1516.106</v>
      </c>
      <c r="G46" s="247">
        <f>SUM(G40:G45)</f>
        <v>1516.106</v>
      </c>
      <c r="H46" s="243"/>
      <c r="I46" s="247">
        <f>SUM(I40:I45)</f>
        <v>1519.9409999999996</v>
      </c>
      <c r="J46" s="247">
        <f>SUM(J40:J45)</f>
        <v>1609.19</v>
      </c>
      <c r="K46" s="247">
        <f>SUM(K40:K45)</f>
        <v>1586.4190000000003</v>
      </c>
      <c r="L46" s="247">
        <f>SUM(L40:L45)</f>
        <v>1587.7219999999998</v>
      </c>
      <c r="M46" s="247">
        <f t="shared" ref="M46:S46" si="14">SUM(M40:M45)</f>
        <v>1587.7219999999998</v>
      </c>
      <c r="N46" s="243"/>
      <c r="O46" s="247">
        <f t="shared" si="14"/>
        <v>1614.1460000000002</v>
      </c>
      <c r="P46" s="247">
        <f t="shared" si="14"/>
        <v>1732.6180000000004</v>
      </c>
      <c r="Q46" s="247">
        <f t="shared" si="14"/>
        <v>1827.2550000000003</v>
      </c>
      <c r="R46" s="247">
        <f t="shared" si="14"/>
        <v>1832.1049999999998</v>
      </c>
      <c r="S46" s="247">
        <f t="shared" si="14"/>
        <v>1832.1049999999998</v>
      </c>
      <c r="T46" s="243"/>
      <c r="U46" s="247">
        <f>SUM(U40:U45)</f>
        <v>1811.1880000000006</v>
      </c>
      <c r="V46" s="247">
        <f>SUM(V40:V45)</f>
        <v>1675.7139999999999</v>
      </c>
      <c r="W46" s="247">
        <f>SUM(W40:W45)</f>
        <v>1803.4810000000002</v>
      </c>
      <c r="X46" s="247">
        <f>SUM(X40:X45)</f>
        <v>1839.386</v>
      </c>
      <c r="Y46" s="247">
        <f>SUM(Y40:Y45)</f>
        <v>1839.386</v>
      </c>
      <c r="Z46" s="243"/>
      <c r="AA46" s="247">
        <f>SUM(AA40:AA45)</f>
        <v>1945.3379999999993</v>
      </c>
      <c r="AB46" s="247">
        <f>SUM(AB40:AB45)</f>
        <v>2042.23</v>
      </c>
      <c r="AC46" s="247">
        <f>SUM(AC40:AC45)</f>
        <v>1853.692</v>
      </c>
      <c r="AD46" s="247">
        <f>SUM(AD40:AD45)</f>
        <v>1848.0770000000002</v>
      </c>
      <c r="AE46" s="482">
        <f>SUM(AE40:AE45)</f>
        <v>1848.0770000000002</v>
      </c>
      <c r="AF46" s="50"/>
      <c r="AG46" s="247">
        <f>SUM(AG40:AG45)</f>
        <v>2008.6170000000002</v>
      </c>
      <c r="AH46" s="247">
        <f>SUM(AH40:AH45)</f>
        <v>1951.5689999999995</v>
      </c>
      <c r="AI46" s="247">
        <f>SUM(AI40:AI45)</f>
        <v>2122.0709999999999</v>
      </c>
      <c r="AJ46" s="247">
        <f>SUM(AJ40:AJ45)</f>
        <v>2208.6979999999999</v>
      </c>
      <c r="AK46" s="482">
        <f>SUM(AK40:AK45)</f>
        <v>2208.6979999999999</v>
      </c>
      <c r="AL46" s="50"/>
      <c r="AM46" s="482">
        <f>SUM(AM40:AM45)</f>
        <v>2233.502</v>
      </c>
      <c r="AN46" s="247">
        <f>SUM(AN40:AN45)</f>
        <v>2250.1849999999999</v>
      </c>
      <c r="AO46" s="247">
        <f>SUM(AO40:AO45)</f>
        <v>2438.4409999999998</v>
      </c>
      <c r="AP46" s="247">
        <f>SUM(AP40:AP45)</f>
        <v>2535.0530000000003</v>
      </c>
      <c r="AQ46" s="482">
        <f>SUM(AQ40:AQ45)</f>
        <v>2535.0530000000003</v>
      </c>
      <c r="AR46" s="50"/>
      <c r="AS46" s="247">
        <f>SUM(AS40:AS45)</f>
        <v>2523.0329999999999</v>
      </c>
      <c r="AT46" s="247">
        <f>SUM(AT40:AT45)</f>
        <v>2583.4630000000002</v>
      </c>
      <c r="AU46" s="482">
        <f>SUM(AU40:AU45)</f>
        <v>2495.1080000000002</v>
      </c>
      <c r="AV46" s="247">
        <f>SUM(AV40:AV45)</f>
        <v>2321.279</v>
      </c>
      <c r="AW46" s="482">
        <f>SUM(AW40:AW45)</f>
        <v>2321.279</v>
      </c>
      <c r="AX46" s="50"/>
      <c r="AY46" s="482">
        <f>SUM(AY40:AY45)</f>
        <v>2172.7930000000001</v>
      </c>
      <c r="AZ46" s="482">
        <f>SUM(AZ40:AZ45)</f>
        <v>2314.8700000000003</v>
      </c>
      <c r="BA46" s="482">
        <f>SUM(BA40:BA45)</f>
        <v>2280.0999999999995</v>
      </c>
      <c r="BB46" s="482">
        <f>SUM(BB40:BB45)</f>
        <v>2338</v>
      </c>
      <c r="BC46" s="482">
        <f>SUM(BC40:BC45)</f>
        <v>2338</v>
      </c>
      <c r="BD46" s="50"/>
      <c r="BE46" s="482">
        <f>SUM(BE40:BE45)</f>
        <v>8381.7999999999993</v>
      </c>
      <c r="BF46" s="482">
        <f>SUM(BF40:BF45)</f>
        <v>8311.5</v>
      </c>
      <c r="BG46" s="482">
        <f>SUM(BG40:BG45)</f>
        <v>8344.1000000000022</v>
      </c>
      <c r="BH46" s="482">
        <f>SUM(BH40:BH45)</f>
        <v>8114.2999999999984</v>
      </c>
      <c r="BI46" s="482">
        <f>SUM(BI40:BI45)</f>
        <v>8114.2999999999984</v>
      </c>
      <c r="BJ46" s="50"/>
      <c r="BK46" s="482">
        <f>SUM(BK40:BK45)</f>
        <v>8152.2000000000007</v>
      </c>
      <c r="BL46" s="482">
        <f>SUM(BL40:BL45)</f>
        <v>7262.5</v>
      </c>
      <c r="BM46" s="482">
        <f>SUM(BM40:BM45)</f>
        <v>7477.7999999999993</v>
      </c>
      <c r="BN46" s="482">
        <f>SUM(BN40:BN45)</f>
        <v>6616.3000000000011</v>
      </c>
      <c r="BO46" s="482">
        <f>SUM(BO40:BO45)</f>
        <v>6616.3000000000011</v>
      </c>
      <c r="BP46" s="50"/>
      <c r="BQ46" s="482">
        <f>SUM(BQ40:BQ45)</f>
        <v>6557.5357090350735</v>
      </c>
      <c r="BR46" s="482">
        <f>SUM(BR40:BR45)</f>
        <v>6530.1745332754726</v>
      </c>
      <c r="BS46" s="482">
        <f>SUM(BS40:BS45)</f>
        <v>6507.5562967143178</v>
      </c>
      <c r="BT46" s="482">
        <f>SUM(BT40:BT45)</f>
        <v>6540.7941689732743</v>
      </c>
      <c r="BU46" s="482">
        <f>SUM(BU40:BU45)</f>
        <v>6540.7941689732743</v>
      </c>
      <c r="BV46" s="50"/>
      <c r="BW46" s="482">
        <f>SUM(BW40:BW45)</f>
        <v>6504.3775391753588</v>
      </c>
      <c r="BX46" s="482">
        <f>SUM(BX40:BX45)</f>
        <v>6487.9945144440298</v>
      </c>
      <c r="BY46" s="482">
        <f>SUM(BY40:BY45)</f>
        <v>6454.1056404013234</v>
      </c>
      <c r="BZ46" s="482">
        <f>SUM(BZ40:BZ45)</f>
        <v>6465.5430807654593</v>
      </c>
      <c r="CA46" s="482">
        <f>SUM(CA40:CA45)</f>
        <v>6465.5430807654593</v>
      </c>
      <c r="CB46" s="50"/>
      <c r="CC46" s="482">
        <f>SUM(CC40:CC45)</f>
        <v>6448.3261939083786</v>
      </c>
      <c r="CD46" s="482">
        <f>SUM(CD40:CD45)</f>
        <v>6454.1253862118938</v>
      </c>
      <c r="CE46" s="482">
        <f>SUM(CE40:CE45)</f>
        <v>6443.4689695969773</v>
      </c>
      <c r="CF46" s="482">
        <f>SUM(CF40:CF45)</f>
        <v>6477.9436921799006</v>
      </c>
      <c r="CG46" s="482">
        <f>SUM(CG40:CG45)</f>
        <v>6477.9436921799006</v>
      </c>
      <c r="CI46" s="806"/>
      <c r="CQ46" s="36"/>
    </row>
    <row r="47" spans="1:95" ht="4.5" customHeight="1" x14ac:dyDescent="0.2">
      <c r="A47" s="24"/>
      <c r="B47" s="59"/>
      <c r="C47" s="243"/>
      <c r="D47" s="243"/>
      <c r="E47" s="243"/>
      <c r="F47" s="243"/>
      <c r="G47" s="243"/>
      <c r="H47" s="243"/>
      <c r="I47" s="243"/>
      <c r="J47" s="243"/>
      <c r="K47" s="243"/>
      <c r="L47" s="243"/>
      <c r="M47" s="243"/>
      <c r="N47" s="243"/>
      <c r="O47" s="243"/>
      <c r="P47" s="243"/>
      <c r="Q47" s="243"/>
      <c r="R47" s="243"/>
      <c r="S47" s="243"/>
      <c r="T47" s="243"/>
      <c r="U47" s="243"/>
      <c r="V47" s="243"/>
      <c r="W47" s="243"/>
      <c r="X47" s="243"/>
      <c r="Y47" s="243"/>
      <c r="Z47" s="243"/>
      <c r="AA47" s="243"/>
      <c r="AB47" s="243"/>
      <c r="AC47" s="243"/>
      <c r="AD47" s="243"/>
      <c r="AE47" s="244"/>
      <c r="AF47" s="50"/>
      <c r="AG47" s="243"/>
      <c r="AH47" s="243"/>
      <c r="AI47" s="243"/>
      <c r="AJ47" s="243"/>
      <c r="AK47" s="244"/>
      <c r="AL47" s="50"/>
      <c r="AM47" s="244"/>
      <c r="AN47" s="243"/>
      <c r="AO47" s="243"/>
      <c r="AP47" s="243"/>
      <c r="AQ47" s="244"/>
      <c r="AR47" s="50"/>
      <c r="AS47" s="243"/>
      <c r="AT47" s="243"/>
      <c r="AU47" s="244"/>
      <c r="AV47" s="244"/>
      <c r="AW47" s="244"/>
      <c r="AX47" s="50"/>
      <c r="AY47" s="244"/>
      <c r="AZ47" s="244"/>
      <c r="BA47" s="244"/>
      <c r="BB47" s="244"/>
      <c r="BC47" s="244"/>
      <c r="BD47" s="50"/>
      <c r="BE47" s="244"/>
      <c r="BF47" s="244"/>
      <c r="BG47" s="244"/>
      <c r="BH47" s="244"/>
      <c r="BI47" s="244"/>
      <c r="BJ47" s="50"/>
      <c r="BK47" s="244"/>
      <c r="BL47" s="244"/>
      <c r="BM47" s="244"/>
      <c r="BN47" s="244"/>
      <c r="BO47" s="244"/>
      <c r="BP47" s="50"/>
      <c r="BQ47" s="244"/>
      <c r="BR47" s="244"/>
      <c r="BS47" s="244"/>
      <c r="BT47" s="244"/>
      <c r="BU47" s="244"/>
      <c r="BV47" s="50"/>
      <c r="BW47" s="244"/>
      <c r="BX47" s="244"/>
      <c r="BY47" s="244"/>
      <c r="BZ47" s="244"/>
      <c r="CA47" s="244"/>
      <c r="CB47" s="50"/>
      <c r="CC47" s="244"/>
      <c r="CD47" s="244"/>
      <c r="CE47" s="244"/>
      <c r="CF47" s="244"/>
      <c r="CG47" s="244"/>
      <c r="CI47" s="806"/>
      <c r="CQ47" s="36"/>
    </row>
    <row r="48" spans="1:95" ht="11.25" customHeight="1" x14ac:dyDescent="0.2">
      <c r="A48" s="24"/>
      <c r="B48" s="59" t="s">
        <v>268</v>
      </c>
      <c r="C48" s="128">
        <v>0.23499999999999999</v>
      </c>
      <c r="D48" s="128">
        <v>0.249</v>
      </c>
      <c r="E48" s="128">
        <v>0.28000000000000003</v>
      </c>
      <c r="F48" s="128">
        <v>0.29599999999999999</v>
      </c>
      <c r="G48" s="479">
        <f>F48</f>
        <v>0.29599999999999999</v>
      </c>
      <c r="H48" s="479"/>
      <c r="I48" s="128">
        <v>0.30399999999999999</v>
      </c>
      <c r="J48" s="128">
        <v>0.33700000000000002</v>
      </c>
      <c r="K48" s="128">
        <v>0.35499999999999998</v>
      </c>
      <c r="L48" s="128">
        <v>71.691000000000003</v>
      </c>
      <c r="M48" s="479">
        <f>L48</f>
        <v>71.691000000000003</v>
      </c>
      <c r="N48" s="479"/>
      <c r="O48" s="128">
        <v>65.450999999999993</v>
      </c>
      <c r="P48" s="128">
        <v>71.504000000000005</v>
      </c>
      <c r="Q48" s="128">
        <v>75.195999999999998</v>
      </c>
      <c r="R48" s="128">
        <v>74.852999999999994</v>
      </c>
      <c r="S48" s="479">
        <f>R48</f>
        <v>74.852999999999994</v>
      </c>
      <c r="T48" s="479"/>
      <c r="U48" s="128">
        <v>71.430000000000007</v>
      </c>
      <c r="V48" s="128">
        <v>65.695999999999998</v>
      </c>
      <c r="W48" s="128">
        <v>73.075000000000003</v>
      </c>
      <c r="X48" s="128">
        <v>70.525999999999996</v>
      </c>
      <c r="Y48" s="479">
        <f>X48</f>
        <v>70.525999999999996</v>
      </c>
      <c r="Z48" s="479"/>
      <c r="AA48" s="128">
        <v>37.161000000000001</v>
      </c>
      <c r="AB48" s="128">
        <v>39.003</v>
      </c>
      <c r="AC48" s="128">
        <v>36.722000000000001</v>
      </c>
      <c r="AD48" s="128">
        <v>36.073999999999998</v>
      </c>
      <c r="AE48" s="479">
        <f>AD48</f>
        <v>36.073999999999998</v>
      </c>
      <c r="AF48" s="50"/>
      <c r="AG48" s="128">
        <v>38.357999999999997</v>
      </c>
      <c r="AH48" s="128">
        <v>37.43</v>
      </c>
      <c r="AI48" s="128">
        <v>38.795999999999999</v>
      </c>
      <c r="AJ48" s="128">
        <v>40.744999999999997</v>
      </c>
      <c r="AK48" s="238">
        <f>AJ48</f>
        <v>40.744999999999997</v>
      </c>
      <c r="AL48" s="50"/>
      <c r="AM48" s="128">
        <v>35.892000000000003</v>
      </c>
      <c r="AN48" s="128">
        <v>37.911000000000001</v>
      </c>
      <c r="AO48" s="128">
        <v>40.576999999999998</v>
      </c>
      <c r="AP48" s="128">
        <v>42.920999999999999</v>
      </c>
      <c r="AQ48" s="238">
        <f>AP48</f>
        <v>42.920999999999999</v>
      </c>
      <c r="AR48" s="50"/>
      <c r="AS48" s="128">
        <v>1.5649999999999999</v>
      </c>
      <c r="AT48" s="128">
        <v>1.3109999999999999</v>
      </c>
      <c r="AU48" s="128">
        <v>1.1359999999999999</v>
      </c>
      <c r="AV48" s="128">
        <v>0.91900000000000004</v>
      </c>
      <c r="AW48" s="238">
        <f>AV48</f>
        <v>0.91900000000000004</v>
      </c>
      <c r="AX48" s="50"/>
      <c r="AY48" s="536">
        <v>1.4590000000000001</v>
      </c>
      <c r="AZ48" s="536">
        <v>1.419</v>
      </c>
      <c r="BA48" s="536">
        <v>1.4</v>
      </c>
      <c r="BB48" s="536">
        <v>1.4</v>
      </c>
      <c r="BC48" s="238">
        <f>BB48</f>
        <v>1.4</v>
      </c>
      <c r="BD48" s="50"/>
      <c r="BE48" s="536">
        <v>3.6</v>
      </c>
      <c r="BF48" s="536">
        <v>4.0999999999999996</v>
      </c>
      <c r="BG48" s="536">
        <v>13</v>
      </c>
      <c r="BH48" s="536">
        <v>11.6</v>
      </c>
      <c r="BI48" s="238">
        <f>BH48</f>
        <v>11.6</v>
      </c>
      <c r="BJ48" s="50"/>
      <c r="BK48" s="536">
        <v>11.4</v>
      </c>
      <c r="BL48" s="536">
        <v>11.7</v>
      </c>
      <c r="BM48" s="536">
        <v>12</v>
      </c>
      <c r="BN48" s="536">
        <v>11.6</v>
      </c>
      <c r="BO48" s="238">
        <f>BN48</f>
        <v>11.6</v>
      </c>
      <c r="BP48" s="50"/>
      <c r="BQ48" s="238">
        <f>BO48+CashFlow!BQ47</f>
        <v>11.6</v>
      </c>
      <c r="BR48" s="238">
        <f>BQ48+CashFlow!BR47</f>
        <v>11.6</v>
      </c>
      <c r="BS48" s="238">
        <f>BR48+CashFlow!BS47</f>
        <v>11.6</v>
      </c>
      <c r="BT48" s="238">
        <f>BS48+CashFlow!BT47</f>
        <v>11.6</v>
      </c>
      <c r="BU48" s="238">
        <f>BT48</f>
        <v>11.6</v>
      </c>
      <c r="BV48" s="50"/>
      <c r="BW48" s="238">
        <f>BU48+CashFlow!BW47</f>
        <v>11.6</v>
      </c>
      <c r="BX48" s="238">
        <f>BW48+CashFlow!BX47</f>
        <v>11.6</v>
      </c>
      <c r="BY48" s="238">
        <f>BX48+CashFlow!BY47</f>
        <v>11.6</v>
      </c>
      <c r="BZ48" s="238">
        <f>BY48+CashFlow!BZ47</f>
        <v>11.6</v>
      </c>
      <c r="CA48" s="238">
        <f>BZ48</f>
        <v>11.6</v>
      </c>
      <c r="CB48" s="50"/>
      <c r="CC48" s="238">
        <f>CA48+CashFlow!CC47</f>
        <v>11.6</v>
      </c>
      <c r="CD48" s="238">
        <f>CC48+CashFlow!CD47</f>
        <v>11.6</v>
      </c>
      <c r="CE48" s="238">
        <f>CD48+CashFlow!CE47</f>
        <v>11.6</v>
      </c>
      <c r="CF48" s="238">
        <f>CE48+CashFlow!CF47</f>
        <v>11.6</v>
      </c>
      <c r="CG48" s="238">
        <f>CF48</f>
        <v>11.6</v>
      </c>
      <c r="CI48" s="806"/>
      <c r="CQ48" s="36"/>
    </row>
    <row r="49" spans="1:95" ht="4.5" customHeight="1" x14ac:dyDescent="0.2">
      <c r="A49" s="24"/>
      <c r="B49" s="42"/>
      <c r="C49" s="243"/>
      <c r="D49" s="243"/>
      <c r="E49" s="243"/>
      <c r="F49" s="243"/>
      <c r="G49" s="243"/>
      <c r="H49" s="243"/>
      <c r="I49" s="243"/>
      <c r="J49" s="243"/>
      <c r="K49" s="243"/>
      <c r="L49" s="243"/>
      <c r="M49" s="243"/>
      <c r="N49" s="243"/>
      <c r="O49" s="243"/>
      <c r="P49" s="243"/>
      <c r="Q49" s="243"/>
      <c r="R49" s="243"/>
      <c r="S49" s="243"/>
      <c r="T49" s="243"/>
      <c r="U49" s="243"/>
      <c r="V49" s="243"/>
      <c r="W49" s="243"/>
      <c r="X49" s="243"/>
      <c r="Y49" s="243"/>
      <c r="Z49" s="243"/>
      <c r="AA49" s="243"/>
      <c r="AB49" s="243"/>
      <c r="AC49" s="243"/>
      <c r="AD49" s="243"/>
      <c r="AE49" s="244"/>
      <c r="AF49" s="50"/>
      <c r="AG49" s="243"/>
      <c r="AH49" s="243"/>
      <c r="AI49" s="243"/>
      <c r="AJ49" s="243"/>
      <c r="AK49" s="244"/>
      <c r="AL49" s="50"/>
      <c r="AM49" s="244"/>
      <c r="AN49" s="244"/>
      <c r="AO49" s="244"/>
      <c r="AP49" s="244"/>
      <c r="AQ49" s="244"/>
      <c r="AR49" s="50"/>
      <c r="AS49" s="244"/>
      <c r="AT49" s="244"/>
      <c r="AU49" s="244"/>
      <c r="AV49" s="244"/>
      <c r="AW49" s="244"/>
      <c r="AX49" s="50"/>
      <c r="AY49" s="244"/>
      <c r="AZ49" s="244"/>
      <c r="BA49" s="244"/>
      <c r="BB49" s="244"/>
      <c r="BC49" s="244"/>
      <c r="BD49" s="50"/>
      <c r="BE49" s="244"/>
      <c r="BF49" s="244"/>
      <c r="BG49" s="244"/>
      <c r="BH49" s="244"/>
      <c r="BI49" s="244"/>
      <c r="BJ49" s="50"/>
      <c r="BK49" s="244"/>
      <c r="BL49" s="244"/>
      <c r="BM49" s="244"/>
      <c r="BN49" s="244"/>
      <c r="BO49" s="244"/>
      <c r="BP49" s="50"/>
      <c r="BQ49" s="244"/>
      <c r="BR49" s="244"/>
      <c r="BS49" s="244"/>
      <c r="BT49" s="244"/>
      <c r="BU49" s="244"/>
      <c r="BV49" s="50"/>
      <c r="BW49" s="244"/>
      <c r="BX49" s="244"/>
      <c r="BY49" s="244"/>
      <c r="BZ49" s="244"/>
      <c r="CA49" s="244"/>
      <c r="CB49" s="50"/>
      <c r="CC49" s="244"/>
      <c r="CD49" s="244"/>
      <c r="CE49" s="244"/>
      <c r="CF49" s="244"/>
      <c r="CG49" s="244"/>
      <c r="CI49" s="806"/>
      <c r="CQ49" s="36"/>
    </row>
    <row r="50" spans="1:95" ht="11.25" customHeight="1" x14ac:dyDescent="0.2">
      <c r="A50" s="24"/>
      <c r="B50" s="93" t="s">
        <v>269</v>
      </c>
      <c r="C50" s="243">
        <f>C46+C48</f>
        <v>1338.2639999999999</v>
      </c>
      <c r="D50" s="243">
        <f>D46+D48</f>
        <v>1398.7350000000001</v>
      </c>
      <c r="E50" s="243">
        <f>E46+E48</f>
        <v>1453.915</v>
      </c>
      <c r="F50" s="243">
        <f>F46+F48</f>
        <v>1516.402</v>
      </c>
      <c r="G50" s="243">
        <f>G46+G48</f>
        <v>1516.402</v>
      </c>
      <c r="H50" s="243"/>
      <c r="I50" s="243">
        <f>I46+I48</f>
        <v>1520.2449999999997</v>
      </c>
      <c r="J50" s="243">
        <f>J46+J48</f>
        <v>1609.527</v>
      </c>
      <c r="K50" s="243">
        <f>K46+K48</f>
        <v>1586.7740000000003</v>
      </c>
      <c r="L50" s="243">
        <f>L46+L48</f>
        <v>1659.4129999999998</v>
      </c>
      <c r="M50" s="243">
        <f>M46+M48</f>
        <v>1659.4129999999998</v>
      </c>
      <c r="N50" s="243"/>
      <c r="O50" s="243">
        <f>O46+O48</f>
        <v>1679.5970000000002</v>
      </c>
      <c r="P50" s="243">
        <f>P46+P48</f>
        <v>1804.1220000000003</v>
      </c>
      <c r="Q50" s="243">
        <f>Q46+Q48</f>
        <v>1902.4510000000002</v>
      </c>
      <c r="R50" s="243">
        <f>R46+R48</f>
        <v>1906.9579999999999</v>
      </c>
      <c r="S50" s="243">
        <f>S46+S48</f>
        <v>1906.9579999999999</v>
      </c>
      <c r="T50" s="243"/>
      <c r="U50" s="243">
        <f>U46+U48</f>
        <v>1882.6180000000006</v>
      </c>
      <c r="V50" s="243">
        <f>V46+V48</f>
        <v>1741.4099999999999</v>
      </c>
      <c r="W50" s="243">
        <f>W46+W48</f>
        <v>1876.5560000000003</v>
      </c>
      <c r="X50" s="243">
        <f>X46+X48</f>
        <v>1909.912</v>
      </c>
      <c r="Y50" s="243">
        <f>Y46+Y48</f>
        <v>1909.912</v>
      </c>
      <c r="Z50" s="243"/>
      <c r="AA50" s="243">
        <f>AA46+AA48</f>
        <v>1982.4989999999993</v>
      </c>
      <c r="AB50" s="243">
        <f>AB46+AB48</f>
        <v>2081.2330000000002</v>
      </c>
      <c r="AC50" s="243">
        <f>AC46+AC48</f>
        <v>1890.414</v>
      </c>
      <c r="AD50" s="243">
        <f>AD46+AD48</f>
        <v>1884.1510000000003</v>
      </c>
      <c r="AE50" s="244">
        <f>AE46+AE48</f>
        <v>1884.1510000000003</v>
      </c>
      <c r="AF50" s="50"/>
      <c r="AG50" s="243">
        <f>AG46+AG48</f>
        <v>2046.9750000000001</v>
      </c>
      <c r="AH50" s="243">
        <f>AH46+AH48</f>
        <v>1988.9989999999996</v>
      </c>
      <c r="AI50" s="243">
        <f>AI46+AI48</f>
        <v>2160.8669999999997</v>
      </c>
      <c r="AJ50" s="243">
        <f>AJ46+AJ48</f>
        <v>2249.4429999999998</v>
      </c>
      <c r="AK50" s="244">
        <f>AK46+AK48</f>
        <v>2249.4429999999998</v>
      </c>
      <c r="AL50" s="50"/>
      <c r="AM50" s="244">
        <f>AM46+AM48</f>
        <v>2269.3939999999998</v>
      </c>
      <c r="AN50" s="244">
        <f>AN46+AN48</f>
        <v>2288.096</v>
      </c>
      <c r="AO50" s="244">
        <f>AO46+AO48</f>
        <v>2479.018</v>
      </c>
      <c r="AP50" s="244">
        <f>AP46+AP48</f>
        <v>2577.9740000000002</v>
      </c>
      <c r="AQ50" s="244">
        <f>AQ46+AQ48</f>
        <v>2577.9740000000002</v>
      </c>
      <c r="AR50" s="50"/>
      <c r="AS50" s="244">
        <f>AS46+AS48</f>
        <v>2524.598</v>
      </c>
      <c r="AT50" s="244">
        <f>AT46+AT48</f>
        <v>2584.7740000000003</v>
      </c>
      <c r="AU50" s="244">
        <f>AU46+AU48</f>
        <v>2496.2440000000001</v>
      </c>
      <c r="AV50" s="244">
        <f>AV46+AV48</f>
        <v>2322.1979999999999</v>
      </c>
      <c r="AW50" s="244">
        <f>AW46+AW48</f>
        <v>2322.1979999999999</v>
      </c>
      <c r="AX50" s="50"/>
      <c r="AY50" s="244">
        <f>AY46+AY48</f>
        <v>2174.252</v>
      </c>
      <c r="AZ50" s="244">
        <f>AZ46+AZ48</f>
        <v>2316.2890000000002</v>
      </c>
      <c r="BA50" s="244">
        <f>BA46+BA48</f>
        <v>2281.4999999999995</v>
      </c>
      <c r="BB50" s="244">
        <f>BB46+BB48</f>
        <v>2339.4</v>
      </c>
      <c r="BC50" s="244">
        <f>BC46+BC48</f>
        <v>2339.4</v>
      </c>
      <c r="BD50" s="50"/>
      <c r="BE50" s="244">
        <f>BE46+BE48</f>
        <v>8385.4</v>
      </c>
      <c r="BF50" s="244">
        <f>BF46+BF48</f>
        <v>8315.6</v>
      </c>
      <c r="BG50" s="244">
        <f>BG46+BG48</f>
        <v>8357.1000000000022</v>
      </c>
      <c r="BH50" s="244">
        <f>BH46+BH48</f>
        <v>8125.8999999999987</v>
      </c>
      <c r="BI50" s="244">
        <f>BI46+BI48</f>
        <v>8125.8999999999987</v>
      </c>
      <c r="BJ50" s="50"/>
      <c r="BK50" s="244">
        <f>BK46+BK48</f>
        <v>8163.6</v>
      </c>
      <c r="BL50" s="244">
        <f>BL46+BL48</f>
        <v>7274.2</v>
      </c>
      <c r="BM50" s="244">
        <f>BM46+BM48</f>
        <v>7489.7999999999993</v>
      </c>
      <c r="BN50" s="244">
        <f>BN46+BN48</f>
        <v>6627.9000000000015</v>
      </c>
      <c r="BO50" s="244">
        <f>BO46+BO48</f>
        <v>6627.9000000000015</v>
      </c>
      <c r="BP50" s="50"/>
      <c r="BQ50" s="244">
        <f>BQ46+BQ48</f>
        <v>6569.1357090350739</v>
      </c>
      <c r="BR50" s="244">
        <f>BR46+BR48</f>
        <v>6541.774533275473</v>
      </c>
      <c r="BS50" s="244">
        <f>BS46+BS48</f>
        <v>6519.1562967143182</v>
      </c>
      <c r="BT50" s="244">
        <f>BT46+BT48</f>
        <v>6552.3941689732746</v>
      </c>
      <c r="BU50" s="244">
        <f>BU46+BU48</f>
        <v>6552.3941689732746</v>
      </c>
      <c r="BV50" s="50"/>
      <c r="BW50" s="244">
        <f>BW46+BW48</f>
        <v>6515.9775391753592</v>
      </c>
      <c r="BX50" s="244">
        <f>BX46+BX48</f>
        <v>6499.5945144440302</v>
      </c>
      <c r="BY50" s="244">
        <f>BY46+BY48</f>
        <v>6465.7056404013238</v>
      </c>
      <c r="BZ50" s="244">
        <f>BZ46+BZ48</f>
        <v>6477.1430807654597</v>
      </c>
      <c r="CA50" s="244">
        <f>CA46+CA48</f>
        <v>6477.1430807654597</v>
      </c>
      <c r="CB50" s="50"/>
      <c r="CC50" s="244">
        <f>CC46+CC48</f>
        <v>6459.926193908379</v>
      </c>
      <c r="CD50" s="244">
        <f>CD46+CD48</f>
        <v>6465.7253862118941</v>
      </c>
      <c r="CE50" s="244">
        <f>CE46+CE48</f>
        <v>6455.0689695969777</v>
      </c>
      <c r="CF50" s="244">
        <f>CF46+CF48</f>
        <v>6489.543692179901</v>
      </c>
      <c r="CG50" s="244">
        <f>CG46+CG48</f>
        <v>6489.543692179901</v>
      </c>
      <c r="CI50" s="806"/>
      <c r="CQ50" s="36"/>
    </row>
    <row r="51" spans="1:95" ht="4.5" customHeight="1" x14ac:dyDescent="0.2">
      <c r="A51" s="24"/>
      <c r="B51" s="42"/>
      <c r="C51" s="243"/>
      <c r="D51" s="243"/>
      <c r="E51" s="243"/>
      <c r="F51" s="243"/>
      <c r="G51" s="243"/>
      <c r="H51" s="243"/>
      <c r="I51" s="243"/>
      <c r="J51" s="243"/>
      <c r="K51" s="243"/>
      <c r="L51" s="243"/>
      <c r="M51" s="243"/>
      <c r="N51" s="243"/>
      <c r="O51" s="243"/>
      <c r="P51" s="243"/>
      <c r="Q51" s="243"/>
      <c r="R51" s="243"/>
      <c r="S51" s="243"/>
      <c r="T51" s="243"/>
      <c r="U51" s="243"/>
      <c r="V51" s="243"/>
      <c r="W51" s="243"/>
      <c r="X51" s="243"/>
      <c r="Y51" s="243"/>
      <c r="Z51" s="243"/>
      <c r="AA51" s="243"/>
      <c r="AB51" s="243"/>
      <c r="AC51" s="243"/>
      <c r="AD51" s="243"/>
      <c r="AE51" s="244"/>
      <c r="AF51" s="50"/>
      <c r="AG51" s="243"/>
      <c r="AH51" s="243"/>
      <c r="AI51" s="243"/>
      <c r="AJ51" s="243"/>
      <c r="AK51" s="244"/>
      <c r="AL51" s="50"/>
      <c r="AM51" s="244"/>
      <c r="AN51" s="244"/>
      <c r="AO51" s="244"/>
      <c r="AP51" s="244"/>
      <c r="AQ51" s="244"/>
      <c r="AR51" s="50"/>
      <c r="AS51" s="244"/>
      <c r="AT51" s="244"/>
      <c r="AU51" s="244"/>
      <c r="AV51" s="244"/>
      <c r="AW51" s="244"/>
      <c r="AX51" s="50"/>
      <c r="AY51" s="244"/>
      <c r="AZ51" s="244"/>
      <c r="BA51" s="244"/>
      <c r="BB51" s="244"/>
      <c r="BC51" s="244"/>
      <c r="BD51" s="50"/>
      <c r="BE51" s="244"/>
      <c r="BF51" s="244"/>
      <c r="BG51" s="244"/>
      <c r="BH51" s="244"/>
      <c r="BI51" s="244"/>
      <c r="BJ51" s="50"/>
      <c r="BK51" s="244"/>
      <c r="BL51" s="244"/>
      <c r="BM51" s="244"/>
      <c r="BN51" s="244"/>
      <c r="BO51" s="244"/>
      <c r="BP51" s="50"/>
      <c r="BQ51" s="244"/>
      <c r="BR51" s="244"/>
      <c r="BS51" s="244"/>
      <c r="BT51" s="244"/>
      <c r="BU51" s="244"/>
      <c r="BV51" s="50"/>
      <c r="BW51" s="244"/>
      <c r="BX51" s="244"/>
      <c r="BY51" s="244"/>
      <c r="BZ51" s="244"/>
      <c r="CA51" s="244"/>
      <c r="CB51" s="50"/>
      <c r="CC51" s="244"/>
      <c r="CD51" s="244"/>
      <c r="CE51" s="244"/>
      <c r="CF51" s="244"/>
      <c r="CG51" s="244"/>
      <c r="CI51" s="806"/>
      <c r="CQ51" s="36"/>
    </row>
    <row r="52" spans="1:95" ht="11.25" customHeight="1" thickBot="1" x14ac:dyDescent="0.25">
      <c r="A52" s="24"/>
      <c r="B52" s="37" t="s">
        <v>80</v>
      </c>
      <c r="C52" s="341">
        <f>C37+C50</f>
        <v>2294.7579999999998</v>
      </c>
      <c r="D52" s="341">
        <f>D37+D50</f>
        <v>2388.5700000000002</v>
      </c>
      <c r="E52" s="341">
        <f>E37+E50</f>
        <v>2614.9169999999999</v>
      </c>
      <c r="F52" s="341">
        <f>F37+F50</f>
        <v>2675.5690000000004</v>
      </c>
      <c r="G52" s="341">
        <f>G37+G50</f>
        <v>2675.5690000000004</v>
      </c>
      <c r="H52" s="86"/>
      <c r="I52" s="341">
        <f>I37+I50</f>
        <v>2915.0049999999997</v>
      </c>
      <c r="J52" s="341">
        <f>J37+J50</f>
        <v>2993.2079999999996</v>
      </c>
      <c r="K52" s="341">
        <f>K37+K50</f>
        <v>2661.3110000000006</v>
      </c>
      <c r="L52" s="341">
        <f>L37+L50</f>
        <v>2830.3999999999996</v>
      </c>
      <c r="M52" s="341">
        <f>M37+M50</f>
        <v>2830.3999999999996</v>
      </c>
      <c r="N52" s="86"/>
      <c r="O52" s="341">
        <f>O37+O50</f>
        <v>2760.7890000000002</v>
      </c>
      <c r="P52" s="341">
        <f>P37+P50</f>
        <v>2898.4790000000003</v>
      </c>
      <c r="Q52" s="341">
        <f>Q37+Q50</f>
        <v>3067.1090000000004</v>
      </c>
      <c r="R52" s="341">
        <f>R37+R50</f>
        <v>3087.9319999999998</v>
      </c>
      <c r="S52" s="341">
        <f>S37+S50</f>
        <v>3087.9319999999998</v>
      </c>
      <c r="T52" s="86"/>
      <c r="U52" s="341">
        <f>U37+U50</f>
        <v>2986.7470000000003</v>
      </c>
      <c r="V52" s="341">
        <f>V37+V50</f>
        <v>2797.2669999999998</v>
      </c>
      <c r="W52" s="341">
        <f>W37+W50</f>
        <v>3195.1560000000004</v>
      </c>
      <c r="X52" s="341">
        <f>X37+X50</f>
        <v>3257.951</v>
      </c>
      <c r="Y52" s="341">
        <f>Y37+Y50</f>
        <v>3257.951</v>
      </c>
      <c r="Z52" s="86"/>
      <c r="AA52" s="341">
        <f>AA37+AA50</f>
        <v>3437.0489999999991</v>
      </c>
      <c r="AB52" s="341">
        <f>AB37+AB50</f>
        <v>3656.643</v>
      </c>
      <c r="AC52" s="341">
        <f>AC37+AC50</f>
        <v>4833.7110000000002</v>
      </c>
      <c r="AD52" s="341">
        <f>AD37+AD50</f>
        <v>4755.3980000000001</v>
      </c>
      <c r="AE52" s="341">
        <f>AE37+AE50</f>
        <v>4755.3980000000001</v>
      </c>
      <c r="AF52" s="50"/>
      <c r="AG52" s="341">
        <f>AG37+AG50</f>
        <v>5015.0610000000006</v>
      </c>
      <c r="AH52" s="341">
        <f>AH37+AH50</f>
        <v>4870.7559999999994</v>
      </c>
      <c r="AI52" s="341">
        <f>AI37+AI50</f>
        <v>4977.4220000000005</v>
      </c>
      <c r="AJ52" s="341">
        <f>AJ37+AJ50</f>
        <v>4972.2970000000005</v>
      </c>
      <c r="AK52" s="341">
        <f>AK37+AK50</f>
        <v>4972.2970000000005</v>
      </c>
      <c r="AL52" s="50"/>
      <c r="AM52" s="341">
        <f>AM37+AM50</f>
        <v>4902.1279999999997</v>
      </c>
      <c r="AN52" s="341">
        <f>AN37+AN50</f>
        <v>4874.683</v>
      </c>
      <c r="AO52" s="341">
        <f>AO37+AO50</f>
        <v>5009.9790000000003</v>
      </c>
      <c r="AP52" s="341">
        <f>AP37+AP50</f>
        <v>5078.0470000000005</v>
      </c>
      <c r="AQ52" s="341">
        <f>AQ37+AQ50</f>
        <v>5078.0470000000005</v>
      </c>
      <c r="AR52" s="50"/>
      <c r="AS52" s="341">
        <f>AS37+AS50</f>
        <v>5089.433</v>
      </c>
      <c r="AT52" s="341">
        <f>AT37+AT50</f>
        <v>5072.3730000000005</v>
      </c>
      <c r="AU52" s="341">
        <f>AU37+AU50</f>
        <v>4884.0609999999997</v>
      </c>
      <c r="AV52" s="341">
        <f>AV37+AV50</f>
        <v>4650.2649999999994</v>
      </c>
      <c r="AW52" s="341">
        <f>AW37+AW50</f>
        <v>4650.2649999999994</v>
      </c>
      <c r="AX52" s="50"/>
      <c r="AY52" s="486">
        <f>AY37+AY50</f>
        <v>4384.83</v>
      </c>
      <c r="AZ52" s="486">
        <f>AZ37+AZ50</f>
        <v>4496.7559999999994</v>
      </c>
      <c r="BA52" s="486">
        <f>BA37+BA50</f>
        <v>4402.1999999999989</v>
      </c>
      <c r="BB52" s="486">
        <f>BB37+BB50</f>
        <v>4402.8999999999996</v>
      </c>
      <c r="BC52" s="486">
        <f>BC37+BC50</f>
        <v>4402.8999999999996</v>
      </c>
      <c r="BD52" s="50"/>
      <c r="BE52" s="486">
        <f>BE37+BE50</f>
        <v>11682.4</v>
      </c>
      <c r="BF52" s="486">
        <f>BF37+BF50</f>
        <v>11451.4</v>
      </c>
      <c r="BG52" s="486">
        <f>BG37+BG50</f>
        <v>11952.400000000001</v>
      </c>
      <c r="BH52" s="486">
        <f>BH37+BH50</f>
        <v>11656.099999999999</v>
      </c>
      <c r="BI52" s="486">
        <f>BI37+BI50</f>
        <v>11656.099999999999</v>
      </c>
      <c r="BJ52" s="50"/>
      <c r="BK52" s="486">
        <f>BK37+BK50</f>
        <v>11594</v>
      </c>
      <c r="BL52" s="486">
        <f>BL37+BL50</f>
        <v>10850</v>
      </c>
      <c r="BM52" s="486">
        <f>BM37+BM50</f>
        <v>11199</v>
      </c>
      <c r="BN52" s="486">
        <f>BN37+BN50</f>
        <v>10374.500000000002</v>
      </c>
      <c r="BO52" s="486">
        <f>BO37+BO50</f>
        <v>10374.500000000002</v>
      </c>
      <c r="BP52" s="50"/>
      <c r="BQ52" s="486">
        <f>BQ37+BQ50</f>
        <v>10248.628239178213</v>
      </c>
      <c r="BR52" s="486">
        <f>BR37+BR50</f>
        <v>10240.612507200171</v>
      </c>
      <c r="BS52" s="486">
        <f>BS37+BS50</f>
        <v>10192.747346338729</v>
      </c>
      <c r="BT52" s="486">
        <f>BT37+BT50</f>
        <v>10258.229817777468</v>
      </c>
      <c r="BU52" s="486">
        <f>BU37+BU50</f>
        <v>10258.229817777468</v>
      </c>
      <c r="BV52" s="50"/>
      <c r="BW52" s="486">
        <f>BW37+BW50</f>
        <v>10144.298151762179</v>
      </c>
      <c r="BX52" s="486">
        <f>BX37+BX50</f>
        <v>10184.54215763339</v>
      </c>
      <c r="BY52" s="486">
        <f>BY37+BY50</f>
        <v>10154.265539196915</v>
      </c>
      <c r="BZ52" s="486">
        <f>BZ37+BZ50</f>
        <v>10213.283141550515</v>
      </c>
      <c r="CA52" s="486">
        <f>CA37+CA50</f>
        <v>10213.283141550515</v>
      </c>
      <c r="CB52" s="50"/>
      <c r="CC52" s="486">
        <f>CC37+CC50</f>
        <v>10088.305870568045</v>
      </c>
      <c r="CD52" s="486">
        <f>CD37+CD50</f>
        <v>10145.45887498742</v>
      </c>
      <c r="CE52" s="486">
        <f>CE37+CE50</f>
        <v>10140.696963803866</v>
      </c>
      <c r="CF52" s="486">
        <f>CF37+CF50</f>
        <v>10229.191508181575</v>
      </c>
      <c r="CG52" s="486">
        <f>CG37+CG50</f>
        <v>10229.191508181575</v>
      </c>
      <c r="CI52" s="806"/>
      <c r="CQ52" s="36"/>
    </row>
    <row r="53" spans="1:95" ht="11.25" customHeight="1" thickTop="1" x14ac:dyDescent="0.2">
      <c r="A53" s="24"/>
      <c r="B53" s="180"/>
      <c r="C53" s="729"/>
      <c r="D53" s="729"/>
      <c r="E53" s="729"/>
      <c r="F53" s="729"/>
      <c r="G53" s="729"/>
      <c r="H53" s="648"/>
      <c r="I53" s="729"/>
      <c r="J53" s="729"/>
      <c r="K53" s="729"/>
      <c r="L53" s="729"/>
      <c r="M53" s="729"/>
      <c r="N53" s="648"/>
      <c r="O53" s="729"/>
      <c r="P53" s="729"/>
      <c r="Q53" s="729"/>
      <c r="R53" s="729"/>
      <c r="S53" s="729"/>
      <c r="T53" s="648"/>
      <c r="U53" s="729"/>
      <c r="V53" s="729"/>
      <c r="W53" s="729"/>
      <c r="X53" s="729"/>
      <c r="Y53" s="729"/>
      <c r="Z53" s="648"/>
      <c r="AA53" s="729"/>
      <c r="AB53" s="729"/>
      <c r="AC53" s="729"/>
      <c r="AD53" s="729"/>
      <c r="AE53" s="729"/>
      <c r="AF53" s="648"/>
      <c r="AG53" s="729"/>
      <c r="AH53" s="729"/>
      <c r="AI53" s="729"/>
      <c r="AJ53" s="729"/>
      <c r="AK53" s="729"/>
      <c r="AL53" s="648"/>
      <c r="AM53" s="729"/>
      <c r="AN53" s="729"/>
      <c r="AO53" s="729"/>
      <c r="AP53" s="729"/>
      <c r="AQ53" s="729"/>
      <c r="AR53" s="648"/>
      <c r="AS53" s="729"/>
      <c r="AT53" s="729"/>
      <c r="AU53" s="729"/>
      <c r="AV53" s="729"/>
      <c r="AW53" s="729"/>
      <c r="AX53" s="648"/>
      <c r="AY53" s="729"/>
      <c r="AZ53" s="729"/>
      <c r="BA53" s="729"/>
      <c r="BB53" s="729"/>
      <c r="BC53" s="729"/>
      <c r="BD53" s="648"/>
      <c r="BE53" s="729"/>
      <c r="BF53" s="729"/>
      <c r="BG53" s="729"/>
      <c r="BH53" s="729"/>
      <c r="BI53" s="729"/>
      <c r="BJ53" s="648"/>
      <c r="BK53" s="729"/>
      <c r="BL53" s="729"/>
      <c r="BM53" s="729"/>
      <c r="BN53" s="729"/>
      <c r="BO53" s="729"/>
      <c r="BP53" s="648"/>
      <c r="BQ53" s="729"/>
      <c r="BR53" s="647"/>
      <c r="BS53" s="647"/>
      <c r="BT53" s="729"/>
      <c r="BU53" s="729"/>
      <c r="BV53" s="648"/>
      <c r="BW53" s="647"/>
      <c r="BX53" s="647"/>
      <c r="BY53" s="647"/>
      <c r="BZ53" s="647"/>
      <c r="CA53" s="729"/>
      <c r="CB53" s="648"/>
      <c r="CC53" s="647"/>
      <c r="CD53" s="647"/>
      <c r="CE53" s="647"/>
      <c r="CF53" s="647"/>
      <c r="CG53" s="729"/>
      <c r="CI53" s="806"/>
      <c r="CQ53" s="36"/>
    </row>
    <row r="54" spans="1:95" outlineLevel="1" x14ac:dyDescent="0.2">
      <c r="A54" s="600"/>
      <c r="B54" s="612" t="s">
        <v>81</v>
      </c>
      <c r="C54" s="612">
        <f t="shared" ref="C54:BN54" si="15">C52-C22</f>
        <v>0</v>
      </c>
      <c r="D54" s="612">
        <f t="shared" si="15"/>
        <v>-9.9999999974897946E-4</v>
      </c>
      <c r="E54" s="612">
        <f t="shared" si="15"/>
        <v>0</v>
      </c>
      <c r="F54" s="612">
        <f t="shared" si="15"/>
        <v>0</v>
      </c>
      <c r="G54" s="612">
        <f t="shared" si="15"/>
        <v>0</v>
      </c>
      <c r="H54" s="612">
        <f t="shared" si="15"/>
        <v>0</v>
      </c>
      <c r="I54" s="612">
        <f t="shared" si="15"/>
        <v>0</v>
      </c>
      <c r="J54" s="612">
        <f t="shared" si="15"/>
        <v>0</v>
      </c>
      <c r="K54" s="612">
        <f t="shared" si="15"/>
        <v>0</v>
      </c>
      <c r="L54" s="612">
        <f t="shared" si="15"/>
        <v>0</v>
      </c>
      <c r="M54" s="612">
        <f t="shared" si="15"/>
        <v>0</v>
      </c>
      <c r="N54" s="612">
        <f t="shared" si="15"/>
        <v>0</v>
      </c>
      <c r="O54" s="612">
        <f t="shared" si="15"/>
        <v>0</v>
      </c>
      <c r="P54" s="612">
        <f t="shared" si="15"/>
        <v>0</v>
      </c>
      <c r="Q54" s="612">
        <f t="shared" si="15"/>
        <v>0</v>
      </c>
      <c r="R54" s="612">
        <f t="shared" si="15"/>
        <v>0</v>
      </c>
      <c r="S54" s="612">
        <f t="shared" si="15"/>
        <v>0</v>
      </c>
      <c r="T54" s="612">
        <f t="shared" si="15"/>
        <v>0</v>
      </c>
      <c r="U54" s="612">
        <f t="shared" si="15"/>
        <v>0</v>
      </c>
      <c r="V54" s="612">
        <f t="shared" si="15"/>
        <v>0</v>
      </c>
      <c r="W54" s="612">
        <f t="shared" si="15"/>
        <v>0</v>
      </c>
      <c r="X54" s="612">
        <f t="shared" si="15"/>
        <v>0</v>
      </c>
      <c r="Y54" s="612">
        <f t="shared" si="15"/>
        <v>0</v>
      </c>
      <c r="Z54" s="612">
        <f t="shared" si="15"/>
        <v>0</v>
      </c>
      <c r="AA54" s="612">
        <f t="shared" si="15"/>
        <v>0</v>
      </c>
      <c r="AB54" s="612">
        <f t="shared" si="15"/>
        <v>0</v>
      </c>
      <c r="AC54" s="612">
        <f t="shared" si="15"/>
        <v>0</v>
      </c>
      <c r="AD54" s="612">
        <f t="shared" si="15"/>
        <v>0</v>
      </c>
      <c r="AE54" s="612">
        <f t="shared" si="15"/>
        <v>0</v>
      </c>
      <c r="AF54" s="612">
        <f t="shared" si="15"/>
        <v>0</v>
      </c>
      <c r="AG54" s="612">
        <f t="shared" si="15"/>
        <v>0</v>
      </c>
      <c r="AH54" s="612">
        <f t="shared" si="15"/>
        <v>0</v>
      </c>
      <c r="AI54" s="612">
        <f t="shared" si="15"/>
        <v>0</v>
      </c>
      <c r="AJ54" s="612">
        <f t="shared" si="15"/>
        <v>0</v>
      </c>
      <c r="AK54" s="612">
        <f t="shared" si="15"/>
        <v>0</v>
      </c>
      <c r="AL54" s="612">
        <f t="shared" si="15"/>
        <v>0</v>
      </c>
      <c r="AM54" s="613">
        <f t="shared" si="15"/>
        <v>0</v>
      </c>
      <c r="AN54" s="613">
        <f t="shared" si="15"/>
        <v>1.0000000002037268E-3</v>
      </c>
      <c r="AO54" s="613">
        <f t="shared" si="15"/>
        <v>0</v>
      </c>
      <c r="AP54" s="613">
        <f t="shared" si="15"/>
        <v>0</v>
      </c>
      <c r="AQ54" s="613">
        <f t="shared" si="15"/>
        <v>0</v>
      </c>
      <c r="AR54" s="613">
        <f t="shared" si="15"/>
        <v>0</v>
      </c>
      <c r="AS54" s="612">
        <f t="shared" si="15"/>
        <v>0</v>
      </c>
      <c r="AT54" s="612">
        <f t="shared" si="15"/>
        <v>0</v>
      </c>
      <c r="AU54" s="612">
        <f t="shared" si="15"/>
        <v>0</v>
      </c>
      <c r="AV54" s="612">
        <f t="shared" si="15"/>
        <v>0</v>
      </c>
      <c r="AW54" s="612">
        <f t="shared" si="15"/>
        <v>0</v>
      </c>
      <c r="AX54" s="613">
        <f t="shared" si="15"/>
        <v>0</v>
      </c>
      <c r="AY54" s="612">
        <f t="shared" si="15"/>
        <v>0</v>
      </c>
      <c r="AZ54" s="612">
        <f t="shared" si="15"/>
        <v>0</v>
      </c>
      <c r="BA54" s="612">
        <f t="shared" si="15"/>
        <v>0</v>
      </c>
      <c r="BB54" s="612">
        <f t="shared" si="15"/>
        <v>0</v>
      </c>
      <c r="BC54" s="612">
        <f t="shared" si="15"/>
        <v>0</v>
      </c>
      <c r="BD54" s="612"/>
      <c r="BE54" s="612">
        <f t="shared" si="15"/>
        <v>0</v>
      </c>
      <c r="BF54" s="612">
        <f t="shared" si="15"/>
        <v>0</v>
      </c>
      <c r="BG54" s="613">
        <f t="shared" si="15"/>
        <v>0</v>
      </c>
      <c r="BH54" s="612">
        <f t="shared" si="15"/>
        <v>0</v>
      </c>
      <c r="BI54" s="612">
        <f t="shared" si="15"/>
        <v>0</v>
      </c>
      <c r="BJ54" s="613"/>
      <c r="BK54" s="612">
        <f t="shared" si="15"/>
        <v>0</v>
      </c>
      <c r="BL54" s="612">
        <f t="shared" si="15"/>
        <v>0</v>
      </c>
      <c r="BM54" s="613">
        <f t="shared" si="15"/>
        <v>0</v>
      </c>
      <c r="BN54" s="613">
        <f t="shared" si="15"/>
        <v>0</v>
      </c>
      <c r="BO54" s="613">
        <f t="shared" ref="BO54:CG54" si="16">BO52-BO22</f>
        <v>0</v>
      </c>
      <c r="BP54" s="613">
        <f t="shared" si="16"/>
        <v>0</v>
      </c>
      <c r="BQ54" s="613">
        <f t="shared" si="16"/>
        <v>0</v>
      </c>
      <c r="BR54" s="613">
        <f t="shared" si="16"/>
        <v>0</v>
      </c>
      <c r="BS54" s="613">
        <f t="shared" si="16"/>
        <v>0</v>
      </c>
      <c r="BT54" s="613">
        <f t="shared" si="16"/>
        <v>0</v>
      </c>
      <c r="BU54" s="613">
        <f t="shared" si="16"/>
        <v>0</v>
      </c>
      <c r="BV54" s="613"/>
      <c r="BW54" s="612">
        <f>BW52-BW22</f>
        <v>0</v>
      </c>
      <c r="BX54" s="612">
        <f>BX52-BX22</f>
        <v>0</v>
      </c>
      <c r="BY54" s="612">
        <f>BY52-BY22</f>
        <v>0</v>
      </c>
      <c r="BZ54" s="612">
        <f>BZ52-BZ22</f>
        <v>0</v>
      </c>
      <c r="CA54" s="612">
        <f>CA52-CA22</f>
        <v>0</v>
      </c>
      <c r="CB54" s="612">
        <f t="shared" si="16"/>
        <v>0</v>
      </c>
      <c r="CC54" s="612">
        <f t="shared" si="16"/>
        <v>0</v>
      </c>
      <c r="CD54" s="612">
        <f t="shared" si="16"/>
        <v>0</v>
      </c>
      <c r="CE54" s="612">
        <f t="shared" si="16"/>
        <v>0</v>
      </c>
      <c r="CF54" s="612">
        <f t="shared" si="16"/>
        <v>0</v>
      </c>
      <c r="CG54" s="612">
        <f t="shared" si="16"/>
        <v>0</v>
      </c>
      <c r="CI54" s="806"/>
      <c r="CQ54" s="36"/>
    </row>
    <row r="55" spans="1:95" ht="4.5" customHeight="1" x14ac:dyDescent="0.2">
      <c r="A55" s="24"/>
      <c r="B55" s="24"/>
      <c r="C55" s="24"/>
      <c r="D55" s="24"/>
      <c r="E55" s="24"/>
      <c r="F55" s="24"/>
      <c r="G55" s="24"/>
      <c r="H55" s="24"/>
      <c r="I55" s="24"/>
      <c r="J55" s="24"/>
      <c r="K55" s="24"/>
      <c r="L55" s="24"/>
      <c r="M55" s="24"/>
      <c r="N55" s="24"/>
      <c r="O55" s="24"/>
      <c r="P55" s="24"/>
      <c r="Q55" s="24"/>
      <c r="R55" s="24"/>
      <c r="S55" s="24"/>
      <c r="T55" s="24"/>
      <c r="U55" s="24"/>
      <c r="V55" s="24"/>
      <c r="W55" s="24"/>
      <c r="X55" s="24"/>
      <c r="Y55" s="24"/>
      <c r="Z55" s="24"/>
      <c r="AA55" s="24"/>
      <c r="AB55" s="24"/>
      <c r="AC55" s="24"/>
      <c r="AD55" s="24"/>
      <c r="AE55" s="24"/>
      <c r="AF55" s="24"/>
      <c r="AG55" s="24"/>
      <c r="AH55" s="24"/>
      <c r="AI55" s="24"/>
      <c r="AJ55" s="24"/>
      <c r="AK55" s="24"/>
      <c r="AL55" s="24"/>
      <c r="AM55" s="24"/>
      <c r="AN55" s="24"/>
      <c r="AO55" s="24"/>
      <c r="AP55" s="24"/>
      <c r="AQ55" s="24"/>
      <c r="AR55" s="24"/>
      <c r="AS55" s="24"/>
      <c r="AT55" s="24"/>
      <c r="AU55" s="24"/>
      <c r="AV55" s="24"/>
      <c r="AW55" s="24"/>
      <c r="AX55" s="24"/>
      <c r="AY55" s="24"/>
      <c r="AZ55" s="24"/>
      <c r="BA55" s="24"/>
      <c r="BB55" s="24"/>
      <c r="BC55" s="24"/>
      <c r="BD55" s="24"/>
      <c r="BE55" s="24"/>
      <c r="BF55" s="1211"/>
      <c r="BG55" s="24"/>
      <c r="BH55" s="24"/>
      <c r="BI55" s="24"/>
      <c r="BJ55" s="24"/>
      <c r="BK55" s="24"/>
      <c r="BL55" s="24"/>
      <c r="BM55" s="24"/>
      <c r="BN55" s="24"/>
      <c r="BO55" s="24"/>
      <c r="BP55" s="24"/>
      <c r="BQ55" s="24"/>
      <c r="BT55" s="24"/>
      <c r="BU55" s="24"/>
      <c r="BV55" s="24"/>
      <c r="CA55" s="24"/>
      <c r="CB55" s="24"/>
      <c r="CG55" s="24"/>
      <c r="CQ55" s="36"/>
    </row>
    <row r="56" spans="1:95" s="1102" customFormat="1" ht="11.25" customHeight="1" outlineLevel="1" x14ac:dyDescent="0.2">
      <c r="B56" s="12" t="s">
        <v>82</v>
      </c>
      <c r="C56" s="35"/>
      <c r="D56" s="35"/>
      <c r="E56" s="35"/>
      <c r="F56" s="35"/>
      <c r="G56" s="35"/>
      <c r="H56" s="86"/>
      <c r="I56" s="35"/>
      <c r="J56" s="35"/>
      <c r="K56" s="35"/>
      <c r="L56" s="35"/>
      <c r="M56" s="35"/>
      <c r="N56" s="86"/>
      <c r="O56" s="35"/>
      <c r="P56" s="35"/>
      <c r="Q56" s="35"/>
      <c r="R56" s="35"/>
      <c r="S56" s="35"/>
      <c r="T56" s="86"/>
      <c r="U56" s="35"/>
      <c r="V56" s="35"/>
      <c r="W56" s="35"/>
      <c r="X56" s="35"/>
      <c r="Y56" s="35"/>
      <c r="Z56" s="86"/>
      <c r="AA56" s="35"/>
      <c r="AB56" s="35"/>
      <c r="AC56" s="35"/>
      <c r="AD56" s="35"/>
      <c r="AE56" s="35"/>
      <c r="AF56" s="50"/>
      <c r="AG56" s="35"/>
      <c r="AH56" s="35"/>
      <c r="AI56" s="35"/>
      <c r="AJ56" s="35"/>
      <c r="AK56" s="35"/>
      <c r="AL56" s="50"/>
      <c r="AM56" s="35"/>
      <c r="AN56" s="35"/>
      <c r="AO56" s="35"/>
      <c r="AP56" s="35"/>
      <c r="AQ56" s="35"/>
      <c r="AR56" s="50"/>
      <c r="AS56" s="35"/>
      <c r="AT56" s="35"/>
      <c r="AU56" s="35"/>
      <c r="AV56" s="35"/>
      <c r="AW56" s="35"/>
      <c r="AX56" s="50"/>
      <c r="AY56" s="35"/>
      <c r="AZ56" s="35"/>
      <c r="BA56" s="35"/>
      <c r="BB56" s="35"/>
      <c r="BC56" s="35"/>
      <c r="BD56" s="50"/>
      <c r="BE56" s="35"/>
      <c r="BF56" s="68"/>
      <c r="BG56" s="68"/>
      <c r="BH56" s="68"/>
      <c r="BI56" s="68"/>
      <c r="BJ56" s="68"/>
      <c r="BK56" s="68"/>
      <c r="BL56" s="68"/>
      <c r="BM56" s="68"/>
      <c r="BN56" s="68"/>
      <c r="BO56" s="68"/>
      <c r="BP56" s="68"/>
      <c r="BQ56" s="68"/>
      <c r="BR56" s="68"/>
      <c r="BS56" s="68"/>
      <c r="BT56" s="68"/>
      <c r="BU56" s="68"/>
      <c r="BV56" s="68"/>
      <c r="BW56" s="68"/>
      <c r="BX56" s="68"/>
      <c r="BY56" s="68"/>
      <c r="BZ56" s="68"/>
      <c r="CA56" s="68"/>
      <c r="CB56" s="68"/>
      <c r="CC56" s="68"/>
      <c r="CD56" s="68"/>
      <c r="CE56" s="68"/>
      <c r="CF56" s="68"/>
      <c r="CG56" s="68"/>
      <c r="CH56" s="68"/>
      <c r="CI56" s="68"/>
      <c r="CJ56" s="68"/>
      <c r="CK56"/>
      <c r="CL56"/>
      <c r="CM56"/>
      <c r="CN56"/>
      <c r="CO56"/>
      <c r="CP56"/>
    </row>
    <row r="57" spans="1:95" s="1102" customFormat="1" ht="11.25" customHeight="1" outlineLevel="1" x14ac:dyDescent="0.2">
      <c r="B57" s="1" t="s">
        <v>83</v>
      </c>
      <c r="C57" s="68">
        <f>C29+C33</f>
        <v>423.11400000000003</v>
      </c>
      <c r="D57" s="68">
        <f t="shared" ref="D57:AA57" si="17">D29+D33</f>
        <v>402.22800000000001</v>
      </c>
      <c r="E57" s="68">
        <f t="shared" si="17"/>
        <v>502.68799999999999</v>
      </c>
      <c r="F57" s="68">
        <f t="shared" si="17"/>
        <v>483.30700000000002</v>
      </c>
      <c r="G57" s="68">
        <f t="shared" si="17"/>
        <v>483.30700000000002</v>
      </c>
      <c r="H57" s="68"/>
      <c r="I57" s="68">
        <f t="shared" si="17"/>
        <v>592.63400000000001</v>
      </c>
      <c r="J57" s="68">
        <f t="shared" si="17"/>
        <v>581.50300000000004</v>
      </c>
      <c r="K57" s="68">
        <f t="shared" si="17"/>
        <v>404.51299999999998</v>
      </c>
      <c r="L57" s="68">
        <f t="shared" si="17"/>
        <v>449.47399999999999</v>
      </c>
      <c r="M57" s="68">
        <f t="shared" si="17"/>
        <v>449.47399999999999</v>
      </c>
      <c r="N57" s="68"/>
      <c r="O57" s="68">
        <f t="shared" si="17"/>
        <v>486.459</v>
      </c>
      <c r="P57" s="68">
        <f t="shared" si="17"/>
        <v>419.85500000000002</v>
      </c>
      <c r="Q57" s="68">
        <f t="shared" si="17"/>
        <v>395.20800000000003</v>
      </c>
      <c r="R57" s="68">
        <f t="shared" si="17"/>
        <v>469.32500000000005</v>
      </c>
      <c r="S57" s="68">
        <f t="shared" si="17"/>
        <v>469.32500000000005</v>
      </c>
      <c r="T57" s="68"/>
      <c r="U57" s="68">
        <f t="shared" si="17"/>
        <v>476.51100000000002</v>
      </c>
      <c r="V57" s="68">
        <f t="shared" si="17"/>
        <v>474.90300000000002</v>
      </c>
      <c r="W57" s="68">
        <f t="shared" si="17"/>
        <v>599.66599999999994</v>
      </c>
      <c r="X57" s="68">
        <f t="shared" si="17"/>
        <v>611.76900000000001</v>
      </c>
      <c r="Y57" s="68">
        <f t="shared" si="17"/>
        <v>611.76900000000001</v>
      </c>
      <c r="Z57" s="68"/>
      <c r="AA57" s="68">
        <f t="shared" si="17"/>
        <v>663.74299999999994</v>
      </c>
      <c r="AB57" s="68">
        <f>AB29+AB33</f>
        <v>663.37300000000005</v>
      </c>
      <c r="AC57" s="68">
        <f>AC29+AC33</f>
        <v>1839.5520000000001</v>
      </c>
      <c r="AD57" s="68">
        <f>AD29+AD33</f>
        <v>1766.711</v>
      </c>
      <c r="AE57" s="68">
        <f>AE29+AE33</f>
        <v>1766.711</v>
      </c>
      <c r="AF57" s="68"/>
      <c r="AG57" s="68">
        <f>AG29+AG33</f>
        <v>1769.2540000000001</v>
      </c>
      <c r="AH57" s="68">
        <f>AH29+AH33</f>
        <v>1724.5839999999998</v>
      </c>
      <c r="AI57" s="68">
        <f>AI29+AI33</f>
        <v>1649.0839999999998</v>
      </c>
      <c r="AJ57" s="68">
        <f>AJ29+AJ33</f>
        <v>1520.998</v>
      </c>
      <c r="AK57" s="68">
        <f>AK29+AK33</f>
        <v>1520.998</v>
      </c>
      <c r="AL57" s="50"/>
      <c r="AM57" s="68">
        <f>AM29+AM33</f>
        <v>1523.1599999999999</v>
      </c>
      <c r="AN57" s="68">
        <f>AN29+AN33</f>
        <v>1540.857</v>
      </c>
      <c r="AO57" s="68">
        <f>AO29+AO33</f>
        <v>1435.7420000000002</v>
      </c>
      <c r="AP57" s="68">
        <f>AP29+AP33</f>
        <v>1476.0400000000002</v>
      </c>
      <c r="AQ57" s="68">
        <f>AQ29+AQ33</f>
        <v>1476.0400000000002</v>
      </c>
      <c r="AR57" s="50"/>
      <c r="AS57" s="68">
        <f>AS29+AS33</f>
        <v>1468.6079999999999</v>
      </c>
      <c r="AT57" s="68">
        <f>AT29+AT33</f>
        <v>1367.1750000000002</v>
      </c>
      <c r="AU57" s="68">
        <f>AU29+AU33</f>
        <v>1280.819</v>
      </c>
      <c r="AV57" s="68">
        <f>AV29+AV33</f>
        <v>1265.713</v>
      </c>
      <c r="AW57" s="68">
        <f>AW29+AW33</f>
        <v>1265.713</v>
      </c>
      <c r="AX57" s="50"/>
      <c r="AY57" s="68">
        <f>AY29+AY33</f>
        <v>1326.4540000000002</v>
      </c>
      <c r="AZ57" s="68">
        <f>AZ29+AZ33</f>
        <v>1197.4829999999999</v>
      </c>
      <c r="BA57" s="68">
        <f>BA29+BA33</f>
        <v>1155.0999999999999</v>
      </c>
      <c r="BB57" s="68">
        <f>BB29+BB33</f>
        <v>1153.0999999999999</v>
      </c>
      <c r="BC57" s="68">
        <f>BC29+BC33</f>
        <v>1153.0999999999999</v>
      </c>
      <c r="BD57" s="50"/>
      <c r="BE57" s="68">
        <f>BE29+BE33</f>
        <v>1180</v>
      </c>
      <c r="BF57" s="68">
        <f>BF29+BF33</f>
        <v>1181.5999999999999</v>
      </c>
      <c r="BG57" s="68">
        <f>BG29+BG33</f>
        <v>1586.2</v>
      </c>
      <c r="BH57" s="68">
        <f>BH29+BH33</f>
        <v>1532.1999999999998</v>
      </c>
      <c r="BI57" s="68">
        <f>BI29+BI33</f>
        <v>1532.1999999999998</v>
      </c>
      <c r="BJ57" s="50"/>
      <c r="BK57" s="68">
        <f>BK29+BK33</f>
        <v>1550.8</v>
      </c>
      <c r="BL57" s="68">
        <f>BL29+BL33</f>
        <v>1608.8999999999999</v>
      </c>
      <c r="BM57" s="68">
        <f>BM29+BM33</f>
        <v>1622.1000000000001</v>
      </c>
      <c r="BN57" s="68">
        <f>BN29+BN33</f>
        <v>1641.6999999999998</v>
      </c>
      <c r="BO57" s="68">
        <f>BO29+BO33</f>
        <v>1641.6999999999998</v>
      </c>
      <c r="BP57" s="50"/>
      <c r="BQ57" s="68">
        <f>BQ29+BQ33</f>
        <v>1630.8</v>
      </c>
      <c r="BR57" s="68">
        <f>BR29+BR33</f>
        <v>1630.8</v>
      </c>
      <c r="BS57" s="68">
        <f>BS29+BS33</f>
        <v>1630.8</v>
      </c>
      <c r="BT57" s="68">
        <f>BT29+BT33</f>
        <v>1630.8</v>
      </c>
      <c r="BU57" s="68">
        <f>BU29+BU33</f>
        <v>1630.8</v>
      </c>
      <c r="BV57" s="50"/>
      <c r="BW57" s="68">
        <f>BW29+BW33</f>
        <v>1630.8</v>
      </c>
      <c r="BX57" s="68">
        <f>BX29+BX33</f>
        <v>1630.8</v>
      </c>
      <c r="BY57" s="68">
        <f>BY29+BY33</f>
        <v>1630.8</v>
      </c>
      <c r="BZ57" s="68">
        <f>BZ29+BZ33</f>
        <v>1630.8</v>
      </c>
      <c r="CA57" s="68">
        <f>CA29+CA33</f>
        <v>1630.8</v>
      </c>
      <c r="CB57" s="50"/>
      <c r="CC57" s="68">
        <f>CC29+CC33</f>
        <v>1630.8</v>
      </c>
      <c r="CD57" s="68">
        <f>CD29+CD33</f>
        <v>1630.8</v>
      </c>
      <c r="CE57" s="68">
        <f>CE29+CE33</f>
        <v>1630.8</v>
      </c>
      <c r="CF57" s="68">
        <f>CF29+CF33</f>
        <v>1630.8</v>
      </c>
      <c r="CG57" s="68">
        <f>CG29+CG33</f>
        <v>1630.8</v>
      </c>
      <c r="CH57" s="68"/>
      <c r="CI57" s="68"/>
      <c r="CJ57" s="68"/>
      <c r="CK57"/>
      <c r="CL57"/>
      <c r="CM57"/>
      <c r="CN57"/>
      <c r="CO57"/>
      <c r="CP57"/>
    </row>
    <row r="58" spans="1:95" s="1102" customFormat="1" ht="11.25" customHeight="1" outlineLevel="1" x14ac:dyDescent="0.2">
      <c r="B58" s="1" t="s">
        <v>84</v>
      </c>
      <c r="C58" s="68">
        <f>C57-C9-C10</f>
        <v>286.19700000000006</v>
      </c>
      <c r="D58" s="68">
        <f>D57-D9-D10</f>
        <v>222.00300000000004</v>
      </c>
      <c r="E58" s="68">
        <f>E57-E9-E10</f>
        <v>241.94600000000008</v>
      </c>
      <c r="F58" s="68">
        <f>F57-F9-F10</f>
        <v>166.98400000000007</v>
      </c>
      <c r="G58" s="68">
        <f>G57-G9-G10</f>
        <v>166.98400000000007</v>
      </c>
      <c r="H58" s="68"/>
      <c r="I58" s="68">
        <f>I57-I9-I10</f>
        <v>247.971</v>
      </c>
      <c r="J58" s="68">
        <f>J57-J9-J10</f>
        <v>158.25199999999995</v>
      </c>
      <c r="K58" s="68">
        <f>K57-K9-K10</f>
        <v>159.76300000000001</v>
      </c>
      <c r="L58" s="68">
        <f>L57-L9-L10</f>
        <v>245.22499999999994</v>
      </c>
      <c r="M58" s="68">
        <f>M57-M9-M10</f>
        <v>245.22499999999994</v>
      </c>
      <c r="N58" s="68"/>
      <c r="O58" s="68">
        <f>O57-O9-O10</f>
        <v>259.97300000000007</v>
      </c>
      <c r="P58" s="68">
        <f>P57-P9-P10</f>
        <v>167.94800000000012</v>
      </c>
      <c r="Q58" s="68">
        <f>Q57-Q9-Q10</f>
        <v>61.80300000000009</v>
      </c>
      <c r="R58" s="68">
        <f>R57-R9-R10</f>
        <v>18.977000000000146</v>
      </c>
      <c r="S58" s="68">
        <f>S57-S9-S10</f>
        <v>18.977000000000146</v>
      </c>
      <c r="T58" s="68"/>
      <c r="U58" s="68">
        <f>U57-U9-U10</f>
        <v>71.494000000000085</v>
      </c>
      <c r="V58" s="68">
        <f>V57-V9-V10</f>
        <v>134.55600000000004</v>
      </c>
      <c r="W58" s="68">
        <f>W57-W9-W10</f>
        <v>65.423000000000002</v>
      </c>
      <c r="X58" s="68">
        <f>X57-X9-X10</f>
        <v>71.731000000000108</v>
      </c>
      <c r="Y58" s="68">
        <f>Y57-Y9-Y10</f>
        <v>71.731000000000108</v>
      </c>
      <c r="Z58" s="68"/>
      <c r="AA58" s="68">
        <f>AA57-AA9-AA10</f>
        <v>88.479000000000156</v>
      </c>
      <c r="AB58" s="68">
        <f>AB57-AB9-AB10</f>
        <v>-8.3369999999997617</v>
      </c>
      <c r="AC58" s="68">
        <f>AC57-AC9-AC10</f>
        <v>1757.6860000000001</v>
      </c>
      <c r="AD58" s="68">
        <f>AD57-AD9-AD10</f>
        <v>1689.5830000000001</v>
      </c>
      <c r="AE58" s="68">
        <f>AE57-AE9-AE10</f>
        <v>1689.5830000000001</v>
      </c>
      <c r="AF58" s="68"/>
      <c r="AG58" s="68">
        <f>AG57-AG9-AG10</f>
        <v>1701.9080000000004</v>
      </c>
      <c r="AH58" s="68">
        <f>AH57-AH9-AH10</f>
        <v>1671.3740000000003</v>
      </c>
      <c r="AI58" s="68">
        <f>AI57-AI9-AI10</f>
        <v>1593.0090000000002</v>
      </c>
      <c r="AJ58" s="68">
        <f>AJ57-AJ9-AJ10</f>
        <v>1440.8660000000004</v>
      </c>
      <c r="AK58" s="68">
        <f>AK57-AK9-AK10</f>
        <v>1440.8660000000004</v>
      </c>
      <c r="AL58" s="50"/>
      <c r="AM58" s="68">
        <f>AM57-AM9-AM10</f>
        <v>1466.9570000000003</v>
      </c>
      <c r="AN58" s="68">
        <f>AN57-AN9-AN10</f>
        <v>1483.8309999999999</v>
      </c>
      <c r="AO58" s="68">
        <f>AO57-AO9-AO10</f>
        <v>1385.0840000000007</v>
      </c>
      <c r="AP58" s="68">
        <f>AP57-AP9-AP10</f>
        <v>1401.0860000000007</v>
      </c>
      <c r="AQ58" s="68">
        <f>AQ57-AQ9-AQ10</f>
        <v>1401.0860000000007</v>
      </c>
      <c r="AR58" s="50"/>
      <c r="AS58" s="68">
        <f>AS57-AS9-AS10</f>
        <v>1412.8300000000004</v>
      </c>
      <c r="AT58" s="68">
        <f>AT57-AT9-AT10</f>
        <v>1300.2910000000006</v>
      </c>
      <c r="AU58" s="68">
        <f>AU57-AU9-AU10</f>
        <v>1183.2120000000004</v>
      </c>
      <c r="AV58" s="68">
        <f>AV57-AV9-AV10</f>
        <v>1114.1190000000006</v>
      </c>
      <c r="AW58" s="68">
        <f>AW57-AW9-AW10</f>
        <v>1114.1190000000006</v>
      </c>
      <c r="AX58" s="50"/>
      <c r="AY58" s="68">
        <f>AY57-AY9-AY10</f>
        <v>1225.8350000000003</v>
      </c>
      <c r="AZ58" s="68">
        <f>AZ57-AZ9-AZ10</f>
        <v>1101.011</v>
      </c>
      <c r="BA58" s="68">
        <f>BA57-BA9-BA10</f>
        <v>918.69999999999993</v>
      </c>
      <c r="BB58" s="68">
        <f>BB57-BB9-BB10</f>
        <v>868.49999999999989</v>
      </c>
      <c r="BC58" s="68">
        <f>BC57-BC9-BC10</f>
        <v>868.49999999999989</v>
      </c>
      <c r="BD58" s="50"/>
      <c r="BE58" s="68">
        <f>BE57-BE9-BE10</f>
        <v>856.9</v>
      </c>
      <c r="BF58" s="68">
        <f>BF57-BF9-BF10</f>
        <v>869.99999999999989</v>
      </c>
      <c r="BG58" s="68">
        <f>BG57-BG9-BG10</f>
        <v>1255.5</v>
      </c>
      <c r="BH58" s="68">
        <f>BH57-BH9-BH10</f>
        <v>1148.2999999999997</v>
      </c>
      <c r="BI58" s="68">
        <f>BI57-BI9-BI10</f>
        <v>1148.2999999999997</v>
      </c>
      <c r="BJ58" s="50"/>
      <c r="BK58" s="68">
        <f>BK57-BK9-BK10</f>
        <v>1187.5</v>
      </c>
      <c r="BL58" s="68">
        <f>BL57-BL9-BL10</f>
        <v>1340.5</v>
      </c>
      <c r="BM58" s="68">
        <f>BM57-BM9-BM10</f>
        <v>1252.1000000000001</v>
      </c>
      <c r="BN58" s="68">
        <f>BN57-BN9-BN10</f>
        <v>1321.1</v>
      </c>
      <c r="BO58" s="68">
        <f>BO57-BO9-BO10</f>
        <v>1321.1</v>
      </c>
      <c r="BP58" s="50"/>
      <c r="BQ58" s="68">
        <f>BQ57-BQ9-BQ10</f>
        <v>1218.7523081131365</v>
      </c>
      <c r="BR58" s="68">
        <f>BR57-BR9-BR10</f>
        <v>1305.1740743032976</v>
      </c>
      <c r="BS58" s="68">
        <f>BS57-BS9-BS10</f>
        <v>1400.8120827743321</v>
      </c>
      <c r="BT58" s="68">
        <f>BT57-BT9-BT10</f>
        <v>1408.1147943131514</v>
      </c>
      <c r="BU58" s="68">
        <f>BU57-BU9-BU10</f>
        <v>1408.1147943131514</v>
      </c>
      <c r="BV58" s="50"/>
      <c r="BW58" s="68">
        <f>BW57-BW9-BW10</f>
        <v>1242.3442813728545</v>
      </c>
      <c r="BX58" s="68">
        <f>BX57-BX9-BX10</f>
        <v>1311.0077417347329</v>
      </c>
      <c r="BY58" s="68">
        <f>BY57-BY9-BY10</f>
        <v>1390.3548480959826</v>
      </c>
      <c r="BZ58" s="68">
        <f>BZ57-BZ9-BZ10</f>
        <v>1400.5360282134</v>
      </c>
      <c r="CA58" s="68">
        <f>CA57-CA9-CA10</f>
        <v>1400.5360282134</v>
      </c>
      <c r="CB58" s="50"/>
      <c r="CC58" s="68">
        <f>CC57-CC9-CC10</f>
        <v>1214.4537963450384</v>
      </c>
      <c r="CD58" s="68">
        <f>CD57-CD9-CD10</f>
        <v>1271.7358099607422</v>
      </c>
      <c r="CE58" s="68">
        <f>CE57-CE9-CE10</f>
        <v>1334.5423980869919</v>
      </c>
      <c r="CF58" s="68">
        <f>CF57-CF9-CF10</f>
        <v>1334.5547679727924</v>
      </c>
      <c r="CG58" s="68">
        <f>CG57-CG9-CG10</f>
        <v>1334.5547679727924</v>
      </c>
      <c r="CH58" s="68"/>
      <c r="CI58" s="68"/>
      <c r="CJ58" s="68"/>
      <c r="CK58"/>
      <c r="CL58"/>
      <c r="CM58"/>
      <c r="CN58"/>
      <c r="CO58"/>
      <c r="CP58"/>
    </row>
    <row r="59" spans="1:95" s="1102" customFormat="1" ht="11.25" customHeight="1" outlineLevel="1" x14ac:dyDescent="0.2">
      <c r="B59" s="1" t="s">
        <v>85</v>
      </c>
      <c r="C59" s="96">
        <f>C58/'P&amp;L'!C34</f>
        <v>1.8707764915055924</v>
      </c>
      <c r="D59" s="96">
        <f>D58/'P&amp;L'!D34</f>
        <v>1.4334519251257485</v>
      </c>
      <c r="E59" s="96">
        <f>E58/'P&amp;L'!E34</f>
        <v>1.5636051080550104</v>
      </c>
      <c r="F59" s="96">
        <f>F58/'P&amp;L'!F34</f>
        <v>1.0805368258939552</v>
      </c>
      <c r="G59" s="96">
        <f>G58/'P&amp;L'!G34</f>
        <v>1.0792587948630119</v>
      </c>
      <c r="H59" s="96"/>
      <c r="I59" s="96">
        <f>I58/'P&amp;L'!I34</f>
        <v>1.6209055908172803</v>
      </c>
      <c r="J59" s="96">
        <f>J58/'P&amp;L'!J34</f>
        <v>1.0425719744383686</v>
      </c>
      <c r="K59" s="96">
        <f>K58/'P&amp;L'!K34</f>
        <v>1.0531717832257725</v>
      </c>
      <c r="L59" s="96">
        <f>L58/'P&amp;L'!L34</f>
        <v>1.6322869656668926</v>
      </c>
      <c r="M59" s="96">
        <f>M58/'P&amp;L'!M34</f>
        <v>1.6167366609748215</v>
      </c>
      <c r="N59" s="96"/>
      <c r="O59" s="96">
        <f>O58/'P&amp;L'!O34</f>
        <v>1.7365685848836048</v>
      </c>
      <c r="P59" s="96">
        <f>P58/'P&amp;L'!P34</f>
        <v>1.1192280266831947</v>
      </c>
      <c r="Q59" s="96">
        <f>Q58/'P&amp;L'!Q34</f>
        <v>0.41027496382055051</v>
      </c>
      <c r="R59" s="96">
        <f>R58/'P&amp;L'!R34</f>
        <v>0.12632973411974696</v>
      </c>
      <c r="S59" s="96">
        <f>S58/'P&amp;L'!S34</f>
        <v>0.12642736272668015</v>
      </c>
      <c r="T59" s="96"/>
      <c r="U59" s="96">
        <f>U58/'P&amp;L'!U34</f>
        <v>0.47888059801465616</v>
      </c>
      <c r="V59" s="96">
        <f>V58/'P&amp;L'!V34</f>
        <v>0.91572693430607288</v>
      </c>
      <c r="W59" s="96">
        <f>W58/'P&amp;L'!W34</f>
        <v>0.45412770801663166</v>
      </c>
      <c r="X59" s="96">
        <f>X58/'P&amp;L'!X34</f>
        <v>0.49834997255743901</v>
      </c>
      <c r="Y59" s="96">
        <f>Y58/'P&amp;L'!Y34</f>
        <v>0.49135870123642911</v>
      </c>
      <c r="Z59" s="96"/>
      <c r="AA59" s="96">
        <f>AA58/'P&amp;L'!AA34</f>
        <v>0.61424981255727518</v>
      </c>
      <c r="AB59" s="96">
        <f>AB58/'P&amp;L'!AB34</f>
        <v>-5.814902387478648E-2</v>
      </c>
      <c r="AC59" s="96">
        <f>AC58/'P&amp;L'!AC34</f>
        <v>12.257651940444228</v>
      </c>
      <c r="AD59" s="96">
        <f>AD58/'P&amp;L'!AD34</f>
        <v>11.767701179846496</v>
      </c>
      <c r="AE59" s="96">
        <f>AE58/'P&amp;L'!AE34</f>
        <v>11.766103170319818</v>
      </c>
      <c r="AF59" s="96"/>
      <c r="AG59" s="96">
        <f>AG58/'P&amp;L'!AG34</f>
        <v>11.820118902100235</v>
      </c>
      <c r="AH59" s="96">
        <f>AH58/'P&amp;L'!AH34</f>
        <v>11.617816950849074</v>
      </c>
      <c r="AI59" s="96">
        <f>AI58/'P&amp;L'!AI34</f>
        <v>11.0714811931834</v>
      </c>
      <c r="AJ59" s="96">
        <f>AJ58/'P&amp;L'!AJ34</f>
        <v>9.9854189622791907</v>
      </c>
      <c r="AK59" s="96">
        <f>AK58/'P&amp;L'!AK34</f>
        <v>10.005527509079423</v>
      </c>
      <c r="AL59" s="96"/>
      <c r="AM59" s="96">
        <f>AM58/'P&amp;L'!AM34</f>
        <v>10.110042109180631</v>
      </c>
      <c r="AN59" s="96">
        <f>AN58/'P&amp;L'!AN34</f>
        <v>10.223939421082729</v>
      </c>
      <c r="AO59" s="96">
        <f>AO58/'P&amp;L'!AO34</f>
        <v>9.5722401138923878</v>
      </c>
      <c r="AP59" s="96">
        <f>AP58/'P&amp;L'!AP34</f>
        <v>9.6522110542378297</v>
      </c>
      <c r="AQ59" s="96">
        <f>AQ58/'P&amp;L'!AQ34</f>
        <v>9.6612128870324678</v>
      </c>
      <c r="AR59" s="96"/>
      <c r="AS59" s="96">
        <f>AS58/'P&amp;L'!AS34</f>
        <v>9.7805514596443164</v>
      </c>
      <c r="AT59" s="96">
        <f>AT58/'P&amp;L'!AT34</f>
        <v>9.0195263727421597</v>
      </c>
      <c r="AU59" s="96">
        <f>AU58/'P&amp;L'!AU34</f>
        <v>8.2004629693802613</v>
      </c>
      <c r="AV59" s="96">
        <f>AV58/'P&amp;L'!AV34</f>
        <v>7.7371524209005846</v>
      </c>
      <c r="AW59" s="96">
        <f>AW58/'P&amp;L'!AW34</f>
        <v>7.7248807850247658</v>
      </c>
      <c r="AX59" s="96"/>
      <c r="AY59" s="96">
        <f>AY58/'P&amp;L'!AY34</f>
        <v>8.5840382622335518</v>
      </c>
      <c r="AZ59" s="96">
        <f>AZ58/'P&amp;L'!AZ34</f>
        <v>7.7393190029663579</v>
      </c>
      <c r="BA59" s="96">
        <f>BA58/'P&amp;L'!BA34</f>
        <v>6.4515449438202239</v>
      </c>
      <c r="BB59" s="96">
        <f>BB58/'P&amp;L'!BB34</f>
        <v>6.0776766969909017</v>
      </c>
      <c r="BC59" s="96">
        <f>BC58/'P&amp;L'!BC34</f>
        <v>6.0947368421052621</v>
      </c>
      <c r="BD59" s="96"/>
      <c r="BE59" s="96">
        <f>BE58/'P&amp;L'!BE34</f>
        <v>4.803251121076233</v>
      </c>
      <c r="BF59" s="96">
        <f>BF58/'P&amp;L'!BF34</f>
        <v>3.6647009267059807</v>
      </c>
      <c r="BG59" s="96">
        <f>BG58/'P&amp;L'!BG34</f>
        <v>5.3131612357173079</v>
      </c>
      <c r="BH59" s="96">
        <f>BH58/'P&amp;L'!BH34</f>
        <v>4.903074295473953</v>
      </c>
      <c r="BI59" s="96">
        <f>BI58/'P&amp;L'!BI34</f>
        <v>5.1818592057761723</v>
      </c>
      <c r="BJ59" s="96"/>
      <c r="BK59" s="96">
        <f>BK58/'P&amp;L'!BK34</f>
        <v>5.0747863247863245</v>
      </c>
      <c r="BL59" s="96">
        <f>BL58/'P&amp;L'!BL34</f>
        <v>5.7466829571517373</v>
      </c>
      <c r="BM59" s="96">
        <f>BM58/'P&amp;L'!BM34</f>
        <v>5.3715143715143725</v>
      </c>
      <c r="BN59" s="96">
        <f>BN58/'P&amp;L'!BN34</f>
        <v>5.6971714671370099</v>
      </c>
      <c r="BO59" s="96">
        <f>BO58/'P&amp;L'!BO34</f>
        <v>5.6790240211840359</v>
      </c>
      <c r="BP59" s="96"/>
      <c r="BQ59" s="96">
        <f>BQ58/'P&amp;L'!BQ34</f>
        <v>5.3591681978223553</v>
      </c>
      <c r="BR59" s="96">
        <f>BR58/'P&amp;L'!BR34</f>
        <v>5.7875913988302372</v>
      </c>
      <c r="BS59" s="96">
        <f>BS58/'P&amp;L'!BS34</f>
        <v>6.2601423376579577</v>
      </c>
      <c r="BT59" s="96">
        <f>BT58/'P&amp;L'!BT34</f>
        <v>6.3435598474916972</v>
      </c>
      <c r="BU59" s="96">
        <f>BU58/'P&amp;L'!BU34</f>
        <v>6.2675553938519135</v>
      </c>
      <c r="BV59" s="96"/>
      <c r="BW59" s="96">
        <f>BW58/'P&amp;L'!BW34</f>
        <v>5.6515899859495233</v>
      </c>
      <c r="BX59" s="96">
        <f>BX58/'P&amp;L'!BX34</f>
        <v>6.0131921831238264</v>
      </c>
      <c r="BY59" s="96">
        <f>BY58/'P&amp;L'!BY34</f>
        <v>6.4347299201018204</v>
      </c>
      <c r="BZ59" s="96">
        <f>BZ58/'P&amp;L'!BZ34</f>
        <v>6.5431247979268097</v>
      </c>
      <c r="CA59" s="96">
        <f>CA58/'P&amp;L'!CA34</f>
        <v>6.4543700649510356</v>
      </c>
      <c r="CB59" s="96"/>
      <c r="CC59" s="96">
        <f>CC58/'P&amp;L'!CC34</f>
        <v>5.7270603076806053</v>
      </c>
      <c r="CD59" s="96">
        <f>CD58/'P&amp;L'!CD34</f>
        <v>6.0439980113208973</v>
      </c>
      <c r="CE59" s="96">
        <f>CE58/'P&amp;L'!CE34</f>
        <v>6.396981252121277</v>
      </c>
      <c r="CF59" s="96">
        <f>CF58/'P&amp;L'!CF34</f>
        <v>6.4546937209293951</v>
      </c>
      <c r="CG59" s="96">
        <f>CG58/'P&amp;L'!CG34</f>
        <v>6.3713586314783575</v>
      </c>
      <c r="CH59" s="96"/>
      <c r="CI59" s="96"/>
      <c r="CJ59" s="96"/>
      <c r="CK59"/>
      <c r="CL59"/>
      <c r="CM59"/>
      <c r="CN59"/>
      <c r="CO59"/>
      <c r="CP59"/>
    </row>
    <row r="60" spans="1:95" s="1102" customFormat="1" ht="4.5" customHeight="1" outlineLevel="1" x14ac:dyDescent="0.2">
      <c r="B60" s="1"/>
      <c r="C60" s="183"/>
      <c r="D60" s="183"/>
      <c r="E60" s="183"/>
      <c r="F60" s="183"/>
      <c r="G60" s="183"/>
      <c r="H60" s="86"/>
      <c r="I60" s="183"/>
      <c r="J60" s="183"/>
      <c r="K60" s="183"/>
      <c r="L60" s="183"/>
      <c r="M60" s="183"/>
      <c r="N60" s="86"/>
      <c r="O60" s="183"/>
      <c r="P60" s="183"/>
      <c r="Q60" s="183"/>
      <c r="R60" s="183"/>
      <c r="S60" s="183"/>
      <c r="T60" s="86"/>
      <c r="U60" s="183"/>
      <c r="V60" s="183"/>
      <c r="W60" s="183"/>
      <c r="X60" s="183"/>
      <c r="Y60" s="183"/>
      <c r="Z60" s="86"/>
      <c r="AA60" s="122"/>
      <c r="AB60" s="183"/>
      <c r="AC60" s="183"/>
      <c r="AD60" s="183"/>
      <c r="AE60" s="166"/>
      <c r="AF60" s="86"/>
      <c r="AG60" s="122"/>
      <c r="AH60" s="183"/>
      <c r="AI60" s="183"/>
      <c r="AJ60" s="183"/>
      <c r="AK60" s="166"/>
      <c r="AL60" s="50"/>
      <c r="AM60" s="122"/>
      <c r="AN60" s="122"/>
      <c r="AO60" s="183"/>
      <c r="AP60" s="183"/>
      <c r="AQ60" s="166"/>
      <c r="AR60" s="50"/>
      <c r="AS60" s="122"/>
      <c r="AT60" s="122"/>
      <c r="AU60" s="122"/>
      <c r="AV60" s="183"/>
      <c r="AW60" s="166"/>
      <c r="AX60" s="50"/>
      <c r="AY60" s="122"/>
      <c r="AZ60" s="122"/>
      <c r="BA60" s="122"/>
      <c r="BB60" s="183"/>
      <c r="BC60" s="166"/>
      <c r="BD60" s="50"/>
      <c r="BE60" s="122"/>
      <c r="BF60" s="122"/>
      <c r="BG60" s="122"/>
      <c r="BH60" s="122"/>
      <c r="BI60" s="166"/>
      <c r="BJ60" s="50"/>
      <c r="BK60" s="122"/>
      <c r="BL60" s="122"/>
      <c r="BM60" s="122"/>
      <c r="BN60" s="122"/>
      <c r="BO60" s="166"/>
      <c r="BP60" s="50"/>
      <c r="BQ60" s="122"/>
      <c r="BR60" s="122"/>
      <c r="BS60" s="122"/>
      <c r="BT60" s="122"/>
      <c r="BU60" s="166"/>
      <c r="BV60" s="50"/>
      <c r="BW60" s="122"/>
      <c r="BX60" s="122"/>
      <c r="BY60" s="122"/>
      <c r="BZ60" s="122"/>
      <c r="CA60" s="166"/>
      <c r="CB60" s="50"/>
      <c r="CC60" s="122"/>
      <c r="CD60" s="122"/>
      <c r="CE60" s="122"/>
      <c r="CF60" s="122"/>
      <c r="CG60" s="166"/>
      <c r="CH60" s="166"/>
      <c r="CI60" s="166"/>
      <c r="CJ60" s="166"/>
      <c r="CK60"/>
      <c r="CL60"/>
      <c r="CM60"/>
      <c r="CN60"/>
      <c r="CO60"/>
      <c r="CP60"/>
    </row>
    <row r="61" spans="1:95" s="1102" customFormat="1" ht="11.25" customHeight="1" outlineLevel="1" x14ac:dyDescent="0.2">
      <c r="B61" s="12" t="s">
        <v>86</v>
      </c>
      <c r="C61" s="68"/>
      <c r="D61" s="68"/>
      <c r="E61" s="68"/>
      <c r="F61" s="68"/>
      <c r="G61" s="68"/>
      <c r="H61" s="50"/>
      <c r="I61" s="68"/>
      <c r="J61" s="68"/>
      <c r="K61" s="68"/>
      <c r="L61" s="68"/>
      <c r="M61" s="68"/>
      <c r="N61" s="50"/>
      <c r="O61" s="68"/>
      <c r="P61" s="68"/>
      <c r="Q61" s="68"/>
      <c r="R61" s="68"/>
      <c r="S61" s="68"/>
      <c r="T61" s="50"/>
      <c r="U61" s="68"/>
      <c r="V61" s="68"/>
      <c r="W61" s="68"/>
      <c r="X61" s="68"/>
      <c r="Y61" s="68"/>
      <c r="Z61" s="50"/>
      <c r="AA61" s="68"/>
      <c r="AB61" s="68"/>
      <c r="AC61" s="68"/>
      <c r="AD61" s="68"/>
      <c r="AE61" s="68"/>
      <c r="AF61" s="50"/>
      <c r="AG61" s="68"/>
      <c r="AH61" s="68"/>
      <c r="AI61" s="68"/>
      <c r="AJ61" s="68"/>
      <c r="AK61" s="68"/>
      <c r="AL61" s="50"/>
      <c r="AM61" s="68"/>
      <c r="AN61" s="68"/>
      <c r="AO61" s="68"/>
      <c r="AP61" s="68"/>
      <c r="AQ61" s="68"/>
      <c r="AR61" s="50"/>
      <c r="AS61" s="68"/>
      <c r="AT61" s="68"/>
      <c r="AU61" s="68"/>
      <c r="AV61" s="68"/>
      <c r="AW61" s="68"/>
      <c r="AX61" s="50"/>
      <c r="AY61" s="68"/>
      <c r="AZ61" s="68"/>
      <c r="BA61" s="68"/>
      <c r="BB61" s="68"/>
      <c r="BC61" s="68"/>
      <c r="BD61" s="50"/>
      <c r="BE61" s="68"/>
      <c r="BF61" s="68"/>
      <c r="BG61" s="68"/>
      <c r="BH61" s="68"/>
      <c r="BI61" s="68"/>
      <c r="BJ61" s="50"/>
      <c r="BK61" s="68"/>
      <c r="BL61" s="68"/>
      <c r="BM61" s="68"/>
      <c r="BN61" s="68"/>
      <c r="BO61" s="68"/>
      <c r="BP61" s="50"/>
      <c r="BQ61" s="68"/>
      <c r="BR61" s="68"/>
      <c r="BS61" s="68"/>
      <c r="BT61" s="68"/>
      <c r="BU61" s="68"/>
      <c r="BV61" s="50"/>
      <c r="BW61" s="68"/>
      <c r="BX61" s="68"/>
      <c r="BY61" s="68"/>
      <c r="BZ61" s="68"/>
      <c r="CA61" s="68"/>
      <c r="CB61" s="50"/>
      <c r="CC61" s="68"/>
      <c r="CD61" s="68"/>
      <c r="CE61" s="68"/>
      <c r="CF61" s="68"/>
      <c r="CG61" s="68"/>
      <c r="CH61" s="68"/>
      <c r="CI61" s="68"/>
      <c r="CJ61" s="68"/>
      <c r="CK61"/>
      <c r="CL61"/>
      <c r="CM61"/>
      <c r="CN61"/>
      <c r="CO61"/>
      <c r="CP61"/>
    </row>
    <row r="62" spans="1:95" s="1102" customFormat="1" ht="11.25" customHeight="1" outlineLevel="1" x14ac:dyDescent="0.2">
      <c r="B62" s="77" t="s">
        <v>87</v>
      </c>
      <c r="C62" s="253"/>
      <c r="D62" s="253">
        <f>'P&amp;L'!D31/(AVERAGE(C50,D50)*('P&amp;L'!D7/'P&amp;L'!$G$7))</f>
        <v>0.20052267160066611</v>
      </c>
      <c r="E62" s="253">
        <f>'P&amp;L'!E31/(AVERAGE(D50,E50)*('P&amp;L'!E7/'P&amp;L'!$G$7))</f>
        <v>0.1705901606362964</v>
      </c>
      <c r="F62" s="253">
        <f>'P&amp;L'!F31/(AVERAGE(E50,F50)*('P&amp;L'!F7/'P&amp;L'!$G$7))</f>
        <v>0.18399612771531029</v>
      </c>
      <c r="G62" s="253"/>
      <c r="H62" s="253"/>
      <c r="I62" s="253">
        <f>'P&amp;L'!I31/(AVERAGE(F50,I50)*('P&amp;L'!I7/'P&amp;L'!M7))</f>
        <v>0.18263518723335079</v>
      </c>
      <c r="J62" s="253">
        <f>'P&amp;L'!J31/(AVERAGE(I50,J50)*('P&amp;L'!J7/'P&amp;L'!M7))</f>
        <v>0.20417715924481306</v>
      </c>
      <c r="K62" s="253">
        <f>'P&amp;L'!K31/(AVERAGE(J50,K50)*('P&amp;L'!K7/'P&amp;L'!M7))</f>
        <v>0.17244808921312499</v>
      </c>
      <c r="L62" s="253">
        <f>'P&amp;L'!L31/(AVERAGE(K50,L50)*('P&amp;L'!L7/'P&amp;L'!M7))</f>
        <v>0.16616064377656925</v>
      </c>
      <c r="M62" s="253">
        <f>'P&amp;L'!M31/AVERAGE(G50,I50:L50)</f>
        <v>0.18084322295951741</v>
      </c>
      <c r="N62" s="253"/>
      <c r="O62" s="253">
        <f>'P&amp;L'!O31/(AVERAGE(L50,O50)*('P&amp;L'!O7/'P&amp;L'!S7))</f>
        <v>0.15580865785567172</v>
      </c>
      <c r="P62" s="253">
        <f>'P&amp;L'!P31/(AVERAGE(O50,P50)*('P&amp;L'!P7/'P&amp;L'!S7))</f>
        <v>0.16836229416807788</v>
      </c>
      <c r="Q62" s="253">
        <f>'P&amp;L'!Q31/(AVERAGE(P50,Q50)*('P&amp;L'!Q7/'P&amp;L'!S7))</f>
        <v>0.14104646576207452</v>
      </c>
      <c r="R62" s="253">
        <f>'P&amp;L'!R31/(AVERAGE(Q50,R50)*('P&amp;L'!R7/'P&amp;L'!S7))</f>
        <v>0.15121542817887954</v>
      </c>
      <c r="S62" s="253">
        <f>'P&amp;L'!S31/AVERAGE(M50,O50:R50)</f>
        <v>0.15400041172668155</v>
      </c>
      <c r="T62" s="253"/>
      <c r="U62" s="253">
        <f>'P&amp;L'!U31/(AVERAGE(R50,U50)*('P&amp;L'!U7/'P&amp;L'!Y7))</f>
        <v>0.14010462149620745</v>
      </c>
      <c r="V62" s="253">
        <f>'P&amp;L'!V31/(AVERAGE(U50,V50)*('P&amp;L'!V7/'P&amp;L'!Y7))</f>
        <v>0.16359927452225856</v>
      </c>
      <c r="W62" s="253">
        <f>'P&amp;L'!W31/(AVERAGE(V50,W50)*('P&amp;L'!W7/'P&amp;L'!Y7))</f>
        <v>0.14223966197293336</v>
      </c>
      <c r="X62" s="253">
        <f>'P&amp;L'!X31/(AVERAGE(W50,X50)*('P&amp;L'!X7/'P&amp;L'!Y7))</f>
        <v>0.154510058266529</v>
      </c>
      <c r="Y62" s="253">
        <f>'P&amp;L'!Y31/AVERAGE(S50,U50:X50)</f>
        <v>0.14915769908818449</v>
      </c>
      <c r="Z62" s="253"/>
      <c r="AA62" s="253">
        <f>'P&amp;L'!AA31/(AVERAGE(X50,AA50)*('P&amp;L'!AA7/'P&amp;L'!AE7))</f>
        <v>0.15255072270402892</v>
      </c>
      <c r="AB62" s="253">
        <f>'P&amp;L'!AB31/(AVERAGE(AA50,AB50)*('P&amp;L'!AB7/'P&amp;L'!AE7))</f>
        <v>0.15800035506797669</v>
      </c>
      <c r="AC62" s="253">
        <f>'P&amp;L'!AC31/(AVERAGE(AB50,AC50)*('P&amp;L'!AC7/'P&amp;L'!AE7))</f>
        <v>0.13105941669298279</v>
      </c>
      <c r="AD62" s="253">
        <f>'P&amp;L'!AD31/(AVERAGE(AC50,AD50)*('P&amp;L'!AD7/'P&amp;L'!AE7))</f>
        <v>0.15264287004796825</v>
      </c>
      <c r="AE62" s="253">
        <f>'P&amp;L'!AE31/AVERAGE(Y50,AA50:AD50)</f>
        <v>0.14949310175848715</v>
      </c>
      <c r="AF62" s="253"/>
      <c r="AG62" s="253">
        <f>'P&amp;L'!AG31/(AVERAGE(AD50,AG50)*('P&amp;L'!AG7/'P&amp;L'!AK7))</f>
        <v>0.15399047398734</v>
      </c>
      <c r="AH62" s="253">
        <f>'P&amp;L'!AH31/(AVERAGE(AG50,AH50)*('P&amp;L'!AH7/'P&amp;L'!AK7))</f>
        <v>0.17644001093745815</v>
      </c>
      <c r="AI62" s="253">
        <f>'P&amp;L'!AI31/(AVERAGE(AH50,AI50)*('P&amp;L'!AI7/'P&amp;L'!AK7))</f>
        <v>0.14201220200740278</v>
      </c>
      <c r="AJ62" s="253">
        <f>'P&amp;L'!AJ31/(AVERAGE(AI50,AJ50)*('P&amp;L'!AJ7/'P&amp;L'!AK7))</f>
        <v>0.14677578121541884</v>
      </c>
      <c r="AK62" s="253">
        <f>'P&amp;L'!AK31/AVERAGE(AE50,AG50:AJ50)</f>
        <v>0.15449978631103134</v>
      </c>
      <c r="AL62" s="254"/>
      <c r="AM62" s="253">
        <f>'P&amp;L'!AM31/(AVERAGE(AJ50,AM50)*('P&amp;L'!AM7/'P&amp;L'!AQ7))</f>
        <v>0.13492859630328188</v>
      </c>
      <c r="AN62" s="253">
        <f>'P&amp;L'!AN31/(AVERAGE(AM50,AN50)*('P&amp;L'!AN7/'P&amp;L'!AQ7))</f>
        <v>0.16867928965816181</v>
      </c>
      <c r="AO62" s="253">
        <f>'P&amp;L'!AO31/(AVERAGE(AN50,AO50)*('P&amp;L'!AO7/'P&amp;L'!AQ7))</f>
        <v>0.13683385979350443</v>
      </c>
      <c r="AP62" s="253">
        <f>'P&amp;L'!AP31/(AVERAGE(AO50,AP50)*('P&amp;L'!AP7/'P&amp;L'!AQ7))</f>
        <v>0.13797317439506229</v>
      </c>
      <c r="AQ62" s="253">
        <f>'P&amp;L'!AQ31/AVERAGE(AK50,AM50:AP50)</f>
        <v>0.14377324536357064</v>
      </c>
      <c r="AR62" s="254"/>
      <c r="AS62" s="253">
        <f>'P&amp;L'!AS31/(AVERAGE(AP50,AS50)*('P&amp;L'!AS7/'P&amp;L'!AW7))</f>
        <v>0.13586098235251642</v>
      </c>
      <c r="AT62" s="253">
        <f>'P&amp;L'!AT31/(AVERAGE(AS50,AT50)*('P&amp;L'!AT7/'P&amp;L'!AW7))</f>
        <v>0.15648861962459795</v>
      </c>
      <c r="AU62" s="253">
        <f>'P&amp;L'!AU31/(AVERAGE(AT50,AU50)*('P&amp;L'!AU7/'P&amp;L'!AW7))</f>
        <v>0.13939775454446326</v>
      </c>
      <c r="AV62" s="253">
        <f>'P&amp;L'!AV31/(AVERAGE(AU50,AV50)*('P&amp;L'!AV7/'P&amp;L'!AW7))</f>
        <v>0.14253962443534202</v>
      </c>
      <c r="AW62" s="253">
        <f>'P&amp;L'!AW31/AVERAGE(AQ50,AS50:AV50)</f>
        <v>0.14431717537511424</v>
      </c>
      <c r="AX62" s="254"/>
      <c r="AY62" s="253">
        <f>'P&amp;L'!AY31/(AVERAGE(AV50,AY50)*('P&amp;L'!AY7/'P&amp;L'!BC7))</f>
        <v>0.15086130910681392</v>
      </c>
      <c r="AZ62" s="253">
        <f>'P&amp;L'!AZ31/(AVERAGE(AY50,AZ50)*('P&amp;L'!AZ7/'P&amp;L'!BC7))</f>
        <v>0.18456901412874868</v>
      </c>
      <c r="BA62" s="253">
        <f>'P&amp;L'!BA31/(AVERAGE(AZ50,BA50)*('P&amp;L'!BA7/'P&amp;L'!BC7))</f>
        <v>0.16222353074866883</v>
      </c>
      <c r="BB62" s="253">
        <f>'P&amp;L'!BB31/(AVERAGE(BA50,BB50)*('P&amp;L'!BB7/'P&amp;L'!BC7))</f>
        <v>0.15900302218558968</v>
      </c>
      <c r="BC62" s="253">
        <f>'P&amp;L'!BC31/AVERAGE(AW50,AY50:BB50)</f>
        <v>0.16313528877376665</v>
      </c>
      <c r="BD62" s="254"/>
      <c r="BE62" s="253">
        <f>'P&amp;L'!BE31/(AVERAGE(BB50,BE50)*('P&amp;L'!BE7/'P&amp;L'!BI7))</f>
        <v>9.1804063458546539E-2</v>
      </c>
      <c r="BF62" s="253">
        <f>'P&amp;L'!BF31/(AVERAGE(BE50,BF50)*('P&amp;L'!BF7/'P&amp;L'!BI7))</f>
        <v>8.7129611900583714E-2</v>
      </c>
      <c r="BG62" s="253">
        <f>'P&amp;L'!BG31/(AVERAGE(BF50,BG50)*('P&amp;L'!BG7/'P&amp;L'!BI7))</f>
        <v>7.4255206571742741E-2</v>
      </c>
      <c r="BH62" s="253">
        <f>'P&amp;L'!BH31/(AVERAGE(BG50,BH50)*('P&amp;L'!BH7/'P&amp;L'!BI7))</f>
        <v>7.6316573861343301E-2</v>
      </c>
      <c r="BI62" s="253">
        <f>'P&amp;L'!BI31/AVERAGE(BC50,BE50:BH50)</f>
        <v>8.6844164691442807E-2</v>
      </c>
      <c r="BJ62" s="254"/>
      <c r="BK62" s="253">
        <f>'P&amp;L'!BK31/(AVERAGE(BH50,BK50)*('P&amp;L'!BK7/'P&amp;L'!BO7))</f>
        <v>5.6615202021752256E-2</v>
      </c>
      <c r="BL62" s="253">
        <f>'P&amp;L'!BL31/(AVERAGE(BK50,BL50)*('P&amp;L'!BL7/'P&amp;L'!BO7))</f>
        <v>7.8308572977502502E-2</v>
      </c>
      <c r="BM62" s="253">
        <f>'P&amp;L'!BM31/(AVERAGE(BL50,BM50)*('P&amp;L'!BM7/'P&amp;L'!BO7))</f>
        <v>8.8301597304842563E-2</v>
      </c>
      <c r="BN62" s="253">
        <f>'P&amp;L'!BN31/(AVERAGE(BM50,BN50)*('P&amp;L'!BN7/'P&amp;L'!BO7))</f>
        <v>0.10650752632141397</v>
      </c>
      <c r="BO62" s="253">
        <f>'P&amp;L'!BO31/AVERAGE(BI50,BK50:BN50)</f>
        <v>8.2029860886272815E-2</v>
      </c>
      <c r="BP62" s="254"/>
      <c r="BQ62" s="253">
        <f>'P&amp;L'!BQ31/(AVERAGE(BN50,BQ50)*('P&amp;L'!BQ7/'P&amp;L'!BU7))</f>
        <v>6.3719850043520432E-2</v>
      </c>
      <c r="BR62" s="253">
        <f>'P&amp;L'!BR31/(AVERAGE(BQ50,BR50)*('P&amp;L'!BR7/'P&amp;L'!BU7))</f>
        <v>8.7776725433584654E-2</v>
      </c>
      <c r="BS62" s="253">
        <f>'P&amp;L'!BS31/(AVERAGE(BR50,BS50)*('P&amp;L'!BS7/'P&amp;L'!BU7))</f>
        <v>0.10154062682804353</v>
      </c>
      <c r="BT62" s="253">
        <f>'P&amp;L'!BT31/(AVERAGE(BS50,BT50)*('P&amp;L'!BT7/'P&amp;L'!BU7))</f>
        <v>0.11665082090387818</v>
      </c>
      <c r="BU62" s="253">
        <f>'P&amp;L'!BU31/AVERAGE(BO50,BQ50:BT50)</f>
        <v>9.2416098348940531E-2</v>
      </c>
      <c r="BV62" s="254"/>
      <c r="BW62" s="253">
        <f>'P&amp;L'!BW31/(AVERAGE(BT50,BW50)*('P&amp;L'!BW7/'P&amp;L'!CA7))</f>
        <v>9.1639083251235764E-2</v>
      </c>
      <c r="BX62" s="253">
        <f>'P&amp;L'!BX31/(AVERAGE(BW50,BX50)*('P&amp;L'!BX7/'P&amp;L'!CA7))</f>
        <v>0.10757156505738535</v>
      </c>
      <c r="BY62" s="253">
        <f>'P&amp;L'!BY31/(AVERAGE(BX50,BY50)*('P&amp;L'!BY7/'P&amp;L'!CA7))</f>
        <v>0.1093029549225679</v>
      </c>
      <c r="BZ62" s="253">
        <f>'P&amp;L'!BZ31/(AVERAGE(BY50,BZ50)*('P&amp;L'!BZ7/'P&amp;L'!CA7))</f>
        <v>0.11684334184705567</v>
      </c>
      <c r="CA62" s="253">
        <f>'P&amp;L'!CA31/AVERAGE(BU50,BW50:BZ50)</f>
        <v>0.10632898004205429</v>
      </c>
      <c r="CB62" s="254"/>
      <c r="CC62" s="253">
        <f>'P&amp;L'!CC31/(AVERAGE(BZ50,CC50)*('P&amp;L'!CC7/'P&amp;L'!CG7))</f>
        <v>0.10101672267277556</v>
      </c>
      <c r="CD62" s="253">
        <f>'P&amp;L'!CD31/(AVERAGE(CC50,CD50)*('P&amp;L'!CD7/'P&amp;L'!CG7))</f>
        <v>0.11896890090685125</v>
      </c>
      <c r="CE62" s="253">
        <f>'P&amp;L'!CE31/(AVERAGE(CD50,CE50)*('P&amp;L'!CE7/'P&amp;L'!CG7))</f>
        <v>0.12029524390678754</v>
      </c>
      <c r="CF62" s="253">
        <f>'P&amp;L'!CF31/(AVERAGE(CE50,CF50)*('P&amp;L'!CF7/'P&amp;L'!CG7))</f>
        <v>0.1282698832973577</v>
      </c>
      <c r="CG62" s="253">
        <f>'P&amp;L'!CG31/AVERAGE(CA50,CC50:CF50)</f>
        <v>0.11711424284836416</v>
      </c>
      <c r="CH62" s="253"/>
      <c r="CI62" s="253"/>
      <c r="CJ62" s="253"/>
      <c r="CK62"/>
      <c r="CL62"/>
      <c r="CM62"/>
      <c r="CN62"/>
      <c r="CO62"/>
      <c r="CP62"/>
    </row>
    <row r="63" spans="1:95" s="1102" customFormat="1" ht="11.25" customHeight="1" outlineLevel="1" x14ac:dyDescent="0.2">
      <c r="B63" s="77" t="s">
        <v>88</v>
      </c>
      <c r="C63" s="253"/>
      <c r="D63" s="253">
        <f>'P&amp;L'!D31/(AVERAGE(C22,D22)*('P&amp;L'!D7/'P&amp;L'!$G$7))</f>
        <v>0.11718808387118468</v>
      </c>
      <c r="E63" s="253">
        <f>'P&amp;L'!E31/(AVERAGE(D22,E22)*('P&amp;L'!E7/'P&amp;L'!$G$7))</f>
        <v>9.7258956499771954E-2</v>
      </c>
      <c r="F63" s="253">
        <f>'P&amp;L'!F31/(AVERAGE(E22,F22)*('P&amp;L'!F7/'P&amp;L'!$G$7))</f>
        <v>0.10330370897625614</v>
      </c>
      <c r="G63" s="253"/>
      <c r="H63" s="253"/>
      <c r="I63" s="253">
        <f>'P&amp;L'!I31/(AVERAGE(F22,I22)*('P&amp;L'!I7/'P&amp;L'!M7))</f>
        <v>9.9202442076000222E-2</v>
      </c>
      <c r="J63" s="253">
        <f>'P&amp;L'!J31/(AVERAGE(I22,J22)*('P&amp;L'!J7/'P&amp;L'!M7))</f>
        <v>0.1081592616995963</v>
      </c>
      <c r="K63" s="253">
        <f>'P&amp;L'!K31/(AVERAGE(J22,K22)*('P&amp;L'!K7/'P&amp;L'!M7))</f>
        <v>9.7478848333518844E-2</v>
      </c>
      <c r="L63" s="253">
        <f>'P&amp;L'!L31/(AVERAGE(K22,L22)*('P&amp;L'!L7/'P&amp;L'!M7))</f>
        <v>9.8218664772987865E-2</v>
      </c>
      <c r="M63" s="253">
        <f>'P&amp;L'!M31/AVERAGE(G22,I22:L22)</f>
        <v>0.10140177683296775</v>
      </c>
      <c r="N63" s="253"/>
      <c r="O63" s="253">
        <f>'P&amp;L'!O31/(AVERAGE(L22,O22)*('P&amp;L'!O7/'P&amp;L'!S7))</f>
        <v>9.3047590891072798E-2</v>
      </c>
      <c r="P63" s="253">
        <f>'P&amp;L'!P31/(AVERAGE(O22,P22)*('P&amp;L'!P7/'P&amp;L'!S7))</f>
        <v>0.10364006848181109</v>
      </c>
      <c r="Q63" s="253">
        <f>'P&amp;L'!Q31/(AVERAGE(P22,Q22)*('P&amp;L'!Q7/'P&amp;L'!S7))</f>
        <v>8.7635790761804194E-2</v>
      </c>
      <c r="R63" s="253">
        <f>'P&amp;L'!R31/(AVERAGE(Q22,R22)*('P&amp;L'!R7/'P&amp;L'!S7))</f>
        <v>9.3588558231127536E-2</v>
      </c>
      <c r="S63" s="253">
        <f>'P&amp;L'!S31/AVERAGE(M22,O22:R22)</f>
        <v>9.4142874399211193E-2</v>
      </c>
      <c r="T63" s="253"/>
      <c r="U63" s="253">
        <f>'P&amp;L'!U31/(AVERAGE(R22,U22)*('P&amp;L'!U7/'P&amp;L'!Y7))</f>
        <v>8.7401673588203083E-2</v>
      </c>
      <c r="V63" s="253">
        <f>'P&amp;L'!V31/(AVERAGE(U22,V22)*('P&amp;L'!V7/'P&amp;L'!Y7))</f>
        <v>0.10250465362780099</v>
      </c>
      <c r="W63" s="253">
        <f>'P&amp;L'!W31/(AVERAGE(V22,W22)*('P&amp;L'!W7/'P&amp;L'!Y7))</f>
        <v>8.5878159947915228E-2</v>
      </c>
      <c r="X63" s="253">
        <f>'P&amp;L'!X31/(AVERAGE(W22,X22)*('P&amp;L'!X7/'P&amp;L'!Y7))</f>
        <v>9.0661349843470379E-2</v>
      </c>
      <c r="Y63" s="253">
        <f>'P&amp;L'!Y31/AVERAGE(S22,U22:X22)</f>
        <v>9.0686146403539433E-2</v>
      </c>
      <c r="Z63" s="253"/>
      <c r="AA63" s="253">
        <f>'P&amp;L'!AA31/(AVERAGE(X22,AA22)*('P&amp;L'!AA7/'P&amp;L'!AE7))</f>
        <v>8.8691577462451349E-2</v>
      </c>
      <c r="AB63" s="253">
        <f>'P&amp;L'!AB31/(AVERAGE(AA22,AB22)*('P&amp;L'!AB7/'P&amp;L'!AE7))</f>
        <v>9.051296544889445E-2</v>
      </c>
      <c r="AC63" s="253">
        <f>'P&amp;L'!AC31/(AVERAGE(AB22,AC22)*('P&amp;L'!AC7/'P&amp;L'!AE7))</f>
        <v>6.1307424770561399E-2</v>
      </c>
      <c r="AD63" s="253">
        <f>'P&amp;L'!AD31/(AVERAGE(AC22,AD22)*('P&amp;L'!AD7/'P&amp;L'!AE7))</f>
        <v>6.008487699770744E-2</v>
      </c>
      <c r="AE63" s="253">
        <f>'P&amp;L'!AE31/AVERAGE(Y22,AA22:AD22)</f>
        <v>7.3080995140002755E-2</v>
      </c>
      <c r="AF63" s="253"/>
      <c r="AG63" s="253">
        <f>'P&amp;L'!AG31/(AVERAGE(AD22,AG22)*('P&amp;L'!AG7/'P&amp;L'!AK7))</f>
        <v>6.1957780698322987E-2</v>
      </c>
      <c r="AH63" s="253">
        <f>'P&amp;L'!AH31/(AVERAGE(AG22,AH22)*('P&amp;L'!AH7/'P&amp;L'!AK7))</f>
        <v>7.2033226662328129E-2</v>
      </c>
      <c r="AI63" s="253">
        <f>'P&amp;L'!AI31/(AVERAGE(AH22,AI22)*('P&amp;L'!AI7/'P&amp;L'!AK7))</f>
        <v>5.9841689365855537E-2</v>
      </c>
      <c r="AJ63" s="253">
        <f>'P&amp;L'!AJ31/(AVERAGE(AI22,AJ22)*('P&amp;L'!AJ7/'P&amp;L'!AK7))</f>
        <v>6.5059796729151215E-2</v>
      </c>
      <c r="AK63" s="253">
        <f>'P&amp;L'!AK31/AVERAGE(AE22,AG22:AJ22)</f>
        <v>6.4904000799644257E-2</v>
      </c>
      <c r="AL63" s="254"/>
      <c r="AM63" s="253">
        <f>'P&amp;L'!AM31/(AVERAGE(AJ22,AM22)*('P&amp;L'!AM7/'P&amp;L'!AQ7))</f>
        <v>6.1747426643407925E-2</v>
      </c>
      <c r="AN63" s="253">
        <f>'P&amp;L'!AN31/(AVERAGE(AM22,AN22)*('P&amp;L'!AN7/'P&amp;L'!AQ7))</f>
        <v>7.8630368783291896E-2</v>
      </c>
      <c r="AO63" s="253">
        <f>'P&amp;L'!AO31/(AVERAGE(AN22,AO22)*('P&amp;L'!AO7/'P&amp;L'!AQ7))</f>
        <v>6.5991399067267156E-2</v>
      </c>
      <c r="AP63" s="253">
        <f>'P&amp;L'!AP31/(AVERAGE(AO22,AP22)*('P&amp;L'!AP7/'P&amp;L'!AQ7))</f>
        <v>6.9164100006327792E-2</v>
      </c>
      <c r="AQ63" s="253">
        <f>'P&amp;L'!AQ31/AVERAGE(AK22,AM22:AP22)</f>
        <v>6.8676002177868095E-2</v>
      </c>
      <c r="AR63" s="254"/>
      <c r="AS63" s="253">
        <f>'P&amp;L'!AS31/(AVERAGE(AP22,AS22)*('P&amp;L'!AS7/'P&amp;L'!AW7))</f>
        <v>6.8182130129043228E-2</v>
      </c>
      <c r="AT63" s="253">
        <f>'P&amp;L'!AT31/(AVERAGE(AS22,AT22)*('P&amp;L'!AT7/'P&amp;L'!AW7))</f>
        <v>7.8682723467518617E-2</v>
      </c>
      <c r="AU63" s="253">
        <f>'P&amp;L'!AU31/(AVERAGE(AT22,AU22)*('P&amp;L'!AU7/'P&amp;L'!AW7))</f>
        <v>7.1138170553834812E-2</v>
      </c>
      <c r="AV63" s="253">
        <f>'P&amp;L'!AV31/(AVERAGE(AU22,AV22)*('P&amp;L'!AV7/'P&amp;L'!AW7))</f>
        <v>7.2036441070242221E-2</v>
      </c>
      <c r="AW63" s="253">
        <f>'P&amp;L'!AW31/AVERAGE(AQ22,AS22:AV22)</f>
        <v>7.2850042780428739E-2</v>
      </c>
      <c r="AX63" s="254"/>
      <c r="AY63" s="253">
        <f>'P&amp;L'!AY31/(AVERAGE(AV22,AY22)*('P&amp;L'!AY7/'P&amp;L'!BC7))</f>
        <v>7.5078384160137054E-2</v>
      </c>
      <c r="AZ63" s="253">
        <f>'P&amp;L'!AZ31/(AVERAGE(AY22,AZ22)*('P&amp;L'!AZ7/'P&amp;L'!BC7))</f>
        <v>9.3318324595936503E-2</v>
      </c>
      <c r="BA63" s="253">
        <f>'P&amp;L'!BA31/(AVERAGE(AZ22,BA22)*('P&amp;L'!BA7/'P&amp;L'!BC7))</f>
        <v>8.3815400954605393E-2</v>
      </c>
      <c r="BB63" s="253">
        <f>'P&amp;L'!BB31/(AVERAGE(BA22,BB22)*('P&amp;L'!BB7/'P&amp;L'!BC7))</f>
        <v>8.3444488446172263E-2</v>
      </c>
      <c r="BC63" s="253">
        <f>'P&amp;L'!BC31/AVERAGE(AW22,AY22:BB22)</f>
        <v>8.3504234754331524E-2</v>
      </c>
      <c r="BD63" s="254"/>
      <c r="BE63" s="253">
        <f>'P&amp;L'!BE31/(AVERAGE(BB22,BE22)*('P&amp;L'!BE7/'P&amp;L'!BI7))</f>
        <v>6.1209938252952692E-2</v>
      </c>
      <c r="BF63" s="253">
        <f>'P&amp;L'!BF31/(AVERAGE(BE22,BF22)*('P&amp;L'!BF7/'P&amp;L'!BI7))</f>
        <v>6.2901540099406433E-2</v>
      </c>
      <c r="BG63" s="253">
        <f>'P&amp;L'!BG31/(AVERAGE(BF22,BG22)*('P&amp;L'!BG7/'P&amp;L'!BI7))</f>
        <v>5.2898878926016094E-2</v>
      </c>
      <c r="BH63" s="253">
        <f>'P&amp;L'!BH31/(AVERAGE(BG22,BH22)*('P&amp;L'!BH7/'P&amp;L'!BI7))</f>
        <v>5.3282762011839874E-2</v>
      </c>
      <c r="BI63" s="253">
        <f>'P&amp;L'!BI31/AVERAGE(BC22,BE22:BH22)</f>
        <v>6.0318465857988626E-2</v>
      </c>
      <c r="BJ63" s="254"/>
      <c r="BK63" s="253">
        <f>'P&amp;L'!BK31/(AVERAGE(BH22,BK22)*('P&amp;L'!BK7/'P&amp;L'!BO7))</f>
        <v>3.966577921528653E-2</v>
      </c>
      <c r="BL63" s="253">
        <f>'P&amp;L'!BL31/(AVERAGE(BK22,BL22)*('P&amp;L'!BL7/'P&amp;L'!BO7))</f>
        <v>5.3863486362149708E-2</v>
      </c>
      <c r="BM63" s="253">
        <f>'P&amp;L'!BM31/(AVERAGE(BL22,BM22)*('P&amp;L'!BM7/'P&amp;L'!BO7))</f>
        <v>5.9126707905514796E-2</v>
      </c>
      <c r="BN63" s="253">
        <f>'P&amp;L'!BN31/(AVERAGE(BM22,BN22)*('P&amp;L'!BN7/'P&amp;L'!BO7))</f>
        <v>6.9698533123870768E-2</v>
      </c>
      <c r="BO63" s="253">
        <f>'P&amp;L'!BO31/AVERAGE(BI22,BK22:BN22)</f>
        <v>5.5520031038050366E-2</v>
      </c>
      <c r="BP63" s="254"/>
      <c r="BQ63" s="253">
        <f>'P&amp;L'!BQ31/(AVERAGE(BN22,BQ22)*('P&amp;L'!BQ7/'P&amp;L'!BU7))</f>
        <v>4.0775246443999602E-2</v>
      </c>
      <c r="BR63" s="253">
        <f>'P&amp;L'!BR31/(AVERAGE(BQ22,BR22)*('P&amp;L'!BR7/'P&amp;L'!BU7))</f>
        <v>5.6167662958769397E-2</v>
      </c>
      <c r="BS63" s="253">
        <f>'P&amp;L'!BS31/(AVERAGE(BR22,BS22)*('P&amp;L'!BS7/'P&amp;L'!BU7))</f>
        <v>6.4904406957096303E-2</v>
      </c>
      <c r="BT63" s="253">
        <f>'P&amp;L'!BT31/(AVERAGE(BS22,BT22)*('P&amp;L'!BT7/'P&amp;L'!BU7))</f>
        <v>7.4559131335024634E-2</v>
      </c>
      <c r="BU63" s="253">
        <f>'P&amp;L'!BU31/AVERAGE(BO22,BQ22:BT22)</f>
        <v>5.9090367160226413E-2</v>
      </c>
      <c r="BV63" s="254"/>
      <c r="BW63" s="253">
        <f>'P&amp;L'!BW31/(AVERAGE(BT22,BW22)*('P&amp;L'!BW7/'P&amp;L'!CA7))</f>
        <v>5.8697314602830966E-2</v>
      </c>
      <c r="BX63" s="253">
        <f>'P&amp;L'!BX31/(AVERAGE(BW22,BX22)*('P&amp;L'!BX7/'P&amp;L'!CA7))</f>
        <v>6.8872864099281908E-2</v>
      </c>
      <c r="BY63" s="253">
        <f>'P&amp;L'!BY31/(AVERAGE(BX22,BY22)*('P&amp;L'!BY7/'P&amp;L'!CA7))</f>
        <v>6.9676926961823787E-2</v>
      </c>
      <c r="BZ63" s="253">
        <f>'P&amp;L'!BZ31/(AVERAGE(BY22,BZ22)*('P&amp;L'!BZ7/'P&amp;L'!CA7))</f>
        <v>7.4249764726548387E-2</v>
      </c>
      <c r="CA63" s="253">
        <f>'P&amp;L'!CA31/AVERAGE(BU22,BW22:BZ22)</f>
        <v>6.7841578922156143E-2</v>
      </c>
      <c r="CB63" s="254"/>
      <c r="CC63" s="253">
        <f>'P&amp;L'!CC31/(AVERAGE(BZ22,CC22)*('P&amp;L'!CC7/'P&amp;L'!CG7))</f>
        <v>6.4372317769713139E-2</v>
      </c>
      <c r="CD63" s="253">
        <f>'P&amp;L'!CD31/(AVERAGE(CC22,CD22)*('P&amp;L'!CD7/'P&amp;L'!CG7))</f>
        <v>7.5999231054102043E-2</v>
      </c>
      <c r="CE63" s="253">
        <f>'P&amp;L'!CE31/(AVERAGE(CD22,CE22)*('P&amp;L'!CE7/'P&amp;L'!CG7))</f>
        <v>7.6619253093250572E-2</v>
      </c>
      <c r="CF63" s="253">
        <f>'P&amp;L'!CF31/(AVERAGE(CE22,CF22)*('P&amp;L'!CF7/'P&amp;L'!CG7))</f>
        <v>8.1512667962770666E-2</v>
      </c>
      <c r="CG63" s="253">
        <f>'P&amp;L'!CG31/AVERAGE(CA22,CC22:CF22)</f>
        <v>7.4548809671079422E-2</v>
      </c>
      <c r="CH63" s="253"/>
      <c r="CI63" s="253"/>
      <c r="CJ63" s="253"/>
      <c r="CK63"/>
      <c r="CL63"/>
      <c r="CM63"/>
      <c r="CN63"/>
      <c r="CO63"/>
      <c r="CP63"/>
    </row>
    <row r="64" spans="1:95" s="1102" customFormat="1" ht="11.25" customHeight="1" outlineLevel="1" x14ac:dyDescent="0.2">
      <c r="B64" s="37" t="s">
        <v>749</v>
      </c>
      <c r="C64" s="253">
        <f t="shared" ref="C64:BN64" si="18">C187</f>
        <v>0.25358079195217686</v>
      </c>
      <c r="D64" s="253">
        <f t="shared" si="18"/>
        <v>0.29511480185798122</v>
      </c>
      <c r="E64" s="253">
        <f t="shared" si="18"/>
        <v>0.26836345493902952</v>
      </c>
      <c r="F64" s="253">
        <f t="shared" si="18"/>
        <v>0.29882309053859252</v>
      </c>
      <c r="G64" s="253">
        <f t="shared" si="18"/>
        <v>0.27899592901399023</v>
      </c>
      <c r="H64" s="50"/>
      <c r="I64" s="253">
        <f t="shared" si="18"/>
        <v>0.26737368216827828</v>
      </c>
      <c r="J64" s="253">
        <f t="shared" si="18"/>
        <v>0.31249698371695867</v>
      </c>
      <c r="K64" s="253">
        <f t="shared" si="18"/>
        <v>0.31390878917354109</v>
      </c>
      <c r="L64" s="253">
        <f t="shared" si="18"/>
        <v>0.29977170464590464</v>
      </c>
      <c r="M64" s="253">
        <f t="shared" si="18"/>
        <v>0.2974226107818842</v>
      </c>
      <c r="N64" s="50"/>
      <c r="O64" s="253">
        <f t="shared" si="18"/>
        <v>0.26472767804972608</v>
      </c>
      <c r="P64" s="253">
        <f t="shared" si="18"/>
        <v>0.28847872607643466</v>
      </c>
      <c r="Q64" s="253">
        <f t="shared" si="18"/>
        <v>0.26373003340968482</v>
      </c>
      <c r="R64" s="253">
        <f t="shared" si="18"/>
        <v>0.31760901779392742</v>
      </c>
      <c r="S64" s="253">
        <f t="shared" si="18"/>
        <v>0.28304863633316668</v>
      </c>
      <c r="T64" s="50"/>
      <c r="U64" s="253">
        <f t="shared" si="18"/>
        <v>0.28295986791370809</v>
      </c>
      <c r="V64" s="253">
        <f t="shared" si="18"/>
        <v>0.33644973059741734</v>
      </c>
      <c r="W64" s="253">
        <f t="shared" si="18"/>
        <v>0.27282474105079985</v>
      </c>
      <c r="X64" s="253">
        <f t="shared" si="18"/>
        <v>0.2933337497719663</v>
      </c>
      <c r="Y64" s="253">
        <f t="shared" si="18"/>
        <v>0.29569156954368747</v>
      </c>
      <c r="Z64" s="50"/>
      <c r="AA64" s="253">
        <f t="shared" si="18"/>
        <v>0.26257630054900083</v>
      </c>
      <c r="AB64" s="253">
        <f t="shared" si="18"/>
        <v>0.29274925781166816</v>
      </c>
      <c r="AC64" s="253">
        <f t="shared" si="18"/>
        <v>0.14240003513753555</v>
      </c>
      <c r="AD64" s="253">
        <f t="shared" si="18"/>
        <v>0.16585952730141937</v>
      </c>
      <c r="AE64" s="253">
        <f t="shared" si="18"/>
        <v>0.19874064011844425</v>
      </c>
      <c r="AF64" s="50"/>
      <c r="AG64" s="253">
        <f t="shared" si="18"/>
        <v>0.14842696243960327</v>
      </c>
      <c r="AH64" s="253">
        <f t="shared" si="18"/>
        <v>0.17544461359951907</v>
      </c>
      <c r="AI64" s="253">
        <f t="shared" si="18"/>
        <v>0.15700207983378417</v>
      </c>
      <c r="AJ64" s="253">
        <f t="shared" si="18"/>
        <v>0.17706642081194762</v>
      </c>
      <c r="AK64" s="253">
        <f t="shared" si="18"/>
        <v>0.16412925256813954</v>
      </c>
      <c r="AL64" s="50"/>
      <c r="AM64" s="253">
        <f t="shared" si="18"/>
        <v>0.15675775862036281</v>
      </c>
      <c r="AN64" s="253">
        <f t="shared" si="18"/>
        <v>0.19675600337781132</v>
      </c>
      <c r="AO64" s="253">
        <f t="shared" si="18"/>
        <v>0.1668872687305982</v>
      </c>
      <c r="AP64" s="253">
        <f t="shared" si="18"/>
        <v>0.1739089948402916</v>
      </c>
      <c r="AQ64" s="253">
        <f t="shared" si="18"/>
        <v>0.17358165503753756</v>
      </c>
      <c r="AR64" s="50"/>
      <c r="AS64" s="253">
        <f t="shared" si="18"/>
        <v>0.17308257189652387</v>
      </c>
      <c r="AT64" s="253">
        <f t="shared" si="18"/>
        <v>0.20522607170150126</v>
      </c>
      <c r="AU64" s="253">
        <f t="shared" si="18"/>
        <v>0.19590423999085207</v>
      </c>
      <c r="AV64" s="253">
        <f t="shared" si="18"/>
        <v>0.20453919682465763</v>
      </c>
      <c r="AW64" s="253">
        <f t="shared" si="18"/>
        <v>0.19421377928714301</v>
      </c>
      <c r="AX64" s="50"/>
      <c r="AY64" s="253">
        <f t="shared" si="18"/>
        <v>0.18960146941709907</v>
      </c>
      <c r="AZ64" s="253">
        <f t="shared" si="18"/>
        <v>0.23078721713504471</v>
      </c>
      <c r="BA64" s="253">
        <f t="shared" si="18"/>
        <v>0.24125724516507285</v>
      </c>
      <c r="BB64" s="253">
        <f t="shared" si="18"/>
        <v>0.23843628509719222</v>
      </c>
      <c r="BC64" s="253">
        <f t="shared" si="18"/>
        <v>0.2234601576240294</v>
      </c>
      <c r="BD64" s="50"/>
      <c r="BE64" s="253">
        <f t="shared" si="18"/>
        <v>0.111586749722343</v>
      </c>
      <c r="BF64" s="253">
        <f t="shared" si="18"/>
        <v>0.15444283401737305</v>
      </c>
      <c r="BG64" s="253">
        <f t="shared" si="18"/>
        <v>0.13549584089543606</v>
      </c>
      <c r="BH64" s="253">
        <f t="shared" si="18"/>
        <v>0.1441168633463738</v>
      </c>
      <c r="BI64" s="253">
        <f t="shared" si="18"/>
        <v>0.1362569954844802</v>
      </c>
      <c r="BJ64" s="50"/>
      <c r="BK64" s="253">
        <f t="shared" si="18"/>
        <v>0.10510645010212746</v>
      </c>
      <c r="BL64" s="253">
        <f t="shared" si="18"/>
        <v>0.13557023218478573</v>
      </c>
      <c r="BM64" s="253">
        <f t="shared" si="18"/>
        <v>0.1402602630245601</v>
      </c>
      <c r="BN64" s="253">
        <f t="shared" si="18"/>
        <v>0.17243847715828853</v>
      </c>
      <c r="BO64" s="253">
        <f t="shared" ref="BO64" si="19">BO187</f>
        <v>0.13840547776873641</v>
      </c>
      <c r="BP64" s="50"/>
      <c r="BQ64" s="253">
        <f t="shared" ref="BQ64:BU64" si="20">BQ187</f>
        <v>9.7788194658503413E-2</v>
      </c>
      <c r="BR64" s="253">
        <f t="shared" si="20"/>
        <v>0.13180730403415333</v>
      </c>
      <c r="BS64" s="253">
        <f t="shared" si="20"/>
        <v>0.15063263049586792</v>
      </c>
      <c r="BT64" s="253">
        <f t="shared" si="20"/>
        <v>0.17124561716643147</v>
      </c>
      <c r="BU64" s="253">
        <f t="shared" si="20"/>
        <v>0.138260545230804</v>
      </c>
      <c r="BV64" s="50"/>
      <c r="BW64" s="253">
        <f t="shared" ref="BW64:CA64" si="21">BW187</f>
        <v>0.1384106503639719</v>
      </c>
      <c r="BX64" s="253">
        <f t="shared" si="21"/>
        <v>0.16053340885642808</v>
      </c>
      <c r="BY64" s="253">
        <f t="shared" si="21"/>
        <v>0.1627091029116286</v>
      </c>
      <c r="BZ64" s="253">
        <f t="shared" si="21"/>
        <v>0.17276058985995471</v>
      </c>
      <c r="CA64" s="253">
        <f t="shared" si="21"/>
        <v>0.15872611305501716</v>
      </c>
      <c r="CB64" s="50"/>
      <c r="CC64" s="253">
        <f t="shared" ref="CC64:CG64" si="22">CC187</f>
        <v>0.15273474942121701</v>
      </c>
      <c r="CD64" s="253">
        <f t="shared" si="22"/>
        <v>0.17461549366380461</v>
      </c>
      <c r="CE64" s="253">
        <f t="shared" si="22"/>
        <v>0.17699893924351173</v>
      </c>
      <c r="CF64" s="253">
        <f t="shared" si="22"/>
        <v>0.18830633928199433</v>
      </c>
      <c r="CG64" s="253">
        <f t="shared" si="22"/>
        <v>0.17332308875021551</v>
      </c>
      <c r="CH64" s="253"/>
      <c r="CI64" s="253"/>
      <c r="CJ64" s="253"/>
      <c r="CK64"/>
      <c r="CL64"/>
      <c r="CM64"/>
      <c r="CN64"/>
      <c r="CO64"/>
      <c r="CP64"/>
    </row>
    <row r="65" spans="2:94" s="1102" customFormat="1" ht="4.5" customHeight="1" outlineLevel="1" x14ac:dyDescent="0.2">
      <c r="B65" s="1"/>
      <c r="C65" s="183"/>
      <c r="D65" s="183"/>
      <c r="E65" s="183"/>
      <c r="F65" s="183"/>
      <c r="G65" s="183"/>
      <c r="H65" s="1108"/>
      <c r="I65" s="183"/>
      <c r="J65" s="183"/>
      <c r="K65" s="183"/>
      <c r="L65" s="183"/>
      <c r="M65" s="183"/>
      <c r="N65" s="1108"/>
      <c r="O65" s="183"/>
      <c r="P65" s="183"/>
      <c r="Q65" s="183"/>
      <c r="R65" s="183"/>
      <c r="S65" s="183"/>
      <c r="T65" s="1108"/>
      <c r="U65" s="183"/>
      <c r="V65" s="183"/>
      <c r="W65" s="183"/>
      <c r="X65" s="183"/>
      <c r="Y65" s="183"/>
      <c r="Z65" s="1108"/>
      <c r="AA65" s="122"/>
      <c r="AB65" s="183"/>
      <c r="AC65" s="183"/>
      <c r="AD65" s="183"/>
      <c r="AE65" s="166"/>
      <c r="AF65" s="1108"/>
      <c r="AG65" s="122"/>
      <c r="AH65" s="183"/>
      <c r="AI65" s="183"/>
      <c r="AJ65" s="183"/>
      <c r="AK65" s="166"/>
      <c r="AL65" s="50"/>
      <c r="AM65" s="122"/>
      <c r="AN65" s="122"/>
      <c r="AO65" s="183"/>
      <c r="AP65" s="183"/>
      <c r="AQ65" s="166"/>
      <c r="AR65" s="50"/>
      <c r="AS65" s="122"/>
      <c r="AT65" s="122"/>
      <c r="AU65" s="122"/>
      <c r="AV65" s="183"/>
      <c r="AW65" s="166"/>
      <c r="AX65" s="50"/>
      <c r="AY65" s="122"/>
      <c r="AZ65" s="122"/>
      <c r="BA65" s="122"/>
      <c r="BB65" s="183"/>
      <c r="BC65" s="166"/>
      <c r="BD65" s="50"/>
      <c r="BE65" s="122"/>
      <c r="BF65" s="122"/>
      <c r="BG65" s="122"/>
      <c r="BH65" s="122"/>
      <c r="BI65" s="166"/>
      <c r="BJ65" s="50"/>
      <c r="BK65" s="122"/>
      <c r="BL65" s="122"/>
      <c r="BM65" s="122"/>
      <c r="BN65" s="122"/>
      <c r="BO65" s="166"/>
      <c r="BP65" s="50"/>
      <c r="BQ65" s="122"/>
      <c r="BR65" s="122"/>
      <c r="BS65" s="122"/>
      <c r="BT65" s="122"/>
      <c r="BU65" s="166"/>
      <c r="BV65" s="50"/>
      <c r="BW65" s="122"/>
      <c r="BX65" s="122"/>
      <c r="BY65" s="122"/>
      <c r="BZ65" s="122"/>
      <c r="CA65" s="166"/>
      <c r="CB65" s="50"/>
      <c r="CC65" s="122"/>
      <c r="CD65" s="122"/>
      <c r="CE65" s="122"/>
      <c r="CF65" s="122"/>
      <c r="CG65" s="166"/>
      <c r="CH65" s="166"/>
      <c r="CI65" s="166"/>
      <c r="CJ65" s="166"/>
      <c r="CK65"/>
      <c r="CL65"/>
      <c r="CM65"/>
      <c r="CN65"/>
      <c r="CO65"/>
      <c r="CP65"/>
    </row>
    <row r="66" spans="2:94" s="1102" customFormat="1" ht="11.25" customHeight="1" x14ac:dyDescent="0.2">
      <c r="B66" s="12" t="s">
        <v>89</v>
      </c>
      <c r="C66" s="68"/>
      <c r="D66" s="68"/>
      <c r="E66" s="68"/>
      <c r="F66" s="68"/>
      <c r="G66" s="68"/>
      <c r="H66" s="50"/>
      <c r="I66" s="68"/>
      <c r="J66" s="68"/>
      <c r="K66" s="68"/>
      <c r="L66" s="68"/>
      <c r="M66" s="68"/>
      <c r="N66" s="50"/>
      <c r="O66" s="68"/>
      <c r="P66" s="68"/>
      <c r="Q66" s="68"/>
      <c r="R66" s="68"/>
      <c r="S66" s="68"/>
      <c r="T66" s="50"/>
      <c r="U66" s="68"/>
      <c r="V66" s="68"/>
      <c r="W66" s="68"/>
      <c r="X66" s="68"/>
      <c r="Y66" s="68"/>
      <c r="Z66" s="50"/>
      <c r="AA66" s="68"/>
      <c r="AB66" s="68"/>
      <c r="AC66" s="68"/>
      <c r="AD66" s="68"/>
      <c r="AE66" s="68"/>
      <c r="AF66" s="50"/>
      <c r="AG66" s="68"/>
      <c r="AH66" s="68"/>
      <c r="AI66" s="68"/>
      <c r="AJ66" s="68"/>
      <c r="AK66" s="68"/>
      <c r="AL66" s="50"/>
      <c r="AM66" s="68"/>
      <c r="AN66" s="68"/>
      <c r="AO66" s="68"/>
      <c r="AP66" s="68"/>
      <c r="AQ66" s="68"/>
      <c r="AR66" s="50"/>
      <c r="AS66" s="68"/>
      <c r="AT66" s="68"/>
      <c r="AU66" s="68"/>
      <c r="AV66" s="68"/>
      <c r="AW66" s="68"/>
      <c r="AX66" s="50"/>
      <c r="AY66" s="68"/>
      <c r="AZ66" s="68"/>
      <c r="BA66" s="68"/>
      <c r="BB66" s="68"/>
      <c r="BC66" s="68"/>
      <c r="BD66" s="50"/>
      <c r="BE66" s="68"/>
      <c r="BF66" s="68"/>
      <c r="BG66" s="68"/>
      <c r="BH66" s="68"/>
      <c r="BI66" s="68"/>
      <c r="BJ66" s="50"/>
      <c r="BK66" s="68"/>
      <c r="BL66" s="68"/>
      <c r="BM66" s="68"/>
      <c r="BN66" s="68"/>
      <c r="BO66" s="68"/>
      <c r="BP66" s="50"/>
      <c r="BQ66" s="68"/>
      <c r="BR66" s="68"/>
      <c r="BS66" s="68"/>
      <c r="BT66" s="68"/>
      <c r="BU66" s="68"/>
      <c r="BV66" s="50"/>
      <c r="BW66" s="68"/>
      <c r="BX66" s="68"/>
      <c r="BY66" s="68"/>
      <c r="BZ66" s="68"/>
      <c r="CA66" s="68"/>
      <c r="CB66" s="50"/>
      <c r="CC66" s="68"/>
      <c r="CD66" s="68"/>
      <c r="CE66" s="68"/>
      <c r="CF66" s="68"/>
      <c r="CG66" s="68"/>
      <c r="CH66" s="68"/>
      <c r="CI66" s="68"/>
      <c r="CJ66" s="68"/>
      <c r="CK66"/>
      <c r="CL66"/>
      <c r="CM66"/>
      <c r="CN66"/>
      <c r="CO66"/>
      <c r="CP66"/>
    </row>
    <row r="67" spans="2:94" s="1102" customFormat="1" ht="11.25" customHeight="1" x14ac:dyDescent="0.2">
      <c r="B67" s="1109" t="s">
        <v>90</v>
      </c>
      <c r="C67" s="1110">
        <f>IF('P&amp;L'!C16&lt;0,"NM",'P&amp;L'!C16/-'P&amp;L'!C21)</f>
        <v>20.940529622980243</v>
      </c>
      <c r="D67" s="1110">
        <f>IF('P&amp;L'!D16&lt;0,"NM",'P&amp;L'!D16/-'P&amp;L'!D21)</f>
        <v>20.559608370128622</v>
      </c>
      <c r="E67" s="1110">
        <f>IF('P&amp;L'!E16&lt;0,"NM",'P&amp;L'!E16/-'P&amp;L'!E21)</f>
        <v>13.727794900532373</v>
      </c>
      <c r="F67" s="1110">
        <f>IF('P&amp;L'!F16&lt;0,"NM",'P&amp;L'!F16/-'P&amp;L'!F21)</f>
        <v>15.70931232091691</v>
      </c>
      <c r="G67" s="1110">
        <f>IF('P&amp;L'!G16&lt;0,"NM",'P&amp;L'!G16/-'P&amp;L'!G21)</f>
        <v>17.157044948072166</v>
      </c>
      <c r="H67" s="1110"/>
      <c r="I67" s="1110">
        <f>IF('P&amp;L'!I16&lt;0,"NM",'P&amp;L'!I16/-'P&amp;L'!I21)</f>
        <v>13.725399903053795</v>
      </c>
      <c r="J67" s="1110">
        <f>IF('P&amp;L'!J16&lt;0,"NM",'P&amp;L'!J16/-'P&amp;L'!J21)</f>
        <v>16.015820782179485</v>
      </c>
      <c r="K67" s="1110">
        <f>IF('P&amp;L'!K16&lt;0,"NM",'P&amp;L'!K16/-'P&amp;L'!K21)</f>
        <v>12.086169754416209</v>
      </c>
      <c r="L67" s="1110">
        <f>IF('P&amp;L'!L16&lt;0,"NM",'P&amp;L'!L16/-'P&amp;L'!L21)</f>
        <v>15.32482369534554</v>
      </c>
      <c r="M67" s="1110">
        <f>IF('P&amp;L'!M16&lt;0,"NM",'P&amp;L'!M16/-'P&amp;L'!M21)</f>
        <v>14.162511144587571</v>
      </c>
      <c r="N67" s="68"/>
      <c r="O67" s="1110">
        <f>IF('P&amp;L'!O16&lt;0,"NM",'P&amp;L'!O16/-'P&amp;L'!O21)</f>
        <v>16.785145457500406</v>
      </c>
      <c r="P67" s="1110">
        <f>IF('P&amp;L'!P16&lt;0,"NM",'P&amp;L'!P16/-'P&amp;L'!P21)</f>
        <v>22.108390280941514</v>
      </c>
      <c r="Q67" s="1110">
        <f>IF('P&amp;L'!Q16&lt;0,"NM",'P&amp;L'!Q16/-'P&amp;L'!Q21)</f>
        <v>19.820014662756588</v>
      </c>
      <c r="R67" s="1110">
        <f>IF('P&amp;L'!R16&lt;0,"NM",'P&amp;L'!R16/-'P&amp;L'!R21)</f>
        <v>23.604303646144619</v>
      </c>
      <c r="S67" s="1110">
        <f>IF('P&amp;L'!S16&lt;0,"NM",'P&amp;L'!S16/-'P&amp;L'!S21)</f>
        <v>20.385184508586022</v>
      </c>
      <c r="T67" s="68"/>
      <c r="U67" s="1110">
        <f>IF('P&amp;L'!U16&lt;0,"NM",'P&amp;L'!U16/-'P&amp;L'!U21)</f>
        <v>19.193531468531482</v>
      </c>
      <c r="V67" s="1110">
        <f>IF('P&amp;L'!V16&lt;0,"NM",'P&amp;L'!V16/-'P&amp;L'!V21)</f>
        <v>17.855967693688306</v>
      </c>
      <c r="W67" s="1110">
        <f>IF('P&amp;L'!W16&lt;0,"NM",'P&amp;L'!W16/-'P&amp;L'!W21)</f>
        <v>17.678946491081863</v>
      </c>
      <c r="X67" s="1110">
        <f>IF('P&amp;L'!X16&lt;0,"NM",'P&amp;L'!X16/-'P&amp;L'!X21)</f>
        <v>17.29278874925194</v>
      </c>
      <c r="Y67" s="1110">
        <f>IF('P&amp;L'!Y16&lt;0,"NM",'P&amp;L'!Y16/-'P&amp;L'!Y21)</f>
        <v>17.968551955040066</v>
      </c>
      <c r="Z67" s="68"/>
      <c r="AA67" s="1110">
        <f>IF('P&amp;L'!AA16&lt;0,"NM",'P&amp;L'!AA16/-'P&amp;L'!AA21)</f>
        <v>21.863559797866383</v>
      </c>
      <c r="AB67" s="1110">
        <f>IF('P&amp;L'!AB16&lt;0,"NM",'P&amp;L'!AB16/-'P&amp;L'!AB21)</f>
        <v>22.270377019748654</v>
      </c>
      <c r="AC67" s="1110">
        <f>IF('P&amp;L'!AC16&lt;0,"NM",'P&amp;L'!AC16/-'P&amp;L'!AC21)</f>
        <v>6.9523720582741886</v>
      </c>
      <c r="AD67" s="1110">
        <f>IF('P&amp;L'!AD16&lt;0,"NM",'P&amp;L'!AD16/-'P&amp;L'!AD21)</f>
        <v>7.4505611972207433</v>
      </c>
      <c r="AE67" s="1110">
        <f>IF('P&amp;L'!AE16&lt;0,"NM",'P&amp;L'!AE16/-'P&amp;L'!AE21)</f>
        <v>10.90957228283197</v>
      </c>
      <c r="AF67" s="68"/>
      <c r="AG67" s="1110">
        <f>IF('P&amp;L'!AG16&lt;0,"NM",'P&amp;L'!AG16/-'P&amp;L'!AG21)</f>
        <v>8.4026105690026629</v>
      </c>
      <c r="AH67" s="1110">
        <f>IF('P&amp;L'!AH16&lt;0,"NM",'P&amp;L'!AH16/-'P&amp;L'!AH21)</f>
        <v>10.278318705430607</v>
      </c>
      <c r="AI67" s="1110">
        <f>IF('P&amp;L'!AI16&lt;0,"NM",'P&amp;L'!AI16/-'P&amp;L'!AI21)</f>
        <v>8.3677712384851617</v>
      </c>
      <c r="AJ67" s="1110">
        <f>IF('P&amp;L'!AJ16&lt;0,"NM",'P&amp;L'!AJ16/-'P&amp;L'!AJ21)</f>
        <v>12.901041186768632</v>
      </c>
      <c r="AK67" s="1110">
        <f>IF('P&amp;L'!AK16&lt;0,"NM",'P&amp;L'!AK16/-'P&amp;L'!AK21)</f>
        <v>9.7329686373150839</v>
      </c>
      <c r="AL67" s="68"/>
      <c r="AM67" s="1110">
        <f>IF('P&amp;L'!AM16&lt;0,"NM",'P&amp;L'!AM16/-'P&amp;L'!AM21)</f>
        <v>8.4828197884501666</v>
      </c>
      <c r="AN67" s="1110">
        <f>IF('P&amp;L'!AN16&lt;0,"NM",'P&amp;L'!AN16/-'P&amp;L'!AN21)</f>
        <v>13.825497523246719</v>
      </c>
      <c r="AO67" s="1110">
        <f>IF('P&amp;L'!AO16&lt;0,"NM",'P&amp;L'!AO16/-'P&amp;L'!AO21)</f>
        <v>12.19349764027268</v>
      </c>
      <c r="AP67" s="1110">
        <f>IF('P&amp;L'!AP16&lt;0,"NM",'P&amp;L'!AP16/-'P&amp;L'!AP21)</f>
        <v>12.458838934962895</v>
      </c>
      <c r="AQ67" s="1110">
        <f>IF('P&amp;L'!AQ16&lt;0,"NM",'P&amp;L'!AQ16/-'P&amp;L'!AQ21)</f>
        <v>11.495032745591939</v>
      </c>
      <c r="AR67" s="68"/>
      <c r="AS67" s="1110">
        <f>IF('P&amp;L'!AS16&lt;0,"NM",'P&amp;L'!AS16/-'P&amp;L'!AS21)</f>
        <v>13.086170698311275</v>
      </c>
      <c r="AT67" s="1110">
        <f>IF('P&amp;L'!AT16&lt;0,"NM",'P&amp;L'!AT16/-'P&amp;L'!AT21)</f>
        <v>13.724360061027294</v>
      </c>
      <c r="AU67" s="1110">
        <f>IF('P&amp;L'!AU16&lt;0,"NM",'P&amp;L'!AU16/-'P&amp;L'!AU21)</f>
        <v>11.682273983418868</v>
      </c>
      <c r="AV67" s="1110">
        <f>IF('P&amp;L'!AV16&lt;0,"NM",'P&amp;L'!AV16/-'P&amp;L'!AV21)</f>
        <v>12.246171249564918</v>
      </c>
      <c r="AW67" s="1110">
        <f>IF('P&amp;L'!AW16&lt;0,"NM",'P&amp;L'!AW16/-'P&amp;L'!AW21)</f>
        <v>12.661863142187165</v>
      </c>
      <c r="AX67" s="68"/>
      <c r="AY67" s="1110">
        <f>IF('P&amp;L'!AY16&lt;0,"NM",'P&amp;L'!AY16/-'P&amp;L'!AY21)</f>
        <v>12.859111361079867</v>
      </c>
      <c r="AZ67" s="1110">
        <f>IF('P&amp;L'!AZ16&lt;0,"NM",'P&amp;L'!AZ16/-'P&amp;L'!AZ21)</f>
        <v>16.499389250814332</v>
      </c>
      <c r="BA67" s="1110">
        <f>IF('P&amp;L'!BA16&lt;0,"NM",'P&amp;L'!BA16/-'P&amp;L'!BA21)</f>
        <v>12.764638157894739</v>
      </c>
      <c r="BB67" s="1110">
        <f>IF('P&amp;L'!BB16&lt;0,"NM",'P&amp;L'!BB16/-'P&amp;L'!BB21)</f>
        <v>16.50112866817156</v>
      </c>
      <c r="BC67" s="1110">
        <f>IF('P&amp;L'!BC16&lt;0,"NM",'P&amp;L'!BC16/-'P&amp;L'!BC21)</f>
        <v>14.458204856427059</v>
      </c>
      <c r="BD67" s="68"/>
      <c r="BE67" s="1110">
        <f>IF('P&amp;L'!BE16&lt;0,"NM",'P&amp;L'!BE16/-'P&amp;L'!BE21)</f>
        <v>36.415094339622641</v>
      </c>
      <c r="BF67" s="1110">
        <f>IF('P&amp;L'!BF16&lt;0,"NM",'P&amp;L'!BF16/-'P&amp;L'!BF21)</f>
        <v>28.387096774193544</v>
      </c>
      <c r="BG67" s="1110">
        <f>IF('P&amp;L'!BG16&lt;0,"NM",'P&amp;L'!BG16/-'P&amp;L'!BG21)</f>
        <v>27.107142857142858</v>
      </c>
      <c r="BH67" s="1110">
        <f>IF('P&amp;L'!BH16&lt;0,"NM",'P&amp;L'!BH16/-'P&amp;L'!BH21)</f>
        <v>29.5</v>
      </c>
      <c r="BI67" s="1110">
        <f>IF('P&amp;L'!BI16&lt;0,"NM",'P&amp;L'!BI16/-'P&amp;L'!BI21)</f>
        <v>29.7</v>
      </c>
      <c r="BJ67" s="68"/>
      <c r="BK67" s="1110">
        <f>IF('P&amp;L'!BK16&lt;0,"NM",'P&amp;L'!BK16/-'P&amp;L'!BK21)</f>
        <v>22.923076923076923</v>
      </c>
      <c r="BL67" s="1110">
        <f>IF('P&amp;L'!BL16&lt;0,"NM",'P&amp;L'!BL16/-'P&amp;L'!BL21)</f>
        <v>13.883435582822086</v>
      </c>
      <c r="BM67" s="1110">
        <f>IF('P&amp;L'!BM16&lt;0,"NM",'P&amp;L'!BM16/-'P&amp;L'!BM21)</f>
        <v>22.339449541284406</v>
      </c>
      <c r="BN67" s="1110">
        <f>IF('P&amp;L'!BN16&lt;0,"NM",'P&amp;L'!BN16/-'P&amp;L'!BN21)</f>
        <v>26.500000000000004</v>
      </c>
      <c r="BO67" s="1110">
        <f>IF('P&amp;L'!BO16&lt;0,"NM",'P&amp;L'!BO16/-'P&amp;L'!BO21)</f>
        <v>20.329646017699115</v>
      </c>
      <c r="BP67" s="68"/>
      <c r="BQ67" s="1110">
        <f>IF('P&amp;L'!BQ16&lt;0,"NM",'P&amp;L'!BQ16/-'P&amp;L'!BQ21)</f>
        <v>25.864487364469742</v>
      </c>
      <c r="BR67" s="1110">
        <f>IF('P&amp;L'!BR16&lt;0,"NM",'P&amp;L'!BR16/-'P&amp;L'!BR21)</f>
        <v>33.885194057364487</v>
      </c>
      <c r="BS67" s="1110">
        <f>IF('P&amp;L'!BS16&lt;0,"NM",'P&amp;L'!BS16/-'P&amp;L'!BS21)</f>
        <v>38.646186699012745</v>
      </c>
      <c r="BT67" s="1110">
        <f>IF('P&amp;L'!BT16&lt;0,"NM",'P&amp;L'!BT16/-'P&amp;L'!BT21)</f>
        <v>43.677480711154033</v>
      </c>
      <c r="BU67" s="1110">
        <f>IF('P&amp;L'!BU16&lt;0,"NM",'P&amp;L'!BU16/-'P&amp;L'!BU21)</f>
        <v>35.502232929936795</v>
      </c>
      <c r="BV67" s="68"/>
      <c r="BW67" s="1110">
        <f>IF('P&amp;L'!BW16&lt;0,"NM",'P&amp;L'!BW16/-'P&amp;L'!BW21)</f>
        <v>34.954025302765515</v>
      </c>
      <c r="BX67" s="1110">
        <f>IF('P&amp;L'!BX16&lt;0,"NM",'P&amp;L'!BX16/-'P&amp;L'!BX21)</f>
        <v>40.212749217485282</v>
      </c>
      <c r="BY67" s="1110">
        <f>IF('P&amp;L'!BY16&lt;0,"NM",'P&amp;L'!BY16/-'P&amp;L'!BY21)</f>
        <v>41.124332577109406</v>
      </c>
      <c r="BZ67" s="1110">
        <f>IF('P&amp;L'!BZ16&lt;0,"NM",'P&amp;L'!BZ16/-'P&amp;L'!BZ21)</f>
        <v>43.602413617396365</v>
      </c>
      <c r="CA67" s="1110">
        <f>IF('P&amp;L'!CA16&lt;0,"NM",'P&amp;L'!CA16/-'P&amp;L'!CA21)</f>
        <v>39.973380178689155</v>
      </c>
      <c r="CB67" s="68"/>
      <c r="CC67" s="1110">
        <f>IF('P&amp;L'!CC16&lt;0,"NM",'P&amp;L'!CC16/-'P&amp;L'!CC21)</f>
        <v>37.708615258929655</v>
      </c>
      <c r="CD67" s="1110">
        <f>IF('P&amp;L'!CD16&lt;0,"NM",'P&amp;L'!CD16/-'P&amp;L'!CD21)</f>
        <v>42.955814993607824</v>
      </c>
      <c r="CE67" s="1110">
        <f>IF('P&amp;L'!CE16&lt;0,"NM",'P&amp;L'!CE16/-'P&amp;L'!CE21)</f>
        <v>43.996160797108018</v>
      </c>
      <c r="CF67" s="1110">
        <f>IF('P&amp;L'!CF16&lt;0,"NM",'P&amp;L'!CF16/-'P&amp;L'!CF21)</f>
        <v>46.852434031220092</v>
      </c>
      <c r="CG67" s="1110">
        <f>IF('P&amp;L'!CG16&lt;0,"NM",'P&amp;L'!CG16/-'P&amp;L'!CG21)</f>
        <v>42.878256270216397</v>
      </c>
      <c r="CH67" s="1110"/>
      <c r="CI67" s="1110"/>
      <c r="CJ67" s="1110"/>
      <c r="CK67"/>
      <c r="CL67"/>
      <c r="CM67"/>
      <c r="CN67"/>
      <c r="CO67"/>
      <c r="CP67"/>
    </row>
    <row r="68" spans="2:94" s="1102" customFormat="1" ht="11.25" customHeight="1" x14ac:dyDescent="0.2">
      <c r="B68" s="1109" t="s">
        <v>91</v>
      </c>
      <c r="C68" s="1110">
        <f>IF('P&amp;L'!C18&lt;0,"NM",'P&amp;L'!C18/-'P&amp;L'!C21)</f>
        <v>18.44726211849191</v>
      </c>
      <c r="D68" s="1110">
        <f>IF('P&amp;L'!D18&lt;0,"NM",'P&amp;L'!D18/-'P&amp;L'!D21)</f>
        <v>18.564023804952964</v>
      </c>
      <c r="E68" s="1110">
        <f>IF('P&amp;L'!E18&lt;0,"NM",'P&amp;L'!E18/-'P&amp;L'!E21)</f>
        <v>12.227794900532372</v>
      </c>
      <c r="F68" s="1110">
        <f>IF('P&amp;L'!F18&lt;0,"NM",'P&amp;L'!F18/-'P&amp;L'!F21)</f>
        <v>14.217048710601725</v>
      </c>
      <c r="G68" s="1110">
        <f>IF('P&amp;L'!G18&lt;0,"NM",'P&amp;L'!G18/-'P&amp;L'!G21)</f>
        <v>15.364672244880811</v>
      </c>
      <c r="H68" s="1110"/>
      <c r="I68" s="1110">
        <f>IF('P&amp;L'!I18&lt;0,"NM",'P&amp;L'!I18/-'P&amp;L'!I21)</f>
        <v>12.268662142510896</v>
      </c>
      <c r="J68" s="1110">
        <f>IF('P&amp;L'!J18&lt;0,"NM",'P&amp;L'!J18/-'P&amp;L'!J21)</f>
        <v>14.506897861030264</v>
      </c>
      <c r="K68" s="1110">
        <f>IF('P&amp;L'!K18&lt;0,"NM",'P&amp;L'!K18/-'P&amp;L'!K21)</f>
        <v>10.712408444635942</v>
      </c>
      <c r="L68" s="1110">
        <f>IF('P&amp;L'!L18&lt;0,"NM",'P&amp;L'!L18/-'P&amp;L'!L21)</f>
        <v>13.746544428772904</v>
      </c>
      <c r="M68" s="1110">
        <f>IF('P&amp;L'!M18&lt;0,"NM",'P&amp;L'!M18/-'P&amp;L'!M21)</f>
        <v>12.690288068373963</v>
      </c>
      <c r="N68" s="68"/>
      <c r="O68" s="1110">
        <f>IF('P&amp;L'!O18&lt;0,"NM",'P&amp;L'!O18/-'P&amp;L'!O21)</f>
        <v>14.683731513083048</v>
      </c>
      <c r="P68" s="1110">
        <f>IF('P&amp;L'!P18&lt;0,"NM",'P&amp;L'!P18/-'P&amp;L'!P21)</f>
        <v>19.5565679574791</v>
      </c>
      <c r="Q68" s="1110">
        <f>IF('P&amp;L'!Q18&lt;0,"NM",'P&amp;L'!Q18/-'P&amp;L'!Q21)</f>
        <v>17.300769794721397</v>
      </c>
      <c r="R68" s="1110">
        <f>IF('P&amp;L'!R18&lt;0,"NM",'P&amp;L'!R18/-'P&amp;L'!R21)</f>
        <v>20.821079896393673</v>
      </c>
      <c r="S68" s="1110">
        <f>IF('P&amp;L'!S18&lt;0,"NM",'P&amp;L'!S18/-'P&amp;L'!S21)</f>
        <v>17.915007307270717</v>
      </c>
      <c r="T68" s="68"/>
      <c r="U68" s="1110">
        <f>IF('P&amp;L'!U18&lt;0,"NM",'P&amp;L'!U18/-'P&amp;L'!U21)</f>
        <v>16.524825174825189</v>
      </c>
      <c r="V68" s="1110">
        <f>IF('P&amp;L'!V18&lt;0,"NM",'P&amp;L'!V18/-'P&amp;L'!V21)</f>
        <v>15.736165121148671</v>
      </c>
      <c r="W68" s="1110">
        <f>IF('P&amp;L'!W18&lt;0,"NM",'P&amp;L'!W18/-'P&amp;L'!W21)</f>
        <v>15.414569094849158</v>
      </c>
      <c r="X68" s="1110">
        <f>IF('P&amp;L'!X18&lt;0,"NM",'P&amp;L'!X18/-'P&amp;L'!X21)</f>
        <v>15.221274685816869</v>
      </c>
      <c r="Y68" s="1110">
        <f>IF('P&amp;L'!Y18&lt;0,"NM",'P&amp;L'!Y18/-'P&amp;L'!Y21)</f>
        <v>15.701901231615457</v>
      </c>
      <c r="Z68" s="68"/>
      <c r="AA68" s="1110">
        <f>IF('P&amp;L'!AA18&lt;0,"NM",'P&amp;L'!AA18/-'P&amp;L'!AA21)</f>
        <v>19.018716077110252</v>
      </c>
      <c r="AB68" s="1110">
        <f>IF('P&amp;L'!AB18&lt;0,"NM",'P&amp;L'!AB18/-'P&amp;L'!AB21)</f>
        <v>19.189766606822261</v>
      </c>
      <c r="AC68" s="1110">
        <f>IF('P&amp;L'!AC18&lt;0,"NM",'P&amp;L'!AC18/-'P&amp;L'!AC21)</f>
        <v>6.0372307309176954</v>
      </c>
      <c r="AD68" s="1110">
        <f>IF('P&amp;L'!AD18&lt;0,"NM",'P&amp;L'!AD18/-'P&amp;L'!AD21)</f>
        <v>6.4421283924223589</v>
      </c>
      <c r="AE68" s="1110">
        <f>IF('P&amp;L'!AE18&lt;0,"NM",'P&amp;L'!AE18/-'P&amp;L'!AE21)</f>
        <v>9.4479618386816995</v>
      </c>
      <c r="AF68" s="68"/>
      <c r="AG68" s="1110">
        <f>IF('P&amp;L'!AG18&lt;0,"NM",'P&amp;L'!AG18/-'P&amp;L'!AG21)</f>
        <v>7.1221011278671913</v>
      </c>
      <c r="AH68" s="1110">
        <f>IF('P&amp;L'!AH18&lt;0,"NM",'P&amp;L'!AH18/-'P&amp;L'!AH21)</f>
        <v>8.8968047174986271</v>
      </c>
      <c r="AI68" s="1110">
        <f>IF('P&amp;L'!AI18&lt;0,"NM",'P&amp;L'!AI18/-'P&amp;L'!AI21)</f>
        <v>7.1425921187308097</v>
      </c>
      <c r="AJ68" s="1110">
        <f>IF('P&amp;L'!AJ18&lt;0,"NM",'P&amp;L'!AJ18/-'P&amp;L'!AJ21)</f>
        <v>11.063116189072144</v>
      </c>
      <c r="AK68" s="1110">
        <f>IF('P&amp;L'!AK18&lt;0,"NM",'P&amp;L'!AK18/-'P&amp;L'!AK21)</f>
        <v>8.3353503016657555</v>
      </c>
      <c r="AL68" s="68"/>
      <c r="AM68" s="1110">
        <f>IF('P&amp;L'!AM18&lt;0,"NM",'P&amp;L'!AM18/-'P&amp;L'!AM21)</f>
        <v>7.1415150121542599</v>
      </c>
      <c r="AN68" s="1110">
        <f>IF('P&amp;L'!AN18&lt;0,"NM",'P&amp;L'!AN18/-'P&amp;L'!AN21)</f>
        <v>11.972103936734163</v>
      </c>
      <c r="AO68" s="1110">
        <f>IF('P&amp;L'!AO18&lt;0,"NM",'P&amp;L'!AO18/-'P&amp;L'!AO21)</f>
        <v>10.462856144030763</v>
      </c>
      <c r="AP68" s="1110">
        <f>IF('P&amp;L'!AP18&lt;0,"NM",'P&amp;L'!AP18/-'P&amp;L'!AP21)</f>
        <v>10.704670449585333</v>
      </c>
      <c r="AQ68" s="1110">
        <f>IF('P&amp;L'!AQ18&lt;0,"NM",'P&amp;L'!AQ18/-'P&amp;L'!AQ21)</f>
        <v>9.8499143576826178</v>
      </c>
      <c r="AR68" s="68"/>
      <c r="AS68" s="1110">
        <f>IF('P&amp;L'!AS18&lt;0,"NM",'P&amp;L'!AS18/-'P&amp;L'!AS21)</f>
        <v>11.135463258785943</v>
      </c>
      <c r="AT68" s="1110">
        <f>IF('P&amp;L'!AT18&lt;0,"NM",'P&amp;L'!AT18/-'P&amp;L'!AT21)</f>
        <v>11.948211561281573</v>
      </c>
      <c r="AU68" s="1110">
        <f>IF('P&amp;L'!AU18&lt;0,"NM",'P&amp;L'!AU18/-'P&amp;L'!AU21)</f>
        <v>10.046032372680612</v>
      </c>
      <c r="AV68" s="1110">
        <f>IF('P&amp;L'!AV18&lt;0,"NM",'P&amp;L'!AV18/-'P&amp;L'!AV21)</f>
        <v>10.66985729202924</v>
      </c>
      <c r="AW68" s="1110">
        <f>IF('P&amp;L'!AW18&lt;0,"NM",'P&amp;L'!AW18/-'P&amp;L'!AW21)</f>
        <v>10.9316776806651</v>
      </c>
      <c r="AX68" s="68"/>
      <c r="AY68" s="1110">
        <f>IF('P&amp;L'!AY18&lt;0,"NM",'P&amp;L'!AY18/-'P&amp;L'!AY21)</f>
        <v>11.048931383577054</v>
      </c>
      <c r="AZ68" s="1110">
        <f>IF('P&amp;L'!AZ18&lt;0,"NM",'P&amp;L'!AZ18/-'P&amp;L'!AZ21)</f>
        <v>14.51740635179153</v>
      </c>
      <c r="BA68" s="1110">
        <f>IF('P&amp;L'!BA18&lt;0,"NM",'P&amp;L'!BA18/-'P&amp;L'!BA21)</f>
        <v>10.888157894736842</v>
      </c>
      <c r="BB68" s="1110">
        <f>IF('P&amp;L'!BB18&lt;0,"NM",'P&amp;L'!BB18/-'P&amp;L'!BB21)</f>
        <v>14.525959367945827</v>
      </c>
      <c r="BC68" s="1110">
        <f>IF('P&amp;L'!BC18&lt;0,"NM",'P&amp;L'!BC18/-'P&amp;L'!BC21)</f>
        <v>12.552731740219697</v>
      </c>
      <c r="BD68" s="68"/>
      <c r="BE68" s="1110">
        <f>IF('P&amp;L'!BE18&lt;0,"NM",'P&amp;L'!BE18/-'P&amp;L'!BE21)</f>
        <v>31.981132075471699</v>
      </c>
      <c r="BF68" s="1110">
        <f>IF('P&amp;L'!BF18&lt;0,"NM",'P&amp;L'!BF18/-'P&amp;L'!BF21)</f>
        <v>24.989247311827956</v>
      </c>
      <c r="BG68" s="1110">
        <f>IF('P&amp;L'!BG18&lt;0,"NM",'P&amp;L'!BG18/-'P&amp;L'!BG21)</f>
        <v>23.30952380952381</v>
      </c>
      <c r="BH68" s="1110">
        <f>IF('P&amp;L'!BH18&lt;0,"NM",'P&amp;L'!BH18/-'P&amp;L'!BH21)</f>
        <v>25.8</v>
      </c>
      <c r="BI68" s="1110">
        <f>IF('P&amp;L'!BI18&lt;0,"NM",'P&amp;L'!BI18/-'P&amp;L'!BI21)</f>
        <v>25.93870967741935</v>
      </c>
      <c r="BJ68" s="68"/>
      <c r="BK68" s="1110">
        <f>IF('P&amp;L'!BK18&lt;0,"NM",'P&amp;L'!BK18/-'P&amp;L'!BK21)</f>
        <v>18.961538461538463</v>
      </c>
      <c r="BL68" s="1110">
        <f>IF('P&amp;L'!BL18&lt;0,"NM",'P&amp;L'!BL18/-'P&amp;L'!BL21)</f>
        <v>11.969325153374232</v>
      </c>
      <c r="BM68" s="1110">
        <f>IF('P&amp;L'!BM18&lt;0,"NM",'P&amp;L'!BM18/-'P&amp;L'!BM21)</f>
        <v>19.422018348623855</v>
      </c>
      <c r="BN68" s="1110">
        <f>IF('P&amp;L'!BN18&lt;0,"NM",'P&amp;L'!BN18/-'P&amp;L'!BN21)</f>
        <v>23.225490196078432</v>
      </c>
      <c r="BO68" s="1110">
        <f>IF('P&amp;L'!BO18&lt;0,"NM",'P&amp;L'!BO18/-'P&amp;L'!BO21)</f>
        <v>17.513274336283189</v>
      </c>
      <c r="BP68" s="68"/>
      <c r="BQ68" s="1110">
        <f>IF('P&amp;L'!BQ18&lt;0,"NM",'P&amp;L'!BQ18/-'P&amp;L'!BQ21)</f>
        <v>21.139862642382884</v>
      </c>
      <c r="BR68" s="1110">
        <f>IF('P&amp;L'!BR18&lt;0,"NM",'P&amp;L'!BR18/-'P&amp;L'!BR21)</f>
        <v>29.067059112092227</v>
      </c>
      <c r="BS68" s="1110">
        <f>IF('P&amp;L'!BS18&lt;0,"NM",'P&amp;L'!BS18/-'P&amp;L'!BS21)</f>
        <v>33.758986387049298</v>
      </c>
      <c r="BT68" s="1110">
        <f>IF('P&amp;L'!BT18&lt;0,"NM",'P&amp;L'!BT18/-'P&amp;L'!BT21)</f>
        <v>38.719769438312483</v>
      </c>
      <c r="BU68" s="1110">
        <f>IF('P&amp;L'!BU18&lt;0,"NM",'P&amp;L'!BU18/-'P&amp;L'!BU21)</f>
        <v>30.655519122756012</v>
      </c>
      <c r="BV68" s="68"/>
      <c r="BW68" s="1110">
        <f>IF('P&amp;L'!BW18&lt;0,"NM",'P&amp;L'!BW18/-'P&amp;L'!BW21)</f>
        <v>29.920549727127796</v>
      </c>
      <c r="BX68" s="1110">
        <f>IF('P&amp;L'!BX18&lt;0,"NM",'P&amp;L'!BX18/-'P&amp;L'!BX21)</f>
        <v>35.115249647412305</v>
      </c>
      <c r="BY68" s="1110">
        <f>IF('P&amp;L'!BY18&lt;0,"NM",'P&amp;L'!BY18/-'P&amp;L'!BY21)</f>
        <v>35.954583529556061</v>
      </c>
      <c r="BZ68" s="1110">
        <f>IF('P&amp;L'!BZ18&lt;0,"NM",'P&amp;L'!BZ18/-'P&amp;L'!BZ21)</f>
        <v>38.359216120922248</v>
      </c>
      <c r="CA68" s="1110">
        <f>IF('P&amp;L'!CA18&lt;0,"NM",'P&amp;L'!CA18/-'P&amp;L'!CA21)</f>
        <v>34.837399756254612</v>
      </c>
      <c r="CB68" s="68"/>
      <c r="CC68" s="1110">
        <f>IF('P&amp;L'!CC18&lt;0,"NM",'P&amp;L'!CC18/-'P&amp;L'!CC21)</f>
        <v>32.387080643403536</v>
      </c>
      <c r="CD68" s="1110">
        <f>IF('P&amp;L'!CD18&lt;0,"NM",'P&amp;L'!CD18/-'P&amp;L'!CD21)</f>
        <v>37.568058263130062</v>
      </c>
      <c r="CE68" s="1110">
        <f>IF('P&amp;L'!CE18&lt;0,"NM",'P&amp;L'!CE18/-'P&amp;L'!CE21)</f>
        <v>38.534385552182982</v>
      </c>
      <c r="CF68" s="1110">
        <f>IF('P&amp;L'!CF18&lt;0,"NM",'P&amp;L'!CF18/-'P&amp;L'!CF21)</f>
        <v>41.315201082428857</v>
      </c>
      <c r="CG68" s="1110">
        <f>IF('P&amp;L'!CG18&lt;0,"NM",'P&amp;L'!CG18/-'P&amp;L'!CG21)</f>
        <v>37.451181385286361</v>
      </c>
      <c r="CH68" s="1110"/>
      <c r="CI68" s="1110"/>
      <c r="CJ68" s="1110"/>
      <c r="CK68"/>
      <c r="CL68"/>
      <c r="CM68"/>
      <c r="CN68"/>
      <c r="CO68"/>
      <c r="CP68"/>
    </row>
    <row r="69" spans="2:94" s="1102" customFormat="1" ht="11.25" customHeight="1" x14ac:dyDescent="0.2">
      <c r="B69" s="1109" t="s">
        <v>92</v>
      </c>
      <c r="C69" s="1110">
        <f>IF(OR(C58&lt;0,'P&amp;L'!C16&lt;0)=TRUE,"NM",C58/('P&amp;L'!C16*4))</f>
        <v>0.76678258726195236</v>
      </c>
      <c r="D69" s="1110">
        <f>IF(OR(D58&lt;0,'P&amp;L'!D16&lt;0)=TRUE,"NM",D58/('P&amp;L'!D16*4))</f>
        <v>0.51823847985433513</v>
      </c>
      <c r="E69" s="1110">
        <f>IF(OR(E58&lt;0,'P&amp;L'!E16&lt;0)=TRUE,"NM",E58/('P&amp;L'!E16*4))</f>
        <v>0.61727847003235026</v>
      </c>
      <c r="F69" s="1110">
        <f>IF(OR(F58&lt;0,'P&amp;L'!F16&lt;0)=TRUE,"NM",F58/('P&amp;L'!F16*4))</f>
        <v>0.38071700212492343</v>
      </c>
      <c r="G69" s="1110">
        <f>IF(OR(G58&lt;0,'P&amp;L'!G16&lt;0)=TRUE,"NM",G58/('P&amp;L'!G16*4))</f>
        <v>0.10230709282776937</v>
      </c>
      <c r="H69" s="1110"/>
      <c r="I69" s="1110">
        <f>IF(OR(I58&lt;0,'P&amp;L'!I16&lt;0)=TRUE,"NM",I58/('P&amp;L'!I16*4))</f>
        <v>0.54733935477035578</v>
      </c>
      <c r="J69" s="1110">
        <f>IF(OR(J58&lt;0,'P&amp;L'!J16&lt;0)=TRUE,"NM",J58/('P&amp;L'!J16*4))</f>
        <v>0.31264965505251224</v>
      </c>
      <c r="K69" s="1110">
        <f>IF(OR(K58&lt;0,'P&amp;L'!K16&lt;0)=TRUE,"NM",K58/('P&amp;L'!K16*4))</f>
        <v>0.3559527841152143</v>
      </c>
      <c r="L69" s="1110">
        <f>IF(OR(L58&lt;0,'P&amp;L'!L16&lt;0)=TRUE,"NM",L58/('P&amp;L'!L16*4))</f>
        <v>0.56423890734724325</v>
      </c>
      <c r="M69" s="1110">
        <f>IF(OR(M58&lt;0,'P&amp;L'!M16&lt;0)=TRUE,"NM",M58/('P&amp;L'!M16*4))</f>
        <v>0.13308235503534027</v>
      </c>
      <c r="N69" s="68"/>
      <c r="O69" s="1110">
        <f>IF(OR(O58&lt;0,'P&amp;L'!O16&lt;0)=TRUE,"NM",O58/('P&amp;L'!O16*4))</f>
        <v>0.62929782433989501</v>
      </c>
      <c r="P69" s="1110">
        <f>IF(OR(P58&lt;0,'P&amp;L'!P16&lt;0)=TRUE,"NM",P58/('P&amp;L'!P16*4))</f>
        <v>0.36050555092858982</v>
      </c>
      <c r="Q69" s="1110">
        <f>IF(OR(Q58&lt;0,'P&amp;L'!Q16&lt;0)=TRUE,"NM",Q58/('P&amp;L'!Q16*4))</f>
        <v>0.14287993119902376</v>
      </c>
      <c r="R69" s="1110">
        <f>IF(OR(R58&lt;0,'P&amp;L'!R16&lt;0)=TRUE,"NM",R58/('P&amp;L'!R16*4))</f>
        <v>4.0046003207563442E-2</v>
      </c>
      <c r="S69" s="1110">
        <f>IF(OR(S58&lt;0,'P&amp;L'!S16&lt;0)=TRUE,"NM",S58/('P&amp;L'!S16*4))</f>
        <v>1.0628895450696176E-2</v>
      </c>
      <c r="T69" s="68"/>
      <c r="U69" s="1110">
        <f>IF(OR(U58&lt;0,'P&amp;L'!U16&lt;0)=TRUE,"NM",U58/('P&amp;L'!U16*4))</f>
        <v>0.16280160674761135</v>
      </c>
      <c r="V69" s="1110">
        <f>IF(OR(V58&lt;0,'P&amp;L'!V16&lt;0)=TRUE,"NM",V58/('P&amp;L'!V16*4))</f>
        <v>0.28176906646563643</v>
      </c>
      <c r="W69" s="1110">
        <f>IF(OR(W58&lt;0,'P&amp;L'!W16&lt;0)=TRUE,"NM",W58/('P&amp;L'!W16*4))</f>
        <v>0.15421805461265733</v>
      </c>
      <c r="X69" s="1110">
        <f>IF(OR(X58&lt;0,'P&amp;L'!X16&lt;0)=TRUE,"NM",X58/('P&amp;L'!X16*4))</f>
        <v>0.15514772678115699</v>
      </c>
      <c r="Y69" s="1110">
        <f>IF(OR(Y58&lt;0,'P&amp;L'!Y16&lt;0)=TRUE,"NM",Y58/('P&amp;L'!Y16*4))</f>
        <v>3.977868872459317E-2</v>
      </c>
      <c r="Z69" s="68"/>
      <c r="AA69" s="1110">
        <f>IF(OR(AA58&lt;0,'P&amp;L'!AA16&lt;0)=TRUE,"NM",AA58/('P&amp;L'!AA16*4))</f>
        <v>0.18935386116746727</v>
      </c>
      <c r="AB69" s="1110" t="str">
        <f>IF(OR(AB58&lt;0,'P&amp;L'!AB16&lt;0)=TRUE,"NM",AB58/('P&amp;L'!AB16*4))</f>
        <v>NM</v>
      </c>
      <c r="AC69" s="1110">
        <f>IF(OR(AC58&lt;0,'P&amp;L'!AC16&lt;0)=TRUE,"NM",AC58/('P&amp;L'!AC16*4))</f>
        <v>3.9350356858214899</v>
      </c>
      <c r="AD69" s="1110">
        <f>IF(OR(AD58&lt;0,'P&amp;L'!AD16&lt;0)=TRUE,"NM",AD58/('P&amp;L'!AD16*4))</f>
        <v>3.3667762633508667</v>
      </c>
      <c r="AE69" s="1110">
        <f>IF(OR(AE58&lt;0,'P&amp;L'!AE16&lt;0)=TRUE,"NM",AE58/('P&amp;L'!AE16*4))</f>
        <v>0.88368790691057597</v>
      </c>
      <c r="AF69" s="68"/>
      <c r="AG69" s="1110">
        <f>IF(OR(AG58&lt;0,'P&amp;L'!AG16&lt;0)=TRUE,"NM",AG58/('P&amp;L'!AG16*4))</f>
        <v>3.2084835231128879</v>
      </c>
      <c r="AH69" s="1110">
        <f>IF(OR(AH58&lt;0,'P&amp;L'!AH16&lt;0)=TRUE,"NM",AH58/('P&amp;L'!AH16*4))</f>
        <v>2.7875002501684478</v>
      </c>
      <c r="AI69" s="1110">
        <f>IF(OR(AI58&lt;0,'P&amp;L'!AI16&lt;0)=TRUE,"NM",AI58/('P&amp;L'!AI16*4))</f>
        <v>3.0446255877068915</v>
      </c>
      <c r="AJ69" s="1110">
        <f>IF(OR(AJ58&lt;0,'P&amp;L'!AJ16&lt;0)=TRUE,"NM",AJ58/('P&amp;L'!AJ16*4))</f>
        <v>2.5726993536406826</v>
      </c>
      <c r="AK69" s="1110">
        <f>IF(OR(AK58&lt;0,'P&amp;L'!AK16&lt;0)=TRUE,"NM",AK58/('P&amp;L'!AK16*4))</f>
        <v>0.65099877288195673</v>
      </c>
      <c r="AL69" s="68"/>
      <c r="AM69" s="1110">
        <f>IF(OR(AM58&lt;0,'P&amp;L'!AM16&lt;0)=TRUE,"NM",AM58/('P&amp;L'!AM16*4))</f>
        <v>2.8403637785884128</v>
      </c>
      <c r="AN69" s="1110">
        <f>IF(OR(AN58&lt;0,'P&amp;L'!AN16&lt;0)=TRUE,"NM",AN58/('P&amp;L'!AN16*4))</f>
        <v>2.3317477528443016</v>
      </c>
      <c r="AO69" s="1110">
        <f>IF(OR(AO58&lt;0,'P&amp;L'!AO16&lt;0)=TRUE,"NM",AO58/('P&amp;L'!AO16*4))</f>
        <v>2.4819091443397996</v>
      </c>
      <c r="AP69" s="1110">
        <f>IF(OR(AP58&lt;0,'P&amp;L'!AP16&lt;0)=TRUE,"NM",AP58/('P&amp;L'!AP16*4))</f>
        <v>2.4543253734689889</v>
      </c>
      <c r="AQ69" s="1110">
        <f>IF(OR(AQ58&lt;0,'P&amp;L'!AQ16&lt;0)=TRUE,"NM",AQ58/('P&amp;L'!AQ16*4))</f>
        <v>0.61403633329301399</v>
      </c>
      <c r="AR69" s="68"/>
      <c r="AS69" s="1110">
        <f>IF(OR(AS58&lt;0,'P&amp;L'!AS16&lt;0)=TRUE,"NM",AS58/('P&amp;L'!AS16*4))</f>
        <v>2.4637971805048871</v>
      </c>
      <c r="AT69" s="1110">
        <f>IF(OR(AT58&lt;0,'P&amp;L'!AT16&lt;0)=TRUE,"NM",AT58/('P&amp;L'!AT16*4))</f>
        <v>2.0076133275691705</v>
      </c>
      <c r="AU69" s="1110">
        <f>IF(OR(AU58&lt;0,'P&amp;L'!AU16&lt;0)=TRUE,"NM",AU58/('P&amp;L'!AU16*4))</f>
        <v>1.9992632944929587</v>
      </c>
      <c r="AV69" s="1110">
        <f>IF(OR(AV58&lt;0,'P&amp;L'!AV16&lt;0)=TRUE,"NM",AV58/('P&amp;L'!AV16*4))</f>
        <v>1.979136023533927</v>
      </c>
      <c r="AW69" s="1110">
        <f>IF(OR(AW58&lt;0,'P&amp;L'!AW16&lt;0)=TRUE,"NM",AW58/('P&amp;L'!AW16*4))</f>
        <v>0.46893056528297861</v>
      </c>
      <c r="AX69" s="68"/>
      <c r="AY69" s="1110">
        <f>IF(OR(AY58&lt;0,'P&amp;L'!AY16&lt;0)=TRUE,"NM",AY58/('P&amp;L'!AY16*4))</f>
        <v>2.2339737281401946</v>
      </c>
      <c r="AZ69" s="1110">
        <f>IF(OR(AZ58&lt;0,'P&amp;L'!AZ16&lt;0)=TRUE,"NM",AZ58/('P&amp;L'!AZ16*4))</f>
        <v>1.6981476340304769</v>
      </c>
      <c r="BA69" s="1110">
        <f>IF(OR(BA58&lt;0,'P&amp;L'!BA16&lt;0)=TRUE,"NM",BA58/('P&amp;L'!BA16*4))</f>
        <v>1.4796930768338721</v>
      </c>
      <c r="BB69" s="1110">
        <f>IF(OR(BB58&lt;0,'P&amp;L'!BB16&lt;0)=TRUE,"NM",BB58/('P&amp;L'!BB16*4))</f>
        <v>1.4851231190150476</v>
      </c>
      <c r="BC69" s="1110">
        <f>IF(OR(BC58&lt;0,'P&amp;L'!BC16&lt;0)=TRUE,"NM",BC58/('P&amp;L'!BC16*4))</f>
        <v>0.3617610452707396</v>
      </c>
      <c r="BD69" s="68"/>
      <c r="BE69" s="1110">
        <f>IF(OR(BE58&lt;0,'P&amp;L'!BE16&lt;0)=TRUE,"NM",BE58/('P&amp;L'!BE16*4))</f>
        <v>1.1099740932642488</v>
      </c>
      <c r="BF69" s="1110">
        <f>IF(OR(BF58&lt;0,'P&amp;L'!BF16&lt;0)=TRUE,"NM",BF58/('P&amp;L'!BF16*4))</f>
        <v>0.82386363636363624</v>
      </c>
      <c r="BG69" s="1110">
        <f>IF(OR(BG58&lt;0,'P&amp;L'!BG16&lt;0)=TRUE,"NM",BG58/('P&amp;L'!BG16*4))</f>
        <v>1.3784584980237153</v>
      </c>
      <c r="BH69" s="1110">
        <f>IF(OR(BH58&lt;0,'P&amp;L'!BH16&lt;0)=TRUE,"NM",BH58/('P&amp;L'!BH16*4))</f>
        <v>1.2164194915254234</v>
      </c>
      <c r="BI69" s="1110">
        <f>IF(OR(BI58&lt;0,'P&amp;L'!BI16&lt;0)=TRUE,"NM",BI58/('P&amp;L'!BI16*4))</f>
        <v>0.31180080373628755</v>
      </c>
      <c r="BJ69" s="68"/>
      <c r="BK69" s="1110">
        <f>IF(OR(BK58&lt;0,'P&amp;L'!BK16&lt;0)=TRUE,"NM",BK58/('P&amp;L'!BK16*4))</f>
        <v>1.6603747203579418</v>
      </c>
      <c r="BL69" s="1110">
        <f>IF(OR(BL58&lt;0,'P&amp;L'!BL16&lt;0)=TRUE,"NM",BL58/('P&amp;L'!BL16*4))</f>
        <v>1.4808882015024303</v>
      </c>
      <c r="BM69" s="1110">
        <f>IF(OR(BM58&lt;0,'P&amp;L'!BM16&lt;0)=TRUE,"NM",BM58/('P&amp;L'!BM16*4))</f>
        <v>1.285523613963039</v>
      </c>
      <c r="BN69" s="1110">
        <f>IF(OR(BN58&lt;0,'P&amp;L'!BN16&lt;0)=TRUE,"NM",BN58/('P&amp;L'!BN16*4))</f>
        <v>1.2218830928597852</v>
      </c>
      <c r="BO69" s="1110">
        <f>IF(OR(BO58&lt;0,'P&amp;L'!BO16&lt;0)=TRUE,"NM",BO58/('P&amp;L'!BO16*4))</f>
        <v>0.35942431167700506</v>
      </c>
      <c r="BP69" s="68"/>
      <c r="BQ69" s="1110">
        <f>IF(OR(BQ58&lt;0,'P&amp;L'!BQ16&lt;0)=TRUE,"NM",BQ58/('P&amp;L'!BQ16*4))</f>
        <v>1.7938982047869279</v>
      </c>
      <c r="BR69" s="1110">
        <f>IF(OR(BR58&lt;0,'P&amp;L'!BR16&lt;0)=TRUE,"NM",BR58/('P&amp;L'!BR16*4))</f>
        <v>1.4761747617181138</v>
      </c>
      <c r="BS69" s="1110">
        <f>IF(OR(BS58&lt;0,'P&amp;L'!BS16&lt;0)=TRUE,"NM",BS58/('P&amp;L'!BS16*4))</f>
        <v>1.3891608844046874</v>
      </c>
      <c r="BT69" s="1110">
        <f>IF(OR(BT58&lt;0,'P&amp;L'!BT16&lt;0)=TRUE,"NM",BT58/('P&amp;L'!BT16*4))</f>
        <v>1.2355484931537237</v>
      </c>
      <c r="BU69" s="1110">
        <f>IF(OR(BU58&lt;0,'P&amp;L'!BU16&lt;0)=TRUE,"NM",BU58/('P&amp;L'!BU16*4))</f>
        <v>0.3793819224484048</v>
      </c>
      <c r="BV69" s="68"/>
      <c r="BW69" s="1110">
        <f>IF(OR(BW58&lt;0,'P&amp;L'!BW16&lt;0)=TRUE,"NM",BW58/('P&amp;L'!BW16*4))</f>
        <v>1.3621473301856333</v>
      </c>
      <c r="BX69" s="1110">
        <f>IF(OR(BX58&lt;0,'P&amp;L'!BX16&lt;0)=TRUE,"NM",BX58/('P&amp;L'!BX16*4))</f>
        <v>1.249455535341025</v>
      </c>
      <c r="BY69" s="1110">
        <f>IF(OR(BY58&lt;0,'P&amp;L'!BY16&lt;0)=TRUE,"NM",BY58/('P&amp;L'!BY16*4))</f>
        <v>1.2957049188279828</v>
      </c>
      <c r="BZ69" s="1110">
        <f>IF(OR(BZ58&lt;0,'P&amp;L'!BZ16&lt;0)=TRUE,"NM",BZ58/('P&amp;L'!BZ16*4))</f>
        <v>1.2310142196029554</v>
      </c>
      <c r="CA69" s="1110">
        <f>IF(OR(CA58&lt;0,'P&amp;L'!CA16&lt;0)=TRUE,"NM",CA58/('P&amp;L'!CA16*4))</f>
        <v>0.33569334724812755</v>
      </c>
      <c r="CB69" s="68"/>
      <c r="CC69" s="1110">
        <f>IF(OR(CC58&lt;0,'P&amp;L'!CC16&lt;0)=TRUE,"NM",CC58/('P&amp;L'!CC16*4))</f>
        <v>1.2342971519657393</v>
      </c>
      <c r="CD69" s="1110">
        <f>IF(OR(CD58&lt;0,'P&amp;L'!CD16&lt;0)=TRUE,"NM",CD58/('P&amp;L'!CD16*4))</f>
        <v>1.1346299725998019</v>
      </c>
      <c r="CE69" s="1110">
        <f>IF(OR(CE58&lt;0,'P&amp;L'!CE16&lt;0)=TRUE,"NM",CE58/('P&amp;L'!CE16*4))</f>
        <v>1.162510568246526</v>
      </c>
      <c r="CF69" s="1110">
        <f>IF(OR(CF58&lt;0,'P&amp;L'!CF16&lt;0)=TRUE,"NM",CF58/('P&amp;L'!CF16*4))</f>
        <v>1.0916503489998735</v>
      </c>
      <c r="CG69" s="1110">
        <f>IF(OR(CG58&lt;0,'P&amp;L'!CG16&lt;0)=TRUE,"NM",CG58/('P&amp;L'!CG16*4))</f>
        <v>0.2982075322708595</v>
      </c>
      <c r="CH69" s="1110"/>
      <c r="CI69" s="1110"/>
      <c r="CJ69" s="1110"/>
      <c r="CK69"/>
      <c r="CL69"/>
      <c r="CM69"/>
      <c r="CN69"/>
      <c r="CO69"/>
      <c r="CP69"/>
    </row>
    <row r="70" spans="2:94" s="1102" customFormat="1" ht="11.25" customHeight="1" x14ac:dyDescent="0.2">
      <c r="B70" s="1109" t="s">
        <v>93</v>
      </c>
      <c r="C70" s="1110">
        <f>C57/(C52+C57)</f>
        <v>0.15567841311143427</v>
      </c>
      <c r="D70" s="1110">
        <f>D57/(D52+D57)</f>
        <v>0.14412651865165446</v>
      </c>
      <c r="E70" s="1110">
        <f>E57/(E52+E57)</f>
        <v>0.16124172241191556</v>
      </c>
      <c r="F70" s="1110">
        <f>F57/(F52+F57)</f>
        <v>0.15299967456778929</v>
      </c>
      <c r="G70" s="1110">
        <f>G57/(G52+G57)</f>
        <v>0.15299967456778929</v>
      </c>
      <c r="H70" s="1110"/>
      <c r="I70" s="1110">
        <f>I57/(I52+I57)</f>
        <v>0.16895524311367277</v>
      </c>
      <c r="J70" s="1110">
        <f>J57/(J52+J57)</f>
        <v>0.16267133203215592</v>
      </c>
      <c r="K70" s="1110">
        <f>K57/(K52+K57)</f>
        <v>0.1319426685941528</v>
      </c>
      <c r="L70" s="1110">
        <f>L57/(L52+L57)</f>
        <v>0.13704002043980959</v>
      </c>
      <c r="M70" s="1110">
        <f>M57/(M52+M57)</f>
        <v>0.13704002043980959</v>
      </c>
      <c r="N70" s="68"/>
      <c r="O70" s="1110">
        <f>O57/(O52+O57)</f>
        <v>0.14980654387961745</v>
      </c>
      <c r="P70" s="1110">
        <f>P57/(P52+P57)</f>
        <v>0.12652584097923836</v>
      </c>
      <c r="Q70" s="1110">
        <f>Q57/(Q52+Q57)</f>
        <v>0.1141455274026035</v>
      </c>
      <c r="R70" s="1110">
        <f>R57/(R52+R57)</f>
        <v>0.13193452145852833</v>
      </c>
      <c r="S70" s="1110">
        <f>S57/(S52+S57)</f>
        <v>0.13193452145852833</v>
      </c>
      <c r="T70" s="68"/>
      <c r="U70" s="1110">
        <f>U57/(U52+U57)</f>
        <v>0.13759038454541936</v>
      </c>
      <c r="V70" s="1110">
        <f>V57/(V52+V57)</f>
        <v>0.14513396308871482</v>
      </c>
      <c r="W70" s="1110">
        <f>W57/(W52+W57)</f>
        <v>0.15802216810169223</v>
      </c>
      <c r="X70" s="1110">
        <f>X57/(X52+X57)</f>
        <v>0.15809128309024942</v>
      </c>
      <c r="Y70" s="1110">
        <f>Y57/(Y52+Y57)</f>
        <v>0.15809128309024942</v>
      </c>
      <c r="Z70" s="68"/>
      <c r="AA70" s="1110">
        <f>AA57/(AA52+AA57)</f>
        <v>0.16185727049799162</v>
      </c>
      <c r="AB70" s="1110">
        <f>AB57/(AB52+AB57)</f>
        <v>0.15355799608149601</v>
      </c>
      <c r="AC70" s="1110">
        <f>AC57/(AC52+AC57)</f>
        <v>0.27566004816534279</v>
      </c>
      <c r="AD70" s="1110">
        <f>AD57/(AD52+AD57)</f>
        <v>0.27088032414055024</v>
      </c>
      <c r="AE70" s="1110">
        <f>AE57/(AE52+AE57)</f>
        <v>0.27088032414055024</v>
      </c>
      <c r="AF70" s="68"/>
      <c r="AG70" s="1110">
        <f>AG57/(AG52+AG57)</f>
        <v>0.26078594522807386</v>
      </c>
      <c r="AH70" s="1110">
        <f>AH57/(AH52+AH57)</f>
        <v>0.26148523048091532</v>
      </c>
      <c r="AI70" s="1110">
        <f>AI57/(AI52+AI57)</f>
        <v>0.24886176817767913</v>
      </c>
      <c r="AJ70" s="1110">
        <f>AJ57/(AJ52+AJ57)</f>
        <v>0.23424132123983279</v>
      </c>
      <c r="AK70" s="1110">
        <f>AK57/(AK52+AK57)</f>
        <v>0.23424132123983279</v>
      </c>
      <c r="AL70" s="68"/>
      <c r="AM70" s="1110">
        <f>AM57/(AM52+AM57)</f>
        <v>0.23705707821968447</v>
      </c>
      <c r="AN70" s="1110">
        <f>AN57/(AN52+AN57)</f>
        <v>0.24017572955667021</v>
      </c>
      <c r="AO70" s="1110">
        <f>AO57/(AO52+AO57)</f>
        <v>0.2227434293231122</v>
      </c>
      <c r="AP70" s="1110">
        <f>AP57/(AP52+AP57)</f>
        <v>0.22520909472211767</v>
      </c>
      <c r="AQ70" s="1110">
        <f>AQ57/(AQ52+AQ57)</f>
        <v>0.22520909472211767</v>
      </c>
      <c r="AR70" s="68"/>
      <c r="AS70" s="1110">
        <f>AS57/(AS52+AS57)</f>
        <v>0.22394004551054192</v>
      </c>
      <c r="AT70" s="1110">
        <f>AT57/(AT52+AT57)</f>
        <v>0.21230915586000756</v>
      </c>
      <c r="AU70" s="1110">
        <f>AU57/(AU52+AU57)</f>
        <v>0.20776057279298221</v>
      </c>
      <c r="AV70" s="1110">
        <f>AV57/(AV52+AV57)</f>
        <v>0.21394822631186258</v>
      </c>
      <c r="AW70" s="1110">
        <f>AW57/(AW52+AW57)</f>
        <v>0.21394822631186258</v>
      </c>
      <c r="AX70" s="68"/>
      <c r="AY70" s="1110">
        <f>AY57/(AY52+AY57)</f>
        <v>0.23225145168757153</v>
      </c>
      <c r="AZ70" s="1110">
        <f>AZ57/(AZ52+AZ57)</f>
        <v>0.21029728467667058</v>
      </c>
      <c r="BA70" s="1110">
        <f>BA57/(BA52+BA57)</f>
        <v>0.20785273424144821</v>
      </c>
      <c r="BB70" s="1110">
        <f>BB57/(BB52+BB57)</f>
        <v>0.20754139668826493</v>
      </c>
      <c r="BC70" s="1110">
        <f>BC57/(BC52+BC57)</f>
        <v>0.20754139668826493</v>
      </c>
      <c r="BD70" s="68"/>
      <c r="BE70" s="1110">
        <f>BE57/(BE52+BE57)</f>
        <v>9.174026620226397E-2</v>
      </c>
      <c r="BF70" s="1110">
        <f>BF57/(BF52+BF57)</f>
        <v>9.3532810892107965E-2</v>
      </c>
      <c r="BG70" s="1110">
        <f>BG57/(BG52+BG57)</f>
        <v>0.11716130175941381</v>
      </c>
      <c r="BH70" s="1110">
        <f>BH57/(BH52+BH57)</f>
        <v>0.11617873418105441</v>
      </c>
      <c r="BI70" s="1110">
        <f>BI57/(BI52+BI57)</f>
        <v>0.11617873418105441</v>
      </c>
      <c r="BJ70" s="68"/>
      <c r="BK70" s="1110">
        <f>BK57/(BK52+BK57)</f>
        <v>0.11797821191649931</v>
      </c>
      <c r="BL70" s="1110">
        <f>BL57/(BL52+BL57)</f>
        <v>0.12913660114456332</v>
      </c>
      <c r="BM70" s="1110">
        <f>BM57/(BM52+BM57)</f>
        <v>0.12651800547534925</v>
      </c>
      <c r="BN70" s="1110">
        <f>BN57/(BN52+BN57)</f>
        <v>0.13662389108037482</v>
      </c>
      <c r="BO70" s="1110">
        <f>BO57/(BO52+BO57)</f>
        <v>0.13662389108037482</v>
      </c>
      <c r="BP70" s="68"/>
      <c r="BQ70" s="1110">
        <f>BQ57/(BQ52+BQ57)</f>
        <v>0.13727933425462693</v>
      </c>
      <c r="BR70" s="1110">
        <f>BR57/(BR52+BR57)</f>
        <v>0.13737202704487761</v>
      </c>
      <c r="BS70" s="1110">
        <f>BS57/(BS52+BS57)</f>
        <v>0.13792814899201908</v>
      </c>
      <c r="BT70" s="1110">
        <f>BT57/(BT52+BT57)</f>
        <v>0.137168467486009</v>
      </c>
      <c r="BU70" s="1110">
        <f>BU57/(BU52+BU57)</f>
        <v>0.137168467486009</v>
      </c>
      <c r="BV70" s="68"/>
      <c r="BW70" s="1110">
        <f>BW57/(BW52+BW57)</f>
        <v>0.13849566084134474</v>
      </c>
      <c r="BX70" s="1110">
        <f>BX57/(BX52+BX57)</f>
        <v>0.13802393347926953</v>
      </c>
      <c r="BY70" s="1110">
        <f>BY57/(BY52+BY57)</f>
        <v>0.13837852615889057</v>
      </c>
      <c r="BZ70" s="1110">
        <f>BZ57/(BZ52+BZ57)</f>
        <v>0.13768900306676765</v>
      </c>
      <c r="CA70" s="1110">
        <f>CA57/(CA52+CA57)</f>
        <v>0.13768900306676765</v>
      </c>
      <c r="CB70" s="68"/>
      <c r="CC70" s="1110">
        <f>CC57/(CC52+CC57)</f>
        <v>0.1391573741214911</v>
      </c>
      <c r="CD70" s="1110">
        <f>CD57/(CD52+CD57)</f>
        <v>0.13848201006040997</v>
      </c>
      <c r="CE70" s="1110">
        <f>CE57/(CE52+CE57)</f>
        <v>0.13853803004108492</v>
      </c>
      <c r="CF70" s="1110">
        <f>CF57/(CF52+CF57)</f>
        <v>0.13750431430536844</v>
      </c>
      <c r="CG70" s="1110">
        <f>CG57/(CG52+CG57)</f>
        <v>0.13750431430536844</v>
      </c>
      <c r="CH70" s="1110"/>
      <c r="CI70" s="1110"/>
      <c r="CJ70" s="1110"/>
      <c r="CK70"/>
      <c r="CL70"/>
      <c r="CM70"/>
      <c r="CN70"/>
      <c r="CO70"/>
      <c r="CP70"/>
    </row>
    <row r="71" spans="2:94" s="1102" customFormat="1" ht="4.5" customHeight="1" x14ac:dyDescent="0.2">
      <c r="B71" s="1109"/>
      <c r="C71" s="183"/>
      <c r="D71" s="183"/>
      <c r="E71" s="183"/>
      <c r="F71" s="183"/>
      <c r="G71" s="183"/>
      <c r="H71" s="86"/>
      <c r="I71" s="183"/>
      <c r="J71" s="183"/>
      <c r="K71" s="183"/>
      <c r="L71" s="183"/>
      <c r="M71" s="183"/>
      <c r="N71" s="86"/>
      <c r="O71" s="183"/>
      <c r="P71" s="183"/>
      <c r="Q71" s="183"/>
      <c r="R71" s="183"/>
      <c r="S71" s="183"/>
      <c r="T71" s="86"/>
      <c r="U71" s="183"/>
      <c r="V71" s="183"/>
      <c r="W71" s="183"/>
      <c r="X71" s="183"/>
      <c r="Y71" s="183"/>
      <c r="Z71" s="86"/>
      <c r="AA71" s="183"/>
      <c r="AB71" s="183"/>
      <c r="AC71" s="183"/>
      <c r="AD71" s="183"/>
      <c r="AE71" s="183"/>
      <c r="AF71" s="86"/>
      <c r="AG71" s="183"/>
      <c r="AH71" s="183"/>
      <c r="AI71" s="183"/>
      <c r="AJ71" s="183"/>
      <c r="AK71" s="183"/>
      <c r="AL71" s="50"/>
      <c r="AM71" s="183"/>
      <c r="AN71" s="183"/>
      <c r="AO71" s="183"/>
      <c r="AP71" s="183"/>
      <c r="AQ71" s="183"/>
      <c r="AR71" s="50"/>
      <c r="AS71" s="183"/>
      <c r="AT71" s="183"/>
      <c r="AU71" s="183"/>
      <c r="AV71" s="183"/>
      <c r="AW71" s="183"/>
      <c r="AX71" s="50"/>
      <c r="AY71" s="183"/>
      <c r="AZ71" s="183"/>
      <c r="BA71" s="183"/>
      <c r="BB71" s="183"/>
      <c r="BC71" s="183"/>
      <c r="BD71" s="50"/>
      <c r="BE71" s="183"/>
      <c r="BF71" s="183"/>
      <c r="BG71" s="183"/>
      <c r="BH71" s="183"/>
      <c r="BI71" s="183"/>
      <c r="BJ71" s="50"/>
      <c r="BK71" s="183"/>
      <c r="BL71" s="183"/>
      <c r="BM71" s="183"/>
      <c r="BN71" s="183"/>
      <c r="BO71" s="183"/>
      <c r="BP71" s="50"/>
      <c r="BQ71" s="183"/>
      <c r="BR71" s="183"/>
      <c r="BS71" s="183"/>
      <c r="BT71" s="183"/>
      <c r="BU71" s="183"/>
      <c r="BV71" s="50"/>
      <c r="BW71" s="183"/>
      <c r="BX71" s="183"/>
      <c r="BY71" s="183"/>
      <c r="BZ71" s="183"/>
      <c r="CA71" s="183"/>
      <c r="CB71" s="50"/>
      <c r="CC71" s="183"/>
      <c r="CD71" s="183"/>
      <c r="CE71" s="183"/>
      <c r="CF71" s="183"/>
      <c r="CG71" s="183"/>
      <c r="CH71" s="193"/>
      <c r="CI71" s="193"/>
      <c r="CJ71" s="193"/>
      <c r="CK71"/>
      <c r="CL71"/>
      <c r="CM71"/>
      <c r="CN71"/>
      <c r="CO71"/>
      <c r="CP71"/>
    </row>
    <row r="72" spans="2:94" s="1102" customFormat="1" ht="11.25" customHeight="1" outlineLevel="1" x14ac:dyDescent="0.2">
      <c r="B72" s="1111" t="s">
        <v>94</v>
      </c>
      <c r="C72" s="68"/>
      <c r="D72" s="68"/>
      <c r="E72" s="68"/>
      <c r="F72" s="68"/>
      <c r="G72" s="68"/>
      <c r="H72" s="50"/>
      <c r="I72" s="68"/>
      <c r="J72" s="68"/>
      <c r="K72" s="68"/>
      <c r="L72" s="68"/>
      <c r="M72" s="68"/>
      <c r="N72" s="50"/>
      <c r="O72" s="68"/>
      <c r="P72" s="68"/>
      <c r="Q72" s="68"/>
      <c r="R72" s="68"/>
      <c r="S72" s="68"/>
      <c r="T72" s="50"/>
      <c r="U72" s="68"/>
      <c r="V72" s="68"/>
      <c r="W72" s="68"/>
      <c r="X72" s="68"/>
      <c r="Y72" s="68"/>
      <c r="Z72" s="50"/>
      <c r="AA72" s="68"/>
      <c r="AB72" s="68"/>
      <c r="AC72" s="68"/>
      <c r="AD72" s="68"/>
      <c r="AE72" s="68"/>
      <c r="AF72" s="50"/>
      <c r="AG72" s="68"/>
      <c r="AH72" s="68"/>
      <c r="AI72" s="68"/>
      <c r="AJ72" s="68"/>
      <c r="AK72" s="68"/>
      <c r="AL72" s="50"/>
      <c r="AM72" s="68"/>
      <c r="AN72" s="68"/>
      <c r="AO72" s="68"/>
      <c r="AP72" s="68"/>
      <c r="AQ72" s="68"/>
      <c r="AR72" s="50"/>
      <c r="AS72" s="68"/>
      <c r="AT72" s="68"/>
      <c r="AU72" s="68"/>
      <c r="AV72" s="68"/>
      <c r="AW72" s="68"/>
      <c r="AX72" s="50"/>
      <c r="AY72" s="68"/>
      <c r="AZ72" s="68"/>
      <c r="BA72" s="68"/>
      <c r="BB72" s="68"/>
      <c r="BC72" s="68"/>
      <c r="BD72" s="50"/>
      <c r="BE72" s="68"/>
      <c r="BF72" s="68"/>
      <c r="BG72" s="68"/>
      <c r="BH72" s="68"/>
      <c r="BI72" s="68"/>
      <c r="BJ72" s="50"/>
      <c r="BK72" s="68"/>
      <c r="BL72" s="68"/>
      <c r="BM72" s="68"/>
      <c r="BN72" s="68"/>
      <c r="BO72" s="68"/>
      <c r="BP72" s="50"/>
      <c r="BQ72" s="68"/>
      <c r="BR72" s="68"/>
      <c r="BS72" s="68"/>
      <c r="BT72" s="68"/>
      <c r="BU72" s="68"/>
      <c r="BV72" s="50"/>
      <c r="BW72" s="68"/>
      <c r="BX72" s="68"/>
      <c r="BY72" s="68"/>
      <c r="BZ72" s="68"/>
      <c r="CA72" s="68"/>
      <c r="CB72" s="50"/>
      <c r="CC72" s="68"/>
      <c r="CD72" s="68"/>
      <c r="CE72" s="68"/>
      <c r="CF72" s="68"/>
      <c r="CG72" s="68"/>
      <c r="CH72" s="68"/>
      <c r="CI72" s="68"/>
      <c r="CJ72" s="68"/>
      <c r="CK72"/>
      <c r="CL72"/>
      <c r="CM72"/>
      <c r="CN72"/>
      <c r="CO72"/>
      <c r="CP72"/>
    </row>
    <row r="73" spans="2:94" s="1102" customFormat="1" ht="11.25" customHeight="1" outlineLevel="1" x14ac:dyDescent="0.2">
      <c r="B73" s="1112" t="s">
        <v>95</v>
      </c>
      <c r="C73" s="1110">
        <f>C15/C31</f>
        <v>3.0809910181900522</v>
      </c>
      <c r="D73" s="1110">
        <f>D15/D31</f>
        <v>2.9880477540152879</v>
      </c>
      <c r="E73" s="1110">
        <f>E15/E31</f>
        <v>3.0207246493682116</v>
      </c>
      <c r="F73" s="1110">
        <f>F15/F31</f>
        <v>3.1433656305315743</v>
      </c>
      <c r="G73" s="1110">
        <f>G15/G31</f>
        <v>3.1433656305315743</v>
      </c>
      <c r="H73" s="1110"/>
      <c r="I73" s="1110">
        <f>I15/I31</f>
        <v>3.6807534338809589</v>
      </c>
      <c r="J73" s="1110">
        <f>J15/J31</f>
        <v>3.6309232371199256</v>
      </c>
      <c r="K73" s="1110">
        <f>K15/K31</f>
        <v>2.8756238037905972</v>
      </c>
      <c r="L73" s="1110">
        <f>L15/L31</f>
        <v>2.6387840938765756</v>
      </c>
      <c r="M73" s="1110">
        <f>M15/M31</f>
        <v>2.6387840938765756</v>
      </c>
      <c r="N73" s="1110"/>
      <c r="O73" s="1110">
        <f>O15/O31</f>
        <v>2.8654900831231247</v>
      </c>
      <c r="P73" s="1110">
        <f>P15/P31</f>
        <v>1.7485474002232029</v>
      </c>
      <c r="Q73" s="1110">
        <f>Q15/Q31</f>
        <v>1.867140339135793</v>
      </c>
      <c r="R73" s="1110">
        <f>R15/R31</f>
        <v>2.7393534222910048</v>
      </c>
      <c r="S73" s="1110">
        <f>S15/S31</f>
        <v>2.7393534222910048</v>
      </c>
      <c r="T73" s="1110"/>
      <c r="U73" s="1110">
        <f>U15/U31</f>
        <v>3.5990471391268493</v>
      </c>
      <c r="V73" s="1110">
        <f>V15/V31</f>
        <v>3.3788146686767542</v>
      </c>
      <c r="W73" s="1110">
        <f>W15/W31</f>
        <v>3.7837783309463733</v>
      </c>
      <c r="X73" s="1110">
        <f>X15/X31</f>
        <v>3.6519796384802725</v>
      </c>
      <c r="Y73" s="1110">
        <f>Y15/Y31</f>
        <v>3.6519796384802725</v>
      </c>
      <c r="Z73" s="1110"/>
      <c r="AA73" s="1110">
        <f>AA15/AA31</f>
        <v>3.9006218043098135</v>
      </c>
      <c r="AB73" s="1110">
        <f>AB15/AB31</f>
        <v>3.6066896516474376</v>
      </c>
      <c r="AC73" s="1110">
        <f>AC15/AC31</f>
        <v>2.125274776716489</v>
      </c>
      <c r="AD73" s="1110">
        <f>AD15/AD31</f>
        <v>1.3988962438870114</v>
      </c>
      <c r="AE73" s="1110">
        <f>AE15/AE31</f>
        <v>1.3988962438870114</v>
      </c>
      <c r="AF73" s="1110"/>
      <c r="AG73" s="1110">
        <f>AG15/AG31</f>
        <v>1.4086959695802173</v>
      </c>
      <c r="AH73" s="1110">
        <f>AH15/AH31</f>
        <v>1.4771151679423897</v>
      </c>
      <c r="AI73" s="1110">
        <f>AI15/AI31</f>
        <v>1.2001211837741299</v>
      </c>
      <c r="AJ73" s="1110">
        <f>AJ15/AJ31</f>
        <v>1.1975856345254259</v>
      </c>
      <c r="AK73" s="1110">
        <f>AK15/AK31</f>
        <v>1.1975856345254259</v>
      </c>
      <c r="AL73" s="1110"/>
      <c r="AM73" s="1110">
        <f>AM15/AM31</f>
        <v>1.4047060817149113</v>
      </c>
      <c r="AN73" s="1110">
        <f>AN15/AN31</f>
        <v>1.3137348910584259</v>
      </c>
      <c r="AO73" s="1110">
        <f>AO15/AO31</f>
        <v>1.4830283411848069</v>
      </c>
      <c r="AP73" s="1110">
        <f>AP15/AP31</f>
        <v>1.4362064527470315</v>
      </c>
      <c r="AQ73" s="1110">
        <f>AQ15/AQ31</f>
        <v>1.4362064527470315</v>
      </c>
      <c r="AR73" s="1110"/>
      <c r="AS73" s="1110">
        <f>AS15/AS31</f>
        <v>1.2427339613787223</v>
      </c>
      <c r="AT73" s="1110">
        <f>AT15/AT31</f>
        <v>1.3736657782081843</v>
      </c>
      <c r="AU73" s="1110">
        <f>AU15/AU31</f>
        <v>1.7121005650932715</v>
      </c>
      <c r="AV73" s="1110">
        <f>AV15/AV31</f>
        <v>1.8466030795970567</v>
      </c>
      <c r="AW73" s="1110">
        <f>AW15/AW31</f>
        <v>1.8466030795970567</v>
      </c>
      <c r="AX73" s="1110"/>
      <c r="AY73" s="1110">
        <f>AY15/AY31</f>
        <v>1.8132701149685799</v>
      </c>
      <c r="AZ73" s="1110">
        <f>AZ15/AZ31</f>
        <v>2.0724077569485115</v>
      </c>
      <c r="BA73" s="1110">
        <f>BA15/BA31</f>
        <v>1.2943004071137774</v>
      </c>
      <c r="BB73" s="1110">
        <f>BB15/BB31</f>
        <v>2.5140756302521008</v>
      </c>
      <c r="BC73" s="1110">
        <f>BC15/BC31</f>
        <v>2.5140756302521008</v>
      </c>
      <c r="BD73" s="1110"/>
      <c r="BE73" s="1110">
        <f>BE15/BE31</f>
        <v>2.1136736127370641</v>
      </c>
      <c r="BF73" s="1110">
        <f>BF15/BF31</f>
        <v>2.406089965397924</v>
      </c>
      <c r="BG73" s="1110">
        <f>BG15/BG31</f>
        <v>2.3910672552583745</v>
      </c>
      <c r="BH73" s="1110">
        <f>BH15/BH31</f>
        <v>2.4417639429312574</v>
      </c>
      <c r="BI73" s="1110">
        <f>BI15/BI31</f>
        <v>2.4417639429312574</v>
      </c>
      <c r="BJ73" s="1110"/>
      <c r="BK73" s="1110">
        <f>BK15/BK31</f>
        <v>2.3018060200668891</v>
      </c>
      <c r="BL73" s="1110">
        <f>BL15/BL31</f>
        <v>2.3427093007828046</v>
      </c>
      <c r="BM73" s="1110">
        <f>BM15/BM31</f>
        <v>2.3248467703913249</v>
      </c>
      <c r="BN73" s="1110">
        <f>BN15/BN31</f>
        <v>2.0979570455735987</v>
      </c>
      <c r="BO73" s="1110">
        <f>BO15/BO31</f>
        <v>2.0979570455735987</v>
      </c>
      <c r="BP73" s="1110"/>
      <c r="BQ73" s="1110">
        <f>BQ15/BQ31</f>
        <v>2.1344327827124312</v>
      </c>
      <c r="BR73" s="1110">
        <f>BR15/BR31</f>
        <v>2.1207678545350475</v>
      </c>
      <c r="BS73" s="1110">
        <f>BS15/BS31</f>
        <v>2.1672956173083997</v>
      </c>
      <c r="BT73" s="1110">
        <f>BT15/BT31</f>
        <v>2.1981718029373147</v>
      </c>
      <c r="BU73" s="1110">
        <f>BU15/BU31</f>
        <v>2.1981718029373147</v>
      </c>
      <c r="BV73" s="1110"/>
      <c r="BW73" s="1110">
        <f>BW15/BW31</f>
        <v>2.3108225646807132</v>
      </c>
      <c r="BX73" s="1110">
        <f>BX15/BX31</f>
        <v>2.2487366495574848</v>
      </c>
      <c r="BY73" s="1110">
        <f>BY15/BY31</f>
        <v>2.2436258877248405</v>
      </c>
      <c r="BZ73" s="1110">
        <f>BZ15/BZ31</f>
        <v>2.2262219240535592</v>
      </c>
      <c r="CA73" s="1110">
        <f>CA15/CA31</f>
        <v>2.2262219240535592</v>
      </c>
      <c r="CB73" s="1110"/>
      <c r="CC73" s="1110">
        <f>CC15/CC31</f>
        <v>2.4059977174876854</v>
      </c>
      <c r="CD73" s="1110">
        <f>CD15/CD31</f>
        <v>2.3690285668286029</v>
      </c>
      <c r="CE73" s="1110">
        <f>CE15/CE31</f>
        <v>2.3841118456114603</v>
      </c>
      <c r="CF73" s="1110">
        <f>CF15/CF31</f>
        <v>2.372747255735943</v>
      </c>
      <c r="CG73" s="1110">
        <f>CG15/CG31</f>
        <v>2.372747255735943</v>
      </c>
      <c r="CH73" s="1110"/>
      <c r="CI73" s="1110"/>
      <c r="CJ73" s="1110"/>
      <c r="CK73"/>
      <c r="CL73"/>
      <c r="CM73"/>
      <c r="CN73"/>
      <c r="CO73"/>
      <c r="CP73"/>
    </row>
    <row r="74" spans="2:94" s="1102" customFormat="1" ht="11.25" customHeight="1" outlineLevel="1" x14ac:dyDescent="0.2">
      <c r="B74" s="13" t="s">
        <v>96</v>
      </c>
      <c r="C74" s="1110">
        <f>(C9+C10+C11)/C31</f>
        <v>1.6903992754170125</v>
      </c>
      <c r="D74" s="1110">
        <f t="shared" ref="D74:AE74" si="23">(D9+D10+D11)/D31</f>
        <v>1.7285063986944944</v>
      </c>
      <c r="E74" s="1110">
        <f t="shared" si="23"/>
        <v>1.8198549708763159</v>
      </c>
      <c r="F74" s="1110">
        <f t="shared" si="23"/>
        <v>1.9971928005095845</v>
      </c>
      <c r="G74" s="1110">
        <f t="shared" si="23"/>
        <v>1.9971928005095845</v>
      </c>
      <c r="H74" s="1110"/>
      <c r="I74" s="1110">
        <f t="shared" si="23"/>
        <v>2.3609345542687854</v>
      </c>
      <c r="J74" s="1110">
        <f t="shared" si="23"/>
        <v>2.4411400628453657</v>
      </c>
      <c r="K74" s="1110">
        <f t="shared" si="23"/>
        <v>1.7459909420879347</v>
      </c>
      <c r="L74" s="1110">
        <f t="shared" si="23"/>
        <v>1.4543451808802041</v>
      </c>
      <c r="M74" s="1110">
        <f t="shared" si="23"/>
        <v>1.4543451808802041</v>
      </c>
      <c r="N74" s="1110"/>
      <c r="O74" s="1110">
        <f t="shared" si="23"/>
        <v>1.6118379899158293</v>
      </c>
      <c r="P74" s="1110">
        <f t="shared" si="23"/>
        <v>1.0321087633553654</v>
      </c>
      <c r="Q74" s="1110">
        <f t="shared" si="23"/>
        <v>1.1436738385692415</v>
      </c>
      <c r="R74" s="1110">
        <f t="shared" si="23"/>
        <v>1.7973708599141611</v>
      </c>
      <c r="S74" s="1110">
        <f t="shared" si="23"/>
        <v>1.7973708599141611</v>
      </c>
      <c r="T74" s="1110"/>
      <c r="U74" s="1110">
        <f t="shared" si="23"/>
        <v>2.3212148976132663</v>
      </c>
      <c r="V74" s="1110">
        <f t="shared" si="23"/>
        <v>2.1454925024970994</v>
      </c>
      <c r="W74" s="1110">
        <f t="shared" si="23"/>
        <v>2.560390097524381</v>
      </c>
      <c r="X74" s="1110">
        <f t="shared" si="23"/>
        <v>2.4572510837538282</v>
      </c>
      <c r="Y74" s="1110">
        <f t="shared" si="23"/>
        <v>2.4572510837538282</v>
      </c>
      <c r="Z74" s="1110"/>
      <c r="AA74" s="1110">
        <f t="shared" si="23"/>
        <v>2.6535685379726028</v>
      </c>
      <c r="AB74" s="1110">
        <f>(AB9+AB10+AB11)/AB31</f>
        <v>2.5007109235966225</v>
      </c>
      <c r="AC74" s="1110">
        <f>(AC9+AC10+AC11)/AC31</f>
        <v>1.0880143712855161</v>
      </c>
      <c r="AD74" s="1110">
        <f>(AD9+AD10+AD11)/AD31</f>
        <v>0.69721837439042733</v>
      </c>
      <c r="AE74" s="1110">
        <f t="shared" si="23"/>
        <v>0.69721837439042733</v>
      </c>
      <c r="AF74" s="1110"/>
      <c r="AG74" s="1110">
        <f>(AG9+AG10+AG11)/AG31</f>
        <v>0.66546169018090973</v>
      </c>
      <c r="AH74" s="1110">
        <f>(AH9+AH10+AH11)/AH31</f>
        <v>0.68890795679782046</v>
      </c>
      <c r="AI74" s="1110">
        <f>(AI9+AI10+AI11)/AI31</f>
        <v>0.55635151798622295</v>
      </c>
      <c r="AJ74" s="1110">
        <f>(AJ9+AJ10+AJ11)/AJ31</f>
        <v>0.56321972881502036</v>
      </c>
      <c r="AK74" s="1110">
        <f>(AK9+AK10+AK11)/AK31</f>
        <v>0.56321972881502036</v>
      </c>
      <c r="AL74" s="68"/>
      <c r="AM74" s="1110">
        <f>(AM9+AM10+AM11)/AM31</f>
        <v>0.63515157383815535</v>
      </c>
      <c r="AN74" s="1110">
        <f>(AN9+AN10+AN11)/AN31</f>
        <v>0.62432364152860664</v>
      </c>
      <c r="AO74" s="1110">
        <f>(AO9+AO10+AO11)/AO31</f>
        <v>0.7112342311407075</v>
      </c>
      <c r="AP74" s="1110">
        <f>(AP9+AP10+AP11)/AP31</f>
        <v>0.68778573715634572</v>
      </c>
      <c r="AQ74" s="1110">
        <f>(AQ9+AQ10+AQ11)/AQ31</f>
        <v>0.68778573715634572</v>
      </c>
      <c r="AR74" s="68"/>
      <c r="AS74" s="1110">
        <f>(AS9+AS10+AS11)/AS31</f>
        <v>0.57057344802707288</v>
      </c>
      <c r="AT74" s="1110">
        <f>(AT9+AT10+AT11)/AT31</f>
        <v>0.63689642745972597</v>
      </c>
      <c r="AU74" s="1110">
        <f>(AU9+AU10+AU11)/AU31</f>
        <v>0.78204089745142991</v>
      </c>
      <c r="AV74" s="1110">
        <f>(AV9+AV10+AV11)/AV31</f>
        <v>0.88464975091494313</v>
      </c>
      <c r="AW74" s="1110">
        <f>(AW9+AW10+AW11)/AW31</f>
        <v>0.88464975091494313</v>
      </c>
      <c r="AX74" s="68"/>
      <c r="AY74" s="1110">
        <f>(AY9+AY10+AY11)/AY31</f>
        <v>0.7713184443809844</v>
      </c>
      <c r="AZ74" s="1110">
        <f>(AZ9+AZ10+AZ11)/AZ31</f>
        <v>0.88743223600386967</v>
      </c>
      <c r="BA74" s="1110">
        <f>(BA9+BA10+BA11)/BA31</f>
        <v>0.71373473323334047</v>
      </c>
      <c r="BB74" s="1110">
        <f>(BB9+BB10+BB11)/BB31</f>
        <v>1.4380252100840334</v>
      </c>
      <c r="BC74" s="1110">
        <f>(BC9+BC10+BC11)/BC31</f>
        <v>1.4380252100840334</v>
      </c>
      <c r="BD74" s="68"/>
      <c r="BE74" s="1110">
        <f>(BE9+BE10+BE11)/BE31</f>
        <v>1.1101615546710375</v>
      </c>
      <c r="BF74" s="1110">
        <f>(BF9+BF10+BF11)/BF31</f>
        <v>1.3132179930795849</v>
      </c>
      <c r="BG74" s="1110">
        <f>(BG9+BG10+BG11)/BG31</f>
        <v>1.3019994806543755</v>
      </c>
      <c r="BH74" s="1110">
        <f>(BH9+BH10+BH11)/BH31</f>
        <v>1.3228274967574576</v>
      </c>
      <c r="BI74" s="1110">
        <f>(BI9+BI10+BI11)/BI31</f>
        <v>1.3228274967574576</v>
      </c>
      <c r="BJ74" s="68"/>
      <c r="BK74" s="1110">
        <f>(BK9+BK10+BK11)/BK31</f>
        <v>1.2868227424749163</v>
      </c>
      <c r="BL74" s="1110">
        <f>(BL9+BL10+BL11)/BL31</f>
        <v>1.2373623457609129</v>
      </c>
      <c r="BM74" s="1110">
        <f>(BM9+BM10+BM11)/BM31</f>
        <v>1.3017444601603019</v>
      </c>
      <c r="BN74" s="1110">
        <f>(BN9+BN10+BN11)/BN31</f>
        <v>1.1176532215819803</v>
      </c>
      <c r="BO74" s="1110">
        <f>(BO9+BO10+BO11)/BO31</f>
        <v>1.1176532215819803</v>
      </c>
      <c r="BP74" s="68"/>
      <c r="BQ74" s="1110">
        <f>(BQ9+BQ10+BQ11)/BQ31</f>
        <v>1.1609586800220886</v>
      </c>
      <c r="BR74" s="1110">
        <f>(BR9+BR10+BR11)/BR31</f>
        <v>1.0885066798495104</v>
      </c>
      <c r="BS74" s="1110">
        <f>(BS9+BS10+BS11)/BS31</f>
        <v>1.0972377341016708</v>
      </c>
      <c r="BT74" s="1110">
        <f>(BT9+BT10+BT11)/BT31</f>
        <v>1.0942280061095155</v>
      </c>
      <c r="BU74" s="1110">
        <f>(BU9+BU10+BU11)/BU31</f>
        <v>1.0942280061095155</v>
      </c>
      <c r="BV74" s="68"/>
      <c r="BW74" s="1110">
        <f>(BW9+BW10+BW11)/BW31</f>
        <v>1.2283983041354969</v>
      </c>
      <c r="BX74" s="1110">
        <f>(BX9+BX10+BX11)/BX31</f>
        <v>1.1331251505052788</v>
      </c>
      <c r="BY74" s="1110">
        <f>(BY9+BY10+BY11)/BY31</f>
        <v>1.125058653222446</v>
      </c>
      <c r="BZ74" s="1110">
        <f>(BZ9+BZ10+BZ11)/BZ31</f>
        <v>1.0954997432613054</v>
      </c>
      <c r="CA74" s="1110">
        <f>(CA9+CA10+CA11)/CA31</f>
        <v>1.0954997432613054</v>
      </c>
      <c r="CB74" s="68"/>
      <c r="CC74" s="1110">
        <f>(CC9+CC10+CC11)/CC31</f>
        <v>1.2789134631257288</v>
      </c>
      <c r="CD74" s="1110">
        <f>(CD9+CD10+CD11)/CD31</f>
        <v>1.2025986656287468</v>
      </c>
      <c r="CE74" s="1110">
        <f>(CE9+CE10+CE11)/CE31</f>
        <v>1.2140201839026716</v>
      </c>
      <c r="CF74" s="1110">
        <f>(CF9+CF10+CF11)/CF31</f>
        <v>1.1897615671751611</v>
      </c>
      <c r="CG74" s="1110">
        <f>(CG9+CG10+CG11)/CG31</f>
        <v>1.1897615671751611</v>
      </c>
      <c r="CH74" s="1110"/>
      <c r="CI74" s="1110"/>
      <c r="CJ74" s="1110"/>
      <c r="CK74"/>
      <c r="CL74"/>
      <c r="CM74"/>
      <c r="CN74"/>
      <c r="CO74"/>
      <c r="CP74"/>
    </row>
    <row r="75" spans="2:94" s="1102" customFormat="1" ht="11.25" customHeight="1" outlineLevel="1" x14ac:dyDescent="0.2">
      <c r="B75" s="611" t="s">
        <v>97</v>
      </c>
      <c r="C75" s="1110">
        <f>C9/C31</f>
        <v>0.39277681334440334</v>
      </c>
      <c r="D75" s="1110">
        <f>D9/D31</f>
        <v>0.23854333075667777</v>
      </c>
      <c r="E75" s="1110">
        <f>E9/E31</f>
        <v>0.43986688088134024</v>
      </c>
      <c r="F75" s="1110">
        <f>F9/F31</f>
        <v>0.54218321377928413</v>
      </c>
      <c r="G75" s="1110">
        <f>G9/G31</f>
        <v>0.54218321377928413</v>
      </c>
      <c r="H75" s="68"/>
      <c r="I75" s="1110">
        <f>I9/I31</f>
        <v>0.30521141933746299</v>
      </c>
      <c r="J75" s="1110">
        <f>J9/J31</f>
        <v>0.34848768740727559</v>
      </c>
      <c r="K75" s="1110">
        <f>K9/K31</f>
        <v>0.16034752563992585</v>
      </c>
      <c r="L75" s="1110">
        <f>L9/L31</f>
        <v>0.56670148515676666</v>
      </c>
      <c r="M75" s="1110">
        <f>M9/M31</f>
        <v>0.56670148515676666</v>
      </c>
      <c r="N75" s="68"/>
      <c r="O75" s="1110">
        <f>O9/O31</f>
        <v>0.65840672433206171</v>
      </c>
      <c r="P75" s="1110">
        <f>P9/P31</f>
        <v>0.42654358307380424</v>
      </c>
      <c r="Q75" s="1110">
        <f>Q9/Q31</f>
        <v>0.55225195973839214</v>
      </c>
      <c r="R75" s="1110">
        <f>R9/R31</f>
        <v>1.0130287297888227</v>
      </c>
      <c r="S75" s="1110">
        <f>S9/S31</f>
        <v>1.0130287297888227</v>
      </c>
      <c r="T75" s="68"/>
      <c r="U75" s="1110">
        <f>U9/U31</f>
        <v>1.2369386290408781</v>
      </c>
      <c r="V75" s="1110">
        <f>V9/V31</f>
        <v>1.0557520147406427</v>
      </c>
      <c r="W75" s="1110">
        <f>W9/W31</f>
        <v>1.5181153242856167</v>
      </c>
      <c r="X75" s="1110">
        <f>X9/X31</f>
        <v>1.4997264580342189</v>
      </c>
      <c r="Y75" s="1110">
        <f>Y9/Y31</f>
        <v>1.4997264580342189</v>
      </c>
      <c r="Z75" s="68"/>
      <c r="AA75" s="1110">
        <f>AA9/AA31</f>
        <v>1.5890787848988011</v>
      </c>
      <c r="AB75" s="1110">
        <f>AB9/AB31</f>
        <v>1.5605702257763234</v>
      </c>
      <c r="AC75" s="1110">
        <f>AC9/AC31</f>
        <v>0.15967964984620303</v>
      </c>
      <c r="AD75" s="1110">
        <f>AD9/AD31</f>
        <v>0.10651964649973117</v>
      </c>
      <c r="AE75" s="1110">
        <f>AE9/AE31</f>
        <v>0.10651964649973117</v>
      </c>
      <c r="AF75" s="68"/>
      <c r="AG75" s="1110">
        <f>AG9/AG31</f>
        <v>8.4767074940558407E-2</v>
      </c>
      <c r="AH75" s="1110">
        <f>AH9/AH31</f>
        <v>7.1117063149973542E-2</v>
      </c>
      <c r="AI75" s="1110">
        <f>AI9/AI31</f>
        <v>5.9608597669869541E-2</v>
      </c>
      <c r="AJ75" s="1110">
        <f>AJ9/AJ31</f>
        <v>8.6369613485955274E-2</v>
      </c>
      <c r="AK75" s="1110">
        <f>AK9/AK31</f>
        <v>8.6369613485955274E-2</v>
      </c>
      <c r="AL75" s="68"/>
      <c r="AM75" s="1110">
        <f>AM9/AM31</f>
        <v>6.80287835964965E-2</v>
      </c>
      <c r="AN75" s="1110">
        <f>AN9/AN31</f>
        <v>6.4029911914800522E-2</v>
      </c>
      <c r="AO75" s="1110">
        <f>AO9/AO31</f>
        <v>6.5149872485887952E-2</v>
      </c>
      <c r="AP75" s="1110">
        <f>AP9/AP31</f>
        <v>9.4115431219039911E-2</v>
      </c>
      <c r="AQ75" s="1110">
        <f>AQ9/AQ31</f>
        <v>9.4115431219039911E-2</v>
      </c>
      <c r="AR75" s="68"/>
      <c r="AS75" s="1110">
        <f>AS9/AS31</f>
        <v>5.7654897534332131E-2</v>
      </c>
      <c r="AT75" s="1110">
        <f>AT9/AT31</f>
        <v>7.4621586975027021E-2</v>
      </c>
      <c r="AU75" s="1110">
        <f>AU9/AU31</f>
        <v>0.13287655754598882</v>
      </c>
      <c r="AV75" s="1110">
        <f>AV9/AV31</f>
        <v>0.23193980342476572</v>
      </c>
      <c r="AW75" s="1110">
        <f>AW9/AW31</f>
        <v>0.23193980342476572</v>
      </c>
      <c r="AX75" s="68"/>
      <c r="AY75" s="1110">
        <f>AY9/AY31</f>
        <v>0.15203079931040006</v>
      </c>
      <c r="AZ75" s="1110">
        <f>AZ9/AZ31</f>
        <v>0.15738376731112136</v>
      </c>
      <c r="BA75" s="1110">
        <f>BA9/BA31</f>
        <v>0.25326762374116135</v>
      </c>
      <c r="BB75" s="1110">
        <f>BB9/BB31</f>
        <v>0.59789915966386553</v>
      </c>
      <c r="BC75" s="1110">
        <f>BC9/BC31</f>
        <v>0.59789915966386553</v>
      </c>
      <c r="BD75" s="68"/>
      <c r="BE75" s="1110">
        <f>BE9/BE31</f>
        <v>0.37824865371107474</v>
      </c>
      <c r="BF75" s="1110">
        <f>BF9/BF31</f>
        <v>0.43128027681660902</v>
      </c>
      <c r="BG75" s="1110">
        <f>BG9/BG31</f>
        <v>0.42936899506621656</v>
      </c>
      <c r="BH75" s="1110">
        <f>BH9/BH31</f>
        <v>0.49792477302204918</v>
      </c>
      <c r="BI75" s="1110">
        <f>BI9/BI31</f>
        <v>0.49792477302204918</v>
      </c>
      <c r="BJ75" s="68"/>
      <c r="BK75" s="1110">
        <f>BK9/BK31</f>
        <v>0.48602006688963206</v>
      </c>
      <c r="BL75" s="1110">
        <f>BL9/BL31</f>
        <v>0.35610985803370038</v>
      </c>
      <c r="BM75" s="1110">
        <f>BM9/BM31</f>
        <v>0.43611504007543611</v>
      </c>
      <c r="BN75" s="1110">
        <f>BN9/BN31</f>
        <v>0.33588266107909903</v>
      </c>
      <c r="BO75" s="1110">
        <f>BO9/BO31</f>
        <v>0.33588266107909903</v>
      </c>
      <c r="BP75" s="68"/>
      <c r="BQ75" s="1110">
        <f>BQ9/BQ31</f>
        <v>0.45870101115190753</v>
      </c>
      <c r="BR75" s="1110">
        <f>BR9/BR31</f>
        <v>0.3548522782944718</v>
      </c>
      <c r="BS75" s="1110">
        <f>BS9/BS31</f>
        <v>0.25772100395052722</v>
      </c>
      <c r="BT75" s="1110">
        <f>BT9/BT31</f>
        <v>0.24083562641656867</v>
      </c>
      <c r="BU75" s="1110">
        <f>BU9/BU31</f>
        <v>0.24083562641656867</v>
      </c>
      <c r="BV75" s="68"/>
      <c r="BW75" s="1110">
        <f>BW9/BW31</f>
        <v>0.45856010685530724</v>
      </c>
      <c r="BX75" s="1110">
        <f>BX9/BX31</f>
        <v>0.35385127770481173</v>
      </c>
      <c r="BY75" s="1110">
        <f>BY9/BY31</f>
        <v>0.26499424563855944</v>
      </c>
      <c r="BZ75" s="1110">
        <f>BZ9/BZ31</f>
        <v>0.2411292407162185</v>
      </c>
      <c r="CA75" s="1110">
        <f>CA9/CA31</f>
        <v>0.2411292407162185</v>
      </c>
      <c r="CB75" s="68"/>
      <c r="CC75" s="1110">
        <f>CC9/CC31</f>
        <v>0.49144970674528837</v>
      </c>
      <c r="CD75" s="1110">
        <f>CD9/CD31</f>
        <v>0.39961136065008701</v>
      </c>
      <c r="CE75" s="1110">
        <f>CE9/CE31</f>
        <v>0.32756350291081177</v>
      </c>
      <c r="CF75" s="1110">
        <f>CF9/CF31</f>
        <v>0.30908853573587763</v>
      </c>
      <c r="CG75" s="1110">
        <f>CG9/CG31</f>
        <v>0.30908853573587763</v>
      </c>
      <c r="CH75" s="1110"/>
      <c r="CI75" s="1110"/>
      <c r="CJ75" s="1110"/>
      <c r="CK75"/>
      <c r="CL75"/>
      <c r="CM75"/>
      <c r="CN75"/>
      <c r="CO75"/>
      <c r="CP75"/>
    </row>
    <row r="76" spans="2:94" s="1102" customFormat="1" ht="11.25" customHeight="1" outlineLevel="1" x14ac:dyDescent="0.2">
      <c r="B76" s="13" t="s">
        <v>98</v>
      </c>
      <c r="C76" s="1110">
        <f>(C15-C12)/C31</f>
        <v>2.146894105215488</v>
      </c>
      <c r="D76" s="1110">
        <f>(D15-D12)/D31</f>
        <v>2.1296298204929998</v>
      </c>
      <c r="E76" s="1110">
        <f>(E15-E12)/E31</f>
        <v>2.1614146852843206</v>
      </c>
      <c r="F76" s="1110">
        <f>(F15-F12)/F31</f>
        <v>2.3174280034953942</v>
      </c>
      <c r="G76" s="1110">
        <f>(G15-G12)/G31</f>
        <v>2.3174280034953942</v>
      </c>
      <c r="H76" s="68"/>
      <c r="I76" s="1110">
        <f>(I15-I12)/I31</f>
        <v>2.7349818206302183</v>
      </c>
      <c r="J76" s="1110">
        <f>(J15-J12)/J31</f>
        <v>2.762284180230433</v>
      </c>
      <c r="K76" s="1110">
        <f>(K15-K12)/K31</f>
        <v>2.0510017837756291</v>
      </c>
      <c r="L76" s="1110">
        <f>(L15-L12)/L31</f>
        <v>1.7883471033053489</v>
      </c>
      <c r="M76" s="1110">
        <f>(M15-M12)/M31</f>
        <v>1.7883471033053489</v>
      </c>
      <c r="N76" s="68"/>
      <c r="O76" s="1110">
        <f>(O15-O12)/O31</f>
        <v>1.9516623170316574</v>
      </c>
      <c r="P76" s="1110">
        <f>(P15-P12)/P31</f>
        <v>1.224525946962961</v>
      </c>
      <c r="Q76" s="1110">
        <f>(Q15-Q12)/Q31</f>
        <v>1.3508395565657032</v>
      </c>
      <c r="R76" s="1110">
        <f>(R15-R12)/R31</f>
        <v>2.0833280846507525</v>
      </c>
      <c r="S76" s="1110">
        <f>(S15-S12)/S31</f>
        <v>2.0833280846507525</v>
      </c>
      <c r="T76" s="68"/>
      <c r="U76" s="1110">
        <f>(U15-U12)/U31</f>
        <v>2.6791760196680254</v>
      </c>
      <c r="V76" s="1110">
        <f>(V15-V12)/V31</f>
        <v>2.4966281399864751</v>
      </c>
      <c r="W76" s="1110">
        <f>(W15-W12)/W31</f>
        <v>2.8799415763031671</v>
      </c>
      <c r="X76" s="1110">
        <f>(X15-X12)/X31</f>
        <v>2.7945908117670251</v>
      </c>
      <c r="Y76" s="1110">
        <f>(Y15-Y12)/Y31</f>
        <v>2.7945908117670251</v>
      </c>
      <c r="Z76" s="68"/>
      <c r="AA76" s="1110">
        <f>(AA15-AA12)/AA31</f>
        <v>2.982743618287842</v>
      </c>
      <c r="AB76" s="1110">
        <f>(AB15-AB12)/AB31</f>
        <v>2.8232797275257537</v>
      </c>
      <c r="AC76" s="1110">
        <f>(AC15-AC12)/AC31</f>
        <v>1.3615993321487296</v>
      </c>
      <c r="AD76" s="1110">
        <f>(AD15-AD12)/AD31</f>
        <v>0.89927534930870212</v>
      </c>
      <c r="AE76" s="1110">
        <f>(AE15-AE12)/AE31</f>
        <v>0.89927534930870212</v>
      </c>
      <c r="AF76" s="68"/>
      <c r="AG76" s="1110">
        <f>(AG15-AG12)/AG31</f>
        <v>0.90138240843416373</v>
      </c>
      <c r="AH76" s="1110">
        <f>(AH15-AH12)/AH31</f>
        <v>0.93823066734562666</v>
      </c>
      <c r="AI76" s="1110">
        <f>(AI15-AI12)/AI31</f>
        <v>0.75798962496810907</v>
      </c>
      <c r="AJ76" s="1110">
        <f>(AJ15-AJ12)/AJ31</f>
        <v>0.76328008795188462</v>
      </c>
      <c r="AK76" s="1110">
        <f>(AK15-AK12)/AK31</f>
        <v>0.76328008795188462</v>
      </c>
      <c r="AL76" s="68"/>
      <c r="AM76" s="1110">
        <f>(AM15-AM12)/AM31</f>
        <v>0.89985051412248107</v>
      </c>
      <c r="AN76" s="1110">
        <f>(AN15-AN12)/AN31</f>
        <v>0.82734178067964259</v>
      </c>
      <c r="AO76" s="1110">
        <f>(AO15-AO12)/AO31</f>
        <v>0.90651151485221038</v>
      </c>
      <c r="AP76" s="1110">
        <f>(AP15-AP12)/AP31</f>
        <v>0.88553311443298288</v>
      </c>
      <c r="AQ76" s="1110">
        <f>(AQ15-AQ12)/AQ31</f>
        <v>0.88553311443298288</v>
      </c>
      <c r="AR76" s="68"/>
      <c r="AS76" s="1110">
        <f>(AS15-AS12)/AS31</f>
        <v>0.77234698370761712</v>
      </c>
      <c r="AT76" s="1110">
        <f>(AT15-AT12)/AT31</f>
        <v>0.85910774074565754</v>
      </c>
      <c r="AU76" s="1110">
        <f>(AU15-AU12)/AU31</f>
        <v>1.136953778338045</v>
      </c>
      <c r="AV76" s="1110">
        <f>(AV15-AV12)/AV31</f>
        <v>1.2543452184237254</v>
      </c>
      <c r="AW76" s="1110">
        <f>(AW15-AW12)/AW31</f>
        <v>1.2543452184237254</v>
      </c>
      <c r="AX76" s="68"/>
      <c r="AY76" s="1110">
        <f>(AY15-AY12)/AY31</f>
        <v>1.238959072757025</v>
      </c>
      <c r="AZ76" s="1110">
        <f>(AZ15-AZ12)/AZ31</f>
        <v>1.4609289479308225</v>
      </c>
      <c r="BA76" s="1110">
        <f>(BA15-BA12)/BA31</f>
        <v>0.90722091279194328</v>
      </c>
      <c r="BB76" s="1110">
        <f>(BB15-BB12)/BB31</f>
        <v>1.7989495798319326</v>
      </c>
      <c r="BC76" s="1110">
        <f>(BC15-BC12)/BC31</f>
        <v>1.7989495798319326</v>
      </c>
      <c r="BD76" s="68"/>
      <c r="BE76" s="1110">
        <f>(BE15-BE12)/BE31</f>
        <v>1.455630999765863</v>
      </c>
      <c r="BF76" s="1110">
        <f>(BF15-BF12)/BF31</f>
        <v>1.6820761245674742</v>
      </c>
      <c r="BG76" s="1110">
        <f>(BG15-BG12)/BG31</f>
        <v>1.6686574915606336</v>
      </c>
      <c r="BH76" s="1110">
        <f>(BH15-BH12)/BH31</f>
        <v>1.7710765239948116</v>
      </c>
      <c r="BI76" s="1110">
        <f>(BI15-BI12)/BI31</f>
        <v>1.7710765239948116</v>
      </c>
      <c r="BJ76" s="68"/>
      <c r="BK76" s="1110">
        <f>(BK15-BK12)/BK31</f>
        <v>1.5458193979933108</v>
      </c>
      <c r="BL76" s="1110">
        <f>(BL15-BL12)/BL31</f>
        <v>1.5508823139180046</v>
      </c>
      <c r="BM76" s="1110">
        <f>(BM15-BM12)/BM31</f>
        <v>1.5888731730315888</v>
      </c>
      <c r="BN76" s="1110">
        <f>(BN15-BN12)/BN31</f>
        <v>1.4451545311681511</v>
      </c>
      <c r="BO76" s="1110">
        <f>(BO15-BO12)/BO31</f>
        <v>1.4451545311681511</v>
      </c>
      <c r="BP76" s="68"/>
      <c r="BQ76" s="1110">
        <f>(BQ15-BQ12)/BQ31</f>
        <v>1.4572536964769047</v>
      </c>
      <c r="BR76" s="1110">
        <f>(BR15-BR12)/BR31</f>
        <v>1.4119653077989647</v>
      </c>
      <c r="BS76" s="1110">
        <f>(BS15-BS12)/BS31</f>
        <v>1.4368092259129563</v>
      </c>
      <c r="BT76" s="1110">
        <f>(BT15-BT12)/BT31</f>
        <v>1.4463748440787192</v>
      </c>
      <c r="BU76" s="1110">
        <f>(BU15-BU12)/BU31</f>
        <v>1.4463748440787192</v>
      </c>
      <c r="BV76" s="68"/>
      <c r="BW76" s="1110">
        <f>(BW15-BW12)/BW31</f>
        <v>1.576407352221062</v>
      </c>
      <c r="BX76" s="1110">
        <f>(BX15-BX12)/BX31</f>
        <v>1.5012376391043718</v>
      </c>
      <c r="BY76" s="1110">
        <f>(BY15-BY12)/BY31</f>
        <v>1.4977901266421128</v>
      </c>
      <c r="BZ76" s="1110">
        <f>(BZ15-BZ12)/BZ31</f>
        <v>1.473232372577808</v>
      </c>
      <c r="CA76" s="1110">
        <f>(CA15-CA12)/CA31</f>
        <v>1.473232372577808</v>
      </c>
      <c r="CB76" s="68"/>
      <c r="CC76" s="1110">
        <f>(CC15-CC12)/CC31</f>
        <v>1.662840998047773</v>
      </c>
      <c r="CD76" s="1110">
        <f>(CD15-CD12)/CD31</f>
        <v>1.607200491975169</v>
      </c>
      <c r="CE76" s="1110">
        <f>(CE15-CE12)/CE31</f>
        <v>1.6238007251927515</v>
      </c>
      <c r="CF76" s="1110">
        <f>(CF15-CF12)/CF31</f>
        <v>1.6050804497039772</v>
      </c>
      <c r="CG76" s="1110">
        <f>(CG15-CG12)/CG31</f>
        <v>1.6050804497039772</v>
      </c>
      <c r="CH76" s="1110"/>
      <c r="CI76" s="1110"/>
      <c r="CJ76" s="1110"/>
      <c r="CK76"/>
      <c r="CL76"/>
      <c r="CM76"/>
      <c r="CN76"/>
      <c r="CO76"/>
      <c r="CP76"/>
    </row>
    <row r="77" spans="2:94" s="1102" customFormat="1" ht="4.5" customHeight="1" outlineLevel="1" x14ac:dyDescent="0.2">
      <c r="B77" s="611"/>
      <c r="C77" s="183"/>
      <c r="D77" s="183"/>
      <c r="E77" s="183"/>
      <c r="F77" s="183"/>
      <c r="G77" s="183"/>
      <c r="H77" s="86"/>
      <c r="I77" s="183"/>
      <c r="J77" s="183"/>
      <c r="K77" s="183"/>
      <c r="L77" s="183"/>
      <c r="M77" s="183"/>
      <c r="N77" s="86"/>
      <c r="O77" s="183"/>
      <c r="P77" s="183"/>
      <c r="Q77" s="183"/>
      <c r="R77" s="183"/>
      <c r="S77" s="183"/>
      <c r="T77" s="86"/>
      <c r="U77" s="183"/>
      <c r="V77" s="183"/>
      <c r="W77" s="183"/>
      <c r="X77" s="183"/>
      <c r="Y77" s="183"/>
      <c r="Z77" s="86"/>
      <c r="AA77" s="122"/>
      <c r="AB77" s="183"/>
      <c r="AC77" s="183"/>
      <c r="AD77" s="183"/>
      <c r="AE77" s="166"/>
      <c r="AF77" s="86"/>
      <c r="AG77" s="122"/>
      <c r="AH77" s="183"/>
      <c r="AI77" s="183"/>
      <c r="AJ77" s="183"/>
      <c r="AK77" s="166"/>
      <c r="AL77" s="69"/>
      <c r="AM77" s="122"/>
      <c r="AN77" s="122"/>
      <c r="AO77" s="183"/>
      <c r="AP77" s="183"/>
      <c r="AQ77" s="166"/>
      <c r="AR77" s="69"/>
      <c r="AS77" s="122"/>
      <c r="AT77" s="122"/>
      <c r="AU77" s="122"/>
      <c r="AV77" s="183"/>
      <c r="AW77" s="166"/>
      <c r="AX77" s="69"/>
      <c r="AY77" s="122"/>
      <c r="AZ77" s="122"/>
      <c r="BA77" s="122"/>
      <c r="BB77" s="183"/>
      <c r="BC77" s="166"/>
      <c r="BD77" s="69"/>
      <c r="BE77" s="122"/>
      <c r="BF77" s="122"/>
      <c r="BG77" s="122"/>
      <c r="BH77" s="122"/>
      <c r="BI77" s="166"/>
      <c r="BJ77" s="69"/>
      <c r="BK77" s="122"/>
      <c r="BL77" s="122"/>
      <c r="BM77" s="122"/>
      <c r="BN77" s="122"/>
      <c r="BO77" s="166"/>
      <c r="BP77" s="69"/>
      <c r="BQ77" s="122"/>
      <c r="BR77" s="122"/>
      <c r="BS77" s="122"/>
      <c r="BT77" s="122"/>
      <c r="BU77" s="166"/>
      <c r="BV77" s="69"/>
      <c r="BW77" s="122"/>
      <c r="BX77" s="122"/>
      <c r="BY77" s="122"/>
      <c r="BZ77" s="122"/>
      <c r="CA77" s="166"/>
      <c r="CB77" s="69"/>
      <c r="CC77" s="122"/>
      <c r="CD77" s="122"/>
      <c r="CE77" s="122"/>
      <c r="CF77" s="122"/>
      <c r="CG77" s="166"/>
      <c r="CH77" s="166"/>
      <c r="CI77" s="166"/>
      <c r="CJ77" s="166"/>
      <c r="CK77"/>
      <c r="CL77"/>
      <c r="CM77"/>
      <c r="CN77"/>
      <c r="CO77"/>
      <c r="CP77"/>
    </row>
    <row r="78" spans="2:94" s="1102" customFormat="1" ht="11.25" customHeight="1" x14ac:dyDescent="0.2">
      <c r="B78" s="1111" t="s">
        <v>99</v>
      </c>
      <c r="C78" s="68"/>
      <c r="D78" s="68"/>
      <c r="E78" s="68"/>
      <c r="F78" s="68"/>
      <c r="G78" s="68"/>
      <c r="H78" s="50"/>
      <c r="I78" s="68"/>
      <c r="J78" s="68"/>
      <c r="K78" s="68"/>
      <c r="L78" s="68"/>
      <c r="M78" s="68"/>
      <c r="N78" s="50"/>
      <c r="O78" s="68"/>
      <c r="P78" s="68"/>
      <c r="Q78" s="68"/>
      <c r="R78" s="68"/>
      <c r="S78" s="68"/>
      <c r="T78" s="50"/>
      <c r="U78" s="68"/>
      <c r="V78" s="68"/>
      <c r="W78" s="68"/>
      <c r="X78" s="68"/>
      <c r="Y78" s="68"/>
      <c r="Z78" s="50"/>
      <c r="AA78" s="68"/>
      <c r="AB78" s="68"/>
      <c r="AC78" s="68"/>
      <c r="AD78" s="68"/>
      <c r="AE78" s="68"/>
      <c r="AF78" s="50"/>
      <c r="AG78" s="68"/>
      <c r="AH78" s="68"/>
      <c r="AI78" s="68"/>
      <c r="AJ78" s="68"/>
      <c r="AK78" s="68"/>
      <c r="AL78" s="50"/>
      <c r="AM78" s="68"/>
      <c r="AN78" s="68"/>
      <c r="AO78" s="68"/>
      <c r="AP78" s="68"/>
      <c r="AQ78" s="68"/>
      <c r="AR78" s="50"/>
      <c r="AS78" s="68"/>
      <c r="AT78" s="68"/>
      <c r="AU78" s="68"/>
      <c r="AV78" s="68"/>
      <c r="AW78" s="68"/>
      <c r="AX78" s="50"/>
      <c r="AY78" s="68"/>
      <c r="AZ78" s="68"/>
      <c r="BA78" s="68"/>
      <c r="BB78" s="68"/>
      <c r="BC78" s="68"/>
      <c r="BD78" s="50"/>
      <c r="BE78" s="68"/>
      <c r="BF78" s="68"/>
      <c r="BG78" s="68"/>
      <c r="BH78" s="68"/>
      <c r="BI78" s="68"/>
      <c r="BJ78" s="50"/>
      <c r="BK78" s="68"/>
      <c r="BL78" s="68"/>
      <c r="BM78" s="68"/>
      <c r="BN78" s="68"/>
      <c r="BO78" s="68"/>
      <c r="BP78" s="50"/>
      <c r="BQ78" s="68"/>
      <c r="BR78" s="68"/>
      <c r="BS78" s="68"/>
      <c r="BT78" s="68"/>
      <c r="BU78" s="68"/>
      <c r="BV78" s="50"/>
      <c r="BW78" s="68"/>
      <c r="BX78" s="68"/>
      <c r="BY78" s="68"/>
      <c r="BZ78" s="68"/>
      <c r="CA78" s="68"/>
      <c r="CB78" s="50"/>
      <c r="CC78" s="68"/>
      <c r="CD78" s="68"/>
      <c r="CE78" s="68"/>
      <c r="CF78" s="68"/>
      <c r="CG78" s="68"/>
      <c r="CH78" s="68"/>
      <c r="CI78" s="68"/>
      <c r="CJ78" s="68"/>
      <c r="CK78"/>
      <c r="CL78"/>
      <c r="CM78"/>
      <c r="CN78"/>
      <c r="CO78"/>
      <c r="CP78"/>
    </row>
    <row r="79" spans="2:94" s="1102" customFormat="1" ht="11.25" customHeight="1" x14ac:dyDescent="0.2">
      <c r="B79" s="13" t="s">
        <v>246</v>
      </c>
      <c r="C79" s="237"/>
      <c r="D79" s="237">
        <f>+AVERAGE(D11,C11)/('P&amp;L'!D8/'P&amp;L'!D7)</f>
        <v>56.848320331439879</v>
      </c>
      <c r="E79" s="237">
        <f>+AVERAGE(E11,D11)/('P&amp;L'!E8/'P&amp;L'!E7)</f>
        <v>61.155026705428973</v>
      </c>
      <c r="F79" s="237">
        <f>+AVERAGE(F11,E11)/('P&amp;L'!F8/'P&amp;L'!F7)</f>
        <v>53.826313379033202</v>
      </c>
      <c r="G79" s="237"/>
      <c r="H79" s="238"/>
      <c r="I79" s="237">
        <f>+AVERAGE(I11,H11)/('P&amp;L'!I8/'P&amp;L'!I7)</f>
        <v>57.871399224654155</v>
      </c>
      <c r="J79" s="237">
        <f>+AVERAGE(J11,I11)/('P&amp;L'!J8/'P&amp;L'!J7)</f>
        <v>55.6939330617789</v>
      </c>
      <c r="K79" s="237">
        <f>+AVERAGE(K11,J11)/('P&amp;L'!K8/'P&amp;L'!K7)</f>
        <v>62.232756489726427</v>
      </c>
      <c r="L79" s="237">
        <f>+AVERAGE(L11,K11)/('P&amp;L'!L8/'P&amp;L'!L7)</f>
        <v>60.176018073723633</v>
      </c>
      <c r="M79" s="237">
        <f>+AVERAGE(I11:L11,G11)/('P&amp;L'!M8/'P&amp;L'!M7)</f>
        <v>56.741400988183102</v>
      </c>
      <c r="N79" s="238"/>
      <c r="O79" s="237">
        <f>+AVERAGE(O11,N11)/('P&amp;L'!O8/'P&amp;L'!O7)</f>
        <v>58.144428729517166</v>
      </c>
      <c r="P79" s="237">
        <f>+AVERAGE(P11,O11)/('P&amp;L'!P8/'P&amp;L'!P7)</f>
        <v>56.38282516207456</v>
      </c>
      <c r="Q79" s="237">
        <f>+AVERAGE(Q11,P11)/('P&amp;L'!Q8/'P&amp;L'!Q7)</f>
        <v>61.874673147553757</v>
      </c>
      <c r="R79" s="237">
        <f>+AVERAGE(R11,Q11)/('P&amp;L'!R8/'P&amp;L'!R7)</f>
        <v>57.10890684982602</v>
      </c>
      <c r="S79" s="237">
        <f>+AVERAGE(O11:R11,M11)/('P&amp;L'!S8/'P&amp;L'!S7)</f>
        <v>57.807637199230527</v>
      </c>
      <c r="T79" s="238"/>
      <c r="U79" s="237">
        <f>+AVERAGE(U11,T11)/('P&amp;L'!U8/'P&amp;L'!U7)</f>
        <v>58.527431384903934</v>
      </c>
      <c r="V79" s="237">
        <f>+AVERAGE(V11,U11)/('P&amp;L'!V8/'P&amp;L'!V7)</f>
        <v>56.873107810138627</v>
      </c>
      <c r="W79" s="237">
        <f>+AVERAGE(W11,V11)/('P&amp;L'!W8/'P&amp;L'!W7)</f>
        <v>60.965971780035609</v>
      </c>
      <c r="X79" s="237">
        <f>+AVERAGE(X11,W11)/('P&amp;L'!X8/'P&amp;L'!X7)</f>
        <v>57.611221309152739</v>
      </c>
      <c r="Y79" s="237">
        <f>+AVERAGE(U11:X11,S11)/('P&amp;L'!Y8/'P&amp;L'!Y7)</f>
        <v>58.064478206801041</v>
      </c>
      <c r="Z79" s="238"/>
      <c r="AA79" s="237">
        <f>+AVERAGE(AA11,Z11)/('P&amp;L'!AA8/'P&amp;L'!AA7)</f>
        <v>60.79219565891853</v>
      </c>
      <c r="AB79" s="237">
        <f>+AVERAGE(AB11,AA11)/('P&amp;L'!AB8/'P&amp;L'!AB7)</f>
        <v>58.981428944134237</v>
      </c>
      <c r="AC79" s="237">
        <f>+AVERAGE(AC11,AB11)/('P&amp;L'!AC8/'P&amp;L'!AC7)</f>
        <v>65.360838648571459</v>
      </c>
      <c r="AD79" s="237">
        <f>+AVERAGE(AD11,AC11)/('P&amp;L'!AD8/'P&amp;L'!AD7)</f>
        <v>56.324449569316521</v>
      </c>
      <c r="AE79" s="237">
        <f>+AVERAGE(AA11:AD11,Y11)/('P&amp;L'!AE8/'P&amp;L'!AE7)</f>
        <v>58.638631242714922</v>
      </c>
      <c r="AF79" s="238"/>
      <c r="AG79" s="237">
        <f>+AVERAGE(AG11,AF11)/('P&amp;L'!AG8/'P&amp;L'!AG7)</f>
        <v>58.601717165936407</v>
      </c>
      <c r="AH79" s="237">
        <f>+AVERAGE(AH11,AG11)/('P&amp;L'!AH8/'P&amp;L'!AH7)</f>
        <v>55.076602830428556</v>
      </c>
      <c r="AI79" s="237">
        <f>+AVERAGE(AI11,AH11)/('P&amp;L'!AI8/'P&amp;L'!AI7)</f>
        <v>61.457876142318753</v>
      </c>
      <c r="AJ79" s="237">
        <f>+AVERAGE(AJ11,AI11)/('P&amp;L'!AJ8/'P&amp;L'!AJ7)</f>
        <v>55.551884538184595</v>
      </c>
      <c r="AK79" s="237">
        <f>+AVERAGE(AG11:AJ11,AE11)/('P&amp;L'!AK8/'P&amp;L'!AK7)</f>
        <v>56.51676936678335</v>
      </c>
      <c r="AL79" s="431"/>
      <c r="AM79" s="237">
        <f>+AVERAGE(AM11,AL11)/('P&amp;L'!AM8/'P&amp;L'!AM7)</f>
        <v>57.600398314947469</v>
      </c>
      <c r="AN79" s="237">
        <f>+AVERAGE(AN11,AM11)/('P&amp;L'!AN8/'P&amp;L'!AN7)</f>
        <v>57.848394239234693</v>
      </c>
      <c r="AO79" s="237">
        <f>+AVERAGE(AO11,AN11)/('P&amp;L'!AO8/'P&amp;L'!AO7)</f>
        <v>65.429145277535511</v>
      </c>
      <c r="AP79" s="237">
        <f>+AVERAGE(AP11,AO11)/('P&amp;L'!AP8/'P&amp;L'!AP7)</f>
        <v>59.520249237717906</v>
      </c>
      <c r="AQ79" s="237">
        <f>+AVERAGE(AM11:AP11,AK11)/('P&amp;L'!AQ8/'P&amp;L'!AQ7)</f>
        <v>59.006385113038299</v>
      </c>
      <c r="AR79" s="431"/>
      <c r="AS79" s="237">
        <f>+AVERAGE(AS11,AR11)/('P&amp;L'!AS8/'P&amp;L'!AS7)</f>
        <v>61.168379184620477</v>
      </c>
      <c r="AT79" s="237">
        <f>+AVERAGE(AT11,AS11)/('P&amp;L'!AT8/'P&amp;L'!AT7)</f>
        <v>59.471111764513708</v>
      </c>
      <c r="AU79" s="237">
        <f>+AVERAGE(AU11,AT11)/('P&amp;L'!AU8/'P&amp;L'!AU7)</f>
        <v>63.704518242403701</v>
      </c>
      <c r="AV79" s="237">
        <f>+AVERAGE(AV11,AU11)/('P&amp;L'!AV8/'P&amp;L'!AV7)</f>
        <v>57.798167281142518</v>
      </c>
      <c r="AW79" s="237">
        <f>+AVERAGE(AS11:AV11,AQ11)/('P&amp;L'!AW8/'P&amp;L'!AW7)</f>
        <v>59.358165276361618</v>
      </c>
      <c r="AX79" s="431"/>
      <c r="AY79" s="237">
        <f>+AVERAGE(AY11,AX11)/('P&amp;L'!AY8/'P&amp;L'!AY7)</f>
        <v>56.204062042905896</v>
      </c>
      <c r="AZ79" s="237">
        <f>+AVERAGE(AZ11,AY11)/('P&amp;L'!AZ8/'P&amp;L'!AZ7)</f>
        <v>55.887925748489273</v>
      </c>
      <c r="BA79" s="237">
        <f>+AVERAGE(BA11,AZ11)/('P&amp;L'!BA8/'P&amp;L'!BA7)</f>
        <v>62.191092618277082</v>
      </c>
      <c r="BB79" s="237">
        <f>+AVERAGE(BB11,BA11)/('P&amp;L'!BB8/'P&amp;L'!BB7)</f>
        <v>56.87110713753539</v>
      </c>
      <c r="BC79" s="237">
        <f>+AVERAGE(AY11:BB11,AW11)/('P&amp;L'!BC8/'P&amp;L'!BC7)</f>
        <v>57.696026213707682</v>
      </c>
      <c r="BD79" s="431"/>
      <c r="BE79" s="237">
        <f>+AVERAGE(BE11,BD11)/('P&amp;L'!BE8/'P&amp;L'!BE7)</f>
        <v>73.63862283199586</v>
      </c>
      <c r="BF79" s="237">
        <f>+AVERAGE(BF11,BE11)/('P&amp;L'!BF8/'P&amp;L'!BF7)</f>
        <v>56.114888628370458</v>
      </c>
      <c r="BG79" s="237">
        <f>+AVERAGE(BG11,BF11)/('P&amp;L'!BG8/'P&amp;L'!BG7)</f>
        <v>63.012973425402819</v>
      </c>
      <c r="BH79" s="237">
        <f>+AVERAGE(BH11,BG11)/('P&amp;L'!BH8/'P&amp;L'!BH7)</f>
        <v>60.293186372745488</v>
      </c>
      <c r="BI79" s="237">
        <f>+AVERAGE(BE11:BH11,BC11)/('P&amp;L'!BI8/'P&amp;L'!BI7)</f>
        <v>57.982208</v>
      </c>
      <c r="BJ79" s="431"/>
      <c r="BK79" s="237">
        <f>+AVERAGE(BK11,BJ11)/('P&amp;L'!BK8/'P&amp;L'!BK7)</f>
        <v>59.727272727272727</v>
      </c>
      <c r="BL79" s="237">
        <f>+AVERAGE(BL11,BK11)/('P&amp;L'!BL8/'P&amp;L'!BL7)</f>
        <v>57.792597062965207</v>
      </c>
      <c r="BM79" s="237">
        <f>+AVERAGE(BM11,BL11)/('P&amp;L'!BM8/'P&amp;L'!BM7)</f>
        <v>63.686002771728361</v>
      </c>
      <c r="BN79" s="237">
        <f>+AVERAGE(BN11,BM11)/('P&amp;L'!BN8/'P&amp;L'!BN7)</f>
        <v>62.426764436296978</v>
      </c>
      <c r="BO79" s="237">
        <f>+AVERAGE(BK11:BN11,BI11)/('P&amp;L'!BO8/'P&amp;L'!BO7)</f>
        <v>61.714164206734388</v>
      </c>
      <c r="BP79" s="431"/>
      <c r="BQ79" s="1113">
        <f>+BK79</f>
        <v>59.727272727272727</v>
      </c>
      <c r="BR79" s="1113">
        <f t="shared" ref="BR79:BT79" si="24">+BL79</f>
        <v>57.792597062965207</v>
      </c>
      <c r="BS79" s="1113">
        <f t="shared" si="24"/>
        <v>63.686002771728361</v>
      </c>
      <c r="BT79" s="1113">
        <f t="shared" si="24"/>
        <v>62.426764436296978</v>
      </c>
      <c r="BU79" s="237">
        <f>+AVERAGE(BQ11:BT11,BO11)/('P&amp;L'!BU8/'P&amp;L'!BU7)</f>
        <v>61.554473533792518</v>
      </c>
      <c r="BV79" s="431"/>
      <c r="BW79" s="1113">
        <f t="shared" ref="BW79" si="25">+BQ79</f>
        <v>59.727272727272727</v>
      </c>
      <c r="BX79" s="1113">
        <f t="shared" ref="BX79" si="26">+BR79</f>
        <v>57.792597062965207</v>
      </c>
      <c r="BY79" s="1113">
        <f t="shared" ref="BY79" si="27">+BS79</f>
        <v>63.686002771728361</v>
      </c>
      <c r="BZ79" s="1113">
        <f t="shared" ref="BZ79" si="28">+BT79</f>
        <v>62.426764436296978</v>
      </c>
      <c r="CA79" s="237">
        <f>+AVERAGE(BW11:BZ11,BU11)/('P&amp;L'!CA8/'P&amp;L'!CA7)</f>
        <v>61.779500391543841</v>
      </c>
      <c r="CB79" s="431"/>
      <c r="CC79" s="1113">
        <f t="shared" ref="CC79" si="29">+BW79</f>
        <v>59.727272727272727</v>
      </c>
      <c r="CD79" s="1113">
        <f t="shared" ref="CD79" si="30">+BX79</f>
        <v>57.792597062965207</v>
      </c>
      <c r="CE79" s="1113">
        <f t="shared" ref="CE79" si="31">+BY79</f>
        <v>63.686002771728361</v>
      </c>
      <c r="CF79" s="1113">
        <f t="shared" ref="CF79" si="32">+BZ79</f>
        <v>62.426764436296978</v>
      </c>
      <c r="CG79" s="237">
        <f>+AVERAGE(CC11:CF11,CA11)/('P&amp;L'!CG8/'P&amp;L'!CG7)</f>
        <v>61.880645146176057</v>
      </c>
      <c r="CH79" s="237"/>
      <c r="CI79" s="237"/>
      <c r="CJ79" s="237"/>
      <c r="CK79"/>
      <c r="CL79"/>
      <c r="CM79"/>
      <c r="CN79"/>
      <c r="CO79"/>
      <c r="CP79"/>
    </row>
    <row r="80" spans="2:94" s="1102" customFormat="1" ht="11.25" customHeight="1" x14ac:dyDescent="0.2">
      <c r="B80" s="13" t="s">
        <v>100</v>
      </c>
      <c r="C80" s="237"/>
      <c r="D80" s="237">
        <f>+AVERAGE(C12,D12)/('P&amp;L'!D10/'P&amp;L'!D7)</f>
        <v>94.857176688546303</v>
      </c>
      <c r="E80" s="237">
        <f>+AVERAGE(D12,E12)/('P&amp;L'!E10/'P&amp;L'!E7)</f>
        <v>103.09241088327741</v>
      </c>
      <c r="F80" s="237">
        <f>+AVERAGE(E12,F12)/('P&amp;L'!F10/'P&amp;L'!F7)</f>
        <v>91.579489011172981</v>
      </c>
      <c r="G80" s="237"/>
      <c r="H80" s="238"/>
      <c r="I80" s="237">
        <f>+AVERAGE(H12,I12)/('P&amp;L'!I10/'P&amp;L'!I7)</f>
        <v>92.781101767807826</v>
      </c>
      <c r="J80" s="237">
        <f>+AVERAGE(I12,J12)/('P&amp;L'!J10/'P&amp;L'!J7)</f>
        <v>91.815172840876158</v>
      </c>
      <c r="K80" s="237">
        <f>+AVERAGE(J12,K12)/('P&amp;L'!K10/'P&amp;L'!K7)</f>
        <v>103.42145173559675</v>
      </c>
      <c r="L80" s="237">
        <f>+AVERAGE(K12,L12)/('P&amp;L'!L10/'P&amp;L'!L7)</f>
        <v>113.46999059504279</v>
      </c>
      <c r="M80" s="237">
        <f>+AVERAGE(I12:L12,G12)/('P&amp;L'!M10/'P&amp;L'!M7)</f>
        <v>98.837098847260307</v>
      </c>
      <c r="N80" s="238"/>
      <c r="O80" s="237">
        <f>+AVERAGE(N12,O12)/('P&amp;L'!O10/'P&amp;L'!O7)</f>
        <v>117.18912846109519</v>
      </c>
      <c r="P80" s="237">
        <f>+AVERAGE(O12,P12)/('P&amp;L'!P10/'P&amp;L'!P7)</f>
        <v>106.19005554640596</v>
      </c>
      <c r="Q80" s="237">
        <f>+AVERAGE(P12,Q12)/('P&amp;L'!Q10/'P&amp;L'!Q7)</f>
        <v>110.10957594817185</v>
      </c>
      <c r="R80" s="237">
        <f>+AVERAGE(Q12,R12)/('P&amp;L'!R10/'P&amp;L'!R7)</f>
        <v>97.320727588976055</v>
      </c>
      <c r="S80" s="237">
        <f>+AVERAGE(O12:R12,M12)/('P&amp;L'!S10/'P&amp;L'!S7)</f>
        <v>106.2714424770777</v>
      </c>
      <c r="T80" s="238"/>
      <c r="U80" s="237">
        <f>+AVERAGE(T12,U12)/('P&amp;L'!U10/'P&amp;L'!U7)</f>
        <v>102.7177100937455</v>
      </c>
      <c r="V80" s="237">
        <f>+AVERAGE(U12,V12)/('P&amp;L'!V10/'P&amp;L'!V7)</f>
        <v>96.019099718549441</v>
      </c>
      <c r="W80" s="237">
        <f>+AVERAGE(V12,W12)/('P&amp;L'!W10/'P&amp;L'!W7)</f>
        <v>103.02337166032842</v>
      </c>
      <c r="X80" s="237">
        <f>+AVERAGE(W12,X12)/('P&amp;L'!X10/'P&amp;L'!X7)</f>
        <v>102.80760042501906</v>
      </c>
      <c r="Y80" s="237">
        <f>+AVERAGE(U12:X12,S12)/('P&amp;L'!Y10/'P&amp;L'!Y7)</f>
        <v>100.65030856501684</v>
      </c>
      <c r="Z80" s="238"/>
      <c r="AA80" s="237">
        <f>+AVERAGE(Z12,AA12)/('P&amp;L'!AA10/'P&amp;L'!AA7)</f>
        <v>111.20590214897422</v>
      </c>
      <c r="AB80" s="237">
        <f>+AVERAGE(AA12,AB12)/('P&amp;L'!AB10/'P&amp;L'!AB7)</f>
        <v>103.93129461056597</v>
      </c>
      <c r="AC80" s="237">
        <f>+AVERAGE(AB12,AC12)/('P&amp;L'!AC10/'P&amp;L'!AC7)</f>
        <v>110.00101070427712</v>
      </c>
      <c r="AD80" s="237">
        <f>+AVERAGE(AC12,AD12)/('P&amp;L'!AD10/'P&amp;L'!AD7)</f>
        <v>97.534677655430215</v>
      </c>
      <c r="AE80" s="237">
        <f>+AVERAGE(AA12:AD12,Y12)/('P&amp;L'!AE10/'P&amp;L'!AE7)</f>
        <v>103.43539922800018</v>
      </c>
      <c r="AF80" s="238"/>
      <c r="AG80" s="237">
        <f>+AVERAGE(AF12,AG12)/('P&amp;L'!AG10/'P&amp;L'!AG7)</f>
        <v>114.50019199011017</v>
      </c>
      <c r="AH80" s="237">
        <f>+AVERAGE(AG12,AH12)/('P&amp;L'!AH10/'P&amp;L'!AH7)</f>
        <v>104.48700614374133</v>
      </c>
      <c r="AI80" s="237">
        <f>+AVERAGE(AH12,AI12)/('P&amp;L'!AI10/'P&amp;L'!AI7)</f>
        <v>115.09336827732824</v>
      </c>
      <c r="AJ80" s="237">
        <f>+AVERAGE(AI12,AJ12)/('P&amp;L'!AJ10/'P&amp;L'!AJ7)</f>
        <v>105.51192580371374</v>
      </c>
      <c r="AK80" s="237">
        <f>+AVERAGE(AG12:AJ12,AE12)/('P&amp;L'!AK10/'P&amp;L'!AK7)</f>
        <v>107.27184816617223</v>
      </c>
      <c r="AL80" s="431"/>
      <c r="AM80" s="237">
        <f>+AVERAGE(AL12,AM12)/('P&amp;L'!AM10/'P&amp;L'!AM7)</f>
        <v>110.27425751299904</v>
      </c>
      <c r="AN80" s="237">
        <f>+AVERAGE(AM12,AN12)/('P&amp;L'!AN10/'P&amp;L'!AN7)</f>
        <v>112.8186273223279</v>
      </c>
      <c r="AO80" s="237">
        <f>+AVERAGE(AN12,AO12)/('P&amp;L'!AO10/'P&amp;L'!AO7)</f>
        <v>124.79590040318857</v>
      </c>
      <c r="AP80" s="237">
        <f>+AVERAGE(AO12,AP12)/('P&amp;L'!AP10/'P&amp;L'!AP7)</f>
        <v>116.31431944024681</v>
      </c>
      <c r="AQ80" s="237">
        <f>+AVERAGE(AM12:AP12,AK12)/('P&amp;L'!AQ10/'P&amp;L'!AQ7)</f>
        <v>114.9581314336551</v>
      </c>
      <c r="AR80" s="431"/>
      <c r="AS80" s="237">
        <f>+AVERAGE(AR12,AS12)/('P&amp;L'!AS10/'P&amp;L'!AS7)</f>
        <v>123.48580370306718</v>
      </c>
      <c r="AT80" s="237">
        <f>+AVERAGE(AS12,AT12)/('P&amp;L'!AT10/'P&amp;L'!AT7)</f>
        <v>123.42129748868383</v>
      </c>
      <c r="AU80" s="237">
        <f>+AVERAGE(AT12,AU12)/('P&amp;L'!AU10/'P&amp;L'!AU7)</f>
        <v>129.1654157796066</v>
      </c>
      <c r="AV80" s="237">
        <f>+AVERAGE(AU12,AV12)/('P&amp;L'!AV10/'P&amp;L'!AV7)</f>
        <v>115.38982084539161</v>
      </c>
      <c r="AW80" s="237">
        <f>+AVERAGE(AS12:AV12,AQ12)/('P&amp;L'!AW10/'P&amp;L'!AW7)</f>
        <v>120.89766548576414</v>
      </c>
      <c r="AX80" s="431"/>
      <c r="AY80" s="237">
        <f>+AVERAGE(AX12,AY12)/('P&amp;L'!AY10/'P&amp;L'!AY7)</f>
        <v>122.89151692376223</v>
      </c>
      <c r="AZ80" s="237">
        <f>+AVERAGE(AY12,AZ12)/('P&amp;L'!AZ10/'P&amp;L'!AZ7)</f>
        <v>117.69806879158988</v>
      </c>
      <c r="BA80" s="237">
        <f>+AVERAGE(AZ12,BA12)/('P&amp;L'!BA10/'P&amp;L'!BA7)</f>
        <v>125.18121996303142</v>
      </c>
      <c r="BB80" s="237">
        <f>+AVERAGE(BA12,BB12)/('P&amp;L'!BB10/'P&amp;L'!BB7)</f>
        <v>110.92164948453609</v>
      </c>
      <c r="BC80" s="237">
        <f>+AVERAGE(AY12:BB12,AW12)/('P&amp;L'!BC10/'P&amp;L'!BC7)</f>
        <v>118.92778412022932</v>
      </c>
      <c r="BD80" s="431"/>
      <c r="BE80" s="237">
        <f>+AVERAGE(BD12,BE12)/('P&amp;L'!BE10/'P&amp;L'!BE7)</f>
        <v>165.11007101355713</v>
      </c>
      <c r="BF80" s="237">
        <f>+AVERAGE(BE12,BF12)/('P&amp;L'!BF10/'P&amp;L'!BF7)</f>
        <v>118.12583732057418</v>
      </c>
      <c r="BG80" s="237">
        <f>+AVERAGE(BF12,BG12)/('P&amp;L'!BG10/'P&amp;L'!BG7)</f>
        <v>120.61452513966482</v>
      </c>
      <c r="BH80" s="237">
        <f>+AVERAGE(BG12,BH12)/('P&amp;L'!BH10/'P&amp;L'!BH7)</f>
        <v>116.2179336314427</v>
      </c>
      <c r="BI80" s="237">
        <f>+AVERAGE(BE12:BH12,BC12)/('P&amp;L'!BI10/'P&amp;L'!BI7)</f>
        <v>116.93564305804141</v>
      </c>
      <c r="BJ80" s="431"/>
      <c r="BK80" s="237">
        <f>+AVERAGE(BJ12,BK12)/('P&amp;L'!BK10/'P&amp;L'!BK7)</f>
        <v>134.94030246749801</v>
      </c>
      <c r="BL80" s="237">
        <f>+AVERAGE(BK12,BL12)/('P&amp;L'!BL10/'P&amp;L'!BL7)</f>
        <v>127.26636976408281</v>
      </c>
      <c r="BM80" s="237">
        <f>+AVERAGE(BL12,BM12)/('P&amp;L'!BM10/'P&amp;L'!BM7)</f>
        <v>134.03769983297545</v>
      </c>
      <c r="BN80" s="237">
        <f>+AVERAGE(BM12,BN12)/('P&amp;L'!BN10/'P&amp;L'!BN7)</f>
        <v>123.91492118332974</v>
      </c>
      <c r="BO80" s="237">
        <f>+AVERAGE(BK12:BN12,BI12)/('P&amp;L'!BO10/'P&amp;L'!BO7)</f>
        <v>127.58106897581368</v>
      </c>
      <c r="BP80" s="431"/>
      <c r="BQ80" s="1113">
        <f>+BK80-1</f>
        <v>133.94030246749801</v>
      </c>
      <c r="BR80" s="1113">
        <f>+BQ80-1</f>
        <v>132.94030246749801</v>
      </c>
      <c r="BS80" s="1113">
        <f>+BR80-1</f>
        <v>131.94030246749801</v>
      </c>
      <c r="BT80" s="1113">
        <f>+BS80-1</f>
        <v>130.94030246749801</v>
      </c>
      <c r="BU80" s="237">
        <f>+AVERAGE(BQ12:BT12,BO12)/('P&amp;L'!BU10/'P&amp;L'!BU7)</f>
        <v>131.17146296022889</v>
      </c>
      <c r="BV80" s="431"/>
      <c r="BW80" s="1113">
        <f>+BQ80-0.5</f>
        <v>133.44030246749801</v>
      </c>
      <c r="BX80" s="1113">
        <f>+BW80-0.5</f>
        <v>132.94030246749801</v>
      </c>
      <c r="BY80" s="1113">
        <f>+BX80-0.5</f>
        <v>132.44030246749801</v>
      </c>
      <c r="BZ80" s="1113">
        <f>+BY80-0.5</f>
        <v>131.94030246749801</v>
      </c>
      <c r="CA80" s="237">
        <f>+AVERAGE(BW12:BZ12,BU12)/('P&amp;L'!CA10/'P&amp;L'!CA7)</f>
        <v>133.4592993355682</v>
      </c>
      <c r="CB80" s="431"/>
      <c r="CC80" s="1113">
        <f>+BW80-0.5</f>
        <v>132.94030246749801</v>
      </c>
      <c r="CD80" s="1113">
        <f>+CC80-0.5</f>
        <v>132.44030246749801</v>
      </c>
      <c r="CE80" s="1113">
        <f>+CD80-0.5</f>
        <v>131.94030246749801</v>
      </c>
      <c r="CF80" s="1113">
        <f>+CE80-0.5</f>
        <v>131.44030246749801</v>
      </c>
      <c r="CG80" s="237">
        <f>+AVERAGE(CC12:CF12,CA12)/('P&amp;L'!CG10/'P&amp;L'!CG7)</f>
        <v>133.46598569616469</v>
      </c>
      <c r="CH80" s="237"/>
      <c r="CI80" s="237"/>
      <c r="CJ80" s="237"/>
      <c r="CK80"/>
      <c r="CL80"/>
      <c r="CM80"/>
      <c r="CN80"/>
      <c r="CO80"/>
      <c r="CP80"/>
    </row>
    <row r="81" spans="2:94" s="1102" customFormat="1" ht="11.25" customHeight="1" x14ac:dyDescent="0.2">
      <c r="B81" s="13" t="s">
        <v>101</v>
      </c>
      <c r="C81" s="237"/>
      <c r="D81" s="237">
        <f>+AVERAGE(C26,D26)/('P&amp;L'!D10/'P&amp;L'!D7)</f>
        <v>32.814513492442728</v>
      </c>
      <c r="E81" s="237">
        <f>+AVERAGE(D26,E26)/('P&amp;L'!E10/'P&amp;L'!E7)</f>
        <v>34.079400118241018</v>
      </c>
      <c r="F81" s="237">
        <f>+AVERAGE(E26,F26)/('P&amp;L'!F10/'P&amp;L'!F7)</f>
        <v>29.00533163673434</v>
      </c>
      <c r="G81" s="237"/>
      <c r="H81" s="238"/>
      <c r="I81" s="237">
        <f>+AVERAGE(H26,I26)/('P&amp;L'!I10/'P&amp;L'!I7)</f>
        <v>30.926373399046959</v>
      </c>
      <c r="J81" s="237">
        <f>+AVERAGE(I26,J26)/('P&amp;L'!J10/'P&amp;L'!J7)</f>
        <v>30.628836881311283</v>
      </c>
      <c r="K81" s="237">
        <f>+AVERAGE(J26,K26)/('P&amp;L'!K10/'P&amp;L'!K7)</f>
        <v>34.107258677983744</v>
      </c>
      <c r="L81" s="237">
        <f>+AVERAGE(K26,L26)/('P&amp;L'!L10/'P&amp;L'!L7)</f>
        <v>37.852236735003729</v>
      </c>
      <c r="M81" s="237">
        <f>+AVERAGE(I26:L26,G26)/('P&amp;L'!M10/'P&amp;L'!M7)</f>
        <v>32.707175322213253</v>
      </c>
      <c r="N81" s="238"/>
      <c r="O81" s="237">
        <f>+AVERAGE(N26,O26)/('P&amp;L'!O10/'P&amp;L'!O7)</f>
        <v>36.681369886865355</v>
      </c>
      <c r="P81" s="237">
        <f>+AVERAGE(O26,P26)/('P&amp;L'!P10/'P&amp;L'!P7)</f>
        <v>32.653544264945879</v>
      </c>
      <c r="Q81" s="237">
        <f>+AVERAGE(P26,Q26)/('P&amp;L'!Q10/'P&amp;L'!Q7)</f>
        <v>33.957560131497303</v>
      </c>
      <c r="R81" s="237">
        <f>+AVERAGE(Q26,R26)/('P&amp;L'!R10/'P&amp;L'!R7)</f>
        <v>32.096647157219955</v>
      </c>
      <c r="S81" s="237">
        <f>+AVERAGE(O26:R26,M26)/('P&amp;L'!S10/'P&amp;L'!S7)</f>
        <v>34.318107529332437</v>
      </c>
      <c r="T81" s="238"/>
      <c r="U81" s="237">
        <f>+AVERAGE(T26,U26)/('P&amp;L'!U10/'P&amp;L'!U7)</f>
        <v>36.871537592930814</v>
      </c>
      <c r="V81" s="237">
        <f>+AVERAGE(U26,V26)/('P&amp;L'!V10/'P&amp;L'!V7)</f>
        <v>35.250444158549293</v>
      </c>
      <c r="W81" s="237">
        <f>+AVERAGE(V26,W26)/('P&amp;L'!W10/'P&amp;L'!W7)</f>
        <v>35.487756551090889</v>
      </c>
      <c r="X81" s="237">
        <f>+AVERAGE(W26,X26)/('P&amp;L'!X10/'P&amp;L'!X7)</f>
        <v>35.287037631303079</v>
      </c>
      <c r="Y81" s="237">
        <f>+AVERAGE(U26:X26,S26)/('P&amp;L'!Y10/'P&amp;L'!Y7)</f>
        <v>35.532538666881784</v>
      </c>
      <c r="Z81" s="238"/>
      <c r="AA81" s="237">
        <f>+AVERAGE(Z26,AA26)/('P&amp;L'!AA10/'P&amp;L'!AA7)</f>
        <v>37.464329407739875</v>
      </c>
      <c r="AB81" s="237">
        <f>+AVERAGE(AA26,AB26)/('P&amp;L'!AB10/'P&amp;L'!AB7)</f>
        <v>35.055516697828672</v>
      </c>
      <c r="AC81" s="237">
        <f>+AVERAGE(AB26,AC26)/('P&amp;L'!AC10/'P&amp;L'!AC7)</f>
        <v>37.295053455755436</v>
      </c>
      <c r="AD81" s="237">
        <f>+AVERAGE(AC26,AD26)/('P&amp;L'!AD10/'P&amp;L'!AD7)</f>
        <v>36.553913621112841</v>
      </c>
      <c r="AE81" s="237">
        <f>+AVERAGE(AA26:AD26,Y26)/('P&amp;L'!AE10/'P&amp;L'!AE7)</f>
        <v>37.192860842816948</v>
      </c>
      <c r="AF81" s="238"/>
      <c r="AG81" s="237">
        <f>+AVERAGE(AF26,AG26)/('P&amp;L'!AG10/'P&amp;L'!AG7)</f>
        <v>46.424547886703984</v>
      </c>
      <c r="AH81" s="237">
        <f>+AVERAGE(AG26,AH26)/('P&amp;L'!AH10/'P&amp;L'!AH7)</f>
        <v>40.080263124165093</v>
      </c>
      <c r="AI81" s="237">
        <f>+AVERAGE(AH26,AI26)/('P&amp;L'!AI10/'P&amp;L'!AI7)</f>
        <v>39.836991150983103</v>
      </c>
      <c r="AJ81" s="237">
        <f>+AVERAGE(AI26,AJ26)/('P&amp;L'!AJ10/'P&amp;L'!AJ7)</f>
        <v>39.036843240457252</v>
      </c>
      <c r="AK81" s="237">
        <f>+AVERAGE(AG26:AJ26,AE26)/('P&amp;L'!AK10/'P&amp;L'!AK7)</f>
        <v>41.105278219911803</v>
      </c>
      <c r="AL81" s="431"/>
      <c r="AM81" s="237">
        <f>+AVERAGE(AL26,AM26)/('P&amp;L'!AM10/'P&amp;L'!AM7)</f>
        <v>39.318322023442327</v>
      </c>
      <c r="AN81" s="237">
        <f>+AVERAGE(AM26,AN26)/('P&amp;L'!AN10/'P&amp;L'!AN7)</f>
        <v>39.296908034211967</v>
      </c>
      <c r="AO81" s="237">
        <f>+AVERAGE(AN26,AO26)/('P&amp;L'!AO10/'P&amp;L'!AO7)</f>
        <v>40.264688683019905</v>
      </c>
      <c r="AP81" s="237">
        <f>+AVERAGE(AO26,AP26)/('P&amp;L'!AP10/'P&amp;L'!AP7)</f>
        <v>35.377371509383394</v>
      </c>
      <c r="AQ81" s="237">
        <f>+AVERAGE(AM26:AP26,AK26)/('P&amp;L'!AQ10/'P&amp;L'!AQ7)</f>
        <v>39.277746994592214</v>
      </c>
      <c r="AR81" s="431"/>
      <c r="AS81" s="237">
        <f>+AVERAGE(AR26,AS26)/('P&amp;L'!AS10/'P&amp;L'!AS7)</f>
        <v>38.421176406740408</v>
      </c>
      <c r="AT81" s="237">
        <f>+AVERAGE(AS26,AT26)/('P&amp;L'!AT10/'P&amp;L'!AT7)</f>
        <v>38.409731165128733</v>
      </c>
      <c r="AU81" s="237">
        <f>+AVERAGE(AT26,AU26)/('P&amp;L'!AU10/'P&amp;L'!AU7)</f>
        <v>39.727272727272727</v>
      </c>
      <c r="AV81" s="237">
        <f>+AVERAGE(AU26,AV26)/('P&amp;L'!AV10/'P&amp;L'!AV7)</f>
        <v>37.178218864837724</v>
      </c>
      <c r="AW81" s="237">
        <f>+AVERAGE(AS26:AV26,AQ26)/('P&amp;L'!AW10/'P&amp;L'!AW7)</f>
        <v>37.914912273989792</v>
      </c>
      <c r="AX81" s="431"/>
      <c r="AY81" s="237">
        <f>+AVERAGE(AX26,AY26)/('P&amp;L'!AY10/'P&amp;L'!AY7)</f>
        <v>43.353354935588392</v>
      </c>
      <c r="AZ81" s="237">
        <f>+AVERAGE(AY26,AZ26)/('P&amp;L'!AZ10/'P&amp;L'!AZ7)</f>
        <v>41.636277660894066</v>
      </c>
      <c r="BA81" s="237">
        <f>+AVERAGE(AZ26,BA26)/('P&amp;L'!BA10/'P&amp;L'!BA7)</f>
        <v>45.994218114602589</v>
      </c>
      <c r="BB81" s="237">
        <f>+AVERAGE(BA26,BB26)/('P&amp;L'!BB10/'P&amp;L'!BB7)</f>
        <v>42.854295532646049</v>
      </c>
      <c r="BC81" s="237">
        <f>+AVERAGE(AY26:BB26,AW26)/('P&amp;L'!BC10/'P&amp;L'!BC7)</f>
        <v>43.267489555572837</v>
      </c>
      <c r="BD81" s="431"/>
      <c r="BE81" s="237">
        <f>+AVERAGE(BD26,BE26)/('P&amp;L'!BE10/'P&amp;L'!BE7)</f>
        <v>84.420271142672675</v>
      </c>
      <c r="BF81" s="237">
        <f>+AVERAGE(BE26,BF26)/('P&amp;L'!BF10/'P&amp;L'!BF7)</f>
        <v>56.004186602870817</v>
      </c>
      <c r="BG81" s="237">
        <f>+AVERAGE(BF26,BG26)/('P&amp;L'!BG10/'P&amp;L'!BG7)</f>
        <v>50.402234636871512</v>
      </c>
      <c r="BH81" s="237">
        <f>+AVERAGE(BG26,BH26)/('P&amp;L'!BH10/'P&amp;L'!BH7)</f>
        <v>48.392562955989654</v>
      </c>
      <c r="BI81" s="237">
        <f>+AVERAGE(BE26:BH26,BC26)/('P&amp;L'!BI10/'P&amp;L'!BI7)</f>
        <v>51.240935822040392</v>
      </c>
      <c r="BJ81" s="431"/>
      <c r="BK81" s="237">
        <f>+AVERAGE(BJ26,BK26)/('P&amp;L'!BK10/'P&amp;L'!BK7)</f>
        <v>61.703369594056774</v>
      </c>
      <c r="BL81" s="237">
        <f>+AVERAGE(BK26,BL26)/('P&amp;L'!BL10/'P&amp;L'!BL7)</f>
        <v>55.204622051035138</v>
      </c>
      <c r="BM81" s="237">
        <f>+AVERAGE(BL26,BM26)/('P&amp;L'!BM10/'P&amp;L'!BM7)</f>
        <v>54.286805058458619</v>
      </c>
      <c r="BN81" s="237">
        <f>+AVERAGE(BM26,BN26)/('P&amp;L'!BN10/'P&amp;L'!BN7)</f>
        <v>52.982941049449359</v>
      </c>
      <c r="BO81" s="237">
        <f>+AVERAGE(BK26:BN26,BI26)/('P&amp;L'!BO10/'P&amp;L'!BO7)</f>
        <v>54.947267841146619</v>
      </c>
      <c r="BP81" s="431"/>
      <c r="BQ81" s="1113">
        <f>+BK81+0.5</f>
        <v>62.203369594056774</v>
      </c>
      <c r="BR81" s="1113">
        <f t="shared" ref="BR81:BT81" si="33">+BL81+0.5</f>
        <v>55.704622051035138</v>
      </c>
      <c r="BS81" s="1113">
        <f t="shared" si="33"/>
        <v>54.786805058458619</v>
      </c>
      <c r="BT81" s="1113">
        <f t="shared" si="33"/>
        <v>53.482941049449359</v>
      </c>
      <c r="BU81" s="237">
        <f>+AVERAGE(BQ26:BT26,BO26)/('P&amp;L'!BU10/'P&amp;L'!BU7)</f>
        <v>56.633555692790281</v>
      </c>
      <c r="BV81" s="431"/>
      <c r="BW81" s="1113">
        <f t="shared" ref="BW81" si="34">+BQ81+0.5</f>
        <v>62.703369594056774</v>
      </c>
      <c r="BX81" s="1113">
        <f t="shared" ref="BX81" si="35">+BR81+0.5</f>
        <v>56.204622051035138</v>
      </c>
      <c r="BY81" s="1113">
        <f t="shared" ref="BY81" si="36">+BS81+0.5</f>
        <v>55.286805058458619</v>
      </c>
      <c r="BZ81" s="1113">
        <f t="shared" ref="BZ81" si="37">+BT81+0.5</f>
        <v>53.982941049449359</v>
      </c>
      <c r="CA81" s="237">
        <f>+AVERAGE(BW26:BZ26,BU26)/('P&amp;L'!CA10/'P&amp;L'!CA7)</f>
        <v>56.657989908066526</v>
      </c>
      <c r="CB81" s="431"/>
      <c r="CC81" s="1113">
        <f t="shared" ref="CC81" si="38">+BW81+0.5</f>
        <v>63.203369594056774</v>
      </c>
      <c r="CD81" s="1113">
        <f t="shared" ref="CD81" si="39">+BX81+0.5</f>
        <v>56.704622051035138</v>
      </c>
      <c r="CE81" s="1113">
        <f t="shared" ref="CE81" si="40">+BY81+0.5</f>
        <v>55.786805058458619</v>
      </c>
      <c r="CF81" s="1113">
        <f t="shared" ref="CF81" si="41">+BZ81+0.5</f>
        <v>54.482941049449359</v>
      </c>
      <c r="CG81" s="237">
        <f>+AVERAGE(CC26:CF26,CA26)/('P&amp;L'!CG10/'P&amp;L'!CG7)</f>
        <v>57.236042757222059</v>
      </c>
      <c r="CH81" s="237"/>
      <c r="CI81" s="237"/>
      <c r="CJ81" s="237"/>
      <c r="CK81"/>
      <c r="CL81"/>
      <c r="CM81"/>
      <c r="CN81"/>
      <c r="CO81"/>
      <c r="CP81"/>
    </row>
    <row r="82" spans="2:94" s="1102" customFormat="1" ht="11.25" customHeight="1" x14ac:dyDescent="0.2">
      <c r="B82" s="13" t="s">
        <v>102</v>
      </c>
      <c r="C82" s="68"/>
      <c r="D82" s="68">
        <f>+SUM(D79:D80)-D81</f>
        <v>118.89098352754345</v>
      </c>
      <c r="E82" s="68">
        <f>+SUM(E79:E80)-E81</f>
        <v>130.16803747046538</v>
      </c>
      <c r="F82" s="68">
        <f>+SUM(F79:F80)-F81</f>
        <v>116.40047075347185</v>
      </c>
      <c r="G82" s="68"/>
      <c r="H82" s="50"/>
      <c r="I82" s="68">
        <f>+SUM(I79:I80)-I81</f>
        <v>119.72612759341501</v>
      </c>
      <c r="J82" s="68">
        <f>+SUM(J79:J80)-J81</f>
        <v>116.88026902134376</v>
      </c>
      <c r="K82" s="68">
        <f>+SUM(K79:K80)-K81</f>
        <v>131.54694954733944</v>
      </c>
      <c r="L82" s="68">
        <f>+SUM(L79:L80)-L81</f>
        <v>135.79377193376268</v>
      </c>
      <c r="M82" s="68">
        <f>+SUM(M79:M80)-M81</f>
        <v>122.87132451323015</v>
      </c>
      <c r="N82" s="50"/>
      <c r="O82" s="68">
        <f>+SUM(O79:O80)-O81</f>
        <v>138.65218730374701</v>
      </c>
      <c r="P82" s="68">
        <f>+SUM(P79:P80)-P81</f>
        <v>129.91933644353463</v>
      </c>
      <c r="Q82" s="68">
        <f>+SUM(Q79:Q80)-Q81</f>
        <v>138.0266889642283</v>
      </c>
      <c r="R82" s="68">
        <f>+SUM(R79:R80)-R81</f>
        <v>122.33298728158212</v>
      </c>
      <c r="S82" s="68">
        <f>+SUM(S79:S80)-S81</f>
        <v>129.7609721469758</v>
      </c>
      <c r="T82" s="50"/>
      <c r="U82" s="68">
        <f>+SUM(U79:U80)-U81</f>
        <v>124.37360388571861</v>
      </c>
      <c r="V82" s="68">
        <f>+SUM(V79:V80)-V81</f>
        <v>117.64176337013876</v>
      </c>
      <c r="W82" s="68">
        <f>+SUM(W79:W80)-W81</f>
        <v>128.50158688927314</v>
      </c>
      <c r="X82" s="68">
        <f>+SUM(X79:X80)-X81</f>
        <v>125.13178410286871</v>
      </c>
      <c r="Y82" s="68">
        <f>+SUM(Y79:Y80)-Y81</f>
        <v>123.18224810493612</v>
      </c>
      <c r="Z82" s="50"/>
      <c r="AA82" s="68">
        <f>+SUM(AA79:AA80)-AA81</f>
        <v>134.53376840015287</v>
      </c>
      <c r="AB82" s="68">
        <f>+SUM(AB79:AB80)-AB81</f>
        <v>127.85720685687156</v>
      </c>
      <c r="AC82" s="68">
        <f>+SUM(AC79:AC80)-AC81</f>
        <v>138.06679589709316</v>
      </c>
      <c r="AD82" s="68">
        <f>+SUM(AD79:AD80)-AD81</f>
        <v>117.3052136036339</v>
      </c>
      <c r="AE82" s="68">
        <f>+SUM(AE79:AE80)-AE81</f>
        <v>124.88116962789817</v>
      </c>
      <c r="AF82" s="50"/>
      <c r="AG82" s="68">
        <f>+SUM(AG79:AG80)-AG81</f>
        <v>126.67736126934261</v>
      </c>
      <c r="AH82" s="68">
        <f>+SUM(AH79:AH80)-AH81</f>
        <v>119.48334585000478</v>
      </c>
      <c r="AI82" s="68">
        <f>+SUM(AI79:AI80)-AI81</f>
        <v>136.7142532686639</v>
      </c>
      <c r="AJ82" s="68">
        <f>+SUM(AJ79:AJ80)-AJ81</f>
        <v>122.02696710144107</v>
      </c>
      <c r="AK82" s="68">
        <f>+SUM(AK79:AK80)-AK81</f>
        <v>122.68333931304377</v>
      </c>
      <c r="AL82" s="68"/>
      <c r="AM82" s="68">
        <f>+SUM(AM79:AM80)-AM81</f>
        <v>128.55633380450419</v>
      </c>
      <c r="AN82" s="68">
        <f>+SUM(AN79:AN80)-AN81</f>
        <v>131.37011352735061</v>
      </c>
      <c r="AO82" s="68">
        <f>+SUM(AO79:AO80)-AO81</f>
        <v>149.96035699770417</v>
      </c>
      <c r="AP82" s="68">
        <f>+SUM(AP79:AP80)-AP81</f>
        <v>140.45719716858133</v>
      </c>
      <c r="AQ82" s="68">
        <f>+SUM(AQ79:AQ80)-AQ81</f>
        <v>134.6867695521012</v>
      </c>
      <c r="AR82" s="68"/>
      <c r="AS82" s="68">
        <f>+SUM(AS79:AS80)-AS81</f>
        <v>146.23300648094724</v>
      </c>
      <c r="AT82" s="68">
        <f>+SUM(AT79:AT80)-AT81</f>
        <v>144.48267808806881</v>
      </c>
      <c r="AU82" s="68">
        <f>+SUM(AU79:AU80)-AU81</f>
        <v>153.14266129473759</v>
      </c>
      <c r="AV82" s="68">
        <f>+SUM(AV79:AV80)-AV81</f>
        <v>136.00976926169639</v>
      </c>
      <c r="AW82" s="68">
        <f>+SUM(AW79:AW80)-AW81</f>
        <v>142.34091848813597</v>
      </c>
      <c r="AX82" s="68"/>
      <c r="AY82" s="68">
        <f>+SUM(AY79:AY80)-AY81</f>
        <v>135.74222403107973</v>
      </c>
      <c r="AZ82" s="68">
        <f>+SUM(AZ79:AZ80)-AZ81</f>
        <v>131.94971687918508</v>
      </c>
      <c r="BA82" s="68">
        <f>+SUM(BA79:BA80)-BA81</f>
        <v>141.37809446670593</v>
      </c>
      <c r="BB82" s="68">
        <f>+SUM(BB79:BB80)-BB81</f>
        <v>124.93846108942542</v>
      </c>
      <c r="BC82" s="68">
        <f>+SUM(BC79:BC80)-BC81</f>
        <v>133.35632077836416</v>
      </c>
      <c r="BD82" s="68"/>
      <c r="BE82" s="68">
        <f>+SUM(BE79:BE80)-BE81</f>
        <v>154.32842270288032</v>
      </c>
      <c r="BF82" s="68">
        <f>+SUM(BF79:BF80)-BF81</f>
        <v>118.23653934607381</v>
      </c>
      <c r="BG82" s="68">
        <f>+SUM(BG79:BG80)-BG81</f>
        <v>133.22526392819611</v>
      </c>
      <c r="BH82" s="68">
        <f>+SUM(BH79:BH80)-BH81</f>
        <v>128.11855704819854</v>
      </c>
      <c r="BI82" s="68">
        <f>+SUM(BI79:BI80)-BI81</f>
        <v>123.67691523600101</v>
      </c>
      <c r="BJ82" s="68"/>
      <c r="BK82" s="68">
        <f>+SUM(BK79:BK80)-BK81</f>
        <v>132.96420560071397</v>
      </c>
      <c r="BL82" s="68">
        <f>+SUM(BL79:BL80)-BL81</f>
        <v>129.85434477601288</v>
      </c>
      <c r="BM82" s="68">
        <f>+SUM(BM79:BM80)-BM81</f>
        <v>143.43689754624521</v>
      </c>
      <c r="BN82" s="68">
        <f>+SUM(BN79:BN80)-BN81</f>
        <v>133.35874457017738</v>
      </c>
      <c r="BO82" s="68">
        <f>+SUM(BO79:BO80)-BO81</f>
        <v>134.34796534140145</v>
      </c>
      <c r="BP82" s="68"/>
      <c r="BQ82" s="68">
        <f>+SUM(BQ79:BQ80)-BQ81</f>
        <v>131.46420560071397</v>
      </c>
      <c r="BR82" s="68">
        <f>+SUM(BR79:BR80)-BR81</f>
        <v>135.02827747942808</v>
      </c>
      <c r="BS82" s="68">
        <f>+SUM(BS79:BS80)-BS81</f>
        <v>140.83950018076777</v>
      </c>
      <c r="BT82" s="68">
        <f>+SUM(BT79:BT80)-BT81</f>
        <v>139.88412585434563</v>
      </c>
      <c r="BU82" s="68">
        <f>+SUM(BU79:BU80)-BU81</f>
        <v>136.09238080123114</v>
      </c>
      <c r="BV82" s="68"/>
      <c r="BW82" s="68">
        <f>+SUM(BW79:BW80)-BW81</f>
        <v>130.46420560071397</v>
      </c>
      <c r="BX82" s="68">
        <f>+SUM(BX79:BX80)-BX81</f>
        <v>134.52827747942808</v>
      </c>
      <c r="BY82" s="68">
        <f>+SUM(BY79:BY80)-BY81</f>
        <v>140.83950018076777</v>
      </c>
      <c r="BZ82" s="68">
        <f>+SUM(BZ79:BZ80)-BZ81</f>
        <v>140.38412585434563</v>
      </c>
      <c r="CA82" s="68">
        <f>+SUM(CA79:CA80)-CA81</f>
        <v>138.58080981904553</v>
      </c>
      <c r="CB82" s="68"/>
      <c r="CC82" s="68">
        <f>+SUM(CC79:CC80)-CC81</f>
        <v>129.46420560071397</v>
      </c>
      <c r="CD82" s="68">
        <f>+SUM(CD79:CD80)-CD81</f>
        <v>133.52827747942808</v>
      </c>
      <c r="CE82" s="68">
        <f>+SUM(CE79:CE80)-CE81</f>
        <v>139.83950018076777</v>
      </c>
      <c r="CF82" s="68">
        <f>+SUM(CF79:CF80)-CF81</f>
        <v>139.38412585434563</v>
      </c>
      <c r="CG82" s="68">
        <f>+SUM(CG79:CG80)-CG81</f>
        <v>138.11058808511868</v>
      </c>
      <c r="CH82" s="68"/>
      <c r="CI82" s="68"/>
      <c r="CJ82" s="68"/>
      <c r="CK82"/>
      <c r="CL82"/>
      <c r="CM82"/>
      <c r="CN82"/>
      <c r="CO82"/>
      <c r="CP82"/>
    </row>
    <row r="83" spans="2:94" s="1102" customFormat="1" ht="4.5" customHeight="1" x14ac:dyDescent="0.2">
      <c r="C83" s="256"/>
      <c r="D83" s="256"/>
      <c r="E83" s="256"/>
      <c r="F83" s="256"/>
      <c r="G83" s="256"/>
      <c r="H83" s="256"/>
      <c r="I83" s="256"/>
      <c r="J83" s="256"/>
      <c r="K83" s="256"/>
      <c r="L83" s="256"/>
      <c r="M83" s="256"/>
      <c r="N83" s="256"/>
      <c r="O83" s="256"/>
      <c r="P83" s="256"/>
      <c r="Q83" s="256"/>
      <c r="R83" s="256"/>
      <c r="S83" s="256"/>
      <c r="T83" s="256"/>
      <c r="U83" s="256"/>
      <c r="V83" s="256"/>
      <c r="W83" s="256"/>
      <c r="X83" s="256"/>
      <c r="Y83" s="256"/>
      <c r="Z83" s="256"/>
      <c r="AA83" s="256"/>
      <c r="AB83" s="256"/>
      <c r="AC83" s="256"/>
      <c r="AD83" s="256"/>
      <c r="AE83" s="256"/>
      <c r="AF83" s="256"/>
      <c r="AG83" s="256"/>
      <c r="AH83" s="256"/>
      <c r="AI83" s="256"/>
      <c r="AJ83" s="256"/>
      <c r="AK83" s="256"/>
      <c r="AL83" s="256"/>
      <c r="AM83" s="256"/>
      <c r="AN83" s="256"/>
      <c r="AO83" s="256"/>
      <c r="AP83" s="256"/>
      <c r="AQ83" s="256"/>
      <c r="AR83" s="256"/>
      <c r="AS83" s="256"/>
      <c r="AT83" s="256"/>
      <c r="AU83" s="256"/>
      <c r="AV83" s="256"/>
      <c r="AW83" s="256"/>
      <c r="AX83" s="256"/>
      <c r="AY83" s="256"/>
      <c r="AZ83" s="256"/>
      <c r="BA83" s="256"/>
      <c r="BB83" s="256"/>
      <c r="BC83" s="256"/>
      <c r="BD83" s="256"/>
      <c r="BE83" s="256"/>
      <c r="BF83" s="256"/>
      <c r="BG83" s="256"/>
      <c r="BH83" s="256"/>
      <c r="BI83" s="256"/>
      <c r="BJ83" s="256"/>
      <c r="BK83" s="256"/>
      <c r="BL83" s="256"/>
      <c r="BM83" s="256"/>
      <c r="BN83" s="256"/>
      <c r="BO83" s="256"/>
      <c r="BP83" s="256"/>
      <c r="BQ83" s="256"/>
      <c r="BR83" s="256"/>
      <c r="BS83" s="256"/>
      <c r="BT83" s="256"/>
      <c r="BU83" s="256"/>
      <c r="BV83" s="256"/>
      <c r="BW83" s="256"/>
      <c r="BX83" s="256"/>
      <c r="BY83" s="256"/>
      <c r="BZ83" s="256"/>
      <c r="CA83" s="256"/>
      <c r="CB83" s="256"/>
      <c r="CC83" s="256"/>
      <c r="CD83" s="256"/>
      <c r="CE83" s="256"/>
      <c r="CF83" s="256"/>
      <c r="CG83" s="256"/>
      <c r="CH83" s="256"/>
      <c r="CI83" s="256"/>
      <c r="CJ83" s="256"/>
      <c r="CK83"/>
      <c r="CL83"/>
      <c r="CM83"/>
      <c r="CN83"/>
      <c r="CO83"/>
      <c r="CP83"/>
    </row>
    <row r="84" spans="2:94" s="1102" customFormat="1" ht="11.25" customHeight="1" x14ac:dyDescent="0.2">
      <c r="B84" s="564" t="s">
        <v>388</v>
      </c>
      <c r="C84" s="565"/>
      <c r="D84" s="565"/>
      <c r="E84" s="565"/>
      <c r="F84" s="565"/>
      <c r="G84" s="565"/>
      <c r="H84" s="494"/>
      <c r="I84" s="565"/>
      <c r="J84" s="565"/>
      <c r="K84" s="565"/>
      <c r="L84" s="565"/>
      <c r="M84" s="565"/>
      <c r="N84" s="494"/>
      <c r="O84" s="565"/>
      <c r="P84" s="565"/>
      <c r="Q84" s="565"/>
      <c r="R84" s="565"/>
      <c r="S84" s="565"/>
      <c r="T84" s="494"/>
      <c r="U84" s="565"/>
      <c r="V84" s="565"/>
      <c r="W84" s="565"/>
      <c r="X84" s="565"/>
      <c r="Y84" s="565"/>
      <c r="Z84" s="494"/>
      <c r="AA84" s="565"/>
      <c r="AB84" s="565"/>
      <c r="AC84" s="565"/>
      <c r="AD84" s="565"/>
      <c r="AE84" s="565"/>
      <c r="AF84" s="494"/>
      <c r="AG84" s="565"/>
      <c r="AH84" s="565"/>
      <c r="AI84" s="565"/>
      <c r="AJ84" s="565"/>
      <c r="AK84" s="565"/>
      <c r="AL84" s="494"/>
      <c r="AM84" s="565"/>
      <c r="AN84" s="565"/>
      <c r="AO84" s="565"/>
      <c r="AP84" s="565"/>
      <c r="AQ84" s="565"/>
      <c r="AR84" s="494"/>
      <c r="AS84" s="565"/>
      <c r="AT84" s="565"/>
      <c r="AU84" s="565"/>
      <c r="AV84" s="565"/>
      <c r="AW84" s="565"/>
      <c r="AX84" s="494"/>
      <c r="AY84" s="565"/>
      <c r="AZ84" s="565"/>
      <c r="BA84" s="565"/>
      <c r="BB84" s="565"/>
      <c r="BC84" s="565"/>
      <c r="BD84" s="494"/>
      <c r="BE84" s="565"/>
      <c r="BF84" s="565"/>
      <c r="BG84" s="565"/>
      <c r="BH84" s="565"/>
      <c r="BI84" s="565"/>
      <c r="BJ84" s="494"/>
      <c r="BK84" s="565"/>
      <c r="BL84" s="565"/>
      <c r="BM84" s="565"/>
      <c r="BN84" s="565"/>
      <c r="BO84" s="565"/>
      <c r="BP84" s="494"/>
      <c r="BQ84" s="565"/>
      <c r="BR84" s="565"/>
      <c r="BS84" s="565"/>
      <c r="BT84" s="565"/>
      <c r="BU84" s="565"/>
      <c r="BV84" s="494"/>
      <c r="BW84" s="565"/>
      <c r="BX84" s="565"/>
      <c r="BY84" s="565"/>
      <c r="BZ84" s="565"/>
      <c r="CA84" s="565"/>
      <c r="CB84" s="494"/>
      <c r="CC84" s="565"/>
      <c r="CD84" s="565"/>
      <c r="CE84" s="565"/>
      <c r="CF84" s="565"/>
      <c r="CG84" s="565"/>
      <c r="CH84" s="68"/>
      <c r="CI84" s="68"/>
      <c r="CJ84" s="68"/>
      <c r="CK84"/>
      <c r="CL84"/>
      <c r="CM84"/>
      <c r="CN84"/>
      <c r="CO84"/>
      <c r="CP84"/>
    </row>
    <row r="85" spans="2:94" s="1102" customFormat="1" ht="11.25" customHeight="1" x14ac:dyDescent="0.2">
      <c r="B85" s="569" t="s">
        <v>389</v>
      </c>
      <c r="C85" s="566">
        <f>+CashFlow!C58</f>
        <v>39.01400000000001</v>
      </c>
      <c r="D85" s="566">
        <f>+CashFlow!D58</f>
        <v>-34.645000000000024</v>
      </c>
      <c r="E85" s="566">
        <f>+CashFlow!E58</f>
        <v>72.387999999999977</v>
      </c>
      <c r="F85" s="566">
        <f>+CashFlow!F58</f>
        <v>27.563000000000017</v>
      </c>
      <c r="G85" s="566">
        <f>+CashFlow!G58</f>
        <v>104.32</v>
      </c>
      <c r="H85" s="567"/>
      <c r="I85" s="566">
        <f>+CashFlow!I58</f>
        <v>-78.723999999999975</v>
      </c>
      <c r="J85" s="566">
        <f>+CashFlow!J58</f>
        <v>22.794000000000025</v>
      </c>
      <c r="K85" s="566">
        <f>+CashFlow!K58</f>
        <v>-59.249000000000024</v>
      </c>
      <c r="L85" s="566">
        <f>+CashFlow!L58</f>
        <v>149.78600000000003</v>
      </c>
      <c r="M85" s="566">
        <f>+CashFlow!M58</f>
        <v>34.606999999999971</v>
      </c>
      <c r="N85" s="567"/>
      <c r="O85" s="566">
        <f>+CashFlow!O58</f>
        <v>22.308</v>
      </c>
      <c r="P85" s="566">
        <f>+CashFlow!P58</f>
        <v>25.571999999999946</v>
      </c>
      <c r="Q85" s="566">
        <f>+CashFlow!Q58</f>
        <v>81.497000000000028</v>
      </c>
      <c r="R85" s="566">
        <f>+CashFlow!R58</f>
        <v>116.97999999999995</v>
      </c>
      <c r="S85" s="566">
        <f>+CashFlow!S58</f>
        <v>246.35699999999997</v>
      </c>
      <c r="T85" s="567"/>
      <c r="U85" s="566">
        <f>+CashFlow!U58</f>
        <v>-45.330999999999989</v>
      </c>
      <c r="V85" s="566">
        <f>+CashFlow!V58</f>
        <v>-64.669999999999987</v>
      </c>
      <c r="W85" s="566">
        <f>+CashFlow!W58</f>
        <v>193.89600000000002</v>
      </c>
      <c r="X85" s="566">
        <f>+CashFlow!X58</f>
        <v>5.7949999999999875</v>
      </c>
      <c r="Y85" s="566">
        <f>+CashFlow!Y58</f>
        <v>89.689999999999884</v>
      </c>
      <c r="Z85" s="567"/>
      <c r="AA85" s="566">
        <f>+CashFlow!AA58</f>
        <v>35.226000000000006</v>
      </c>
      <c r="AB85" s="566">
        <f>+CashFlow!AB58</f>
        <v>96.446000000000012</v>
      </c>
      <c r="AC85" s="566">
        <f>+CashFlow!AC58</f>
        <v>-589.84399999999982</v>
      </c>
      <c r="AD85" s="566">
        <f>+CashFlow!AD58</f>
        <v>-4.7380000000001417</v>
      </c>
      <c r="AE85" s="566">
        <f>+CashFlow!AE58</f>
        <v>-462.91000000000014</v>
      </c>
      <c r="AF85" s="567"/>
      <c r="AG85" s="566">
        <f>+CashFlow!AG58</f>
        <v>-9.7819999999999858</v>
      </c>
      <c r="AH85" s="566">
        <f>+CashFlow!AH58</f>
        <v>-14.13600000000001</v>
      </c>
      <c r="AI85" s="566">
        <f>+CashFlow!AI58</f>
        <v>2.8650000000000233</v>
      </c>
      <c r="AJ85" s="566">
        <f>+CashFlow!AJ58</f>
        <v>24.056999999999903</v>
      </c>
      <c r="AK85" s="566">
        <f>+CashFlow!AK58</f>
        <v>3.0039999999999054</v>
      </c>
      <c r="AL85" s="568"/>
      <c r="AM85" s="566">
        <f>+CashFlow!AM58</f>
        <v>-23.929000000000016</v>
      </c>
      <c r="AN85" s="566">
        <f>+CashFlow!AN58</f>
        <v>0.82399999999999807</v>
      </c>
      <c r="AO85" s="566">
        <f>+CashFlow!AO58</f>
        <v>-6.369000000000014</v>
      </c>
      <c r="AP85" s="566">
        <f>+CashFlow!AP58</f>
        <v>24.295999999999964</v>
      </c>
      <c r="AQ85" s="566">
        <f>+CashFlow!AQ58</f>
        <v>-5.1780000000000541</v>
      </c>
      <c r="AR85" s="568"/>
      <c r="AS85" s="566">
        <f>+CashFlow!AS58</f>
        <v>-19.131000000000014</v>
      </c>
      <c r="AT85" s="566">
        <f>+CashFlow!AT58</f>
        <v>11.106000000000023</v>
      </c>
      <c r="AU85" s="566">
        <f>+CashFlow!AU58</f>
        <v>30.722999999999956</v>
      </c>
      <c r="AV85" s="566">
        <f>+CashFlow!AV58</f>
        <v>53.987000000000023</v>
      </c>
      <c r="AW85" s="566">
        <f>+CashFlow!AW58</f>
        <v>76.685000000000059</v>
      </c>
      <c r="AX85" s="568"/>
      <c r="AY85" s="566">
        <f>+CashFlow!AY58</f>
        <v>-50.975000000000009</v>
      </c>
      <c r="AZ85" s="566">
        <f>+CashFlow!AZ58</f>
        <v>-4.1469999999999345</v>
      </c>
      <c r="BA85" s="566">
        <f>+CashFlow!BA58</f>
        <v>139.92799999999994</v>
      </c>
      <c r="BB85" s="566">
        <f>+CashFlow!BB58</f>
        <v>48.199999999999974</v>
      </c>
      <c r="BC85" s="566">
        <f>+CashFlow!BC58</f>
        <v>133.00599999999997</v>
      </c>
      <c r="BD85" s="568"/>
      <c r="BE85" s="566">
        <f>+CashFlow!BE58</f>
        <v>38.499999999999922</v>
      </c>
      <c r="BF85" s="566">
        <f>+CashFlow!BF58</f>
        <v>-11.5</v>
      </c>
      <c r="BG85" s="566">
        <f>+CashFlow!BG58</f>
        <v>19.100000000000108</v>
      </c>
      <c r="BH85" s="566">
        <f>+CashFlow!BH58</f>
        <v>53.19999999999996</v>
      </c>
      <c r="BI85" s="566">
        <f>+CashFlow!BI58</f>
        <v>99.299999999999841</v>
      </c>
      <c r="BJ85" s="568"/>
      <c r="BK85" s="566">
        <f>+CashFlow!BK58</f>
        <v>-20.600000000000023</v>
      </c>
      <c r="BL85" s="566">
        <f>+CashFlow!BL58</f>
        <v>-94.899999999999693</v>
      </c>
      <c r="BM85" s="566">
        <f>+CashFlow!BM58</f>
        <v>101.59999999999998</v>
      </c>
      <c r="BN85" s="566">
        <f>+CashFlow!BN58</f>
        <v>-49.399999999999977</v>
      </c>
      <c r="BO85" s="566">
        <f>+CashFlow!BO58</f>
        <v>-63.299999999999955</v>
      </c>
      <c r="BP85" s="568"/>
      <c r="BQ85" s="566">
        <f>+CashFlow!BQ58</f>
        <v>91.447691886864106</v>
      </c>
      <c r="BR85" s="566">
        <f>+CashFlow!BR58</f>
        <v>-86.421766190161236</v>
      </c>
      <c r="BS85" s="566">
        <f>+CashFlow!BS58</f>
        <v>-95.638008471034397</v>
      </c>
      <c r="BT85" s="566">
        <f>+CashFlow!BT58</f>
        <v>-7.302711538819409</v>
      </c>
      <c r="BU85" s="566">
        <f>+CashFlow!BU58</f>
        <v>-97.914794313150765</v>
      </c>
      <c r="BV85" s="568"/>
      <c r="BW85" s="566">
        <f>+CashFlow!BW58</f>
        <v>165.77051294029678</v>
      </c>
      <c r="BX85" s="566">
        <f>+CashFlow!BX58</f>
        <v>-68.663460361878435</v>
      </c>
      <c r="BY85" s="566">
        <f>+CashFlow!BY58</f>
        <v>-79.347106361249772</v>
      </c>
      <c r="BZ85" s="566">
        <f>+CashFlow!BZ58</f>
        <v>-10.181180117417227</v>
      </c>
      <c r="CA85" s="566">
        <f>+CashFlow!CA58</f>
        <v>7.5787660997511921</v>
      </c>
      <c r="CB85" s="568"/>
      <c r="CC85" s="566">
        <f>+CashFlow!CC58</f>
        <v>186.0822318683617</v>
      </c>
      <c r="CD85" s="566">
        <f>+CashFlow!CD58</f>
        <v>-57.282013615703733</v>
      </c>
      <c r="CE85" s="566">
        <f>+CashFlow!CE58</f>
        <v>-62.806588126249821</v>
      </c>
      <c r="CF85" s="566">
        <f>+CashFlow!CF58</f>
        <v>-1.2369885800495695E-2</v>
      </c>
      <c r="CG85" s="566">
        <f>+CashFlow!CG58</f>
        <v>65.981260240607867</v>
      </c>
      <c r="CH85" s="237"/>
      <c r="CI85" s="237"/>
      <c r="CJ85" s="237"/>
      <c r="CK85"/>
      <c r="CL85"/>
      <c r="CM85"/>
      <c r="CN85"/>
      <c r="CO85"/>
      <c r="CP85"/>
    </row>
    <row r="86" spans="2:94" s="1102" customFormat="1" ht="11.25" customHeight="1" x14ac:dyDescent="0.2">
      <c r="B86" s="569" t="s">
        <v>390</v>
      </c>
      <c r="C86" s="566">
        <f>+CashFlow!C28</f>
        <v>41.825000000000003</v>
      </c>
      <c r="D86" s="566">
        <f>+CashFlow!D28</f>
        <v>113.24899999999998</v>
      </c>
      <c r="E86" s="566">
        <f>+CashFlow!E28</f>
        <v>101.822</v>
      </c>
      <c r="F86" s="566">
        <f>+CashFlow!F28</f>
        <v>130.80099999999999</v>
      </c>
      <c r="G86" s="566">
        <f>+CashFlow!G28</f>
        <v>387.697</v>
      </c>
      <c r="H86" s="567"/>
      <c r="I86" s="566">
        <f>+CashFlow!I28</f>
        <v>30.171000000000003</v>
      </c>
      <c r="J86" s="566">
        <f>+CashFlow!J28</f>
        <v>108.85400000000001</v>
      </c>
      <c r="K86" s="566">
        <f>+CashFlow!K28</f>
        <v>97.818000000000012</v>
      </c>
      <c r="L86" s="566">
        <f>+CashFlow!L28</f>
        <v>99.138000000000019</v>
      </c>
      <c r="M86" s="566">
        <f>+CashFlow!M28</f>
        <v>335.98099999999999</v>
      </c>
      <c r="N86" s="567"/>
      <c r="O86" s="566">
        <f>+CashFlow!O28</f>
        <v>10.639000000000001</v>
      </c>
      <c r="P86" s="566">
        <f>+CashFlow!P28</f>
        <v>104.71999999999998</v>
      </c>
      <c r="Q86" s="566">
        <f>+CashFlow!Q28</f>
        <v>130.00500000000002</v>
      </c>
      <c r="R86" s="566">
        <f>+CashFlow!R28</f>
        <v>117.12499999999997</v>
      </c>
      <c r="S86" s="566">
        <f>+CashFlow!S28</f>
        <v>362.48899999999998</v>
      </c>
      <c r="T86" s="567"/>
      <c r="U86" s="566">
        <f>+CashFlow!U28</f>
        <v>36.543999999999997</v>
      </c>
      <c r="V86" s="566">
        <f>+CashFlow!V28</f>
        <v>113.92400000000001</v>
      </c>
      <c r="W86" s="566">
        <f>+CashFlow!W28</f>
        <v>98.422000000000011</v>
      </c>
      <c r="X86" s="566">
        <f>+CashFlow!X28</f>
        <v>113.43399999999998</v>
      </c>
      <c r="Y86" s="566">
        <f>+CashFlow!Y28</f>
        <v>362.32399999999996</v>
      </c>
      <c r="Z86" s="567"/>
      <c r="AA86" s="566">
        <f>+CashFlow!AA28</f>
        <v>44.005999999999993</v>
      </c>
      <c r="AB86" s="566">
        <f>+CashFlow!AB28</f>
        <v>120.95800000000001</v>
      </c>
      <c r="AC86" s="566">
        <f>+CashFlow!AC28</f>
        <v>87.180999999999997</v>
      </c>
      <c r="AD86" s="566">
        <f>+CashFlow!AD28</f>
        <v>141.32399999999998</v>
      </c>
      <c r="AE86" s="566">
        <f>+CashFlow!AE28</f>
        <v>393.46899999999999</v>
      </c>
      <c r="AF86" s="567"/>
      <c r="AG86" s="566">
        <f>+CashFlow!AG28</f>
        <v>19.953000000000014</v>
      </c>
      <c r="AH86" s="566">
        <f>+CashFlow!AH28</f>
        <v>83.441999999999993</v>
      </c>
      <c r="AI86" s="566">
        <f>+CashFlow!AI28</f>
        <v>98.67000000000003</v>
      </c>
      <c r="AJ86" s="566">
        <f>+CashFlow!AJ28</f>
        <v>167.61999999999992</v>
      </c>
      <c r="AK86" s="566">
        <f>+CashFlow!AK28</f>
        <v>369.68499999999995</v>
      </c>
      <c r="AL86" s="568"/>
      <c r="AM86" s="566">
        <f>+CashFlow!AM28</f>
        <v>36.085999999999984</v>
      </c>
      <c r="AN86" s="566">
        <f>+CashFlow!AN28</f>
        <v>95.782000000000011</v>
      </c>
      <c r="AO86" s="566">
        <f>+CashFlow!AO28</f>
        <v>126.39799999999998</v>
      </c>
      <c r="AP86" s="566">
        <f>+CashFlow!AP28</f>
        <v>159.57999999999996</v>
      </c>
      <c r="AQ86" s="566">
        <f>+CashFlow!AQ28</f>
        <v>417.84599999999995</v>
      </c>
      <c r="AR86" s="568"/>
      <c r="AS86" s="566">
        <f>+CashFlow!AS28</f>
        <v>64.564999999999998</v>
      </c>
      <c r="AT86" s="566">
        <f>+CashFlow!AT28</f>
        <v>155.68</v>
      </c>
      <c r="AU86" s="566">
        <f>+CashFlow!AU28</f>
        <v>147.535</v>
      </c>
      <c r="AV86" s="566">
        <f>+CashFlow!AV28</f>
        <v>192.62099999999998</v>
      </c>
      <c r="AW86" s="566">
        <f>+CashFlow!AW28</f>
        <v>560.40100000000007</v>
      </c>
      <c r="AX86" s="568"/>
      <c r="AY86" s="566">
        <f>+CashFlow!AY28</f>
        <v>65.631</v>
      </c>
      <c r="AZ86" s="566">
        <f>+CashFlow!AZ28</f>
        <v>145.614</v>
      </c>
      <c r="BA86" s="566">
        <f>+CashFlow!BA28</f>
        <v>159.75499999999997</v>
      </c>
      <c r="BB86" s="566">
        <f>+CashFlow!BB28</f>
        <v>126.39999999999996</v>
      </c>
      <c r="BC86" s="566">
        <f>+CashFlow!BC28</f>
        <v>497.39999999999992</v>
      </c>
      <c r="BD86" s="568"/>
      <c r="BE86" s="566">
        <f>+CashFlow!BE28</f>
        <v>9.1000000000000014</v>
      </c>
      <c r="BF86" s="566">
        <f>+CashFlow!BF28</f>
        <v>187.79999999999998</v>
      </c>
      <c r="BG86" s="566">
        <f>+CashFlow!BG28</f>
        <v>155.40000000000003</v>
      </c>
      <c r="BH86" s="566">
        <f>+CashFlow!BH28</f>
        <v>223.8</v>
      </c>
      <c r="BI86" s="566">
        <f>+CashFlow!BI28</f>
        <v>576.09999999999991</v>
      </c>
      <c r="BJ86" s="568"/>
      <c r="BK86" s="566">
        <f>+CashFlow!BK28</f>
        <v>82.5</v>
      </c>
      <c r="BL86" s="566">
        <f>+CashFlow!BL28</f>
        <v>126.20000000000027</v>
      </c>
      <c r="BM86" s="566">
        <f>+CashFlow!BM28</f>
        <v>164.29999999999998</v>
      </c>
      <c r="BN86" s="566">
        <f>+CashFlow!BN28</f>
        <v>228.89999999999998</v>
      </c>
      <c r="BO86" s="566">
        <f>+CashFlow!BO28</f>
        <v>601.90000000000009</v>
      </c>
      <c r="BP86" s="568"/>
      <c r="BQ86" s="566">
        <f>+CashFlow!BQ28</f>
        <v>269.28181639752131</v>
      </c>
      <c r="BR86" s="566">
        <f>+CashFlow!BR28</f>
        <v>83.498367223758947</v>
      </c>
      <c r="BS86" s="566">
        <f>+CashFlow!BS28</f>
        <v>75.446764483283573</v>
      </c>
      <c r="BT86" s="566">
        <f>+CashFlow!BT28</f>
        <v>164.81954936992594</v>
      </c>
      <c r="BU86" s="566">
        <f>+CashFlow!BU28</f>
        <v>593.04649747448991</v>
      </c>
      <c r="BV86" s="568"/>
      <c r="BW86" s="566">
        <f>+CashFlow!BW28</f>
        <v>355.05712496262322</v>
      </c>
      <c r="BX86" s="566">
        <f>+CashFlow!BX28</f>
        <v>123.15516426273922</v>
      </c>
      <c r="BY86" s="566">
        <f>+CashFlow!BY28</f>
        <v>113.81245077582081</v>
      </c>
      <c r="BZ86" s="566">
        <f>+CashFlow!BZ28</f>
        <v>184.1337339221655</v>
      </c>
      <c r="CA86" s="566">
        <f>+CashFlow!CA28</f>
        <v>776.15847392334865</v>
      </c>
      <c r="CB86" s="568"/>
      <c r="CC86" s="566">
        <f>+CashFlow!CC28</f>
        <v>372.3997503820591</v>
      </c>
      <c r="CD86" s="566">
        <f>+CashFlow!CD28</f>
        <v>130.07961089479309</v>
      </c>
      <c r="CE86" s="566">
        <f>+CashFlow!CE28</f>
        <v>126.4554937832247</v>
      </c>
      <c r="CF86" s="566">
        <f>+CashFlow!CF28</f>
        <v>191.10811137279276</v>
      </c>
      <c r="CG86" s="566">
        <f>+CashFlow!CG28</f>
        <v>820.04296643286978</v>
      </c>
      <c r="CH86" s="237"/>
      <c r="CI86" s="237"/>
      <c r="CJ86" s="237"/>
      <c r="CK86"/>
      <c r="CL86"/>
      <c r="CM86"/>
      <c r="CN86"/>
      <c r="CO86"/>
      <c r="CP86"/>
    </row>
    <row r="87" spans="2:94" s="1102" customFormat="1" ht="11.25" customHeight="1" x14ac:dyDescent="0.2">
      <c r="B87" s="569" t="s">
        <v>202</v>
      </c>
      <c r="C87" s="566">
        <f>+CashFlow!C66</f>
        <v>31.117000000000004</v>
      </c>
      <c r="D87" s="566">
        <f>+CashFlow!D66</f>
        <v>102.79799999999999</v>
      </c>
      <c r="E87" s="566">
        <f>+CashFlow!E66</f>
        <v>85.140999999999991</v>
      </c>
      <c r="F87" s="566">
        <f>+CashFlow!F66</f>
        <v>104.47799999999999</v>
      </c>
      <c r="G87" s="566">
        <f>+CashFlow!G66</f>
        <v>323.53399999999999</v>
      </c>
      <c r="H87" s="567"/>
      <c r="I87" s="566">
        <f>+CashFlow!I66</f>
        <v>11.489000000000004</v>
      </c>
      <c r="J87" s="566">
        <f>+CashFlow!J66</f>
        <v>90.962000000000018</v>
      </c>
      <c r="K87" s="566">
        <f>+CashFlow!K66</f>
        <v>79.106000000000009</v>
      </c>
      <c r="L87" s="566">
        <f>+CashFlow!L66</f>
        <v>77.984000000000023</v>
      </c>
      <c r="M87" s="566">
        <f>+CashFlow!M66</f>
        <v>259.541</v>
      </c>
      <c r="N87" s="567"/>
      <c r="O87" s="566">
        <f>+CashFlow!O66</f>
        <v>-3.5439999999999987</v>
      </c>
      <c r="P87" s="566">
        <f>+CashFlow!P66</f>
        <v>93.945999999999984</v>
      </c>
      <c r="Q87" s="566">
        <f>+CashFlow!Q66</f>
        <v>111.68000000000004</v>
      </c>
      <c r="R87" s="566">
        <f>+CashFlow!R66</f>
        <v>103.92599999999996</v>
      </c>
      <c r="S87" s="566">
        <f>+CashFlow!S66</f>
        <v>306.00799999999998</v>
      </c>
      <c r="T87" s="567"/>
      <c r="U87" s="566">
        <f>+CashFlow!U66</f>
        <v>28.513999999999996</v>
      </c>
      <c r="V87" s="566">
        <f>+CashFlow!V66</f>
        <v>103.057</v>
      </c>
      <c r="W87" s="566">
        <f>+CashFlow!W66</f>
        <v>87.753000000000014</v>
      </c>
      <c r="X87" s="566">
        <f>+CashFlow!X66</f>
        <v>98.763999999999982</v>
      </c>
      <c r="Y87" s="566">
        <f>+CashFlow!Y66</f>
        <v>318.08799999999997</v>
      </c>
      <c r="Z87" s="567"/>
      <c r="AA87" s="566">
        <f>+CashFlow!AA66</f>
        <v>32.231999999999992</v>
      </c>
      <c r="AB87" s="566">
        <f>+CashFlow!AB66</f>
        <v>107.39400000000001</v>
      </c>
      <c r="AC87" s="566">
        <f>+CashFlow!AC66</f>
        <v>67.060999999999993</v>
      </c>
      <c r="AD87" s="566">
        <f>+CashFlow!AD66</f>
        <v>115.59599999999998</v>
      </c>
      <c r="AE87" s="566">
        <f>+CashFlow!AE66</f>
        <v>322.28300000000002</v>
      </c>
      <c r="AF87" s="567"/>
      <c r="AG87" s="566">
        <f>+CashFlow!AG66</f>
        <v>1.3110000000000142</v>
      </c>
      <c r="AH87" s="566">
        <f>+CashFlow!AH66</f>
        <v>59.097999999999999</v>
      </c>
      <c r="AI87" s="566">
        <f>+CashFlow!AI66</f>
        <v>76.797000000000025</v>
      </c>
      <c r="AJ87" s="566">
        <f>+CashFlow!AJ66</f>
        <v>140.40699999999993</v>
      </c>
      <c r="AK87" s="566">
        <f>+CashFlow!AK66</f>
        <v>277.61299999999994</v>
      </c>
      <c r="AL87" s="568"/>
      <c r="AM87" s="566">
        <f>+CashFlow!AM66</f>
        <v>12.053999999999984</v>
      </c>
      <c r="AN87" s="566">
        <f>+CashFlow!AN66</f>
        <v>73.663000000000011</v>
      </c>
      <c r="AO87" s="566">
        <f>+CashFlow!AO66</f>
        <v>99.048999999999978</v>
      </c>
      <c r="AP87" s="566">
        <f>+CashFlow!AP66</f>
        <v>132.73499999999996</v>
      </c>
      <c r="AQ87" s="566">
        <f>+CashFlow!AQ66</f>
        <v>317.50099999999998</v>
      </c>
      <c r="AR87" s="568"/>
      <c r="AS87" s="566">
        <f>+CashFlow!AS66</f>
        <v>39.242999999999995</v>
      </c>
      <c r="AT87" s="566">
        <f>+CashFlow!AT66</f>
        <v>132.17099999999999</v>
      </c>
      <c r="AU87" s="566">
        <f>+CashFlow!AU66</f>
        <v>123.34099999999999</v>
      </c>
      <c r="AV87" s="566">
        <f>+CashFlow!AV66</f>
        <v>166.06799999999998</v>
      </c>
      <c r="AW87" s="566">
        <f>+CashFlow!AW66</f>
        <v>460.82300000000009</v>
      </c>
      <c r="AX87" s="568"/>
      <c r="AY87" s="566">
        <f>+CashFlow!AY66</f>
        <v>49.388000000000005</v>
      </c>
      <c r="AZ87" s="566">
        <f>+CashFlow!AZ66</f>
        <v>128.423</v>
      </c>
      <c r="BA87" s="566">
        <f>+CashFlow!BA66</f>
        <v>141.48899999999998</v>
      </c>
      <c r="BB87" s="566">
        <f>+CashFlow!BB66</f>
        <v>106.09999999999997</v>
      </c>
      <c r="BC87" s="566">
        <f>+CashFlow!BC66</f>
        <v>425.39999999999992</v>
      </c>
      <c r="BD87" s="568"/>
      <c r="BE87" s="566">
        <f>+CashFlow!BE66</f>
        <v>-11.7</v>
      </c>
      <c r="BF87" s="566">
        <f>+CashFlow!BF66</f>
        <v>160.79999999999998</v>
      </c>
      <c r="BG87" s="566">
        <f>+CashFlow!BG66</f>
        <v>124.20000000000003</v>
      </c>
      <c r="BH87" s="566">
        <f>+CashFlow!BH66</f>
        <v>177.8</v>
      </c>
      <c r="BI87" s="566">
        <f>+CashFlow!BI66</f>
        <v>451.09999999999991</v>
      </c>
      <c r="BJ87" s="568"/>
      <c r="BK87" s="566">
        <f>+CashFlow!BK66</f>
        <v>51.4</v>
      </c>
      <c r="BL87" s="566">
        <f>+CashFlow!BL66</f>
        <v>92.500000000000284</v>
      </c>
      <c r="BM87" s="566">
        <f>+CashFlow!BM66</f>
        <v>130.5</v>
      </c>
      <c r="BN87" s="566">
        <f>+CashFlow!BN66</f>
        <v>183.19999999999996</v>
      </c>
      <c r="BO87" s="566">
        <f>+CashFlow!BO66</f>
        <v>457.60000000000008</v>
      </c>
      <c r="BP87" s="568"/>
      <c r="BQ87" s="566">
        <f>+CashFlow!BQ66</f>
        <v>236.96243639752132</v>
      </c>
      <c r="BR87" s="566">
        <f>+CashFlow!BR66</f>
        <v>47.456191223758942</v>
      </c>
      <c r="BS87" s="566">
        <f>+CashFlow!BS66</f>
        <v>38.650196483283565</v>
      </c>
      <c r="BT87" s="566">
        <f>+CashFlow!BT66</f>
        <v>125.28149336992593</v>
      </c>
      <c r="BU87" s="566">
        <f>+CashFlow!BU66</f>
        <v>448.35031747448988</v>
      </c>
      <c r="BV87" s="568"/>
      <c r="BW87" s="566">
        <f>+CashFlow!BW66</f>
        <v>321.6458193226232</v>
      </c>
      <c r="BX87" s="566">
        <f>+CashFlow!BX66</f>
        <v>85.451340942739208</v>
      </c>
      <c r="BY87" s="566">
        <f>+CashFlow!BY66</f>
        <v>75.482937015820795</v>
      </c>
      <c r="BZ87" s="566">
        <f>+CashFlow!BZ66</f>
        <v>143.25303832216548</v>
      </c>
      <c r="CA87" s="566">
        <f>+CashFlow!CA66</f>
        <v>625.83313560334864</v>
      </c>
      <c r="CB87" s="568"/>
      <c r="CC87" s="566">
        <f>+CashFlow!CC66</f>
        <v>337.84134236185912</v>
      </c>
      <c r="CD87" s="566">
        <f>+CashFlow!CD66</f>
        <v>91.452605019393076</v>
      </c>
      <c r="CE87" s="566">
        <f>+CashFlow!CE66</f>
        <v>87.077438274424679</v>
      </c>
      <c r="CF87" s="566">
        <f>+CashFlow!CF66</f>
        <v>148.81407955799276</v>
      </c>
      <c r="CG87" s="566">
        <f>+CashFlow!CG66</f>
        <v>665.18546521366977</v>
      </c>
      <c r="CH87" s="237"/>
      <c r="CI87" s="237"/>
      <c r="CJ87" s="237"/>
      <c r="CK87"/>
      <c r="CL87"/>
      <c r="CM87"/>
      <c r="CN87"/>
      <c r="CO87"/>
      <c r="CP87"/>
    </row>
    <row r="88" spans="2:94" s="1102" customFormat="1" ht="11.25" customHeight="1" x14ac:dyDescent="0.2">
      <c r="B88" s="569" t="s">
        <v>391</v>
      </c>
      <c r="C88" s="570">
        <f>+CashFlow!C67</f>
        <v>0.20340168515455967</v>
      </c>
      <c r="D88" s="570">
        <f>+CashFlow!D67</f>
        <v>0.66375675553518043</v>
      </c>
      <c r="E88" s="570">
        <f>+CashFlow!E67</f>
        <v>0.55023394685141136</v>
      </c>
      <c r="F88" s="570">
        <f>+CashFlow!F67</f>
        <v>0.67606672792452338</v>
      </c>
      <c r="G88" s="570">
        <f>+CashFlow!G67</f>
        <v>2.0910800731639529</v>
      </c>
      <c r="H88" s="494"/>
      <c r="I88" s="570">
        <f>+CashFlow!I67</f>
        <v>7.5099847695495603E-2</v>
      </c>
      <c r="J88" s="570">
        <f>+CashFlow!J67</f>
        <v>0.59926213848079601</v>
      </c>
      <c r="K88" s="570">
        <f>+CashFlow!K67</f>
        <v>0.52147372723257546</v>
      </c>
      <c r="L88" s="570">
        <f>+CashFlow!L67</f>
        <v>0.51908356297509228</v>
      </c>
      <c r="M88" s="570">
        <f>+CashFlow!M67</f>
        <v>1.7111201946215362</v>
      </c>
      <c r="N88" s="494"/>
      <c r="O88" s="570">
        <f>+CashFlow!O67</f>
        <v>-2.3673224007214177E-2</v>
      </c>
      <c r="P88" s="570">
        <f>+CashFlow!P67</f>
        <v>0.62606876053766225</v>
      </c>
      <c r="Q88" s="570">
        <f>+CashFlow!Q67</f>
        <v>0.74137999707909052</v>
      </c>
      <c r="R88" s="570">
        <f>+CashFlow!R67</f>
        <v>0.69183453381086135</v>
      </c>
      <c r="S88" s="570">
        <f>+CashFlow!S67</f>
        <v>2.0386670397463056</v>
      </c>
      <c r="T88" s="494"/>
      <c r="U88" s="570">
        <f>+CashFlow!U67</f>
        <v>0.19099227028547694</v>
      </c>
      <c r="V88" s="570">
        <f>+CashFlow!V67</f>
        <v>0.70135906736809162</v>
      </c>
      <c r="W88" s="570">
        <f>+CashFlow!W67</f>
        <v>0.60912933924741275</v>
      </c>
      <c r="X88" s="570">
        <f>+CashFlow!X67</f>
        <v>0.68616130668278463</v>
      </c>
      <c r="Y88" s="570">
        <f>+CashFlow!Y67</f>
        <v>2.1789087919991776</v>
      </c>
      <c r="Z88" s="494"/>
      <c r="AA88" s="570">
        <f>+CashFlow!AA67</f>
        <v>0.22376496070645074</v>
      </c>
      <c r="AB88" s="570">
        <f>+CashFlow!AB67</f>
        <v>0.74905316900671681</v>
      </c>
      <c r="AC88" s="570">
        <f>+CashFlow!AC67</f>
        <v>0.46766623661912887</v>
      </c>
      <c r="AD88" s="570">
        <f>+CashFlow!AD67</f>
        <v>0.80510941787739054</v>
      </c>
      <c r="AE88" s="570">
        <f>+CashFlow!AE67</f>
        <v>2.2443496578979443</v>
      </c>
      <c r="AF88" s="494"/>
      <c r="AG88" s="570">
        <f>+CashFlow!AG67</f>
        <v>9.1051783531504484E-3</v>
      </c>
      <c r="AH88" s="570">
        <f>+CashFlow!AH67</f>
        <v>0.41079360224658179</v>
      </c>
      <c r="AI88" s="570">
        <f>+CashFlow!AI67</f>
        <v>0.53374245920324725</v>
      </c>
      <c r="AJ88" s="570">
        <f>+CashFlow!AJ67</f>
        <v>0.97304171257891658</v>
      </c>
      <c r="AK88" s="570">
        <f>+CashFlow!AK67</f>
        <v>1.9277743443027071</v>
      </c>
      <c r="AL88" s="565"/>
      <c r="AM88" s="570">
        <f>+CashFlow!AM67</f>
        <v>8.3074314778185832E-2</v>
      </c>
      <c r="AN88" s="570">
        <f>+CashFlow!AN67</f>
        <v>0.50755513907932726</v>
      </c>
      <c r="AO88" s="570">
        <f>+CashFlow!AO67</f>
        <v>0.68452224633374315</v>
      </c>
      <c r="AP88" s="570">
        <f>+CashFlow!AP67</f>
        <v>0.91442369296692505</v>
      </c>
      <c r="AQ88" s="570">
        <f>+CashFlow!AQ67</f>
        <v>2.1893336689151797</v>
      </c>
      <c r="AR88" s="565"/>
      <c r="AS88" s="570">
        <f>+CashFlow!AS67</f>
        <v>0.27166621669331892</v>
      </c>
      <c r="AT88" s="570">
        <f>+CashFlow!AT67</f>
        <v>0.91681002191948058</v>
      </c>
      <c r="AU88" s="570">
        <f>+CashFlow!AU67</f>
        <v>0.85483692111500764</v>
      </c>
      <c r="AV88" s="570">
        <f>+CashFlow!AV67</f>
        <v>1.1532820356121001</v>
      </c>
      <c r="AW88" s="570">
        <f>+CashFlow!AW67</f>
        <v>3.1951728118786829</v>
      </c>
      <c r="AX88" s="565"/>
      <c r="AY88" s="570">
        <f>+CashFlow!AY67</f>
        <v>0.34584465421136668</v>
      </c>
      <c r="AZ88" s="570">
        <f>+CashFlow!AZ67</f>
        <v>0.90272173876368955</v>
      </c>
      <c r="BA88" s="570">
        <f>+CashFlow!BA67</f>
        <v>0.99360252808988747</v>
      </c>
      <c r="BB88" s="570">
        <f>+CashFlow!BB67</f>
        <v>0.74247725682295285</v>
      </c>
      <c r="BC88" s="570">
        <f>+CashFlow!BC67</f>
        <v>2.9852631578947362</v>
      </c>
      <c r="BD88" s="565"/>
      <c r="BE88" s="570">
        <f>+CashFlow!BE67</f>
        <v>-6.55829596412556E-2</v>
      </c>
      <c r="BF88" s="570">
        <f>+CashFlow!BF67</f>
        <v>0.67733782645324336</v>
      </c>
      <c r="BG88" s="570">
        <f>+CashFlow!BG67</f>
        <v>0.52560304697418547</v>
      </c>
      <c r="BH88" s="570">
        <f>+CashFlow!BH67</f>
        <v>0.75918018787361241</v>
      </c>
      <c r="BI88" s="570">
        <f>+CashFlow!BI67</f>
        <v>2.0356498194945845</v>
      </c>
      <c r="BJ88" s="565"/>
      <c r="BK88" s="570">
        <f>+CashFlow!BK67</f>
        <v>0.21965811965811965</v>
      </c>
      <c r="BL88" s="570">
        <f>+CashFlow!BL67</f>
        <v>0.39654470237712597</v>
      </c>
      <c r="BM88" s="570">
        <f>+CashFlow!BM67</f>
        <v>0.55984555984555984</v>
      </c>
      <c r="BN88" s="570">
        <f>+CashFlow!BN67</f>
        <v>0.79003997636779966</v>
      </c>
      <c r="BO88" s="570">
        <f>+CashFlow!BO67</f>
        <v>1.9670890864384343</v>
      </c>
      <c r="BP88" s="565"/>
      <c r="BQ88" s="570">
        <f>+CashFlow!BQ67</f>
        <v>1.0419849421136131</v>
      </c>
      <c r="BR88" s="570">
        <f>+CashFlow!BR67</f>
        <v>0.21043709766797372</v>
      </c>
      <c r="BS88" s="570">
        <f>+CashFlow!BS67</f>
        <v>0.17272533149814409</v>
      </c>
      <c r="BT88" s="570">
        <f>+CashFlow!BT67</f>
        <v>0.56439336777433136</v>
      </c>
      <c r="BU88" s="570">
        <f>+CashFlow!BU67</f>
        <v>1.9956188671344406</v>
      </c>
      <c r="BV88" s="565"/>
      <c r="BW88" s="570">
        <f>+CashFlow!BW67</f>
        <v>1.4632097710447001</v>
      </c>
      <c r="BX88" s="570">
        <f>+CashFlow!BX67</f>
        <v>0.39193920755526473</v>
      </c>
      <c r="BY88" s="570">
        <f>+CashFlow!BY67</f>
        <v>0.34934413609448017</v>
      </c>
      <c r="BZ88" s="570">
        <f>+CashFlow!BZ67</f>
        <v>0.6692598323370661</v>
      </c>
      <c r="CA88" s="570">
        <f>+CashFlow!CA67</f>
        <v>2.8841519066421455</v>
      </c>
      <c r="CB88" s="565"/>
      <c r="CC88" s="570">
        <f>+CashFlow!CC67</f>
        <v>1.5931752594928945</v>
      </c>
      <c r="CD88" s="570">
        <f>+CashFlow!CD67</f>
        <v>0.43463379621620468</v>
      </c>
      <c r="CE88" s="570">
        <f>+CashFlow!CE67</f>
        <v>0.41739606094397935</v>
      </c>
      <c r="CF88" s="570">
        <f>+CashFlow!CF67</f>
        <v>0.71975263058551819</v>
      </c>
      <c r="CG88" s="570">
        <f>+CashFlow!CG67</f>
        <v>3.1756921911573919</v>
      </c>
      <c r="CH88" s="661"/>
      <c r="CI88" s="661"/>
      <c r="CJ88" s="661"/>
      <c r="CK88"/>
      <c r="CL88"/>
      <c r="CM88"/>
      <c r="CN88"/>
      <c r="CO88"/>
      <c r="CP88"/>
    </row>
    <row r="89" spans="2:94" s="1102" customFormat="1" ht="4.5" customHeight="1" x14ac:dyDescent="0.2">
      <c r="C89" s="256"/>
      <c r="D89" s="256"/>
      <c r="E89" s="256"/>
      <c r="F89" s="256"/>
      <c r="G89" s="256"/>
      <c r="H89" s="256"/>
      <c r="I89" s="256"/>
      <c r="J89" s="256"/>
      <c r="K89" s="256"/>
      <c r="L89" s="256"/>
      <c r="M89" s="256"/>
      <c r="N89" s="256"/>
      <c r="O89" s="256"/>
      <c r="P89" s="256"/>
      <c r="Q89" s="256"/>
      <c r="R89" s="256"/>
      <c r="S89" s="256"/>
      <c r="T89" s="256"/>
      <c r="U89" s="256"/>
      <c r="V89" s="256"/>
      <c r="W89" s="256"/>
      <c r="X89" s="256"/>
      <c r="Y89" s="256"/>
      <c r="Z89" s="256"/>
      <c r="AA89" s="256"/>
      <c r="AB89" s="256"/>
      <c r="AC89" s="256"/>
      <c r="AD89" s="256"/>
      <c r="AE89" s="256"/>
      <c r="AF89" s="256"/>
      <c r="AG89" s="256"/>
      <c r="AH89" s="256"/>
      <c r="AI89" s="256"/>
      <c r="AJ89" s="256"/>
      <c r="AK89" s="256"/>
      <c r="AL89" s="256"/>
      <c r="AM89" s="256"/>
      <c r="AN89" s="256"/>
      <c r="AO89" s="256"/>
      <c r="AP89" s="256"/>
      <c r="AQ89" s="256"/>
      <c r="AR89" s="256"/>
      <c r="AS89" s="256"/>
      <c r="AT89" s="256"/>
      <c r="AU89" s="256"/>
      <c r="AV89" s="256"/>
      <c r="AW89" s="256"/>
      <c r="AX89" s="256"/>
      <c r="AY89" s="256"/>
      <c r="AZ89" s="256"/>
      <c r="BA89" s="256"/>
      <c r="BB89" s="256"/>
      <c r="BC89" s="256"/>
      <c r="BD89" s="256"/>
      <c r="BE89" s="256"/>
      <c r="BF89" s="256"/>
      <c r="BG89" s="256"/>
      <c r="BH89" s="256"/>
      <c r="BI89" s="256"/>
      <c r="BJ89" s="256"/>
      <c r="BK89" s="256"/>
      <c r="BL89" s="256"/>
      <c r="BM89" s="256"/>
      <c r="BN89" s="256"/>
      <c r="BO89" s="256"/>
      <c r="BP89" s="256"/>
      <c r="BQ89" s="256"/>
      <c r="BR89" s="256"/>
      <c r="BS89" s="256"/>
      <c r="BT89" s="256"/>
      <c r="BU89" s="256"/>
      <c r="BV89" s="256"/>
      <c r="BW89" s="256"/>
      <c r="BX89" s="256"/>
      <c r="BY89" s="256"/>
      <c r="BZ89" s="256"/>
      <c r="CA89" s="256"/>
      <c r="CB89" s="256"/>
      <c r="CC89" s="256"/>
      <c r="CD89" s="256"/>
      <c r="CE89" s="256"/>
      <c r="CF89" s="256"/>
      <c r="CG89" s="256"/>
      <c r="CH89" s="256"/>
      <c r="CI89" s="256"/>
      <c r="CJ89" s="256"/>
      <c r="CK89"/>
      <c r="CL89"/>
      <c r="CM89"/>
      <c r="CN89"/>
      <c r="CO89"/>
      <c r="CP89"/>
    </row>
    <row r="90" spans="2:94" s="1102" customFormat="1" ht="11.25" customHeight="1" x14ac:dyDescent="0.2">
      <c r="B90" s="15" t="s">
        <v>103</v>
      </c>
      <c r="C90" s="68"/>
      <c r="D90" s="68"/>
      <c r="E90" s="68"/>
      <c r="F90" s="68"/>
      <c r="G90" s="68"/>
      <c r="H90" s="50"/>
      <c r="I90" s="68"/>
      <c r="J90" s="68"/>
      <c r="K90" s="68"/>
      <c r="L90" s="68"/>
      <c r="M90" s="68"/>
      <c r="N90" s="50"/>
      <c r="O90" s="68"/>
      <c r="P90" s="68"/>
      <c r="Q90" s="68"/>
      <c r="R90" s="68"/>
      <c r="S90" s="68"/>
      <c r="T90" s="50"/>
      <c r="U90" s="68"/>
      <c r="V90" s="68"/>
      <c r="W90" s="68"/>
      <c r="X90" s="68"/>
      <c r="Y90" s="68"/>
      <c r="Z90" s="50"/>
      <c r="AA90" s="68"/>
      <c r="AB90" s="68"/>
      <c r="AC90" s="68"/>
      <c r="AD90" s="68"/>
      <c r="AE90" s="68"/>
      <c r="AF90" s="50"/>
      <c r="AG90" s="68"/>
      <c r="AH90" s="68"/>
      <c r="AI90" s="68"/>
      <c r="AJ90" s="68"/>
      <c r="AK90" s="68"/>
      <c r="AL90" s="50"/>
      <c r="AM90" s="68"/>
      <c r="AN90" s="68"/>
      <c r="AO90" s="68"/>
      <c r="AP90" s="68"/>
      <c r="AQ90" s="68"/>
      <c r="AR90" s="50"/>
      <c r="AS90" s="68"/>
      <c r="AT90" s="68"/>
      <c r="AU90" s="68"/>
      <c r="AV90" s="68"/>
      <c r="AW90" s="68"/>
      <c r="AX90" s="50"/>
      <c r="AY90" s="68"/>
      <c r="AZ90" s="68"/>
      <c r="BA90" s="68"/>
      <c r="BB90" s="68"/>
      <c r="BC90" s="68"/>
      <c r="BD90" s="50"/>
      <c r="BE90" s="68"/>
      <c r="BF90" s="68"/>
      <c r="BG90" s="68"/>
      <c r="BH90" s="68"/>
      <c r="BI90" s="68"/>
      <c r="BJ90" s="50"/>
      <c r="BK90" s="68"/>
      <c r="BL90" s="68"/>
      <c r="BM90" s="68"/>
      <c r="BN90" s="68"/>
      <c r="BO90" s="68"/>
      <c r="BP90" s="50"/>
      <c r="BQ90" s="68"/>
      <c r="BR90" s="68"/>
      <c r="BS90" s="68"/>
      <c r="BT90" s="68"/>
      <c r="BU90" s="68"/>
      <c r="BV90" s="50"/>
      <c r="BW90" s="68"/>
      <c r="BX90" s="68"/>
      <c r="BY90" s="68"/>
      <c r="BZ90" s="68"/>
      <c r="CA90" s="68"/>
      <c r="CB90" s="50"/>
      <c r="CC90" s="68"/>
      <c r="CD90" s="68"/>
      <c r="CE90" s="68"/>
      <c r="CF90" s="68"/>
      <c r="CG90" s="68"/>
      <c r="CH90" s="68"/>
      <c r="CI90" s="68"/>
      <c r="CJ90" s="68"/>
      <c r="CK90"/>
      <c r="CL90"/>
      <c r="CM90"/>
      <c r="CN90"/>
      <c r="CO90"/>
      <c r="CP90"/>
    </row>
    <row r="91" spans="2:94" s="1102" customFormat="1" ht="11.25" customHeight="1" outlineLevel="1" x14ac:dyDescent="0.2">
      <c r="B91" s="1" t="s">
        <v>104</v>
      </c>
      <c r="C91" s="96">
        <f>+C9/'P&amp;L'!C34</f>
        <v>0.68032395756391228</v>
      </c>
      <c r="D91" s="96">
        <f>+D9/'P&amp;L'!D34</f>
        <v>0.44832863055535815</v>
      </c>
      <c r="E91" s="96">
        <f>+E9/'P&amp;L'!E34</f>
        <v>0.91653526005583674</v>
      </c>
      <c r="F91" s="96">
        <f>+F9/'P&amp;L'!F34</f>
        <v>1.0960669867605375</v>
      </c>
      <c r="G91" s="96">
        <f>+G9/'P&amp;L'!G34</f>
        <v>1.0947705870567017</v>
      </c>
      <c r="H91" s="50"/>
      <c r="I91" s="96">
        <f>+I9/'P&amp;L'!I34</f>
        <v>0.59261486570403255</v>
      </c>
      <c r="J91" s="96">
        <f>+J9/'P&amp;L'!J34</f>
        <v>0.74744054285526085</v>
      </c>
      <c r="K91" s="96">
        <f>+K9/'P&amp;L'!K34</f>
        <v>0.35732413956769093</v>
      </c>
      <c r="L91" s="96">
        <f>+L9/'P&amp;L'!L34</f>
        <v>1.3578217979951277</v>
      </c>
      <c r="M91" s="96">
        <f>+M9/'P&amp;L'!M34</f>
        <v>1.3448862400200425</v>
      </c>
      <c r="N91" s="50"/>
      <c r="O91" s="96">
        <f>+O9/'P&amp;L'!O34</f>
        <v>1.5116328779933865</v>
      </c>
      <c r="P91" s="96">
        <f>+P9/'P&amp;L'!P34</f>
        <v>1.6785021691757127</v>
      </c>
      <c r="Q91" s="96">
        <f>+Q9/'P&amp;L'!Q34</f>
        <v>2.2130405342609429</v>
      </c>
      <c r="R91" s="96">
        <f>+R9/'P&amp;L'!R34</f>
        <v>2.9979629604974098</v>
      </c>
      <c r="S91" s="96">
        <f>+S9/'P&amp;L'!S34</f>
        <v>3.0002798097293835</v>
      </c>
      <c r="T91" s="50"/>
      <c r="U91" s="96">
        <f>+U9/'P&amp;L'!U34</f>
        <v>2.7128819644459918</v>
      </c>
      <c r="V91" s="96">
        <f>+V9/'P&amp;L'!V34</f>
        <v>2.3162468779561585</v>
      </c>
      <c r="W91" s="96">
        <f>+W9/'P&amp;L'!W34</f>
        <v>3.7083984090293827</v>
      </c>
      <c r="X91" s="96">
        <f>+X9/'P&amp;L'!X34</f>
        <v>3.7519053474784099</v>
      </c>
      <c r="Y91" s="96">
        <f>+Y9/'P&amp;L'!Y34</f>
        <v>3.6992704729937995</v>
      </c>
      <c r="Z91" s="50"/>
      <c r="AA91" s="96">
        <f>+AA9/'P&amp;L'!AA34</f>
        <v>3.9936686012607239</v>
      </c>
      <c r="AB91" s="96">
        <f>+AB9/'P&amp;L'!AB34</f>
        <v>4.6850522762305307</v>
      </c>
      <c r="AC91" s="96">
        <f>+AC9/'P&amp;L'!AC34</f>
        <v>0.57091251438334656</v>
      </c>
      <c r="AD91" s="96">
        <f>+AD9/'P&amp;L'!AD34</f>
        <v>0.53718536266001649</v>
      </c>
      <c r="AE91" s="96">
        <f>+AE9/'P&amp;L'!AE34</f>
        <v>0.53711241490972927</v>
      </c>
      <c r="AF91" s="50"/>
      <c r="AG91" s="96">
        <f>+AG9/'P&amp;L'!AG34</f>
        <v>0.46773252583620167</v>
      </c>
      <c r="AH91" s="96">
        <f>+AH9/'P&amp;L'!AH34</f>
        <v>0.36986577507767565</v>
      </c>
      <c r="AI91" s="96">
        <f>+AI9/'P&amp;L'!AI34</f>
        <v>0.38972366628672878</v>
      </c>
      <c r="AJ91" s="96">
        <f>+AJ9/'P&amp;L'!AJ34</f>
        <v>0.55532686057228897</v>
      </c>
      <c r="AK91" s="96">
        <f>+AK9/'P&amp;L'!AK34</f>
        <v>0.55644517280409689</v>
      </c>
      <c r="AL91" s="50"/>
      <c r="AM91" s="96">
        <f>+AM9/'P&amp;L'!AM34</f>
        <v>0.38734243516495315</v>
      </c>
      <c r="AN91" s="96">
        <f>+AN9/'P&amp;L'!AN34</f>
        <v>0.39292235397876474</v>
      </c>
      <c r="AO91" s="96">
        <f>+AO9/'P&amp;L'!AO34</f>
        <v>0.35009467995410798</v>
      </c>
      <c r="AP91" s="96">
        <f>+AP9/'P&amp;L'!AP34</f>
        <v>0.51636503923337818</v>
      </c>
      <c r="AQ91" s="96">
        <f>+AQ9/'P&amp;L'!AQ34</f>
        <v>0.51684661093938999</v>
      </c>
      <c r="AR91" s="50"/>
      <c r="AS91" s="96">
        <f>+AS9/'P&amp;L'!AS34</f>
        <v>0.38613251368957019</v>
      </c>
      <c r="AT91" s="96">
        <f>+AT9/'P&amp;L'!AT34</f>
        <v>0.4639438417357975</v>
      </c>
      <c r="AU91" s="96">
        <f>+AU9/'P&amp;L'!AU34</f>
        <v>0.67648281884589956</v>
      </c>
      <c r="AV91" s="96">
        <f>+AV9/'P&amp;L'!AV34</f>
        <v>1.0527653545931794</v>
      </c>
      <c r="AW91" s="96">
        <f>+AW9/'P&amp;L'!AW34</f>
        <v>1.0510955990563304</v>
      </c>
      <c r="AX91" s="50"/>
      <c r="AY91" s="96">
        <f>+AY9/'P&amp;L'!AY34</f>
        <v>0.70459510938068959</v>
      </c>
      <c r="AZ91" s="96">
        <f>+AZ9/'P&amp;L'!AZ34</f>
        <v>0.67812908577132325</v>
      </c>
      <c r="BA91" s="96">
        <f>+BA9/'P&amp;L'!BA34</f>
        <v>1.6601123595505618</v>
      </c>
      <c r="BB91" s="96">
        <f>+BB9/'P&amp;L'!BB34</f>
        <v>1.9916025192442268</v>
      </c>
      <c r="BC91" s="96">
        <f>+BC9/'P&amp;L'!BC34</f>
        <v>1.9971929824561405</v>
      </c>
      <c r="BD91" s="50"/>
      <c r="BE91" s="96">
        <f>+BE9/'P&amp;L'!BE34</f>
        <v>1.8110986547085202</v>
      </c>
      <c r="BF91" s="96">
        <f>+BF9/'P&amp;L'!BF34</f>
        <v>1.3125526537489469</v>
      </c>
      <c r="BG91" s="96">
        <f>+BG9/'P&amp;L'!BG34</f>
        <v>1.3994921709691071</v>
      </c>
      <c r="BH91" s="96">
        <f>+BH9/'P&amp;L'!BH34</f>
        <v>1.639197267292912</v>
      </c>
      <c r="BI91" s="96">
        <f>+BI9/'P&amp;L'!BI34</f>
        <v>1.7324007220216606</v>
      </c>
      <c r="BJ91" s="50"/>
      <c r="BK91" s="96">
        <f>+BK9/'P&amp;L'!BK34</f>
        <v>1.5525641025641026</v>
      </c>
      <c r="BL91" s="96">
        <f>+BL9/'P&amp;L'!BL34</f>
        <v>1.1506226823569758</v>
      </c>
      <c r="BM91" s="96">
        <f>+BM9/'P&amp;L'!BM34</f>
        <v>1.5873015873015874</v>
      </c>
      <c r="BN91" s="96">
        <f>+BN9/'P&amp;L'!BN34</f>
        <v>1.3825699586436497</v>
      </c>
      <c r="BO91" s="96">
        <f>+BO9/'P&amp;L'!BO34</f>
        <v>1.3781659989339203</v>
      </c>
      <c r="BP91" s="50"/>
      <c r="BQ91" s="96">
        <f>+BQ9/'P&amp;L'!BQ34</f>
        <v>1.8118799625208126</v>
      </c>
      <c r="BR91" s="96">
        <f>+BR9/'P&amp;L'!BR34</f>
        <v>1.4439375129362439</v>
      </c>
      <c r="BS91" s="96">
        <f>+BS9/'P&amp;L'!BS34</f>
        <v>1.02780174120337</v>
      </c>
      <c r="BT91" s="96">
        <f>+BT9/'P&amp;L'!BT34</f>
        <v>1.0031972784680292</v>
      </c>
      <c r="BU91" s="96">
        <f>+BU9/'P&amp;L'!BU34</f>
        <v>0.99117761397743087</v>
      </c>
      <c r="BV91" s="50"/>
      <c r="BW91" s="96">
        <f>+BW9/'P&amp;L'!BW34</f>
        <v>1.7671369219424258</v>
      </c>
      <c r="BX91" s="96">
        <f>+BX9/'P&amp;L'!BX34</f>
        <v>1.4667894371697086</v>
      </c>
      <c r="BY91" s="96">
        <f>+BY9/'P&amp;L'!BY34</f>
        <v>1.112809161789895</v>
      </c>
      <c r="BZ91" s="96">
        <f>+BZ9/'P&amp;L'!BZ34</f>
        <v>1.0757637600997538</v>
      </c>
      <c r="CA91" s="96">
        <f>+CA9/'P&amp;L'!CA34</f>
        <v>1.0611714776320678</v>
      </c>
      <c r="CB91" s="50"/>
      <c r="CC91" s="96">
        <f>+CC9/'P&amp;L'!CC34</f>
        <v>1.9633845473429548</v>
      </c>
      <c r="CD91" s="96">
        <f>+CD9/'P&amp;L'!CD34</f>
        <v>1.7064733363141007</v>
      </c>
      <c r="CE91" s="96">
        <f>+CE9/'P&amp;L'!CE34</f>
        <v>1.4200780192165805</v>
      </c>
      <c r="CF91" s="96">
        <f>+CF9/'P&amp;L'!CF34</f>
        <v>1.4328166103860276</v>
      </c>
      <c r="CG91" s="96">
        <f>+CG9/'P&amp;L'!CG34</f>
        <v>1.414317839482881</v>
      </c>
      <c r="CH91" s="96"/>
      <c r="CI91" s="96"/>
      <c r="CJ91" s="96"/>
      <c r="CK91"/>
      <c r="CL91"/>
      <c r="CM91"/>
      <c r="CN91"/>
      <c r="CO91"/>
      <c r="CP91"/>
    </row>
    <row r="92" spans="2:94" s="1102" customFormat="1" ht="11.25" customHeight="1" outlineLevel="1" x14ac:dyDescent="0.2">
      <c r="B92" s="1" t="s">
        <v>194</v>
      </c>
      <c r="C92" s="257">
        <f>+C13/('P&amp;L'!C8*4)</f>
        <v>6.3951791635649999E-2</v>
      </c>
      <c r="D92" s="257">
        <f>+D13/('P&amp;L'!D8*4)</f>
        <v>5.7531407555157857E-2</v>
      </c>
      <c r="E92" s="257">
        <f>+E13/('P&amp;L'!E8*4)</f>
        <v>5.6404590834311603E-2</v>
      </c>
      <c r="F92" s="257">
        <f>+F13/('P&amp;L'!F8*4)</f>
        <v>4.6188486142299957E-2</v>
      </c>
      <c r="G92" s="257">
        <f>+G13/('P&amp;L'!G8)</f>
        <v>4.9777767605567222E-2</v>
      </c>
      <c r="H92" s="69"/>
      <c r="I92" s="257">
        <f>+I13/('P&amp;L'!I8*4)</f>
        <v>4.9532171146720122E-2</v>
      </c>
      <c r="J92" s="257">
        <f>+J13/('P&amp;L'!J8*4)</f>
        <v>4.3940710804627067E-2</v>
      </c>
      <c r="K92" s="257">
        <f>+K13/('P&amp;L'!K8*4)</f>
        <v>4.8640162429498458E-2</v>
      </c>
      <c r="L92" s="257">
        <f>+L13/('P&amp;L'!L8*4)</f>
        <v>5.9150904965354106E-2</v>
      </c>
      <c r="M92" s="257">
        <f>+M13/('P&amp;L'!M8)</f>
        <v>5.4805460853535291E-2</v>
      </c>
      <c r="N92" s="69"/>
      <c r="O92" s="257">
        <f>+O13/('P&amp;L'!O8*4)</f>
        <v>5.7599482393692461E-2</v>
      </c>
      <c r="P92" s="257">
        <f>+P13/('P&amp;L'!P8*4)</f>
        <v>5.138134189048392E-2</v>
      </c>
      <c r="Q92" s="257">
        <f>+Q13/('P&amp;L'!Q8*4)</f>
        <v>5.8855089297311952E-2</v>
      </c>
      <c r="R92" s="257">
        <f>+R13/('P&amp;L'!R8*4)</f>
        <v>5.5913679595491865E-2</v>
      </c>
      <c r="S92" s="257">
        <f>+S13/('P&amp;L'!S8)</f>
        <v>5.8870656272315462E-2</v>
      </c>
      <c r="T92" s="69"/>
      <c r="U92" s="257">
        <f>+U13/('P&amp;L'!U8*4)</f>
        <v>5.3672629427193995E-2</v>
      </c>
      <c r="V92" s="257">
        <f>+V13/('P&amp;L'!V8*4)</f>
        <v>5.0079545414326312E-2</v>
      </c>
      <c r="W92" s="257">
        <f>+W13/('P&amp;L'!W8*4)</f>
        <v>5.188763692404233E-2</v>
      </c>
      <c r="X92" s="257">
        <f>+X13/('P&amp;L'!X8*4)</f>
        <v>5.3449325816790426E-2</v>
      </c>
      <c r="Y92" s="257">
        <f>+Y13/('P&amp;L'!Y8)</f>
        <v>5.4692586359203495E-2</v>
      </c>
      <c r="Z92" s="69"/>
      <c r="AA92" s="257">
        <f>+AA13/('P&amp;L'!AA8*4)</f>
        <v>5.2219269662035078E-2</v>
      </c>
      <c r="AB92" s="257">
        <f>+AB13/('P&amp;L'!AB8*4)</f>
        <v>5.6954464978677261E-2</v>
      </c>
      <c r="AC92" s="257">
        <f>+AC13/('P&amp;L'!AC8*4)</f>
        <v>5.6580057732118452E-2</v>
      </c>
      <c r="AD92" s="257">
        <f>+AD13/('P&amp;L'!AD8*4)</f>
        <v>4.9560102599818703E-2</v>
      </c>
      <c r="AE92" s="257">
        <f>+AE13/('P&amp;L'!AE8)</f>
        <v>5.765179582601377E-2</v>
      </c>
      <c r="AF92" s="69"/>
      <c r="AG92" s="257">
        <f>+AG13/('P&amp;L'!AG8*4)</f>
        <v>6.5407453521921011E-2</v>
      </c>
      <c r="AH92" s="257">
        <f>+AH13/('P&amp;L'!AH8*4)</f>
        <v>6.1122367934741295E-2</v>
      </c>
      <c r="AI92" s="257">
        <f>+AI13/('P&amp;L'!AI8*4)</f>
        <v>6.8160029551524004E-2</v>
      </c>
      <c r="AJ92" s="257">
        <f>+AJ13/('P&amp;L'!AJ8*4)</f>
        <v>6.1600609594205664E-2</v>
      </c>
      <c r="AK92" s="257">
        <f>+AK13/('P&amp;L'!AK8)</f>
        <v>6.3382789884951968E-2</v>
      </c>
      <c r="AL92" s="69"/>
      <c r="AM92" s="257">
        <f>+AM13/('P&amp;L'!AM8*4)</f>
        <v>7.4678930286688414E-2</v>
      </c>
      <c r="AN92" s="257">
        <f>+AN13/('P&amp;L'!AN8*4)</f>
        <v>5.9398365330284759E-2</v>
      </c>
      <c r="AO92" s="257">
        <f>+AO13/('P&amp;L'!AO8*4)</f>
        <v>5.3919075932717629E-2</v>
      </c>
      <c r="AP92" s="257">
        <f>+AP13/('P&amp;L'!AP8*4)</f>
        <v>5.224087052748063E-2</v>
      </c>
      <c r="AQ92" s="257">
        <f>+AQ13/('P&amp;L'!AQ8)</f>
        <v>5.3371492864574328E-2</v>
      </c>
      <c r="AR92" s="69"/>
      <c r="AS92" s="257">
        <f>+AS13/('P&amp;L'!AS8*4)</f>
        <v>6.6840589277838799E-2</v>
      </c>
      <c r="AT92" s="257">
        <f>+AT13/('P&amp;L'!AT8*4)</f>
        <v>6.5069097324316372E-2</v>
      </c>
      <c r="AU92" s="257">
        <f>+AU13/('P&amp;L'!AU8*4)</f>
        <v>9.2026714108211907E-2</v>
      </c>
      <c r="AV92" s="257">
        <f>+AV13/('P&amp;L'!AV8*4)</f>
        <v>8.4011203811743693E-2</v>
      </c>
      <c r="AW92" s="257">
        <f>+AW13/('P&amp;L'!AW8)</f>
        <v>8.2675818272645779E-2</v>
      </c>
      <c r="AX92" s="69"/>
      <c r="AY92" s="257">
        <f>+AY13/('P&amp;L'!AY8*4)</f>
        <v>0.11789218673817649</v>
      </c>
      <c r="AZ92" s="257">
        <f>+AZ13/('P&amp;L'!AZ8*4)</f>
        <v>0.1259079434847265</v>
      </c>
      <c r="BA92" s="257">
        <f>+BA13/('P&amp;L'!BA8*4)</f>
        <v>6.9579288025889974E-2</v>
      </c>
      <c r="BB92" s="257">
        <f>+BB13/('P&amp;L'!BB8*4)</f>
        <v>6.3999403963641788E-2</v>
      </c>
      <c r="BC92" s="257">
        <f>+BC13/('P&amp;L'!BC8)</f>
        <v>6.4240485266194178E-2</v>
      </c>
      <c r="BD92" s="69"/>
      <c r="BE92" s="257">
        <f>+BE13/('P&amp;L'!BE8*4)</f>
        <v>9.5489257054103036E-2</v>
      </c>
      <c r="BF92" s="257">
        <f>+BF13/('P&amp;L'!BF8*4)</f>
        <v>6.5088901914810468E-2</v>
      </c>
      <c r="BG92" s="257">
        <f>+BG13/('P&amp;L'!BG8*4)</f>
        <v>7.3864825277254659E-2</v>
      </c>
      <c r="BH92" s="257">
        <f>+BH13/('P&amp;L'!BH8*4)</f>
        <v>8.6573146292585182E-2</v>
      </c>
      <c r="BI92" s="257">
        <f>+BI13/('P&amp;L'!BI8)</f>
        <v>9.2160000000000006E-2</v>
      </c>
      <c r="BJ92" s="69"/>
      <c r="BK92" s="257">
        <f>+BK13/('P&amp;L'!BK8*4)</f>
        <v>5.3658536585365853E-2</v>
      </c>
      <c r="BL92" s="257">
        <f>+BL13/('P&amp;L'!BL8*4)</f>
        <v>5.9419633876483607E-2</v>
      </c>
      <c r="BM92" s="257">
        <f>+BM13/('P&amp;L'!BM8*4)</f>
        <v>6.028509206097802E-2</v>
      </c>
      <c r="BN92" s="432">
        <f>+BM92</f>
        <v>6.028509206097802E-2</v>
      </c>
      <c r="BO92" s="257">
        <f>+BO13/('P&amp;L'!BO8)</f>
        <v>7.8200830539850913E-2</v>
      </c>
      <c r="BP92" s="69"/>
      <c r="BQ92" s="432">
        <v>7.0000000000000007E-2</v>
      </c>
      <c r="BR92" s="432">
        <f>+BQ92</f>
        <v>7.0000000000000007E-2</v>
      </c>
      <c r="BS92" s="432">
        <f>+BR92</f>
        <v>7.0000000000000007E-2</v>
      </c>
      <c r="BT92" s="432">
        <f>+BS92</f>
        <v>7.0000000000000007E-2</v>
      </c>
      <c r="BU92" s="257">
        <f>+BU13/('P&amp;L'!BU8)</f>
        <v>7.6509661001416901E-2</v>
      </c>
      <c r="BV92" s="69"/>
      <c r="BW92" s="432">
        <f>+BQ92+0.5%</f>
        <v>7.5000000000000011E-2</v>
      </c>
      <c r="BX92" s="432">
        <f t="shared" ref="BX92:BZ93" si="42">+BW92</f>
        <v>7.5000000000000011E-2</v>
      </c>
      <c r="BY92" s="432">
        <f t="shared" si="42"/>
        <v>7.5000000000000011E-2</v>
      </c>
      <c r="BZ92" s="432">
        <f t="shared" si="42"/>
        <v>7.5000000000000011E-2</v>
      </c>
      <c r="CA92" s="257">
        <f>+CA13/('P&amp;L'!CA8)</f>
        <v>8.1584440900395516E-2</v>
      </c>
      <c r="CB92" s="69"/>
      <c r="CC92" s="432">
        <f t="shared" ref="CC92" si="43">+BW92+0.5%</f>
        <v>8.0000000000000016E-2</v>
      </c>
      <c r="CD92" s="432">
        <f t="shared" ref="CD92" si="44">+CC92</f>
        <v>8.0000000000000016E-2</v>
      </c>
      <c r="CE92" s="432">
        <f t="shared" ref="CE92" si="45">+CD92</f>
        <v>8.0000000000000016E-2</v>
      </c>
      <c r="CF92" s="432">
        <f t="shared" ref="CF92" si="46">+CE92</f>
        <v>8.0000000000000016E-2</v>
      </c>
      <c r="CG92" s="257">
        <f>+CG13/('P&amp;L'!CG8)</f>
        <v>8.7397059065150273E-2</v>
      </c>
      <c r="CH92" s="257"/>
      <c r="CI92" s="257"/>
      <c r="CJ92" s="257"/>
      <c r="CK92"/>
      <c r="CL92"/>
      <c r="CM92"/>
      <c r="CN92"/>
      <c r="CO92"/>
      <c r="CP92"/>
    </row>
    <row r="93" spans="2:94" s="1102" customFormat="1" ht="11.25" customHeight="1" outlineLevel="1" x14ac:dyDescent="0.2">
      <c r="B93" s="37" t="s">
        <v>295</v>
      </c>
      <c r="C93" s="257">
        <f>C27/(('P&amp;L'!C13+'P&amp;L'!C14)*4)</f>
        <v>0.23236803452037763</v>
      </c>
      <c r="D93" s="257">
        <f>D27/(('P&amp;L'!D13+'P&amp;L'!D14)*4)</f>
        <v>0.24921404662839078</v>
      </c>
      <c r="E93" s="257">
        <f>E27/(('P&amp;L'!E13+'P&amp;L'!E14)*4)</f>
        <v>0.29243760108142031</v>
      </c>
      <c r="F93" s="257">
        <f>F27/(('P&amp;L'!F13+'P&amp;L'!F14)*4)</f>
        <v>0.27292415963480426</v>
      </c>
      <c r="G93" s="257">
        <f>G27/(('P&amp;L'!G13+'P&amp;L'!G14))</f>
        <v>0.28044835015139963</v>
      </c>
      <c r="H93" s="257"/>
      <c r="I93" s="257">
        <f>I27/(('P&amp;L'!I13+'P&amp;L'!I14)*4)</f>
        <v>0.22778964359083054</v>
      </c>
      <c r="J93" s="257">
        <f>J27/(('P&amp;L'!J13+'P&amp;L'!J14)*4)</f>
        <v>0.24275142258310228</v>
      </c>
      <c r="K93" s="257">
        <f>K27/(('P&amp;L'!K13+'P&amp;L'!K14)*4)</f>
        <v>0.29479496926337218</v>
      </c>
      <c r="L93" s="257">
        <f>L27/(('P&amp;L'!L13+'P&amp;L'!L14)*4)</f>
        <v>0.27893805921564335</v>
      </c>
      <c r="M93" s="257">
        <f>M27/(('P&amp;L'!M13+'P&amp;L'!M14))</f>
        <v>0.26199762705856727</v>
      </c>
      <c r="N93" s="257"/>
      <c r="O93" s="257">
        <f>O27/(('P&amp;L'!O13+'P&amp;L'!O14)*4)</f>
        <v>0.26892287165802842</v>
      </c>
      <c r="P93" s="257">
        <f>P27/(('P&amp;L'!P13+'P&amp;L'!P14)*4)</f>
        <v>0.28392665513238868</v>
      </c>
      <c r="Q93" s="257">
        <f>Q27/(('P&amp;L'!Q13+'P&amp;L'!Q14)*4)</f>
        <v>0.32461499856205978</v>
      </c>
      <c r="R93" s="257">
        <f>R27/(('P&amp;L'!R13+'P&amp;L'!R14)*4)</f>
        <v>0.3485232079314281</v>
      </c>
      <c r="S93" s="257">
        <f>S27/(('P&amp;L'!S13+'P&amp;L'!S14))</f>
        <v>0.3489292756156035</v>
      </c>
      <c r="T93" s="257"/>
      <c r="U93" s="257">
        <f>U27/(('P&amp;L'!U13+'P&amp;L'!U14)*4)</f>
        <v>0.26249760020478252</v>
      </c>
      <c r="V93" s="257">
        <f>V27/(('P&amp;L'!V13+'P&amp;L'!V14)*4)</f>
        <v>0.2634606843839612</v>
      </c>
      <c r="W93" s="257">
        <f>W27/(('P&amp;L'!W13+'P&amp;L'!W14)*4)</f>
        <v>0.31138614410398024</v>
      </c>
      <c r="X93" s="257">
        <f>X27/(('P&amp;L'!X13+'P&amp;L'!X14)*4)</f>
        <v>0.30212209364850628</v>
      </c>
      <c r="Y93" s="257">
        <f>Y27/(('P&amp;L'!Y13+'P&amp;L'!Y14))</f>
        <v>0.30527170805188175</v>
      </c>
      <c r="Z93" s="257"/>
      <c r="AA93" s="257">
        <f>AA27/(('P&amp;L'!AA13+'P&amp;L'!AA14)*4)</f>
        <v>0.26875934529197321</v>
      </c>
      <c r="AB93" s="257">
        <f>AB27/(('P&amp;L'!AB13+'P&amp;L'!AB14)*4)</f>
        <v>0.33850208150326544</v>
      </c>
      <c r="AC93" s="257">
        <f>AC27/(('P&amp;L'!AC13+'P&amp;L'!AC14)*4)</f>
        <v>0.37048786751723223</v>
      </c>
      <c r="AD93" s="257">
        <f>AD27/(('P&amp;L'!AD13+'P&amp;L'!AD14)*4)</f>
        <v>0.26361745338399051</v>
      </c>
      <c r="AE93" s="257">
        <f>AE27/(('P&amp;L'!AE13+'P&amp;L'!AE14))</f>
        <v>0.32071297397043957</v>
      </c>
      <c r="AF93" s="257"/>
      <c r="AG93" s="257">
        <f>AG27/(('P&amp;L'!AG13+'P&amp;L'!AG14)*4)</f>
        <v>0.28539337922963309</v>
      </c>
      <c r="AH93" s="257">
        <f>AH27/(('P&amp;L'!AH13+'P&amp;L'!AH14)*4)</f>
        <v>0.30825896496239641</v>
      </c>
      <c r="AI93" s="257">
        <f>AI27/(('P&amp;L'!AI13+'P&amp;L'!AI14)*4)</f>
        <v>0.36326938059992209</v>
      </c>
      <c r="AJ93" s="257">
        <f>AJ27/(('P&amp;L'!AJ13+'P&amp;L'!AJ14)*4)</f>
        <v>0.38405479670264031</v>
      </c>
      <c r="AK93" s="257">
        <f>AK27/(('P&amp;L'!AK13+'P&amp;L'!AK14))</f>
        <v>0.38619605044968958</v>
      </c>
      <c r="AL93" s="69"/>
      <c r="AM93" s="257">
        <f>AM27/(('P&amp;L'!AM13+'P&amp;L'!AM14)*4)</f>
        <v>0.30691709102988624</v>
      </c>
      <c r="AN93" s="257">
        <f>AN27/(('P&amp;L'!AN13+'P&amp;L'!AN14)*4)</f>
        <v>0.2748121829584127</v>
      </c>
      <c r="AO93" s="257">
        <f>AO27/(('P&amp;L'!AO13+'P&amp;L'!AO14)*4)</f>
        <v>0.32358842986676539</v>
      </c>
      <c r="AP93" s="257">
        <f>AP27/(('P&amp;L'!AP13+'P&amp;L'!AP14)*4)</f>
        <v>0.30261852948521278</v>
      </c>
      <c r="AQ93" s="257">
        <f>AQ27/(('P&amp;L'!AQ13+'P&amp;L'!AQ14))</f>
        <v>0.30762256788525122</v>
      </c>
      <c r="AR93" s="69"/>
      <c r="AS93" s="257">
        <f>AS27/(('P&amp;L'!AS13+'P&amp;L'!AS14)*4)</f>
        <v>0.36071190867196717</v>
      </c>
      <c r="AT93" s="257">
        <f>AT27/(('P&amp;L'!AT13+'P&amp;L'!AT14)*4)</f>
        <v>0.36029116588531385</v>
      </c>
      <c r="AU93" s="257">
        <f>AU27/(('P&amp;L'!AU13+'P&amp;L'!AU14)*4)</f>
        <v>0.4163734476918628</v>
      </c>
      <c r="AV93" s="257">
        <f>AV27/(('P&amp;L'!AV13+'P&amp;L'!AV14)*4)</f>
        <v>0.34638544311891406</v>
      </c>
      <c r="AW93" s="257">
        <f>AW27/(('P&amp;L'!AW13+'P&amp;L'!AW14))</f>
        <v>0.34382109066510713</v>
      </c>
      <c r="AX93" s="69"/>
      <c r="AY93" s="257">
        <f>AY27/(('P&amp;L'!AY13+'P&amp;L'!AY14)*4)</f>
        <v>0.23073314775226464</v>
      </c>
      <c r="AZ93" s="257">
        <f>AZ27/(('P&amp;L'!AZ13+'P&amp;L'!AZ14)*4)</f>
        <v>0.28104830600761149</v>
      </c>
      <c r="BA93" s="257">
        <f>BA27/(('P&amp;L'!BA13+'P&amp;L'!BA14)*4)</f>
        <v>0.31348884381338743</v>
      </c>
      <c r="BB93" s="257">
        <f>BB27/(('P&amp;L'!BB13+'P&amp;L'!BB14)*4)</f>
        <v>0.30837311058074784</v>
      </c>
      <c r="BC93" s="257">
        <f>BC27/(('P&amp;L'!BC13+'P&amp;L'!BC14))</f>
        <v>0.30356336995476407</v>
      </c>
      <c r="BD93" s="69"/>
      <c r="BE93" s="257">
        <f>BE27/(('P&amp;L'!BE13+'P&amp;L'!BE14)*4)</f>
        <v>0.42635526764405041</v>
      </c>
      <c r="BF93" s="257">
        <f>BF27/(('P&amp;L'!BF13+'P&amp;L'!BF14)*4)</f>
        <v>0.31223204715969993</v>
      </c>
      <c r="BG93" s="257">
        <f>BG27/(('P&amp;L'!BG13+'P&amp;L'!BG14)*4)</f>
        <v>0.34654033878840079</v>
      </c>
      <c r="BH93" s="257">
        <f>BH27/(('P&amp;L'!BH13+'P&amp;L'!BH14)*4)</f>
        <v>0.31544859558221983</v>
      </c>
      <c r="BI93" s="257">
        <f>BI27/(('P&amp;L'!BI13+'P&amp;L'!BI14))</f>
        <v>0.33492580528411148</v>
      </c>
      <c r="BJ93" s="69"/>
      <c r="BK93" s="257">
        <f>BK27/(('P&amp;L'!BK13+'P&amp;L'!BK14)*4)</f>
        <v>0.28121686108165433</v>
      </c>
      <c r="BL93" s="257">
        <f>BL27/(('P&amp;L'!BL13+'P&amp;L'!BL14)*4)</f>
        <v>0.2965207193119625</v>
      </c>
      <c r="BM93" s="257">
        <f>BM27/(('P&amp;L'!BM13+'P&amp;L'!BM14)*4)</f>
        <v>0.35470479704797042</v>
      </c>
      <c r="BN93" s="1114">
        <f>+BM93</f>
        <v>0.35470479704797042</v>
      </c>
      <c r="BO93" s="257">
        <f>BO27/(('P&amp;L'!BO13+'P&amp;L'!BO14))</f>
        <v>0.38255077385228237</v>
      </c>
      <c r="BP93" s="69"/>
      <c r="BQ93" s="1114">
        <f>+BN93-0.025</f>
        <v>0.3297047970479704</v>
      </c>
      <c r="BR93" s="1114">
        <f t="shared" ref="BR93:BT93" si="47">+BQ93</f>
        <v>0.3297047970479704</v>
      </c>
      <c r="BS93" s="1114">
        <f t="shared" si="47"/>
        <v>0.3297047970479704</v>
      </c>
      <c r="BT93" s="1114">
        <f t="shared" si="47"/>
        <v>0.3297047970479704</v>
      </c>
      <c r="BU93" s="257">
        <f>BU27/(('P&amp;L'!BU13+'P&amp;L'!BU14))</f>
        <v>0.33566546056054092</v>
      </c>
      <c r="BV93" s="69"/>
      <c r="BW93" s="1114">
        <f t="shared" ref="BW93" si="48">+BT93-0.01</f>
        <v>0.31970479704797039</v>
      </c>
      <c r="BX93" s="1114">
        <f t="shared" si="42"/>
        <v>0.31970479704797039</v>
      </c>
      <c r="BY93" s="1114">
        <f t="shared" si="42"/>
        <v>0.31970479704797039</v>
      </c>
      <c r="BZ93" s="1114">
        <f t="shared" si="42"/>
        <v>0.31970479704797039</v>
      </c>
      <c r="CA93" s="257">
        <f>CA27/(('P&amp;L'!CA13+'P&amp;L'!CA14))</f>
        <v>0.34750255811990588</v>
      </c>
      <c r="CB93" s="69"/>
      <c r="CC93" s="1114">
        <f t="shared" ref="CC93" si="49">+BZ93-0.01</f>
        <v>0.30970479704797038</v>
      </c>
      <c r="CD93" s="1114">
        <f t="shared" ref="CD93" si="50">+CC93</f>
        <v>0.30970479704797038</v>
      </c>
      <c r="CE93" s="1114">
        <f t="shared" ref="CE93" si="51">+CD93</f>
        <v>0.30970479704797038</v>
      </c>
      <c r="CF93" s="1114">
        <f t="shared" ref="CF93" si="52">+CE93</f>
        <v>0.30970479704797038</v>
      </c>
      <c r="CG93" s="257">
        <f>CG27/(('P&amp;L'!CG13+'P&amp;L'!CG14))</f>
        <v>0.33845834883355969</v>
      </c>
      <c r="CH93" s="257"/>
      <c r="CI93" s="257"/>
      <c r="CJ93" s="257"/>
      <c r="CK93"/>
      <c r="CL93"/>
      <c r="CM93"/>
      <c r="CN93"/>
      <c r="CO93"/>
      <c r="CP93"/>
    </row>
    <row r="94" spans="2:94" s="1102" customFormat="1" ht="11.25" customHeight="1" outlineLevel="1" x14ac:dyDescent="0.2">
      <c r="B94" s="16"/>
      <c r="C94" s="183"/>
      <c r="D94" s="183"/>
      <c r="E94" s="183"/>
      <c r="F94" s="183"/>
      <c r="G94" s="183"/>
      <c r="H94" s="125"/>
      <c r="I94" s="183"/>
      <c r="J94" s="183"/>
      <c r="K94" s="183"/>
      <c r="L94" s="183"/>
      <c r="M94" s="183"/>
      <c r="N94" s="125"/>
      <c r="O94" s="183"/>
      <c r="P94" s="183"/>
      <c r="Q94" s="183"/>
      <c r="R94" s="183"/>
      <c r="S94" s="183"/>
      <c r="T94" s="125"/>
      <c r="U94" s="183"/>
      <c r="V94" s="183"/>
      <c r="W94" s="183"/>
      <c r="X94" s="183"/>
      <c r="Y94" s="122"/>
      <c r="Z94" s="125"/>
      <c r="AA94" s="183"/>
      <c r="AB94" s="183"/>
      <c r="AC94" s="183"/>
      <c r="AD94" s="183"/>
      <c r="AE94" s="122"/>
      <c r="AF94" s="168"/>
      <c r="AG94" s="183"/>
      <c r="AH94" s="183"/>
      <c r="AI94" s="183"/>
      <c r="AJ94" s="183"/>
      <c r="AK94" s="122"/>
      <c r="AL94" s="168"/>
      <c r="AM94" s="183"/>
      <c r="AN94" s="183"/>
      <c r="AO94" s="183"/>
      <c r="AP94" s="183"/>
      <c r="AQ94" s="122"/>
      <c r="AR94" s="168"/>
      <c r="AS94" s="183"/>
      <c r="AT94" s="183"/>
      <c r="AU94" s="183"/>
      <c r="AV94" s="183"/>
      <c r="AW94" s="122"/>
      <c r="AX94" s="168"/>
      <c r="AY94" s="183"/>
      <c r="AZ94" s="183"/>
      <c r="BA94" s="183"/>
      <c r="BB94" s="183"/>
      <c r="BC94" s="122"/>
      <c r="BD94" s="168"/>
      <c r="BE94" s="183"/>
      <c r="BF94" s="183"/>
      <c r="BG94" s="183"/>
      <c r="BH94" s="183"/>
      <c r="BI94" s="122"/>
      <c r="BJ94" s="168"/>
      <c r="BK94" s="183"/>
      <c r="BL94" s="183"/>
      <c r="BM94" s="183"/>
      <c r="BN94" s="1115"/>
      <c r="BO94" s="166"/>
      <c r="BP94" s="168"/>
      <c r="BQ94" s="183"/>
      <c r="BR94" s="183"/>
      <c r="BS94" s="183"/>
      <c r="BT94" s="183"/>
      <c r="BU94" s="166"/>
      <c r="BV94" s="168"/>
      <c r="BW94" s="183"/>
      <c r="BX94" s="183"/>
      <c r="BY94" s="183"/>
      <c r="BZ94" s="183"/>
      <c r="CA94" s="166"/>
      <c r="CB94" s="168"/>
      <c r="CC94" s="183"/>
      <c r="CD94" s="183"/>
      <c r="CE94" s="183"/>
      <c r="CF94" s="183"/>
      <c r="CG94" s="166"/>
      <c r="CH94" s="166"/>
      <c r="CI94" s="166"/>
      <c r="CJ94" s="166"/>
      <c r="CK94"/>
      <c r="CL94"/>
      <c r="CM94"/>
      <c r="CN94"/>
      <c r="CO94"/>
      <c r="CP94"/>
    </row>
    <row r="95" spans="2:94" s="1102" customFormat="1" ht="11.25" customHeight="1" outlineLevel="1" x14ac:dyDescent="0.2">
      <c r="B95" s="42" t="s">
        <v>614</v>
      </c>
      <c r="C95" s="193"/>
      <c r="D95" s="193"/>
      <c r="E95" s="193"/>
      <c r="F95" s="193"/>
      <c r="G95" s="193"/>
      <c r="H95" s="69"/>
      <c r="I95" s="193"/>
      <c r="J95" s="193"/>
      <c r="K95" s="193"/>
      <c r="L95" s="193"/>
      <c r="M95" s="193"/>
      <c r="N95" s="69"/>
      <c r="O95" s="193"/>
      <c r="P95" s="193"/>
      <c r="Q95" s="193"/>
      <c r="R95" s="193"/>
      <c r="S95" s="193"/>
      <c r="T95" s="69"/>
      <c r="U95" s="193"/>
      <c r="V95" s="193"/>
      <c r="W95" s="193"/>
      <c r="X95" s="193"/>
      <c r="Y95" s="166"/>
      <c r="Z95" s="69"/>
      <c r="AA95" s="193"/>
      <c r="AB95" s="193"/>
      <c r="AC95" s="193"/>
      <c r="AD95" s="193"/>
      <c r="AE95" s="166"/>
      <c r="AF95" s="168"/>
      <c r="AG95" s="193"/>
      <c r="AH95" s="193"/>
      <c r="AI95" s="193"/>
      <c r="AJ95" s="193"/>
      <c r="AK95" s="166"/>
      <c r="AL95" s="168"/>
      <c r="AM95" s="193"/>
      <c r="AN95" s="193"/>
      <c r="AO95" s="193"/>
      <c r="AP95" s="193"/>
      <c r="AQ95" s="166"/>
      <c r="AR95" s="168"/>
      <c r="AS95" s="193"/>
      <c r="AT95" s="193"/>
      <c r="AU95" s="193"/>
      <c r="AV95" s="193"/>
      <c r="AW95" s="166"/>
      <c r="AX95" s="168"/>
      <c r="AY95" s="193"/>
      <c r="AZ95" s="193"/>
      <c r="BA95" s="193"/>
      <c r="BB95" s="193"/>
      <c r="BC95" s="166"/>
      <c r="BD95" s="168"/>
      <c r="BE95" s="193"/>
      <c r="BF95" s="193"/>
      <c r="BG95" s="193"/>
      <c r="BH95" s="193"/>
      <c r="BJ95" s="168"/>
      <c r="BK95" s="193"/>
      <c r="BL95" s="193"/>
      <c r="BM95" s="193"/>
      <c r="BN95" s="193"/>
      <c r="BO95" s="24"/>
      <c r="BP95" s="168"/>
      <c r="BQ95" s="193"/>
      <c r="BR95" s="193"/>
      <c r="BS95" s="193"/>
      <c r="BT95" s="193"/>
      <c r="BU95" s="24"/>
      <c r="BV95" s="168"/>
      <c r="BW95" s="193"/>
      <c r="BX95" s="193"/>
      <c r="BY95" s="193"/>
      <c r="BZ95" s="193"/>
      <c r="CA95" s="24"/>
      <c r="CB95" s="168"/>
      <c r="CC95" s="193"/>
      <c r="CD95" s="193"/>
      <c r="CE95" s="193"/>
      <c r="CF95" s="193"/>
      <c r="CG95" s="24"/>
      <c r="CH95" s="24"/>
      <c r="CI95" s="24"/>
      <c r="CJ95" s="24"/>
      <c r="CK95"/>
      <c r="CL95"/>
      <c r="CM95"/>
      <c r="CN95"/>
      <c r="CO95"/>
      <c r="CP95"/>
    </row>
    <row r="96" spans="2:94" s="1102" customFormat="1" ht="11.25" customHeight="1" outlineLevel="1" x14ac:dyDescent="0.2">
      <c r="B96" s="104" t="s">
        <v>615</v>
      </c>
      <c r="C96" s="1116">
        <v>153.506</v>
      </c>
      <c r="D96" s="1116">
        <v>157.43299999999999</v>
      </c>
      <c r="E96" s="1116">
        <v>175.708</v>
      </c>
      <c r="F96" s="1116">
        <v>155.40199999999999</v>
      </c>
      <c r="G96" s="1117">
        <f>F96</f>
        <v>155.40199999999999</v>
      </c>
      <c r="H96" s="70"/>
      <c r="I96" s="1116">
        <v>167.672</v>
      </c>
      <c r="J96" s="1116">
        <v>161.66999999999999</v>
      </c>
      <c r="K96" s="1116">
        <v>161.51599999999999</v>
      </c>
      <c r="L96" s="1116">
        <v>184.226</v>
      </c>
      <c r="M96" s="1117">
        <f>L96</f>
        <v>184.226</v>
      </c>
      <c r="N96" s="70"/>
      <c r="O96" s="1116">
        <v>187.619</v>
      </c>
      <c r="P96" s="1116">
        <v>187.90700000000001</v>
      </c>
      <c r="Q96" s="1116">
        <v>191.501</v>
      </c>
      <c r="R96" s="1116">
        <v>178.721</v>
      </c>
      <c r="S96" s="1117">
        <f>R96</f>
        <v>178.721</v>
      </c>
      <c r="T96" s="70"/>
      <c r="U96" s="1116">
        <v>181.232</v>
      </c>
      <c r="V96" s="1116">
        <v>171.77</v>
      </c>
      <c r="W96" s="1116">
        <v>194.285</v>
      </c>
      <c r="X96" s="1116">
        <v>189.34299999999999</v>
      </c>
      <c r="Y96" s="1117">
        <f>X96</f>
        <v>189.34299999999999</v>
      </c>
      <c r="Z96" s="70"/>
      <c r="AA96" s="1116">
        <v>204.34</v>
      </c>
      <c r="AB96" s="1116">
        <v>198.73500000000001</v>
      </c>
      <c r="AC96" s="1116">
        <v>240.13800000000001</v>
      </c>
      <c r="AD96" s="1116">
        <v>218.81399999999999</v>
      </c>
      <c r="AE96" s="1117">
        <f>AD96</f>
        <v>218.81399999999999</v>
      </c>
      <c r="AF96" s="1118"/>
      <c r="AG96" s="1116">
        <v>239.06200000000001</v>
      </c>
      <c r="AH96" s="1116">
        <v>246.43199999999999</v>
      </c>
      <c r="AI96" s="1116">
        <v>259.26299999999998</v>
      </c>
      <c r="AJ96" s="1116">
        <v>248.87</v>
      </c>
      <c r="AK96" s="1117">
        <f>AJ96</f>
        <v>248.87</v>
      </c>
      <c r="AL96" s="1118"/>
      <c r="AM96" s="1116">
        <v>255.768</v>
      </c>
      <c r="AN96" s="1116">
        <v>263.58999999999997</v>
      </c>
      <c r="AO96" s="1116">
        <v>281.363</v>
      </c>
      <c r="AP96" s="1116">
        <v>285.27100000000002</v>
      </c>
      <c r="AQ96" s="1117">
        <f>AP96</f>
        <v>285.27100000000002</v>
      </c>
      <c r="AR96" s="1118"/>
      <c r="AS96" s="1116">
        <v>286.14100000000002</v>
      </c>
      <c r="AT96" s="1119">
        <v>293.77600000000001</v>
      </c>
      <c r="AU96" s="1119">
        <v>273.77300000000002</v>
      </c>
      <c r="AV96" s="1119">
        <v>253.333</v>
      </c>
      <c r="AW96" s="1117">
        <f>AV96</f>
        <v>253.333</v>
      </c>
      <c r="AX96" s="1118"/>
      <c r="AY96" s="1116">
        <v>249.8</v>
      </c>
      <c r="AZ96" s="1116">
        <v>242.92099999999999</v>
      </c>
      <c r="BA96" s="1119">
        <v>236.9</v>
      </c>
      <c r="BB96" s="1119">
        <v>218.2</v>
      </c>
      <c r="BC96" s="1117">
        <f>BB96</f>
        <v>218.2</v>
      </c>
      <c r="BD96" s="1118"/>
      <c r="BE96" s="1116">
        <v>366.8</v>
      </c>
      <c r="BF96" s="1119">
        <v>327.5</v>
      </c>
      <c r="BG96" s="1119">
        <v>338.8</v>
      </c>
      <c r="BH96" s="1119">
        <v>311.3</v>
      </c>
      <c r="BI96" s="1117">
        <f>BH96</f>
        <v>311.3</v>
      </c>
      <c r="BJ96" s="1118"/>
      <c r="BK96" s="1116">
        <v>343.5</v>
      </c>
      <c r="BL96" s="1119">
        <v>355.9</v>
      </c>
      <c r="BM96" s="1119">
        <v>387.7</v>
      </c>
      <c r="BN96" s="1119">
        <v>387.6</v>
      </c>
      <c r="BO96" s="1117">
        <f>BN96</f>
        <v>387.6</v>
      </c>
      <c r="BP96" s="1118"/>
      <c r="BQ96" s="1120"/>
      <c r="BR96" s="1120"/>
      <c r="BS96" s="1120"/>
      <c r="BT96" s="1120"/>
      <c r="BU96" s="1121"/>
      <c r="BV96" s="1118"/>
      <c r="BW96" s="1120"/>
      <c r="BX96" s="1120"/>
      <c r="BY96" s="1120"/>
      <c r="BZ96" s="1120"/>
      <c r="CA96" s="1121"/>
      <c r="CB96" s="1118"/>
      <c r="CC96" s="1120"/>
      <c r="CD96" s="1120"/>
      <c r="CE96" s="1120"/>
      <c r="CF96" s="1120"/>
      <c r="CG96" s="1121"/>
      <c r="CH96" s="1121"/>
      <c r="CI96" s="1121"/>
      <c r="CJ96" s="1121"/>
      <c r="CK96"/>
      <c r="CL96"/>
      <c r="CM96"/>
      <c r="CN96"/>
      <c r="CO96"/>
      <c r="CP96"/>
    </row>
    <row r="97" spans="2:94" s="1102" customFormat="1" ht="11.25" customHeight="1" outlineLevel="1" x14ac:dyDescent="0.2">
      <c r="B97" s="1122" t="s">
        <v>616</v>
      </c>
      <c r="C97" s="257">
        <f>C96/C103</f>
        <v>0.62018366415236126</v>
      </c>
      <c r="D97" s="257">
        <f>D96/D103</f>
        <v>0.63007476066980428</v>
      </c>
      <c r="E97" s="257">
        <f>E96/E103</f>
        <v>0.63419440764896751</v>
      </c>
      <c r="F97" s="257">
        <f>F96/F103</f>
        <v>0.60225863458795803</v>
      </c>
      <c r="G97" s="257">
        <f>G96/G103</f>
        <v>0.60225863458795803</v>
      </c>
      <c r="H97" s="257"/>
      <c r="I97" s="257">
        <f>I96/I103</f>
        <v>0.59684194039838823</v>
      </c>
      <c r="J97" s="257">
        <f>J96/J103</f>
        <v>0.5716862037871957</v>
      </c>
      <c r="K97" s="257">
        <f>K96/K103</f>
        <v>0.57940673193165471</v>
      </c>
      <c r="L97" s="257">
        <f>L96/L103</f>
        <v>0.60179991833401392</v>
      </c>
      <c r="M97" s="257">
        <f>M96/M103</f>
        <v>0.60179991833401392</v>
      </c>
      <c r="N97" s="257"/>
      <c r="O97" s="257">
        <f>O96/O103</f>
        <v>0.59734342813661101</v>
      </c>
      <c r="P97" s="257">
        <f>P96/P103</f>
        <v>0.60726624029266618</v>
      </c>
      <c r="Q97" s="257">
        <f>Q96/Q103</f>
        <v>0.6144430255465787</v>
      </c>
      <c r="R97" s="257">
        <f>R96/R103</f>
        <v>0.61281374297078595</v>
      </c>
      <c r="S97" s="257">
        <f>S96/S103</f>
        <v>0.61281374297078595</v>
      </c>
      <c r="T97" s="257"/>
      <c r="U97" s="257">
        <f>U96/U103</f>
        <v>0.60170386257544872</v>
      </c>
      <c r="V97" s="257">
        <f>V96/V103</f>
        <v>0.60398601939562724</v>
      </c>
      <c r="W97" s="257">
        <f>W96/W103</f>
        <v>0.61082274083459343</v>
      </c>
      <c r="X97" s="257">
        <f>X96/X103</f>
        <v>0.61328051616581047</v>
      </c>
      <c r="Y97" s="257">
        <f>Y96/Y103</f>
        <v>0.61328051616581047</v>
      </c>
      <c r="Z97" s="257"/>
      <c r="AA97" s="257">
        <f>AA96/AA103</f>
        <v>0.61495958252327843</v>
      </c>
      <c r="AB97" s="257">
        <f>AB96/AB103</f>
        <v>0.58936832740213518</v>
      </c>
      <c r="AC97" s="257">
        <f>AC96/AC103</f>
        <v>0.61333544471915158</v>
      </c>
      <c r="AD97" s="257">
        <f>AD96/AD103</f>
        <v>0.60485623144498324</v>
      </c>
      <c r="AE97" s="257">
        <f>AE96/AE103</f>
        <v>0.60485623144498324</v>
      </c>
      <c r="AF97" s="1123"/>
      <c r="AG97" s="257">
        <f>AG96/AG103</f>
        <v>0.59312942250627709</v>
      </c>
      <c r="AH97" s="257">
        <f>AH96/AH103</f>
        <v>0.61119805553144269</v>
      </c>
      <c r="AI97" s="257">
        <f>AI96/AI103</f>
        <v>0.62334524261760615</v>
      </c>
      <c r="AJ97" s="257">
        <f>AJ96/AJ103</f>
        <v>0.61763537995731366</v>
      </c>
      <c r="AK97" s="257">
        <f>AK96/AK103</f>
        <v>0.61763537995731366</v>
      </c>
      <c r="AL97" s="1123"/>
      <c r="AM97" s="257">
        <f>AM96/AM103</f>
        <v>0.61321428742681505</v>
      </c>
      <c r="AN97" s="257">
        <f>AN96/AN103</f>
        <v>0.60848728845838651</v>
      </c>
      <c r="AO97" s="257">
        <f>AO96/AO103</f>
        <v>0.62765432980054747</v>
      </c>
      <c r="AP97" s="257">
        <f>AP96/AP103</f>
        <v>0.65047348247328185</v>
      </c>
      <c r="AQ97" s="257">
        <f>AQ96/AQ103</f>
        <v>0.65047348247328185</v>
      </c>
      <c r="AR97" s="1123"/>
      <c r="AS97" s="257">
        <f>AS96/AS103</f>
        <v>0.62877905571401582</v>
      </c>
      <c r="AT97" s="257">
        <f>AT96/AT103</f>
        <v>0.6369776432503691</v>
      </c>
      <c r="AU97" s="257">
        <f>AU96/AU103</f>
        <v>0.64800643809839409</v>
      </c>
      <c r="AV97" s="257">
        <f>AV96/AV103</f>
        <v>0.65444658288017155</v>
      </c>
      <c r="AW97" s="257">
        <f>AW96/AW103</f>
        <v>0.65444658288017155</v>
      </c>
      <c r="AX97" s="1123"/>
      <c r="AY97" s="257">
        <f>AY96/AY103</f>
        <v>0.65719893290677656</v>
      </c>
      <c r="AZ97" s="257">
        <f>AZ96/AZ103</f>
        <v>0.64810042153567049</v>
      </c>
      <c r="BA97" s="257">
        <f>BA96/BA103</f>
        <v>0.65568779407694433</v>
      </c>
      <c r="BB97" s="257">
        <f>BB96/BB103</f>
        <v>0.64101057579318454</v>
      </c>
      <c r="BC97" s="257">
        <f>BC96/BC103</f>
        <v>0.64101057579318454</v>
      </c>
      <c r="BD97" s="1123"/>
      <c r="BE97" s="257">
        <f>BE96/BE103</f>
        <v>0.65255292652552921</v>
      </c>
      <c r="BF97" s="257">
        <f>BF96/BF103</f>
        <v>0.62607532020646151</v>
      </c>
      <c r="BG97" s="257">
        <f>BG96/BG103</f>
        <v>0.60891445003594524</v>
      </c>
      <c r="BH97" s="257">
        <f>BH96/BH103</f>
        <v>0.60201121639914923</v>
      </c>
      <c r="BI97" s="257">
        <f>BI96/BI103</f>
        <v>0.60201121639914923</v>
      </c>
      <c r="BJ97" s="1123"/>
      <c r="BK97" s="257">
        <f>BK96/BK103</f>
        <v>0.6078570164572642</v>
      </c>
      <c r="BL97" s="257">
        <f>BL96/BL103</f>
        <v>0.59634718498659522</v>
      </c>
      <c r="BM97" s="257">
        <f>BM96/BM103</f>
        <v>0.62091607943625882</v>
      </c>
      <c r="BN97" s="257">
        <f>BN96/BN103</f>
        <v>0.62205103514684645</v>
      </c>
      <c r="BO97" s="257">
        <f>BO96/BO103</f>
        <v>0.62205103514684645</v>
      </c>
      <c r="BP97" s="1123"/>
      <c r="BQ97" s="257"/>
      <c r="BR97" s="257"/>
      <c r="BS97" s="257"/>
      <c r="BT97" s="257"/>
      <c r="BU97" s="400"/>
      <c r="BV97" s="1123"/>
      <c r="BW97" s="257"/>
      <c r="BX97" s="257"/>
      <c r="BY97" s="257"/>
      <c r="BZ97" s="257"/>
      <c r="CA97" s="400"/>
      <c r="CB97" s="1123"/>
      <c r="CC97" s="257"/>
      <c r="CD97" s="257"/>
      <c r="CE97" s="257"/>
      <c r="CF97" s="257"/>
      <c r="CG97" s="400"/>
      <c r="CH97" s="400"/>
      <c r="CI97" s="400"/>
      <c r="CJ97" s="400"/>
      <c r="CK97"/>
      <c r="CL97"/>
      <c r="CM97"/>
      <c r="CN97"/>
      <c r="CO97"/>
      <c r="CP97"/>
    </row>
    <row r="98" spans="2:94" s="1102" customFormat="1" ht="11.25" customHeight="1" outlineLevel="1" x14ac:dyDescent="0.2">
      <c r="B98" s="104" t="s">
        <v>617</v>
      </c>
      <c r="C98" s="1116">
        <v>44.976999999999997</v>
      </c>
      <c r="D98" s="1116">
        <v>47.167000000000002</v>
      </c>
      <c r="E98" s="1116">
        <v>48.567</v>
      </c>
      <c r="F98" s="1116">
        <v>49.622</v>
      </c>
      <c r="G98" s="1117">
        <f>F98</f>
        <v>49.622</v>
      </c>
      <c r="H98" s="70"/>
      <c r="I98" s="1116">
        <v>56.118000000000002</v>
      </c>
      <c r="J98" s="1116">
        <v>56.771000000000001</v>
      </c>
      <c r="K98" s="1116">
        <v>54.232999999999997</v>
      </c>
      <c r="L98" s="1116">
        <v>58.122999999999998</v>
      </c>
      <c r="M98" s="1117">
        <f>L98</f>
        <v>58.122999999999998</v>
      </c>
      <c r="N98" s="70"/>
      <c r="O98" s="1116">
        <v>55.66</v>
      </c>
      <c r="P98" s="1116">
        <v>54.067</v>
      </c>
      <c r="Q98" s="1116">
        <v>55.344999999999999</v>
      </c>
      <c r="R98" s="1116">
        <v>53.055999999999997</v>
      </c>
      <c r="S98" s="1117">
        <f>R98</f>
        <v>53.055999999999997</v>
      </c>
      <c r="T98" s="70"/>
      <c r="U98" s="1116">
        <v>54.383000000000003</v>
      </c>
      <c r="V98" s="1116">
        <v>51.389000000000003</v>
      </c>
      <c r="W98" s="1116">
        <v>54.975999999999999</v>
      </c>
      <c r="X98" s="1116">
        <v>57.271999999999998</v>
      </c>
      <c r="Y98" s="1117">
        <f>X98</f>
        <v>57.271999999999998</v>
      </c>
      <c r="Z98" s="70"/>
      <c r="AA98" s="1116">
        <v>60.16</v>
      </c>
      <c r="AB98" s="1116">
        <v>64.703999999999994</v>
      </c>
      <c r="AC98" s="1116">
        <v>70.989999999999995</v>
      </c>
      <c r="AD98" s="1116">
        <v>66.951999999999998</v>
      </c>
      <c r="AE98" s="1117">
        <f>AD98</f>
        <v>66.951999999999998</v>
      </c>
      <c r="AF98" s="1118"/>
      <c r="AG98" s="1116">
        <v>75.748000000000005</v>
      </c>
      <c r="AH98" s="1116">
        <v>67.81</v>
      </c>
      <c r="AI98" s="1116">
        <v>69.263999999999996</v>
      </c>
      <c r="AJ98" s="1116">
        <v>72.533000000000001</v>
      </c>
      <c r="AK98" s="1117">
        <f>AJ98</f>
        <v>72.533000000000001</v>
      </c>
      <c r="AL98" s="1118"/>
      <c r="AM98" s="1116">
        <v>72.622</v>
      </c>
      <c r="AN98" s="1116">
        <v>76.019000000000005</v>
      </c>
      <c r="AO98" s="1116">
        <v>72.909000000000006</v>
      </c>
      <c r="AP98" s="1116">
        <v>67.718000000000004</v>
      </c>
      <c r="AQ98" s="1117">
        <f>AP98</f>
        <v>67.718000000000004</v>
      </c>
      <c r="AR98" s="1118"/>
      <c r="AS98" s="1116">
        <v>72.873999999999995</v>
      </c>
      <c r="AT98" s="1119">
        <v>75.929000000000002</v>
      </c>
      <c r="AU98" s="1119">
        <v>66.831000000000003</v>
      </c>
      <c r="AV98" s="1119">
        <v>58.329000000000001</v>
      </c>
      <c r="AW98" s="1117">
        <f>AV98</f>
        <v>58.329000000000001</v>
      </c>
      <c r="AX98" s="1118"/>
      <c r="AY98" s="1116">
        <v>59.499000000000002</v>
      </c>
      <c r="AZ98" s="1116">
        <v>59.857999999999997</v>
      </c>
      <c r="BA98" s="1119">
        <v>52.9</v>
      </c>
      <c r="BB98" s="1119">
        <v>52.3</v>
      </c>
      <c r="BC98" s="1117">
        <f>BB98</f>
        <v>52.3</v>
      </c>
      <c r="BD98" s="1118"/>
      <c r="BE98" s="1116">
        <v>75.7</v>
      </c>
      <c r="BF98" s="1119">
        <v>76.400000000000006</v>
      </c>
      <c r="BG98" s="1119">
        <v>85.3</v>
      </c>
      <c r="BH98" s="1119">
        <v>77.099999999999994</v>
      </c>
      <c r="BI98" s="1117">
        <f>BH98</f>
        <v>77.099999999999994</v>
      </c>
      <c r="BJ98" s="1118"/>
      <c r="BK98" s="1116">
        <v>85.6</v>
      </c>
      <c r="BL98" s="1119">
        <v>91.3</v>
      </c>
      <c r="BM98" s="1119">
        <v>91.3</v>
      </c>
      <c r="BN98" s="1119">
        <v>90.4</v>
      </c>
      <c r="BO98" s="1117">
        <f>BN98</f>
        <v>90.4</v>
      </c>
      <c r="BP98" s="1118"/>
      <c r="BQ98" s="1120"/>
      <c r="BR98" s="1120"/>
      <c r="BS98" s="1120"/>
      <c r="BT98" s="1120"/>
      <c r="BU98" s="1121"/>
      <c r="BV98" s="1118"/>
      <c r="BW98" s="1120"/>
      <c r="BX98" s="1120"/>
      <c r="BY98" s="1120"/>
      <c r="BZ98" s="1120"/>
      <c r="CA98" s="1121"/>
      <c r="CB98" s="1118"/>
      <c r="CC98" s="1120"/>
      <c r="CD98" s="1120"/>
      <c r="CE98" s="1120"/>
      <c r="CF98" s="1120"/>
      <c r="CG98" s="1121"/>
      <c r="CH98" s="1121"/>
      <c r="CI98" s="1121"/>
      <c r="CJ98" s="1121"/>
      <c r="CK98"/>
      <c r="CL98"/>
      <c r="CM98"/>
      <c r="CN98"/>
      <c r="CO98"/>
      <c r="CP98"/>
    </row>
    <row r="99" spans="2:94" s="1102" customFormat="1" ht="11.25" customHeight="1" outlineLevel="1" x14ac:dyDescent="0.2">
      <c r="B99" s="1122" t="s">
        <v>616</v>
      </c>
      <c r="C99" s="257">
        <f>C98/C103</f>
        <v>0.18171277124399535</v>
      </c>
      <c r="D99" s="257">
        <f>D98/D103</f>
        <v>0.18877069125604329</v>
      </c>
      <c r="E99" s="257">
        <f>E98/E103</f>
        <v>0.1752960582118481</v>
      </c>
      <c r="F99" s="257">
        <f>F98/F103</f>
        <v>0.19230948099460532</v>
      </c>
      <c r="G99" s="257">
        <f>G98/G103</f>
        <v>0.19230948099460532</v>
      </c>
      <c r="H99" s="257"/>
      <c r="I99" s="257">
        <f>I98/I103</f>
        <v>0.19975652471060612</v>
      </c>
      <c r="J99" s="257">
        <f>J98/J103</f>
        <v>0.20074965964744784</v>
      </c>
      <c r="K99" s="257">
        <f>K98/K103</f>
        <v>0.19455017021749815</v>
      </c>
      <c r="L99" s="257">
        <f>L98/L103</f>
        <v>0.18986688444262964</v>
      </c>
      <c r="M99" s="257">
        <f>M98/M103</f>
        <v>0.18986688444262964</v>
      </c>
      <c r="N99" s="257"/>
      <c r="O99" s="257">
        <f>O98/O103</f>
        <v>0.1772109179245373</v>
      </c>
      <c r="P99" s="257">
        <f>P98/P103</f>
        <v>0.17473039223607201</v>
      </c>
      <c r="Q99" s="257">
        <f>Q98/Q103</f>
        <v>0.17757791995276995</v>
      </c>
      <c r="R99" s="257">
        <f>R98/R103</f>
        <v>0.18192291866684954</v>
      </c>
      <c r="S99" s="257">
        <f>S98/S103</f>
        <v>0.18192291866684954</v>
      </c>
      <c r="T99" s="257"/>
      <c r="U99" s="257">
        <f>U98/U103</f>
        <v>0.18055564777986577</v>
      </c>
      <c r="V99" s="257">
        <f>V98/V103</f>
        <v>0.18069649851965935</v>
      </c>
      <c r="W99" s="257">
        <f>W98/W103</f>
        <v>0.17284191265472174</v>
      </c>
      <c r="X99" s="257">
        <f>X98/X103</f>
        <v>0.18550356613050548</v>
      </c>
      <c r="Y99" s="257">
        <f>Y98/Y103</f>
        <v>0.18550356613050548</v>
      </c>
      <c r="Z99" s="257"/>
      <c r="AA99" s="257">
        <f>AA98/AA103</f>
        <v>0.18105103496427732</v>
      </c>
      <c r="AB99" s="257">
        <f>AB98/AB103</f>
        <v>0.19188612099644123</v>
      </c>
      <c r="AC99" s="257">
        <f>AC98/AC103</f>
        <v>0.18131525714635988</v>
      </c>
      <c r="AD99" s="257">
        <f>AD98/AD103</f>
        <v>0.1850719533837164</v>
      </c>
      <c r="AE99" s="257">
        <f>AE98/AE103</f>
        <v>0.1850719533837164</v>
      </c>
      <c r="AF99" s="1123"/>
      <c r="AG99" s="257">
        <f>AG98/AG103</f>
        <v>0.18793604795411015</v>
      </c>
      <c r="AH99" s="257">
        <f>AH98/AH103</f>
        <v>0.1681816490779896</v>
      </c>
      <c r="AI99" s="257">
        <f>AI98/AI103</f>
        <v>0.16653122460461336</v>
      </c>
      <c r="AJ99" s="257">
        <f>AJ98/AJ103</f>
        <v>0.18000943068446912</v>
      </c>
      <c r="AK99" s="257">
        <f>AK98/AK103</f>
        <v>0.18000943068446912</v>
      </c>
      <c r="AL99" s="1123"/>
      <c r="AM99" s="257">
        <f>AM98/AM103</f>
        <v>0.17411422844730445</v>
      </c>
      <c r="AN99" s="257">
        <f>AN98/AN103</f>
        <v>0.17548691217921047</v>
      </c>
      <c r="AO99" s="257">
        <f>AO98/AO103</f>
        <v>0.16264274098381137</v>
      </c>
      <c r="AP99" s="257">
        <f>AP98/AP103</f>
        <v>0.15441023898722864</v>
      </c>
      <c r="AQ99" s="257">
        <f>AQ98/AQ103</f>
        <v>0.15441023898722864</v>
      </c>
      <c r="AR99" s="1123"/>
      <c r="AS99" s="257">
        <f>AS98/AS103</f>
        <v>0.16013659316946255</v>
      </c>
      <c r="AT99" s="257">
        <f>AT98/AT103</f>
        <v>0.16463249371751701</v>
      </c>
      <c r="AU99" s="257">
        <f>AU98/AU103</f>
        <v>0.15818549770997786</v>
      </c>
      <c r="AV99" s="257">
        <f>AV98/AV103</f>
        <v>0.15068394063472793</v>
      </c>
      <c r="AW99" s="257">
        <f>AW98/AW103</f>
        <v>0.15068394063472793</v>
      </c>
      <c r="AX99" s="1123"/>
      <c r="AY99" s="257">
        <f>AY98/AY103</f>
        <v>0.15653594599287549</v>
      </c>
      <c r="AZ99" s="257">
        <f>AZ98/AZ103</f>
        <v>0.15969798836774984</v>
      </c>
      <c r="BA99" s="257">
        <f>BA98/BA103</f>
        <v>0.14641572100747299</v>
      </c>
      <c r="BB99" s="257">
        <f>BB98/BB103</f>
        <v>0.15364277320799061</v>
      </c>
      <c r="BC99" s="257">
        <f>BC98/BC103</f>
        <v>0.15364277320799061</v>
      </c>
      <c r="BD99" s="1123"/>
      <c r="BE99" s="257">
        <f>BE98/BE103</f>
        <v>0.13467354563244974</v>
      </c>
      <c r="BF99" s="257">
        <f>BF98/BF103</f>
        <v>0.14605238004205698</v>
      </c>
      <c r="BG99" s="257">
        <f>BG98/BG103</f>
        <v>0.15330697340043131</v>
      </c>
      <c r="BH99" s="257">
        <f>BH98/BH103</f>
        <v>0.14910075420614968</v>
      </c>
      <c r="BI99" s="257">
        <f>BI98/BI103</f>
        <v>0.14910075420614968</v>
      </c>
      <c r="BJ99" s="1123"/>
      <c r="BK99" s="257">
        <f>BK98/BK103</f>
        <v>0.15147761458148998</v>
      </c>
      <c r="BL99" s="257">
        <f>BL98/BL103</f>
        <v>0.15298257372654156</v>
      </c>
      <c r="BM99" s="257">
        <f>BM98/BM103</f>
        <v>0.14622037155669443</v>
      </c>
      <c r="BN99" s="257">
        <f>BN98/BN103</f>
        <v>0.14508104638099825</v>
      </c>
      <c r="BO99" s="257">
        <f>BO98/BO103</f>
        <v>0.14508104638099825</v>
      </c>
      <c r="BP99" s="1123"/>
      <c r="BQ99" s="257"/>
      <c r="BR99" s="257"/>
      <c r="BS99" s="257"/>
      <c r="BT99" s="257"/>
      <c r="BU99" s="400"/>
      <c r="BV99" s="1123"/>
      <c r="BW99" s="257"/>
      <c r="BX99" s="257"/>
      <c r="BY99" s="257"/>
      <c r="BZ99" s="257"/>
      <c r="CA99" s="400"/>
      <c r="CB99" s="1123"/>
      <c r="CC99" s="257"/>
      <c r="CD99" s="257"/>
      <c r="CE99" s="257"/>
      <c r="CF99" s="257"/>
      <c r="CG99" s="400"/>
      <c r="CH99" s="400"/>
      <c r="CI99" s="400"/>
      <c r="CJ99" s="400"/>
      <c r="CK99"/>
      <c r="CL99"/>
      <c r="CM99"/>
      <c r="CN99"/>
      <c r="CO99"/>
      <c r="CP99"/>
    </row>
    <row r="100" spans="2:94" s="1102" customFormat="1" ht="11.25" customHeight="1" outlineLevel="1" x14ac:dyDescent="0.2">
      <c r="B100" s="104" t="s">
        <v>618</v>
      </c>
      <c r="C100" s="1116">
        <v>49.033999999999999</v>
      </c>
      <c r="D100" s="1116">
        <v>45.264000000000003</v>
      </c>
      <c r="E100" s="1116">
        <v>52.781999999999996</v>
      </c>
      <c r="F100" s="1116">
        <v>53.008000000000003</v>
      </c>
      <c r="G100" s="1117">
        <f>F100</f>
        <v>53.008000000000003</v>
      </c>
      <c r="H100" s="70"/>
      <c r="I100" s="1116">
        <v>57.142000000000003</v>
      </c>
      <c r="J100" s="1116">
        <v>64.353999999999999</v>
      </c>
      <c r="K100" s="1116">
        <v>63.012</v>
      </c>
      <c r="L100" s="1116">
        <v>63.776000000000003</v>
      </c>
      <c r="M100" s="1117">
        <f>L100</f>
        <v>63.776000000000003</v>
      </c>
      <c r="N100" s="70"/>
      <c r="O100" s="1116">
        <v>70.81</v>
      </c>
      <c r="P100" s="1116">
        <v>67.456999999999994</v>
      </c>
      <c r="Q100" s="1116">
        <v>64.819999999999993</v>
      </c>
      <c r="R100" s="1116">
        <v>59.863</v>
      </c>
      <c r="S100" s="1117">
        <f>R100</f>
        <v>59.863</v>
      </c>
      <c r="T100" s="70"/>
      <c r="U100" s="1116">
        <v>65.582999999999998</v>
      </c>
      <c r="V100" s="1116">
        <v>61.234999999999999</v>
      </c>
      <c r="W100" s="1116">
        <v>68.81</v>
      </c>
      <c r="X100" s="1116">
        <v>62.122999999999998</v>
      </c>
      <c r="Y100" s="1117">
        <f>X100</f>
        <v>62.122999999999998</v>
      </c>
      <c r="Z100" s="70"/>
      <c r="AA100" s="1116">
        <v>67.781999999999996</v>
      </c>
      <c r="AB100" s="1116">
        <v>73.760999999999996</v>
      </c>
      <c r="AC100" s="1116">
        <v>80.400000000000006</v>
      </c>
      <c r="AD100" s="1116">
        <v>75.995999999999995</v>
      </c>
      <c r="AE100" s="1117">
        <f>AD100</f>
        <v>75.995999999999995</v>
      </c>
      <c r="AF100" s="1118"/>
      <c r="AG100" s="1116">
        <v>88.242000000000004</v>
      </c>
      <c r="AH100" s="1116">
        <v>88.953000000000003</v>
      </c>
      <c r="AI100" s="1116">
        <v>87.394999999999996</v>
      </c>
      <c r="AJ100" s="1116">
        <v>81.537000000000006</v>
      </c>
      <c r="AK100" s="1117">
        <f>AJ100</f>
        <v>81.537000000000006</v>
      </c>
      <c r="AL100" s="1118"/>
      <c r="AM100" s="1116">
        <v>88.703999999999994</v>
      </c>
      <c r="AN100" s="1116">
        <v>93.58</v>
      </c>
      <c r="AO100" s="1116">
        <v>94.004999999999995</v>
      </c>
      <c r="AP100" s="1116">
        <v>85.57</v>
      </c>
      <c r="AQ100" s="1117">
        <f>AP100</f>
        <v>85.57</v>
      </c>
      <c r="AR100" s="1118"/>
      <c r="AS100" s="1116">
        <v>96.058999999999997</v>
      </c>
      <c r="AT100" s="1119">
        <v>91.498000000000005</v>
      </c>
      <c r="AU100" s="1119">
        <v>81.881</v>
      </c>
      <c r="AV100" s="1119">
        <v>75.433000000000007</v>
      </c>
      <c r="AW100" s="1117">
        <f>AV100</f>
        <v>75.433000000000007</v>
      </c>
      <c r="AX100" s="1118"/>
      <c r="AY100" s="1116">
        <v>70.799000000000007</v>
      </c>
      <c r="AZ100" s="1116">
        <v>72.040999999999997</v>
      </c>
      <c r="BA100" s="1119">
        <v>71.5</v>
      </c>
      <c r="BB100" s="1119">
        <v>69.900000000000006</v>
      </c>
      <c r="BC100" s="1117">
        <f>BB100</f>
        <v>69.900000000000006</v>
      </c>
      <c r="BD100" s="1118"/>
      <c r="BE100" s="1116">
        <v>119.6</v>
      </c>
      <c r="BF100" s="1119">
        <v>119.2</v>
      </c>
      <c r="BG100" s="1119">
        <v>132.30000000000001</v>
      </c>
      <c r="BH100" s="1119">
        <v>128.69999999999999</v>
      </c>
      <c r="BI100" s="1117">
        <f>BH100</f>
        <v>128.69999999999999</v>
      </c>
      <c r="BJ100" s="1118"/>
      <c r="BK100" s="1116">
        <v>136</v>
      </c>
      <c r="BL100" s="1119">
        <v>149.6</v>
      </c>
      <c r="BM100" s="1119">
        <v>145.4</v>
      </c>
      <c r="BN100" s="1119">
        <v>145.1</v>
      </c>
      <c r="BO100" s="1117">
        <f>BN100</f>
        <v>145.1</v>
      </c>
      <c r="BP100" s="1118"/>
      <c r="BQ100" s="1120"/>
      <c r="BR100" s="1120"/>
      <c r="BS100" s="1120"/>
      <c r="BT100" s="1120"/>
      <c r="BU100" s="1121"/>
      <c r="BV100" s="1118"/>
      <c r="BW100" s="1120"/>
      <c r="BX100" s="1120"/>
      <c r="BY100" s="1120"/>
      <c r="BZ100" s="1120"/>
      <c r="CA100" s="1121"/>
      <c r="CB100" s="1118"/>
      <c r="CC100" s="1120"/>
      <c r="CD100" s="1120"/>
      <c r="CE100" s="1120"/>
      <c r="CF100" s="1120"/>
      <c r="CG100" s="1121"/>
      <c r="CH100" s="1121"/>
      <c r="CI100" s="1121"/>
      <c r="CJ100" s="1121"/>
      <c r="CK100"/>
      <c r="CL100"/>
      <c r="CM100"/>
      <c r="CN100"/>
      <c r="CO100"/>
      <c r="CP100"/>
    </row>
    <row r="101" spans="2:94" s="1102" customFormat="1" ht="11.25" customHeight="1" outlineLevel="1" x14ac:dyDescent="0.2">
      <c r="B101" s="1122" t="s">
        <v>616</v>
      </c>
      <c r="C101" s="257">
        <f>C100/C103</f>
        <v>0.1981035646036434</v>
      </c>
      <c r="D101" s="257">
        <f>D100/D103</f>
        <v>0.18115454807415235</v>
      </c>
      <c r="E101" s="257">
        <f>E100/E103</f>
        <v>0.19050953413918434</v>
      </c>
      <c r="F101" s="257">
        <f>F100/F103</f>
        <v>0.20543188441743662</v>
      </c>
      <c r="G101" s="257">
        <f>G100/G103</f>
        <v>0.20543188441743662</v>
      </c>
      <c r="H101" s="257"/>
      <c r="I101" s="257">
        <f>I100/I103</f>
        <v>0.20340153489100565</v>
      </c>
      <c r="J101" s="257">
        <f>J100/J103</f>
        <v>0.22756413656535657</v>
      </c>
      <c r="K101" s="257">
        <f>K100/K103</f>
        <v>0.22604309785084717</v>
      </c>
      <c r="L101" s="257">
        <f>L100/L103</f>
        <v>0.20833319722335647</v>
      </c>
      <c r="M101" s="257">
        <f>M100/M103</f>
        <v>0.20833319722335647</v>
      </c>
      <c r="N101" s="257"/>
      <c r="O101" s="257">
        <f>O100/O103</f>
        <v>0.22544565393885174</v>
      </c>
      <c r="P101" s="257">
        <f>P100/P103</f>
        <v>0.21800336747126173</v>
      </c>
      <c r="Q101" s="257">
        <f>Q100/Q103</f>
        <v>0.20797905450065132</v>
      </c>
      <c r="R101" s="257">
        <f>R100/R103</f>
        <v>0.20526333836236457</v>
      </c>
      <c r="S101" s="257">
        <f>S100/S103</f>
        <v>0.20526333836236457</v>
      </c>
      <c r="T101" s="257"/>
      <c r="U101" s="257">
        <f>U100/U103</f>
        <v>0.21774048964468556</v>
      </c>
      <c r="V101" s="257">
        <f>V100/V103</f>
        <v>0.21531748208471346</v>
      </c>
      <c r="W101" s="257">
        <f>W100/W103</f>
        <v>0.2163353465106847</v>
      </c>
      <c r="X101" s="257">
        <f>X100/X103</f>
        <v>0.20121591770368402</v>
      </c>
      <c r="Y101" s="257">
        <f>Y100/Y103</f>
        <v>0.20121591770368402</v>
      </c>
      <c r="Z101" s="257"/>
      <c r="AA101" s="257">
        <f>AA100/AA103</f>
        <v>0.20398938251244425</v>
      </c>
      <c r="AB101" s="257">
        <f>AB100/AB103</f>
        <v>0.21874555160142345</v>
      </c>
      <c r="AC101" s="257">
        <f>AC100/AC103</f>
        <v>0.20534929813448846</v>
      </c>
      <c r="AD101" s="257">
        <f>AD100/AD103</f>
        <v>0.2100718151713005</v>
      </c>
      <c r="AE101" s="257">
        <f>AE100/AE103</f>
        <v>0.2100718151713005</v>
      </c>
      <c r="AF101" s="1123"/>
      <c r="AG101" s="257">
        <f>AG100/AG103</f>
        <v>0.21893452953961276</v>
      </c>
      <c r="AH101" s="257">
        <f>AH100/AH103</f>
        <v>0.22062029539056788</v>
      </c>
      <c r="AI101" s="257">
        <f>AI100/AI103</f>
        <v>0.21012353277778045</v>
      </c>
      <c r="AJ101" s="257">
        <f>AJ100/AJ103</f>
        <v>0.20235518935821709</v>
      </c>
      <c r="AK101" s="257">
        <f>AK100/AK103</f>
        <v>0.20235518935821709</v>
      </c>
      <c r="AL101" s="1123"/>
      <c r="AM101" s="257">
        <f>AM100/AM103</f>
        <v>0.21267148412588049</v>
      </c>
      <c r="AN101" s="257">
        <f>AN100/AN103</f>
        <v>0.21602579936240304</v>
      </c>
      <c r="AO101" s="257">
        <f>AO100/AO103</f>
        <v>0.20970292921564121</v>
      </c>
      <c r="AP101" s="257">
        <f>AP100/AP103</f>
        <v>0.19511627853948954</v>
      </c>
      <c r="AQ101" s="257">
        <f>AQ100/AQ103</f>
        <v>0.19511627853948954</v>
      </c>
      <c r="AR101" s="1123"/>
      <c r="AS101" s="257">
        <f>AS100/AS103</f>
        <v>0.21108435111652171</v>
      </c>
      <c r="AT101" s="257">
        <f>AT100/AT103</f>
        <v>0.19838986303211384</v>
      </c>
      <c r="AU101" s="257">
        <f>AU100/AU103</f>
        <v>0.1938080641916281</v>
      </c>
      <c r="AV101" s="257">
        <f>AV100/AV103</f>
        <v>0.19486947648510058</v>
      </c>
      <c r="AW101" s="257">
        <f>AW100/AW103</f>
        <v>0.19486947648510058</v>
      </c>
      <c r="AX101" s="1123"/>
      <c r="AY101" s="257">
        <f>AY100/AY103</f>
        <v>0.18626512110034779</v>
      </c>
      <c r="AZ101" s="257">
        <f>AZ100/AZ103</f>
        <v>0.19220159009657969</v>
      </c>
      <c r="BA101" s="257">
        <f>BA100/BA103</f>
        <v>0.19789648491558262</v>
      </c>
      <c r="BB101" s="257">
        <f>BB100/BB103</f>
        <v>0.20534665099882493</v>
      </c>
      <c r="BC101" s="257">
        <f>BC100/BC103</f>
        <v>0.20534665099882493</v>
      </c>
      <c r="BD101" s="1123"/>
      <c r="BE101" s="257">
        <f>BE100/BE103</f>
        <v>0.21277352784202097</v>
      </c>
      <c r="BF101" s="257">
        <f>BF100/BF103</f>
        <v>0.22787229975148154</v>
      </c>
      <c r="BG101" s="257">
        <f>BG100/BG103</f>
        <v>0.23777857656362328</v>
      </c>
      <c r="BH101" s="257">
        <f>BH100/BH103</f>
        <v>0.24888802939470123</v>
      </c>
      <c r="BI101" s="257">
        <f>BI100/BI103</f>
        <v>0.24888802939470123</v>
      </c>
      <c r="BJ101" s="1123"/>
      <c r="BK101" s="257">
        <f>BK100/BK103</f>
        <v>0.2406653689612458</v>
      </c>
      <c r="BL101" s="257">
        <f>BL100/BL103</f>
        <v>0.25067024128686327</v>
      </c>
      <c r="BM101" s="257">
        <f>BM100/BM103</f>
        <v>0.23286354900704678</v>
      </c>
      <c r="BN101" s="257">
        <f>BN100/BN103</f>
        <v>0.23286791847215532</v>
      </c>
      <c r="BO101" s="257">
        <f>BO100/BO103</f>
        <v>0.23286791847215532</v>
      </c>
      <c r="BP101" s="1123"/>
      <c r="BQ101" s="257"/>
      <c r="BR101" s="257"/>
      <c r="BS101" s="257"/>
      <c r="BT101" s="257"/>
      <c r="BU101" s="400"/>
      <c r="BV101" s="1123"/>
      <c r="BW101" s="257"/>
      <c r="BX101" s="257"/>
      <c r="BY101" s="257"/>
      <c r="BZ101" s="257"/>
      <c r="CA101" s="400"/>
      <c r="CB101" s="1123"/>
      <c r="CC101" s="257"/>
      <c r="CD101" s="257"/>
      <c r="CE101" s="257"/>
      <c r="CF101" s="257"/>
      <c r="CG101" s="400"/>
      <c r="CH101" s="400"/>
      <c r="CI101" s="400"/>
      <c r="CJ101" s="400"/>
      <c r="CK101"/>
      <c r="CL101"/>
      <c r="CM101"/>
      <c r="CN101"/>
      <c r="CO101"/>
      <c r="CP101"/>
    </row>
    <row r="102" spans="2:94" s="1102" customFormat="1" ht="11.25" customHeight="1" outlineLevel="1" x14ac:dyDescent="0.2">
      <c r="B102" s="104"/>
      <c r="C102" s="1117"/>
      <c r="D102" s="1117"/>
      <c r="E102" s="1117"/>
      <c r="F102" s="1117"/>
      <c r="G102" s="1117"/>
      <c r="H102" s="70"/>
      <c r="I102" s="1117"/>
      <c r="J102" s="1117"/>
      <c r="K102" s="1117"/>
      <c r="L102" s="1117"/>
      <c r="M102" s="1117"/>
      <c r="N102" s="70"/>
      <c r="O102" s="1117"/>
      <c r="P102" s="1117"/>
      <c r="Q102" s="1117"/>
      <c r="R102" s="1117"/>
      <c r="S102" s="1117"/>
      <c r="T102" s="70"/>
      <c r="U102" s="1117"/>
      <c r="V102" s="1117"/>
      <c r="W102" s="1117"/>
      <c r="X102" s="1117"/>
      <c r="Y102" s="1117"/>
      <c r="Z102" s="70"/>
      <c r="AA102" s="1117"/>
      <c r="AB102" s="1117"/>
      <c r="AC102" s="1117"/>
      <c r="AD102" s="1117"/>
      <c r="AE102" s="1117"/>
      <c r="AF102" s="1118"/>
      <c r="AG102" s="1117"/>
      <c r="AH102" s="1117"/>
      <c r="AI102" s="1117"/>
      <c r="AJ102" s="1117"/>
      <c r="AK102" s="1117"/>
      <c r="AL102" s="1118"/>
      <c r="AM102" s="1120"/>
      <c r="AN102" s="1120"/>
      <c r="AO102" s="1117"/>
      <c r="AP102" s="1117"/>
      <c r="AQ102" s="1117"/>
      <c r="AR102" s="1118"/>
      <c r="AS102" s="1120"/>
      <c r="AT102" s="1120"/>
      <c r="AU102" s="1120"/>
      <c r="AV102" s="1120"/>
      <c r="AW102" s="1117"/>
      <c r="AX102" s="1118"/>
      <c r="AY102" s="1120"/>
      <c r="AZ102" s="1120"/>
      <c r="BA102" s="1120"/>
      <c r="BB102" s="1120"/>
      <c r="BC102" s="1117"/>
      <c r="BD102" s="1118"/>
      <c r="BE102" s="1120"/>
      <c r="BF102" s="1120"/>
      <c r="BG102" s="1120"/>
      <c r="BH102" s="1120"/>
      <c r="BI102" s="1117"/>
      <c r="BJ102" s="1118"/>
      <c r="BK102" s="1120"/>
      <c r="BL102" s="1120"/>
      <c r="BM102" s="1120"/>
      <c r="BN102" s="1120"/>
      <c r="BO102" s="1117"/>
      <c r="BP102" s="1118"/>
      <c r="BQ102" s="1120"/>
      <c r="BR102" s="1120"/>
      <c r="BS102" s="1120"/>
      <c r="BT102" s="1120"/>
      <c r="BU102" s="1121"/>
      <c r="BV102" s="1118"/>
      <c r="BW102" s="1120"/>
      <c r="BX102" s="1120"/>
      <c r="BY102" s="1120"/>
      <c r="BZ102" s="1120"/>
      <c r="CA102" s="1121"/>
      <c r="CB102" s="1118"/>
      <c r="CC102" s="1120"/>
      <c r="CD102" s="1120"/>
      <c r="CE102" s="1120"/>
      <c r="CF102" s="1120"/>
      <c r="CG102" s="1121"/>
      <c r="CH102" s="1121"/>
      <c r="CI102" s="1121"/>
      <c r="CJ102" s="1121"/>
      <c r="CK102"/>
      <c r="CL102"/>
      <c r="CM102"/>
      <c r="CN102"/>
      <c r="CO102"/>
      <c r="CP102"/>
    </row>
    <row r="103" spans="2:94" s="1102" customFormat="1" ht="11.25" customHeight="1" outlineLevel="1" x14ac:dyDescent="0.2">
      <c r="B103" s="1124" t="s">
        <v>619</v>
      </c>
      <c r="C103" s="1117">
        <f>C96+C98+C100</f>
        <v>247.517</v>
      </c>
      <c r="D103" s="1117">
        <f>D96+D98+D100</f>
        <v>249.864</v>
      </c>
      <c r="E103" s="1117">
        <f>E96+E98+E100</f>
        <v>277.05700000000002</v>
      </c>
      <c r="F103" s="1117">
        <f>F96+F98+F100</f>
        <v>258.03199999999998</v>
      </c>
      <c r="G103" s="1117">
        <f>G96+G98+G100</f>
        <v>258.03199999999998</v>
      </c>
      <c r="H103" s="1117"/>
      <c r="I103" s="1117">
        <f>I96+I98+I100</f>
        <v>280.93200000000002</v>
      </c>
      <c r="J103" s="1117">
        <f>J96+J98+J100</f>
        <v>282.79499999999996</v>
      </c>
      <c r="K103" s="1117">
        <f>K96+K98+K100</f>
        <v>278.76099999999997</v>
      </c>
      <c r="L103" s="1117">
        <f>L96+L98+L100</f>
        <v>306.125</v>
      </c>
      <c r="M103" s="1117">
        <f>M96+M98+M100</f>
        <v>306.125</v>
      </c>
      <c r="N103" s="1117"/>
      <c r="O103" s="1117">
        <f>O96+O98+O100</f>
        <v>314.089</v>
      </c>
      <c r="P103" s="1117">
        <f>P96+P98+P100</f>
        <v>309.43100000000004</v>
      </c>
      <c r="Q103" s="1117">
        <f>Q96+Q98+Q100</f>
        <v>311.666</v>
      </c>
      <c r="R103" s="1117">
        <f>R96+R98+R100</f>
        <v>291.64</v>
      </c>
      <c r="S103" s="1117">
        <f>S96+S98+S100</f>
        <v>291.64</v>
      </c>
      <c r="T103" s="1117"/>
      <c r="U103" s="1117">
        <f>U96+U98+U100</f>
        <v>301.19799999999998</v>
      </c>
      <c r="V103" s="1117">
        <f>V96+V98+V100</f>
        <v>284.39400000000001</v>
      </c>
      <c r="W103" s="1117">
        <f>W96+W98+W100</f>
        <v>318.07100000000003</v>
      </c>
      <c r="X103" s="1117">
        <f>X96+X98+X100</f>
        <v>308.738</v>
      </c>
      <c r="Y103" s="1117">
        <f>Y96+Y98+Y100</f>
        <v>308.738</v>
      </c>
      <c r="Z103" s="1117"/>
      <c r="AA103" s="1117">
        <f>AA96+AA98+AA100</f>
        <v>332.28199999999998</v>
      </c>
      <c r="AB103" s="1117">
        <f>AB96+AB98+AB100</f>
        <v>337.20000000000005</v>
      </c>
      <c r="AC103" s="1117">
        <f>AC96+AC98+AC100</f>
        <v>391.52800000000002</v>
      </c>
      <c r="AD103" s="1117">
        <f>AD96+AD98+AD100</f>
        <v>361.76199999999994</v>
      </c>
      <c r="AE103" s="1117">
        <f>AE96+AE98+AE100</f>
        <v>361.76199999999994</v>
      </c>
      <c r="AF103" s="1118"/>
      <c r="AG103" s="1117">
        <f>AG96+AG98+AG100</f>
        <v>403.05200000000002</v>
      </c>
      <c r="AH103" s="1117">
        <f>AH96+AH98+AH100</f>
        <v>403.19499999999994</v>
      </c>
      <c r="AI103" s="1117">
        <f>AI96+AI98+AI100</f>
        <v>415.92199999999997</v>
      </c>
      <c r="AJ103" s="1117">
        <f>AJ96+AJ98+AJ100</f>
        <v>402.94000000000005</v>
      </c>
      <c r="AK103" s="1117">
        <f>AK96+AK98+AK100</f>
        <v>402.94000000000005</v>
      </c>
      <c r="AL103" s="1118"/>
      <c r="AM103" s="1117">
        <f>AM96+AM98+AM100</f>
        <v>417.09399999999999</v>
      </c>
      <c r="AN103" s="1117">
        <f>AN96+AN98+AN100</f>
        <v>433.18899999999996</v>
      </c>
      <c r="AO103" s="1117">
        <f>AO96+AO98+AO100</f>
        <v>448.27699999999999</v>
      </c>
      <c r="AP103" s="1117">
        <f>AP96+AP98+AP100</f>
        <v>438.55900000000003</v>
      </c>
      <c r="AQ103" s="1117">
        <f>AQ96+AQ98+AQ100</f>
        <v>438.55900000000003</v>
      </c>
      <c r="AR103" s="1118"/>
      <c r="AS103" s="1117">
        <f>AS96+AS98+AS100</f>
        <v>455.07399999999996</v>
      </c>
      <c r="AT103" s="1117">
        <f>AT96+AT98+AT100</f>
        <v>461.20300000000003</v>
      </c>
      <c r="AU103" s="1117">
        <f>AU96+AU98+AU100</f>
        <v>422.48500000000001</v>
      </c>
      <c r="AV103" s="1117">
        <f>AV96+AV98+AV100</f>
        <v>387.09499999999997</v>
      </c>
      <c r="AW103" s="1117">
        <f>AW96+AW98+AW100</f>
        <v>387.09499999999997</v>
      </c>
      <c r="AX103" s="1118"/>
      <c r="AY103" s="1117">
        <f>AY96+AY98+AY100</f>
        <v>380.09800000000007</v>
      </c>
      <c r="AZ103" s="1117">
        <f>AZ96+AZ98+AZ100</f>
        <v>374.82</v>
      </c>
      <c r="BA103" s="1117">
        <f>BA96+BA98+BA100</f>
        <v>361.3</v>
      </c>
      <c r="BB103" s="1117">
        <f>BB96+BB98+BB100</f>
        <v>340.4</v>
      </c>
      <c r="BC103" s="1117">
        <f>BC96+BC98+BC100</f>
        <v>340.4</v>
      </c>
      <c r="BD103" s="1118"/>
      <c r="BE103" s="1117">
        <f>BE96+BE98+BE100</f>
        <v>562.1</v>
      </c>
      <c r="BF103" s="1117">
        <f>BF96+BF98+BF100</f>
        <v>523.1</v>
      </c>
      <c r="BG103" s="1117">
        <f>BG96+BG98+BG100</f>
        <v>556.40000000000009</v>
      </c>
      <c r="BH103" s="1117">
        <f>BH96+BH98+BH100</f>
        <v>517.09999999999991</v>
      </c>
      <c r="BI103" s="1117">
        <f>BI96+BI98+BI100</f>
        <v>517.09999999999991</v>
      </c>
      <c r="BJ103" s="1118"/>
      <c r="BK103" s="1117">
        <f>BK96+BK98+BK100</f>
        <v>565.1</v>
      </c>
      <c r="BL103" s="1117">
        <f>BL96+BL98+BL100</f>
        <v>596.79999999999995</v>
      </c>
      <c r="BM103" s="1117">
        <f>BM96+BM98+BM100</f>
        <v>624.4</v>
      </c>
      <c r="BN103" s="1117">
        <f>BN96+BN98+BN100</f>
        <v>623.1</v>
      </c>
      <c r="BO103" s="1117">
        <f>BO96+BO98+BO100</f>
        <v>623.1</v>
      </c>
      <c r="BP103" s="1118"/>
      <c r="BQ103" s="1120"/>
      <c r="BR103" s="1120"/>
      <c r="BS103" s="1120"/>
      <c r="BT103" s="1120"/>
      <c r="BU103" s="1121"/>
      <c r="BV103" s="1118"/>
      <c r="BW103" s="1120"/>
      <c r="BX103" s="1120"/>
      <c r="BY103" s="1120"/>
      <c r="BZ103" s="1120"/>
      <c r="CA103" s="1121"/>
      <c r="CB103" s="1118"/>
      <c r="CC103" s="1120"/>
      <c r="CD103" s="1120"/>
      <c r="CE103" s="1120"/>
      <c r="CF103" s="1120"/>
      <c r="CG103" s="1121"/>
      <c r="CH103" s="1121"/>
      <c r="CI103" s="1121"/>
      <c r="CJ103" s="1121"/>
      <c r="CK103"/>
      <c r="CL103"/>
      <c r="CM103"/>
      <c r="CN103"/>
      <c r="CO103"/>
      <c r="CP103"/>
    </row>
    <row r="104" spans="2:94" s="1102" customFormat="1" ht="11.25" customHeight="1" outlineLevel="1" x14ac:dyDescent="0.2">
      <c r="B104" s="1124"/>
      <c r="C104" s="1117"/>
      <c r="D104" s="1117"/>
      <c r="E104" s="1117"/>
      <c r="F104" s="1117"/>
      <c r="G104" s="1117"/>
      <c r="H104" s="70"/>
      <c r="I104" s="1117"/>
      <c r="J104" s="1117"/>
      <c r="K104" s="1117"/>
      <c r="L104" s="1117"/>
      <c r="M104" s="1117"/>
      <c r="N104" s="70"/>
      <c r="O104" s="1117"/>
      <c r="P104" s="1117"/>
      <c r="Q104" s="1117"/>
      <c r="R104" s="1117"/>
      <c r="S104" s="1117"/>
      <c r="T104" s="70"/>
      <c r="U104" s="1117"/>
      <c r="V104" s="1117"/>
      <c r="W104" s="1117"/>
      <c r="X104" s="1117"/>
      <c r="Y104" s="1117"/>
      <c r="Z104" s="70"/>
      <c r="AA104" s="1117"/>
      <c r="AB104" s="1117"/>
      <c r="AC104" s="1117"/>
      <c r="AD104" s="1117"/>
      <c r="AE104" s="1121"/>
      <c r="AF104" s="1118"/>
      <c r="AG104" s="1117"/>
      <c r="AH104" s="1117"/>
      <c r="AI104" s="1117"/>
      <c r="AJ104" s="1117"/>
      <c r="AK104" s="1121"/>
      <c r="AL104" s="1118"/>
      <c r="AM104" s="1120"/>
      <c r="AN104" s="1120"/>
      <c r="AO104" s="1120"/>
      <c r="AP104" s="1117"/>
      <c r="AQ104" s="1121"/>
      <c r="AR104" s="1118"/>
      <c r="AS104" s="1120"/>
      <c r="AT104" s="1120"/>
      <c r="AU104" s="1120"/>
      <c r="AV104" s="1117"/>
      <c r="AW104" s="1121"/>
      <c r="AX104" s="1118"/>
      <c r="AY104" s="1120"/>
      <c r="AZ104" s="1120"/>
      <c r="BA104" s="1117"/>
      <c r="BB104" s="1117"/>
      <c r="BC104" s="1121"/>
      <c r="BD104" s="1118"/>
      <c r="BE104" s="1120"/>
      <c r="BF104" s="1117"/>
      <c r="BG104" s="1117"/>
      <c r="BH104" s="1117"/>
      <c r="BI104" s="1121"/>
      <c r="BJ104" s="1118"/>
      <c r="BK104" s="1120"/>
      <c r="BL104" s="1117"/>
      <c r="BM104" s="1117"/>
      <c r="BN104" s="1117"/>
      <c r="BO104" s="1121"/>
      <c r="BP104" s="1118"/>
      <c r="BQ104" s="1120"/>
      <c r="BR104" s="1120"/>
      <c r="BS104" s="1120"/>
      <c r="BT104" s="1120"/>
      <c r="BU104" s="1121"/>
      <c r="BV104" s="1118"/>
      <c r="BW104" s="1120"/>
      <c r="BX104" s="1120"/>
      <c r="BY104" s="1120"/>
      <c r="BZ104" s="1120"/>
      <c r="CA104" s="1121"/>
      <c r="CB104" s="1118"/>
      <c r="CC104" s="1120"/>
      <c r="CD104" s="1120"/>
      <c r="CE104" s="1120"/>
      <c r="CF104" s="1120"/>
      <c r="CG104" s="1121"/>
      <c r="CH104" s="1121"/>
      <c r="CI104" s="1121"/>
      <c r="CJ104" s="1121"/>
      <c r="CK104"/>
      <c r="CL104"/>
      <c r="CM104"/>
      <c r="CN104"/>
      <c r="CO104"/>
      <c r="CP104"/>
    </row>
    <row r="105" spans="2:94" s="1102" customFormat="1" ht="11.25" customHeight="1" outlineLevel="1" x14ac:dyDescent="0.2">
      <c r="B105" s="1125" t="s">
        <v>81</v>
      </c>
      <c r="C105" s="1126">
        <f>C103-C12</f>
        <v>0</v>
      </c>
      <c r="D105" s="1126">
        <f>D103-D12</f>
        <v>0</v>
      </c>
      <c r="E105" s="1126">
        <f>E103-E12</f>
        <v>0</v>
      </c>
      <c r="F105" s="1126">
        <f>F103-F12</f>
        <v>0</v>
      </c>
      <c r="G105" s="1126">
        <f>G103-G12</f>
        <v>0</v>
      </c>
      <c r="H105" s="1126"/>
      <c r="I105" s="1126">
        <f>I103-I12</f>
        <v>0</v>
      </c>
      <c r="J105" s="1126">
        <f>J103-J12</f>
        <v>0</v>
      </c>
      <c r="K105" s="1126">
        <f>K103-K12</f>
        <v>0</v>
      </c>
      <c r="L105" s="1126">
        <f>L103-L12</f>
        <v>0</v>
      </c>
      <c r="M105" s="1126">
        <f>M103-M12</f>
        <v>0</v>
      </c>
      <c r="N105" s="1126"/>
      <c r="O105" s="1126">
        <f>O103-O12</f>
        <v>0</v>
      </c>
      <c r="P105" s="1126">
        <f>P103-P12</f>
        <v>0</v>
      </c>
      <c r="Q105" s="1126">
        <f>Q103-Q12</f>
        <v>0</v>
      </c>
      <c r="R105" s="1126">
        <f>R103-R12</f>
        <v>0</v>
      </c>
      <c r="S105" s="1126">
        <f>S103-S12</f>
        <v>0</v>
      </c>
      <c r="T105" s="1126"/>
      <c r="U105" s="1126">
        <f>U103-U12</f>
        <v>0</v>
      </c>
      <c r="V105" s="1126">
        <f>V103-V12</f>
        <v>0</v>
      </c>
      <c r="W105" s="1126">
        <f>W103-W12</f>
        <v>0</v>
      </c>
      <c r="X105" s="1126">
        <f>X103-X12</f>
        <v>0</v>
      </c>
      <c r="Y105" s="1126">
        <f>Y103-Y12</f>
        <v>0</v>
      </c>
      <c r="Z105" s="1126"/>
      <c r="AA105" s="1126">
        <f>AA103-AA12</f>
        <v>0</v>
      </c>
      <c r="AB105" s="1126">
        <f>AB103-AB12</f>
        <v>0</v>
      </c>
      <c r="AC105" s="1126">
        <f>AC103-AC12</f>
        <v>0</v>
      </c>
      <c r="AD105" s="1126">
        <f>AD103-AD12</f>
        <v>0</v>
      </c>
      <c r="AE105" s="1126">
        <f>AE103-AE12</f>
        <v>0</v>
      </c>
      <c r="AF105" s="1127"/>
      <c r="AG105" s="1126">
        <f>AG103-AG12</f>
        <v>0</v>
      </c>
      <c r="AH105" s="1126">
        <f>AH103-AH12</f>
        <v>0</v>
      </c>
      <c r="AI105" s="1126">
        <f>AI103-AI12</f>
        <v>0</v>
      </c>
      <c r="AJ105" s="1126">
        <f>AJ103-AJ12</f>
        <v>0</v>
      </c>
      <c r="AK105" s="1466">
        <f>AK103-AK12</f>
        <v>0</v>
      </c>
      <c r="AL105" s="1467"/>
      <c r="AM105" s="1466">
        <f>AM103-AM12</f>
        <v>0</v>
      </c>
      <c r="AN105" s="1466">
        <f>AN103-AN12</f>
        <v>0</v>
      </c>
      <c r="AO105" s="1466">
        <f>AO103-AO12</f>
        <v>0</v>
      </c>
      <c r="AP105" s="1466">
        <f>AP103-AP12</f>
        <v>0</v>
      </c>
      <c r="AQ105" s="1466">
        <f>AQ103-AQ12</f>
        <v>0</v>
      </c>
      <c r="AR105" s="1467"/>
      <c r="AS105" s="1466">
        <f>AS103-AS12</f>
        <v>0</v>
      </c>
      <c r="AT105" s="1466">
        <f>AT103-AT12</f>
        <v>0</v>
      </c>
      <c r="AU105" s="1466">
        <f>AU103-AU12</f>
        <v>0</v>
      </c>
      <c r="AV105" s="1466">
        <f>AV103-AV12</f>
        <v>0</v>
      </c>
      <c r="AW105" s="1466">
        <f>AW103-AW12</f>
        <v>0</v>
      </c>
      <c r="AX105" s="1467"/>
      <c r="AY105" s="1466">
        <f>AY103-AY12</f>
        <v>0</v>
      </c>
      <c r="AZ105" s="1466">
        <f>AZ103-AZ12</f>
        <v>0</v>
      </c>
      <c r="BA105" s="1466">
        <f>BA103-BA12</f>
        <v>0</v>
      </c>
      <c r="BB105" s="1466">
        <f>BB103-BB12</f>
        <v>0</v>
      </c>
      <c r="BC105" s="1466">
        <f>BC103-BC12</f>
        <v>0</v>
      </c>
      <c r="BD105" s="1467"/>
      <c r="BE105" s="1466">
        <f>BE103-BE12</f>
        <v>0</v>
      </c>
      <c r="BF105" s="1466">
        <f>BF103-BF12</f>
        <v>0</v>
      </c>
      <c r="BG105" s="1466">
        <f>BG103-BG12</f>
        <v>0</v>
      </c>
      <c r="BH105" s="1466">
        <f>BH103-BH12</f>
        <v>0</v>
      </c>
      <c r="BI105" s="1466">
        <f>BI103-BI12</f>
        <v>0</v>
      </c>
      <c r="BJ105" s="1467"/>
      <c r="BK105" s="1466">
        <f>BK103-BK12</f>
        <v>0</v>
      </c>
      <c r="BL105" s="1466">
        <f>BL103-BL12</f>
        <v>0</v>
      </c>
      <c r="BM105" s="1466">
        <f>BM103-BM12</f>
        <v>0</v>
      </c>
      <c r="BN105" s="1466">
        <f>BN103-BN12</f>
        <v>0</v>
      </c>
      <c r="BO105" s="1466">
        <f>BO103-BO12</f>
        <v>0</v>
      </c>
      <c r="BP105" s="1127"/>
      <c r="BQ105" s="1128"/>
      <c r="BR105" s="1128"/>
      <c r="BS105" s="1128"/>
      <c r="BT105" s="1128"/>
      <c r="BU105" s="1129"/>
      <c r="BV105" s="1127"/>
      <c r="BW105" s="1128"/>
      <c r="BX105" s="1128"/>
      <c r="BY105" s="1128"/>
      <c r="BZ105" s="1128"/>
      <c r="CA105" s="1129"/>
      <c r="CB105" s="1127"/>
      <c r="CC105" s="1128"/>
      <c r="CD105" s="1128"/>
      <c r="CE105" s="1128"/>
      <c r="CF105" s="1128"/>
      <c r="CG105" s="1129"/>
      <c r="CH105" s="1129"/>
      <c r="CI105" s="1129"/>
      <c r="CJ105" s="1129"/>
      <c r="CK105"/>
      <c r="CL105"/>
      <c r="CM105"/>
      <c r="CN105"/>
      <c r="CO105"/>
      <c r="CP105"/>
    </row>
    <row r="106" spans="2:94" s="1102" customFormat="1" ht="11.25" customHeight="1" outlineLevel="1" x14ac:dyDescent="0.2">
      <c r="C106" s="183"/>
      <c r="D106" s="183"/>
      <c r="E106" s="183"/>
      <c r="F106" s="183"/>
      <c r="G106" s="183"/>
      <c r="H106" s="258"/>
      <c r="I106" s="183"/>
      <c r="J106" s="183"/>
      <c r="K106" s="183"/>
      <c r="L106" s="183"/>
      <c r="M106" s="183"/>
      <c r="N106" s="258"/>
      <c r="O106" s="183"/>
      <c r="P106" s="183"/>
      <c r="Q106" s="183"/>
      <c r="R106" s="183"/>
      <c r="S106" s="183"/>
      <c r="T106" s="258"/>
      <c r="U106" s="183"/>
      <c r="V106" s="183"/>
      <c r="W106" s="183"/>
      <c r="X106" s="183"/>
      <c r="Y106" s="183"/>
      <c r="Z106" s="258"/>
      <c r="AA106" s="122"/>
      <c r="AB106" s="122"/>
      <c r="AC106" s="122"/>
      <c r="AD106" s="122"/>
      <c r="AE106" s="166"/>
      <c r="AF106" s="168"/>
      <c r="AG106" s="122"/>
      <c r="AH106" s="122"/>
      <c r="AI106" s="122"/>
      <c r="AJ106" s="122"/>
      <c r="AK106" s="166"/>
      <c r="AL106" s="168"/>
      <c r="AM106" s="122"/>
      <c r="AN106" s="122"/>
      <c r="AO106" s="122"/>
      <c r="AP106" s="122"/>
      <c r="AQ106" s="166"/>
      <c r="AR106" s="168"/>
      <c r="AS106" s="122"/>
      <c r="AT106" s="122"/>
      <c r="AU106" s="122"/>
      <c r="AV106" s="122"/>
      <c r="AW106" s="166"/>
      <c r="AX106" s="168"/>
      <c r="AY106" s="122"/>
      <c r="AZ106" s="122"/>
      <c r="BA106" s="122"/>
      <c r="BB106" s="122"/>
      <c r="BC106" s="166"/>
      <c r="BD106" s="168"/>
      <c r="BE106" s="122"/>
      <c r="BF106" s="122"/>
      <c r="BG106" s="122"/>
      <c r="BH106" s="122"/>
      <c r="BI106" s="166"/>
      <c r="BJ106" s="168"/>
      <c r="BK106" s="122"/>
      <c r="BL106" s="122"/>
      <c r="BM106" s="122"/>
      <c r="BN106" s="122"/>
      <c r="BO106" s="166"/>
      <c r="BP106" s="168"/>
      <c r="BQ106" s="122"/>
      <c r="BR106" s="122"/>
      <c r="BS106" s="122"/>
      <c r="BT106" s="122"/>
      <c r="BU106" s="166"/>
      <c r="BV106" s="168"/>
      <c r="BW106" s="122"/>
      <c r="BX106" s="122"/>
      <c r="BY106" s="122"/>
      <c r="BZ106" s="122"/>
      <c r="CA106" s="166"/>
      <c r="CB106" s="168"/>
      <c r="CC106" s="122"/>
      <c r="CD106" s="122"/>
      <c r="CE106" s="122"/>
      <c r="CF106" s="122"/>
      <c r="CG106" s="166"/>
      <c r="CH106" s="166"/>
      <c r="CI106" s="166"/>
      <c r="CJ106" s="166"/>
      <c r="CK106"/>
      <c r="CL106"/>
      <c r="CM106"/>
      <c r="CN106"/>
      <c r="CO106"/>
      <c r="CP106"/>
    </row>
    <row r="107" spans="2:94" s="1102" customFormat="1" ht="11.25" customHeight="1" outlineLevel="1" x14ac:dyDescent="0.2">
      <c r="B107" s="5" t="s">
        <v>105</v>
      </c>
      <c r="C107" s="69"/>
      <c r="D107" s="69"/>
      <c r="E107" s="69"/>
      <c r="F107" s="69"/>
      <c r="G107" s="69"/>
      <c r="H107" s="69"/>
      <c r="I107" s="69"/>
      <c r="J107" s="69"/>
      <c r="K107" s="69"/>
      <c r="L107" s="69"/>
      <c r="M107" s="69"/>
      <c r="N107" s="69"/>
      <c r="O107" s="69"/>
      <c r="P107" s="69"/>
      <c r="Q107" s="69"/>
      <c r="R107" s="69"/>
      <c r="S107" s="69"/>
      <c r="T107" s="69"/>
      <c r="U107" s="69"/>
      <c r="V107" s="69"/>
      <c r="W107" s="69"/>
      <c r="X107" s="69"/>
      <c r="Y107" s="69"/>
      <c r="Z107" s="69"/>
      <c r="AA107" s="69"/>
      <c r="AB107" s="69"/>
      <c r="AC107" s="69"/>
      <c r="AD107" s="69"/>
      <c r="AE107" s="69"/>
      <c r="AF107" s="69"/>
      <c r="AG107" s="69"/>
      <c r="AH107" s="69"/>
      <c r="AI107" s="69"/>
      <c r="AJ107" s="69"/>
      <c r="AK107" s="69"/>
      <c r="AL107" s="69"/>
      <c r="AM107" s="69"/>
      <c r="AN107" s="69"/>
      <c r="AO107" s="69"/>
      <c r="AP107" s="69"/>
      <c r="AQ107" s="69"/>
      <c r="AR107" s="69"/>
      <c r="AS107" s="69"/>
      <c r="AT107" s="69"/>
      <c r="AU107" s="69"/>
      <c r="AV107" s="69"/>
      <c r="AW107" s="69"/>
      <c r="AX107" s="69"/>
      <c r="AY107" s="69"/>
      <c r="AZ107" s="69"/>
      <c r="BA107" s="69"/>
      <c r="BB107" s="69"/>
      <c r="BC107" s="69"/>
      <c r="BD107" s="69"/>
      <c r="BE107" s="69"/>
      <c r="BF107" s="69"/>
      <c r="BG107" s="69"/>
      <c r="BH107" s="69"/>
      <c r="BI107" s="69"/>
      <c r="BJ107" s="69"/>
      <c r="BK107" s="69"/>
      <c r="BL107" s="69"/>
      <c r="BM107" s="69"/>
      <c r="BN107" s="69"/>
      <c r="BO107" s="69"/>
      <c r="BP107" s="69"/>
      <c r="BQ107" s="69"/>
      <c r="BR107" s="69"/>
      <c r="BS107" s="69"/>
      <c r="BT107" s="69"/>
      <c r="BU107" s="69"/>
      <c r="BV107" s="69"/>
      <c r="BW107" s="69"/>
      <c r="BX107" s="69"/>
      <c r="BY107" s="69"/>
      <c r="BZ107" s="69"/>
      <c r="CA107" s="69"/>
      <c r="CB107" s="69"/>
      <c r="CC107" s="69"/>
      <c r="CD107" s="69"/>
      <c r="CE107" s="69"/>
      <c r="CF107" s="69"/>
      <c r="CG107" s="69"/>
      <c r="CH107" s="69"/>
      <c r="CI107" s="69"/>
      <c r="CJ107" s="69"/>
      <c r="CK107"/>
      <c r="CL107"/>
      <c r="CM107"/>
      <c r="CN107"/>
      <c r="CO107"/>
      <c r="CP107"/>
    </row>
    <row r="108" spans="2:94" s="1102" customFormat="1" ht="11.25" customHeight="1" outlineLevel="1" x14ac:dyDescent="0.2">
      <c r="B108" s="281" t="s">
        <v>106</v>
      </c>
      <c r="C108" s="1130">
        <v>1273.835</v>
      </c>
      <c r="D108" s="282">
        <f>C114</f>
        <v>1338.029</v>
      </c>
      <c r="E108" s="282">
        <f>D114</f>
        <v>1398.4860000000001</v>
      </c>
      <c r="F108" s="282">
        <f>E114</f>
        <v>1453.635</v>
      </c>
      <c r="G108" s="282">
        <f>+C108</f>
        <v>1273.835</v>
      </c>
      <c r="H108" s="50"/>
      <c r="I108" s="282">
        <f>+G114</f>
        <v>1516.106</v>
      </c>
      <c r="J108" s="282">
        <f>I114</f>
        <v>1519.9409999999996</v>
      </c>
      <c r="K108" s="282">
        <f>J114</f>
        <v>1609.19</v>
      </c>
      <c r="L108" s="282">
        <f>K114</f>
        <v>1586.4190000000003</v>
      </c>
      <c r="M108" s="282">
        <f>+G114</f>
        <v>1516.106</v>
      </c>
      <c r="N108" s="50"/>
      <c r="O108" s="282">
        <f>+M114</f>
        <v>1587.7219999999998</v>
      </c>
      <c r="P108" s="282">
        <f>O114</f>
        <v>1614.1460000000002</v>
      </c>
      <c r="Q108" s="282">
        <f>P114</f>
        <v>1732.6180000000004</v>
      </c>
      <c r="R108" s="282">
        <f>Q114</f>
        <v>1827.2550000000003</v>
      </c>
      <c r="S108" s="282">
        <f>+M114</f>
        <v>1587.7219999999998</v>
      </c>
      <c r="T108" s="50"/>
      <c r="U108" s="282">
        <f>+S114</f>
        <v>1832.1049999999998</v>
      </c>
      <c r="V108" s="282">
        <f>U114</f>
        <v>1811.1880000000006</v>
      </c>
      <c r="W108" s="282">
        <f>V114</f>
        <v>1675.7139999999999</v>
      </c>
      <c r="X108" s="282">
        <f>W114</f>
        <v>1803.4810000000002</v>
      </c>
      <c r="Y108" s="282">
        <f>+S114</f>
        <v>1832.1049999999998</v>
      </c>
      <c r="Z108" s="50"/>
      <c r="AA108" s="282">
        <f>+Y114</f>
        <v>1839.386</v>
      </c>
      <c r="AB108" s="282">
        <f>AA114</f>
        <v>1945.3379999999993</v>
      </c>
      <c r="AC108" s="282">
        <f>AB114</f>
        <v>2042.23</v>
      </c>
      <c r="AD108" s="282">
        <f>AC114</f>
        <v>1853.692</v>
      </c>
      <c r="AE108" s="282">
        <f>+Y114</f>
        <v>1839.386</v>
      </c>
      <c r="AF108" s="50"/>
      <c r="AG108" s="282">
        <f>+AE114</f>
        <v>1848.0770000000002</v>
      </c>
      <c r="AH108" s="282">
        <f>AG114</f>
        <v>2008.6170000000002</v>
      </c>
      <c r="AI108" s="282">
        <f>AH114</f>
        <v>1951.5689999999995</v>
      </c>
      <c r="AJ108" s="282">
        <f>AI114</f>
        <v>2122.0709999999999</v>
      </c>
      <c r="AK108" s="282">
        <f>+AE114</f>
        <v>1848.0770000000002</v>
      </c>
      <c r="AL108" s="50"/>
      <c r="AM108" s="282">
        <f>+AK114</f>
        <v>2208.6979999999999</v>
      </c>
      <c r="AN108" s="282">
        <f>AM114</f>
        <v>2233.502</v>
      </c>
      <c r="AO108" s="282">
        <f>AN114</f>
        <v>2250.1849999999999</v>
      </c>
      <c r="AP108" s="282">
        <f>AO114</f>
        <v>2438.4409999999998</v>
      </c>
      <c r="AQ108" s="282">
        <f>+AK114</f>
        <v>2208.6979999999999</v>
      </c>
      <c r="AR108" s="50"/>
      <c r="AS108" s="282">
        <f>+AQ114</f>
        <v>2535.0530000000003</v>
      </c>
      <c r="AT108" s="282">
        <f>AS114</f>
        <v>2523.0329999999999</v>
      </c>
      <c r="AU108" s="282">
        <f>AT114</f>
        <v>2583.4630000000002</v>
      </c>
      <c r="AV108" s="282">
        <f>AU114</f>
        <v>2495.1080000000002</v>
      </c>
      <c r="AW108" s="282">
        <f>+AQ114</f>
        <v>2535.0530000000003</v>
      </c>
      <c r="AX108" s="50"/>
      <c r="AY108" s="282">
        <f>+AW114</f>
        <v>2321.279</v>
      </c>
      <c r="AZ108" s="282">
        <f>AY114</f>
        <v>2172.7930000000001</v>
      </c>
      <c r="BA108" s="282">
        <f>AZ114</f>
        <v>2314.8700000000003</v>
      </c>
      <c r="BB108" s="282">
        <f>BA114</f>
        <v>2280.0999999999995</v>
      </c>
      <c r="BC108" s="282">
        <f>+AW114</f>
        <v>2321.279</v>
      </c>
      <c r="BD108" s="50"/>
      <c r="BE108" s="282">
        <f>+BC114</f>
        <v>2338</v>
      </c>
      <c r="BF108" s="282">
        <f>BE114</f>
        <v>8381.7999999999993</v>
      </c>
      <c r="BG108" s="282">
        <f>BF114</f>
        <v>8311.5</v>
      </c>
      <c r="BH108" s="282">
        <f>BG114</f>
        <v>8344.1000000000022</v>
      </c>
      <c r="BI108" s="282">
        <f>+BC114</f>
        <v>2338</v>
      </c>
      <c r="BJ108" s="50"/>
      <c r="BK108" s="282">
        <f>+BI114</f>
        <v>8114.2999999999984</v>
      </c>
      <c r="BL108" s="282">
        <f>BK114</f>
        <v>8152.2000000000007</v>
      </c>
      <c r="BM108" s="282">
        <f>BL114</f>
        <v>7262.5</v>
      </c>
      <c r="BN108" s="282">
        <f>BM114</f>
        <v>7477.7999999999993</v>
      </c>
      <c r="BO108" s="282">
        <f>+BI114</f>
        <v>8114.2999999999984</v>
      </c>
      <c r="BP108" s="50"/>
      <c r="BQ108" s="282">
        <f>+BO114</f>
        <v>6616.3000000000011</v>
      </c>
      <c r="BR108" s="282">
        <f>BQ114</f>
        <v>6557.5357090350735</v>
      </c>
      <c r="BS108" s="282">
        <f>BR114</f>
        <v>6530.1745332754726</v>
      </c>
      <c r="BT108" s="282">
        <f>BS114</f>
        <v>6507.5562967143178</v>
      </c>
      <c r="BU108" s="282">
        <f>+BO114</f>
        <v>6616.3000000000011</v>
      </c>
      <c r="BV108" s="50"/>
      <c r="BW108" s="282">
        <f>+BU114</f>
        <v>6540.7941689732743</v>
      </c>
      <c r="BX108" s="282">
        <f>BW114</f>
        <v>6504.3775391753588</v>
      </c>
      <c r="BY108" s="282">
        <f>BX114</f>
        <v>6487.9945144440298</v>
      </c>
      <c r="BZ108" s="282">
        <f>BY114</f>
        <v>6454.1056404013234</v>
      </c>
      <c r="CA108" s="282">
        <f>+BU114</f>
        <v>6540.7941689732743</v>
      </c>
      <c r="CB108" s="50"/>
      <c r="CC108" s="282">
        <f>+CA114</f>
        <v>6465.5430807654593</v>
      </c>
      <c r="CD108" s="282">
        <f>CC114</f>
        <v>6448.3261939083786</v>
      </c>
      <c r="CE108" s="282">
        <f>CD114</f>
        <v>6454.1253862118938</v>
      </c>
      <c r="CF108" s="282">
        <f>CE114</f>
        <v>6443.4689695969773</v>
      </c>
      <c r="CG108" s="282">
        <f>+CA114</f>
        <v>6465.5430807654593</v>
      </c>
      <c r="CH108" s="68"/>
      <c r="CI108" s="68"/>
      <c r="CJ108" s="68"/>
      <c r="CK108"/>
      <c r="CL108"/>
      <c r="CM108"/>
      <c r="CN108"/>
      <c r="CO108"/>
      <c r="CP108"/>
    </row>
    <row r="109" spans="2:94" s="1102" customFormat="1" ht="11.25" customHeight="1" outlineLevel="1" x14ac:dyDescent="0.2">
      <c r="B109" s="285" t="s">
        <v>107</v>
      </c>
      <c r="C109" s="1130">
        <f>C41+C42-1.628-168.135+C45-(-328.184)</f>
        <v>8.0900000000000318</v>
      </c>
      <c r="D109" s="68">
        <f>+D41+D42-C42-C41+D45-C45</f>
        <v>-13.567000000000007</v>
      </c>
      <c r="E109" s="68">
        <f>+E41+E42-D42-D41+E45-D45</f>
        <v>-26.064000000000078</v>
      </c>
      <c r="F109" s="68">
        <f>+F41+F42-E42-E41+F45-E45</f>
        <v>-22.433999999999969</v>
      </c>
      <c r="G109" s="68">
        <f>SUM(C109:F109)</f>
        <v>-53.975000000000023</v>
      </c>
      <c r="H109" s="50"/>
      <c r="I109" s="68">
        <f>+I41+I42-H42-H41+I45-H45</f>
        <v>-291.58700000000005</v>
      </c>
      <c r="J109" s="68">
        <f>+J41+J42-I42-I41+J45-I45</f>
        <v>7.9000000000007731E-2</v>
      </c>
      <c r="K109" s="68">
        <f>+K41+K42-J42-J41+K45-J45</f>
        <v>10.689999999999998</v>
      </c>
      <c r="L109" s="68">
        <f>+L41+L42-K42-K41+L45-K45</f>
        <v>-10.03000000000003</v>
      </c>
      <c r="M109" s="68">
        <f>SUM(I109:L109)</f>
        <v>-290.84800000000007</v>
      </c>
      <c r="N109" s="50"/>
      <c r="O109" s="68">
        <f>+O41+O42-N42-N41+O45-N45</f>
        <v>-287.399</v>
      </c>
      <c r="P109" s="68">
        <f>+P41+P42-O42-O41+P45-O45</f>
        <v>5.7629999999999768</v>
      </c>
      <c r="Q109" s="68">
        <f>+Q41+Q42-P42-P41+Q45-P45</f>
        <v>-2.2550000000000523</v>
      </c>
      <c r="R109" s="68">
        <f>+R41+R42-Q42-Q41+R45-Q45</f>
        <v>-51.005000000000052</v>
      </c>
      <c r="S109" s="68">
        <f>SUM(O109:R109)</f>
        <v>-334.89600000000013</v>
      </c>
      <c r="T109" s="50"/>
      <c r="U109" s="68">
        <f>+U41+U42-T42-T41+U45-T45</f>
        <v>-361.37099999999998</v>
      </c>
      <c r="V109" s="68">
        <f>+V41+V42-U42-U41+V45-U45</f>
        <v>-109.36700000000008</v>
      </c>
      <c r="W109" s="68">
        <f>+W41+W42-V42-V41+W45-V45</f>
        <v>-26.132000000000062</v>
      </c>
      <c r="X109" s="68">
        <f>+X41+X42-W42-W41+X45-W45</f>
        <v>-8.25</v>
      </c>
      <c r="Y109" s="68">
        <f>SUM(U109:X109)</f>
        <v>-505.12000000000012</v>
      </c>
      <c r="Z109" s="50"/>
      <c r="AA109" s="68">
        <f>+AA41+AA42-Z42-Z41+AA45-Z45</f>
        <v>-525.26300000000003</v>
      </c>
      <c r="AB109" s="68">
        <f>+AB41+AB42-AA42-AA41+AB45-AA45</f>
        <v>14.516999999999939</v>
      </c>
      <c r="AC109" s="68">
        <f>+AC41+AC42-AB42-AB41+AC45-AB45</f>
        <v>8.1760000000000446</v>
      </c>
      <c r="AD109" s="68">
        <f>+AD41+AD42-AC42-AC41+AD45-AC45</f>
        <v>5.9080000000000155</v>
      </c>
      <c r="AE109" s="68">
        <f>SUM(AA109:AD109)</f>
        <v>-496.66200000000003</v>
      </c>
      <c r="AF109" s="50"/>
      <c r="AG109" s="68">
        <f>+AG41+AG42-AF42-AF41+AG45-AF45</f>
        <v>-504.48600000000005</v>
      </c>
      <c r="AH109" s="68">
        <f>+AH41+AH42-AG42-AG41+AH45-AG45</f>
        <v>5.7229999999999563</v>
      </c>
      <c r="AI109" s="68">
        <f>+AI41+AI42-AH42-AH41+AI45-AH45</f>
        <v>17.067000000000007</v>
      </c>
      <c r="AJ109" s="68">
        <f>+AJ41+AJ42-AI42-AI41+AJ45-AI45</f>
        <v>16.132999999999925</v>
      </c>
      <c r="AK109" s="68">
        <f>SUM(AG109:AJ109)</f>
        <v>-465.56300000000016</v>
      </c>
      <c r="AL109" s="50"/>
      <c r="AM109" s="68">
        <f>+AM41+AM42-AL42-AL41+AM45-AL45</f>
        <v>-448.52300000000002</v>
      </c>
      <c r="AN109" s="68">
        <f>+AN41+AN42-AM42-AM41+AN45-AM45</f>
        <v>-37.461000000000013</v>
      </c>
      <c r="AO109" s="68">
        <f>+AO41+AO42-AN42-AN41+AO45-AN45</f>
        <v>14.27699999999993</v>
      </c>
      <c r="AP109" s="68">
        <f>+AP41+AP42-AO42-AO41+AP45-AO45</f>
        <v>-19.898999999999887</v>
      </c>
      <c r="AQ109" s="68">
        <f>SUM(AM109:AP109)</f>
        <v>-491.60599999999999</v>
      </c>
      <c r="AR109" s="50"/>
      <c r="AS109" s="68">
        <f>+AS41+AS42-AR42-AR41+AS45-AR45</f>
        <v>-560.42499999999995</v>
      </c>
      <c r="AT109" s="68">
        <f>+AT41+AT42-AS42-AS41+AT45-AS45</f>
        <v>2.2459999999999809</v>
      </c>
      <c r="AU109" s="68">
        <f>+AU41+AU42-AT42-AT41+AU45-AT45</f>
        <v>0.89399999999989177</v>
      </c>
      <c r="AV109" s="68">
        <f>+AV41+AV42-AU42-AU41+AV45-AU45</f>
        <v>-61.047999999999888</v>
      </c>
      <c r="AW109" s="68">
        <f>SUM(AS109:AV109)</f>
        <v>-618.33299999999997</v>
      </c>
      <c r="AX109" s="50"/>
      <c r="AY109" s="68">
        <f>+AY41+AY42-AX42-AX41+AY45-AX45</f>
        <v>-688.12400000000002</v>
      </c>
      <c r="AZ109" s="68">
        <f>+AZ41+AZ42-AY42-AY41+AZ45-AY45</f>
        <v>9.6359999999999673</v>
      </c>
      <c r="BA109" s="68">
        <f>+BA41+BA42-AZ42-AZ41+BA45-AZ45</f>
        <v>3.3880000000000337</v>
      </c>
      <c r="BB109" s="68">
        <f>+BB41+BB42-BA42-BA41+BB45-BA45</f>
        <v>16.100000000000023</v>
      </c>
      <c r="BC109" s="68">
        <f>SUM(AY109:BB109)</f>
        <v>-659</v>
      </c>
      <c r="BD109" s="50"/>
      <c r="BE109" s="68">
        <f>+BE41+BE42-BD42-BD41+BE45-BD45</f>
        <v>5115.5</v>
      </c>
      <c r="BF109" s="68">
        <f>+BF41+BF42-BE42-BE41+BF45-BE45</f>
        <v>-74.099999999999227</v>
      </c>
      <c r="BG109" s="68">
        <f>+BG41+BG42-BF42-BF41+BG45-BF45</f>
        <v>-76.899999999999636</v>
      </c>
      <c r="BH109" s="68">
        <f>+BH41+BH42-BG42-BG41+BH45-BG45</f>
        <v>-92.499999999999773</v>
      </c>
      <c r="BI109" s="68">
        <f>SUM(BE109:BH109)</f>
        <v>4872.0000000000009</v>
      </c>
      <c r="BJ109" s="50"/>
      <c r="BK109" s="68">
        <f>+BK41+BK42-BJ42-BJ41+BK45-BJ45</f>
        <v>4823.8</v>
      </c>
      <c r="BL109" s="68">
        <f>+BL41+BL42-BK42-BK41+BL45-BK45</f>
        <v>-38.899999999999636</v>
      </c>
      <c r="BM109" s="68">
        <f>+BM41+BM42-BL42-BL41+BM45-BL45</f>
        <v>25.500000000000455</v>
      </c>
      <c r="BN109" s="68">
        <f>+BN41+BN42-BM42-BM41+BN45-BM45</f>
        <v>-219.29999999999973</v>
      </c>
      <c r="BO109" s="68">
        <f>SUM(BK109:BN109)</f>
        <v>4591.1000000000022</v>
      </c>
      <c r="BP109" s="50"/>
      <c r="BQ109" s="68">
        <f>+BQ41+BQ42-BP42-BP41+BQ45-BP45</f>
        <v>4486.4514048923174</v>
      </c>
      <c r="BR109" s="68">
        <f>+BR41+BR42-BQ42-BQ41+BR45-BQ45</f>
        <v>-101.06177527304908</v>
      </c>
      <c r="BS109" s="68">
        <f>+BS41+BS42-BR42-BR41+BS45-BR45</f>
        <v>-101.75979675298049</v>
      </c>
      <c r="BT109" s="68">
        <f>+BT41+BT42-BS42-BS41+BT45-BS45</f>
        <v>-101.70653128474032</v>
      </c>
      <c r="BU109" s="68">
        <f>SUM(BQ109:BT109)</f>
        <v>4181.923301581548</v>
      </c>
      <c r="BV109" s="50"/>
      <c r="BW109" s="68">
        <f>+BW41+BW42-BV42-BV41+BW45-BV45</f>
        <v>4055.0566019748244</v>
      </c>
      <c r="BX109" s="68">
        <f>+BX41+BX42-BW42-BW41+BX45-BW45</f>
        <v>-121.81366399902936</v>
      </c>
      <c r="BY109" s="68">
        <f>+BY41+BY42-BX42-BX41+BY45-BX45</f>
        <v>-122.51423260086858</v>
      </c>
      <c r="BZ109" s="68">
        <f>+BZ41+BZ42-BY42-BY41+BZ45-BY45</f>
        <v>-122.54409778596482</v>
      </c>
      <c r="CA109" s="68">
        <f>SUM(BW109:BZ109)</f>
        <v>3688.1846075889616</v>
      </c>
      <c r="CB109" s="50"/>
      <c r="CC109" s="68">
        <f>+CC41+CC42-CB42-CB41+CC45-CB45</f>
        <v>3565.5889192067102</v>
      </c>
      <c r="CD109" s="68">
        <f>+CD41+CD42-CC42-CC41+CD45-CC45</f>
        <v>-116.37979881746514</v>
      </c>
      <c r="CE109" s="68">
        <f>+CE41+CE42-CD42-CD41+CE45-CD45</f>
        <v>-117.46237567467278</v>
      </c>
      <c r="CF109" s="68">
        <f>+CF41+CF42-CE42-CE41+CF45-CE45</f>
        <v>-117.68637512560917</v>
      </c>
      <c r="CG109" s="68">
        <f>SUM(CC109:CF109)</f>
        <v>3214.0603695889631</v>
      </c>
      <c r="CH109" s="68"/>
      <c r="CI109" s="68"/>
      <c r="CJ109" s="68"/>
      <c r="CK109"/>
      <c r="CL109"/>
      <c r="CM109"/>
      <c r="CN109"/>
      <c r="CO109"/>
      <c r="CP109"/>
    </row>
    <row r="110" spans="2:94" s="1102" customFormat="1" ht="11.25" customHeight="1" outlineLevel="1" x14ac:dyDescent="0.2">
      <c r="B110" s="285" t="s">
        <v>108</v>
      </c>
      <c r="C110" s="68">
        <f>+'P&amp;L'!C75</f>
        <v>58.471999999999959</v>
      </c>
      <c r="D110" s="68">
        <f>+'P&amp;L'!D75</f>
        <v>65.432999999999979</v>
      </c>
      <c r="E110" s="68">
        <f>+'P&amp;L'!E75</f>
        <v>65.719000000000065</v>
      </c>
      <c r="F110" s="68">
        <f>+'P&amp;L'!F75</f>
        <v>70.030000000000101</v>
      </c>
      <c r="G110" s="68">
        <f>+'P&amp;L'!G75</f>
        <v>259.65400000000034</v>
      </c>
      <c r="H110" s="50"/>
      <c r="I110" s="68">
        <f>+'P&amp;L'!I75</f>
        <v>68.179999999999936</v>
      </c>
      <c r="J110" s="68">
        <f>+'P&amp;L'!J75</f>
        <v>78.648000000000124</v>
      </c>
      <c r="K110" s="68">
        <f>+'P&amp;L'!K75</f>
        <v>66.047000000000082</v>
      </c>
      <c r="L110" s="68">
        <f>+'P&amp;L'!L75</f>
        <v>70.994999999999948</v>
      </c>
      <c r="M110" s="68">
        <f>+'P&amp;L'!M75</f>
        <v>283.86999999999995</v>
      </c>
      <c r="N110" s="50"/>
      <c r="O110" s="68">
        <f>+'P&amp;L'!O75</f>
        <v>61.742999999999974</v>
      </c>
      <c r="P110" s="68">
        <f>+'P&amp;L'!P75</f>
        <v>70.198999999999884</v>
      </c>
      <c r="Q110" s="68">
        <f>+'P&amp;L'!Q75</f>
        <v>67.482999999999947</v>
      </c>
      <c r="R110" s="68">
        <f>+'P&amp;L'!R75</f>
        <v>74.833999999999889</v>
      </c>
      <c r="S110" s="68">
        <f>+'P&amp;L'!S75</f>
        <v>274.2589999999995</v>
      </c>
      <c r="T110" s="50"/>
      <c r="U110" s="68">
        <f>+'P&amp;L'!U75</f>
        <v>61.843000000000096</v>
      </c>
      <c r="V110" s="68">
        <f>+'P&amp;L'!V75</f>
        <v>72.385999999999996</v>
      </c>
      <c r="W110" s="68">
        <f>+'P&amp;L'!W75</f>
        <v>63.653000000000091</v>
      </c>
      <c r="X110" s="68">
        <f>+'P&amp;L'!X75</f>
        <v>67.82699999999997</v>
      </c>
      <c r="Y110" s="68">
        <f>+'P&amp;L'!Y75</f>
        <v>265.70900000000023</v>
      </c>
      <c r="Z110" s="50"/>
      <c r="AA110" s="68">
        <f>+'P&amp;L'!AA75</f>
        <v>71.73100000000008</v>
      </c>
      <c r="AB110" s="68">
        <f>+'P&amp;L'!AB75</f>
        <v>75.783000000000001</v>
      </c>
      <c r="AC110" s="68">
        <f>+'P&amp;L'!AC75</f>
        <v>60.597000000000001</v>
      </c>
      <c r="AD110" s="68">
        <f>+'P&amp;L'!AD75</f>
        <v>40.603999999999999</v>
      </c>
      <c r="AE110" s="68">
        <f>+'P&amp;L'!AE75</f>
        <v>248.71499999999989</v>
      </c>
      <c r="AF110" s="50"/>
      <c r="AG110" s="68">
        <f>+'P&amp;L'!AG75</f>
        <v>53.283999999999999</v>
      </c>
      <c r="AH110" s="68">
        <f>+'P&amp;L'!AH75</f>
        <v>80.763999999999996</v>
      </c>
      <c r="AI110" s="68">
        <f>+'P&amp;L'!AI75</f>
        <v>53.365000000000016</v>
      </c>
      <c r="AJ110" s="68">
        <f>+'P&amp;L'!AJ75</f>
        <v>126.8</v>
      </c>
      <c r="AK110" s="68">
        <f>+'P&amp;L'!AK75</f>
        <v>314.21299999999985</v>
      </c>
      <c r="AL110" s="50"/>
      <c r="AM110" s="68">
        <f>+'P&amp;L'!AM75</f>
        <v>71.685000000000002</v>
      </c>
      <c r="AN110" s="68">
        <f>+'P&amp;L'!AN75</f>
        <v>87.227999999999994</v>
      </c>
      <c r="AO110" s="68">
        <f>+'P&amp;L'!AO75</f>
        <v>79.850999999999999</v>
      </c>
      <c r="AP110" s="68">
        <f>+'P&amp;L'!AP75</f>
        <v>74.427999999999997</v>
      </c>
      <c r="AQ110" s="68">
        <f>+'P&amp;L'!AQ75</f>
        <v>313.19199999999989</v>
      </c>
      <c r="AR110" s="50"/>
      <c r="AS110" s="68">
        <f>+'P&amp;L'!AS75</f>
        <v>72.878</v>
      </c>
      <c r="AT110" s="68">
        <f>+'P&amp;L'!AT75</f>
        <v>89.992999999999995</v>
      </c>
      <c r="AU110" s="68">
        <f>+'P&amp;L'!AU75</f>
        <v>75.272999999999996</v>
      </c>
      <c r="AV110" s="68">
        <f>+'P&amp;L'!AV75</f>
        <v>84.71</v>
      </c>
      <c r="AW110" s="68">
        <f>+'P&amp;L'!AW75</f>
        <v>322.85399999999981</v>
      </c>
      <c r="AX110" s="50"/>
      <c r="AY110" s="68">
        <f>+'P&amp;L'!AY75</f>
        <v>63.960999999999999</v>
      </c>
      <c r="AZ110" s="68">
        <f>+'P&amp;L'!AZ75</f>
        <v>44.098999999999997</v>
      </c>
      <c r="BA110" s="68">
        <f>+'P&amp;L'!BA75</f>
        <v>84.5</v>
      </c>
      <c r="BB110" s="68">
        <f>+'P&amp;L'!BB75</f>
        <v>58.6</v>
      </c>
      <c r="BC110" s="68">
        <f>+'P&amp;L'!BC75</f>
        <v>250.66000000000003</v>
      </c>
      <c r="BD110" s="50"/>
      <c r="BE110" s="68">
        <f>+'P&amp;L'!BE75</f>
        <v>125</v>
      </c>
      <c r="BF110" s="68">
        <f>+'P&amp;L'!BF75</f>
        <v>105.4</v>
      </c>
      <c r="BG110" s="68">
        <f>+'P&amp;L'!BG75</f>
        <v>92.5</v>
      </c>
      <c r="BH110" s="68">
        <f>+'P&amp;L'!BH75</f>
        <v>107</v>
      </c>
      <c r="BI110" s="68">
        <f>+'P&amp;L'!BI75</f>
        <v>429.89999999999986</v>
      </c>
      <c r="BJ110" s="50"/>
      <c r="BK110" s="68">
        <f>+'P&amp;L'!BK75</f>
        <v>59.8</v>
      </c>
      <c r="BL110" s="68">
        <f>+'P&amp;L'!BL75</f>
        <v>-1050</v>
      </c>
      <c r="BM110" s="68">
        <f>+'P&amp;L'!BM75</f>
        <v>90.6</v>
      </c>
      <c r="BN110" s="68">
        <f>+'P&amp;L'!BN75</f>
        <v>-673.4</v>
      </c>
      <c r="BO110" s="68">
        <f>+'P&amp;L'!BO75</f>
        <v>-1573</v>
      </c>
      <c r="BP110" s="50"/>
      <c r="BQ110" s="68">
        <f>+'P&amp;L'!BQ75</f>
        <v>63.674222295730033</v>
      </c>
      <c r="BR110" s="68">
        <f>+'P&amp;L'!BR75</f>
        <v>93.459975254319971</v>
      </c>
      <c r="BS110" s="68">
        <f>+'P&amp;L'!BS75</f>
        <v>98.739437693163268</v>
      </c>
      <c r="BT110" s="68">
        <f>+'P&amp;L'!BT75</f>
        <v>152.16746916770063</v>
      </c>
      <c r="BU110" s="68">
        <f>+'P&amp;L'!BU75</f>
        <v>408.04110441091416</v>
      </c>
      <c r="BV110" s="50"/>
      <c r="BW110" s="68">
        <f>+'P&amp;L'!BW75</f>
        <v>107.64606063411151</v>
      </c>
      <c r="BX110" s="68">
        <f>+'P&amp;L'!BX75</f>
        <v>124.53369382078827</v>
      </c>
      <c r="BY110" s="68">
        <f>+'P&amp;L'!BY75</f>
        <v>107.54917382356362</v>
      </c>
      <c r="BZ110" s="68">
        <f>+'P&amp;L'!BZ75</f>
        <v>150.58943038272005</v>
      </c>
      <c r="CA110" s="68">
        <f>+'P&amp;L'!CA75</f>
        <v>490.31835866118371</v>
      </c>
      <c r="CB110" s="50"/>
      <c r="CC110" s="68">
        <f>+'P&amp;L'!CC75</f>
        <v>122.46487822371225</v>
      </c>
      <c r="CD110" s="68">
        <f>+'P&amp;L'!CD75</f>
        <v>141.16844418204246</v>
      </c>
      <c r="CE110" s="68">
        <f>+'P&amp;L'!CE75</f>
        <v>125.62545079526699</v>
      </c>
      <c r="CF110" s="68">
        <f>+'P&amp;L'!CF75</f>
        <v>168.68465013923083</v>
      </c>
      <c r="CG110" s="68">
        <f>+'P&amp;L'!CG75</f>
        <v>557.94342334025248</v>
      </c>
      <c r="CH110" s="68"/>
      <c r="CI110" s="68"/>
      <c r="CJ110" s="68"/>
      <c r="CK110"/>
      <c r="CL110"/>
      <c r="CM110"/>
      <c r="CN110"/>
      <c r="CO110"/>
      <c r="CP110"/>
    </row>
    <row r="111" spans="2:94" s="1102" customFormat="1" ht="11.25" customHeight="1" outlineLevel="1" x14ac:dyDescent="0.2">
      <c r="B111" s="285" t="s">
        <v>109</v>
      </c>
      <c r="C111" s="68">
        <f>+CashFlow!C45</f>
        <v>-6.9020000000000001</v>
      </c>
      <c r="D111" s="68">
        <f>+CashFlow!D45</f>
        <v>-6.0740000000000007</v>
      </c>
      <c r="E111" s="68">
        <f>+CashFlow!E45</f>
        <v>-6.0950000000000006</v>
      </c>
      <c r="F111" s="68">
        <f>+CashFlow!F45</f>
        <v>-6.0629999999999988</v>
      </c>
      <c r="G111" s="68">
        <f>+CashFlow!G45</f>
        <v>-25.134</v>
      </c>
      <c r="H111" s="1131"/>
      <c r="I111" s="68">
        <f>+CashFlow!I45</f>
        <v>-6.8029999999999999</v>
      </c>
      <c r="J111" s="68">
        <f>+CashFlow!J45</f>
        <v>-6.7139999999999995</v>
      </c>
      <c r="K111" s="68">
        <f>+CashFlow!K45</f>
        <v>-6.7140000000000022</v>
      </c>
      <c r="L111" s="68">
        <f>+CashFlow!L45</f>
        <v>-6.7210000000000001</v>
      </c>
      <c r="M111" s="68">
        <f>+CashFlow!M45</f>
        <v>-26.952000000000002</v>
      </c>
      <c r="N111" s="50"/>
      <c r="O111" s="68">
        <f>+CashFlow!O45</f>
        <v>-7.46</v>
      </c>
      <c r="P111" s="68">
        <f>+CashFlow!P45</f>
        <v>-7.4590000000000005</v>
      </c>
      <c r="Q111" s="68">
        <f>+CashFlow!Q45</f>
        <v>-7.4639999999999986</v>
      </c>
      <c r="R111" s="68">
        <f>+CashFlow!R45</f>
        <v>-7.4529999999999994</v>
      </c>
      <c r="S111" s="68">
        <f>+CashFlow!S45</f>
        <v>-29.835999999999999</v>
      </c>
      <c r="T111" s="50"/>
      <c r="U111" s="68">
        <f>+CashFlow!U45</f>
        <v>-7.4089999999999998</v>
      </c>
      <c r="V111" s="68">
        <f>+CashFlow!V45</f>
        <v>-8.3320000000000007</v>
      </c>
      <c r="W111" s="68">
        <f>+CashFlow!W45</f>
        <v>-7.3109999999999999</v>
      </c>
      <c r="X111" s="68">
        <f>+CashFlow!X45</f>
        <v>-6.0250000000000021</v>
      </c>
      <c r="Y111" s="68">
        <f>+CashFlow!Y45</f>
        <v>-29.077000000000002</v>
      </c>
      <c r="Z111" s="50"/>
      <c r="AA111" s="68">
        <f>+CashFlow!AA45</f>
        <v>-7.1310000000000002</v>
      </c>
      <c r="AB111" s="68">
        <f>+CashFlow!AB45</f>
        <v>-7.1809999999999992</v>
      </c>
      <c r="AC111" s="68">
        <f>+CashFlow!AC45</f>
        <v>-7.2</v>
      </c>
      <c r="AD111" s="68">
        <f>+CashFlow!AD45</f>
        <v>-7.1200000000000028</v>
      </c>
      <c r="AE111" s="68">
        <f>+CashFlow!AE45</f>
        <v>-28.632000000000005</v>
      </c>
      <c r="AF111" s="50"/>
      <c r="AG111" s="68">
        <f>+CashFlow!AG45</f>
        <v>-7.8470000000000004</v>
      </c>
      <c r="AH111" s="68">
        <f>+CashFlow!AH45</f>
        <v>-7.8589999999999991</v>
      </c>
      <c r="AI111" s="68">
        <f>+CashFlow!AI45</f>
        <v>-7.8550000000000013</v>
      </c>
      <c r="AJ111" s="68">
        <f>+CashFlow!AJ45</f>
        <v>-7.8640000000000017</v>
      </c>
      <c r="AK111" s="68">
        <f>+CashFlow!AK45</f>
        <v>-31.425000000000001</v>
      </c>
      <c r="AL111" s="50"/>
      <c r="AM111" s="68">
        <f>+CashFlow!AM45</f>
        <v>-7.9089999999999998</v>
      </c>
      <c r="AN111" s="68">
        <f>+CashFlow!AN45</f>
        <v>-9.0190000000000019</v>
      </c>
      <c r="AO111" s="68">
        <f>+CashFlow!AO45</f>
        <v>-8.9669999999999987</v>
      </c>
      <c r="AP111" s="68">
        <f>+CashFlow!AP45</f>
        <v>-8.9790000000000028</v>
      </c>
      <c r="AQ111" s="68">
        <f>+CashFlow!AQ45</f>
        <v>-34.874000000000002</v>
      </c>
      <c r="AR111" s="50"/>
      <c r="AS111" s="68">
        <f>+CashFlow!AS45</f>
        <v>-8.9789999999999992</v>
      </c>
      <c r="AT111" s="68">
        <f>+CashFlow!AT45</f>
        <v>-9.4740000000000002</v>
      </c>
      <c r="AU111" s="68">
        <f>+CashFlow!AU45</f>
        <v>-9.4740000000000002</v>
      </c>
      <c r="AV111" s="68">
        <f>+CashFlow!AV45</f>
        <v>-9.4600000000000009</v>
      </c>
      <c r="AW111" s="68">
        <f>+CashFlow!AW45</f>
        <v>-37.387</v>
      </c>
      <c r="AX111" s="50"/>
      <c r="AY111" s="68">
        <f>+CashFlow!AY45</f>
        <v>-9.4160000000000004</v>
      </c>
      <c r="AZ111" s="68">
        <f>+CashFlow!AZ45</f>
        <v>-10.224</v>
      </c>
      <c r="BA111" s="68">
        <f>+CashFlow!BA45</f>
        <v>-10.259999999999998</v>
      </c>
      <c r="BB111" s="68">
        <f>+CashFlow!BB45</f>
        <v>-10.100000000000001</v>
      </c>
      <c r="BC111" s="68">
        <f>+CashFlow!BC45</f>
        <v>-40</v>
      </c>
      <c r="BD111" s="50"/>
      <c r="BE111" s="68">
        <f>+CashFlow!BE45</f>
        <v>-10.1</v>
      </c>
      <c r="BF111" s="68">
        <f>+CashFlow!BF45</f>
        <v>-18.5</v>
      </c>
      <c r="BG111" s="68">
        <f>+CashFlow!BG45</f>
        <v>-18.100000000000001</v>
      </c>
      <c r="BH111" s="68">
        <f>+CashFlow!BH45</f>
        <v>-17.899999999999991</v>
      </c>
      <c r="BI111" s="68">
        <f>+CashFlow!BI45</f>
        <v>-64.599999999999994</v>
      </c>
      <c r="BJ111" s="50"/>
      <c r="BK111" s="68">
        <f>+CashFlow!BK45</f>
        <v>-18</v>
      </c>
      <c r="BL111" s="68">
        <f>+CashFlow!BL45</f>
        <v>-20.100000000000001</v>
      </c>
      <c r="BM111" s="68">
        <f>+CashFlow!BM45</f>
        <v>-20.100000000000001</v>
      </c>
      <c r="BN111" s="68">
        <f>+CashFlow!BN45</f>
        <v>-20.099999999999994</v>
      </c>
      <c r="BO111" s="68">
        <f>+CashFlow!BO45</f>
        <v>-78.3</v>
      </c>
      <c r="BP111" s="50"/>
      <c r="BQ111" s="68">
        <f>+CashFlow!BQ45</f>
        <v>-17.789918152974916</v>
      </c>
      <c r="BR111" s="68">
        <f>+CashFlow!BR45</f>
        <v>-19.759375740870393</v>
      </c>
      <c r="BS111" s="68">
        <f>+CashFlow!BS45</f>
        <v>-19.597877501336868</v>
      </c>
      <c r="BT111" s="68">
        <f>+CashFlow!BT45</f>
        <v>-17.223065624005056</v>
      </c>
      <c r="BU111" s="68">
        <f>+CashFlow!BU45</f>
        <v>-74.370237019187229</v>
      </c>
      <c r="BV111" s="50"/>
      <c r="BW111" s="68">
        <f>+CashFlow!BW45</f>
        <v>-17.195990825304058</v>
      </c>
      <c r="BX111" s="68">
        <f>+CashFlow!BX45</f>
        <v>-19.103054553087798</v>
      </c>
      <c r="BY111" s="68">
        <f>+CashFlow!BY45</f>
        <v>-18.923815265401604</v>
      </c>
      <c r="BZ111" s="68">
        <f>+CashFlow!BZ45</f>
        <v>-16.607892232617949</v>
      </c>
      <c r="CA111" s="68">
        <f>+CashFlow!CA45</f>
        <v>-71.830752876411395</v>
      </c>
      <c r="CB111" s="50"/>
      <c r="CC111" s="68">
        <f>+CashFlow!CC45</f>
        <v>-17.086076698543614</v>
      </c>
      <c r="CD111" s="68">
        <f>+CashFlow!CD45</f>
        <v>-18.989453061061692</v>
      </c>
      <c r="CE111" s="68">
        <f>+CashFlow!CE45</f>
        <v>-18.819491735510837</v>
      </c>
      <c r="CF111" s="68">
        <f>+CashFlow!CF45</f>
        <v>-16.523552430696675</v>
      </c>
      <c r="CG111" s="68">
        <f>+CashFlow!CG45</f>
        <v>-71.418573925812808</v>
      </c>
      <c r="CH111" s="68"/>
      <c r="CI111" s="68"/>
      <c r="CJ111" s="68"/>
      <c r="CK111"/>
      <c r="CL111"/>
      <c r="CM111"/>
      <c r="CN111"/>
      <c r="CO111"/>
      <c r="CP111"/>
    </row>
    <row r="112" spans="2:94" s="1102" customFormat="1" ht="11.25" customHeight="1" outlineLevel="1" x14ac:dyDescent="0.2">
      <c r="B112" s="285" t="s">
        <v>79</v>
      </c>
      <c r="C112" s="1130">
        <f>+C44-79.914</f>
        <v>7.9680000000000035</v>
      </c>
      <c r="D112" s="68">
        <f>+D44-C44</f>
        <v>13.975999999999999</v>
      </c>
      <c r="E112" s="68">
        <f>+E44-D44</f>
        <v>22.277999999999992</v>
      </c>
      <c r="F112" s="68">
        <f>+F44-E44</f>
        <v>21.682999999999993</v>
      </c>
      <c r="G112" s="68">
        <f>SUM(C112:F112)</f>
        <v>65.904999999999987</v>
      </c>
      <c r="H112" s="50"/>
      <c r="I112" s="68">
        <f>+I44-H44</f>
        <v>167.37899999999999</v>
      </c>
      <c r="J112" s="68">
        <f>+J44-I44</f>
        <v>17.236000000000018</v>
      </c>
      <c r="K112" s="68">
        <f>+K44-J44</f>
        <v>-92.788000000000011</v>
      </c>
      <c r="L112" s="68">
        <f>+L44-K44</f>
        <v>-52.214999999999996</v>
      </c>
      <c r="M112" s="68">
        <f>SUM(I112:L112)</f>
        <v>39.612000000000002</v>
      </c>
      <c r="N112" s="50"/>
      <c r="O112" s="68">
        <f>+O44-N44</f>
        <v>8.3030000000000008</v>
      </c>
      <c r="P112" s="68">
        <f>+P44-O44</f>
        <v>49.974000000000004</v>
      </c>
      <c r="Q112" s="68">
        <f>+Q44-P44</f>
        <v>36.861999999999995</v>
      </c>
      <c r="R112" s="68">
        <f>+R44-Q44</f>
        <v>-11.596999999999994</v>
      </c>
      <c r="S112" s="68">
        <f>SUM(O112:R112)</f>
        <v>83.542000000000002</v>
      </c>
      <c r="T112" s="50"/>
      <c r="U112" s="68">
        <f>+U44-T44</f>
        <v>34.606999999999999</v>
      </c>
      <c r="V112" s="68">
        <f>+V44-U44</f>
        <v>-90.284999999999997</v>
      </c>
      <c r="W112" s="68">
        <f>+W44-V44</f>
        <v>97.49799999999999</v>
      </c>
      <c r="X112" s="68">
        <f>+X44-W44</f>
        <v>-17.664000000000001</v>
      </c>
      <c r="Y112" s="68">
        <f>SUM(U112:X112)</f>
        <v>24.155999999999992</v>
      </c>
      <c r="Z112" s="50"/>
      <c r="AA112" s="68">
        <f>+AA44-Z44</f>
        <v>88.265000000000001</v>
      </c>
      <c r="AB112" s="68">
        <f>+AB44-AA44</f>
        <v>15.248000000000005</v>
      </c>
      <c r="AC112" s="68">
        <f>+AC44-AB44</f>
        <v>-250.196</v>
      </c>
      <c r="AD112" s="68">
        <f>+AD44-AC44</f>
        <v>-44.287000000000006</v>
      </c>
      <c r="AE112" s="68">
        <f>SUM(AA112:AD112)</f>
        <v>-190.97</v>
      </c>
      <c r="AF112" s="50"/>
      <c r="AG112" s="68">
        <f>+AG44-AF44</f>
        <v>-68.031000000000006</v>
      </c>
      <c r="AH112" s="68">
        <f>+AH44-AG44</f>
        <v>-135.68099999999998</v>
      </c>
      <c r="AI112" s="68">
        <f>+AI44-AH44</f>
        <v>107.93299999999999</v>
      </c>
      <c r="AJ112" s="68">
        <f>+AJ44-AI44</f>
        <v>-48.420999999999992</v>
      </c>
      <c r="AK112" s="68">
        <f>SUM(AG112:AJ112)</f>
        <v>-144.19999999999999</v>
      </c>
      <c r="AL112" s="50"/>
      <c r="AM112" s="68">
        <f>+AM44-AL44</f>
        <v>-199.101</v>
      </c>
      <c r="AN112" s="68">
        <f>+AN44-AM44</f>
        <v>-24.121000000000009</v>
      </c>
      <c r="AO112" s="68">
        <f>+AO44-AN44</f>
        <v>103.11800000000001</v>
      </c>
      <c r="AP112" s="68">
        <f>+AP44-AO44</f>
        <v>51.042000000000002</v>
      </c>
      <c r="AQ112" s="68">
        <f>SUM(AM112:AP112)</f>
        <v>-69.061999999999998</v>
      </c>
      <c r="AR112" s="50"/>
      <c r="AS112" s="68">
        <f>+AS44-AR44</f>
        <v>-75.665000000000006</v>
      </c>
      <c r="AT112" s="68">
        <f>+AT44-AS44</f>
        <v>-22.333999999999989</v>
      </c>
      <c r="AU112" s="68">
        <f>+AU44-AT44</f>
        <v>-155.05600000000001</v>
      </c>
      <c r="AV112" s="68">
        <f>+AV44-AU44</f>
        <v>-188.08100000000002</v>
      </c>
      <c r="AW112" s="68">
        <f>SUM(AS112:AV112)</f>
        <v>-441.13600000000002</v>
      </c>
      <c r="AX112" s="50"/>
      <c r="AY112" s="68">
        <f>+AY44-AX44</f>
        <v>-573.56700000000001</v>
      </c>
      <c r="AZ112" s="68">
        <f>+AZ44-AY44</f>
        <v>98.561000000000035</v>
      </c>
      <c r="BA112" s="68">
        <f>+BA44-AZ44</f>
        <v>-112.49400000000003</v>
      </c>
      <c r="BB112" s="68">
        <f>+BB44-BA44</f>
        <v>-6.5</v>
      </c>
      <c r="BC112" s="68">
        <f>SUM(AY112:BB112)</f>
        <v>-594</v>
      </c>
      <c r="BD112" s="50"/>
      <c r="BE112" s="68">
        <f>+BE44-BD44</f>
        <v>-431.2</v>
      </c>
      <c r="BF112" s="68">
        <f>+BF44-BE44</f>
        <v>-83.400000000000034</v>
      </c>
      <c r="BG112" s="68">
        <f>+BG44-BF44</f>
        <v>35.200000000000045</v>
      </c>
      <c r="BH112" s="68">
        <f>+BH44-BG44</f>
        <v>-226.30000000000007</v>
      </c>
      <c r="BI112" s="68">
        <f>SUM(BE112:BH112)</f>
        <v>-705.7</v>
      </c>
      <c r="BJ112" s="50"/>
      <c r="BK112" s="68">
        <f>+BK44-BJ44</f>
        <v>-658</v>
      </c>
      <c r="BL112" s="68">
        <f>+BL44-BK44</f>
        <v>220</v>
      </c>
      <c r="BM112" s="68">
        <f>+BM44-BL44</f>
        <v>119.39999999999998</v>
      </c>
      <c r="BN112" s="68">
        <f>+BN44-BM44</f>
        <v>27.600000000000023</v>
      </c>
      <c r="BO112" s="68">
        <f>SUM(BK112:BN112)</f>
        <v>-291</v>
      </c>
      <c r="BP112" s="50"/>
      <c r="BQ112" s="68">
        <f>+BQ44-BP44</f>
        <v>-291</v>
      </c>
      <c r="BR112" s="68">
        <f>+BR44-BQ44</f>
        <v>0</v>
      </c>
      <c r="BS112" s="68">
        <f>+BS44-BR44</f>
        <v>0</v>
      </c>
      <c r="BT112" s="68">
        <f>+BT44-BS44</f>
        <v>0</v>
      </c>
      <c r="BU112" s="68">
        <f>SUM(BQ112:BT112)</f>
        <v>-291</v>
      </c>
      <c r="BV112" s="50"/>
      <c r="BW112" s="68">
        <f>+BW44-BV44</f>
        <v>-291</v>
      </c>
      <c r="BX112" s="68">
        <f>+BX44-BW44</f>
        <v>0</v>
      </c>
      <c r="BY112" s="68">
        <f>+BY44-BX44</f>
        <v>0</v>
      </c>
      <c r="BZ112" s="68">
        <f>+BZ44-BY44</f>
        <v>0</v>
      </c>
      <c r="CA112" s="68">
        <f>SUM(BW112:BZ112)</f>
        <v>-291</v>
      </c>
      <c r="CB112" s="50"/>
      <c r="CC112" s="68">
        <f>+CC44-CB44</f>
        <v>-291</v>
      </c>
      <c r="CD112" s="68">
        <f>+CD44-CC44</f>
        <v>0</v>
      </c>
      <c r="CE112" s="68">
        <f>+CE44-CD44</f>
        <v>0</v>
      </c>
      <c r="CF112" s="68">
        <f>+CF44-CE44</f>
        <v>0</v>
      </c>
      <c r="CG112" s="68">
        <f>SUM(CC112:CF112)</f>
        <v>-291</v>
      </c>
      <c r="CH112" s="68"/>
      <c r="CI112" s="68"/>
      <c r="CJ112" s="68"/>
      <c r="CK112"/>
      <c r="CL112"/>
      <c r="CM112"/>
      <c r="CN112"/>
      <c r="CO112"/>
      <c r="CP112"/>
    </row>
    <row r="113" spans="2:94" s="1102" customFormat="1" ht="11.25" customHeight="1" outlineLevel="1" x14ac:dyDescent="0.2">
      <c r="B113" s="285" t="s">
        <v>110</v>
      </c>
      <c r="C113" s="286">
        <f>+C114-SUM(C108:C112)</f>
        <v>-3.4340000000001965</v>
      </c>
      <c r="D113" s="286">
        <f>+D114-SUM(D108:D112)</f>
        <v>0.68900000000007822</v>
      </c>
      <c r="E113" s="286">
        <f>+E114-SUM(E108:E112)</f>
        <v>-0.68900000000007822</v>
      </c>
      <c r="F113" s="286">
        <f>+F114-SUM(F108:F112)</f>
        <v>-0.74500000000011823</v>
      </c>
      <c r="G113" s="286">
        <f>SUM(C113:F113)</f>
        <v>-4.1790000000003147</v>
      </c>
      <c r="H113" s="50"/>
      <c r="I113" s="286">
        <f>+I114-SUM(I108:I112)</f>
        <v>66.66599999999994</v>
      </c>
      <c r="J113" s="286">
        <f>+J114-SUM(J108:J112)</f>
        <v>0</v>
      </c>
      <c r="K113" s="286">
        <f>+K114-SUM(K108:K112)</f>
        <v>-5.9999999998581188E-3</v>
      </c>
      <c r="L113" s="286">
        <f>+L114-SUM(L108:L112)</f>
        <v>-0.72600000000056752</v>
      </c>
      <c r="M113" s="286">
        <f>SUM(I113:L113)</f>
        <v>65.933999999999514</v>
      </c>
      <c r="N113" s="50"/>
      <c r="O113" s="286">
        <f>+O114-SUM(O108:O112)</f>
        <v>251.23700000000031</v>
      </c>
      <c r="P113" s="286">
        <f>+P114-SUM(P108:P112)</f>
        <v>-4.9999999994270183E-3</v>
      </c>
      <c r="Q113" s="286">
        <f>+Q114-SUM(Q108:Q112)</f>
        <v>1.0999999999967258E-2</v>
      </c>
      <c r="R113" s="286">
        <f>+R114-SUM(R108:R112)</f>
        <v>7.0999999999685315E-2</v>
      </c>
      <c r="S113" s="286">
        <f>SUM(O113:R113)</f>
        <v>251.31400000000053</v>
      </c>
      <c r="T113" s="50"/>
      <c r="U113" s="286">
        <f>+U114-SUM(U108:U112)</f>
        <v>251.41300000000069</v>
      </c>
      <c r="V113" s="286">
        <f>+V114-SUM(V108:V112)</f>
        <v>0.12399999999979627</v>
      </c>
      <c r="W113" s="286">
        <f>+W114-SUM(W108:W112)</f>
        <v>5.9000000000196451E-2</v>
      </c>
      <c r="X113" s="286">
        <f>+X114-SUM(X108:X112)</f>
        <v>1.6999999999825377E-2</v>
      </c>
      <c r="Y113" s="286">
        <f>SUM(U113:X113)</f>
        <v>251.61300000000051</v>
      </c>
      <c r="Z113" s="50"/>
      <c r="AA113" s="286">
        <f>+AA114-SUM(AA108:AA112)</f>
        <v>478.34999999999923</v>
      </c>
      <c r="AB113" s="286">
        <f>+AB114-SUM(AB108:AB112)</f>
        <v>-1.4749999999989996</v>
      </c>
      <c r="AC113" s="286">
        <f>+AC114-SUM(AC108:AC112)</f>
        <v>8.4999999999581632E-2</v>
      </c>
      <c r="AD113" s="286">
        <f>+AD114-SUM(AD108:AD112)</f>
        <v>-0.71999999999979991</v>
      </c>
      <c r="AE113" s="286">
        <f>SUM(AA113:AD113)</f>
        <v>476.24</v>
      </c>
      <c r="AF113" s="50"/>
      <c r="AG113" s="286">
        <f>+AG114-SUM(AG108:AG112)</f>
        <v>687.61999999999989</v>
      </c>
      <c r="AH113" s="286">
        <f>+AH114-SUM(AH108:AH112)</f>
        <v>4.9999999991996447E-3</v>
      </c>
      <c r="AI113" s="286">
        <f>+AI114-SUM(AI108:AI112)</f>
        <v>-7.9999999998108251E-3</v>
      </c>
      <c r="AJ113" s="286">
        <f>+AJ114-SUM(AJ108:AJ112)</f>
        <v>-2.1000000000185537E-2</v>
      </c>
      <c r="AK113" s="286">
        <f>SUM(AG113:AJ113)</f>
        <v>687.59599999999909</v>
      </c>
      <c r="AL113" s="50"/>
      <c r="AM113" s="286">
        <f>+AM114-SUM(AM108:AM112)</f>
        <v>608.6520000000005</v>
      </c>
      <c r="AN113" s="286">
        <f>+AN114-SUM(AN108:AN112)</f>
        <v>5.599999999958527E-2</v>
      </c>
      <c r="AO113" s="286">
        <f>+AO114-SUM(AO108:AO112)</f>
        <v>-2.3000000000138243E-2</v>
      </c>
      <c r="AP113" s="286">
        <f>+AP114-SUM(AP108:AP112)</f>
        <v>2.0000000000436557E-2</v>
      </c>
      <c r="AQ113" s="286">
        <f>SUM(AM113:AP113)</f>
        <v>608.70500000000038</v>
      </c>
      <c r="AR113" s="50"/>
      <c r="AS113" s="286">
        <f>+AS114-SUM(AS108:AS112)</f>
        <v>560.17099999999959</v>
      </c>
      <c r="AT113" s="286">
        <f>+AT114-SUM(AT108:AT112)</f>
        <v>-9.9999999974897946E-4</v>
      </c>
      <c r="AU113" s="286">
        <f>+AU114-SUM(AU108:AU112)</f>
        <v>8.0000000002655725E-3</v>
      </c>
      <c r="AV113" s="286">
        <f>+AV114-SUM(AV108:AV112)</f>
        <v>4.9999999999727152E-2</v>
      </c>
      <c r="AW113" s="286">
        <f>SUM(AS113:AV113)</f>
        <v>560.22799999999984</v>
      </c>
      <c r="AX113" s="50"/>
      <c r="AY113" s="286">
        <f>+AY114-SUM(AY108:AY112)</f>
        <v>1058.6600000000001</v>
      </c>
      <c r="AZ113" s="286">
        <f>+AZ114-SUM(AZ108:AZ112)</f>
        <v>5.0000000001091394E-3</v>
      </c>
      <c r="BA113" s="286">
        <f>+BA114-SUM(BA108:BA112)</f>
        <v>9.5999999999548891E-2</v>
      </c>
      <c r="BB113" s="286">
        <f>+BB114-SUM(BB108:BB112)</f>
        <v>-0.19999999999936335</v>
      </c>
      <c r="BC113" s="286">
        <f>SUM(AY113:BB113)</f>
        <v>1058.5610000000004</v>
      </c>
      <c r="BD113" s="50"/>
      <c r="BE113" s="286">
        <f>+BE114-SUM(BE108:BE112)</f>
        <v>1244.5999999999995</v>
      </c>
      <c r="BF113" s="286">
        <f>+BF114-SUM(BF108:BF112)</f>
        <v>0.2999999999992724</v>
      </c>
      <c r="BG113" s="286">
        <f>+BG114-SUM(BG108:BG112)</f>
        <v>-9.9999999998544808E-2</v>
      </c>
      <c r="BH113" s="286">
        <f>+BH114-SUM(BH108:BH112)</f>
        <v>-0.10000000000400178</v>
      </c>
      <c r="BI113" s="286">
        <f>SUM(BE113:BH113)</f>
        <v>1244.6999999999962</v>
      </c>
      <c r="BJ113" s="50"/>
      <c r="BK113" s="286">
        <f>+BK114-SUM(BK108:BK112)</f>
        <v>-4169.6999999999971</v>
      </c>
      <c r="BL113" s="286">
        <f>+BL114-SUM(BL108:BL112)</f>
        <v>-0.7000000000007276</v>
      </c>
      <c r="BM113" s="286">
        <f>+BM114-SUM(BM108:BM112)</f>
        <v>-0.1000000000003638</v>
      </c>
      <c r="BN113" s="286">
        <f>+BN114-SUM(BN108:BN112)</f>
        <v>23.700000000000728</v>
      </c>
      <c r="BO113" s="286">
        <f>SUM(BK113:BN113)</f>
        <v>-4146.7999999999975</v>
      </c>
      <c r="BP113" s="50"/>
      <c r="BQ113" s="286">
        <f>+BQ114-SUM(BQ108:BQ112)</f>
        <v>-4300.0999999999985</v>
      </c>
      <c r="BR113" s="286">
        <f>+BR114-SUM(BR108:BR112)</f>
        <v>0</v>
      </c>
      <c r="BS113" s="286">
        <f>+BS114-SUM(BS108:BS112)</f>
        <v>0</v>
      </c>
      <c r="BT113" s="286">
        <f>+BT114-SUM(BT108:BT112)</f>
        <v>0</v>
      </c>
      <c r="BU113" s="286">
        <f>SUM(BQ113:BT113)</f>
        <v>-4300.0999999999985</v>
      </c>
      <c r="BV113" s="50"/>
      <c r="BW113" s="286">
        <f>+BW114-SUM(BW108:BW112)</f>
        <v>-3890.9233015815462</v>
      </c>
      <c r="BX113" s="286">
        <f>+BX114-SUM(BX108:BX112)</f>
        <v>0</v>
      </c>
      <c r="BY113" s="286">
        <f>+BY114-SUM(BY108:BY112)</f>
        <v>0</v>
      </c>
      <c r="BZ113" s="286">
        <f>+BZ114-SUM(BZ108:BZ112)</f>
        <v>0</v>
      </c>
      <c r="CA113" s="286">
        <f>SUM(BW113:BZ113)</f>
        <v>-3890.9233015815462</v>
      </c>
      <c r="CB113" s="50"/>
      <c r="CC113" s="286">
        <f>+CC114-SUM(CC108:CC112)</f>
        <v>-3397.1846075889589</v>
      </c>
      <c r="CD113" s="286">
        <f>+CD114-SUM(CD108:CD112)</f>
        <v>0</v>
      </c>
      <c r="CE113" s="286">
        <f>+CE114-SUM(CE108:CE112)</f>
        <v>0</v>
      </c>
      <c r="CF113" s="286">
        <f>+CF114-SUM(CF108:CF112)</f>
        <v>0</v>
      </c>
      <c r="CG113" s="286">
        <f>SUM(CC113:CF113)</f>
        <v>-3397.1846075889589</v>
      </c>
      <c r="CH113" s="50"/>
      <c r="CI113" s="50"/>
      <c r="CJ113" s="50"/>
      <c r="CK113"/>
      <c r="CL113"/>
      <c r="CM113"/>
      <c r="CN113"/>
      <c r="CO113"/>
      <c r="CP113"/>
    </row>
    <row r="114" spans="2:94" s="1102" customFormat="1" ht="11.25" customHeight="1" outlineLevel="1" x14ac:dyDescent="0.2">
      <c r="B114" s="281" t="s">
        <v>111</v>
      </c>
      <c r="C114" s="68">
        <f>+C46</f>
        <v>1338.029</v>
      </c>
      <c r="D114" s="68">
        <f>+D46</f>
        <v>1398.4860000000001</v>
      </c>
      <c r="E114" s="68">
        <f>+E46</f>
        <v>1453.635</v>
      </c>
      <c r="F114" s="68">
        <f>+F46</f>
        <v>1516.106</v>
      </c>
      <c r="G114" s="68">
        <f>+G46</f>
        <v>1516.106</v>
      </c>
      <c r="H114" s="68"/>
      <c r="I114" s="68">
        <f>+I46</f>
        <v>1519.9409999999996</v>
      </c>
      <c r="J114" s="68">
        <f>+J46</f>
        <v>1609.19</v>
      </c>
      <c r="K114" s="68">
        <f>+K46</f>
        <v>1586.4190000000003</v>
      </c>
      <c r="L114" s="68">
        <f>+L46</f>
        <v>1587.7219999999998</v>
      </c>
      <c r="M114" s="68">
        <f>+M46</f>
        <v>1587.7219999999998</v>
      </c>
      <c r="N114" s="50"/>
      <c r="O114" s="68">
        <f>+O46</f>
        <v>1614.1460000000002</v>
      </c>
      <c r="P114" s="68">
        <f>+P46</f>
        <v>1732.6180000000004</v>
      </c>
      <c r="Q114" s="68">
        <f>+Q46</f>
        <v>1827.2550000000003</v>
      </c>
      <c r="R114" s="68">
        <f>+R46</f>
        <v>1832.1049999999998</v>
      </c>
      <c r="S114" s="68">
        <f>+S46</f>
        <v>1832.1049999999998</v>
      </c>
      <c r="T114" s="50"/>
      <c r="U114" s="68">
        <f>+U46</f>
        <v>1811.1880000000006</v>
      </c>
      <c r="V114" s="68">
        <f>+V46</f>
        <v>1675.7139999999999</v>
      </c>
      <c r="W114" s="68">
        <f>+W46</f>
        <v>1803.4810000000002</v>
      </c>
      <c r="X114" s="68">
        <f>+X46</f>
        <v>1839.386</v>
      </c>
      <c r="Y114" s="68">
        <f>+Y46</f>
        <v>1839.386</v>
      </c>
      <c r="Z114" s="50"/>
      <c r="AA114" s="68">
        <f>+AA46</f>
        <v>1945.3379999999993</v>
      </c>
      <c r="AB114" s="68">
        <f>+AB46</f>
        <v>2042.23</v>
      </c>
      <c r="AC114" s="68">
        <f>+AC46</f>
        <v>1853.692</v>
      </c>
      <c r="AD114" s="68">
        <f>+AD46</f>
        <v>1848.0770000000002</v>
      </c>
      <c r="AE114" s="68">
        <f>+AE46</f>
        <v>1848.0770000000002</v>
      </c>
      <c r="AF114" s="50"/>
      <c r="AG114" s="68">
        <f>+AG46</f>
        <v>2008.6170000000002</v>
      </c>
      <c r="AH114" s="68">
        <f>+AH46</f>
        <v>1951.5689999999995</v>
      </c>
      <c r="AI114" s="68">
        <f>+AI46</f>
        <v>2122.0709999999999</v>
      </c>
      <c r="AJ114" s="68">
        <f>+AJ46</f>
        <v>2208.6979999999999</v>
      </c>
      <c r="AK114" s="68">
        <f>+AK46</f>
        <v>2208.6979999999999</v>
      </c>
      <c r="AL114" s="50"/>
      <c r="AM114" s="68">
        <f>+AM46</f>
        <v>2233.502</v>
      </c>
      <c r="AN114" s="68">
        <f>+AN46</f>
        <v>2250.1849999999999</v>
      </c>
      <c r="AO114" s="68">
        <f>+AO46</f>
        <v>2438.4409999999998</v>
      </c>
      <c r="AP114" s="68">
        <f>+AP46</f>
        <v>2535.0530000000003</v>
      </c>
      <c r="AQ114" s="68">
        <f>+AQ46</f>
        <v>2535.0530000000003</v>
      </c>
      <c r="AR114" s="50"/>
      <c r="AS114" s="68">
        <f>+AS46</f>
        <v>2523.0329999999999</v>
      </c>
      <c r="AT114" s="68">
        <f>+AT46</f>
        <v>2583.4630000000002</v>
      </c>
      <c r="AU114" s="68">
        <f>+AU46</f>
        <v>2495.1080000000002</v>
      </c>
      <c r="AV114" s="68">
        <f>+AV46</f>
        <v>2321.279</v>
      </c>
      <c r="AW114" s="68">
        <f>+AW46</f>
        <v>2321.279</v>
      </c>
      <c r="AX114" s="50"/>
      <c r="AY114" s="68">
        <f>+AY46</f>
        <v>2172.7930000000001</v>
      </c>
      <c r="AZ114" s="68">
        <f>+AZ46</f>
        <v>2314.8700000000003</v>
      </c>
      <c r="BA114" s="68">
        <f>+BA46</f>
        <v>2280.0999999999995</v>
      </c>
      <c r="BB114" s="68">
        <f>+BB46</f>
        <v>2338</v>
      </c>
      <c r="BC114" s="68">
        <f>+BC46</f>
        <v>2338</v>
      </c>
      <c r="BD114" s="50"/>
      <c r="BE114" s="68">
        <f>+BE46</f>
        <v>8381.7999999999993</v>
      </c>
      <c r="BF114" s="68">
        <f>+BF46</f>
        <v>8311.5</v>
      </c>
      <c r="BG114" s="68">
        <f>+BG46</f>
        <v>8344.1000000000022</v>
      </c>
      <c r="BH114" s="68">
        <f>+BH46</f>
        <v>8114.2999999999984</v>
      </c>
      <c r="BI114" s="68">
        <f>+BI46</f>
        <v>8114.2999999999984</v>
      </c>
      <c r="BJ114" s="50"/>
      <c r="BK114" s="68">
        <f>+BK46</f>
        <v>8152.2000000000007</v>
      </c>
      <c r="BL114" s="68">
        <f>+BL46</f>
        <v>7262.5</v>
      </c>
      <c r="BM114" s="68">
        <f>+BM46</f>
        <v>7477.7999999999993</v>
      </c>
      <c r="BN114" s="68">
        <f>+BN46</f>
        <v>6616.3000000000011</v>
      </c>
      <c r="BO114" s="68">
        <f>+BO46</f>
        <v>6616.3000000000011</v>
      </c>
      <c r="BP114" s="50"/>
      <c r="BQ114" s="68">
        <f>+BQ46</f>
        <v>6557.5357090350735</v>
      </c>
      <c r="BR114" s="68">
        <f>+BR46</f>
        <v>6530.1745332754726</v>
      </c>
      <c r="BS114" s="68">
        <f>+BS46</f>
        <v>6507.5562967143178</v>
      </c>
      <c r="BT114" s="68">
        <f>+BT46</f>
        <v>6540.7941689732743</v>
      </c>
      <c r="BU114" s="68">
        <f>+BU46</f>
        <v>6540.7941689732743</v>
      </c>
      <c r="BV114" s="50"/>
      <c r="BW114" s="68">
        <f>+BW46</f>
        <v>6504.3775391753588</v>
      </c>
      <c r="BX114" s="68">
        <f>+BX46</f>
        <v>6487.9945144440298</v>
      </c>
      <c r="BY114" s="68">
        <f>+BY46</f>
        <v>6454.1056404013234</v>
      </c>
      <c r="BZ114" s="68">
        <f>+BZ46</f>
        <v>6465.5430807654593</v>
      </c>
      <c r="CA114" s="68">
        <f>+CA46</f>
        <v>6465.5430807654593</v>
      </c>
      <c r="CB114" s="50"/>
      <c r="CC114" s="68">
        <f>+CC46</f>
        <v>6448.3261939083786</v>
      </c>
      <c r="CD114" s="68">
        <f>+CD46</f>
        <v>6454.1253862118938</v>
      </c>
      <c r="CE114" s="68">
        <f>+CE46</f>
        <v>6443.4689695969773</v>
      </c>
      <c r="CF114" s="68">
        <f>+CF46</f>
        <v>6477.9436921799006</v>
      </c>
      <c r="CG114" s="68">
        <f>+CG46</f>
        <v>6477.9436921799006</v>
      </c>
      <c r="CH114" s="68"/>
      <c r="CI114" s="68"/>
      <c r="CJ114" s="68"/>
      <c r="CK114"/>
      <c r="CL114"/>
      <c r="CM114"/>
      <c r="CN114"/>
      <c r="CO114"/>
      <c r="CP114"/>
    </row>
    <row r="115" spans="2:94" s="1102" customFormat="1" ht="11.25" customHeight="1" outlineLevel="1" x14ac:dyDescent="0.2">
      <c r="B115" s="72" t="s">
        <v>81</v>
      </c>
      <c r="C115" s="95">
        <f>+C114-C46</f>
        <v>0</v>
      </c>
      <c r="D115" s="95">
        <f>+D114-D46</f>
        <v>0</v>
      </c>
      <c r="E115" s="95">
        <f>+E114-E46</f>
        <v>0</v>
      </c>
      <c r="F115" s="95">
        <f>+F114-F46</f>
        <v>0</v>
      </c>
      <c r="G115" s="95">
        <f>+G114-G46</f>
        <v>0</v>
      </c>
      <c r="H115" s="73"/>
      <c r="I115" s="95">
        <f>+I114-I46</f>
        <v>0</v>
      </c>
      <c r="J115" s="95">
        <f>+J114-J46</f>
        <v>0</v>
      </c>
      <c r="K115" s="95">
        <f>+K114-K46</f>
        <v>0</v>
      </c>
      <c r="L115" s="95">
        <f>+L114-L46</f>
        <v>0</v>
      </c>
      <c r="M115" s="95">
        <f>+M114-M46</f>
        <v>0</v>
      </c>
      <c r="N115" s="73"/>
      <c r="O115" s="95">
        <f>+O114-O46</f>
        <v>0</v>
      </c>
      <c r="P115" s="95">
        <f>+P114-P46</f>
        <v>0</v>
      </c>
      <c r="Q115" s="95">
        <f>+Q114-Q46</f>
        <v>0</v>
      </c>
      <c r="R115" s="95">
        <f>+R114-R46</f>
        <v>0</v>
      </c>
      <c r="S115" s="95">
        <f>+S114-S46</f>
        <v>0</v>
      </c>
      <c r="T115" s="73"/>
      <c r="U115" s="95">
        <f>+U114-U46</f>
        <v>0</v>
      </c>
      <c r="V115" s="95">
        <f>+V114-V46</f>
        <v>0</v>
      </c>
      <c r="W115" s="95">
        <f>+W114-W46</f>
        <v>0</v>
      </c>
      <c r="X115" s="95">
        <f>+X114-X46</f>
        <v>0</v>
      </c>
      <c r="Y115" s="95">
        <f>+Y114-Y46</f>
        <v>0</v>
      </c>
      <c r="Z115" s="73"/>
      <c r="AA115" s="95">
        <f>+AA114-AA46</f>
        <v>0</v>
      </c>
      <c r="AB115" s="95">
        <f>+AB114-AB46</f>
        <v>0</v>
      </c>
      <c r="AC115" s="95">
        <f>+AC114-AC46</f>
        <v>0</v>
      </c>
      <c r="AD115" s="95">
        <f>+AD114-AD46</f>
        <v>0</v>
      </c>
      <c r="AE115" s="95">
        <f>+AE114-AE46</f>
        <v>0</v>
      </c>
      <c r="AF115" s="73"/>
      <c r="AG115" s="95">
        <f>+AG114-AG46</f>
        <v>0</v>
      </c>
      <c r="AH115" s="95">
        <f>+AH114-AH46</f>
        <v>0</v>
      </c>
      <c r="AI115" s="95">
        <f>+AI114-AI46</f>
        <v>0</v>
      </c>
      <c r="AJ115" s="95">
        <f>+AJ114-AJ46</f>
        <v>0</v>
      </c>
      <c r="AK115" s="95">
        <f>+AK114-AK46</f>
        <v>0</v>
      </c>
      <c r="AL115" s="94"/>
      <c r="AM115" s="95">
        <f>+AM114-AM46</f>
        <v>0</v>
      </c>
      <c r="AN115" s="95">
        <f>+AN114-AN46</f>
        <v>0</v>
      </c>
      <c r="AO115" s="95">
        <f>+AO114-AO46</f>
        <v>0</v>
      </c>
      <c r="AP115" s="95">
        <f>+AP114-AP46</f>
        <v>0</v>
      </c>
      <c r="AQ115" s="95">
        <f>+AQ114-AQ46</f>
        <v>0</v>
      </c>
      <c r="AR115" s="94"/>
      <c r="AS115" s="95">
        <f>+AS114-AS46</f>
        <v>0</v>
      </c>
      <c r="AT115" s="95">
        <f>+AT114-AT46</f>
        <v>0</v>
      </c>
      <c r="AU115" s="95">
        <f>+AU114-AU46</f>
        <v>0</v>
      </c>
      <c r="AV115" s="95">
        <f>+AV114-AV46</f>
        <v>0</v>
      </c>
      <c r="AW115" s="95">
        <f>+AW114-AW46</f>
        <v>0</v>
      </c>
      <c r="AX115" s="94"/>
      <c r="AY115" s="95">
        <f>+AY114-AY46</f>
        <v>0</v>
      </c>
      <c r="AZ115" s="95">
        <f>+AZ114-AZ46</f>
        <v>0</v>
      </c>
      <c r="BA115" s="95">
        <f>+BA114-BA46</f>
        <v>0</v>
      </c>
      <c r="BB115" s="95">
        <f>+BB114-BB46</f>
        <v>0</v>
      </c>
      <c r="BC115" s="95">
        <f>+BC114-BC46</f>
        <v>0</v>
      </c>
      <c r="BD115" s="94"/>
      <c r="BE115" s="95">
        <f>+BE114-BE46</f>
        <v>0</v>
      </c>
      <c r="BF115" s="95">
        <f>+BF114-BF46</f>
        <v>0</v>
      </c>
      <c r="BG115" s="95">
        <f>+BG114-BG46</f>
        <v>0</v>
      </c>
      <c r="BH115" s="95">
        <f>+BH114-BH46</f>
        <v>0</v>
      </c>
      <c r="BI115" s="95">
        <f>+BI114-BI46</f>
        <v>0</v>
      </c>
      <c r="BJ115" s="94"/>
      <c r="BK115" s="95">
        <f>+BK114-BK46</f>
        <v>0</v>
      </c>
      <c r="BL115" s="95">
        <f>+BL114-BL46</f>
        <v>0</v>
      </c>
      <c r="BM115" s="95">
        <f>+BM114-BM46</f>
        <v>0</v>
      </c>
      <c r="BN115" s="95">
        <f>+BN114-BN46</f>
        <v>0</v>
      </c>
      <c r="BO115" s="95">
        <f>+BO114-BO46</f>
        <v>0</v>
      </c>
      <c r="BP115" s="94"/>
      <c r="BQ115" s="95">
        <f>+BQ114-BQ46</f>
        <v>0</v>
      </c>
      <c r="BR115" s="95">
        <f>+BR114-BR46</f>
        <v>0</v>
      </c>
      <c r="BS115" s="95">
        <f>+BS114-BS46</f>
        <v>0</v>
      </c>
      <c r="BT115" s="95">
        <f>+BT114-BT46</f>
        <v>0</v>
      </c>
      <c r="BU115" s="95">
        <f>+BU114-BU46</f>
        <v>0</v>
      </c>
      <c r="BV115" s="94"/>
      <c r="BW115" s="95">
        <f>+BW114-BW46</f>
        <v>0</v>
      </c>
      <c r="BX115" s="95">
        <f>+BX114-BX46</f>
        <v>0</v>
      </c>
      <c r="BY115" s="95">
        <f>+BY114-BY46</f>
        <v>0</v>
      </c>
      <c r="BZ115" s="95">
        <f>+BZ114-BZ46</f>
        <v>0</v>
      </c>
      <c r="CA115" s="95">
        <f>+CA114-CA46</f>
        <v>0</v>
      </c>
      <c r="CB115" s="94"/>
      <c r="CC115" s="95">
        <f>+CC114-CC46</f>
        <v>0</v>
      </c>
      <c r="CD115" s="95">
        <f>+CD114-CD46</f>
        <v>0</v>
      </c>
      <c r="CE115" s="95">
        <f>+CE114-CE46</f>
        <v>0</v>
      </c>
      <c r="CF115" s="95">
        <f>+CF114-CF46</f>
        <v>0</v>
      </c>
      <c r="CG115" s="95">
        <f>+CG114-CG46</f>
        <v>0</v>
      </c>
      <c r="CH115" s="95"/>
      <c r="CI115" s="95"/>
      <c r="CJ115" s="95"/>
      <c r="CK115"/>
      <c r="CL115"/>
      <c r="CM115"/>
      <c r="CN115"/>
      <c r="CO115"/>
      <c r="CP115"/>
    </row>
    <row r="116" spans="2:94" s="1102" customFormat="1" ht="11.25" customHeight="1" outlineLevel="1" x14ac:dyDescent="0.2">
      <c r="C116" s="183"/>
      <c r="D116" s="349"/>
      <c r="E116" s="183"/>
      <c r="F116" s="183"/>
      <c r="G116" s="183"/>
      <c r="H116" s="169"/>
      <c r="I116" s="183"/>
      <c r="J116" s="183"/>
      <c r="K116" s="183"/>
      <c r="L116" s="183"/>
      <c r="M116" s="183"/>
      <c r="N116" s="169"/>
      <c r="O116" s="183"/>
      <c r="P116" s="183"/>
      <c r="Q116" s="183"/>
      <c r="R116" s="183"/>
      <c r="S116" s="183"/>
      <c r="T116" s="169"/>
      <c r="U116" s="183"/>
      <c r="V116" s="183"/>
      <c r="W116" s="183"/>
      <c r="X116" s="183"/>
      <c r="Y116" s="122"/>
      <c r="Z116" s="169"/>
      <c r="AA116" s="135"/>
      <c r="AB116" s="135"/>
      <c r="AC116" s="135"/>
      <c r="AD116" s="135"/>
      <c r="AE116" s="259"/>
      <c r="AF116" s="169"/>
      <c r="AG116" s="135"/>
      <c r="AH116" s="135"/>
      <c r="AI116" s="135"/>
      <c r="AJ116" s="135"/>
      <c r="AK116" s="259"/>
      <c r="AL116" s="69"/>
      <c r="AM116" s="122"/>
      <c r="AN116" s="122"/>
      <c r="AO116" s="122"/>
      <c r="AP116" s="122"/>
      <c r="AQ116" s="166"/>
      <c r="AR116" s="69"/>
      <c r="AS116" s="122"/>
      <c r="AT116" s="122"/>
      <c r="AU116" s="122"/>
      <c r="AV116" s="122"/>
      <c r="AW116" s="166"/>
      <c r="AX116" s="69"/>
      <c r="AY116" s="122"/>
      <c r="AZ116" s="122"/>
      <c r="BA116" s="122"/>
      <c r="BB116" s="122"/>
      <c r="BC116" s="1132"/>
      <c r="BD116" s="69"/>
      <c r="BE116" s="122"/>
      <c r="BF116" s="122"/>
      <c r="BG116" s="122"/>
      <c r="BH116" s="122"/>
      <c r="BI116" s="1132"/>
      <c r="BJ116" s="69"/>
      <c r="BK116" s="122"/>
      <c r="BL116" s="122"/>
      <c r="BM116" s="122"/>
      <c r="BN116" s="122"/>
      <c r="BO116" s="166"/>
      <c r="BP116" s="69"/>
      <c r="BQ116" s="122"/>
      <c r="BR116" s="122"/>
      <c r="BS116" s="122"/>
      <c r="BT116" s="122"/>
      <c r="BU116" s="166"/>
      <c r="BV116" s="69"/>
      <c r="BW116" s="122"/>
      <c r="BX116" s="122"/>
      <c r="BY116" s="122"/>
      <c r="BZ116" s="122"/>
      <c r="CA116" s="166"/>
      <c r="CB116" s="69"/>
      <c r="CC116" s="122"/>
      <c r="CD116" s="122"/>
      <c r="CE116" s="122"/>
      <c r="CF116" s="122"/>
      <c r="CG116" s="166"/>
      <c r="CH116" s="166"/>
      <c r="CI116" s="166"/>
      <c r="CJ116" s="166"/>
      <c r="CK116"/>
      <c r="CL116"/>
      <c r="CM116"/>
      <c r="CN116"/>
      <c r="CO116"/>
      <c r="CP116"/>
    </row>
    <row r="117" spans="2:94" s="1102" customFormat="1" ht="11.25" customHeight="1" outlineLevel="1" x14ac:dyDescent="0.2">
      <c r="B117" s="5" t="s">
        <v>112</v>
      </c>
      <c r="C117" s="183"/>
      <c r="D117" s="183"/>
      <c r="E117" s="183"/>
      <c r="F117" s="183"/>
      <c r="G117" s="183"/>
      <c r="H117" s="145"/>
      <c r="I117" s="183"/>
      <c r="J117" s="183"/>
      <c r="K117" s="183"/>
      <c r="L117" s="183"/>
      <c r="M117" s="183"/>
      <c r="N117" s="145"/>
      <c r="O117" s="183"/>
      <c r="P117" s="183"/>
      <c r="Q117" s="183"/>
      <c r="R117" s="183"/>
      <c r="S117" s="183"/>
      <c r="T117" s="145"/>
      <c r="U117" s="183"/>
      <c r="V117" s="183"/>
      <c r="W117" s="183"/>
      <c r="X117" s="183"/>
      <c r="Y117" s="122"/>
      <c r="Z117" s="145"/>
      <c r="AA117" s="122"/>
      <c r="AB117" s="122"/>
      <c r="AC117" s="122"/>
      <c r="AD117" s="122"/>
      <c r="AE117" s="166"/>
      <c r="AF117" s="145"/>
      <c r="AG117" s="122"/>
      <c r="AH117" s="122"/>
      <c r="AI117" s="122"/>
      <c r="AJ117" s="122"/>
      <c r="AK117" s="166"/>
      <c r="AL117" s="69"/>
      <c r="AM117" s="122"/>
      <c r="AN117" s="122"/>
      <c r="AO117" s="122"/>
      <c r="AP117" s="122"/>
      <c r="AQ117" s="166"/>
      <c r="AR117" s="69"/>
      <c r="AS117" s="122"/>
      <c r="AT117" s="122"/>
      <c r="AU117" s="122"/>
      <c r="AV117" s="122"/>
      <c r="AW117" s="166"/>
      <c r="AX117" s="69"/>
      <c r="AY117" s="122"/>
      <c r="AZ117" s="122"/>
      <c r="BA117" s="122"/>
      <c r="BB117" s="122"/>
      <c r="BC117" s="166"/>
      <c r="BD117" s="69"/>
      <c r="BE117" s="122"/>
      <c r="BF117" s="122"/>
      <c r="BG117" s="122"/>
      <c r="BH117" s="122"/>
      <c r="BI117" s="166"/>
      <c r="BJ117" s="69"/>
      <c r="BK117" s="122"/>
      <c r="BL117" s="122"/>
      <c r="BM117" s="122"/>
      <c r="BN117" s="122"/>
      <c r="BO117" s="166"/>
      <c r="BP117" s="69"/>
      <c r="BQ117" s="122"/>
      <c r="BR117" s="122"/>
      <c r="BS117" s="122"/>
      <c r="BT117" s="122"/>
      <c r="BU117" s="166"/>
      <c r="BV117" s="69"/>
      <c r="BW117" s="122"/>
      <c r="BX117" s="122"/>
      <c r="BY117" s="122"/>
      <c r="BZ117" s="122"/>
      <c r="CA117" s="166"/>
      <c r="CB117" s="69"/>
      <c r="CC117" s="122"/>
      <c r="CD117" s="122"/>
      <c r="CE117" s="122"/>
      <c r="CF117" s="122"/>
      <c r="CG117" s="166"/>
      <c r="CH117" s="166"/>
      <c r="CI117" s="166"/>
      <c r="CJ117" s="166"/>
      <c r="CK117"/>
      <c r="CL117"/>
      <c r="CM117"/>
      <c r="CN117"/>
      <c r="CO117"/>
      <c r="CP117"/>
    </row>
    <row r="118" spans="2:94" s="1102" customFormat="1" ht="11.25" customHeight="1" outlineLevel="1" x14ac:dyDescent="0.2">
      <c r="B118" s="1"/>
      <c r="C118" s="183"/>
      <c r="D118" s="183"/>
      <c r="E118" s="183"/>
      <c r="F118" s="183"/>
      <c r="G118" s="183"/>
      <c r="H118" s="145"/>
      <c r="I118" s="183"/>
      <c r="J118" s="183"/>
      <c r="K118" s="183"/>
      <c r="L118" s="183"/>
      <c r="M118" s="183"/>
      <c r="N118" s="145"/>
      <c r="O118" s="183"/>
      <c r="P118" s="183"/>
      <c r="Q118" s="183"/>
      <c r="R118" s="183"/>
      <c r="S118" s="183"/>
      <c r="T118" s="145"/>
      <c r="U118" s="183"/>
      <c r="V118" s="183"/>
      <c r="W118" s="183"/>
      <c r="X118" s="183"/>
      <c r="Y118" s="122"/>
      <c r="Z118" s="145"/>
      <c r="AA118" s="122"/>
      <c r="AB118" s="135"/>
      <c r="AC118" s="135"/>
      <c r="AD118" s="135"/>
      <c r="AE118" s="166"/>
      <c r="AF118" s="145"/>
      <c r="AG118" s="122"/>
      <c r="AH118" s="135"/>
      <c r="AI118" s="135"/>
      <c r="AJ118" s="135"/>
      <c r="AK118" s="166"/>
      <c r="AL118" s="69"/>
      <c r="AM118" s="122"/>
      <c r="AN118" s="122"/>
      <c r="AO118" s="122"/>
      <c r="AP118" s="122"/>
      <c r="AQ118" s="166"/>
      <c r="AR118" s="69"/>
      <c r="AS118" s="122"/>
      <c r="AT118" s="122"/>
      <c r="AU118" s="122"/>
      <c r="AV118" s="122"/>
      <c r="AW118" s="166"/>
      <c r="AX118" s="69"/>
      <c r="AY118" s="122"/>
      <c r="AZ118" s="122"/>
      <c r="BA118" s="122"/>
      <c r="BB118" s="122"/>
      <c r="BC118" s="166"/>
      <c r="BD118" s="69"/>
      <c r="BE118" s="122"/>
      <c r="BF118" s="122"/>
      <c r="BG118" s="122"/>
      <c r="BH118" s="122"/>
      <c r="BI118" s="166"/>
      <c r="BJ118" s="69"/>
      <c r="BK118" s="122"/>
      <c r="BL118" s="122"/>
      <c r="BM118" s="122"/>
      <c r="BN118" s="122"/>
      <c r="BO118" s="166"/>
      <c r="BP118" s="69"/>
      <c r="BQ118" s="122"/>
      <c r="BR118" s="122"/>
      <c r="BS118" s="122"/>
      <c r="BT118" s="122"/>
      <c r="BU118" s="166"/>
      <c r="BV118" s="69"/>
      <c r="BW118" s="122"/>
      <c r="BX118" s="122"/>
      <c r="BY118" s="122"/>
      <c r="BZ118" s="122"/>
      <c r="CA118" s="166"/>
      <c r="CB118" s="69"/>
      <c r="CC118" s="122"/>
      <c r="CD118" s="122"/>
      <c r="CE118" s="122"/>
      <c r="CF118" s="122"/>
      <c r="CG118" s="166"/>
      <c r="CH118" s="166"/>
      <c r="CI118" s="166"/>
      <c r="CJ118" s="166"/>
      <c r="CK118"/>
      <c r="CL118"/>
      <c r="CM118"/>
      <c r="CN118"/>
      <c r="CO118"/>
      <c r="CP118"/>
    </row>
    <row r="119" spans="2:94" s="1102" customFormat="1" ht="11.25" customHeight="1" outlineLevel="1" x14ac:dyDescent="0.2">
      <c r="B119" s="15" t="s">
        <v>113</v>
      </c>
      <c r="C119" s="184"/>
      <c r="D119" s="184"/>
      <c r="E119" s="184"/>
      <c r="F119" s="184"/>
      <c r="G119" s="184"/>
      <c r="H119" s="146"/>
      <c r="I119" s="184"/>
      <c r="J119" s="184"/>
      <c r="K119" s="184"/>
      <c r="L119" s="184"/>
      <c r="M119" s="184"/>
      <c r="N119" s="146"/>
      <c r="O119" s="184"/>
      <c r="P119" s="184"/>
      <c r="Q119" s="184"/>
      <c r="R119" s="184"/>
      <c r="S119" s="184"/>
      <c r="T119" s="146"/>
      <c r="U119" s="184"/>
      <c r="V119" s="184"/>
      <c r="W119" s="184"/>
      <c r="X119" s="184"/>
      <c r="Y119" s="184"/>
      <c r="Z119" s="146"/>
      <c r="AA119" s="184"/>
      <c r="AB119" s="184"/>
      <c r="AC119" s="184"/>
      <c r="AD119" s="184"/>
      <c r="AE119" s="184"/>
      <c r="AF119" s="146"/>
      <c r="AG119" s="184"/>
      <c r="AH119" s="184"/>
      <c r="AI119" s="184"/>
      <c r="AJ119" s="184"/>
      <c r="AK119" s="184"/>
      <c r="AL119" s="146"/>
      <c r="AM119" s="184"/>
      <c r="AN119" s="184"/>
      <c r="AO119" s="184"/>
      <c r="AP119" s="184"/>
      <c r="AQ119" s="184"/>
      <c r="AR119" s="146"/>
      <c r="AS119" s="184"/>
      <c r="AT119" s="184"/>
      <c r="AU119" s="184"/>
      <c r="AV119" s="184"/>
      <c r="AW119" s="184"/>
      <c r="AX119" s="146"/>
      <c r="AY119" s="184"/>
      <c r="AZ119" s="184"/>
      <c r="BA119" s="184"/>
      <c r="BB119" s="184"/>
      <c r="BC119" s="184"/>
      <c r="BD119" s="146"/>
      <c r="BE119" s="184"/>
      <c r="BF119" s="184"/>
      <c r="BG119" s="184"/>
      <c r="BH119" s="184"/>
      <c r="BI119" s="184"/>
      <c r="BJ119" s="146"/>
      <c r="BK119" s="184"/>
      <c r="BL119" s="184"/>
      <c r="BM119" s="184"/>
      <c r="BN119" s="184"/>
      <c r="BO119" s="184"/>
      <c r="BP119" s="146"/>
      <c r="BQ119" s="184"/>
      <c r="BR119" s="184"/>
      <c r="BS119" s="184"/>
      <c r="BT119" s="184"/>
      <c r="BU119" s="184"/>
      <c r="BV119" s="146"/>
      <c r="BW119" s="184"/>
      <c r="BX119" s="184"/>
      <c r="BY119" s="184"/>
      <c r="BZ119" s="184"/>
      <c r="CA119" s="184"/>
      <c r="CB119" s="146"/>
      <c r="CC119" s="184"/>
      <c r="CD119" s="184"/>
      <c r="CE119" s="184"/>
      <c r="CF119" s="184"/>
      <c r="CG119" s="184"/>
      <c r="CH119" s="184"/>
      <c r="CI119" s="184"/>
      <c r="CJ119" s="184"/>
      <c r="CK119"/>
      <c r="CL119"/>
      <c r="CM119"/>
      <c r="CN119"/>
      <c r="CO119"/>
      <c r="CP119"/>
    </row>
    <row r="120" spans="2:94" s="1102" customFormat="1" ht="11.25" customHeight="1" outlineLevel="1" x14ac:dyDescent="0.2">
      <c r="B120" s="37" t="s">
        <v>114</v>
      </c>
      <c r="C120" s="1133">
        <v>638.72</v>
      </c>
      <c r="D120" s="184">
        <f>C126</f>
        <v>651.21550000000002</v>
      </c>
      <c r="E120" s="184">
        <f>D126</f>
        <v>666.43475000000001</v>
      </c>
      <c r="F120" s="184">
        <f>E126</f>
        <v>701.71875</v>
      </c>
      <c r="G120" s="184">
        <f>C120</f>
        <v>638.72</v>
      </c>
      <c r="H120" s="146"/>
      <c r="I120" s="184">
        <f>F126</f>
        <v>721.41</v>
      </c>
      <c r="J120" s="184">
        <f>I126</f>
        <v>740.69574999999998</v>
      </c>
      <c r="K120" s="184">
        <f>J126</f>
        <v>758.58775000000003</v>
      </c>
      <c r="L120" s="184">
        <f>K126</f>
        <v>787.68025</v>
      </c>
      <c r="M120" s="184">
        <f>I120</f>
        <v>721.41</v>
      </c>
      <c r="N120" s="146"/>
      <c r="O120" s="184">
        <f>L126</f>
        <v>840.15099999999995</v>
      </c>
      <c r="P120" s="184">
        <f>O126</f>
        <v>854.47749999999996</v>
      </c>
      <c r="Q120" s="184">
        <f>P126</f>
        <v>865.85449999999992</v>
      </c>
      <c r="R120" s="184">
        <f>Q126</f>
        <v>884.17949999999996</v>
      </c>
      <c r="S120" s="184">
        <f>O120</f>
        <v>840.15099999999995</v>
      </c>
      <c r="T120" s="146"/>
      <c r="U120" s="184">
        <f>R126</f>
        <v>903.92</v>
      </c>
      <c r="V120" s="184">
        <f>U126</f>
        <v>913.87174999999991</v>
      </c>
      <c r="W120" s="184">
        <f>V126</f>
        <v>924.89424999999983</v>
      </c>
      <c r="X120" s="184">
        <f>W126</f>
        <v>938.98524999999984</v>
      </c>
      <c r="Y120" s="184">
        <f>U120</f>
        <v>903.92</v>
      </c>
      <c r="Z120" s="146"/>
      <c r="AA120" s="184">
        <f>X126</f>
        <v>941.71600000000001</v>
      </c>
      <c r="AB120" s="184">
        <f>AA126</f>
        <v>958.77175</v>
      </c>
      <c r="AC120" s="184">
        <f>AB126</f>
        <v>972.07574999999997</v>
      </c>
      <c r="AD120" s="184">
        <f>AC126</f>
        <v>1436.6537499999999</v>
      </c>
      <c r="AE120" s="184">
        <f>AA120</f>
        <v>941.71600000000001</v>
      </c>
      <c r="AF120" s="146"/>
      <c r="AG120" s="184">
        <f>AD126</f>
        <v>1459.7809999999999</v>
      </c>
      <c r="AH120" s="184">
        <f>AG126</f>
        <v>1478.423</v>
      </c>
      <c r="AI120" s="184">
        <f>AH126</f>
        <v>1502.7670000000001</v>
      </c>
      <c r="AJ120" s="184">
        <f>AI126</f>
        <v>1524.64</v>
      </c>
      <c r="AK120" s="184">
        <f>AG120</f>
        <v>1459.7809999999999</v>
      </c>
      <c r="AL120" s="146"/>
      <c r="AM120" s="184">
        <f>AJ126</f>
        <v>1553.06825</v>
      </c>
      <c r="AN120" s="184">
        <f>AM126</f>
        <v>1578.085</v>
      </c>
      <c r="AO120" s="184">
        <f>AN126</f>
        <v>1600.204</v>
      </c>
      <c r="AP120" s="184">
        <f>AO126</f>
        <v>1627.5529999999999</v>
      </c>
      <c r="AQ120" s="184">
        <f>AM120</f>
        <v>1553.06825</v>
      </c>
      <c r="AR120" s="146"/>
      <c r="AS120" s="184">
        <f>AP126</f>
        <v>1669.9749999999999</v>
      </c>
      <c r="AT120" s="184">
        <f>AS126</f>
        <v>1695.2969999999998</v>
      </c>
      <c r="AU120" s="184">
        <f>AT126</f>
        <v>1719.3082499999998</v>
      </c>
      <c r="AV120" s="184">
        <f>AU126</f>
        <v>1742.8354999999997</v>
      </c>
      <c r="AW120" s="184">
        <f>AS120</f>
        <v>1669.9749999999999</v>
      </c>
      <c r="AX120" s="146"/>
      <c r="AY120" s="184">
        <f>AV126</f>
        <v>1769.9252499999996</v>
      </c>
      <c r="AZ120" s="184">
        <f>AY126</f>
        <v>1786.1682499999995</v>
      </c>
      <c r="BA120" s="184">
        <f>AZ126</f>
        <v>1804.1854999999996</v>
      </c>
      <c r="BB120" s="184">
        <f>BA126</f>
        <v>1822.4532499999996</v>
      </c>
      <c r="BC120" s="184">
        <f>AY120</f>
        <v>1769.9252499999996</v>
      </c>
      <c r="BD120" s="146"/>
      <c r="BE120" s="184">
        <f>BC126</f>
        <v>1855.3282499999996</v>
      </c>
      <c r="BF120" s="184">
        <f>BE126</f>
        <v>2113.3282499999996</v>
      </c>
      <c r="BG120" s="184">
        <f>BF126</f>
        <v>2140.3282499999996</v>
      </c>
      <c r="BH120" s="184">
        <f>BG126</f>
        <v>2256.8782499999993</v>
      </c>
      <c r="BI120" s="184">
        <f>+BE120</f>
        <v>1855.3282499999996</v>
      </c>
      <c r="BJ120" s="146"/>
      <c r="BK120" s="184">
        <f>BI126</f>
        <v>2302.8782499999993</v>
      </c>
      <c r="BL120" s="184">
        <f>BK126</f>
        <v>2334.6532499999994</v>
      </c>
      <c r="BM120" s="184">
        <f>BL126</f>
        <v>2397.3782499999993</v>
      </c>
      <c r="BN120" s="184">
        <f>BM126</f>
        <v>2433.8532499999997</v>
      </c>
      <c r="BO120" s="184">
        <f>+BK120</f>
        <v>2302.8782499999993</v>
      </c>
      <c r="BP120" s="146"/>
      <c r="BQ120" s="184">
        <f>BO126</f>
        <v>2482.0532499999995</v>
      </c>
      <c r="BR120" s="184">
        <f>BQ126</f>
        <v>2514.3726299999994</v>
      </c>
      <c r="BS120" s="184">
        <f>BR126</f>
        <v>2550.4148059999993</v>
      </c>
      <c r="BT120" s="184">
        <f>BS126</f>
        <v>2587.2113739999995</v>
      </c>
      <c r="BU120" s="184">
        <f>+BQ120</f>
        <v>2482.0532499999995</v>
      </c>
      <c r="BV120" s="146"/>
      <c r="BW120" s="184">
        <f>BU126</f>
        <v>2626.7494299999994</v>
      </c>
      <c r="BX120" s="184">
        <f>BW126</f>
        <v>2660.1607356399995</v>
      </c>
      <c r="BY120" s="184">
        <f>BX126</f>
        <v>2697.8645589599996</v>
      </c>
      <c r="BZ120" s="184">
        <f>BY126</f>
        <v>2736.1940727199994</v>
      </c>
      <c r="CA120" s="184">
        <f>+BW120</f>
        <v>2626.7494299999994</v>
      </c>
      <c r="CB120" s="146"/>
      <c r="CC120" s="184">
        <f>CA126</f>
        <v>2777.0747683199993</v>
      </c>
      <c r="CD120" s="184">
        <f>CC126</f>
        <v>2811.6331763401995</v>
      </c>
      <c r="CE120" s="184">
        <f>CD126</f>
        <v>2850.2601822155993</v>
      </c>
      <c r="CF120" s="184">
        <f>CE126</f>
        <v>2889.6382377243995</v>
      </c>
      <c r="CG120" s="184">
        <f>+CC120</f>
        <v>2777.0747683199993</v>
      </c>
      <c r="CH120" s="184"/>
      <c r="CI120" s="184"/>
      <c r="CJ120" s="184"/>
      <c r="CK120"/>
      <c r="CL120"/>
      <c r="CM120"/>
      <c r="CN120"/>
      <c r="CO120"/>
      <c r="CP120"/>
    </row>
    <row r="121" spans="2:94" s="1102" customFormat="1" ht="11.25" customHeight="1" outlineLevel="1" x14ac:dyDescent="0.2">
      <c r="B121" s="59" t="s">
        <v>115</v>
      </c>
      <c r="C121" s="184">
        <f>+-CashFlow!C31</f>
        <v>10.708</v>
      </c>
      <c r="D121" s="184">
        <f>+-CashFlow!D31</f>
        <v>10.450999999999999</v>
      </c>
      <c r="E121" s="184">
        <f>+-CashFlow!E31</f>
        <v>16.681000000000004</v>
      </c>
      <c r="F121" s="184">
        <f>+-CashFlow!F31</f>
        <v>26.322999999999993</v>
      </c>
      <c r="G121" s="184">
        <f>SUM(C121:F121)</f>
        <v>64.162999999999997</v>
      </c>
      <c r="H121" s="146"/>
      <c r="I121" s="184">
        <f>+-CashFlow!I31</f>
        <v>18.681999999999999</v>
      </c>
      <c r="J121" s="184">
        <f>+-CashFlow!J31</f>
        <v>17.891999999999999</v>
      </c>
      <c r="K121" s="184">
        <f>+-CashFlow!K31</f>
        <v>18.712000000000003</v>
      </c>
      <c r="L121" s="184">
        <f>+-CashFlow!L31</f>
        <v>21.153999999999996</v>
      </c>
      <c r="M121" s="184">
        <f>SUM(I121:L121)</f>
        <v>76.44</v>
      </c>
      <c r="N121" s="146"/>
      <c r="O121" s="184">
        <f>+-CashFlow!O31</f>
        <v>14.183</v>
      </c>
      <c r="P121" s="184">
        <f>+-CashFlow!P31</f>
        <v>10.774000000000001</v>
      </c>
      <c r="Q121" s="184">
        <f>+-CashFlow!Q31</f>
        <v>18.324999999999996</v>
      </c>
      <c r="R121" s="184">
        <f>+-CashFlow!R31</f>
        <v>13.199000000000005</v>
      </c>
      <c r="S121" s="184">
        <f>SUM(O121:R121)</f>
        <v>56.481000000000002</v>
      </c>
      <c r="T121" s="146"/>
      <c r="U121" s="184">
        <f>+-CashFlow!U31</f>
        <v>8.0299999999999994</v>
      </c>
      <c r="V121" s="184">
        <f>+-CashFlow!V31</f>
        <v>10.866999999999999</v>
      </c>
      <c r="W121" s="184">
        <f>+-CashFlow!W31</f>
        <v>10.669</v>
      </c>
      <c r="X121" s="184">
        <f>+-CashFlow!X31</f>
        <v>14.669999999999998</v>
      </c>
      <c r="Y121" s="184">
        <f>SUM(U121:X121)</f>
        <v>44.235999999999997</v>
      </c>
      <c r="Z121" s="146"/>
      <c r="AA121" s="184">
        <f>+-CashFlow!AA31</f>
        <v>11.773999999999999</v>
      </c>
      <c r="AB121" s="184">
        <f>+-CashFlow!AB31</f>
        <v>13.564000000000002</v>
      </c>
      <c r="AC121" s="184">
        <f>+-CashFlow!AC31</f>
        <v>20.12</v>
      </c>
      <c r="AD121" s="184">
        <f>+-CashFlow!AD31</f>
        <v>25.728000000000002</v>
      </c>
      <c r="AE121" s="184">
        <f>SUM(AA121:AD121)</f>
        <v>71.186000000000007</v>
      </c>
      <c r="AF121" s="146"/>
      <c r="AG121" s="184">
        <f>+-CashFlow!AG31</f>
        <v>18.641999999999999</v>
      </c>
      <c r="AH121" s="184">
        <f>+-CashFlow!AH31</f>
        <v>24.343999999999998</v>
      </c>
      <c r="AI121" s="184">
        <f>+-CashFlow!AI31</f>
        <v>21.873000000000001</v>
      </c>
      <c r="AJ121" s="184">
        <f>+-CashFlow!AJ31</f>
        <v>27.213000000000005</v>
      </c>
      <c r="AK121" s="184">
        <f>SUM(AG121:AJ121)</f>
        <v>92.072000000000003</v>
      </c>
      <c r="AL121" s="146"/>
      <c r="AM121" s="184">
        <f>+-CashFlow!AM31</f>
        <v>24.032</v>
      </c>
      <c r="AN121" s="184">
        <f>+-CashFlow!AN31</f>
        <v>22.119000000000003</v>
      </c>
      <c r="AO121" s="184">
        <f>+-CashFlow!AO31</f>
        <v>27.349</v>
      </c>
      <c r="AP121" s="184">
        <f>+-CashFlow!AP31</f>
        <v>26.844999999999995</v>
      </c>
      <c r="AQ121" s="184">
        <f>SUM(AM121:AP121)</f>
        <v>100.345</v>
      </c>
      <c r="AR121" s="146"/>
      <c r="AS121" s="184">
        <f>+-CashFlow!AS31</f>
        <v>25.321999999999999</v>
      </c>
      <c r="AT121" s="184">
        <f>+-CashFlow!AT31</f>
        <v>23.509000000000004</v>
      </c>
      <c r="AU121" s="184">
        <f>+-CashFlow!AU31</f>
        <v>24.194000000000006</v>
      </c>
      <c r="AV121" s="184">
        <f>+-CashFlow!AV31</f>
        <v>26.552999999999997</v>
      </c>
      <c r="AW121" s="184">
        <f>SUM(AS121:AV121)</f>
        <v>99.578000000000003</v>
      </c>
      <c r="AX121" s="146"/>
      <c r="AY121" s="184">
        <f>+-CashFlow!AY31</f>
        <v>16.242999999999999</v>
      </c>
      <c r="AZ121" s="184">
        <f>+-CashFlow!AZ31</f>
        <v>17.190999999999999</v>
      </c>
      <c r="BA121" s="184">
        <f>+-CashFlow!BA31</f>
        <v>18.266000000000002</v>
      </c>
      <c r="BB121" s="184">
        <f>+-CashFlow!BB31</f>
        <v>20.299999999999994</v>
      </c>
      <c r="BC121" s="184">
        <f>SUM(AY121:BB121)</f>
        <v>72</v>
      </c>
      <c r="BD121" s="146"/>
      <c r="BE121" s="184">
        <f>+-CashFlow!BE31</f>
        <v>20.8</v>
      </c>
      <c r="BF121" s="184">
        <f>+-CashFlow!BF31</f>
        <v>26.999999999999996</v>
      </c>
      <c r="BG121" s="184">
        <f>+-CashFlow!BG31</f>
        <v>31.200000000000003</v>
      </c>
      <c r="BH121" s="184">
        <f>+-CashFlow!BH31</f>
        <v>46</v>
      </c>
      <c r="BI121" s="184">
        <f>+SUM(BE121:BH121)</f>
        <v>125</v>
      </c>
      <c r="BJ121" s="146"/>
      <c r="BK121" s="184">
        <f>+-CashFlow!BK31</f>
        <v>31.1</v>
      </c>
      <c r="BL121" s="184">
        <f>+-CashFlow!BL31</f>
        <v>33.699999999999996</v>
      </c>
      <c r="BM121" s="184">
        <f>+-CashFlow!BM31</f>
        <v>33.799999999999997</v>
      </c>
      <c r="BN121" s="184">
        <f>+-CashFlow!BN31</f>
        <v>45.700000000000017</v>
      </c>
      <c r="BO121" s="184">
        <f>+SUM(BK121:BN121)</f>
        <v>144.30000000000001</v>
      </c>
      <c r="BP121" s="146"/>
      <c r="BQ121" s="184">
        <f>+BQ122*'P&amp;L'!BQ8</f>
        <v>32.319380000000002</v>
      </c>
      <c r="BR121" s="184">
        <f>+BR122*'P&amp;L'!BR8</f>
        <v>36.042176000000005</v>
      </c>
      <c r="BS121" s="184">
        <f>+BS122*'P&amp;L'!BS8</f>
        <v>36.796568000000008</v>
      </c>
      <c r="BT121" s="184">
        <f>+BT122*'P&amp;L'!BT8</f>
        <v>39.538056000000005</v>
      </c>
      <c r="BU121" s="184">
        <f>+SUM(BQ121:BT121)</f>
        <v>144.69618000000003</v>
      </c>
      <c r="BV121" s="146"/>
      <c r="BW121" s="184">
        <f>+BW122*'P&amp;L'!BW8</f>
        <v>33.411305640000009</v>
      </c>
      <c r="BX121" s="184">
        <f>+BX122*'P&amp;L'!BX8</f>
        <v>37.703823320000012</v>
      </c>
      <c r="BY121" s="184">
        <f>+BY122*'P&amp;L'!BY8</f>
        <v>38.329513760000012</v>
      </c>
      <c r="BZ121" s="184">
        <f>+BZ122*'P&amp;L'!BZ8</f>
        <v>40.88069560000001</v>
      </c>
      <c r="CA121" s="184">
        <f>+SUM(BW121:BZ121)</f>
        <v>150.32533832000004</v>
      </c>
      <c r="CB121" s="146"/>
      <c r="CC121" s="184">
        <f>+CC122*'P&amp;L'!CC8</f>
        <v>34.558408020200005</v>
      </c>
      <c r="CD121" s="184">
        <f>+CD122*'P&amp;L'!CD8</f>
        <v>38.627005875400009</v>
      </c>
      <c r="CE121" s="184">
        <f>+CE122*'P&amp;L'!CE8</f>
        <v>39.37805550880001</v>
      </c>
      <c r="CF121" s="184">
        <f>+CF122*'P&amp;L'!CF8</f>
        <v>42.294031814800007</v>
      </c>
      <c r="CG121" s="184">
        <f>+SUM(CC121:CF121)</f>
        <v>154.85750121920003</v>
      </c>
      <c r="CH121" s="184"/>
      <c r="CI121" s="184"/>
      <c r="CJ121" s="184"/>
      <c r="CK121"/>
      <c r="CL121"/>
      <c r="CM121"/>
      <c r="CN121"/>
      <c r="CO121"/>
      <c r="CP121"/>
    </row>
    <row r="122" spans="2:94" s="1102" customFormat="1" ht="11.25" customHeight="1" outlineLevel="1" x14ac:dyDescent="0.2">
      <c r="B122" s="1134" t="s">
        <v>116</v>
      </c>
      <c r="C122" s="1135">
        <f>+C121/'P&amp;L'!C8</f>
        <v>2.2644988833998785E-2</v>
      </c>
      <c r="D122" s="1135">
        <f>+D121/'P&amp;L'!D8</f>
        <v>2.0598704672403528E-2</v>
      </c>
      <c r="E122" s="1135">
        <f>+E121/'P&amp;L'!E8</f>
        <v>3.4175163848613924E-2</v>
      </c>
      <c r="F122" s="1135">
        <f>+F121/'P&amp;L'!F8</f>
        <v>4.8610905921285877E-2</v>
      </c>
      <c r="G122" s="1135">
        <f>+G121/'P&amp;L'!G8</f>
        <v>3.1924542984417104E-2</v>
      </c>
      <c r="H122" s="1136"/>
      <c r="I122" s="1135">
        <f>+I121/'P&amp;L'!I8</f>
        <v>3.3314193394224492E-2</v>
      </c>
      <c r="J122" s="1135">
        <f>+J121/'P&amp;L'!J8</f>
        <v>3.0078322661121256E-2</v>
      </c>
      <c r="K122" s="1135">
        <f>+K121/'P&amp;L'!K8</f>
        <v>3.530879153434361E-2</v>
      </c>
      <c r="L122" s="1135">
        <f>+L121/'P&amp;L'!L8</f>
        <v>4.1630177450746937E-2</v>
      </c>
      <c r="M122" s="1135">
        <f>+M121/'P&amp;L'!M8</f>
        <v>3.4844873304423575E-2</v>
      </c>
      <c r="N122" s="1136"/>
      <c r="O122" s="1135">
        <f>+O121/'P&amp;L'!O8</f>
        <v>2.797717324622398E-2</v>
      </c>
      <c r="P122" s="1135">
        <f>+P121/'P&amp;L'!P8</f>
        <v>1.9488741606853443E-2</v>
      </c>
      <c r="Q122" s="1135">
        <f>+Q121/'P&amp;L'!Q8</f>
        <v>3.4497169631948606E-2</v>
      </c>
      <c r="R122" s="1135">
        <f>+R121/'P&amp;L'!R8</f>
        <v>2.3221568137594711E-2</v>
      </c>
      <c r="S122" s="1135">
        <f>+S121/'P&amp;L'!S8</f>
        <v>2.6156143111581209E-2</v>
      </c>
      <c r="T122" s="1136"/>
      <c r="U122" s="1135">
        <f>+U121/'P&amp;L'!U8</f>
        <v>1.4708468267807685E-2</v>
      </c>
      <c r="V122" s="1135">
        <f>+V121/'P&amp;L'!V8</f>
        <v>1.9230701167609884E-2</v>
      </c>
      <c r="W122" s="1135">
        <f>+W121/'P&amp;L'!W8</f>
        <v>1.9691223018927125E-2</v>
      </c>
      <c r="X122" s="1135">
        <f>+X121/'P&amp;L'!X8</f>
        <v>2.5819782494293068E-2</v>
      </c>
      <c r="Y122" s="1135">
        <f>+Y121/'P&amp;L'!Y8</f>
        <v>1.9917028888606733E-2</v>
      </c>
      <c r="Z122" s="1136"/>
      <c r="AA122" s="1135">
        <f>+AA121/'P&amp;L'!AA8</f>
        <v>2.0637928284338556E-2</v>
      </c>
      <c r="AB122" s="1135">
        <f>+AB121/'P&amp;L'!AB8</f>
        <v>2.2256388210218185E-2</v>
      </c>
      <c r="AC122" s="1135">
        <f>+AC121/'P&amp;L'!AC8</f>
        <v>3.2464232064399225E-2</v>
      </c>
      <c r="AD122" s="1135">
        <f>+AD121/'P&amp;L'!AD8</f>
        <v>3.4861174532155939E-2</v>
      </c>
      <c r="AE122" s="1135">
        <f>+AE121/'P&amp;L'!AE8</f>
        <v>2.805118614440218E-2</v>
      </c>
      <c r="AF122" s="1136"/>
      <c r="AG122" s="1135">
        <f>+AG121/'P&amp;L'!AG8</f>
        <v>2.6021303354350073E-2</v>
      </c>
      <c r="AH122" s="1135">
        <f>+AH121/'P&amp;L'!AH8</f>
        <v>3.1905886546945317E-2</v>
      </c>
      <c r="AI122" s="1135">
        <f>+AI121/'P&amp;L'!AI8</f>
        <v>3.1438739518264161E-2</v>
      </c>
      <c r="AJ122" s="1135">
        <f>+AJ121/'P&amp;L'!AJ8</f>
        <v>3.6125625258865139E-2</v>
      </c>
      <c r="AK122" s="1135">
        <f>+AK121/'P&amp;L'!AK8</f>
        <v>3.1440748606163922E-2</v>
      </c>
      <c r="AL122" s="1136"/>
      <c r="AM122" s="1135">
        <f>+AM121/'P&amp;L'!AM8</f>
        <v>3.2826834079149388E-2</v>
      </c>
      <c r="AN122" s="1135">
        <f>+AN121/'P&amp;L'!AN8</f>
        <v>2.9065321086450907E-2</v>
      </c>
      <c r="AO122" s="1135">
        <f>+AO121/'P&amp;L'!AO8</f>
        <v>3.8847018116014077E-2</v>
      </c>
      <c r="AP122" s="1135">
        <f>+AP121/'P&amp;L'!AP8</f>
        <v>3.56196046482622E-2</v>
      </c>
      <c r="AQ122" s="1135">
        <f>+AQ121/'P&amp;L'!AQ8</f>
        <v>3.4006377996251828E-2</v>
      </c>
      <c r="AR122" s="1136"/>
      <c r="AS122" s="1135">
        <f>+AS121/'P&amp;L'!AS8</f>
        <v>3.4682255099888509E-2</v>
      </c>
      <c r="AT122" s="1135">
        <f>+AT121/'P&amp;L'!AT8</f>
        <v>3.072168316508217E-2</v>
      </c>
      <c r="AU122" s="1135">
        <f>+AU121/'P&amp;L'!AU8</f>
        <v>3.416073647351181E-2</v>
      </c>
      <c r="AV122" s="1135">
        <f>+AV121/'P&amp;L'!AV8</f>
        <v>3.6928353181529282E-2</v>
      </c>
      <c r="AW122" s="1135">
        <f>+AW121/'P&amp;L'!AW8</f>
        <v>3.4071483805626461E-2</v>
      </c>
      <c r="AX122" s="1136"/>
      <c r="AY122" s="1135">
        <f>+AY121/'P&amp;L'!AY8</f>
        <v>2.4748598244758651E-2</v>
      </c>
      <c r="AZ122" s="1135">
        <f>+AZ121/'P&amp;L'!AZ8</f>
        <v>2.4628728119815587E-2</v>
      </c>
      <c r="BA122" s="1135">
        <f>+BA121/'P&amp;L'!BA8</f>
        <v>2.814917552781631E-2</v>
      </c>
      <c r="BB122" s="1135">
        <f>+BB121/'P&amp;L'!BB8</f>
        <v>3.0248845179555943E-2</v>
      </c>
      <c r="BC122" s="1135">
        <f>+BC121/'P&amp;L'!BC8</f>
        <v>2.6922671357194297E-2</v>
      </c>
      <c r="BD122" s="1136"/>
      <c r="BE122" s="1135">
        <f>+BE121/'P&amp;L'!BE8</f>
        <v>2.6922081283976183E-2</v>
      </c>
      <c r="BF122" s="1135">
        <f>+BF121/'P&amp;L'!BF8</f>
        <v>2.6377491207502927E-2</v>
      </c>
      <c r="BG122" s="1135">
        <f>+BG121/'P&amp;L'!BG8</f>
        <v>3.2642812303829261E-2</v>
      </c>
      <c r="BH122" s="1135">
        <f>+BH121/'P&amp;L'!BH8</f>
        <v>4.6092184368737472E-2</v>
      </c>
      <c r="BI122" s="1135">
        <f>+BI121/'P&amp;L'!BI8</f>
        <v>3.3333333333333333E-2</v>
      </c>
      <c r="BJ122" s="1136"/>
      <c r="BK122" s="1135">
        <f>+BK121/'P&amp;L'!BK8</f>
        <v>3.4478935698447892E-2</v>
      </c>
      <c r="BL122" s="1135">
        <f>+BL121/'P&amp;L'!BL8</f>
        <v>3.3896600281633466E-2</v>
      </c>
      <c r="BM122" s="1135">
        <f>+BM121/'P&amp;L'!BM8</f>
        <v>3.345872104533755E-2</v>
      </c>
      <c r="BN122" s="1135">
        <f>+BN121/'P&amp;L'!BN8</f>
        <v>4.1888175985334571E-2</v>
      </c>
      <c r="BO122" s="1135">
        <f>+BO121/'P&amp;L'!BO8</f>
        <v>3.6098464001601042E-2</v>
      </c>
      <c r="BP122" s="1136"/>
      <c r="BQ122" s="1203">
        <v>3.4000000000000002E-2</v>
      </c>
      <c r="BR122" s="1203">
        <f t="shared" ref="BR122:BT122" si="53">+BQ122</f>
        <v>3.4000000000000002E-2</v>
      </c>
      <c r="BS122" s="1203">
        <f t="shared" si="53"/>
        <v>3.4000000000000002E-2</v>
      </c>
      <c r="BT122" s="1203">
        <f t="shared" si="53"/>
        <v>3.4000000000000002E-2</v>
      </c>
      <c r="BU122" s="1135">
        <f>+BU121/'P&amp;L'!BU8</f>
        <v>3.4000000000000002E-2</v>
      </c>
      <c r="BV122" s="1136"/>
      <c r="BW122" s="1203">
        <f>+BT122</f>
        <v>3.4000000000000002E-2</v>
      </c>
      <c r="BX122" s="1203">
        <f t="shared" ref="BX122:BZ122" si="54">+BW122</f>
        <v>3.4000000000000002E-2</v>
      </c>
      <c r="BY122" s="1203">
        <f t="shared" si="54"/>
        <v>3.4000000000000002E-2</v>
      </c>
      <c r="BZ122" s="1203">
        <f t="shared" si="54"/>
        <v>3.4000000000000002E-2</v>
      </c>
      <c r="CA122" s="1135">
        <f>+CA121/'P&amp;L'!CA8</f>
        <v>3.4000000000000002E-2</v>
      </c>
      <c r="CB122" s="1136"/>
      <c r="CC122" s="1203">
        <f t="shared" ref="CC122" si="55">+BZ122</f>
        <v>3.4000000000000002E-2</v>
      </c>
      <c r="CD122" s="1203">
        <f t="shared" ref="CD122" si="56">+CC122</f>
        <v>3.4000000000000002E-2</v>
      </c>
      <c r="CE122" s="1203">
        <f t="shared" ref="CE122" si="57">+CD122</f>
        <v>3.4000000000000002E-2</v>
      </c>
      <c r="CF122" s="1203">
        <f t="shared" ref="CF122" si="58">+CE122</f>
        <v>3.4000000000000002E-2</v>
      </c>
      <c r="CG122" s="1135">
        <f>+CG121/'P&amp;L'!CG8</f>
        <v>3.4000000000000002E-2</v>
      </c>
      <c r="CH122" s="1135"/>
      <c r="CI122" s="1135"/>
      <c r="CJ122" s="1135"/>
      <c r="CK122"/>
      <c r="CL122"/>
      <c r="CM122"/>
      <c r="CN122"/>
      <c r="CO122"/>
      <c r="CP122"/>
    </row>
    <row r="123" spans="2:94" s="1102" customFormat="1" ht="11.25" customHeight="1" outlineLevel="1" x14ac:dyDescent="0.2">
      <c r="B123" s="104" t="s">
        <v>254</v>
      </c>
      <c r="C123" s="1137">
        <v>0</v>
      </c>
      <c r="D123" s="1137">
        <v>0</v>
      </c>
      <c r="E123" s="1137">
        <v>0</v>
      </c>
      <c r="F123" s="1137">
        <v>0</v>
      </c>
      <c r="G123" s="260">
        <f>SUM(C123:F123)</f>
        <v>0</v>
      </c>
      <c r="H123" s="261"/>
      <c r="I123" s="1137">
        <v>0</v>
      </c>
      <c r="J123" s="1137">
        <v>0</v>
      </c>
      <c r="K123" s="1137">
        <v>0</v>
      </c>
      <c r="L123" s="1137">
        <v>0</v>
      </c>
      <c r="M123" s="260">
        <f>SUM(I123:L123)</f>
        <v>0</v>
      </c>
      <c r="N123" s="1137"/>
      <c r="O123" s="1137">
        <v>0</v>
      </c>
      <c r="P123" s="1137">
        <v>0</v>
      </c>
      <c r="Q123" s="1137">
        <v>0</v>
      </c>
      <c r="R123" s="1137">
        <v>0</v>
      </c>
      <c r="S123" s="260">
        <f>SUM(O123:R123)</f>
        <v>0</v>
      </c>
      <c r="T123" s="1137"/>
      <c r="U123" s="1137">
        <v>0</v>
      </c>
      <c r="V123" s="1137">
        <v>0</v>
      </c>
      <c r="W123" s="1137">
        <v>0</v>
      </c>
      <c r="X123" s="1137">
        <v>0</v>
      </c>
      <c r="Y123" s="262">
        <f>SUM(U123:X123)</f>
        <v>0</v>
      </c>
      <c r="Z123" s="1137"/>
      <c r="AA123" s="1137">
        <v>0</v>
      </c>
      <c r="AB123" s="1137">
        <v>0</v>
      </c>
      <c r="AC123" s="1137">
        <v>0</v>
      </c>
      <c r="AD123" s="1137">
        <v>0</v>
      </c>
      <c r="AE123" s="262">
        <f>+SUM(AA123:AD123)</f>
        <v>0</v>
      </c>
      <c r="AF123" s="1137"/>
      <c r="AG123" s="1137">
        <v>0</v>
      </c>
      <c r="AH123" s="1137">
        <v>0</v>
      </c>
      <c r="AI123" s="1137">
        <v>0</v>
      </c>
      <c r="AJ123" s="1137">
        <v>0</v>
      </c>
      <c r="AK123" s="262">
        <f>+SUM(AG123:AJ123)</f>
        <v>0</v>
      </c>
      <c r="AL123" s="261"/>
      <c r="AM123" s="1137">
        <v>0</v>
      </c>
      <c r="AN123" s="1137">
        <v>0</v>
      </c>
      <c r="AO123" s="1137">
        <v>0</v>
      </c>
      <c r="AP123" s="1137">
        <v>0</v>
      </c>
      <c r="AQ123" s="262">
        <f>+SUM(AM123:AP123)</f>
        <v>0</v>
      </c>
      <c r="AR123" s="261"/>
      <c r="AS123" s="1137">
        <v>0</v>
      </c>
      <c r="AT123" s="1137">
        <v>0</v>
      </c>
      <c r="AU123" s="1137">
        <v>0</v>
      </c>
      <c r="AV123" s="1137">
        <v>0</v>
      </c>
      <c r="AW123" s="262">
        <f>+SUM(AS123:AV123)</f>
        <v>0</v>
      </c>
      <c r="AX123" s="261"/>
      <c r="AY123" s="1137">
        <v>0</v>
      </c>
      <c r="AZ123" s="1137">
        <v>0</v>
      </c>
      <c r="BA123" s="1137">
        <v>0</v>
      </c>
      <c r="BB123" s="1137">
        <v>0</v>
      </c>
      <c r="BC123" s="262">
        <f>+SUM(AY123:BB123)</f>
        <v>0</v>
      </c>
      <c r="BD123" s="261"/>
      <c r="BE123" s="1137">
        <v>0</v>
      </c>
      <c r="BF123" s="1137">
        <v>0</v>
      </c>
      <c r="BG123" s="1137">
        <v>0</v>
      </c>
      <c r="BH123" s="1137">
        <v>0</v>
      </c>
      <c r="BI123" s="262">
        <f>+SUM(BE123:BH123)</f>
        <v>0</v>
      </c>
      <c r="BJ123" s="261"/>
      <c r="BK123" s="1137">
        <v>0</v>
      </c>
      <c r="BL123" s="1137">
        <v>0</v>
      </c>
      <c r="BM123" s="1137">
        <v>0</v>
      </c>
      <c r="BN123" s="1137">
        <v>0</v>
      </c>
      <c r="BO123" s="262">
        <f>+SUM(BK123:BN123)</f>
        <v>0</v>
      </c>
      <c r="BP123" s="261"/>
      <c r="BQ123" s="1137">
        <f>+BK123</f>
        <v>0</v>
      </c>
      <c r="BR123" s="1137">
        <f>+BL123</f>
        <v>0</v>
      </c>
      <c r="BS123" s="1137">
        <f>+BM123</f>
        <v>0</v>
      </c>
      <c r="BT123" s="1137">
        <f>+BN123</f>
        <v>0</v>
      </c>
      <c r="BU123" s="262">
        <f>+SUM(BQ123:BT123)</f>
        <v>0</v>
      </c>
      <c r="BV123" s="261"/>
      <c r="BW123" s="1137">
        <f>+BQ123</f>
        <v>0</v>
      </c>
      <c r="BX123" s="1137">
        <f>+BR123</f>
        <v>0</v>
      </c>
      <c r="BY123" s="1137">
        <f>+BS123</f>
        <v>0</v>
      </c>
      <c r="BZ123" s="1137">
        <f>+BT123</f>
        <v>0</v>
      </c>
      <c r="CA123" s="262">
        <f>+SUM(BW123:BZ123)</f>
        <v>0</v>
      </c>
      <c r="CB123" s="261"/>
      <c r="CC123" s="1137">
        <f>+BW123</f>
        <v>0</v>
      </c>
      <c r="CD123" s="1137">
        <f>+BX123</f>
        <v>0</v>
      </c>
      <c r="CE123" s="1137">
        <f>+BY123</f>
        <v>0</v>
      </c>
      <c r="CF123" s="1137">
        <f>+BZ123</f>
        <v>0</v>
      </c>
      <c r="CG123" s="262">
        <f>+SUM(CC123:CF123)</f>
        <v>0</v>
      </c>
      <c r="CH123" s="262"/>
      <c r="CI123" s="262"/>
      <c r="CJ123" s="262"/>
      <c r="CK123"/>
      <c r="CL123"/>
      <c r="CM123"/>
      <c r="CN123"/>
      <c r="CO123"/>
      <c r="CP123"/>
    </row>
    <row r="124" spans="2:94" s="1102" customFormat="1" ht="11.25" customHeight="1" outlineLevel="1" x14ac:dyDescent="0.2">
      <c r="B124" s="59" t="s">
        <v>620</v>
      </c>
      <c r="C124" s="184">
        <f>-C154*C157</f>
        <v>1.7875000000000001</v>
      </c>
      <c r="D124" s="184">
        <f>-D154*D157</f>
        <v>4.7682500000000001</v>
      </c>
      <c r="E124" s="184">
        <f>-E154*E157</f>
        <v>18.603000000000002</v>
      </c>
      <c r="F124" s="184">
        <f>-F154*F157</f>
        <v>0.21424999999999983</v>
      </c>
      <c r="G124" s="184">
        <f>SUM(C124:F124)</f>
        <v>25.373000000000001</v>
      </c>
      <c r="H124" s="146"/>
      <c r="I124" s="184">
        <f>-I154*I157</f>
        <v>0.60375000000000001</v>
      </c>
      <c r="J124" s="184">
        <f>-J154*J157</f>
        <v>0</v>
      </c>
      <c r="K124" s="184">
        <f>-K154*K157</f>
        <v>10.3805</v>
      </c>
      <c r="L124" s="184">
        <f>-L154*L157</f>
        <v>18.34075</v>
      </c>
      <c r="M124" s="184">
        <f>SUM(I124:L124)</f>
        <v>29.324999999999999</v>
      </c>
      <c r="N124" s="146"/>
      <c r="O124" s="184">
        <f>-O154*O157</f>
        <v>0.14349999999999999</v>
      </c>
      <c r="P124" s="184">
        <f>-P154*P157</f>
        <v>0.60300000000000009</v>
      </c>
      <c r="Q124" s="184">
        <f>-Q154*Q157</f>
        <v>0</v>
      </c>
      <c r="R124" s="184">
        <f>-R154*R157</f>
        <v>0</v>
      </c>
      <c r="S124" s="184">
        <f>+SUM(O124:R124)</f>
        <v>0.74650000000000005</v>
      </c>
      <c r="T124" s="146"/>
      <c r="U124" s="184">
        <f>-U154*U157</f>
        <v>1.9217500000000001</v>
      </c>
      <c r="V124" s="184">
        <f>-V154*V157</f>
        <v>0.15549999999999975</v>
      </c>
      <c r="W124" s="184">
        <f>-W154*W157</f>
        <v>3.4220000000000002</v>
      </c>
      <c r="X124" s="184">
        <f>-X154*X157</f>
        <v>3.3897499999999994</v>
      </c>
      <c r="Y124" s="184">
        <f>+SUM(U124:X124)</f>
        <v>8.8889999999999993</v>
      </c>
      <c r="Z124" s="146"/>
      <c r="AA124" s="184">
        <f>-AA154*AA157</f>
        <v>5.2817499999999997</v>
      </c>
      <c r="AB124" s="184">
        <f>-AB154*AB157</f>
        <v>-0.25999999999999979</v>
      </c>
      <c r="AC124" s="184">
        <f>-AC154*AC157</f>
        <v>444.45800000000003</v>
      </c>
      <c r="AD124" s="184">
        <f>-AD154*AD157</f>
        <v>-2.6007500000000077</v>
      </c>
      <c r="AE124" s="184">
        <f>+SUM(AA124:AD124)</f>
        <v>446.87900000000002</v>
      </c>
      <c r="AF124" s="146"/>
      <c r="AG124" s="184">
        <f>-AG154*AG157</f>
        <v>0</v>
      </c>
      <c r="AH124" s="184">
        <f>-AH154*AH157</f>
        <v>0</v>
      </c>
      <c r="AI124" s="184">
        <f>-AI154*AI157</f>
        <v>0</v>
      </c>
      <c r="AJ124" s="184">
        <f>-AJ154*AJ157</f>
        <v>1.2152499999999999</v>
      </c>
      <c r="AK124" s="184">
        <f>+SUM(AG124:AJ124)</f>
        <v>1.2152499999999999</v>
      </c>
      <c r="AL124" s="146"/>
      <c r="AM124" s="184">
        <f>-AM154*AM157</f>
        <v>0.98475000000000001</v>
      </c>
      <c r="AN124" s="184">
        <f>-AN154*AN157</f>
        <v>0</v>
      </c>
      <c r="AO124" s="184">
        <f>-AO154*AO157</f>
        <v>0</v>
      </c>
      <c r="AP124" s="184">
        <f>-AP154*AP157</f>
        <v>15.577</v>
      </c>
      <c r="AQ124" s="184">
        <f>+SUM(AM124:AP124)</f>
        <v>16.56175</v>
      </c>
      <c r="AR124" s="146"/>
      <c r="AS124" s="184">
        <f>-AS154*AS157</f>
        <v>0</v>
      </c>
      <c r="AT124" s="184">
        <f>-AT154*AT157</f>
        <v>0.50224999999999997</v>
      </c>
      <c r="AU124" s="1137">
        <v>-0.66674999999999995</v>
      </c>
      <c r="AV124" s="1137">
        <v>0.53675000000000006</v>
      </c>
      <c r="AW124" s="184">
        <f>+SUM(AS124:AV124)</f>
        <v>0.37225000000000008</v>
      </c>
      <c r="AX124" s="146"/>
      <c r="AY124" s="184">
        <f>-AY154*AY157</f>
        <v>0</v>
      </c>
      <c r="AZ124" s="184">
        <f>-AZ154*AZ157</f>
        <v>0.82625000000000004</v>
      </c>
      <c r="BA124" s="1141">
        <v>1.7499999999999183E-3</v>
      </c>
      <c r="BB124" s="1141">
        <v>12.575000000000001</v>
      </c>
      <c r="BC124" s="184">
        <f>+SUM(AY124:BB124)</f>
        <v>13.403</v>
      </c>
      <c r="BD124" s="146"/>
      <c r="BE124" s="184">
        <f>-CashFlow!BE36+(-BE154*BE157)</f>
        <v>0.1</v>
      </c>
      <c r="BF124" s="184">
        <f>-BF154*BF157</f>
        <v>0</v>
      </c>
      <c r="BG124" s="184">
        <f>-BG154*BG157</f>
        <v>85.350000000000009</v>
      </c>
      <c r="BH124" s="184">
        <f>-BH154*BH157</f>
        <v>0</v>
      </c>
      <c r="BI124" s="184">
        <f>+SUM(BE124:BH124)</f>
        <v>85.45</v>
      </c>
      <c r="BJ124" s="146"/>
      <c r="BK124" s="184">
        <f>-CashFlow!BK36+(-BK154*BK157)</f>
        <v>0.67499999999999982</v>
      </c>
      <c r="BL124" s="184">
        <f>-BL154*BL157</f>
        <v>29.025000000000002</v>
      </c>
      <c r="BM124" s="184">
        <f>-BM154*BM157</f>
        <v>2.6750000000000007</v>
      </c>
      <c r="BN124" s="184">
        <f>-BN154*BN157</f>
        <v>2.5</v>
      </c>
      <c r="BO124" s="184">
        <f>+SUM(BK124:BN124)</f>
        <v>34.875</v>
      </c>
      <c r="BP124" s="146"/>
      <c r="BQ124" s="184">
        <f>-CashFlow!BQ36+(-BQ154*BQ157)</f>
        <v>0</v>
      </c>
      <c r="BR124" s="184">
        <f>-CashFlow!BR36+(-BR154*BR157)</f>
        <v>0</v>
      </c>
      <c r="BS124" s="184">
        <f>-CashFlow!BS36+(-BS154*BS157)</f>
        <v>0</v>
      </c>
      <c r="BT124" s="184">
        <f>-CashFlow!BT36+(-BT154*BT157)</f>
        <v>0</v>
      </c>
      <c r="BU124" s="184">
        <f>+SUM(BQ124:BT124)</f>
        <v>0</v>
      </c>
      <c r="BV124" s="146"/>
      <c r="BW124" s="184">
        <f>-CashFlow!BW36+(-BW154*BW157)</f>
        <v>0</v>
      </c>
      <c r="BX124" s="184">
        <f>-CashFlow!BX36+(-BX154*BX157)</f>
        <v>0</v>
      </c>
      <c r="BY124" s="184">
        <f>-CashFlow!BY36+(-BY154*BY157)</f>
        <v>0</v>
      </c>
      <c r="BZ124" s="184">
        <f>-CashFlow!BZ36+(-BZ154*BZ157)</f>
        <v>0</v>
      </c>
      <c r="CA124" s="184">
        <f>+SUM(BW124:BZ124)</f>
        <v>0</v>
      </c>
      <c r="CB124" s="146"/>
      <c r="CC124" s="184">
        <f>-CashFlow!CC36+(-CC154*CC157)</f>
        <v>0</v>
      </c>
      <c r="CD124" s="184">
        <f>-CashFlow!CD36+(-CD154*CD157)</f>
        <v>0</v>
      </c>
      <c r="CE124" s="184">
        <f>-CashFlow!CE36+(-CE154*CE157)</f>
        <v>0</v>
      </c>
      <c r="CF124" s="184">
        <f>-CashFlow!CF36+(-CF154*CF157)</f>
        <v>0</v>
      </c>
      <c r="CG124" s="184">
        <f>+SUM(CC124:CF124)</f>
        <v>0</v>
      </c>
      <c r="CH124" s="184"/>
      <c r="CI124" s="184"/>
      <c r="CJ124" s="184"/>
      <c r="CK124"/>
      <c r="CL124"/>
      <c r="CM124"/>
      <c r="CN124"/>
      <c r="CO124"/>
      <c r="CP124"/>
    </row>
    <row r="125" spans="2:94" s="1102" customFormat="1" ht="11.25" customHeight="1" outlineLevel="1" x14ac:dyDescent="0.2">
      <c r="B125" s="59" t="s">
        <v>74</v>
      </c>
      <c r="C125" s="1138">
        <v>0</v>
      </c>
      <c r="D125" s="1138">
        <v>0</v>
      </c>
      <c r="E125" s="1138">
        <v>0</v>
      </c>
      <c r="F125" s="263">
        <f>F126-F120-F121-F123-F124</f>
        <v>-6.846000000000025</v>
      </c>
      <c r="G125" s="263">
        <f>SUM(C125:F125)</f>
        <v>-6.846000000000025</v>
      </c>
      <c r="H125" s="146"/>
      <c r="I125" s="263">
        <v>0</v>
      </c>
      <c r="J125" s="263">
        <v>0</v>
      </c>
      <c r="K125" s="263">
        <v>0</v>
      </c>
      <c r="L125" s="263">
        <f>L126-L120-L121-L123-L124</f>
        <v>12.975999999999956</v>
      </c>
      <c r="M125" s="263">
        <f>SUM(I125:L125)</f>
        <v>12.975999999999956</v>
      </c>
      <c r="N125" s="146"/>
      <c r="O125" s="263">
        <v>0</v>
      </c>
      <c r="P125" s="263">
        <v>0</v>
      </c>
      <c r="Q125" s="263">
        <v>0</v>
      </c>
      <c r="R125" s="263">
        <f>R126-R120-R121-R123-R124</f>
        <v>6.5414999999999921</v>
      </c>
      <c r="S125" s="263">
        <f>+SUM(O125:R125)</f>
        <v>6.5414999999999921</v>
      </c>
      <c r="T125" s="146"/>
      <c r="U125" s="263">
        <v>0</v>
      </c>
      <c r="V125" s="263">
        <v>0</v>
      </c>
      <c r="W125" s="263">
        <v>0</v>
      </c>
      <c r="X125" s="263">
        <f>+X126-X120-X121-X124-X123</f>
        <v>-15.328999999999827</v>
      </c>
      <c r="Y125" s="263">
        <f>+SUM(U125:X125)</f>
        <v>-15.328999999999827</v>
      </c>
      <c r="Z125" s="146"/>
      <c r="AA125" s="263">
        <v>0</v>
      </c>
      <c r="AB125" s="263">
        <v>0</v>
      </c>
      <c r="AC125" s="263">
        <v>0</v>
      </c>
      <c r="AD125" s="263">
        <v>0</v>
      </c>
      <c r="AE125" s="263">
        <f>+SUM(AA125:AD125)</f>
        <v>0</v>
      </c>
      <c r="AF125" s="146"/>
      <c r="AG125" s="263">
        <v>0</v>
      </c>
      <c r="AH125" s="263">
        <v>0</v>
      </c>
      <c r="AI125" s="263">
        <v>0</v>
      </c>
      <c r="AJ125" s="263">
        <v>0</v>
      </c>
      <c r="AK125" s="263">
        <f>+SUM(AG125:AJ125)</f>
        <v>0</v>
      </c>
      <c r="AL125" s="146"/>
      <c r="AM125" s="263">
        <v>0</v>
      </c>
      <c r="AN125" s="263">
        <v>0</v>
      </c>
      <c r="AO125" s="263">
        <v>0</v>
      </c>
      <c r="AP125" s="263">
        <v>0</v>
      </c>
      <c r="AQ125" s="263">
        <f>+SUM(AM125:AP125)</f>
        <v>0</v>
      </c>
      <c r="AR125" s="146"/>
      <c r="AS125" s="1138">
        <v>0</v>
      </c>
      <c r="AT125" s="1138">
        <v>0</v>
      </c>
      <c r="AU125" s="1138">
        <v>0</v>
      </c>
      <c r="AV125" s="1138">
        <v>0</v>
      </c>
      <c r="AW125" s="263">
        <f>+SUM(AS125:AV125)</f>
        <v>0</v>
      </c>
      <c r="AX125" s="146"/>
      <c r="AY125" s="1138">
        <v>0</v>
      </c>
      <c r="AZ125" s="1138">
        <v>0</v>
      </c>
      <c r="BA125" s="1138">
        <v>0</v>
      </c>
      <c r="BB125" s="1138">
        <v>0</v>
      </c>
      <c r="BC125" s="263">
        <f>+SUM(AY125:BB125)</f>
        <v>0</v>
      </c>
      <c r="BD125" s="146"/>
      <c r="BE125" s="1138">
        <v>237.1</v>
      </c>
      <c r="BF125" s="1138">
        <v>0</v>
      </c>
      <c r="BG125" s="1138">
        <v>0</v>
      </c>
      <c r="BH125" s="1138">
        <v>0</v>
      </c>
      <c r="BI125" s="263">
        <f>+SUM(BE125:BH125)</f>
        <v>237.1</v>
      </c>
      <c r="BJ125" s="146"/>
      <c r="BK125" s="1450">
        <v>0</v>
      </c>
      <c r="BL125" s="1138">
        <v>0</v>
      </c>
      <c r="BM125" s="1138">
        <v>0</v>
      </c>
      <c r="BN125" s="1138">
        <v>0</v>
      </c>
      <c r="BO125" s="263">
        <f>+SUM(BK125:BN125)</f>
        <v>0</v>
      </c>
      <c r="BP125" s="146"/>
      <c r="BQ125" s="1138">
        <v>0</v>
      </c>
      <c r="BR125" s="1138">
        <v>0</v>
      </c>
      <c r="BS125" s="1138">
        <v>0</v>
      </c>
      <c r="BT125" s="1138">
        <v>0</v>
      </c>
      <c r="BU125" s="263">
        <f>+SUM(BQ125:BT125)</f>
        <v>0</v>
      </c>
      <c r="BV125" s="146"/>
      <c r="BW125" s="1138">
        <v>0</v>
      </c>
      <c r="BX125" s="1138">
        <v>0</v>
      </c>
      <c r="BY125" s="1138">
        <v>0</v>
      </c>
      <c r="BZ125" s="1138">
        <v>0</v>
      </c>
      <c r="CA125" s="263">
        <f>+SUM(BW125:BZ125)</f>
        <v>0</v>
      </c>
      <c r="CB125" s="146"/>
      <c r="CC125" s="1138">
        <v>0</v>
      </c>
      <c r="CD125" s="1138">
        <v>0</v>
      </c>
      <c r="CE125" s="1138">
        <v>0</v>
      </c>
      <c r="CF125" s="1138">
        <v>0</v>
      </c>
      <c r="CG125" s="263">
        <f>+SUM(CC125:CF125)</f>
        <v>0</v>
      </c>
      <c r="CH125" s="146"/>
      <c r="CI125" s="146"/>
      <c r="CJ125" s="146"/>
      <c r="CK125"/>
      <c r="CL125"/>
      <c r="CM125"/>
      <c r="CN125"/>
      <c r="CO125"/>
      <c r="CP125"/>
    </row>
    <row r="126" spans="2:94" s="1102" customFormat="1" ht="11.25" customHeight="1" outlineLevel="1" x14ac:dyDescent="0.2">
      <c r="B126" s="37" t="s">
        <v>117</v>
      </c>
      <c r="C126" s="184">
        <f>C120+C121+C123+C124+C125</f>
        <v>651.21550000000002</v>
      </c>
      <c r="D126" s="184">
        <f>D120+D121+D123+D124+D125</f>
        <v>666.43475000000001</v>
      </c>
      <c r="E126" s="184">
        <f>E120+E121+E123+E124+E125</f>
        <v>701.71875</v>
      </c>
      <c r="F126" s="1133">
        <v>721.41</v>
      </c>
      <c r="G126" s="184">
        <f>G120+G121+G123+G124+G125</f>
        <v>721.41000000000008</v>
      </c>
      <c r="H126" s="146"/>
      <c r="I126" s="184">
        <f>I120+I121+I123+I124+I125</f>
        <v>740.69574999999998</v>
      </c>
      <c r="J126" s="184">
        <f>J120+J121+J123+J124+J125</f>
        <v>758.58775000000003</v>
      </c>
      <c r="K126" s="184">
        <f>K120+K121+K123+K124+K125</f>
        <v>787.68025</v>
      </c>
      <c r="L126" s="1133">
        <v>840.15099999999995</v>
      </c>
      <c r="M126" s="184">
        <f>M120+M121+M123+M124+M125</f>
        <v>840.15099999999995</v>
      </c>
      <c r="N126" s="146"/>
      <c r="O126" s="184">
        <f>O120+O121+O123+O124+O125</f>
        <v>854.47749999999996</v>
      </c>
      <c r="P126" s="184">
        <f>P120+P121+P123+P124+P125</f>
        <v>865.85449999999992</v>
      </c>
      <c r="Q126" s="184">
        <f>Q120+Q121+Q123+Q124+Q125</f>
        <v>884.17949999999996</v>
      </c>
      <c r="R126" s="1133">
        <v>903.92</v>
      </c>
      <c r="S126" s="184">
        <f>+S120+S121+S124+S125+S123</f>
        <v>903.92</v>
      </c>
      <c r="T126" s="146"/>
      <c r="U126" s="184">
        <f>+U120+U121+U124+U125+U123</f>
        <v>913.87174999999991</v>
      </c>
      <c r="V126" s="184">
        <f>+V120+V121+V124+V125+V123</f>
        <v>924.89424999999983</v>
      </c>
      <c r="W126" s="184">
        <f>+W120+W121+W124+W125+W123</f>
        <v>938.98524999999984</v>
      </c>
      <c r="X126" s="1133">
        <v>941.71600000000001</v>
      </c>
      <c r="Y126" s="184">
        <f>+Y120+Y121+Y124+Y125+Y123</f>
        <v>941.71600000000012</v>
      </c>
      <c r="Z126" s="146"/>
      <c r="AA126" s="184">
        <f>+AA120+AA121+AA124+AA125+AA123</f>
        <v>958.77175</v>
      </c>
      <c r="AB126" s="184">
        <f>+AB120+AB121+AB124+AB125+AB123</f>
        <v>972.07574999999997</v>
      </c>
      <c r="AC126" s="184">
        <f>+AC120+AC121+AC124+AC125+AC123</f>
        <v>1436.6537499999999</v>
      </c>
      <c r="AD126" s="184">
        <f>+AD120+AD121+AD124+AD125+AD123</f>
        <v>1459.7809999999999</v>
      </c>
      <c r="AE126" s="184">
        <f>+AE120+AE121+AE124+AE125+AE123</f>
        <v>1459.7809999999999</v>
      </c>
      <c r="AF126" s="146"/>
      <c r="AG126" s="184">
        <f>+AG120+AG121+AG124+AG125+AG123</f>
        <v>1478.423</v>
      </c>
      <c r="AH126" s="184">
        <f>+AH120+AH121+AH124+AH125+AH123</f>
        <v>1502.7670000000001</v>
      </c>
      <c r="AI126" s="184">
        <f>+AI120+AI121+AI124+AI125+AI123</f>
        <v>1524.64</v>
      </c>
      <c r="AJ126" s="184">
        <f>+AJ120+AJ121+AJ124+AJ125+AJ123</f>
        <v>1553.06825</v>
      </c>
      <c r="AK126" s="184">
        <f>+AK120+AK121+AK124+AK125+AK123</f>
        <v>1553.06825</v>
      </c>
      <c r="AL126" s="146"/>
      <c r="AM126" s="184">
        <f>+AM120+AM121+AM124+AM125+AM123</f>
        <v>1578.085</v>
      </c>
      <c r="AN126" s="184">
        <f>+AN120+AN121+AN124+AN125+AN123</f>
        <v>1600.204</v>
      </c>
      <c r="AO126" s="184">
        <f>+AO120+AO121+AO124+AO125+AO123</f>
        <v>1627.5529999999999</v>
      </c>
      <c r="AP126" s="184">
        <f>+AP120+AP121+AP124+AP125+AP123</f>
        <v>1669.9749999999999</v>
      </c>
      <c r="AQ126" s="184">
        <f>+AQ120+AQ121+AQ124+AQ125+AQ123</f>
        <v>1669.9750000000001</v>
      </c>
      <c r="AR126" s="146"/>
      <c r="AS126" s="184">
        <f>+AS120+AS121+AS124+AS125+AS123</f>
        <v>1695.2969999999998</v>
      </c>
      <c r="AT126" s="184">
        <f>+AT120+AT121+AT124+AT125+AT123</f>
        <v>1719.3082499999998</v>
      </c>
      <c r="AU126" s="184">
        <f>+AU120+AU121+AU124+AU125+AU123</f>
        <v>1742.8354999999997</v>
      </c>
      <c r="AV126" s="184">
        <f>+AV120+AV121+AV124+AV125+AV123</f>
        <v>1769.9252499999996</v>
      </c>
      <c r="AW126" s="184">
        <f>+AW120+AW121+AW124+AW125+AW123</f>
        <v>1769.9252499999998</v>
      </c>
      <c r="AX126" s="146"/>
      <c r="AY126" s="184">
        <f>+AY120+AY121+AY124+AY125+AY123</f>
        <v>1786.1682499999995</v>
      </c>
      <c r="AZ126" s="184">
        <f>+AZ120+AZ121+AZ124+AZ125+AZ123</f>
        <v>1804.1854999999996</v>
      </c>
      <c r="BA126" s="184">
        <f>+BA120+BA121+BA124+BA125+BA123</f>
        <v>1822.4532499999996</v>
      </c>
      <c r="BB126" s="184">
        <f>+BB120+BB121+BB124+BB125+BB123</f>
        <v>1855.3282499999996</v>
      </c>
      <c r="BC126" s="184">
        <f>+BC120+BC121+BC124+BC125+BC123</f>
        <v>1855.3282499999996</v>
      </c>
      <c r="BD126" s="146"/>
      <c r="BE126" s="184">
        <f>+BE120+BE121+BE124+BE125+BE123</f>
        <v>2113.3282499999996</v>
      </c>
      <c r="BF126" s="184">
        <f>+BF120+BF121+BF124+BF125+BF123</f>
        <v>2140.3282499999996</v>
      </c>
      <c r="BG126" s="184">
        <f>+BG120+BG121+BG124+BG125+BG123</f>
        <v>2256.8782499999993</v>
      </c>
      <c r="BH126" s="184">
        <f>+BH120+BH121+BH124+BH125+BH123</f>
        <v>2302.8782499999993</v>
      </c>
      <c r="BI126" s="184">
        <f>+BI120+BI121+BI124+BI125+BI123</f>
        <v>2302.8782499999993</v>
      </c>
      <c r="BJ126" s="146"/>
      <c r="BK126" s="184">
        <f>+BK120+BK121+BK124+BK125+BK123</f>
        <v>2334.6532499999994</v>
      </c>
      <c r="BL126" s="184">
        <f>+BL120+BL121+BL124+BL125+BL123</f>
        <v>2397.3782499999993</v>
      </c>
      <c r="BM126" s="184">
        <f>+BM120+BM121+BM124+BM125+BM123</f>
        <v>2433.8532499999997</v>
      </c>
      <c r="BN126" s="184">
        <f>+BN120+BN121+BN124+BN125+BN123</f>
        <v>2482.0532499999995</v>
      </c>
      <c r="BO126" s="184">
        <f>+BO120+BO121+BO124+BO125+BO123</f>
        <v>2482.0532499999995</v>
      </c>
      <c r="BP126" s="146"/>
      <c r="BQ126" s="184">
        <f>+BQ120+BQ121+BQ124+BQ125+BQ123</f>
        <v>2514.3726299999994</v>
      </c>
      <c r="BR126" s="184">
        <f>+BR120+BR121+BR124+BR125+BR123</f>
        <v>2550.4148059999993</v>
      </c>
      <c r="BS126" s="184">
        <f>+BS120+BS121+BS124+BS125+BS123</f>
        <v>2587.2113739999995</v>
      </c>
      <c r="BT126" s="184">
        <f>+BT120+BT121+BT124+BT125+BT123</f>
        <v>2626.7494299999994</v>
      </c>
      <c r="BU126" s="184">
        <f>+BU120+BU121+BU124+BU125+BU123</f>
        <v>2626.7494299999994</v>
      </c>
      <c r="BV126" s="146"/>
      <c r="BW126" s="184">
        <f>+BW120+BW121+BW124+BW125+BW123</f>
        <v>2660.1607356399995</v>
      </c>
      <c r="BX126" s="184">
        <f>+BX120+BX121+BX124+BX125+BX123</f>
        <v>2697.8645589599996</v>
      </c>
      <c r="BY126" s="184">
        <f>+BY120+BY121+BY124+BY125+BY123</f>
        <v>2736.1940727199994</v>
      </c>
      <c r="BZ126" s="184">
        <f>+BZ120+BZ121+BZ124+BZ125+BZ123</f>
        <v>2777.0747683199993</v>
      </c>
      <c r="CA126" s="184">
        <f>+CA120+CA121+CA124+CA125+CA123</f>
        <v>2777.0747683199993</v>
      </c>
      <c r="CB126" s="146"/>
      <c r="CC126" s="184">
        <f>+CC120+CC121+CC124+CC125+CC123</f>
        <v>2811.6331763401995</v>
      </c>
      <c r="CD126" s="184">
        <f>+CD120+CD121+CD124+CD125+CD123</f>
        <v>2850.2601822155993</v>
      </c>
      <c r="CE126" s="184">
        <f>+CE120+CE121+CE124+CE125+CE123</f>
        <v>2889.6382377243995</v>
      </c>
      <c r="CF126" s="184">
        <f>+CF120+CF121+CF124+CF125+CF123</f>
        <v>2931.9322695391993</v>
      </c>
      <c r="CG126" s="184">
        <f>+CG120+CG121+CG124+CG125+CG123</f>
        <v>2931.9322695391993</v>
      </c>
      <c r="CH126" s="184"/>
      <c r="CI126" s="184"/>
      <c r="CJ126" s="184"/>
      <c r="CK126"/>
      <c r="CL126"/>
      <c r="CM126"/>
      <c r="CN126"/>
      <c r="CO126"/>
      <c r="CP126"/>
    </row>
    <row r="127" spans="2:94" s="1102" customFormat="1" ht="11.25" customHeight="1" outlineLevel="1" x14ac:dyDescent="0.2">
      <c r="B127" s="37"/>
      <c r="C127" s="193"/>
      <c r="D127" s="193"/>
      <c r="E127" s="193"/>
      <c r="F127" s="193"/>
      <c r="G127" s="193"/>
      <c r="H127" s="146"/>
      <c r="I127" s="193"/>
      <c r="J127" s="193"/>
      <c r="K127" s="193"/>
      <c r="L127" s="193"/>
      <c r="M127" s="200"/>
      <c r="N127" s="146"/>
      <c r="O127" s="193"/>
      <c r="P127" s="193"/>
      <c r="Q127" s="193"/>
      <c r="R127" s="193"/>
      <c r="S127" s="193"/>
      <c r="T127" s="146"/>
      <c r="U127" s="193"/>
      <c r="V127" s="193"/>
      <c r="W127" s="193"/>
      <c r="X127" s="193"/>
      <c r="Y127" s="193"/>
      <c r="Z127" s="146"/>
      <c r="AA127" s="193"/>
      <c r="AB127" s="193"/>
      <c r="AC127" s="193"/>
      <c r="AD127" s="193"/>
      <c r="AE127" s="166"/>
      <c r="AF127" s="146"/>
      <c r="AG127" s="193"/>
      <c r="AH127" s="193"/>
      <c r="AI127" s="193"/>
      <c r="AJ127" s="193"/>
      <c r="AK127" s="166"/>
      <c r="AL127" s="249"/>
      <c r="AM127" s="193"/>
      <c r="AN127" s="193"/>
      <c r="AO127" s="193"/>
      <c r="AP127" s="193"/>
      <c r="AQ127" s="166"/>
      <c r="AR127" s="249"/>
      <c r="AS127" s="193"/>
      <c r="AT127" s="193"/>
      <c r="AU127" s="193"/>
      <c r="AV127" s="193"/>
      <c r="AW127" s="166"/>
      <c r="AX127" s="249"/>
      <c r="AY127" s="193"/>
      <c r="AZ127" s="193"/>
      <c r="BA127" s="193"/>
      <c r="BB127" s="193"/>
      <c r="BC127" s="1139"/>
      <c r="BD127" s="249"/>
      <c r="BE127" s="193"/>
      <c r="BF127" s="193"/>
      <c r="BG127" s="193"/>
      <c r="BH127" s="193"/>
      <c r="BI127" s="166"/>
      <c r="BJ127" s="249"/>
      <c r="BK127" s="193"/>
      <c r="BL127" s="193"/>
      <c r="BM127" s="193"/>
      <c r="BN127" s="193"/>
      <c r="BO127" s="166"/>
      <c r="BP127" s="249"/>
      <c r="BQ127" s="193"/>
      <c r="BR127" s="193"/>
      <c r="BS127" s="193"/>
      <c r="BT127" s="193"/>
      <c r="BU127" s="166"/>
      <c r="BV127" s="249"/>
      <c r="BW127" s="193"/>
      <c r="BX127" s="193"/>
      <c r="BY127" s="193"/>
      <c r="BZ127" s="193"/>
      <c r="CA127" s="166"/>
      <c r="CB127" s="249"/>
      <c r="CC127" s="193"/>
      <c r="CD127" s="193"/>
      <c r="CE127" s="193"/>
      <c r="CF127" s="193"/>
      <c r="CG127" s="166"/>
      <c r="CH127" s="166"/>
      <c r="CI127" s="166"/>
      <c r="CJ127" s="166"/>
      <c r="CK127"/>
      <c r="CL127"/>
      <c r="CM127"/>
      <c r="CN127"/>
      <c r="CO127"/>
      <c r="CP127"/>
    </row>
    <row r="128" spans="2:94" s="1102" customFormat="1" ht="11.25" customHeight="1" outlineLevel="1" x14ac:dyDescent="0.2">
      <c r="B128" s="37" t="s">
        <v>118</v>
      </c>
      <c r="C128" s="1133">
        <v>-309.10399999999998</v>
      </c>
      <c r="D128" s="184">
        <f>C132</f>
        <v>-319.52950000000004</v>
      </c>
      <c r="E128" s="184">
        <f>D132</f>
        <v>-332.48575</v>
      </c>
      <c r="F128" s="184">
        <f>E132</f>
        <v>-350.15275000000003</v>
      </c>
      <c r="G128" s="184">
        <f>C128</f>
        <v>-309.10399999999998</v>
      </c>
      <c r="H128" s="146"/>
      <c r="I128" s="184">
        <f>F132</f>
        <v>-350.00099999999998</v>
      </c>
      <c r="J128" s="184">
        <f>I132</f>
        <v>-338.68674999999996</v>
      </c>
      <c r="K128" s="184">
        <f>J132</f>
        <v>-352.98475000000002</v>
      </c>
      <c r="L128" s="184">
        <f>K132</f>
        <v>-400.79525000000001</v>
      </c>
      <c r="M128" s="184">
        <f>I128</f>
        <v>-350.00099999999998</v>
      </c>
      <c r="N128" s="146"/>
      <c r="O128" s="184">
        <f>L132</f>
        <v>-407.875</v>
      </c>
      <c r="P128" s="184">
        <f>O132</f>
        <v>-438.08449999999999</v>
      </c>
      <c r="Q128" s="184">
        <f>P132</f>
        <v>-435.91949999999991</v>
      </c>
      <c r="R128" s="184">
        <f>Q132</f>
        <v>-438.81449999999995</v>
      </c>
      <c r="S128" s="184">
        <f>O128</f>
        <v>-407.875</v>
      </c>
      <c r="T128" s="146"/>
      <c r="U128" s="184">
        <f>R132</f>
        <v>-464.30099999999999</v>
      </c>
      <c r="V128" s="184">
        <f>U132</f>
        <v>-493.09274999999991</v>
      </c>
      <c r="W128" s="184">
        <f>V132</f>
        <v>-525.81724999999983</v>
      </c>
      <c r="X128" s="184">
        <f>W132</f>
        <v>-515.18324999999982</v>
      </c>
      <c r="Y128" s="184">
        <f>U128</f>
        <v>-464.30099999999999</v>
      </c>
      <c r="Z128" s="146"/>
      <c r="AA128" s="184">
        <f>X132</f>
        <v>-518.61099999999999</v>
      </c>
      <c r="AB128" s="184">
        <f>AA132</f>
        <v>-526.05574999999999</v>
      </c>
      <c r="AC128" s="184">
        <f>AB132</f>
        <v>-529.11874999999998</v>
      </c>
      <c r="AD128" s="184">
        <f>AC132</f>
        <v>-866.80074999999999</v>
      </c>
      <c r="AE128" s="184">
        <f>AA128</f>
        <v>-518.61099999999999</v>
      </c>
      <c r="AF128" s="146"/>
      <c r="AG128" s="184">
        <f>AD132</f>
        <v>-868.3359999999999</v>
      </c>
      <c r="AH128" s="184">
        <f>AG132</f>
        <v>-874.26300000000003</v>
      </c>
      <c r="AI128" s="184">
        <f>AH132</f>
        <v>-915.48200000000008</v>
      </c>
      <c r="AJ128" s="184">
        <f>AI132</f>
        <v>-921.97000000000014</v>
      </c>
      <c r="AK128" s="184">
        <f>AG128</f>
        <v>-868.3359999999999</v>
      </c>
      <c r="AL128" s="146"/>
      <c r="AM128" s="184">
        <f>AJ132</f>
        <v>-938.36324999999999</v>
      </c>
      <c r="AN128" s="184">
        <f>AM132</f>
        <v>-969.23500000000001</v>
      </c>
      <c r="AO128" s="184">
        <f>AN132</f>
        <v>-995.17599999999993</v>
      </c>
      <c r="AP128" s="184">
        <f>AO132</f>
        <v>-999.04399999999987</v>
      </c>
      <c r="AQ128" s="184">
        <f>AM128</f>
        <v>-938.36324999999999</v>
      </c>
      <c r="AR128" s="146"/>
      <c r="AS128" s="184">
        <f>AP132</f>
        <v>-1032.8029999999999</v>
      </c>
      <c r="AT128" s="184">
        <f>AS132</f>
        <v>-1052.9789999999998</v>
      </c>
      <c r="AU128" s="184">
        <f>AT132</f>
        <v>-1080.0962499999998</v>
      </c>
      <c r="AV128" s="184">
        <f>AU132</f>
        <v>-1135.9114999999997</v>
      </c>
      <c r="AW128" s="184">
        <f>AS128</f>
        <v>-1032.8029999999999</v>
      </c>
      <c r="AX128" s="146"/>
      <c r="AY128" s="184">
        <f>AV132</f>
        <v>-1181.0802499999995</v>
      </c>
      <c r="AZ128" s="184">
        <f>AY132</f>
        <v>-1229.4022499999996</v>
      </c>
      <c r="BA128" s="184">
        <f>AZ132</f>
        <v>-1236.1494999999995</v>
      </c>
      <c r="BB128" s="184">
        <f>BA132</f>
        <v>-1267.2532499999995</v>
      </c>
      <c r="BC128" s="184">
        <f>AY128</f>
        <v>-1181.0802499999995</v>
      </c>
      <c r="BD128" s="146"/>
      <c r="BE128" s="184">
        <f>BC132</f>
        <v>-1296.5282499999996</v>
      </c>
      <c r="BF128" s="184">
        <f>BE132</f>
        <v>-1296.8282499999996</v>
      </c>
      <c r="BG128" s="184">
        <f>BF132</f>
        <v>-1346.2282499999997</v>
      </c>
      <c r="BH128" s="184">
        <f>BG132</f>
        <v>-1433.9782499999992</v>
      </c>
      <c r="BI128" s="184">
        <f>BE128</f>
        <v>-1296.5282499999996</v>
      </c>
      <c r="BJ128" s="146"/>
      <c r="BK128" s="184">
        <f>BI132</f>
        <v>-1503.0782499999993</v>
      </c>
      <c r="BL128" s="184">
        <f>BK132</f>
        <v>-1527.5532499999995</v>
      </c>
      <c r="BM128" s="184">
        <f>BL132</f>
        <v>-1556.3782499999993</v>
      </c>
      <c r="BN128" s="184">
        <f>BM132</f>
        <v>-1573.9532499999996</v>
      </c>
      <c r="BO128" s="184">
        <f>BK128</f>
        <v>-1503.0782499999993</v>
      </c>
      <c r="BP128" s="146"/>
      <c r="BQ128" s="184">
        <f>BO132</f>
        <v>-1606.0532499999993</v>
      </c>
      <c r="BR128" s="184">
        <f>BQ132</f>
        <v>-1637.0789156249994</v>
      </c>
      <c r="BS128" s="184">
        <f>BR132</f>
        <v>-1668.5085734999993</v>
      </c>
      <c r="BT128" s="184">
        <f>BS132</f>
        <v>-1700.3887585749994</v>
      </c>
      <c r="BU128" s="184">
        <f>BQ128</f>
        <v>-1606.0532499999993</v>
      </c>
      <c r="BV128" s="146"/>
      <c r="BW128" s="184">
        <f>BU132</f>
        <v>-1732.7289007499992</v>
      </c>
      <c r="BX128" s="184">
        <f>BW132</f>
        <v>-1765.5632686249992</v>
      </c>
      <c r="BY128" s="184">
        <f>BX132</f>
        <v>-1798.8152778204992</v>
      </c>
      <c r="BZ128" s="184">
        <f>BY132</f>
        <v>-1832.5385848074991</v>
      </c>
      <c r="CA128" s="184">
        <f>BW128</f>
        <v>-1732.7289007499992</v>
      </c>
      <c r="CB128" s="146"/>
      <c r="CC128" s="184">
        <f>CA132</f>
        <v>-1866.7410107164992</v>
      </c>
      <c r="CD128" s="184">
        <f>CC132</f>
        <v>-1901.4544453204992</v>
      </c>
      <c r="CE128" s="184">
        <f>CD132</f>
        <v>-1936.5998600247517</v>
      </c>
      <c r="CF128" s="184">
        <f>CE132</f>
        <v>-1972.2281123024468</v>
      </c>
      <c r="CG128" s="184">
        <f>CC128</f>
        <v>-1866.7410107164992</v>
      </c>
      <c r="CH128" s="184"/>
      <c r="CI128" s="184"/>
      <c r="CJ128" s="184"/>
      <c r="CK128"/>
      <c r="CL128"/>
      <c r="CM128"/>
      <c r="CN128"/>
      <c r="CO128"/>
      <c r="CP128"/>
    </row>
    <row r="129" spans="2:94" s="1102" customFormat="1" ht="11.25" customHeight="1" outlineLevel="1" x14ac:dyDescent="0.2">
      <c r="B129" s="59" t="s">
        <v>119</v>
      </c>
      <c r="C129" s="184">
        <f>-CashFlow!C11</f>
        <v>-11.11</v>
      </c>
      <c r="D129" s="184">
        <f>-CashFlow!D11</f>
        <v>-10.395</v>
      </c>
      <c r="E129" s="184">
        <f>-CashFlow!E11</f>
        <v>-10.707000000000004</v>
      </c>
      <c r="F129" s="184">
        <f>-CashFlow!F11</f>
        <v>-10.415999999999997</v>
      </c>
      <c r="G129" s="184">
        <f>+SUM(C129:F129)</f>
        <v>-42.628</v>
      </c>
      <c r="H129" s="146"/>
      <c r="I129" s="184">
        <f>-CashFlow!I11</f>
        <v>-12.021000000000001</v>
      </c>
      <c r="J129" s="184">
        <f>-CashFlow!J11</f>
        <v>-11.922000000000001</v>
      </c>
      <c r="K129" s="184">
        <f>-CashFlow!K11</f>
        <v>-12.754000000000001</v>
      </c>
      <c r="L129" s="184">
        <f>-CashFlow!L11</f>
        <v>-11.189999999999998</v>
      </c>
      <c r="M129" s="184">
        <f>+SUM(I129:L129)</f>
        <v>-47.887</v>
      </c>
      <c r="N129" s="146"/>
      <c r="O129" s="184">
        <f>-CashFlow!O11</f>
        <v>-12.93</v>
      </c>
      <c r="P129" s="184">
        <f>-CashFlow!P11</f>
        <v>-13.443000000000001</v>
      </c>
      <c r="Q129" s="184">
        <f>-CashFlow!Q11</f>
        <v>-13.745000000000001</v>
      </c>
      <c r="R129" s="184">
        <f>-CashFlow!R11</f>
        <v>-13.969000000000001</v>
      </c>
      <c r="S129" s="184">
        <f>+SUM(O129:R129)</f>
        <v>-54.087000000000003</v>
      </c>
      <c r="T129" s="146"/>
      <c r="U129" s="184">
        <f>-CashFlow!U11</f>
        <v>-15.265000000000001</v>
      </c>
      <c r="V129" s="184">
        <f>-CashFlow!V11</f>
        <v>-14.172999999999998</v>
      </c>
      <c r="W129" s="184">
        <f>-CashFlow!W11</f>
        <v>-13.584</v>
      </c>
      <c r="X129" s="184">
        <f>-CashFlow!X11</f>
        <v>-13.846000000000004</v>
      </c>
      <c r="Y129" s="184">
        <f>+SUM(U129:X129)</f>
        <v>-56.868000000000002</v>
      </c>
      <c r="Z129" s="146"/>
      <c r="AA129" s="184">
        <f>-CashFlow!AA11</f>
        <v>-15.2</v>
      </c>
      <c r="AB129" s="184">
        <f>-CashFlow!AB11</f>
        <v>-17.159000000000002</v>
      </c>
      <c r="AC129" s="184">
        <f>-CashFlow!AC11</f>
        <v>-14.698999999999998</v>
      </c>
      <c r="AD129" s="184">
        <f>-CashFlow!AD11</f>
        <v>-16.980999999999998</v>
      </c>
      <c r="AE129" s="184">
        <f>+SUM(AA129:AD129)</f>
        <v>-64.039000000000001</v>
      </c>
      <c r="AF129" s="146"/>
      <c r="AG129" s="184">
        <f>-CashFlow!AG11</f>
        <v>-20.209</v>
      </c>
      <c r="AH129" s="184">
        <f>-CashFlow!AH11</f>
        <v>-20.148</v>
      </c>
      <c r="AI129" s="184">
        <f>-CashFlow!AI11</f>
        <v>-19.152000000000005</v>
      </c>
      <c r="AJ129" s="184">
        <f>-CashFlow!AJ11</f>
        <v>-19.947000000000006</v>
      </c>
      <c r="AK129" s="184">
        <f>+SUM(AG129:AJ129)</f>
        <v>-79.456000000000003</v>
      </c>
      <c r="AL129" s="146"/>
      <c r="AM129" s="184">
        <f>-CashFlow!AM11</f>
        <v>-20.416</v>
      </c>
      <c r="AN129" s="184">
        <f>-CashFlow!AN11</f>
        <v>-21.327000000000002</v>
      </c>
      <c r="AO129" s="184">
        <f>-CashFlow!AO11</f>
        <v>-19.802000000000003</v>
      </c>
      <c r="AP129" s="184">
        <f>-CashFlow!AP11</f>
        <v>-20.093999999999991</v>
      </c>
      <c r="AQ129" s="184">
        <f>+SUM(AM129:AP129)</f>
        <v>-81.638999999999996</v>
      </c>
      <c r="AR129" s="146"/>
      <c r="AS129" s="184">
        <f>-CashFlow!AS11</f>
        <v>-21.37</v>
      </c>
      <c r="AT129" s="184">
        <f>-CashFlow!AT11</f>
        <v>-20.955000000000002</v>
      </c>
      <c r="AU129" s="184">
        <f>-CashFlow!AU11</f>
        <v>-20.723000000000003</v>
      </c>
      <c r="AV129" s="184">
        <f>-CashFlow!AV11</f>
        <v>-18.114999999999995</v>
      </c>
      <c r="AW129" s="184">
        <f>+SUM(AS129:AV129)</f>
        <v>-81.162999999999997</v>
      </c>
      <c r="AX129" s="146"/>
      <c r="AY129" s="184">
        <f>-CashFlow!AY11</f>
        <v>-19.311</v>
      </c>
      <c r="AZ129" s="184">
        <f>-CashFlow!AZ11</f>
        <v>-19.470999999999997</v>
      </c>
      <c r="BA129" s="184">
        <f>-CashFlow!BA11</f>
        <v>-22.818000000000005</v>
      </c>
      <c r="BB129" s="184">
        <f>-CashFlow!BB11</f>
        <v>-17.499999999999993</v>
      </c>
      <c r="BC129" s="184">
        <f>+SUM(AY129:BB129)</f>
        <v>-79.099999999999994</v>
      </c>
      <c r="BD129" s="146"/>
      <c r="BE129" s="184">
        <f>-CashFlow!BE11</f>
        <v>-23.5</v>
      </c>
      <c r="BF129" s="184">
        <f>-CashFlow!BF11</f>
        <v>-31.6</v>
      </c>
      <c r="BG129" s="184">
        <f>-CashFlow!BG11</f>
        <v>-31.9</v>
      </c>
      <c r="BH129" s="184">
        <f>-CashFlow!BH11</f>
        <v>-29.599999999999994</v>
      </c>
      <c r="BI129" s="184">
        <f>+SUM(BE129:BH129)</f>
        <v>-116.6</v>
      </c>
      <c r="BJ129" s="146"/>
      <c r="BK129" s="184">
        <f>-CashFlow!BK11</f>
        <v>-30.9</v>
      </c>
      <c r="BL129" s="184">
        <f>-CashFlow!BL11</f>
        <v>-31.200000000000003</v>
      </c>
      <c r="BM129" s="184">
        <f>-CashFlow!BM11</f>
        <v>-31.800000000000004</v>
      </c>
      <c r="BN129" s="184">
        <f>-CashFlow!BN11</f>
        <v>-33.399999999999991</v>
      </c>
      <c r="BO129" s="184">
        <f>+SUM(BK129:BN129)</f>
        <v>-127.3</v>
      </c>
      <c r="BP129" s="146"/>
      <c r="BQ129" s="184">
        <f>-(BQ120*BQ130)/4</f>
        <v>-31.025665624999995</v>
      </c>
      <c r="BR129" s="184">
        <f>-(BR120*BR130)/4</f>
        <v>-31.429657874999993</v>
      </c>
      <c r="BS129" s="184">
        <f>-(BS120*BS130)/4</f>
        <v>-31.880185074999993</v>
      </c>
      <c r="BT129" s="184">
        <f>-(BT120*BT130)/4</f>
        <v>-32.340142174999997</v>
      </c>
      <c r="BU129" s="184">
        <f>+SUM(BQ129:BT129)</f>
        <v>-126.67565074999997</v>
      </c>
      <c r="BV129" s="146"/>
      <c r="BW129" s="184">
        <f>-(BW120*BW130)/4</f>
        <v>-32.834367874999991</v>
      </c>
      <c r="BX129" s="184">
        <f>-(BX120*BX130)/4</f>
        <v>-33.252009195499994</v>
      </c>
      <c r="BY129" s="184">
        <f>-(BY120*BY130)/4</f>
        <v>-33.723306986999994</v>
      </c>
      <c r="BZ129" s="184">
        <f>-(BZ120*BZ130)/4</f>
        <v>-34.202425908999992</v>
      </c>
      <c r="CA129" s="184">
        <f>+SUM(BW129:BZ129)</f>
        <v>-134.01210996649999</v>
      </c>
      <c r="CB129" s="146"/>
      <c r="CC129" s="184">
        <f>-(CC120*CC130)/4</f>
        <v>-34.713434603999993</v>
      </c>
      <c r="CD129" s="184">
        <f>-(CD120*CD130)/4</f>
        <v>-35.145414704252495</v>
      </c>
      <c r="CE129" s="184">
        <f>-(CE120*CE130)/4</f>
        <v>-35.62825227769499</v>
      </c>
      <c r="CF129" s="184">
        <f>-(CF120*CF130)/4</f>
        <v>-36.120477971554998</v>
      </c>
      <c r="CG129" s="184">
        <f>+SUM(CC129:CF129)</f>
        <v>-141.60757955750248</v>
      </c>
      <c r="CH129" s="184"/>
      <c r="CI129" s="184"/>
      <c r="CJ129" s="184"/>
      <c r="CK129"/>
      <c r="CL129"/>
      <c r="CM129"/>
      <c r="CN129"/>
      <c r="CO129"/>
      <c r="CP129"/>
    </row>
    <row r="130" spans="2:94" s="1102" customFormat="1" ht="11.25" customHeight="1" outlineLevel="1" x14ac:dyDescent="0.2">
      <c r="B130" s="1134" t="s">
        <v>120</v>
      </c>
      <c r="C130" s="1135">
        <f>-(C129*4)/C120</f>
        <v>6.9576653306613223E-2</v>
      </c>
      <c r="D130" s="1135">
        <f>-(D129*4)/D120</f>
        <v>6.3849831584168376E-2</v>
      </c>
      <c r="E130" s="1135">
        <f>-(E129*4)/E120</f>
        <v>6.4264355962830588E-2</v>
      </c>
      <c r="F130" s="1135">
        <f>-(F129*4)/F120</f>
        <v>5.9374215096860368E-2</v>
      </c>
      <c r="G130" s="1135">
        <f>-(G129)/G120</f>
        <v>6.6739729458917832E-2</v>
      </c>
      <c r="H130" s="1136"/>
      <c r="I130" s="1135">
        <f>-(I129*4)/I120</f>
        <v>6.6652804923691106E-2</v>
      </c>
      <c r="J130" s="1135">
        <f>-(J129*4)/J120</f>
        <v>6.4382710444875646E-2</v>
      </c>
      <c r="K130" s="1135">
        <f>-(K129*4)/K120</f>
        <v>6.7251283717671431E-2</v>
      </c>
      <c r="L130" s="1135">
        <f>-(L129*4)/L120</f>
        <v>5.6825088606703024E-2</v>
      </c>
      <c r="M130" s="1135">
        <f>-(M129)/M120</f>
        <v>6.6379728587072542E-2</v>
      </c>
      <c r="N130" s="1136"/>
      <c r="O130" s="1135">
        <f>-(O129*4)/O120</f>
        <v>6.1560362363432292E-2</v>
      </c>
      <c r="P130" s="1135">
        <f>-(P129*4)/P120</f>
        <v>6.2929685099958763E-2</v>
      </c>
      <c r="Q130" s="1135">
        <f>-(Q129*4)/Q120</f>
        <v>6.3497966459722749E-2</v>
      </c>
      <c r="R130" s="1135">
        <f>-(R129*4)/R120</f>
        <v>6.3195312716478963E-2</v>
      </c>
      <c r="S130" s="1135">
        <f>-(S129)/S120</f>
        <v>6.4377713053962921E-2</v>
      </c>
      <c r="T130" s="1136"/>
      <c r="U130" s="1135">
        <f>-(U129*4)/U120</f>
        <v>6.7550225683688833E-2</v>
      </c>
      <c r="V130" s="1135">
        <f>-(V129*4)/V120</f>
        <v>6.2034962783344597E-2</v>
      </c>
      <c r="W130" s="1135">
        <f>-(W129*4)/W120</f>
        <v>5.8748337985667018E-2</v>
      </c>
      <c r="X130" s="1135">
        <f>-(X129*4)/X120</f>
        <v>5.8982822147632272E-2</v>
      </c>
      <c r="Y130" s="1135">
        <f>-(Y129)/Y120</f>
        <v>6.2912647136914773E-2</v>
      </c>
      <c r="Z130" s="1136"/>
      <c r="AA130" s="1135">
        <f>-(AA129*4)/AA120</f>
        <v>6.4562989266403026E-2</v>
      </c>
      <c r="AB130" s="1135">
        <f>-(AB129*4)/AB120</f>
        <v>7.1587424222709958E-2</v>
      </c>
      <c r="AC130" s="1135">
        <f>-(AC129*4)/AC120</f>
        <v>6.0484998211301939E-2</v>
      </c>
      <c r="AD130" s="1135">
        <f>-(AD129*4)/AD120</f>
        <v>4.7279311385920231E-2</v>
      </c>
      <c r="AE130" s="1135">
        <f>-(AE129)/AE120</f>
        <v>6.8002455092618153E-2</v>
      </c>
      <c r="AF130" s="1136"/>
      <c r="AG130" s="1135">
        <f>-(AG129*4)/AG120</f>
        <v>5.5375429602111552E-2</v>
      </c>
      <c r="AH130" s="1135">
        <f>-(AH129*4)/AH120</f>
        <v>5.4512138948054782E-2</v>
      </c>
      <c r="AI130" s="1135">
        <f>-(AI129*4)/AI120</f>
        <v>5.0977962651562098E-2</v>
      </c>
      <c r="AJ130" s="1135">
        <f>-(AJ129*4)/AJ120</f>
        <v>5.2332353867142418E-2</v>
      </c>
      <c r="AK130" s="1135">
        <f>-(AK129)/AK120</f>
        <v>5.4430082320567265E-2</v>
      </c>
      <c r="AL130" s="1136"/>
      <c r="AM130" s="1135">
        <f>-(AM129*4)/AM120</f>
        <v>5.258236397531145E-2</v>
      </c>
      <c r="AN130" s="1135">
        <f>-(AN129*4)/AN120</f>
        <v>5.405792463650564E-2</v>
      </c>
      <c r="AO130" s="1135">
        <f>-(AO129*4)/AO120</f>
        <v>4.9498688917163074E-2</v>
      </c>
      <c r="AP130" s="1135">
        <f>-(AP129*4)/AP120</f>
        <v>4.9384566892752474E-2</v>
      </c>
      <c r="AQ130" s="1135">
        <f>-(AQ129)/AQ120</f>
        <v>5.2566266807656387E-2</v>
      </c>
      <c r="AR130" s="1136"/>
      <c r="AS130" s="1135">
        <f>-(AS129*4)/AS120</f>
        <v>5.1186395005913266E-2</v>
      </c>
      <c r="AT130" s="1135">
        <f>-(AT129*4)/AT120</f>
        <v>4.9442664028780808E-2</v>
      </c>
      <c r="AU130" s="1135">
        <f>-(AU129*4)/AU120</f>
        <v>4.8212413335421395E-2</v>
      </c>
      <c r="AV130" s="1135">
        <f>-(AV129*4)/AV120</f>
        <v>4.157592612727936E-2</v>
      </c>
      <c r="AW130" s="1135">
        <f>-(AW129)/AW120</f>
        <v>4.8601326367161184E-2</v>
      </c>
      <c r="AX130" s="1136"/>
      <c r="AY130" s="1135">
        <f>-(AY129*4)/AY120</f>
        <v>4.3642521061270818E-2</v>
      </c>
      <c r="AZ130" s="1135">
        <f>-(AZ129*4)/AZ120</f>
        <v>4.3603955002559251E-2</v>
      </c>
      <c r="BA130" s="1135">
        <f>-(BA129*4)/BA120</f>
        <v>5.0589033112171694E-2</v>
      </c>
      <c r="BB130" s="1135">
        <f>-(BB129*4)/BB120</f>
        <v>3.8409764420568808E-2</v>
      </c>
      <c r="BC130" s="1135">
        <f>-(BC129)/BC120</f>
        <v>4.4691152917333665E-2</v>
      </c>
      <c r="BD130" s="1136"/>
      <c r="BE130" s="1135">
        <f>-(BE129*4)/BE120</f>
        <v>5.0664889083643298E-2</v>
      </c>
      <c r="BF130" s="1135">
        <f>-(BF129*4)/BF120</f>
        <v>5.9810869418889391E-2</v>
      </c>
      <c r="BG130" s="1135">
        <f>-(BG129*4)/BG120</f>
        <v>5.9617023697182907E-2</v>
      </c>
      <c r="BH130" s="1135">
        <f>-(BH129*4)/BH120</f>
        <v>5.2461846357906107E-2</v>
      </c>
      <c r="BI130" s="1135">
        <f>-(BI129)/BI120</f>
        <v>6.2846021990987322E-2</v>
      </c>
      <c r="BJ130" s="1136"/>
      <c r="BK130" s="1135">
        <f>-(BK129*4)/BK120</f>
        <v>5.3671964638165322E-2</v>
      </c>
      <c r="BL130" s="1135">
        <f>-(BL129*4)/BL120</f>
        <v>5.3455475668603057E-2</v>
      </c>
      <c r="BM130" s="1135">
        <f>-(BM129*4)/BM120</f>
        <v>5.3057960294751176E-2</v>
      </c>
      <c r="BN130" s="1135">
        <f>-(BN129*4)/BN120</f>
        <v>5.4892381042283458E-2</v>
      </c>
      <c r="BO130" s="1135">
        <f>-(BO129)/BO120</f>
        <v>5.5278649663741464E-2</v>
      </c>
      <c r="BP130" s="1136"/>
      <c r="BQ130" s="1203">
        <v>0.05</v>
      </c>
      <c r="BR130" s="1203">
        <f>+BQ130</f>
        <v>0.05</v>
      </c>
      <c r="BS130" s="1203">
        <f>+BR130</f>
        <v>0.05</v>
      </c>
      <c r="BT130" s="1203">
        <f>+BS130</f>
        <v>0.05</v>
      </c>
      <c r="BU130" s="1135">
        <f>-(BU129)/BU120</f>
        <v>5.1036637006075518E-2</v>
      </c>
      <c r="BV130" s="1136"/>
      <c r="BW130" s="1203">
        <f>+BQ130</f>
        <v>0.05</v>
      </c>
      <c r="BX130" s="1203">
        <f>+BR130</f>
        <v>0.05</v>
      </c>
      <c r="BY130" s="1203">
        <f>+BS130</f>
        <v>0.05</v>
      </c>
      <c r="BZ130" s="1203">
        <f>+BT130</f>
        <v>0.05</v>
      </c>
      <c r="CA130" s="1135">
        <f>-(CA129)/CA120</f>
        <v>5.1018231292240167E-2</v>
      </c>
      <c r="CB130" s="1136"/>
      <c r="CC130" s="1203">
        <f>+BW130</f>
        <v>0.05</v>
      </c>
      <c r="CD130" s="1203">
        <f>+BX130</f>
        <v>0.05</v>
      </c>
      <c r="CE130" s="1203">
        <f>+BY130</f>
        <v>0.05</v>
      </c>
      <c r="CF130" s="1203">
        <f>+BZ130</f>
        <v>0.05</v>
      </c>
      <c r="CG130" s="1135">
        <f>-(CG129)/CG120</f>
        <v>5.0991633776993499E-2</v>
      </c>
      <c r="CH130" s="1135"/>
      <c r="CI130" s="1135"/>
      <c r="CJ130" s="1135"/>
      <c r="CK130"/>
      <c r="CL130"/>
      <c r="CM130"/>
      <c r="CN130"/>
      <c r="CO130"/>
      <c r="CP130"/>
    </row>
    <row r="131" spans="2:94" s="1102" customFormat="1" ht="11.25" customHeight="1" outlineLevel="1" x14ac:dyDescent="0.2">
      <c r="B131" s="59" t="s">
        <v>74</v>
      </c>
      <c r="C131" s="263">
        <f>C132-C129-C128</f>
        <v>0.68449999999995725</v>
      </c>
      <c r="D131" s="263">
        <f>D132-D129-D128</f>
        <v>-2.5612499999999727</v>
      </c>
      <c r="E131" s="263">
        <f>E132-E129-E128</f>
        <v>-6.9600000000000364</v>
      </c>
      <c r="F131" s="263">
        <f>F132-F129-F128</f>
        <v>10.567750000000046</v>
      </c>
      <c r="G131" s="263">
        <f>+SUM(C131:F131)</f>
        <v>1.7309999999999945</v>
      </c>
      <c r="H131" s="146"/>
      <c r="I131" s="263">
        <f>I132-I129-I128</f>
        <v>23.33525000000003</v>
      </c>
      <c r="J131" s="263">
        <f>J132-J129-J128</f>
        <v>-2.3760000000000332</v>
      </c>
      <c r="K131" s="263">
        <f>K132-K129-K128</f>
        <v>-35.056499999999971</v>
      </c>
      <c r="L131" s="263">
        <f>L132-L129-L128</f>
        <v>4.1102500000000077</v>
      </c>
      <c r="M131" s="263">
        <f>+SUM(I131:L131)</f>
        <v>-9.9869999999999663</v>
      </c>
      <c r="N131" s="146"/>
      <c r="O131" s="263">
        <f>O132-O129-O128</f>
        <v>-17.279499999999985</v>
      </c>
      <c r="P131" s="263">
        <f>P132-P129-P128</f>
        <v>15.608000000000061</v>
      </c>
      <c r="Q131" s="263">
        <f>Q132-Q129-Q128</f>
        <v>10.849999999999966</v>
      </c>
      <c r="R131" s="263">
        <f>R132-R129-R128</f>
        <v>-11.517500000000041</v>
      </c>
      <c r="S131" s="263">
        <f>+SUM(O131:R131)</f>
        <v>-2.3389999999999986</v>
      </c>
      <c r="T131" s="146"/>
      <c r="U131" s="263">
        <f>U132-U129-U128</f>
        <v>-13.526749999999936</v>
      </c>
      <c r="V131" s="263">
        <f>V132-V129-V128</f>
        <v>-18.551499999999919</v>
      </c>
      <c r="W131" s="263">
        <f>W132-W129-W128</f>
        <v>24.218000000000018</v>
      </c>
      <c r="X131" s="263">
        <f>X132-X129-X128</f>
        <v>10.41824999999983</v>
      </c>
      <c r="Y131" s="263">
        <f>+SUM(U131:X131)</f>
        <v>2.5579999999999927</v>
      </c>
      <c r="Z131" s="146"/>
      <c r="AA131" s="263">
        <f>AA132-AA129-AA128</f>
        <v>7.7552499999999895</v>
      </c>
      <c r="AB131" s="263">
        <f>AB132-AB129-AB128</f>
        <v>14.096000000000004</v>
      </c>
      <c r="AC131" s="263">
        <f>AC132-AC129-AC128</f>
        <v>-322.98300000000006</v>
      </c>
      <c r="AD131" s="263">
        <f>AD132-AD129-AD128</f>
        <v>15.445750000000089</v>
      </c>
      <c r="AE131" s="263">
        <f>+SUM(AA131:AD131)</f>
        <v>-285.68599999999998</v>
      </c>
      <c r="AF131" s="146"/>
      <c r="AG131" s="263">
        <f>AG132-AG129-AG128</f>
        <v>14.281999999999812</v>
      </c>
      <c r="AH131" s="263">
        <f>AH132-AH129-AH128</f>
        <v>-21.071000000000026</v>
      </c>
      <c r="AI131" s="263">
        <f>AI132-AI129-AI128</f>
        <v>12.663999999999987</v>
      </c>
      <c r="AJ131" s="263">
        <f>AJ132-AJ129-AJ128</f>
        <v>3.5537500000001501</v>
      </c>
      <c r="AK131" s="263">
        <f>+SUM(AG131:AJ131)</f>
        <v>9.4287499999999227</v>
      </c>
      <c r="AL131" s="146"/>
      <c r="AM131" s="263">
        <f>AM132-AM129-AM128</f>
        <v>-10.455749999999966</v>
      </c>
      <c r="AN131" s="263">
        <f>AN132-AN129-AN128</f>
        <v>-4.6139999999999191</v>
      </c>
      <c r="AO131" s="263">
        <f>AO132-AO129-AO128</f>
        <v>15.934000000000083</v>
      </c>
      <c r="AP131" s="263">
        <f>AP132-AP129-AP128</f>
        <v>-13.665000000000077</v>
      </c>
      <c r="AQ131" s="263">
        <f>+SUM(AM131:AP131)</f>
        <v>-12.80074999999988</v>
      </c>
      <c r="AR131" s="146"/>
      <c r="AS131" s="263">
        <f>AS132-AS129-AS128</f>
        <v>1.19399999999996</v>
      </c>
      <c r="AT131" s="263">
        <f>AT132-AT129-AT128</f>
        <v>-6.1622500000000855</v>
      </c>
      <c r="AU131" s="263">
        <f>AU132-AU129-AU128</f>
        <v>-35.092249999999922</v>
      </c>
      <c r="AV131" s="263">
        <f>AV132-AV129-AV128</f>
        <v>-27.053749999999809</v>
      </c>
      <c r="AW131" s="263">
        <f>+SUM(AS131:AV131)</f>
        <v>-67.114249999999856</v>
      </c>
      <c r="AX131" s="146"/>
      <c r="AY131" s="263">
        <f>AY132-AY129-AY128</f>
        <v>-29.011000000000195</v>
      </c>
      <c r="AZ131" s="263">
        <f>AZ132-AZ129-AZ128</f>
        <v>12.723750000000109</v>
      </c>
      <c r="BA131" s="263">
        <f>BA132-BA129-BA128</f>
        <v>-8.2857500000000073</v>
      </c>
      <c r="BB131" s="263">
        <f>BB132-BB129-BB128</f>
        <v>-11.775000000000091</v>
      </c>
      <c r="BC131" s="263">
        <f>+SUM(AY131:BB131)</f>
        <v>-36.348000000000184</v>
      </c>
      <c r="BD131" s="146"/>
      <c r="BE131" s="263">
        <f>BE132-BE129-BE128</f>
        <v>23.200000000000045</v>
      </c>
      <c r="BF131" s="263">
        <f>BF132-BF129-BF128</f>
        <v>-17.800000000000182</v>
      </c>
      <c r="BG131" s="263">
        <f>BG132-BG129-BG128</f>
        <v>-55.849999999999454</v>
      </c>
      <c r="BH131" s="263">
        <f>BH132-BH129-BH128</f>
        <v>-39.500000000000227</v>
      </c>
      <c r="BI131" s="263">
        <f>+SUM(BE131:BH131)</f>
        <v>-89.949999999999818</v>
      </c>
      <c r="BJ131" s="146"/>
      <c r="BK131" s="263">
        <f>BK132-BK129-BK128</f>
        <v>6.4249999999999545</v>
      </c>
      <c r="BL131" s="263">
        <f>BL132-BL129-BL128</f>
        <v>2.3750000000002274</v>
      </c>
      <c r="BM131" s="263">
        <f>BM132-BM129-BM128</f>
        <v>14.224999999999682</v>
      </c>
      <c r="BN131" s="263">
        <f>BN132-BN129-BN128</f>
        <v>1.3000000000001819</v>
      </c>
      <c r="BO131" s="263">
        <f>+SUM(BK131:BN131)</f>
        <v>24.325000000000045</v>
      </c>
      <c r="BP131" s="146"/>
      <c r="BQ131" s="1138">
        <v>0</v>
      </c>
      <c r="BR131" s="1138">
        <v>0</v>
      </c>
      <c r="BS131" s="1138">
        <v>0</v>
      </c>
      <c r="BT131" s="1138">
        <v>0</v>
      </c>
      <c r="BU131" s="263">
        <f>+SUM(BQ131:BT131)</f>
        <v>0</v>
      </c>
      <c r="BV131" s="146"/>
      <c r="BW131" s="1138">
        <v>0</v>
      </c>
      <c r="BX131" s="1138">
        <v>0</v>
      </c>
      <c r="BY131" s="1138">
        <v>0</v>
      </c>
      <c r="BZ131" s="1138">
        <v>0</v>
      </c>
      <c r="CA131" s="263">
        <f>+SUM(BW131:BZ131)</f>
        <v>0</v>
      </c>
      <c r="CB131" s="146"/>
      <c r="CC131" s="1138">
        <v>0</v>
      </c>
      <c r="CD131" s="1138">
        <v>0</v>
      </c>
      <c r="CE131" s="1138">
        <v>0</v>
      </c>
      <c r="CF131" s="1138">
        <v>0</v>
      </c>
      <c r="CG131" s="263">
        <f>+SUM(CC131:CF131)</f>
        <v>0</v>
      </c>
      <c r="CH131" s="146"/>
      <c r="CI131" s="146"/>
      <c r="CJ131" s="146"/>
      <c r="CK131"/>
      <c r="CL131"/>
      <c r="CM131"/>
      <c r="CN131"/>
      <c r="CO131"/>
      <c r="CP131"/>
    </row>
    <row r="132" spans="2:94" s="1102" customFormat="1" ht="11.25" customHeight="1" outlineLevel="1" x14ac:dyDescent="0.2">
      <c r="B132" s="37" t="s">
        <v>121</v>
      </c>
      <c r="C132" s="184">
        <f>-C126+C134</f>
        <v>-319.52950000000004</v>
      </c>
      <c r="D132" s="184">
        <f>-D126+D134</f>
        <v>-332.48575</v>
      </c>
      <c r="E132" s="184">
        <f>-E126+E134</f>
        <v>-350.15275000000003</v>
      </c>
      <c r="F132" s="1133">
        <v>-350.00099999999998</v>
      </c>
      <c r="G132" s="184">
        <f>+G128+G129+G131</f>
        <v>-350.00099999999998</v>
      </c>
      <c r="H132" s="146"/>
      <c r="I132" s="184">
        <f>-I126+I134</f>
        <v>-338.68674999999996</v>
      </c>
      <c r="J132" s="184">
        <f>-J126+J134</f>
        <v>-352.98475000000002</v>
      </c>
      <c r="K132" s="184">
        <f>-K126+K134</f>
        <v>-400.79525000000001</v>
      </c>
      <c r="L132" s="1133">
        <v>-407.875</v>
      </c>
      <c r="M132" s="184">
        <f>+M128+M129+M131</f>
        <v>-407.87499999999994</v>
      </c>
      <c r="N132" s="146"/>
      <c r="O132" s="184">
        <f>-O126+O134</f>
        <v>-438.08449999999999</v>
      </c>
      <c r="P132" s="184">
        <f>-P126+P134</f>
        <v>-435.91949999999991</v>
      </c>
      <c r="Q132" s="184">
        <f>-Q126+Q134</f>
        <v>-438.81449999999995</v>
      </c>
      <c r="R132" s="1133">
        <v>-464.30099999999999</v>
      </c>
      <c r="S132" s="184">
        <f>+S128+S129+S131</f>
        <v>-464.30099999999999</v>
      </c>
      <c r="T132" s="146"/>
      <c r="U132" s="184">
        <f>-U126+U134</f>
        <v>-493.09274999999991</v>
      </c>
      <c r="V132" s="184">
        <f>-V126+V134</f>
        <v>-525.81724999999983</v>
      </c>
      <c r="W132" s="184">
        <f>-W126+W134</f>
        <v>-515.18324999999982</v>
      </c>
      <c r="X132" s="1133">
        <v>-518.61099999999999</v>
      </c>
      <c r="Y132" s="184">
        <f>+Y128+Y129+Y131</f>
        <v>-518.61099999999999</v>
      </c>
      <c r="Z132" s="146"/>
      <c r="AA132" s="184">
        <f>-AA126+AA134</f>
        <v>-526.05574999999999</v>
      </c>
      <c r="AB132" s="184">
        <f>-AB126+AB134</f>
        <v>-529.11874999999998</v>
      </c>
      <c r="AC132" s="184">
        <f>-AC126+AC134</f>
        <v>-866.80074999999999</v>
      </c>
      <c r="AD132" s="184">
        <f>-AD126+AD134</f>
        <v>-868.3359999999999</v>
      </c>
      <c r="AE132" s="184">
        <f>+AE128+AE129+AE131</f>
        <v>-868.33600000000001</v>
      </c>
      <c r="AF132" s="146"/>
      <c r="AG132" s="184">
        <f>-AG126+AG134</f>
        <v>-874.26300000000003</v>
      </c>
      <c r="AH132" s="184">
        <f>-AH126+AH134</f>
        <v>-915.48200000000008</v>
      </c>
      <c r="AI132" s="184">
        <f>-AI126+AI134</f>
        <v>-921.97000000000014</v>
      </c>
      <c r="AJ132" s="184">
        <f>-AJ126+AJ134</f>
        <v>-938.36324999999999</v>
      </c>
      <c r="AK132" s="184">
        <f>+AK128+AK129+AK131</f>
        <v>-938.36324999999999</v>
      </c>
      <c r="AL132" s="146"/>
      <c r="AM132" s="184">
        <f>-AM126+AM134</f>
        <v>-969.23500000000001</v>
      </c>
      <c r="AN132" s="184">
        <f>-AN126+AN134</f>
        <v>-995.17599999999993</v>
      </c>
      <c r="AO132" s="184">
        <f>-AO126+AO134</f>
        <v>-999.04399999999987</v>
      </c>
      <c r="AP132" s="184">
        <f>-AP126+AP134</f>
        <v>-1032.8029999999999</v>
      </c>
      <c r="AQ132" s="184">
        <f>+AQ128+AQ129+AQ131</f>
        <v>-1032.8029999999999</v>
      </c>
      <c r="AR132" s="146"/>
      <c r="AS132" s="184">
        <f>-AS126+AS134</f>
        <v>-1052.9789999999998</v>
      </c>
      <c r="AT132" s="184">
        <f>-AT126+AT134</f>
        <v>-1080.0962499999998</v>
      </c>
      <c r="AU132" s="184">
        <f>-AU126+AU134</f>
        <v>-1135.9114999999997</v>
      </c>
      <c r="AV132" s="184">
        <f>-AV126+AV134</f>
        <v>-1181.0802499999995</v>
      </c>
      <c r="AW132" s="184">
        <f>+AW128+AW129+AW131</f>
        <v>-1181.0802499999998</v>
      </c>
      <c r="AX132" s="146"/>
      <c r="AY132" s="184">
        <f>-AY126+AY134</f>
        <v>-1229.4022499999996</v>
      </c>
      <c r="AZ132" s="184">
        <f>-AZ126+AZ134</f>
        <v>-1236.1494999999995</v>
      </c>
      <c r="BA132" s="184">
        <f>-BA126+BA134</f>
        <v>-1267.2532499999995</v>
      </c>
      <c r="BB132" s="184">
        <f>-BB126+BB134</f>
        <v>-1296.5282499999996</v>
      </c>
      <c r="BC132" s="184">
        <f>+BC128+BC129+BC131</f>
        <v>-1296.5282499999996</v>
      </c>
      <c r="BD132" s="146"/>
      <c r="BE132" s="184">
        <f>-BE126+BE134</f>
        <v>-1296.8282499999996</v>
      </c>
      <c r="BF132" s="184">
        <f>-BF126+BF134</f>
        <v>-1346.2282499999997</v>
      </c>
      <c r="BG132" s="184">
        <f>-BG126+BG134</f>
        <v>-1433.9782499999992</v>
      </c>
      <c r="BH132" s="184">
        <f>-BH126+BH134</f>
        <v>-1503.0782499999993</v>
      </c>
      <c r="BI132" s="184">
        <f>+BI128+BI129+BI131</f>
        <v>-1503.0782499999993</v>
      </c>
      <c r="BJ132" s="146"/>
      <c r="BK132" s="184">
        <f>-BK126+BK134</f>
        <v>-1527.5532499999995</v>
      </c>
      <c r="BL132" s="184">
        <f>-BL126+BL134</f>
        <v>-1556.3782499999993</v>
      </c>
      <c r="BM132" s="184">
        <f>-BM126+BM134</f>
        <v>-1573.9532499999996</v>
      </c>
      <c r="BN132" s="184">
        <f>-BN126+BN134</f>
        <v>-1606.0532499999995</v>
      </c>
      <c r="BO132" s="184">
        <f>+BO128+BO129+BO131</f>
        <v>-1606.0532499999993</v>
      </c>
      <c r="BP132" s="146"/>
      <c r="BQ132" s="184">
        <f>+BQ128+BQ129+BQ131</f>
        <v>-1637.0789156249994</v>
      </c>
      <c r="BR132" s="184">
        <f>+BR128+BR129+BR131</f>
        <v>-1668.5085734999993</v>
      </c>
      <c r="BS132" s="184">
        <f>+BS128+BS129+BS131</f>
        <v>-1700.3887585749994</v>
      </c>
      <c r="BT132" s="184">
        <f>+BT128+BT129+BT131</f>
        <v>-1732.7289007499994</v>
      </c>
      <c r="BU132" s="184">
        <f>+BU128+BU129+BU131</f>
        <v>-1732.7289007499992</v>
      </c>
      <c r="BV132" s="146"/>
      <c r="BW132" s="184">
        <f>+BW128+BW129+BW131</f>
        <v>-1765.5632686249992</v>
      </c>
      <c r="BX132" s="184">
        <f>+BX128+BX129+BX131</f>
        <v>-1798.8152778204992</v>
      </c>
      <c r="BY132" s="184">
        <f>+BY128+BY129+BY131</f>
        <v>-1832.5385848074991</v>
      </c>
      <c r="BZ132" s="184">
        <f>+BZ128+BZ129+BZ131</f>
        <v>-1866.741010716499</v>
      </c>
      <c r="CA132" s="184">
        <f>+CA128+CA129+CA131</f>
        <v>-1866.7410107164992</v>
      </c>
      <c r="CB132" s="146"/>
      <c r="CC132" s="184">
        <f>+CC128+CC129+CC131</f>
        <v>-1901.4544453204992</v>
      </c>
      <c r="CD132" s="184">
        <f>+CD128+CD129+CD131</f>
        <v>-1936.5998600247517</v>
      </c>
      <c r="CE132" s="184">
        <f>+CE128+CE129+CE131</f>
        <v>-1972.2281123024468</v>
      </c>
      <c r="CF132" s="184">
        <f>+CF128+CF129+CF131</f>
        <v>-2008.3485902740017</v>
      </c>
      <c r="CG132" s="184">
        <f>+CG128+CG129+CG131</f>
        <v>-2008.3485902740017</v>
      </c>
      <c r="CH132" s="184"/>
      <c r="CI132" s="184"/>
      <c r="CJ132" s="184"/>
      <c r="CK132"/>
      <c r="CL132"/>
      <c r="CM132"/>
      <c r="CN132"/>
      <c r="CO132"/>
      <c r="CP132"/>
    </row>
    <row r="133" spans="2:94" s="1102" customFormat="1" ht="11.25" customHeight="1" outlineLevel="1" x14ac:dyDescent="0.2">
      <c r="B133" s="37"/>
      <c r="C133" s="184"/>
      <c r="D133" s="184"/>
      <c r="E133" s="184"/>
      <c r="F133" s="184"/>
      <c r="G133" s="184"/>
      <c r="H133" s="146"/>
      <c r="I133" s="184"/>
      <c r="J133" s="184"/>
      <c r="K133" s="184"/>
      <c r="L133" s="184"/>
      <c r="M133" s="184"/>
      <c r="N133" s="146"/>
      <c r="O133" s="184"/>
      <c r="P133" s="184"/>
      <c r="Q133" s="184"/>
      <c r="R133" s="184"/>
      <c r="S133" s="184"/>
      <c r="T133" s="146"/>
      <c r="U133" s="184"/>
      <c r="V133" s="184"/>
      <c r="W133" s="184"/>
      <c r="X133" s="184"/>
      <c r="Y133" s="184"/>
      <c r="Z133" s="146"/>
      <c r="AA133" s="184"/>
      <c r="AB133" s="184"/>
      <c r="AC133" s="184"/>
      <c r="AD133" s="184"/>
      <c r="AE133" s="184"/>
      <c r="AF133" s="146"/>
      <c r="AG133" s="184"/>
      <c r="AH133" s="184"/>
      <c r="AI133" s="184"/>
      <c r="AJ133" s="184"/>
      <c r="AK133" s="184"/>
      <c r="AL133" s="146"/>
      <c r="AM133" s="184"/>
      <c r="AN133" s="184"/>
      <c r="AO133" s="184"/>
      <c r="AP133" s="184"/>
      <c r="AQ133" s="184"/>
      <c r="AR133" s="146"/>
      <c r="AS133" s="184"/>
      <c r="AT133" s="184"/>
      <c r="AU133" s="184"/>
      <c r="AV133" s="184"/>
      <c r="AW133" s="184"/>
      <c r="AX133" s="146"/>
      <c r="AY133" s="184"/>
      <c r="AZ133" s="184"/>
      <c r="BA133" s="184"/>
      <c r="BB133" s="184"/>
      <c r="BC133" s="184"/>
      <c r="BD133" s="146"/>
      <c r="BE133" s="184"/>
      <c r="BF133" s="184"/>
      <c r="BG133" s="184"/>
      <c r="BH133" s="184"/>
      <c r="BI133" s="184"/>
      <c r="BJ133" s="146"/>
      <c r="BK133" s="184"/>
      <c r="BL133" s="184"/>
      <c r="BM133" s="184"/>
      <c r="BN133" s="184"/>
      <c r="BO133" s="184"/>
      <c r="BP133" s="146"/>
      <c r="BQ133" s="184"/>
      <c r="BR133" s="184"/>
      <c r="BS133" s="184"/>
      <c r="BT133" s="184"/>
      <c r="BU133" s="184"/>
      <c r="BV133" s="146"/>
      <c r="BW133" s="184"/>
      <c r="BX133" s="184"/>
      <c r="BY133" s="184"/>
      <c r="BZ133" s="184"/>
      <c r="CA133" s="184"/>
      <c r="CB133" s="146"/>
      <c r="CC133" s="184"/>
      <c r="CD133" s="184"/>
      <c r="CE133" s="184"/>
      <c r="CF133" s="184"/>
      <c r="CG133" s="184"/>
      <c r="CH133" s="184"/>
      <c r="CI133" s="184"/>
      <c r="CJ133" s="184"/>
      <c r="CK133"/>
      <c r="CL133"/>
      <c r="CM133"/>
      <c r="CN133"/>
      <c r="CO133"/>
      <c r="CP133"/>
    </row>
    <row r="134" spans="2:94" s="1102" customFormat="1" ht="11.25" customHeight="1" outlineLevel="1" x14ac:dyDescent="0.2">
      <c r="B134" s="37" t="s">
        <v>122</v>
      </c>
      <c r="C134" s="146">
        <f>+C17</f>
        <v>331.68599999999998</v>
      </c>
      <c r="D134" s="146">
        <f>+D17</f>
        <v>333.94900000000001</v>
      </c>
      <c r="E134" s="146">
        <f>+E17</f>
        <v>351.56599999999997</v>
      </c>
      <c r="F134" s="146">
        <f>+F17</f>
        <v>371.40899999999999</v>
      </c>
      <c r="G134" s="146">
        <f>+G17</f>
        <v>371.40899999999999</v>
      </c>
      <c r="H134" s="146"/>
      <c r="I134" s="146">
        <f>+I17</f>
        <v>402.00900000000001</v>
      </c>
      <c r="J134" s="146">
        <f>+J17</f>
        <v>405.60300000000001</v>
      </c>
      <c r="K134" s="146">
        <f>+K17</f>
        <v>386.88499999999999</v>
      </c>
      <c r="L134" s="146">
        <f>+L17</f>
        <v>432.27600000000001</v>
      </c>
      <c r="M134" s="146">
        <f>+M17</f>
        <v>432.27600000000001</v>
      </c>
      <c r="N134" s="146"/>
      <c r="O134" s="146">
        <f>+O17</f>
        <v>416.39299999999997</v>
      </c>
      <c r="P134" s="146">
        <f>+P17</f>
        <v>429.935</v>
      </c>
      <c r="Q134" s="146">
        <f>+Q17</f>
        <v>445.36500000000001</v>
      </c>
      <c r="R134" s="146">
        <f>+R17</f>
        <v>439.61900000000003</v>
      </c>
      <c r="S134" s="146">
        <f>+S17</f>
        <v>439.61900000000003</v>
      </c>
      <c r="T134" s="146"/>
      <c r="U134" s="146">
        <f>+U17</f>
        <v>420.779</v>
      </c>
      <c r="V134" s="146">
        <f>+V17</f>
        <v>399.077</v>
      </c>
      <c r="W134" s="146">
        <f>+W17</f>
        <v>423.80200000000002</v>
      </c>
      <c r="X134" s="146">
        <f>+X17</f>
        <v>423.10500000000002</v>
      </c>
      <c r="Y134" s="146">
        <f>+Y17</f>
        <v>423.10500000000002</v>
      </c>
      <c r="Z134" s="146"/>
      <c r="AA134" s="146">
        <f>+AA17</f>
        <v>432.71600000000001</v>
      </c>
      <c r="AB134" s="146">
        <f>+AB17</f>
        <v>442.95699999999999</v>
      </c>
      <c r="AC134" s="146">
        <f>+AC17</f>
        <v>569.85299999999995</v>
      </c>
      <c r="AD134" s="146">
        <f>+AD17</f>
        <v>591.44500000000005</v>
      </c>
      <c r="AE134" s="146">
        <f>+AE17</f>
        <v>591.44500000000005</v>
      </c>
      <c r="AF134" s="146"/>
      <c r="AG134" s="146">
        <f>+AG17</f>
        <v>604.16</v>
      </c>
      <c r="AH134" s="146">
        <f>+AH17</f>
        <v>587.28499999999997</v>
      </c>
      <c r="AI134" s="146">
        <f>+AI17</f>
        <v>602.66999999999996</v>
      </c>
      <c r="AJ134" s="146">
        <f>+AJ17</f>
        <v>614.70500000000004</v>
      </c>
      <c r="AK134" s="146">
        <f>+AK17</f>
        <v>614.70500000000004</v>
      </c>
      <c r="AL134" s="146"/>
      <c r="AM134" s="146">
        <f>+AM17</f>
        <v>608.85</v>
      </c>
      <c r="AN134" s="146">
        <f>+AN17</f>
        <v>605.02800000000002</v>
      </c>
      <c r="AO134" s="146">
        <f>+AO17</f>
        <v>628.50900000000001</v>
      </c>
      <c r="AP134" s="146">
        <f>+AP17</f>
        <v>637.17200000000003</v>
      </c>
      <c r="AQ134" s="146">
        <f>+AQ17</f>
        <v>637.17200000000003</v>
      </c>
      <c r="AR134" s="146"/>
      <c r="AS134" s="146">
        <f>+AS17</f>
        <v>642.31799999999998</v>
      </c>
      <c r="AT134" s="146">
        <f>+AT17</f>
        <v>639.21199999999999</v>
      </c>
      <c r="AU134" s="146">
        <f>+AU17</f>
        <v>606.92399999999998</v>
      </c>
      <c r="AV134" s="146">
        <f>+AV17</f>
        <v>588.84500000000003</v>
      </c>
      <c r="AW134" s="146">
        <f>+AW17</f>
        <v>588.84500000000003</v>
      </c>
      <c r="AX134" s="146"/>
      <c r="AY134" s="146">
        <f>+AY17</f>
        <v>556.76599999999996</v>
      </c>
      <c r="AZ134" s="146">
        <f>+AZ17</f>
        <v>568.03599999999994</v>
      </c>
      <c r="BA134" s="146">
        <f>+BA17</f>
        <v>555.20000000000005</v>
      </c>
      <c r="BB134" s="146">
        <f>+BB17</f>
        <v>558.79999999999995</v>
      </c>
      <c r="BC134" s="146">
        <f>+BC17</f>
        <v>558.79999999999995</v>
      </c>
      <c r="BD134" s="146"/>
      <c r="BE134" s="146">
        <f>+BE17</f>
        <v>816.5</v>
      </c>
      <c r="BF134" s="146">
        <f>+BF17</f>
        <v>794.1</v>
      </c>
      <c r="BG134" s="146">
        <f>+BG17</f>
        <v>822.9</v>
      </c>
      <c r="BH134" s="146">
        <f>+BH17</f>
        <v>799.8</v>
      </c>
      <c r="BI134" s="146">
        <f>+BI17</f>
        <v>799.8</v>
      </c>
      <c r="BJ134" s="146"/>
      <c r="BK134" s="146">
        <f>+BK17</f>
        <v>807.1</v>
      </c>
      <c r="BL134" s="146">
        <f>+BL17</f>
        <v>841</v>
      </c>
      <c r="BM134" s="146">
        <f>+BM17</f>
        <v>859.9</v>
      </c>
      <c r="BN134" s="146">
        <f>+BN17</f>
        <v>876</v>
      </c>
      <c r="BO134" s="146">
        <f>+BO17</f>
        <v>876</v>
      </c>
      <c r="BP134" s="146"/>
      <c r="BQ134" s="146">
        <f>+BQ126+BQ132</f>
        <v>877.29371437500004</v>
      </c>
      <c r="BR134" s="146">
        <f>+BR126+BR132</f>
        <v>881.90623249999999</v>
      </c>
      <c r="BS134" s="146">
        <f>+BS126+BS132</f>
        <v>886.82261542500009</v>
      </c>
      <c r="BT134" s="146">
        <f>+BT126+BT132</f>
        <v>894.02052924999998</v>
      </c>
      <c r="BU134" s="146">
        <f>+BU126+BU132</f>
        <v>894.02052925000021</v>
      </c>
      <c r="BV134" s="146"/>
      <c r="BW134" s="146">
        <f>+BW126+BW132</f>
        <v>894.59746701500035</v>
      </c>
      <c r="BX134" s="146">
        <f>+BX126+BX132</f>
        <v>899.04928113950041</v>
      </c>
      <c r="BY134" s="146">
        <f>+BY126+BY132</f>
        <v>903.65548791250035</v>
      </c>
      <c r="BZ134" s="146">
        <f>+BZ126+BZ132</f>
        <v>910.33375760350032</v>
      </c>
      <c r="CA134" s="146">
        <f>+CA126+CA132</f>
        <v>910.33375760350009</v>
      </c>
      <c r="CB134" s="146"/>
      <c r="CC134" s="146">
        <f>+CC126+CC132</f>
        <v>910.17873101970031</v>
      </c>
      <c r="CD134" s="146">
        <f>+CD126+CD132</f>
        <v>913.66032219084764</v>
      </c>
      <c r="CE134" s="146">
        <f>+CE126+CE132</f>
        <v>917.41012542195267</v>
      </c>
      <c r="CF134" s="146">
        <f>+CF126+CF132</f>
        <v>923.58367926519759</v>
      </c>
      <c r="CG134" s="146">
        <f>+CG126+CG132</f>
        <v>923.58367926519759</v>
      </c>
      <c r="CH134" s="146"/>
      <c r="CI134" s="146"/>
      <c r="CJ134" s="146"/>
      <c r="CK134"/>
      <c r="CL134"/>
      <c r="CM134"/>
      <c r="CN134"/>
      <c r="CO134"/>
      <c r="CP134"/>
    </row>
    <row r="135" spans="2:94" s="1102" customFormat="1" ht="11.25" customHeight="1" outlineLevel="1" x14ac:dyDescent="0.2">
      <c r="B135" s="119" t="s">
        <v>81</v>
      </c>
      <c r="C135" s="265">
        <f>C134-(C126+C132)</f>
        <v>0</v>
      </c>
      <c r="D135" s="265">
        <f>D134-(D126+D132)</f>
        <v>0</v>
      </c>
      <c r="E135" s="265">
        <f>E134-(E126+E132)</f>
        <v>0</v>
      </c>
      <c r="F135" s="265">
        <f>F134-(F126+F132)</f>
        <v>0</v>
      </c>
      <c r="G135" s="265">
        <f>G134-(G126+G132)</f>
        <v>0</v>
      </c>
      <c r="H135" s="265"/>
      <c r="I135" s="265">
        <f>I134-(I126+I132)</f>
        <v>0</v>
      </c>
      <c r="J135" s="265">
        <f>J134-(J126+J132)</f>
        <v>0</v>
      </c>
      <c r="K135" s="265">
        <f>K134-(K126+K132)</f>
        <v>0</v>
      </c>
      <c r="L135" s="265">
        <f>L134-(L126+L132)</f>
        <v>0</v>
      </c>
      <c r="M135" s="265">
        <f>M134-(M126+M132)</f>
        <v>0</v>
      </c>
      <c r="N135" s="265"/>
      <c r="O135" s="265">
        <f>O134-(O126+O132)</f>
        <v>0</v>
      </c>
      <c r="P135" s="265">
        <f>P134-(P126+P132)</f>
        <v>0</v>
      </c>
      <c r="Q135" s="265">
        <f>Q134-(Q126+Q132)</f>
        <v>0</v>
      </c>
      <c r="R135" s="265">
        <f>R134-(R126+R132)</f>
        <v>0</v>
      </c>
      <c r="S135" s="265">
        <f>S134-(S126+S132)</f>
        <v>0</v>
      </c>
      <c r="T135" s="265"/>
      <c r="U135" s="265">
        <f>U134-(U126+U132)</f>
        <v>0</v>
      </c>
      <c r="V135" s="265">
        <f>V134-(V126+V132)</f>
        <v>0</v>
      </c>
      <c r="W135" s="265">
        <f>W134-(W126+W132)</f>
        <v>0</v>
      </c>
      <c r="X135" s="265">
        <f>X134-(X126+X132)</f>
        <v>0</v>
      </c>
      <c r="Y135" s="265">
        <f>Y134-(Y126+Y132)</f>
        <v>0</v>
      </c>
      <c r="Z135" s="265"/>
      <c r="AA135" s="265">
        <f>AA134-(AA126+AA132)</f>
        <v>0</v>
      </c>
      <c r="AB135" s="265">
        <f>AB134-(AB126+AB132)</f>
        <v>0</v>
      </c>
      <c r="AC135" s="265">
        <f>AC134-(AC126+AC132)</f>
        <v>0</v>
      </c>
      <c r="AD135" s="265">
        <f>AD134-(AD126+AD132)</f>
        <v>0</v>
      </c>
      <c r="AE135" s="265">
        <f>AE134-(AE126+AE132)</f>
        <v>0</v>
      </c>
      <c r="AF135" s="265"/>
      <c r="AG135" s="265">
        <f>AG134-(AG126+AG132)</f>
        <v>0</v>
      </c>
      <c r="AH135" s="265">
        <f>AH134-(AH126+AH132)</f>
        <v>0</v>
      </c>
      <c r="AI135" s="265">
        <f>AI134-(AI126+AI132)</f>
        <v>0</v>
      </c>
      <c r="AJ135" s="265">
        <f>AJ134-(AJ126+AJ132)</f>
        <v>0</v>
      </c>
      <c r="AK135" s="265">
        <f>AK134-(AK126+AK132)</f>
        <v>0</v>
      </c>
      <c r="AL135" s="265"/>
      <c r="AM135" s="265">
        <f>AM134-(AM126+AM132)</f>
        <v>0</v>
      </c>
      <c r="AN135" s="265">
        <f>AN134-(AN126+AN132)</f>
        <v>0</v>
      </c>
      <c r="AO135" s="265">
        <f>AO134-(AO126+AO132)</f>
        <v>0</v>
      </c>
      <c r="AP135" s="265">
        <f>AP134-(AP126+AP132)</f>
        <v>0</v>
      </c>
      <c r="AQ135" s="265">
        <f>AQ134-(AQ126+AQ132)</f>
        <v>0</v>
      </c>
      <c r="AR135" s="265"/>
      <c r="AS135" s="265">
        <f>AS134-(AS126+AS132)</f>
        <v>0</v>
      </c>
      <c r="AT135" s="265">
        <f>AT134-(AT126+AT132)</f>
        <v>0</v>
      </c>
      <c r="AU135" s="265">
        <f>AU134-(AU126+AU132)</f>
        <v>0</v>
      </c>
      <c r="AV135" s="265">
        <f>AV134-(AV126+AV132)</f>
        <v>0</v>
      </c>
      <c r="AW135" s="265">
        <f>AW134-(AW126+AW132)</f>
        <v>0</v>
      </c>
      <c r="AX135" s="265"/>
      <c r="AY135" s="265">
        <f>AY134-(AY126+AY132)</f>
        <v>0</v>
      </c>
      <c r="AZ135" s="265">
        <f>AZ134-(AZ126+AZ132)</f>
        <v>0</v>
      </c>
      <c r="BA135" s="265">
        <f>BA134-(BA126+BA132)</f>
        <v>0</v>
      </c>
      <c r="BB135" s="265">
        <f>BB134-(BB126+BB132)</f>
        <v>0</v>
      </c>
      <c r="BC135" s="265">
        <f>BC134-(BC126+BC132)</f>
        <v>0</v>
      </c>
      <c r="BD135" s="265"/>
      <c r="BE135" s="265">
        <f>BE134-(BE126+BE132)</f>
        <v>0</v>
      </c>
      <c r="BF135" s="265">
        <f>BF134-(BF126+BF132)</f>
        <v>0</v>
      </c>
      <c r="BG135" s="265">
        <f>BG134-(BG126+BG132)</f>
        <v>0</v>
      </c>
      <c r="BH135" s="265">
        <f>BH134-(BH126+BH132)</f>
        <v>0</v>
      </c>
      <c r="BI135" s="265">
        <f>BI134-(BI126+BI132)</f>
        <v>0</v>
      </c>
      <c r="BJ135" s="265"/>
      <c r="BK135" s="265">
        <f>BK134-(BK126+BK132)</f>
        <v>0</v>
      </c>
      <c r="BL135" s="265">
        <f>BL134-(BL126+BL132)</f>
        <v>0</v>
      </c>
      <c r="BM135" s="265">
        <f>BM134-(BM126+BM132)</f>
        <v>0</v>
      </c>
      <c r="BN135" s="265">
        <f>BN134-(BN126+BN132)</f>
        <v>0</v>
      </c>
      <c r="BO135" s="265">
        <f>BO134-(BO126+BO132)</f>
        <v>0</v>
      </c>
      <c r="BP135" s="265"/>
      <c r="BQ135" s="265">
        <f>BQ134-(BQ126+BQ132)</f>
        <v>0</v>
      </c>
      <c r="BR135" s="265">
        <f>BR134-(BR126+BR132)</f>
        <v>0</v>
      </c>
      <c r="BS135" s="265">
        <f>BS134-(BS126+BS132)</f>
        <v>0</v>
      </c>
      <c r="BT135" s="265">
        <f>BT134-(BT126+BT132)</f>
        <v>0</v>
      </c>
      <c r="BU135" s="265">
        <f>BU134-(BU126+BU132)</f>
        <v>0</v>
      </c>
      <c r="BV135" s="265"/>
      <c r="BW135" s="265">
        <f>BW134-(BW126+BW132)</f>
        <v>0</v>
      </c>
      <c r="BX135" s="265">
        <f>BX134-(BX126+BX132)</f>
        <v>0</v>
      </c>
      <c r="BY135" s="265">
        <f>BY134-(BY126+BY132)</f>
        <v>0</v>
      </c>
      <c r="BZ135" s="265">
        <f>BZ134-(BZ126+BZ132)</f>
        <v>0</v>
      </c>
      <c r="CA135" s="265">
        <f>CA134-(CA126+CA132)</f>
        <v>0</v>
      </c>
      <c r="CB135" s="265"/>
      <c r="CC135" s="265">
        <f>CC134-(CC126+CC132)</f>
        <v>0</v>
      </c>
      <c r="CD135" s="265">
        <f>CD134-(CD126+CD132)</f>
        <v>0</v>
      </c>
      <c r="CE135" s="265">
        <f>CE134-(CE126+CE132)</f>
        <v>0</v>
      </c>
      <c r="CF135" s="265">
        <f>CF134-(CF126+CF132)</f>
        <v>0</v>
      </c>
      <c r="CG135" s="265">
        <f>CG134-(CG126+CG132)</f>
        <v>0</v>
      </c>
      <c r="CH135" s="265"/>
      <c r="CI135" s="265"/>
      <c r="CJ135" s="265"/>
      <c r="CK135"/>
      <c r="CL135"/>
      <c r="CM135"/>
      <c r="CN135"/>
      <c r="CO135"/>
      <c r="CP135"/>
    </row>
    <row r="136" spans="2:94" s="1102" customFormat="1" ht="11.25" customHeight="1" outlineLevel="1" x14ac:dyDescent="0.2">
      <c r="B136" s="119"/>
      <c r="C136" s="265"/>
      <c r="D136" s="265"/>
      <c r="E136" s="265"/>
      <c r="F136" s="265"/>
      <c r="G136" s="265"/>
      <c r="H136" s="265"/>
      <c r="I136" s="265"/>
      <c r="J136" s="265"/>
      <c r="K136" s="265"/>
      <c r="L136" s="265"/>
      <c r="M136" s="265"/>
      <c r="N136" s="265"/>
      <c r="O136" s="265"/>
      <c r="P136" s="265"/>
      <c r="Q136" s="265"/>
      <c r="R136" s="265"/>
      <c r="S136" s="265"/>
      <c r="T136" s="265"/>
      <c r="U136" s="265"/>
      <c r="V136" s="265"/>
      <c r="W136" s="265"/>
      <c r="X136" s="265"/>
      <c r="Y136" s="265"/>
      <c r="Z136" s="265"/>
      <c r="AA136" s="265"/>
      <c r="AB136" s="265"/>
      <c r="AC136" s="265"/>
      <c r="AD136" s="265"/>
      <c r="AE136" s="265"/>
      <c r="AF136" s="265"/>
      <c r="AG136" s="265"/>
      <c r="AH136" s="265"/>
      <c r="AI136" s="265"/>
      <c r="AJ136" s="265"/>
      <c r="AK136" s="265"/>
      <c r="AL136" s="265"/>
      <c r="AM136" s="265"/>
      <c r="AN136" s="265"/>
      <c r="AO136" s="265"/>
      <c r="AP136" s="265"/>
      <c r="AQ136" s="265"/>
      <c r="AR136" s="265"/>
      <c r="AS136" s="265"/>
      <c r="AT136" s="265"/>
      <c r="AU136" s="265"/>
      <c r="AV136" s="265"/>
      <c r="AW136" s="265"/>
      <c r="AX136" s="265"/>
      <c r="AY136" s="265"/>
      <c r="AZ136" s="265"/>
      <c r="BA136" s="265"/>
      <c r="BB136" s="265"/>
      <c r="BC136" s="265"/>
      <c r="BD136" s="265"/>
      <c r="BE136" s="265"/>
      <c r="BF136" s="265"/>
      <c r="BG136" s="265"/>
      <c r="BH136" s="265"/>
      <c r="BI136" s="265"/>
      <c r="BJ136" s="265"/>
      <c r="BK136" s="265"/>
      <c r="BL136" s="265"/>
      <c r="BM136" s="265"/>
      <c r="BN136" s="265"/>
      <c r="BO136" s="265"/>
      <c r="BP136" s="265"/>
      <c r="BQ136" s="265"/>
      <c r="BR136" s="265"/>
      <c r="BS136" s="265"/>
      <c r="BT136" s="265"/>
      <c r="BU136" s="265"/>
      <c r="BV136" s="265"/>
      <c r="BW136" s="265"/>
      <c r="BX136" s="265"/>
      <c r="BY136" s="265"/>
      <c r="BZ136" s="265"/>
      <c r="CA136" s="265"/>
      <c r="CB136" s="265"/>
      <c r="CC136" s="265"/>
      <c r="CD136" s="265"/>
      <c r="CE136" s="265"/>
      <c r="CF136" s="265"/>
      <c r="CG136" s="265"/>
      <c r="CH136" s="265"/>
      <c r="CI136" s="265"/>
      <c r="CJ136" s="265"/>
      <c r="CK136"/>
      <c r="CL136"/>
      <c r="CM136"/>
      <c r="CN136"/>
      <c r="CO136"/>
      <c r="CP136"/>
    </row>
    <row r="137" spans="2:94" s="1102" customFormat="1" ht="11.25" customHeight="1" outlineLevel="1" x14ac:dyDescent="0.2">
      <c r="B137" s="15" t="s">
        <v>123</v>
      </c>
      <c r="C137" s="184"/>
      <c r="D137" s="184"/>
      <c r="E137" s="184"/>
      <c r="F137" s="184"/>
      <c r="G137" s="184"/>
      <c r="H137" s="146"/>
      <c r="I137" s="184"/>
      <c r="J137" s="184"/>
      <c r="K137" s="184"/>
      <c r="L137" s="184"/>
      <c r="M137" s="184"/>
      <c r="N137" s="146"/>
      <c r="O137" s="184"/>
      <c r="P137" s="184"/>
      <c r="Q137" s="184"/>
      <c r="R137" s="184"/>
      <c r="S137" s="184"/>
      <c r="T137" s="146"/>
      <c r="U137" s="184"/>
      <c r="V137" s="184"/>
      <c r="W137" s="184"/>
      <c r="X137" s="184"/>
      <c r="Y137" s="184"/>
      <c r="Z137" s="146"/>
      <c r="AA137" s="184"/>
      <c r="AB137" s="184"/>
      <c r="AC137" s="184"/>
      <c r="AD137" s="184"/>
      <c r="AE137" s="184"/>
      <c r="AF137" s="146"/>
      <c r="AG137" s="184"/>
      <c r="AH137" s="184"/>
      <c r="AI137" s="184"/>
      <c r="AJ137" s="184"/>
      <c r="AK137" s="184"/>
      <c r="AL137" s="146"/>
      <c r="AM137" s="184"/>
      <c r="AN137" s="184"/>
      <c r="AO137" s="184"/>
      <c r="AP137" s="184"/>
      <c r="AQ137" s="184"/>
      <c r="AR137" s="146"/>
      <c r="AS137" s="184"/>
      <c r="AT137" s="184"/>
      <c r="AU137" s="184"/>
      <c r="AV137" s="184"/>
      <c r="AW137" s="184"/>
      <c r="AX137" s="146"/>
      <c r="AY137" s="184"/>
      <c r="AZ137" s="184"/>
      <c r="BA137" s="184"/>
      <c r="BB137" s="184"/>
      <c r="BC137" s="184"/>
      <c r="BD137" s="146"/>
      <c r="BE137" s="184"/>
      <c r="BF137" s="184"/>
      <c r="BG137" s="184"/>
      <c r="BH137" s="184"/>
      <c r="BI137" s="184"/>
      <c r="BJ137" s="146"/>
      <c r="BK137" s="184"/>
      <c r="BL137" s="184"/>
      <c r="BM137" s="184"/>
      <c r="BN137" s="184"/>
      <c r="BO137" s="184"/>
      <c r="BP137" s="146"/>
      <c r="BQ137" s="184"/>
      <c r="BR137" s="184"/>
      <c r="BS137" s="184"/>
      <c r="BT137" s="184"/>
      <c r="BU137" s="184"/>
      <c r="BV137" s="146"/>
      <c r="BW137" s="184"/>
      <c r="BX137" s="184"/>
      <c r="BY137" s="184"/>
      <c r="BZ137" s="184"/>
      <c r="CA137" s="184"/>
      <c r="CB137" s="146"/>
      <c r="CC137" s="184"/>
      <c r="CD137" s="184"/>
      <c r="CE137" s="184"/>
      <c r="CF137" s="184"/>
      <c r="CG137" s="184"/>
      <c r="CH137" s="184"/>
      <c r="CI137" s="184"/>
      <c r="CJ137" s="184"/>
      <c r="CK137"/>
      <c r="CL137"/>
      <c r="CM137"/>
      <c r="CN137"/>
      <c r="CO137"/>
      <c r="CP137"/>
    </row>
    <row r="138" spans="2:94" s="1102" customFormat="1" ht="11.25" customHeight="1" outlineLevel="1" x14ac:dyDescent="0.2">
      <c r="B138" s="37" t="s">
        <v>124</v>
      </c>
      <c r="C138" s="1133">
        <v>67.647999999999996</v>
      </c>
      <c r="D138" s="184">
        <f>C143</f>
        <v>67.513000000000005</v>
      </c>
      <c r="E138" s="184">
        <f>D143</f>
        <v>71.424999999999997</v>
      </c>
      <c r="F138" s="184">
        <f>E143</f>
        <v>71.518000000000001</v>
      </c>
      <c r="G138" s="184">
        <f>C138</f>
        <v>67.647999999999996</v>
      </c>
      <c r="H138" s="146"/>
      <c r="I138" s="184">
        <f>+G143</f>
        <v>76.167000000000016</v>
      </c>
      <c r="J138" s="184">
        <f>I143</f>
        <v>76.694999999999993</v>
      </c>
      <c r="K138" s="184">
        <f>J143</f>
        <v>76.346999999999994</v>
      </c>
      <c r="L138" s="184">
        <f>K143</f>
        <v>68.465999999999994</v>
      </c>
      <c r="M138" s="184">
        <f>I138</f>
        <v>76.167000000000016</v>
      </c>
      <c r="N138" s="146"/>
      <c r="O138" s="184">
        <f>+M143</f>
        <v>103.71799999999999</v>
      </c>
      <c r="P138" s="184">
        <f>O143</f>
        <v>124.958</v>
      </c>
      <c r="Q138" s="184">
        <f>P143</f>
        <v>122.696</v>
      </c>
      <c r="R138" s="184">
        <f>Q143</f>
        <v>119.34399999999999</v>
      </c>
      <c r="S138" s="184">
        <f>O138</f>
        <v>103.71799999999999</v>
      </c>
      <c r="T138" s="146"/>
      <c r="U138" s="184">
        <f>+S143</f>
        <v>89.08599999999997</v>
      </c>
      <c r="V138" s="184">
        <f>U143</f>
        <v>83.515000000000001</v>
      </c>
      <c r="W138" s="184">
        <f>V143</f>
        <v>76.998000000000005</v>
      </c>
      <c r="X138" s="184">
        <f>W143</f>
        <v>79.700999999999993</v>
      </c>
      <c r="Y138" s="184">
        <f>U138</f>
        <v>89.08599999999997</v>
      </c>
      <c r="Z138" s="146"/>
      <c r="AA138" s="184">
        <f>+Y143</f>
        <v>78.742999999999995</v>
      </c>
      <c r="AB138" s="184">
        <f>AA143</f>
        <v>79.468000000000004</v>
      </c>
      <c r="AC138" s="184">
        <f>AB143</f>
        <v>86.77</v>
      </c>
      <c r="AD138" s="184">
        <f>AC143</f>
        <v>808.03800000000001</v>
      </c>
      <c r="AE138" s="184">
        <f>AA138</f>
        <v>78.742999999999995</v>
      </c>
      <c r="AF138" s="146"/>
      <c r="AG138" s="184">
        <f>+AE143</f>
        <v>791.10000000000014</v>
      </c>
      <c r="AH138" s="184">
        <f>AG143</f>
        <v>998.53800000000001</v>
      </c>
      <c r="AI138" s="184">
        <f>AH143</f>
        <v>947.74699999999996</v>
      </c>
      <c r="AJ138" s="184">
        <f>AI143</f>
        <v>841.75099999999998</v>
      </c>
      <c r="AK138" s="184">
        <f>AG138</f>
        <v>791.10000000000014</v>
      </c>
      <c r="AL138" s="146"/>
      <c r="AM138" s="184">
        <f>+AK143</f>
        <v>830.64200000000005</v>
      </c>
      <c r="AN138" s="184">
        <f>AM143</f>
        <v>805.64599999999996</v>
      </c>
      <c r="AO138" s="184">
        <f>AN143</f>
        <v>786.66700000000003</v>
      </c>
      <c r="AP138" s="184">
        <f>AO143</f>
        <v>800.47</v>
      </c>
      <c r="AQ138" s="184">
        <f>AM138</f>
        <v>830.64200000000005</v>
      </c>
      <c r="AR138" s="146"/>
      <c r="AS138" s="184">
        <f>+AQ143</f>
        <v>795.32299999999998</v>
      </c>
      <c r="AT138" s="184">
        <f>AS143</f>
        <v>785.99699999999996</v>
      </c>
      <c r="AU138" s="184">
        <f>AT143</f>
        <v>765.10500000000002</v>
      </c>
      <c r="AV138" s="184">
        <f>AU143</f>
        <v>710.11199999999997</v>
      </c>
      <c r="AW138" s="184">
        <f>AS138</f>
        <v>795.32299999999998</v>
      </c>
      <c r="AX138" s="146"/>
      <c r="AY138" s="184">
        <f>+AW143</f>
        <v>670.84</v>
      </c>
      <c r="AZ138" s="184">
        <f>AY143</f>
        <v>613.45699999999999</v>
      </c>
      <c r="BA138" s="184">
        <f>AZ143</f>
        <v>616.66899999999998</v>
      </c>
      <c r="BB138" s="184">
        <f>BA143</f>
        <v>600.4</v>
      </c>
      <c r="BC138" s="184">
        <f>AY138</f>
        <v>670.84</v>
      </c>
      <c r="BD138" s="146"/>
      <c r="BE138" s="184">
        <f>BC143</f>
        <v>600.70000000000016</v>
      </c>
      <c r="BF138" s="184">
        <f>BE143</f>
        <v>3138.1</v>
      </c>
      <c r="BG138" s="184">
        <f>BF143</f>
        <v>3028.5</v>
      </c>
      <c r="BH138" s="184">
        <f>BG143</f>
        <v>3135.6</v>
      </c>
      <c r="BI138" s="184">
        <f>BE138</f>
        <v>600.70000000000016</v>
      </c>
      <c r="BJ138" s="146"/>
      <c r="BK138" s="184">
        <f>BI143</f>
        <v>2957.6000000000004</v>
      </c>
      <c r="BL138" s="184">
        <f>BK143</f>
        <v>2955.1</v>
      </c>
      <c r="BM138" s="184">
        <f>BL143</f>
        <v>3059.4</v>
      </c>
      <c r="BN138" s="184">
        <f>BM143</f>
        <v>3109.2</v>
      </c>
      <c r="BO138" s="184">
        <f>BK138</f>
        <v>2957.6000000000004</v>
      </c>
      <c r="BP138" s="146"/>
      <c r="BQ138" s="184">
        <f>BO143</f>
        <v>2800.6999999999994</v>
      </c>
      <c r="BR138" s="184">
        <f>BQ143</f>
        <v>2758.6894999999995</v>
      </c>
      <c r="BS138" s="184">
        <f>BR143</f>
        <v>2717.3091574999994</v>
      </c>
      <c r="BT138" s="184">
        <f>BS143</f>
        <v>2676.5495201374993</v>
      </c>
      <c r="BU138" s="184">
        <f>BO143</f>
        <v>2800.6999999999994</v>
      </c>
      <c r="BV138" s="146"/>
      <c r="BW138" s="184">
        <f>BU143</f>
        <v>2636.401277335437</v>
      </c>
      <c r="BX138" s="184">
        <f>BW143</f>
        <v>2596.8552581754057</v>
      </c>
      <c r="BY138" s="184">
        <f>BX143</f>
        <v>2557.9024293027746</v>
      </c>
      <c r="BZ138" s="184">
        <f>BY143</f>
        <v>2519.5338928632332</v>
      </c>
      <c r="CA138" s="184">
        <f>BU143</f>
        <v>2636.401277335437</v>
      </c>
      <c r="CB138" s="146"/>
      <c r="CC138" s="184">
        <f>CA143</f>
        <v>2481.7408844702841</v>
      </c>
      <c r="CD138" s="184">
        <f>CC143</f>
        <v>2444.5147712032299</v>
      </c>
      <c r="CE138" s="184">
        <f>CD143</f>
        <v>2407.8470496351815</v>
      </c>
      <c r="CF138" s="184">
        <f>CE143</f>
        <v>2371.7293438906536</v>
      </c>
      <c r="CG138" s="184">
        <f>CA143</f>
        <v>2481.7408844702841</v>
      </c>
      <c r="CH138" s="184"/>
      <c r="CI138" s="184"/>
      <c r="CJ138" s="184"/>
      <c r="CK138"/>
      <c r="CL138"/>
      <c r="CM138"/>
      <c r="CN138"/>
      <c r="CO138"/>
      <c r="CP138"/>
    </row>
    <row r="139" spans="2:94" s="1102" customFormat="1" ht="11.25" customHeight="1" outlineLevel="1" x14ac:dyDescent="0.2">
      <c r="B139" s="59" t="s">
        <v>620</v>
      </c>
      <c r="C139" s="184">
        <f>-C154*C156</f>
        <v>2.145</v>
      </c>
      <c r="D139" s="184">
        <f>-D154*D156</f>
        <v>5.7218999999999998</v>
      </c>
      <c r="E139" s="184">
        <f>-E154*E156</f>
        <v>22.323600000000003</v>
      </c>
      <c r="F139" s="184">
        <f>-F154*F156</f>
        <v>0.25709999999999977</v>
      </c>
      <c r="G139" s="184">
        <f>+SUM(C139:F139)</f>
        <v>30.447600000000001</v>
      </c>
      <c r="H139" s="146"/>
      <c r="I139" s="184">
        <f>-I154*I156</f>
        <v>0.72450000000000003</v>
      </c>
      <c r="J139" s="184">
        <f>-J154*J156</f>
        <v>0</v>
      </c>
      <c r="K139" s="184">
        <f>-K154*K156</f>
        <v>12.4566</v>
      </c>
      <c r="L139" s="184">
        <f>-L154*L156</f>
        <v>22.008900000000001</v>
      </c>
      <c r="M139" s="184">
        <f>+SUM(I139:L139)</f>
        <v>35.19</v>
      </c>
      <c r="N139" s="146"/>
      <c r="O139" s="184">
        <f>-O154*O156</f>
        <v>0.17219999999999999</v>
      </c>
      <c r="P139" s="184">
        <f>-P154*P156</f>
        <v>0.72360000000000013</v>
      </c>
      <c r="Q139" s="184">
        <f>-Q154*Q156</f>
        <v>0</v>
      </c>
      <c r="R139" s="184">
        <f>-R154*R156</f>
        <v>0</v>
      </c>
      <c r="S139" s="184">
        <f>+SUM(O139:R139)</f>
        <v>0.89580000000000015</v>
      </c>
      <c r="T139" s="146"/>
      <c r="U139" s="184">
        <f>-U154*U156</f>
        <v>2.3060999999999998</v>
      </c>
      <c r="V139" s="184">
        <f>-V154*V156</f>
        <v>0.18659999999999968</v>
      </c>
      <c r="W139" s="184">
        <f>-W154*W156</f>
        <v>4.1063999999999998</v>
      </c>
      <c r="X139" s="184">
        <f>-X154*X156</f>
        <v>4.0676999999999994</v>
      </c>
      <c r="Y139" s="184">
        <f>+SUM(U139:X139)</f>
        <v>10.666799999999999</v>
      </c>
      <c r="Z139" s="146"/>
      <c r="AA139" s="184">
        <f>-AA154*AA156</f>
        <v>6.3380999999999998</v>
      </c>
      <c r="AB139" s="184">
        <f>-AB154*AB156</f>
        <v>-0.31199999999999972</v>
      </c>
      <c r="AC139" s="184">
        <f>-AC154*AC156</f>
        <v>533.34960000000001</v>
      </c>
      <c r="AD139" s="184">
        <f>-AD154*AD156</f>
        <v>-3.1209000000000091</v>
      </c>
      <c r="AE139" s="184">
        <f>+SUM(AA139:AD139)</f>
        <v>536.25480000000005</v>
      </c>
      <c r="AF139" s="146"/>
      <c r="AG139" s="184">
        <f>-AG154*AG156</f>
        <v>0</v>
      </c>
      <c r="AH139" s="184">
        <f>-AH154*AH156</f>
        <v>0</v>
      </c>
      <c r="AI139" s="184">
        <f>-AI154*AI156</f>
        <v>0</v>
      </c>
      <c r="AJ139" s="184">
        <f>-AJ154*AJ156</f>
        <v>1.4582999999999999</v>
      </c>
      <c r="AK139" s="184">
        <f>+SUM(AG139:AJ139)</f>
        <v>1.4582999999999999</v>
      </c>
      <c r="AL139" s="146"/>
      <c r="AM139" s="184">
        <f>-AM154*AM156</f>
        <v>1.1817</v>
      </c>
      <c r="AN139" s="184">
        <f>-AN154*AN156</f>
        <v>0</v>
      </c>
      <c r="AO139" s="184">
        <f>-AO154*AO156</f>
        <v>0</v>
      </c>
      <c r="AP139" s="184">
        <f>-AP154*AP156</f>
        <v>18.692399999999999</v>
      </c>
      <c r="AQ139" s="184">
        <f>+SUM(AM139:AP139)</f>
        <v>19.874099999999999</v>
      </c>
      <c r="AR139" s="146"/>
      <c r="AS139" s="184">
        <f>-AS154*AS156</f>
        <v>0</v>
      </c>
      <c r="AT139" s="184">
        <f>-AT154*AT156</f>
        <v>0.6026999999999999</v>
      </c>
      <c r="AU139" s="184">
        <f>-AU154*AU156</f>
        <v>-0.4113</v>
      </c>
      <c r="AV139" s="184">
        <f>-AV154*AV156</f>
        <v>0.42090000000000011</v>
      </c>
      <c r="AW139" s="184">
        <f>+SUM(AS139:AV139)</f>
        <v>0.61230000000000007</v>
      </c>
      <c r="AX139" s="146"/>
      <c r="AY139" s="184">
        <f>-AY154*AY156</f>
        <v>0</v>
      </c>
      <c r="AZ139" s="184">
        <f>-AZ154*AZ156</f>
        <v>0.99150000000000005</v>
      </c>
      <c r="BA139" s="184">
        <f>-BA154*BA156</f>
        <v>-1.5000000000001013E-3</v>
      </c>
      <c r="BB139" s="184">
        <f>-BB154*BB156</f>
        <v>15.21</v>
      </c>
      <c r="BC139" s="184">
        <f>+SUM(AY139:BB139)</f>
        <v>16.2</v>
      </c>
      <c r="BD139" s="146"/>
      <c r="BE139" s="184">
        <f>-BE154*BE156</f>
        <v>0.12</v>
      </c>
      <c r="BF139" s="184">
        <f>-BF154*BF156</f>
        <v>0</v>
      </c>
      <c r="BG139" s="184">
        <f>-BG154*BG156</f>
        <v>102.42</v>
      </c>
      <c r="BH139" s="184">
        <f>-BH154*BH156</f>
        <v>0</v>
      </c>
      <c r="BI139" s="184">
        <f>+SUM(BE139:BH139)</f>
        <v>102.54</v>
      </c>
      <c r="BJ139" s="146"/>
      <c r="BK139" s="184">
        <f>-BK154*BK156</f>
        <v>2.73</v>
      </c>
      <c r="BL139" s="184">
        <f>-BL154*BL156</f>
        <v>34.83</v>
      </c>
      <c r="BM139" s="184">
        <f>-BM154*BM156</f>
        <v>3.2100000000000009</v>
      </c>
      <c r="BN139" s="184">
        <f>-BN154*BN156</f>
        <v>3</v>
      </c>
      <c r="BO139" s="184">
        <f>+SUM(BK139:BN139)</f>
        <v>43.769999999999996</v>
      </c>
      <c r="BP139" s="146"/>
      <c r="BQ139" s="184">
        <f>-BQ154*BQ156</f>
        <v>0</v>
      </c>
      <c r="BR139" s="184">
        <f>-BR154*BR156</f>
        <v>0</v>
      </c>
      <c r="BS139" s="184">
        <f>-BS154*BS156</f>
        <v>0</v>
      </c>
      <c r="BT139" s="184">
        <f>-BT154*BT156</f>
        <v>0</v>
      </c>
      <c r="BU139" s="184">
        <f>SUM(BQ139:BT139)</f>
        <v>0</v>
      </c>
      <c r="BV139" s="146"/>
      <c r="BW139" s="184">
        <f>-BW154*BW156</f>
        <v>0</v>
      </c>
      <c r="BX139" s="184">
        <f>-BX154*BX156</f>
        <v>0</v>
      </c>
      <c r="BY139" s="184">
        <f>-BY154*BY156</f>
        <v>0</v>
      </c>
      <c r="BZ139" s="184">
        <f>-BZ154*BZ156</f>
        <v>0</v>
      </c>
      <c r="CA139" s="184">
        <f>SUM(BW139:BZ139)</f>
        <v>0</v>
      </c>
      <c r="CB139" s="146"/>
      <c r="CC139" s="184">
        <f>-CC154*CC156</f>
        <v>0</v>
      </c>
      <c r="CD139" s="184">
        <f>-CD154*CD156</f>
        <v>0</v>
      </c>
      <c r="CE139" s="184">
        <f>-CE154*CE156</f>
        <v>0</v>
      </c>
      <c r="CF139" s="184">
        <f>-CF154*CF156</f>
        <v>0</v>
      </c>
      <c r="CG139" s="184">
        <f>SUM(CC139:CF139)</f>
        <v>0</v>
      </c>
      <c r="CH139" s="184"/>
      <c r="CI139" s="184"/>
      <c r="CJ139" s="184"/>
      <c r="CK139"/>
      <c r="CL139"/>
      <c r="CM139"/>
      <c r="CN139"/>
      <c r="CO139"/>
      <c r="CP139"/>
    </row>
    <row r="140" spans="2:94" s="1102" customFormat="1" ht="11.25" customHeight="1" outlineLevel="1" x14ac:dyDescent="0.2">
      <c r="B140" s="59" t="s">
        <v>125</v>
      </c>
      <c r="C140" s="184">
        <f>+CashFlow!C12</f>
        <v>1.8240000000000001</v>
      </c>
      <c r="D140" s="184">
        <f>+CashFlow!D12</f>
        <v>2.0229999999999997</v>
      </c>
      <c r="E140" s="184">
        <f>+CashFlow!E12</f>
        <v>1.7610000000000001</v>
      </c>
      <c r="F140" s="184">
        <f>+CashFlow!F12</f>
        <v>2.0529999999999999</v>
      </c>
      <c r="G140" s="184">
        <f>SUM(C140:F140)</f>
        <v>7.6609999999999996</v>
      </c>
      <c r="H140" s="146"/>
      <c r="I140" s="184">
        <f>+CashFlow!I12</f>
        <v>2.1890000000000001</v>
      </c>
      <c r="J140" s="184">
        <f>+CashFlow!J12</f>
        <v>2.1740000000000004</v>
      </c>
      <c r="K140" s="184">
        <f>+CashFlow!K12</f>
        <v>2.34</v>
      </c>
      <c r="L140" s="184">
        <f>+CashFlow!L12</f>
        <v>2.3389999999999995</v>
      </c>
      <c r="M140" s="184">
        <f>SUM(I140:L140)</f>
        <v>9.0419999999999998</v>
      </c>
      <c r="N140" s="146"/>
      <c r="O140" s="184">
        <f>+CashFlow!O12</f>
        <v>3.4409999999999998</v>
      </c>
      <c r="P140" s="184">
        <f>+CashFlow!P12</f>
        <v>3.133</v>
      </c>
      <c r="Q140" s="184">
        <f>+CashFlow!Q12</f>
        <v>2.6530000000000005</v>
      </c>
      <c r="R140" s="184">
        <f>+CashFlow!R12</f>
        <v>1.8609999999999989</v>
      </c>
      <c r="S140" s="184">
        <f>SUM(O140:R140)</f>
        <v>11.087999999999999</v>
      </c>
      <c r="T140" s="146"/>
      <c r="U140" s="184">
        <f>+CashFlow!U12</f>
        <v>2.524</v>
      </c>
      <c r="V140" s="184">
        <f>+CashFlow!V12</f>
        <v>2.2469999999999999</v>
      </c>
      <c r="W140" s="184">
        <f>+CashFlow!W12</f>
        <v>2.3260000000000005</v>
      </c>
      <c r="X140" s="184">
        <f>+CashFlow!X12</f>
        <v>2.3749999999999991</v>
      </c>
      <c r="Y140" s="184">
        <f>SUM(U140:X140)</f>
        <v>9.4719999999999995</v>
      </c>
      <c r="Z140" s="146"/>
      <c r="AA140" s="184">
        <f>+CashFlow!AA12</f>
        <v>2.379</v>
      </c>
      <c r="AB140" s="184">
        <f>+CashFlow!AB12</f>
        <v>2.3569999999999998</v>
      </c>
      <c r="AC140" s="184">
        <f>+CashFlow!AC12</f>
        <v>12.093999999999999</v>
      </c>
      <c r="AD140" s="184">
        <f>+CashFlow!AD12</f>
        <v>12.188999999999998</v>
      </c>
      <c r="AE140" s="184">
        <f>SUM(AA140:AD140)</f>
        <v>29.018999999999998</v>
      </c>
      <c r="AF140" s="146"/>
      <c r="AG140" s="184">
        <f>+CashFlow!AG12</f>
        <v>16.560000000000002</v>
      </c>
      <c r="AH140" s="184">
        <f>+CashFlow!AH12</f>
        <v>13.844999999999999</v>
      </c>
      <c r="AI140" s="184">
        <f>+CashFlow!AI12</f>
        <v>12.632999999999999</v>
      </c>
      <c r="AJ140" s="184">
        <f>+CashFlow!AJ12</f>
        <v>13.750000000000004</v>
      </c>
      <c r="AK140" s="184">
        <f>SUM(AG140:AJ140)</f>
        <v>56.787999999999997</v>
      </c>
      <c r="AL140" s="146"/>
      <c r="AM140" s="184">
        <f>+CashFlow!AM12</f>
        <v>13.229999999999999</v>
      </c>
      <c r="AN140" s="184">
        <f>+CashFlow!AN12</f>
        <v>12.796000000000001</v>
      </c>
      <c r="AO140" s="184">
        <f>+CashFlow!AO12</f>
        <v>12.516000000000004</v>
      </c>
      <c r="AP140" s="184">
        <f>+CashFlow!AP12</f>
        <v>12.706000000000005</v>
      </c>
      <c r="AQ140" s="184">
        <f>SUM(AM140:AP140)</f>
        <v>51.248000000000005</v>
      </c>
      <c r="AR140" s="146"/>
      <c r="AS140" s="184">
        <f>+CashFlow!AS12</f>
        <v>13.711</v>
      </c>
      <c r="AT140" s="184">
        <f>+CashFlow!AT12</f>
        <v>13.066999999999998</v>
      </c>
      <c r="AU140" s="184">
        <f>+CashFlow!AU12</f>
        <v>13.169000000000002</v>
      </c>
      <c r="AV140" s="184">
        <f>+CashFlow!AV12</f>
        <v>7.9669999999999987</v>
      </c>
      <c r="AW140" s="184">
        <f>SUM(AS140:AV140)</f>
        <v>47.914000000000001</v>
      </c>
      <c r="AX140" s="146"/>
      <c r="AY140" s="184">
        <f>+CashFlow!AY12</f>
        <v>11.995000000000001</v>
      </c>
      <c r="AZ140" s="184">
        <f>+CashFlow!AZ12</f>
        <v>12.027999999999999</v>
      </c>
      <c r="BA140" s="184">
        <f>+CashFlow!BA12</f>
        <v>8.7769999999999975</v>
      </c>
      <c r="BB140" s="184">
        <f>+CashFlow!BB12</f>
        <v>10.999999999999996</v>
      </c>
      <c r="BC140" s="184">
        <f>SUM(AY140:BB140)</f>
        <v>43.8</v>
      </c>
      <c r="BD140" s="146"/>
      <c r="BE140" s="184">
        <f>+CashFlow!BE12</f>
        <v>21.8</v>
      </c>
      <c r="BF140" s="184">
        <f>+CashFlow!BF12</f>
        <v>43.8</v>
      </c>
      <c r="BG140" s="184">
        <f>+CashFlow!BG12</f>
        <v>44.300000000000011</v>
      </c>
      <c r="BH140" s="184">
        <f>+CashFlow!BH12</f>
        <v>45.199999999999989</v>
      </c>
      <c r="BI140" s="184">
        <f>SUM(BE140:BH140)</f>
        <v>155.1</v>
      </c>
      <c r="BJ140" s="146"/>
      <c r="BK140" s="184">
        <f>+CashFlow!BK12</f>
        <v>45.2</v>
      </c>
      <c r="BL140" s="184">
        <f>+CashFlow!BL12</f>
        <v>46.599999999999994</v>
      </c>
      <c r="BM140" s="184">
        <f>+CashFlow!BM12</f>
        <v>48.7</v>
      </c>
      <c r="BN140" s="184">
        <f>+CashFlow!BN12</f>
        <v>48.599999999999994</v>
      </c>
      <c r="BO140" s="184">
        <f>SUM(BK140:BN140)</f>
        <v>189.1</v>
      </c>
      <c r="BP140" s="146"/>
      <c r="BQ140" s="184">
        <f>-(BQ138*BQ141)/4</f>
        <v>42.010499999999986</v>
      </c>
      <c r="BR140" s="184">
        <f>-(BR138*BR141)/4</f>
        <v>41.38034249999999</v>
      </c>
      <c r="BS140" s="184">
        <f>-(BS138*BS141)/4</f>
        <v>40.759637362499987</v>
      </c>
      <c r="BT140" s="184">
        <f>-(BT138*BT141)/4</f>
        <v>40.148242802062491</v>
      </c>
      <c r="BU140" s="184">
        <f>SUM(BQ140:BT140)</f>
        <v>164.29872266456246</v>
      </c>
      <c r="BV140" s="146"/>
      <c r="BW140" s="184">
        <f>-(BW138*BW141)/4</f>
        <v>39.546019160031555</v>
      </c>
      <c r="BX140" s="184">
        <f>-(BX138*BX141)/4</f>
        <v>38.952828872631081</v>
      </c>
      <c r="BY140" s="184">
        <f>-(BY138*BY141)/4</f>
        <v>38.368536439541622</v>
      </c>
      <c r="BZ140" s="184">
        <f>-(BZ138*BZ141)/4</f>
        <v>37.793008392948494</v>
      </c>
      <c r="CA140" s="184">
        <f>SUM(BW140:BZ140)</f>
        <v>154.66039286515274</v>
      </c>
      <c r="CB140" s="146"/>
      <c r="CC140" s="184">
        <f>-(CC138*CC141)/4</f>
        <v>37.226113267054259</v>
      </c>
      <c r="CD140" s="184">
        <f>-(CD138*CD141)/4</f>
        <v>36.667721568048449</v>
      </c>
      <c r="CE140" s="184">
        <f>-(CE138*CE141)/4</f>
        <v>36.117705744527719</v>
      </c>
      <c r="CF140" s="184">
        <f>-(CF138*CF141)/4</f>
        <v>35.575940158359799</v>
      </c>
      <c r="CG140" s="184">
        <f>SUM(CC140:CF140)</f>
        <v>145.58748073799023</v>
      </c>
      <c r="CH140" s="184"/>
      <c r="CI140" s="184"/>
      <c r="CJ140" s="184"/>
      <c r="CK140"/>
      <c r="CL140"/>
      <c r="CM140"/>
      <c r="CN140"/>
      <c r="CO140"/>
      <c r="CP140"/>
    </row>
    <row r="141" spans="2:94" s="1102" customFormat="1" ht="11.25" customHeight="1" outlineLevel="1" x14ac:dyDescent="0.2">
      <c r="B141" s="93" t="s">
        <v>126</v>
      </c>
      <c r="C141" s="1135">
        <f>-(C140*4)/C138</f>
        <v>-0.10785241248817409</v>
      </c>
      <c r="D141" s="1135">
        <f>-(D140*4)/D138</f>
        <v>-0.11985839764193559</v>
      </c>
      <c r="E141" s="1135">
        <f>-(E140*4)/E138</f>
        <v>-9.862093104655234E-2</v>
      </c>
      <c r="F141" s="1135">
        <f>-(F140*4)/F138</f>
        <v>-0.11482424005145557</v>
      </c>
      <c r="G141" s="1135">
        <f>-(G140)/G138</f>
        <v>-0.11324798959318827</v>
      </c>
      <c r="H141" s="146"/>
      <c r="I141" s="1135">
        <f>-(I140*4)/I138</f>
        <v>-0.11495792140953429</v>
      </c>
      <c r="J141" s="1135">
        <f>-(J140*4)/J138</f>
        <v>-0.11338418410587395</v>
      </c>
      <c r="K141" s="1135">
        <f>-(K140*4)/K138</f>
        <v>-0.12259813745137334</v>
      </c>
      <c r="L141" s="1135">
        <f>-(L140*4)/L138</f>
        <v>-0.13665176876113691</v>
      </c>
      <c r="M141" s="1135">
        <f>-(M140)/M138</f>
        <v>-0.11871282839024772</v>
      </c>
      <c r="N141" s="146"/>
      <c r="O141" s="1135">
        <f>-(O140*4)/O138</f>
        <v>-0.13270599124549259</v>
      </c>
      <c r="P141" s="1135">
        <f>-(P140*4)/P138</f>
        <v>-0.10028969733830567</v>
      </c>
      <c r="Q141" s="1135">
        <f>-(Q140*4)/Q138</f>
        <v>-8.6490187129164786E-2</v>
      </c>
      <c r="R141" s="1135">
        <f>-(R140*4)/R138</f>
        <v>-6.2374312910577788E-2</v>
      </c>
      <c r="S141" s="1135">
        <f>-(S140)/S138</f>
        <v>-0.1069052623459766</v>
      </c>
      <c r="T141" s="146"/>
      <c r="U141" s="1135">
        <f>-(U140*4)/U138</f>
        <v>-0.11332869362189349</v>
      </c>
      <c r="V141" s="1135">
        <f>-(V140*4)/V138</f>
        <v>-0.10762138537987187</v>
      </c>
      <c r="W141" s="1135">
        <f>-(W140*4)/W138</f>
        <v>-0.12083430738460742</v>
      </c>
      <c r="X141" s="1135">
        <f>-(X140*4)/X138</f>
        <v>-0.11919549315566928</v>
      </c>
      <c r="Y141" s="1135">
        <f>-(Y140)/Y138</f>
        <v>-0.10632422602878121</v>
      </c>
      <c r="Z141" s="146"/>
      <c r="AA141" s="1135">
        <f>-(AA140*4)/AA138</f>
        <v>-0.12084883735697143</v>
      </c>
      <c r="AB141" s="1135">
        <f>-(AB140*4)/AB138</f>
        <v>-0.11863894901092262</v>
      </c>
      <c r="AC141" s="1135">
        <f>-(AC140*4)/AC138</f>
        <v>-0.55751988014290654</v>
      </c>
      <c r="AD141" s="1135">
        <f>-(AD140*4)/AD138</f>
        <v>-6.033874644509292E-2</v>
      </c>
      <c r="AE141" s="1135">
        <f>-(AE140)/AE138</f>
        <v>-0.3685279961393394</v>
      </c>
      <c r="AF141" s="146"/>
      <c r="AG141" s="1135">
        <f>-(AG140*4)/AG138</f>
        <v>-8.3731513083048922E-2</v>
      </c>
      <c r="AH141" s="1135">
        <f>-(AH140*4)/AH138</f>
        <v>-5.546108410496145E-2</v>
      </c>
      <c r="AI141" s="1135">
        <f>-(AI140*4)/AI138</f>
        <v>-5.3318026857378603E-2</v>
      </c>
      <c r="AJ141" s="1135">
        <f>-(AJ140*4)/AJ138</f>
        <v>-6.5339987716082334E-2</v>
      </c>
      <c r="AK141" s="1135">
        <f>-(AK140)/AK138</f>
        <v>-7.1783592466186305E-2</v>
      </c>
      <c r="AL141" s="146"/>
      <c r="AM141" s="1135">
        <f>-(AM140*4)/AM138</f>
        <v>-6.3709757031308309E-2</v>
      </c>
      <c r="AN141" s="1135">
        <f>-(AN140*4)/AN138</f>
        <v>-6.3531625552662091E-2</v>
      </c>
      <c r="AO141" s="1135">
        <f>-(AO140*4)/AO138</f>
        <v>-6.3640650999724171E-2</v>
      </c>
      <c r="AP141" s="1135">
        <f>-(AP140*4)/AP138</f>
        <v>-6.3492698039901582E-2</v>
      </c>
      <c r="AQ141" s="1135">
        <f>-(AQ140)/AQ138</f>
        <v>-6.1696856166675897E-2</v>
      </c>
      <c r="AR141" s="146"/>
      <c r="AS141" s="1135">
        <f>-(AS140*4)/AS138</f>
        <v>-6.8958146564351841E-2</v>
      </c>
      <c r="AT141" s="1135">
        <f>-(AT140*4)/AT138</f>
        <v>-6.6498981548275632E-2</v>
      </c>
      <c r="AU141" s="1135">
        <f>-(AU140*4)/AU138</f>
        <v>-6.8848066605237193E-2</v>
      </c>
      <c r="AV141" s="1135">
        <f>-(AV140*4)/AV138</f>
        <v>-4.4877427786039384E-2</v>
      </c>
      <c r="AW141" s="1135">
        <f>-(AW140)/AW138</f>
        <v>-6.0244705610173477E-2</v>
      </c>
      <c r="AX141" s="146"/>
      <c r="AY141" s="1135">
        <f>-(AY140*4)/AY138</f>
        <v>-7.1522270586130823E-2</v>
      </c>
      <c r="AZ141" s="1135">
        <f>-(AZ140*4)/AZ138</f>
        <v>-7.842766485670552E-2</v>
      </c>
      <c r="BA141" s="1135">
        <f>-(BA140*4)/BA138</f>
        <v>-5.6931676474737646E-2</v>
      </c>
      <c r="BB141" s="1135">
        <f>-(BB140*4)/BB138</f>
        <v>-7.3284477015323091E-2</v>
      </c>
      <c r="BC141" s="1135">
        <f>-(BC140)/BC138</f>
        <v>-6.5291276608431217E-2</v>
      </c>
      <c r="BD141" s="146"/>
      <c r="BE141" s="1135">
        <f>-(BE140*4)/BE138</f>
        <v>-0.14516397536207754</v>
      </c>
      <c r="BF141" s="1135">
        <f>-(BF140*4)/BF138</f>
        <v>-5.582996080430834E-2</v>
      </c>
      <c r="BG141" s="1135">
        <f>-(BG140*4)/BG138</f>
        <v>-5.8510813934290917E-2</v>
      </c>
      <c r="BH141" s="1135">
        <f>-(BH140*4)/BH138</f>
        <v>-5.7660415869371082E-2</v>
      </c>
      <c r="BI141" s="1135">
        <f>-(BI140)/BI138</f>
        <v>-0.25819876810387871</v>
      </c>
      <c r="BJ141" s="146"/>
      <c r="BK141" s="1135">
        <f>-(BK140*4)/BK138</f>
        <v>-6.1130646470110898E-2</v>
      </c>
      <c r="BL141" s="1135">
        <f>-(BL140*4)/BL138</f>
        <v>-6.3077391628032886E-2</v>
      </c>
      <c r="BM141" s="1135">
        <f>-(BM140*4)/BM138</f>
        <v>-6.3672615545531802E-2</v>
      </c>
      <c r="BN141" s="1135">
        <f>-(BN140*4)/BN138</f>
        <v>-6.252412196063295E-2</v>
      </c>
      <c r="BO141" s="1135">
        <f>-(BO140)/BO138</f>
        <v>-6.3936975926426817E-2</v>
      </c>
      <c r="BP141" s="146"/>
      <c r="BQ141" s="1203">
        <v>-0.06</v>
      </c>
      <c r="BR141" s="1203">
        <f>+BQ141</f>
        <v>-0.06</v>
      </c>
      <c r="BS141" s="1203">
        <f>+BR141</f>
        <v>-0.06</v>
      </c>
      <c r="BT141" s="1203">
        <f>+BS141</f>
        <v>-0.06</v>
      </c>
      <c r="BU141" s="1135">
        <f>-(BU140)/BU138</f>
        <v>-5.8663449375000003E-2</v>
      </c>
      <c r="BV141" s="146"/>
      <c r="BW141" s="1203">
        <v>-0.06</v>
      </c>
      <c r="BX141" s="1203">
        <f t="shared" ref="BX141:BZ141" si="59">+BW141</f>
        <v>-0.06</v>
      </c>
      <c r="BY141" s="1203">
        <f t="shared" si="59"/>
        <v>-0.06</v>
      </c>
      <c r="BZ141" s="1203">
        <f t="shared" si="59"/>
        <v>-0.06</v>
      </c>
      <c r="CA141" s="1135">
        <f t="shared" ref="CA141" si="60">-(CA140)/CA138</f>
        <v>-5.8663449375000003E-2</v>
      </c>
      <c r="CB141" s="146"/>
      <c r="CC141" s="1203">
        <v>-0.06</v>
      </c>
      <c r="CD141" s="1203">
        <f t="shared" ref="CD141:CF141" si="61">+CC141</f>
        <v>-0.06</v>
      </c>
      <c r="CE141" s="1203">
        <f t="shared" si="61"/>
        <v>-0.06</v>
      </c>
      <c r="CF141" s="1203">
        <f t="shared" si="61"/>
        <v>-0.06</v>
      </c>
      <c r="CG141" s="1135">
        <f t="shared" ref="CG141" si="62">-(CG140)/CG138</f>
        <v>-5.8663449375000003E-2</v>
      </c>
      <c r="CH141" s="1135"/>
      <c r="CI141" s="1135"/>
      <c r="CJ141" s="1135"/>
      <c r="CK141"/>
      <c r="CL141"/>
      <c r="CM141"/>
      <c r="CN141"/>
      <c r="CO141"/>
      <c r="CP141"/>
    </row>
    <row r="142" spans="2:94" s="1102" customFormat="1" ht="11.25" customHeight="1" outlineLevel="1" x14ac:dyDescent="0.2">
      <c r="B142" s="59" t="s">
        <v>74</v>
      </c>
      <c r="C142" s="263">
        <f>C143-C140-C139-C138</f>
        <v>-4.1039999999999921</v>
      </c>
      <c r="D142" s="263">
        <f>D143-D140-D139-D138</f>
        <v>-3.8329000000000022</v>
      </c>
      <c r="E142" s="263">
        <f>E143-E140-E139-E138</f>
        <v>-23.991599999999991</v>
      </c>
      <c r="F142" s="263">
        <f>F143-F140-F139-F138</f>
        <v>2.3389000000000095</v>
      </c>
      <c r="G142" s="263">
        <f>SUM(C142:F142)</f>
        <v>-29.589599999999976</v>
      </c>
      <c r="H142" s="146"/>
      <c r="I142" s="263">
        <f>I143-I140-I139-I138</f>
        <v>-2.3855000000000217</v>
      </c>
      <c r="J142" s="263">
        <f>J143-J140-J139-J138</f>
        <v>-2.5220000000000056</v>
      </c>
      <c r="K142" s="263">
        <f>K143-K140-K139-K138</f>
        <v>-22.677600000000005</v>
      </c>
      <c r="L142" s="263">
        <f>L143-L140-L139-L138</f>
        <v>10.904100000000014</v>
      </c>
      <c r="M142" s="263">
        <f>SUM(I142:L142)</f>
        <v>-16.681000000000019</v>
      </c>
      <c r="N142" s="146"/>
      <c r="O142" s="263">
        <f>O143-O140-O139-O138</f>
        <v>17.626800000000003</v>
      </c>
      <c r="P142" s="263">
        <f>P143-P140-P139-P138</f>
        <v>-6.1186000000000007</v>
      </c>
      <c r="Q142" s="263">
        <f>Q143-Q140-Q139-Q138</f>
        <v>-6.0050000000000097</v>
      </c>
      <c r="R142" s="263">
        <f>R143-R140-R139-R138</f>
        <v>-32.119</v>
      </c>
      <c r="S142" s="263">
        <f>SUM(O142:R142)</f>
        <v>-26.615800000000007</v>
      </c>
      <c r="T142" s="146"/>
      <c r="U142" s="263">
        <f>U143-U140-U139-U138</f>
        <v>-10.401099999999971</v>
      </c>
      <c r="V142" s="263">
        <f>V143-V140-V139-V138</f>
        <v>-8.9505999999999943</v>
      </c>
      <c r="W142" s="263">
        <f>W143-W140-W139-W138</f>
        <v>-3.7293999999999983</v>
      </c>
      <c r="X142" s="263">
        <f>X143-X140-X139-X138</f>
        <v>-7.4007000000000005</v>
      </c>
      <c r="Y142" s="263">
        <f>SUM(U142:X142)</f>
        <v>-30.481799999999964</v>
      </c>
      <c r="Z142" s="146"/>
      <c r="AA142" s="263">
        <f>AA143-AA140-AA139-AA138</f>
        <v>-7.9920999999999935</v>
      </c>
      <c r="AB142" s="263">
        <f>AB143-AB140-AB139-AB138</f>
        <v>5.2569999999999908</v>
      </c>
      <c r="AC142" s="263">
        <f>AC143-AC140-AC139-AC138</f>
        <v>175.82439999999997</v>
      </c>
      <c r="AD142" s="263">
        <f>AD143-AD140-AD139-AD138</f>
        <v>-26.006099999999947</v>
      </c>
      <c r="AE142" s="263">
        <f>SUM(AA142:AD142)</f>
        <v>147.08320000000003</v>
      </c>
      <c r="AF142" s="146"/>
      <c r="AG142" s="263">
        <f>AG143-AG140-AG139-AG138</f>
        <v>190.87799999999993</v>
      </c>
      <c r="AH142" s="263">
        <f>AH143-AH140-AH139-AH138</f>
        <v>-64.636000000000081</v>
      </c>
      <c r="AI142" s="263">
        <f>AI143-AI140-AI139-AI138</f>
        <v>-118.62900000000002</v>
      </c>
      <c r="AJ142" s="263">
        <f>AJ143-AJ140-AJ139-AJ138</f>
        <v>-26.317299999999932</v>
      </c>
      <c r="AK142" s="263">
        <f>SUM(AG142:AJ142)</f>
        <v>-18.704300000000103</v>
      </c>
      <c r="AL142" s="146"/>
      <c r="AM142" s="263">
        <f>AM143-AM140-AM139-AM138</f>
        <v>-39.407700000000091</v>
      </c>
      <c r="AN142" s="263">
        <f>AN143-AN140-AN139-AN138</f>
        <v>-31.774999999999977</v>
      </c>
      <c r="AO142" s="263">
        <f>AO143-AO140-AO139-AO138</f>
        <v>1.2870000000000346</v>
      </c>
      <c r="AP142" s="263">
        <f>AP143-AP140-AP139-AP138</f>
        <v>-36.545400000000086</v>
      </c>
      <c r="AQ142" s="263">
        <f>SUM(AM142:AP142)</f>
        <v>-106.44110000000012</v>
      </c>
      <c r="AR142" s="146"/>
      <c r="AS142" s="263">
        <f>AS143-AS140-AS139-AS138</f>
        <v>-23.037000000000035</v>
      </c>
      <c r="AT142" s="263">
        <f>AT143-AT140-AT139-AT138</f>
        <v>-34.561699999999973</v>
      </c>
      <c r="AU142" s="263">
        <f>AU143-AU140-AU139-AU138</f>
        <v>-67.750700000000052</v>
      </c>
      <c r="AV142" s="263">
        <f>AV143-AV140-AV139-AV138</f>
        <v>-47.65989999999988</v>
      </c>
      <c r="AW142" s="263">
        <f>SUM(AS142:AV142)</f>
        <v>-173.00929999999994</v>
      </c>
      <c r="AX142" s="146"/>
      <c r="AY142" s="263">
        <f t="shared" ref="AY142:BB142" si="63">AY143+AY140-AY139-AY138</f>
        <v>-45.388000000000034</v>
      </c>
      <c r="AZ142" s="263">
        <f t="shared" si="63"/>
        <v>14.248500000000035</v>
      </c>
      <c r="BA142" s="263">
        <f t="shared" si="63"/>
        <v>-7.4904999999999973</v>
      </c>
      <c r="BB142" s="263">
        <f t="shared" si="63"/>
        <v>-3.9099999999999682</v>
      </c>
      <c r="BC142" s="263">
        <f>SUM(AY142:BB142)</f>
        <v>-42.539999999999964</v>
      </c>
      <c r="BD142" s="146"/>
      <c r="BE142" s="263">
        <f>BE143+BE140-BE139-BE138</f>
        <v>2559.08</v>
      </c>
      <c r="BF142" s="263">
        <f>BF143+BF140-BF139-BF138</f>
        <v>-65.799999999999727</v>
      </c>
      <c r="BG142" s="263">
        <f>BG143+BG140-BG139-BG138</f>
        <v>48.980000000000018</v>
      </c>
      <c r="BH142" s="263">
        <f>BH143+BH140-BH139-BH138</f>
        <v>-132.80000000000018</v>
      </c>
      <c r="BI142" s="263">
        <f>SUM(BE142:BH142)</f>
        <v>2409.46</v>
      </c>
      <c r="BJ142" s="146"/>
      <c r="BK142" s="263">
        <f>BK143+BK140-BK139-BK138</f>
        <v>39.969999999999345</v>
      </c>
      <c r="BL142" s="263">
        <f>BL143+BL140-BL139-BL138</f>
        <v>116.07000000000016</v>
      </c>
      <c r="BM142" s="263">
        <f>BM143+BM140-BM139-BM138</f>
        <v>95.289999999999509</v>
      </c>
      <c r="BN142" s="263">
        <f>BN143+BN140-BN139-BN138</f>
        <v>-262.90000000000009</v>
      </c>
      <c r="BO142" s="263">
        <f>SUM(BK142:BN142)</f>
        <v>-11.570000000001073</v>
      </c>
      <c r="BP142" s="146"/>
      <c r="BQ142" s="263">
        <f>-CashFlow!BQ35</f>
        <v>0</v>
      </c>
      <c r="BR142" s="263">
        <f>-CashFlow!BR35</f>
        <v>0</v>
      </c>
      <c r="BS142" s="263">
        <f>-CashFlow!BS35</f>
        <v>0</v>
      </c>
      <c r="BT142" s="263">
        <f>-CashFlow!BT35</f>
        <v>0</v>
      </c>
      <c r="BU142" s="263">
        <f>SUM(BQ142:BT142)</f>
        <v>0</v>
      </c>
      <c r="BV142" s="146"/>
      <c r="BW142" s="263">
        <f>-CashFlow!BW35</f>
        <v>0</v>
      </c>
      <c r="BX142" s="263">
        <f>-CashFlow!BX35</f>
        <v>0</v>
      </c>
      <c r="BY142" s="263">
        <f>-CashFlow!BY35</f>
        <v>0</v>
      </c>
      <c r="BZ142" s="263">
        <f>-CashFlow!BZ35</f>
        <v>0</v>
      </c>
      <c r="CA142" s="263">
        <f>SUM(BW142:BZ142)</f>
        <v>0</v>
      </c>
      <c r="CB142" s="146"/>
      <c r="CC142" s="263">
        <f>-CashFlow!CC35</f>
        <v>0</v>
      </c>
      <c r="CD142" s="263">
        <f>-CashFlow!CD35</f>
        <v>0</v>
      </c>
      <c r="CE142" s="263">
        <f>-CashFlow!CE35</f>
        <v>0</v>
      </c>
      <c r="CF142" s="263">
        <f>-CashFlow!CF35</f>
        <v>0</v>
      </c>
      <c r="CG142" s="263">
        <f>SUM(CC142:CF142)</f>
        <v>0</v>
      </c>
      <c r="CH142" s="146"/>
      <c r="CI142" s="146"/>
      <c r="CJ142" s="146"/>
      <c r="CK142"/>
      <c r="CL142"/>
      <c r="CM142"/>
      <c r="CN142"/>
      <c r="CO142"/>
      <c r="CP142"/>
    </row>
    <row r="143" spans="2:94" s="1102" customFormat="1" ht="11.25" customHeight="1" outlineLevel="1" x14ac:dyDescent="0.2">
      <c r="B143" s="37" t="s">
        <v>127</v>
      </c>
      <c r="C143" s="184">
        <f>+C18</f>
        <v>67.513000000000005</v>
      </c>
      <c r="D143" s="184">
        <f>+D18</f>
        <v>71.424999999999997</v>
      </c>
      <c r="E143" s="184">
        <f>+E18</f>
        <v>71.518000000000001</v>
      </c>
      <c r="F143" s="184">
        <f>+F18</f>
        <v>76.167000000000002</v>
      </c>
      <c r="G143" s="184">
        <f>G138+G139+G140+G142</f>
        <v>76.167000000000016</v>
      </c>
      <c r="H143" s="146"/>
      <c r="I143" s="184">
        <f>+I18</f>
        <v>76.694999999999993</v>
      </c>
      <c r="J143" s="184">
        <f>+J18</f>
        <v>76.346999999999994</v>
      </c>
      <c r="K143" s="184">
        <f>+K18</f>
        <v>68.465999999999994</v>
      </c>
      <c r="L143" s="184">
        <f>+L18</f>
        <v>103.718</v>
      </c>
      <c r="M143" s="184">
        <f>M138+M139+M140+M142</f>
        <v>103.71799999999999</v>
      </c>
      <c r="N143" s="146"/>
      <c r="O143" s="184">
        <f>+O18</f>
        <v>124.958</v>
      </c>
      <c r="P143" s="184">
        <f>+P18</f>
        <v>122.696</v>
      </c>
      <c r="Q143" s="184">
        <f>+Q18</f>
        <v>119.34399999999999</v>
      </c>
      <c r="R143" s="184">
        <f>+R18</f>
        <v>89.085999999999999</v>
      </c>
      <c r="S143" s="184">
        <f>S138+S139+S140+S142</f>
        <v>89.08599999999997</v>
      </c>
      <c r="T143" s="146"/>
      <c r="U143" s="184">
        <f>+U18</f>
        <v>83.515000000000001</v>
      </c>
      <c r="V143" s="184">
        <f>+V18</f>
        <v>76.998000000000005</v>
      </c>
      <c r="W143" s="184">
        <f>+W18</f>
        <v>79.700999999999993</v>
      </c>
      <c r="X143" s="184">
        <f>+X18</f>
        <v>78.742999999999995</v>
      </c>
      <c r="Y143" s="184">
        <f>Y138+Y139+Y140+Y142</f>
        <v>78.742999999999995</v>
      </c>
      <c r="Z143" s="146"/>
      <c r="AA143" s="184">
        <f>+AA18</f>
        <v>79.468000000000004</v>
      </c>
      <c r="AB143" s="184">
        <f>+AB18</f>
        <v>86.77</v>
      </c>
      <c r="AC143" s="184">
        <f>+AC18</f>
        <v>808.03800000000001</v>
      </c>
      <c r="AD143" s="184">
        <f>+AD18</f>
        <v>791.1</v>
      </c>
      <c r="AE143" s="184">
        <f>AE138+AE139+AE140+AE142</f>
        <v>791.10000000000014</v>
      </c>
      <c r="AF143" s="146"/>
      <c r="AG143" s="184">
        <f>+AG18</f>
        <v>998.53800000000001</v>
      </c>
      <c r="AH143" s="184">
        <f>+AH18</f>
        <v>947.74699999999996</v>
      </c>
      <c r="AI143" s="184">
        <f>+AI18</f>
        <v>841.75099999999998</v>
      </c>
      <c r="AJ143" s="184">
        <f>+AJ18</f>
        <v>830.64200000000005</v>
      </c>
      <c r="AK143" s="184">
        <f>AK138+AK139+AK140+AK142</f>
        <v>830.64200000000005</v>
      </c>
      <c r="AL143" s="146"/>
      <c r="AM143" s="184">
        <f>+AM18</f>
        <v>805.64599999999996</v>
      </c>
      <c r="AN143" s="184">
        <f>+AN18</f>
        <v>786.66700000000003</v>
      </c>
      <c r="AO143" s="184">
        <f>+AO18</f>
        <v>800.47</v>
      </c>
      <c r="AP143" s="184">
        <f>+AP18</f>
        <v>795.32299999999998</v>
      </c>
      <c r="AQ143" s="184">
        <f>AQ138+AQ139+AQ140+AQ142</f>
        <v>795.32299999999998</v>
      </c>
      <c r="AR143" s="146"/>
      <c r="AS143" s="184">
        <f>+AS18</f>
        <v>785.99699999999996</v>
      </c>
      <c r="AT143" s="184">
        <f>+AT18</f>
        <v>765.10500000000002</v>
      </c>
      <c r="AU143" s="184">
        <f>+AU18</f>
        <v>710.11199999999997</v>
      </c>
      <c r="AV143" s="184">
        <f>+AV18</f>
        <v>670.84</v>
      </c>
      <c r="AW143" s="184">
        <f>AW138+AW139+AW140+AW142</f>
        <v>670.84</v>
      </c>
      <c r="AX143" s="146"/>
      <c r="AY143" s="184">
        <f>+AY18</f>
        <v>613.45699999999999</v>
      </c>
      <c r="AZ143" s="184">
        <f>+AZ18</f>
        <v>616.66899999999998</v>
      </c>
      <c r="BA143" s="184">
        <f>+BA18</f>
        <v>600.4</v>
      </c>
      <c r="BB143" s="184">
        <f>+BB18</f>
        <v>600.70000000000005</v>
      </c>
      <c r="BC143" s="184">
        <f>+BC138+BC139-BC140+BC142</f>
        <v>600.70000000000016</v>
      </c>
      <c r="BD143" s="146"/>
      <c r="BE143" s="184">
        <f>+BE18</f>
        <v>3138.1</v>
      </c>
      <c r="BF143" s="184">
        <f>+BF18</f>
        <v>3028.5</v>
      </c>
      <c r="BG143" s="184">
        <f>+BG18</f>
        <v>3135.6</v>
      </c>
      <c r="BH143" s="184">
        <f>+BH18</f>
        <v>2957.6</v>
      </c>
      <c r="BI143" s="184">
        <f>+BI138+BI139-BI140+BI142</f>
        <v>2957.6000000000004</v>
      </c>
      <c r="BJ143" s="146"/>
      <c r="BK143" s="184">
        <f>+BK18</f>
        <v>2955.1</v>
      </c>
      <c r="BL143" s="184">
        <f>+BL18</f>
        <v>3059.4</v>
      </c>
      <c r="BM143" s="184">
        <f>+BM18</f>
        <v>3109.2</v>
      </c>
      <c r="BN143" s="184">
        <f>+BN18</f>
        <v>2800.7</v>
      </c>
      <c r="BO143" s="184">
        <f>+BO138+BO139-BO140+BO142</f>
        <v>2800.6999999999994</v>
      </c>
      <c r="BP143" s="146"/>
      <c r="BQ143" s="184">
        <f>+BQ138+BQ139-BQ140+BQ142</f>
        <v>2758.6894999999995</v>
      </c>
      <c r="BR143" s="184">
        <f>+BR138+BR139-BR140+BR142</f>
        <v>2717.3091574999994</v>
      </c>
      <c r="BS143" s="184">
        <f>+BS138+BS139-BS140+BS142</f>
        <v>2676.5495201374993</v>
      </c>
      <c r="BT143" s="184">
        <f>+BT138+BT139-BT140+BT142</f>
        <v>2636.4012773354366</v>
      </c>
      <c r="BU143" s="184">
        <f>+BU138+BU139-BU140+BU142</f>
        <v>2636.401277335437</v>
      </c>
      <c r="BV143" s="146"/>
      <c r="BW143" s="184">
        <f>+BW138+BW139-BW140+BW142</f>
        <v>2596.8552581754057</v>
      </c>
      <c r="BX143" s="184">
        <f>+BX138+BX139-BX140+BX142</f>
        <v>2557.9024293027746</v>
      </c>
      <c r="BY143" s="184">
        <f>+BY138+BY139-BY140+BY142</f>
        <v>2519.5338928632332</v>
      </c>
      <c r="BZ143" s="184">
        <f>+BZ138+BZ139-BZ140+BZ142</f>
        <v>2481.7408844702845</v>
      </c>
      <c r="CA143" s="184">
        <f>+CA138+CA139-CA140+CA142</f>
        <v>2481.7408844702841</v>
      </c>
      <c r="CB143" s="146"/>
      <c r="CC143" s="184">
        <f>+CC138+CC139-CC140+CC142</f>
        <v>2444.5147712032299</v>
      </c>
      <c r="CD143" s="184">
        <f>+CD138+CD139-CD140+CD142</f>
        <v>2407.8470496351815</v>
      </c>
      <c r="CE143" s="184">
        <f>+CE138+CE139-CE140+CE142</f>
        <v>2371.7293438906536</v>
      </c>
      <c r="CF143" s="184">
        <f>+CF138+CF139-CF140+CF142</f>
        <v>2336.1534037322936</v>
      </c>
      <c r="CG143" s="184">
        <f>+CG138+CG139-CG140+CG142</f>
        <v>2336.153403732294</v>
      </c>
      <c r="CH143" s="184"/>
      <c r="CI143" s="184"/>
      <c r="CJ143" s="184"/>
      <c r="CK143"/>
      <c r="CL143"/>
      <c r="CM143"/>
      <c r="CN143"/>
      <c r="CO143"/>
      <c r="CP143"/>
    </row>
    <row r="144" spans="2:94" s="1102" customFormat="1" ht="11.25" customHeight="1" outlineLevel="1" x14ac:dyDescent="0.2">
      <c r="B144" s="174" t="s">
        <v>81</v>
      </c>
      <c r="C144" s="266">
        <f>+C143-C18</f>
        <v>0</v>
      </c>
      <c r="D144" s="266">
        <f>+D143-D18</f>
        <v>0</v>
      </c>
      <c r="E144" s="266">
        <f>+E143-E18</f>
        <v>0</v>
      </c>
      <c r="F144" s="266">
        <f>+F143-F18</f>
        <v>0</v>
      </c>
      <c r="G144" s="266">
        <f>+G143-G18</f>
        <v>0</v>
      </c>
      <c r="H144" s="266"/>
      <c r="I144" s="266">
        <f>+I143-I18</f>
        <v>0</v>
      </c>
      <c r="J144" s="266">
        <f>+J143-J18</f>
        <v>0</v>
      </c>
      <c r="K144" s="266">
        <f>+K143-K18</f>
        <v>0</v>
      </c>
      <c r="L144" s="266">
        <f>+L143-L18</f>
        <v>0</v>
      </c>
      <c r="M144" s="266">
        <f>+M143-M18</f>
        <v>0</v>
      </c>
      <c r="N144" s="266"/>
      <c r="O144" s="266">
        <f>+O143-O18</f>
        <v>0</v>
      </c>
      <c r="P144" s="266">
        <f>+P143-P18</f>
        <v>0</v>
      </c>
      <c r="Q144" s="266">
        <f>+Q143-Q18</f>
        <v>0</v>
      </c>
      <c r="R144" s="266">
        <f>+R143-R18</f>
        <v>0</v>
      </c>
      <c r="S144" s="266">
        <f>+S143-S18</f>
        <v>0</v>
      </c>
      <c r="T144" s="266"/>
      <c r="U144" s="266">
        <f>+U143-U18</f>
        <v>0</v>
      </c>
      <c r="V144" s="266">
        <f>+V143-V18</f>
        <v>0</v>
      </c>
      <c r="W144" s="266">
        <f>+W143-W18</f>
        <v>0</v>
      </c>
      <c r="X144" s="266">
        <f>+X143-X18</f>
        <v>0</v>
      </c>
      <c r="Y144" s="266">
        <f>+Y143-Y18</f>
        <v>0</v>
      </c>
      <c r="Z144" s="266"/>
      <c r="AA144" s="266">
        <f>+AA143-AA18</f>
        <v>0</v>
      </c>
      <c r="AB144" s="266">
        <f>+AB143-AB18</f>
        <v>0</v>
      </c>
      <c r="AC144" s="266">
        <f>+AC143-AC18</f>
        <v>0</v>
      </c>
      <c r="AD144" s="266">
        <f>+AD143-AD18</f>
        <v>0</v>
      </c>
      <c r="AE144" s="266">
        <f>+AE143-AE18</f>
        <v>0</v>
      </c>
      <c r="AF144" s="266"/>
      <c r="AG144" s="266">
        <f>+AG143-AG18</f>
        <v>0</v>
      </c>
      <c r="AH144" s="266">
        <f>+AH143-AH18</f>
        <v>0</v>
      </c>
      <c r="AI144" s="266">
        <f>+AI143-AI18</f>
        <v>0</v>
      </c>
      <c r="AJ144" s="266">
        <f>+AJ143-AJ18</f>
        <v>0</v>
      </c>
      <c r="AK144" s="266">
        <f>+AK143-AK18</f>
        <v>0</v>
      </c>
      <c r="AL144" s="266"/>
      <c r="AM144" s="266">
        <f>+AM143-AM18</f>
        <v>0</v>
      </c>
      <c r="AN144" s="266">
        <f>+AN143-AN18</f>
        <v>0</v>
      </c>
      <c r="AO144" s="266">
        <f>+AO143-AO18</f>
        <v>0</v>
      </c>
      <c r="AP144" s="266">
        <f>+AP143-AP18</f>
        <v>0</v>
      </c>
      <c r="AQ144" s="266">
        <f>+AQ143-AQ18</f>
        <v>0</v>
      </c>
      <c r="AR144" s="266"/>
      <c r="AS144" s="266">
        <f>+AS143-AS18</f>
        <v>0</v>
      </c>
      <c r="AT144" s="266">
        <f>+AT143-AT18</f>
        <v>0</v>
      </c>
      <c r="AU144" s="266">
        <f>+AU143-AU18</f>
        <v>0</v>
      </c>
      <c r="AV144" s="266">
        <f>+AV143-AV18</f>
        <v>0</v>
      </c>
      <c r="AW144" s="266">
        <f>+AW143-AW18</f>
        <v>0</v>
      </c>
      <c r="AX144" s="266"/>
      <c r="AY144" s="266">
        <f>+AY143-AY18</f>
        <v>0</v>
      </c>
      <c r="AZ144" s="266">
        <f>+AZ143-AZ18</f>
        <v>0</v>
      </c>
      <c r="BA144" s="266">
        <f>+BA143-BA18</f>
        <v>0</v>
      </c>
      <c r="BB144" s="266">
        <f>+BB143-BB18</f>
        <v>0</v>
      </c>
      <c r="BC144" s="266">
        <f>+BC143-BC18</f>
        <v>0</v>
      </c>
      <c r="BD144" s="266"/>
      <c r="BE144" s="266">
        <f>+BE143-BE18</f>
        <v>0</v>
      </c>
      <c r="BF144" s="266">
        <f>+BF143-BF18</f>
        <v>0</v>
      </c>
      <c r="BG144" s="266">
        <f>+BG143-BG18</f>
        <v>0</v>
      </c>
      <c r="BH144" s="266">
        <f>+BH143-BH18</f>
        <v>0</v>
      </c>
      <c r="BI144" s="266">
        <f>+BI143-BI18</f>
        <v>0</v>
      </c>
      <c r="BJ144" s="266"/>
      <c r="BK144" s="266">
        <f>+BK143-BK18</f>
        <v>0</v>
      </c>
      <c r="BL144" s="266">
        <f>+BL143-BL18</f>
        <v>0</v>
      </c>
      <c r="BM144" s="266">
        <f>+BM143-BM18</f>
        <v>0</v>
      </c>
      <c r="BN144" s="266">
        <f>+BN143-BN18</f>
        <v>0</v>
      </c>
      <c r="BO144" s="266">
        <f>+BO143-BO18</f>
        <v>0</v>
      </c>
      <c r="BP144" s="266"/>
      <c r="BQ144" s="266">
        <f t="shared" ref="BQ144:CG144" si="64">+BQ143-BQ18</f>
        <v>0</v>
      </c>
      <c r="BR144" s="266">
        <f t="shared" si="64"/>
        <v>0</v>
      </c>
      <c r="BS144" s="266">
        <f t="shared" si="64"/>
        <v>0</v>
      </c>
      <c r="BT144" s="266">
        <f t="shared" si="64"/>
        <v>0</v>
      </c>
      <c r="BU144" s="266">
        <f t="shared" si="64"/>
        <v>0</v>
      </c>
      <c r="BV144" s="266"/>
      <c r="BW144" s="266">
        <f t="shared" si="64"/>
        <v>0</v>
      </c>
      <c r="BX144" s="266">
        <f t="shared" si="64"/>
        <v>0</v>
      </c>
      <c r="BY144" s="266">
        <f t="shared" si="64"/>
        <v>0</v>
      </c>
      <c r="BZ144" s="266">
        <f t="shared" si="64"/>
        <v>0</v>
      </c>
      <c r="CA144" s="266">
        <f t="shared" si="64"/>
        <v>0</v>
      </c>
      <c r="CB144" s="266"/>
      <c r="CC144" s="266">
        <f t="shared" si="64"/>
        <v>0</v>
      </c>
      <c r="CD144" s="266">
        <f t="shared" si="64"/>
        <v>0</v>
      </c>
      <c r="CE144" s="266">
        <f t="shared" si="64"/>
        <v>0</v>
      </c>
      <c r="CF144" s="266">
        <f t="shared" si="64"/>
        <v>0</v>
      </c>
      <c r="CG144" s="266">
        <f t="shared" si="64"/>
        <v>0</v>
      </c>
      <c r="CH144" s="348"/>
      <c r="CI144" s="348"/>
      <c r="CJ144" s="348"/>
      <c r="CK144"/>
      <c r="CL144"/>
      <c r="CM144"/>
      <c r="CN144"/>
      <c r="CO144"/>
      <c r="CP144"/>
    </row>
    <row r="145" spans="2:94" s="1102" customFormat="1" ht="11.25" customHeight="1" outlineLevel="1" x14ac:dyDescent="0.2">
      <c r="B145" s="174"/>
      <c r="C145" s="266"/>
      <c r="D145" s="266"/>
      <c r="E145" s="266"/>
      <c r="F145" s="266"/>
      <c r="G145" s="266"/>
      <c r="H145" s="266"/>
      <c r="I145" s="266"/>
      <c r="J145" s="266"/>
      <c r="K145" s="266"/>
      <c r="L145" s="266"/>
      <c r="M145" s="266"/>
      <c r="N145" s="266"/>
      <c r="O145" s="266"/>
      <c r="P145" s="266"/>
      <c r="Q145" s="266"/>
      <c r="R145" s="266"/>
      <c r="S145" s="266"/>
      <c r="T145" s="266"/>
      <c r="U145" s="266"/>
      <c r="V145" s="266"/>
      <c r="W145" s="266"/>
      <c r="X145" s="266"/>
      <c r="Y145" s="266"/>
      <c r="Z145" s="266"/>
      <c r="AA145" s="266"/>
      <c r="AB145" s="266"/>
      <c r="AC145" s="266"/>
      <c r="AD145" s="266"/>
      <c r="AE145" s="348"/>
      <c r="AF145" s="266"/>
      <c r="AG145" s="266"/>
      <c r="AH145" s="266"/>
      <c r="AI145" s="266"/>
      <c r="AJ145" s="266"/>
      <c r="AK145" s="348"/>
      <c r="AL145" s="266"/>
      <c r="AM145" s="348"/>
      <c r="AN145" s="348"/>
      <c r="AO145" s="266"/>
      <c r="AP145" s="348"/>
      <c r="AQ145" s="348"/>
      <c r="AR145" s="266"/>
      <c r="AS145" s="348"/>
      <c r="AT145" s="348"/>
      <c r="AU145" s="348"/>
      <c r="AV145" s="348"/>
      <c r="AW145" s="348"/>
      <c r="AX145" s="266"/>
      <c r="AY145" s="195"/>
      <c r="AZ145" s="195"/>
      <c r="BA145" s="195"/>
      <c r="BB145" s="195"/>
      <c r="BC145" s="195"/>
      <c r="BD145" s="266"/>
      <c r="BE145" s="195"/>
      <c r="BF145" s="348"/>
      <c r="BG145" s="348"/>
      <c r="BH145" s="348"/>
      <c r="BI145" s="195"/>
      <c r="BJ145" s="266"/>
      <c r="BK145" s="195"/>
      <c r="BL145" s="348"/>
      <c r="BM145" s="348"/>
      <c r="BN145" s="348"/>
      <c r="BO145" s="348"/>
      <c r="BP145" s="266"/>
      <c r="BQ145" s="348"/>
      <c r="BR145" s="348"/>
      <c r="BS145" s="348"/>
      <c r="BT145" s="348"/>
      <c r="BU145" s="348"/>
      <c r="BV145" s="266"/>
      <c r="BW145" s="348"/>
      <c r="BX145" s="348"/>
      <c r="BY145" s="348"/>
      <c r="BZ145" s="348"/>
      <c r="CA145" s="348"/>
      <c r="CB145" s="266"/>
      <c r="CC145" s="348"/>
      <c r="CD145" s="348"/>
      <c r="CE145" s="348"/>
      <c r="CF145" s="348"/>
      <c r="CG145" s="348"/>
      <c r="CH145" s="348"/>
      <c r="CI145" s="348"/>
      <c r="CJ145" s="348"/>
      <c r="CK145"/>
      <c r="CL145"/>
      <c r="CM145"/>
      <c r="CN145"/>
      <c r="CO145"/>
      <c r="CP145"/>
    </row>
    <row r="146" spans="2:94" s="1102" customFormat="1" ht="11.25" customHeight="1" outlineLevel="1" x14ac:dyDescent="0.2">
      <c r="B146" s="12" t="s">
        <v>73</v>
      </c>
      <c r="C146" s="193"/>
      <c r="D146" s="193"/>
      <c r="E146" s="193"/>
      <c r="F146" s="193"/>
      <c r="G146" s="193"/>
      <c r="H146" s="69"/>
      <c r="I146" s="193"/>
      <c r="J146" s="193"/>
      <c r="K146" s="193"/>
      <c r="L146" s="193"/>
      <c r="M146" s="193"/>
      <c r="N146" s="69"/>
      <c r="O146" s="193"/>
      <c r="P146" s="193"/>
      <c r="Q146" s="193"/>
      <c r="R146" s="193"/>
      <c r="S146" s="193"/>
      <c r="T146" s="69"/>
      <c r="U146" s="193"/>
      <c r="V146" s="193"/>
      <c r="W146" s="193"/>
      <c r="X146" s="193"/>
      <c r="Y146" s="193"/>
      <c r="Z146" s="69"/>
      <c r="AA146" s="193"/>
      <c r="AB146" s="193"/>
      <c r="AC146" s="193"/>
      <c r="AD146" s="193"/>
      <c r="AE146" s="193"/>
      <c r="AF146" s="69"/>
      <c r="AG146" s="193"/>
      <c r="AH146" s="193"/>
      <c r="AI146" s="193"/>
      <c r="AJ146" s="193"/>
      <c r="AK146" s="193"/>
      <c r="AL146" s="69"/>
      <c r="AM146" s="193"/>
      <c r="AN146" s="193"/>
      <c r="AO146" s="193"/>
      <c r="AP146" s="193"/>
      <c r="AQ146" s="193"/>
      <c r="AR146" s="69"/>
      <c r="AS146" s="193"/>
      <c r="AT146" s="193"/>
      <c r="AU146" s="193"/>
      <c r="AV146" s="193"/>
      <c r="AW146" s="193"/>
      <c r="AX146" s="69"/>
      <c r="AY146" s="193"/>
      <c r="AZ146" s="193"/>
      <c r="BA146" s="193"/>
      <c r="BB146" s="193"/>
      <c r="BC146" s="193"/>
      <c r="BD146" s="69"/>
      <c r="BE146" s="193"/>
      <c r="BF146" s="193"/>
      <c r="BG146" s="193"/>
      <c r="BH146" s="193"/>
      <c r="BI146" s="193"/>
      <c r="BJ146" s="69"/>
      <c r="BK146" s="193"/>
      <c r="BL146" s="193"/>
      <c r="BM146" s="193"/>
      <c r="BN146" s="193"/>
      <c r="BO146" s="193"/>
      <c r="BP146" s="69"/>
      <c r="BQ146" s="193"/>
      <c r="BR146" s="193"/>
      <c r="BS146" s="193"/>
      <c r="BT146" s="193"/>
      <c r="BU146" s="193"/>
      <c r="BV146" s="69"/>
      <c r="BW146" s="193"/>
      <c r="BX146" s="193"/>
      <c r="BY146" s="193"/>
      <c r="BZ146" s="193"/>
      <c r="CA146" s="193"/>
      <c r="CB146" s="69"/>
      <c r="CC146" s="193"/>
      <c r="CD146" s="193"/>
      <c r="CE146" s="193"/>
      <c r="CF146" s="193"/>
      <c r="CG146" s="193"/>
      <c r="CH146" s="193"/>
      <c r="CI146" s="193"/>
      <c r="CJ146" s="193"/>
      <c r="CK146"/>
      <c r="CL146"/>
      <c r="CM146"/>
      <c r="CN146"/>
      <c r="CO146"/>
      <c r="CP146"/>
    </row>
    <row r="147" spans="2:94" s="1102" customFormat="1" ht="11.25" customHeight="1" outlineLevel="1" x14ac:dyDescent="0.2">
      <c r="B147" s="1" t="s">
        <v>128</v>
      </c>
      <c r="C147" s="1133">
        <v>995.38199999999995</v>
      </c>
      <c r="D147" s="184">
        <f>C150</f>
        <v>998.39599999999996</v>
      </c>
      <c r="E147" s="184">
        <f>D150</f>
        <v>1020.02</v>
      </c>
      <c r="F147" s="184">
        <f>E150</f>
        <v>1121.81</v>
      </c>
      <c r="G147" s="184">
        <f>C147</f>
        <v>995.38199999999995</v>
      </c>
      <c r="H147" s="69"/>
      <c r="I147" s="184">
        <f>+G150</f>
        <v>1127.42</v>
      </c>
      <c r="J147" s="184">
        <f>I150</f>
        <v>1181.1969999999999</v>
      </c>
      <c r="K147" s="184">
        <f>J150</f>
        <v>1178.627</v>
      </c>
      <c r="L147" s="184">
        <f>K150</f>
        <v>1145.212</v>
      </c>
      <c r="M147" s="184">
        <f>I147</f>
        <v>1127.42</v>
      </c>
      <c r="N147" s="69"/>
      <c r="O147" s="184">
        <f>+M150</f>
        <v>1277.0260000000001</v>
      </c>
      <c r="P147" s="184">
        <f>O150</f>
        <v>1206.008</v>
      </c>
      <c r="Q147" s="184">
        <f>P150</f>
        <v>1267.8979999999999</v>
      </c>
      <c r="R147" s="184">
        <f>Q150</f>
        <v>1308.8240000000001</v>
      </c>
      <c r="S147" s="184">
        <f>O147</f>
        <v>1277.0260000000001</v>
      </c>
      <c r="T147" s="69"/>
      <c r="U147" s="184">
        <f>+S150</f>
        <v>1312.596</v>
      </c>
      <c r="V147" s="184">
        <f>U150</f>
        <v>1279.1030000000001</v>
      </c>
      <c r="W147" s="184">
        <f>V150</f>
        <v>1208.7650000000001</v>
      </c>
      <c r="X147" s="184">
        <f>W150</f>
        <v>1304.9380000000001</v>
      </c>
      <c r="Y147" s="184">
        <f>U147</f>
        <v>1312.596</v>
      </c>
      <c r="Z147" s="69"/>
      <c r="AA147" s="184">
        <f>+Y150</f>
        <v>1303.0550000000001</v>
      </c>
      <c r="AB147" s="184">
        <f>AA150</f>
        <v>1350.78</v>
      </c>
      <c r="AC147" s="184">
        <f>AB150</f>
        <v>1391.289</v>
      </c>
      <c r="AD147" s="184">
        <f>AC150</f>
        <v>2208.9059999999999</v>
      </c>
      <c r="AE147" s="184">
        <f>AA147</f>
        <v>1303.0550000000001</v>
      </c>
      <c r="AF147" s="69"/>
      <c r="AG147" s="184">
        <f>+AE150</f>
        <v>2190.0630000000001</v>
      </c>
      <c r="AH147" s="184">
        <f>AG150</f>
        <v>2109.451</v>
      </c>
      <c r="AI147" s="184">
        <f>AH150</f>
        <v>2036.0840000000001</v>
      </c>
      <c r="AJ147" s="184">
        <f>AI150</f>
        <v>2207.413</v>
      </c>
      <c r="AK147" s="184">
        <f>AG147</f>
        <v>2190.0630000000001</v>
      </c>
      <c r="AL147" s="69"/>
      <c r="AM147" s="184">
        <f>+AK150</f>
        <v>2210.953</v>
      </c>
      <c r="AN147" s="184">
        <f>AM150</f>
        <v>2167.241</v>
      </c>
      <c r="AO147" s="184">
        <f>AN150</f>
        <v>2158.529</v>
      </c>
      <c r="AP147" s="184">
        <f>AO150</f>
        <v>2218.136</v>
      </c>
      <c r="AQ147" s="184">
        <f>AM147</f>
        <v>2210.953</v>
      </c>
      <c r="AR147" s="69"/>
      <c r="AS147" s="184">
        <f>+AQ150</f>
        <v>2281.596</v>
      </c>
      <c r="AT147" s="184">
        <f>AS150</f>
        <v>2286.7150000000001</v>
      </c>
      <c r="AU147" s="184">
        <f>AT150</f>
        <v>2278.7979999999998</v>
      </c>
      <c r="AV147" s="184">
        <f>AU150</f>
        <v>2160.6959999999999</v>
      </c>
      <c r="AW147" s="184">
        <f>AS147</f>
        <v>2281.596</v>
      </c>
      <c r="AX147" s="69"/>
      <c r="AY147" s="184">
        <f>+AW150</f>
        <v>2089.3389999999999</v>
      </c>
      <c r="AZ147" s="184">
        <f>AY150</f>
        <v>1953.271</v>
      </c>
      <c r="BA147" s="184">
        <f>AZ150</f>
        <v>1998.6079999999999</v>
      </c>
      <c r="BB147" s="184">
        <f>BA150</f>
        <v>1984.3</v>
      </c>
      <c r="BC147" s="184">
        <f>AY147</f>
        <v>2089.3389999999999</v>
      </c>
      <c r="BD147" s="69"/>
      <c r="BE147" s="184">
        <f>BC150</f>
        <v>1987.6000000000001</v>
      </c>
      <c r="BF147" s="184">
        <f>BE150</f>
        <v>5836</v>
      </c>
      <c r="BG147" s="184">
        <f>BF150</f>
        <v>5794.7</v>
      </c>
      <c r="BH147" s="184">
        <f>BG150</f>
        <v>6056.7</v>
      </c>
      <c r="BI147" s="184">
        <f>BE147</f>
        <v>1987.6000000000001</v>
      </c>
      <c r="BJ147" s="69"/>
      <c r="BK147" s="184">
        <f>BI150</f>
        <v>5952</v>
      </c>
      <c r="BL147" s="184">
        <f>BK150</f>
        <v>5958.2</v>
      </c>
      <c r="BM147" s="184">
        <f>BL150</f>
        <v>5023.6000000000004</v>
      </c>
      <c r="BN147" s="184">
        <f>BM150</f>
        <v>5074.8999999999996</v>
      </c>
      <c r="BO147" s="184">
        <f>BK147</f>
        <v>5952</v>
      </c>
      <c r="BP147" s="69"/>
      <c r="BQ147" s="184">
        <f>BO150</f>
        <v>4539.2000000000007</v>
      </c>
      <c r="BR147" s="184">
        <f>+BQ150</f>
        <v>4539.2000000000007</v>
      </c>
      <c r="BS147" s="184">
        <f>+BR150</f>
        <v>4539.2000000000007</v>
      </c>
      <c r="BT147" s="184">
        <f>+BS150</f>
        <v>4539.2000000000007</v>
      </c>
      <c r="BU147" s="184">
        <f>BO150</f>
        <v>4539.2000000000007</v>
      </c>
      <c r="BV147" s="69"/>
      <c r="BW147" s="184">
        <f>BU150</f>
        <v>4539.2000000000007</v>
      </c>
      <c r="BX147" s="184">
        <f>+BW150</f>
        <v>4539.2000000000007</v>
      </c>
      <c r="BY147" s="184">
        <f>+BX150</f>
        <v>4539.2000000000007</v>
      </c>
      <c r="BZ147" s="184">
        <f>+BY150</f>
        <v>4539.2000000000007</v>
      </c>
      <c r="CA147" s="184">
        <f>BU150</f>
        <v>4539.2000000000007</v>
      </c>
      <c r="CB147" s="69"/>
      <c r="CC147" s="184">
        <f>CA150</f>
        <v>4539.2000000000007</v>
      </c>
      <c r="CD147" s="184">
        <f>+CC150</f>
        <v>4539.2000000000007</v>
      </c>
      <c r="CE147" s="184">
        <f>+CD150</f>
        <v>4539.2000000000007</v>
      </c>
      <c r="CF147" s="184">
        <f>+CE150</f>
        <v>4539.2000000000007</v>
      </c>
      <c r="CG147" s="184">
        <f>CA150</f>
        <v>4539.2000000000007</v>
      </c>
      <c r="CH147" s="184"/>
      <c r="CI147" s="184"/>
      <c r="CJ147" s="184"/>
      <c r="CK147"/>
      <c r="CL147"/>
      <c r="CM147"/>
      <c r="CN147"/>
      <c r="CO147"/>
      <c r="CP147"/>
    </row>
    <row r="148" spans="2:94" s="1102" customFormat="1" ht="11.25" customHeight="1" outlineLevel="1" x14ac:dyDescent="0.2">
      <c r="B148" s="59" t="s">
        <v>247</v>
      </c>
      <c r="C148" s="184">
        <f>-C154*C155</f>
        <v>3.2175000000000002</v>
      </c>
      <c r="D148" s="184">
        <f>-D154*D155</f>
        <v>8.5828500000000005</v>
      </c>
      <c r="E148" s="184">
        <f>-E154*E155</f>
        <v>33.485400000000006</v>
      </c>
      <c r="F148" s="184">
        <f>-F154*F155</f>
        <v>0.38564999999999972</v>
      </c>
      <c r="G148" s="184">
        <f>SUM(C148:F148)</f>
        <v>45.671400000000006</v>
      </c>
      <c r="H148" s="146"/>
      <c r="I148" s="184">
        <f>-I154*I155</f>
        <v>1.0867500000000001</v>
      </c>
      <c r="J148" s="184">
        <f>-J154*J155</f>
        <v>0</v>
      </c>
      <c r="K148" s="184">
        <f>-K154*K155</f>
        <v>18.684899999999999</v>
      </c>
      <c r="L148" s="184">
        <f>-L154*L155</f>
        <v>33.013350000000003</v>
      </c>
      <c r="M148" s="184">
        <f>SUM(I148:L148)</f>
        <v>52.784999999999997</v>
      </c>
      <c r="N148" s="146"/>
      <c r="O148" s="184">
        <f>-O154*O155</f>
        <v>0.25829999999999997</v>
      </c>
      <c r="P148" s="184">
        <f>-P154*P155</f>
        <v>1.0854000000000001</v>
      </c>
      <c r="Q148" s="184">
        <f>-Q154*Q155</f>
        <v>0</v>
      </c>
      <c r="R148" s="184">
        <f>-R154*R155</f>
        <v>0</v>
      </c>
      <c r="S148" s="184">
        <f>SUM(O148:R148)</f>
        <v>1.3437000000000001</v>
      </c>
      <c r="T148" s="146"/>
      <c r="U148" s="184">
        <f>-U154*U155</f>
        <v>3.4591500000000002</v>
      </c>
      <c r="V148" s="184">
        <f>-V154*V155</f>
        <v>0.27989999999999954</v>
      </c>
      <c r="W148" s="184">
        <f>-W154*W155</f>
        <v>6.1596000000000002</v>
      </c>
      <c r="X148" s="184">
        <f>-X154*X155</f>
        <v>6.1015499999999987</v>
      </c>
      <c r="Y148" s="184">
        <f>SUM(U148:X148)</f>
        <v>16.0002</v>
      </c>
      <c r="Z148" s="146"/>
      <c r="AA148" s="184">
        <f>-AA154*AA155</f>
        <v>9.5071499999999993</v>
      </c>
      <c r="AB148" s="184">
        <f>-AB154*AB155</f>
        <v>-0.46799999999999964</v>
      </c>
      <c r="AC148" s="184">
        <f>-AC154*AC155</f>
        <v>800.02440000000001</v>
      </c>
      <c r="AD148" s="184">
        <f>-AD154*AD155</f>
        <v>-4.6813500000000143</v>
      </c>
      <c r="AE148" s="184">
        <f>SUM(AA148:AD148)</f>
        <v>804.3821999999999</v>
      </c>
      <c r="AF148" s="146"/>
      <c r="AG148" s="184">
        <f>-AG154*AG155</f>
        <v>0</v>
      </c>
      <c r="AH148" s="184">
        <f>-AH154*AH155</f>
        <v>0</v>
      </c>
      <c r="AI148" s="184">
        <f>-AI154*AI155</f>
        <v>0</v>
      </c>
      <c r="AJ148" s="184">
        <f>-AJ154*AJ155</f>
        <v>2.1874500000000001</v>
      </c>
      <c r="AK148" s="184">
        <f>SUM(AG148:AJ148)</f>
        <v>2.1874500000000001</v>
      </c>
      <c r="AL148" s="146"/>
      <c r="AM148" s="184">
        <f>-AM154*AM155</f>
        <v>1.7725500000000001</v>
      </c>
      <c r="AN148" s="184">
        <f>-AN154*AN155</f>
        <v>0</v>
      </c>
      <c r="AO148" s="184">
        <f>-AO154*AO155</f>
        <v>0</v>
      </c>
      <c r="AP148" s="184">
        <f>-AP154*AP155</f>
        <v>28.038599999999999</v>
      </c>
      <c r="AQ148" s="184">
        <f>SUM(AM148:AP148)</f>
        <v>29.811149999999998</v>
      </c>
      <c r="AR148" s="146"/>
      <c r="AS148" s="184">
        <f>-AS154*AS155</f>
        <v>0</v>
      </c>
      <c r="AT148" s="184">
        <f>-AT154*AT155</f>
        <v>0.90405000000000002</v>
      </c>
      <c r="AU148" s="184">
        <f>-AU154*AU155</f>
        <v>-0.61695</v>
      </c>
      <c r="AV148" s="184">
        <f>-AV154*AV155</f>
        <v>0.63135000000000019</v>
      </c>
      <c r="AW148" s="184">
        <f>SUM(AS148:AV148)</f>
        <v>0.91845000000000021</v>
      </c>
      <c r="AX148" s="146"/>
      <c r="AY148" s="184">
        <f>-AY154*AY155</f>
        <v>0</v>
      </c>
      <c r="AZ148" s="184">
        <f>-AZ154*AZ155</f>
        <v>1.4872500000000002</v>
      </c>
      <c r="BA148" s="184">
        <f>-BA154*BA155</f>
        <v>-2.2500000000001521E-3</v>
      </c>
      <c r="BB148" s="184">
        <f>-BB154*BB155</f>
        <v>22.815000000000001</v>
      </c>
      <c r="BC148" s="184">
        <f>SUM(AY148:BB148)</f>
        <v>24.3</v>
      </c>
      <c r="BD148" s="146"/>
      <c r="BE148" s="990">
        <v>3761.2</v>
      </c>
      <c r="BF148" s="184">
        <f>-BF154*BF155</f>
        <v>0</v>
      </c>
      <c r="BG148" s="184">
        <f>-BG154*BG155</f>
        <v>153.63000000000002</v>
      </c>
      <c r="BH148" s="184">
        <f>-BH154*BH155</f>
        <v>0</v>
      </c>
      <c r="BI148" s="184">
        <f>SUM(BE148:BH148)</f>
        <v>3914.83</v>
      </c>
      <c r="BJ148" s="146"/>
      <c r="BK148" s="184">
        <v>0</v>
      </c>
      <c r="BL148" s="184">
        <f>-BL154*BL155</f>
        <v>52.245000000000005</v>
      </c>
      <c r="BM148" s="184">
        <f>-BM154*BM155</f>
        <v>4.8150000000000013</v>
      </c>
      <c r="BN148" s="184">
        <f>-BN154*BN155</f>
        <v>4.5</v>
      </c>
      <c r="BO148" s="184">
        <f>SUM(BK148:BN148)</f>
        <v>61.56</v>
      </c>
      <c r="BP148" s="146"/>
      <c r="BQ148" s="184">
        <f>-BQ154*BQ155</f>
        <v>0</v>
      </c>
      <c r="BR148" s="184">
        <f>-BR154*BR155</f>
        <v>0</v>
      </c>
      <c r="BS148" s="184">
        <f>-BS154*BS155</f>
        <v>0</v>
      </c>
      <c r="BT148" s="184">
        <f>-BT154*BT155</f>
        <v>0</v>
      </c>
      <c r="BU148" s="184">
        <f>SUM(BQ148:BT148)</f>
        <v>0</v>
      </c>
      <c r="BV148" s="146"/>
      <c r="BW148" s="184">
        <f>-BW154*BW155</f>
        <v>0</v>
      </c>
      <c r="BX148" s="184">
        <f>-BX154*BX155</f>
        <v>0</v>
      </c>
      <c r="BY148" s="184">
        <f>-BY154*BY155</f>
        <v>0</v>
      </c>
      <c r="BZ148" s="184">
        <f>-BZ154*BZ155</f>
        <v>0</v>
      </c>
      <c r="CA148" s="184">
        <f>SUM(BW148:BZ148)</f>
        <v>0</v>
      </c>
      <c r="CB148" s="146"/>
      <c r="CC148" s="184">
        <f>-CC154*CC155</f>
        <v>0</v>
      </c>
      <c r="CD148" s="184">
        <f>-CD154*CD155</f>
        <v>0</v>
      </c>
      <c r="CE148" s="184">
        <f>-CE154*CE155</f>
        <v>0</v>
      </c>
      <c r="CF148" s="184">
        <f>-CF154*CF155</f>
        <v>0</v>
      </c>
      <c r="CG148" s="184">
        <f>SUM(CC148:CF148)</f>
        <v>0</v>
      </c>
      <c r="CH148" s="184"/>
      <c r="CI148" s="184"/>
      <c r="CJ148" s="184"/>
      <c r="CK148"/>
      <c r="CL148"/>
      <c r="CM148"/>
      <c r="CN148"/>
      <c r="CO148"/>
      <c r="CP148"/>
    </row>
    <row r="149" spans="2:94" s="1102" customFormat="1" ht="11.25" customHeight="1" outlineLevel="1" x14ac:dyDescent="0.2">
      <c r="B149" s="6" t="s">
        <v>190</v>
      </c>
      <c r="C149" s="263">
        <f>+C150-C147-C148</f>
        <v>-0.20349999999999024</v>
      </c>
      <c r="D149" s="263">
        <f>+D150-D147-D148</f>
        <v>13.041150000000023</v>
      </c>
      <c r="E149" s="263">
        <f>+E150-E147-E148</f>
        <v>68.304599999999965</v>
      </c>
      <c r="F149" s="263">
        <f>+F150-F147-F148</f>
        <v>5.2243500000001273</v>
      </c>
      <c r="G149" s="263">
        <f>SUM(C149:F149)</f>
        <v>86.366600000000119</v>
      </c>
      <c r="H149" s="69"/>
      <c r="I149" s="263">
        <f>+I150-I147-I148</f>
        <v>52.690249999999814</v>
      </c>
      <c r="J149" s="263">
        <f>+J150-J147-J148</f>
        <v>-2.5699999999999363</v>
      </c>
      <c r="K149" s="263">
        <f>+K150-K147-K148</f>
        <v>-52.099899999999963</v>
      </c>
      <c r="L149" s="263">
        <f>+L150-L147-L148</f>
        <v>98.800650000000076</v>
      </c>
      <c r="M149" s="263">
        <f>SUM(I149:L149)</f>
        <v>96.820999999999998</v>
      </c>
      <c r="N149" s="69"/>
      <c r="O149" s="263">
        <f>+O150-O147-O148</f>
        <v>-71.276300000000035</v>
      </c>
      <c r="P149" s="263">
        <f>+P150-P147-P148</f>
        <v>60.804599999999873</v>
      </c>
      <c r="Q149" s="263">
        <f>+Q150-Q147-Q148</f>
        <v>40.926000000000158</v>
      </c>
      <c r="R149" s="263">
        <f>+R150-R147-R148</f>
        <v>3.7719999999999345</v>
      </c>
      <c r="S149" s="263">
        <f>SUM(O149:R149)</f>
        <v>34.226299999999931</v>
      </c>
      <c r="T149" s="69"/>
      <c r="U149" s="263">
        <f>+U150-U147-U148</f>
        <v>-36.952149999999939</v>
      </c>
      <c r="V149" s="263">
        <f>+V150-V147-V148</f>
        <v>-70.617899999999963</v>
      </c>
      <c r="W149" s="263">
        <f>+W150-W147-W148</f>
        <v>90.013400000000004</v>
      </c>
      <c r="X149" s="263">
        <f>+X150-X147-X148</f>
        <v>-7.9845500000000369</v>
      </c>
      <c r="Y149" s="263">
        <f>SUM(U149:X149)</f>
        <v>-25.541199999999929</v>
      </c>
      <c r="Z149" s="69"/>
      <c r="AA149" s="263">
        <f>+AA150-AA147-AA148</f>
        <v>38.217849999999913</v>
      </c>
      <c r="AB149" s="263">
        <f>+AB150-AB147-AB148</f>
        <v>40.977000000000011</v>
      </c>
      <c r="AC149" s="263">
        <f>+AC150-AC147-AC148</f>
        <v>17.592599999999948</v>
      </c>
      <c r="AD149" s="263">
        <f>+AD150-AD147-AD148</f>
        <v>-14.161649999999833</v>
      </c>
      <c r="AE149" s="263">
        <f>SUM(AA149:AD149)</f>
        <v>82.625800000000027</v>
      </c>
      <c r="AF149" s="69"/>
      <c r="AG149" s="263">
        <f>+AG150-AG147-AG148</f>
        <v>-80.61200000000008</v>
      </c>
      <c r="AH149" s="263">
        <f>+AH150-AH147-AH148</f>
        <v>-73.366999999999962</v>
      </c>
      <c r="AI149" s="263">
        <f>+AI150-AI147-AI148</f>
        <v>171.32899999999995</v>
      </c>
      <c r="AJ149" s="263">
        <f>+AJ150-AJ147-AJ148</f>
        <v>1.3525499999999635</v>
      </c>
      <c r="AK149" s="263">
        <f>SUM(AG149:AJ149)</f>
        <v>18.702549999999874</v>
      </c>
      <c r="AL149" s="69"/>
      <c r="AM149" s="263">
        <f>+AM150-AM147-AM148</f>
        <v>-45.484549999999992</v>
      </c>
      <c r="AN149" s="263">
        <f>+AN150-AN147-AN148</f>
        <v>-8.7119999999999891</v>
      </c>
      <c r="AO149" s="263">
        <f>+AO150-AO147-AO148</f>
        <v>59.606999999999971</v>
      </c>
      <c r="AP149" s="263">
        <f>+AP150-AP147-AP148</f>
        <v>35.421400000000034</v>
      </c>
      <c r="AQ149" s="263">
        <f>SUM(AM149:AP149)</f>
        <v>40.831850000000024</v>
      </c>
      <c r="AR149" s="69"/>
      <c r="AS149" s="263">
        <f>+AS150-AS147-AS148</f>
        <v>5.1190000000001419</v>
      </c>
      <c r="AT149" s="263">
        <f>+AT150-AT147-AT148</f>
        <v>-8.8210500000003709</v>
      </c>
      <c r="AU149" s="263">
        <f>+AU150-AU147-AU148</f>
        <v>-117.48504999999986</v>
      </c>
      <c r="AV149" s="263">
        <f>+AV150-AV147-AV148</f>
        <v>-71.988349999999969</v>
      </c>
      <c r="AW149" s="263">
        <f>SUM(AS149:AV149)</f>
        <v>-193.17545000000007</v>
      </c>
      <c r="AX149" s="69"/>
      <c r="AY149" s="263">
        <f>+AY150-AY147-AY148</f>
        <v>-136.06799999999998</v>
      </c>
      <c r="AZ149" s="263">
        <f>+AZ150-AZ147-AZ148</f>
        <v>43.849749999999986</v>
      </c>
      <c r="BA149" s="263">
        <f>+BA150-BA147-BA148</f>
        <v>-14.305749999999993</v>
      </c>
      <c r="BB149" s="263">
        <f>+BB150-BB147-BB148</f>
        <v>-19.515000000000047</v>
      </c>
      <c r="BC149" s="263">
        <f>SUM(AY149:BB149)</f>
        <v>-126.03900000000003</v>
      </c>
      <c r="BD149" s="69"/>
      <c r="BE149" s="263">
        <f>+BE150-BE147-BE148</f>
        <v>87.199999999999818</v>
      </c>
      <c r="BF149" s="263">
        <f>+BF150-BF147-BF148</f>
        <v>-41.300000000000182</v>
      </c>
      <c r="BG149" s="263">
        <f>+BG150-BG147-BG148</f>
        <v>108.36999999999998</v>
      </c>
      <c r="BH149" s="263">
        <f>+BH150-BH147-BH148</f>
        <v>-104.69999999999982</v>
      </c>
      <c r="BI149" s="263">
        <f>SUM(BE149:BH149)</f>
        <v>49.569999999999794</v>
      </c>
      <c r="BJ149" s="69"/>
      <c r="BK149" s="263">
        <f>+BK150-BK147-BK148</f>
        <v>6.1999999999998181</v>
      </c>
      <c r="BL149" s="263">
        <f>+BL150-BL147-BL148</f>
        <v>-986.84499999999946</v>
      </c>
      <c r="BM149" s="263">
        <f>+BM150-BM147-BM148</f>
        <v>46.484999999999275</v>
      </c>
      <c r="BN149" s="263">
        <f>+BN150-BN147-BN148</f>
        <v>-540.19999999999982</v>
      </c>
      <c r="BO149" s="263">
        <f>SUM(BK149:BN149)</f>
        <v>-1474.3600000000001</v>
      </c>
      <c r="BP149" s="69"/>
      <c r="BQ149" s="1138">
        <v>0</v>
      </c>
      <c r="BR149" s="1138">
        <v>0</v>
      </c>
      <c r="BS149" s="1138">
        <v>0</v>
      </c>
      <c r="BT149" s="1138">
        <v>0</v>
      </c>
      <c r="BU149" s="263">
        <f>SUM(BQ149:BT149)</f>
        <v>0</v>
      </c>
      <c r="BV149" s="69"/>
      <c r="BW149" s="1138">
        <v>0</v>
      </c>
      <c r="BX149" s="1138">
        <v>0</v>
      </c>
      <c r="BY149" s="1138">
        <v>0</v>
      </c>
      <c r="BZ149" s="1138">
        <v>0</v>
      </c>
      <c r="CA149" s="263">
        <f>SUM(BW149:BZ149)</f>
        <v>0</v>
      </c>
      <c r="CB149" s="69"/>
      <c r="CC149" s="1138">
        <v>0</v>
      </c>
      <c r="CD149" s="1138">
        <v>0</v>
      </c>
      <c r="CE149" s="1138">
        <v>0</v>
      </c>
      <c r="CF149" s="1138">
        <v>0</v>
      </c>
      <c r="CG149" s="263">
        <f>SUM(CC149:CF149)</f>
        <v>0</v>
      </c>
      <c r="CH149" s="146"/>
      <c r="CI149" s="146"/>
      <c r="CJ149" s="146"/>
      <c r="CK149"/>
      <c r="CL149"/>
      <c r="CM149"/>
      <c r="CN149"/>
      <c r="CO149"/>
      <c r="CP149"/>
    </row>
    <row r="150" spans="2:94" s="1102" customFormat="1" ht="11.25" customHeight="1" outlineLevel="1" x14ac:dyDescent="0.2">
      <c r="B150" s="1" t="s">
        <v>130</v>
      </c>
      <c r="C150" s="184">
        <f>+C19</f>
        <v>998.39599999999996</v>
      </c>
      <c r="D150" s="184">
        <f>+D19</f>
        <v>1020.02</v>
      </c>
      <c r="E150" s="184">
        <f>+E19</f>
        <v>1121.81</v>
      </c>
      <c r="F150" s="184">
        <f>+F19</f>
        <v>1127.42</v>
      </c>
      <c r="G150" s="184">
        <f>G147+G148+G149</f>
        <v>1127.42</v>
      </c>
      <c r="H150" s="69"/>
      <c r="I150" s="184">
        <f>+I19</f>
        <v>1181.1969999999999</v>
      </c>
      <c r="J150" s="184">
        <f>+J19</f>
        <v>1178.627</v>
      </c>
      <c r="K150" s="184">
        <f>+K19</f>
        <v>1145.212</v>
      </c>
      <c r="L150" s="184">
        <f>+L19</f>
        <v>1277.0260000000001</v>
      </c>
      <c r="M150" s="184">
        <f>M147+M148+M149</f>
        <v>1277.0260000000001</v>
      </c>
      <c r="N150" s="69"/>
      <c r="O150" s="184">
        <f>+O19</f>
        <v>1206.008</v>
      </c>
      <c r="P150" s="184">
        <f>+P19</f>
        <v>1267.8979999999999</v>
      </c>
      <c r="Q150" s="184">
        <f>+Q19</f>
        <v>1308.8240000000001</v>
      </c>
      <c r="R150" s="184">
        <f>+R19</f>
        <v>1312.596</v>
      </c>
      <c r="S150" s="184">
        <f>S147+S148+S149</f>
        <v>1312.596</v>
      </c>
      <c r="T150" s="69"/>
      <c r="U150" s="184">
        <f>+U19</f>
        <v>1279.1030000000001</v>
      </c>
      <c r="V150" s="184">
        <f>+V19</f>
        <v>1208.7650000000001</v>
      </c>
      <c r="W150" s="184">
        <f>+W19</f>
        <v>1304.9380000000001</v>
      </c>
      <c r="X150" s="184">
        <f>+X19</f>
        <v>1303.0550000000001</v>
      </c>
      <c r="Y150" s="184">
        <f>Y147+Y148+Y149</f>
        <v>1303.0550000000001</v>
      </c>
      <c r="Z150" s="69"/>
      <c r="AA150" s="184">
        <f>+AA19</f>
        <v>1350.78</v>
      </c>
      <c r="AB150" s="184">
        <f>+AB19</f>
        <v>1391.289</v>
      </c>
      <c r="AC150" s="184">
        <f>+AC19</f>
        <v>2208.9059999999999</v>
      </c>
      <c r="AD150" s="184">
        <f>+AD19</f>
        <v>2190.0630000000001</v>
      </c>
      <c r="AE150" s="184">
        <f>AE147+AE148+AE149</f>
        <v>2190.0630000000001</v>
      </c>
      <c r="AF150" s="69"/>
      <c r="AG150" s="184">
        <f>+AG19</f>
        <v>2109.451</v>
      </c>
      <c r="AH150" s="184">
        <f>+AH19</f>
        <v>2036.0840000000001</v>
      </c>
      <c r="AI150" s="184">
        <f>+AI19</f>
        <v>2207.413</v>
      </c>
      <c r="AJ150" s="184">
        <f>+AJ19</f>
        <v>2210.953</v>
      </c>
      <c r="AK150" s="184">
        <f>AK147+AK148+AK149</f>
        <v>2210.953</v>
      </c>
      <c r="AL150" s="69"/>
      <c r="AM150" s="184">
        <f>+AM19</f>
        <v>2167.241</v>
      </c>
      <c r="AN150" s="184">
        <f>+AN19</f>
        <v>2158.529</v>
      </c>
      <c r="AO150" s="184">
        <f>+AO19</f>
        <v>2218.136</v>
      </c>
      <c r="AP150" s="184">
        <f>+AP19</f>
        <v>2281.596</v>
      </c>
      <c r="AQ150" s="184">
        <f>AQ147+AQ148+AQ149</f>
        <v>2281.596</v>
      </c>
      <c r="AR150" s="69"/>
      <c r="AS150" s="184">
        <f>+AS19</f>
        <v>2286.7150000000001</v>
      </c>
      <c r="AT150" s="184">
        <f>+AT19</f>
        <v>2278.7979999999998</v>
      </c>
      <c r="AU150" s="184">
        <f>+AU19</f>
        <v>2160.6959999999999</v>
      </c>
      <c r="AV150" s="184">
        <f>+AV19</f>
        <v>2089.3389999999999</v>
      </c>
      <c r="AW150" s="184">
        <f>AW147+AW148+AW149</f>
        <v>2089.3389999999999</v>
      </c>
      <c r="AX150" s="69"/>
      <c r="AY150" s="184">
        <f>+AY19</f>
        <v>1953.271</v>
      </c>
      <c r="AZ150" s="184">
        <f>+AZ19</f>
        <v>1998.6079999999999</v>
      </c>
      <c r="BA150" s="184">
        <f>+BA19</f>
        <v>1984.3</v>
      </c>
      <c r="BB150" s="184">
        <f>+BB19</f>
        <v>1987.6</v>
      </c>
      <c r="BC150" s="184">
        <f>BC147+BC148+BC149</f>
        <v>1987.6000000000001</v>
      </c>
      <c r="BD150" s="69"/>
      <c r="BE150" s="184">
        <f>+BE19</f>
        <v>5836</v>
      </c>
      <c r="BF150" s="184">
        <f>+BF19</f>
        <v>5794.7</v>
      </c>
      <c r="BG150" s="184">
        <f>+BG19</f>
        <v>6056.7</v>
      </c>
      <c r="BH150" s="184">
        <f>+BH19</f>
        <v>5952</v>
      </c>
      <c r="BI150" s="184">
        <f>BI147+BI148+BI149</f>
        <v>5952</v>
      </c>
      <c r="BJ150" s="69"/>
      <c r="BK150" s="184">
        <f>+BK19</f>
        <v>5958.2</v>
      </c>
      <c r="BL150" s="184">
        <f>+BL19</f>
        <v>5023.6000000000004</v>
      </c>
      <c r="BM150" s="184">
        <f>+BM19</f>
        <v>5074.8999999999996</v>
      </c>
      <c r="BN150" s="184">
        <f>+BN19</f>
        <v>4539.2</v>
      </c>
      <c r="BO150" s="184">
        <f>BO147+BO148+BO149</f>
        <v>4539.2000000000007</v>
      </c>
      <c r="BP150" s="69"/>
      <c r="BQ150" s="184">
        <f>SUM(BQ147:BQ149)</f>
        <v>4539.2000000000007</v>
      </c>
      <c r="BR150" s="184">
        <f>SUM(BR147:BR149)</f>
        <v>4539.2000000000007</v>
      </c>
      <c r="BS150" s="184">
        <f>SUM(BS147:BS149)</f>
        <v>4539.2000000000007</v>
      </c>
      <c r="BT150" s="184">
        <f>SUM(BT147:BT149)</f>
        <v>4539.2000000000007</v>
      </c>
      <c r="BU150" s="184">
        <f>SUM(BU147:BU149)</f>
        <v>4539.2000000000007</v>
      </c>
      <c r="BV150" s="69"/>
      <c r="BW150" s="184">
        <f>SUM(BW147:BW149)</f>
        <v>4539.2000000000007</v>
      </c>
      <c r="BX150" s="184">
        <f>SUM(BX147:BX149)</f>
        <v>4539.2000000000007</v>
      </c>
      <c r="BY150" s="184">
        <f>SUM(BY147:BY149)</f>
        <v>4539.2000000000007</v>
      </c>
      <c r="BZ150" s="184">
        <f>SUM(BZ147:BZ149)</f>
        <v>4539.2000000000007</v>
      </c>
      <c r="CA150" s="184">
        <f>SUM(CA147:CA149)</f>
        <v>4539.2000000000007</v>
      </c>
      <c r="CB150" s="69"/>
      <c r="CC150" s="184">
        <f>SUM(CC147:CC149)</f>
        <v>4539.2000000000007</v>
      </c>
      <c r="CD150" s="184">
        <f>SUM(CD147:CD149)</f>
        <v>4539.2000000000007</v>
      </c>
      <c r="CE150" s="184">
        <f>SUM(CE147:CE149)</f>
        <v>4539.2000000000007</v>
      </c>
      <c r="CF150" s="184">
        <f>SUM(CF147:CF149)</f>
        <v>4539.2000000000007</v>
      </c>
      <c r="CG150" s="184">
        <f>SUM(CG147:CG149)</f>
        <v>4539.2000000000007</v>
      </c>
      <c r="CH150" s="184"/>
      <c r="CI150" s="184"/>
      <c r="CJ150" s="184"/>
      <c r="CK150"/>
      <c r="CL150"/>
      <c r="CM150"/>
      <c r="CN150"/>
      <c r="CO150"/>
      <c r="CP150"/>
    </row>
    <row r="151" spans="2:94" s="1102" customFormat="1" ht="11.25" customHeight="1" outlineLevel="1" x14ac:dyDescent="0.2">
      <c r="B151" s="175" t="s">
        <v>81</v>
      </c>
      <c r="C151" s="267">
        <f>+C150-C19</f>
        <v>0</v>
      </c>
      <c r="D151" s="267">
        <f>+D150-D19</f>
        <v>0</v>
      </c>
      <c r="E151" s="267">
        <f>+E150-E19</f>
        <v>0</v>
      </c>
      <c r="F151" s="267">
        <f>+F150-F19</f>
        <v>0</v>
      </c>
      <c r="G151" s="267">
        <f>+G150-G19</f>
        <v>0</v>
      </c>
      <c r="H151" s="267"/>
      <c r="I151" s="267">
        <f>+I150-I19</f>
        <v>0</v>
      </c>
      <c r="J151" s="267">
        <f>+J150-J19</f>
        <v>0</v>
      </c>
      <c r="K151" s="267">
        <f>+K150-K19</f>
        <v>0</v>
      </c>
      <c r="L151" s="267">
        <f>+L150-L19</f>
        <v>0</v>
      </c>
      <c r="M151" s="267">
        <f>+M150-M19</f>
        <v>0</v>
      </c>
      <c r="N151" s="267"/>
      <c r="O151" s="267">
        <f>+O150-O19</f>
        <v>0</v>
      </c>
      <c r="P151" s="267">
        <f>+P150-P19</f>
        <v>0</v>
      </c>
      <c r="Q151" s="267">
        <f>+Q150-Q19</f>
        <v>0</v>
      </c>
      <c r="R151" s="267">
        <f>+R150-R19</f>
        <v>0</v>
      </c>
      <c r="S151" s="267">
        <f>+S150-S19</f>
        <v>0</v>
      </c>
      <c r="T151" s="267"/>
      <c r="U151" s="267">
        <f>+U150-U19</f>
        <v>0</v>
      </c>
      <c r="V151" s="267">
        <f>+V150-V19</f>
        <v>0</v>
      </c>
      <c r="W151" s="267">
        <f>+W150-W19</f>
        <v>0</v>
      </c>
      <c r="X151" s="267">
        <f>+X150-X19</f>
        <v>0</v>
      </c>
      <c r="Y151" s="267">
        <f>+Y150-Y19</f>
        <v>0</v>
      </c>
      <c r="Z151" s="267"/>
      <c r="AA151" s="267">
        <f>+AA150-AA19</f>
        <v>0</v>
      </c>
      <c r="AB151" s="267">
        <f>+AB150-AB19</f>
        <v>0</v>
      </c>
      <c r="AC151" s="267">
        <f>+AC150-AC19</f>
        <v>0</v>
      </c>
      <c r="AD151" s="267">
        <f>+AD150-AD19</f>
        <v>0</v>
      </c>
      <c r="AE151" s="267">
        <f>+AE150-AE19</f>
        <v>0</v>
      </c>
      <c r="AF151" s="267"/>
      <c r="AG151" s="267">
        <f>+AG150-AG19</f>
        <v>0</v>
      </c>
      <c r="AH151" s="267">
        <f>+AH150-AH19</f>
        <v>0</v>
      </c>
      <c r="AI151" s="267">
        <f>+AI150-AI19</f>
        <v>0</v>
      </c>
      <c r="AJ151" s="267">
        <f>+AJ150-AJ19</f>
        <v>0</v>
      </c>
      <c r="AK151" s="267">
        <f>+AK150-AK19</f>
        <v>0</v>
      </c>
      <c r="AL151" s="267"/>
      <c r="AM151" s="267">
        <f>+AM150-AM19</f>
        <v>0</v>
      </c>
      <c r="AN151" s="267">
        <f>+AN150-AN19</f>
        <v>0</v>
      </c>
      <c r="AO151" s="267">
        <f>+AO150-AO19</f>
        <v>0</v>
      </c>
      <c r="AP151" s="267">
        <f>+AP150-AP19</f>
        <v>0</v>
      </c>
      <c r="AQ151" s="267">
        <f>+AQ150-AQ19</f>
        <v>0</v>
      </c>
      <c r="AR151" s="267"/>
      <c r="AS151" s="267">
        <f>+AS150-AS19</f>
        <v>0</v>
      </c>
      <c r="AT151" s="267">
        <f>+AT150-AT19</f>
        <v>0</v>
      </c>
      <c r="AU151" s="267">
        <f>+AU150-AU19</f>
        <v>0</v>
      </c>
      <c r="AV151" s="267">
        <f>+AV150-AV19</f>
        <v>0</v>
      </c>
      <c r="AW151" s="267">
        <f>+AW150-AW19</f>
        <v>0</v>
      </c>
      <c r="AX151" s="267"/>
      <c r="AY151" s="267">
        <f>+AY150-AY19</f>
        <v>0</v>
      </c>
      <c r="AZ151" s="267">
        <f>+AZ150-AZ19</f>
        <v>0</v>
      </c>
      <c r="BA151" s="267">
        <f>+BA150-BA19</f>
        <v>0</v>
      </c>
      <c r="BB151" s="267">
        <f>+BB150-BB19</f>
        <v>0</v>
      </c>
      <c r="BC151" s="267">
        <f>+BC150-BC19</f>
        <v>0</v>
      </c>
      <c r="BD151" s="267"/>
      <c r="BE151" s="267">
        <f>+BE150-BE19</f>
        <v>0</v>
      </c>
      <c r="BF151" s="267">
        <f>+BF150-BF19</f>
        <v>0</v>
      </c>
      <c r="BG151" s="267">
        <f>+BG150-BG19</f>
        <v>0</v>
      </c>
      <c r="BH151" s="267">
        <f>+BH150-BH19</f>
        <v>0</v>
      </c>
      <c r="BI151" s="267">
        <f>+BI150-BI19</f>
        <v>0</v>
      </c>
      <c r="BJ151" s="267"/>
      <c r="BK151" s="267">
        <f>+BK150-BK19</f>
        <v>0</v>
      </c>
      <c r="BL151" s="267">
        <f>+BL150-BL19</f>
        <v>0</v>
      </c>
      <c r="BM151" s="267">
        <f>+BM150-BM19</f>
        <v>0</v>
      </c>
      <c r="BN151" s="267">
        <f>+BN150-BN19</f>
        <v>0</v>
      </c>
      <c r="BO151" s="267">
        <f>+BO150-BO19</f>
        <v>0</v>
      </c>
      <c r="BP151" s="267"/>
      <c r="BQ151" s="267">
        <f>+BQ150-BQ19</f>
        <v>0</v>
      </c>
      <c r="BR151" s="267">
        <f>+BR150-BR19</f>
        <v>0</v>
      </c>
      <c r="BS151" s="267">
        <f>+BS150-BS19</f>
        <v>0</v>
      </c>
      <c r="BT151" s="267">
        <f>+BT150-BT19</f>
        <v>0</v>
      </c>
      <c r="BU151" s="267">
        <f>+BU150-BU19</f>
        <v>0</v>
      </c>
      <c r="BV151" s="267"/>
      <c r="BW151" s="267">
        <f>+BW150-BW19</f>
        <v>0</v>
      </c>
      <c r="BX151" s="267">
        <f>+BX150-BX19</f>
        <v>0</v>
      </c>
      <c r="BY151" s="267">
        <f>+BY150-BY19</f>
        <v>0</v>
      </c>
      <c r="BZ151" s="267">
        <f>+BZ150-BZ19</f>
        <v>0</v>
      </c>
      <c r="CA151" s="267">
        <f>+CA150-CA19</f>
        <v>0</v>
      </c>
      <c r="CB151" s="267"/>
      <c r="CC151" s="267">
        <f>+CC150-CC19</f>
        <v>0</v>
      </c>
      <c r="CD151" s="267">
        <f>+CD150-CD19</f>
        <v>0</v>
      </c>
      <c r="CE151" s="267">
        <f>+CE150-CE19</f>
        <v>0</v>
      </c>
      <c r="CF151" s="267">
        <f>+CF150-CF19</f>
        <v>0</v>
      </c>
      <c r="CG151" s="267">
        <f>+CG150-CG19</f>
        <v>0</v>
      </c>
      <c r="CH151" s="268"/>
      <c r="CI151" s="268"/>
      <c r="CJ151" s="268"/>
      <c r="CK151"/>
      <c r="CL151"/>
      <c r="CM151"/>
      <c r="CN151"/>
      <c r="CO151"/>
      <c r="CP151"/>
    </row>
    <row r="152" spans="2:94" s="1102" customFormat="1" ht="11.25" customHeight="1" outlineLevel="1" x14ac:dyDescent="0.2">
      <c r="B152" s="175"/>
      <c r="C152" s="267"/>
      <c r="D152" s="267"/>
      <c r="E152" s="267"/>
      <c r="F152" s="267"/>
      <c r="G152" s="267"/>
      <c r="H152" s="267"/>
      <c r="I152" s="267"/>
      <c r="J152" s="267"/>
      <c r="K152" s="267"/>
      <c r="L152" s="267"/>
      <c r="M152" s="267"/>
      <c r="N152" s="267"/>
      <c r="O152" s="267"/>
      <c r="P152" s="267"/>
      <c r="Q152" s="267"/>
      <c r="R152" s="267"/>
      <c r="S152" s="267"/>
      <c r="T152" s="267"/>
      <c r="U152" s="267"/>
      <c r="V152" s="267"/>
      <c r="W152" s="267"/>
      <c r="X152" s="267"/>
      <c r="Y152" s="267"/>
      <c r="Z152" s="267"/>
      <c r="AA152" s="267"/>
      <c r="AB152" s="267"/>
      <c r="AC152" s="267"/>
      <c r="AD152" s="267"/>
      <c r="AE152" s="268"/>
      <c r="AF152" s="267"/>
      <c r="AG152" s="267"/>
      <c r="AH152" s="267"/>
      <c r="AI152" s="267"/>
      <c r="AJ152" s="267"/>
      <c r="AK152" s="268"/>
      <c r="AL152" s="267"/>
      <c r="AM152" s="268"/>
      <c r="AN152" s="268"/>
      <c r="AO152" s="267"/>
      <c r="AP152" s="267"/>
      <c r="AQ152" s="268"/>
      <c r="AR152" s="267"/>
      <c r="AS152" s="268"/>
      <c r="AT152" s="268"/>
      <c r="AU152" s="268"/>
      <c r="AV152" s="268"/>
      <c r="AW152" s="268"/>
      <c r="AX152" s="267"/>
      <c r="AY152" s="268"/>
      <c r="AZ152" s="268"/>
      <c r="BA152" s="268"/>
      <c r="BB152" s="268"/>
      <c r="BC152" s="268"/>
      <c r="BD152" s="267"/>
      <c r="BE152" s="268"/>
      <c r="BF152" s="268"/>
      <c r="BG152" s="268"/>
      <c r="BH152" s="268"/>
      <c r="BI152" s="268"/>
      <c r="BJ152" s="267"/>
      <c r="BK152" s="268"/>
      <c r="BL152" s="268"/>
      <c r="BM152" s="268"/>
      <c r="BN152" s="268"/>
      <c r="BO152" s="268"/>
      <c r="BP152" s="267"/>
      <c r="BQ152" s="268"/>
      <c r="BR152" s="268"/>
      <c r="BS152" s="268"/>
      <c r="BT152" s="268"/>
      <c r="BU152" s="268"/>
      <c r="BV152" s="267"/>
      <c r="BW152" s="268"/>
      <c r="BX152" s="268"/>
      <c r="BY152" s="268"/>
      <c r="BZ152" s="268"/>
      <c r="CA152" s="268"/>
      <c r="CB152" s="267"/>
      <c r="CC152" s="268"/>
      <c r="CD152" s="268"/>
      <c r="CE152" s="268"/>
      <c r="CF152" s="268"/>
      <c r="CG152" s="268"/>
      <c r="CH152" s="268"/>
      <c r="CI152" s="268"/>
      <c r="CJ152" s="268"/>
      <c r="CK152"/>
      <c r="CL152"/>
      <c r="CM152"/>
      <c r="CN152"/>
      <c r="CO152"/>
      <c r="CP152"/>
    </row>
    <row r="153" spans="2:94" s="1102" customFormat="1" ht="11.25" customHeight="1" outlineLevel="1" x14ac:dyDescent="0.2">
      <c r="B153" s="5" t="s">
        <v>144</v>
      </c>
      <c r="C153" s="269"/>
      <c r="D153" s="269"/>
      <c r="E153" s="269"/>
      <c r="F153" s="269"/>
      <c r="G153" s="269"/>
      <c r="H153" s="169"/>
      <c r="I153" s="269"/>
      <c r="J153" s="269"/>
      <c r="K153" s="269"/>
      <c r="L153" s="269"/>
      <c r="M153" s="269"/>
      <c r="N153" s="169"/>
      <c r="O153" s="269"/>
      <c r="P153" s="269"/>
      <c r="Q153" s="269"/>
      <c r="R153" s="269"/>
      <c r="S153" s="269"/>
      <c r="T153" s="169"/>
      <c r="U153" s="269"/>
      <c r="V153" s="269"/>
      <c r="W153" s="269"/>
      <c r="X153" s="269"/>
      <c r="Y153" s="269"/>
      <c r="Z153" s="169"/>
      <c r="AA153" s="269"/>
      <c r="AB153" s="269"/>
      <c r="AC153" s="269"/>
      <c r="AD153" s="269"/>
      <c r="AE153" s="269"/>
      <c r="AF153" s="168"/>
      <c r="AG153" s="269"/>
      <c r="AH153" s="269"/>
      <c r="AI153" s="269"/>
      <c r="AJ153" s="269"/>
      <c r="AK153" s="269"/>
      <c r="AL153" s="168"/>
      <c r="AM153" s="269"/>
      <c r="AN153" s="269"/>
      <c r="AO153" s="269"/>
      <c r="AP153" s="269"/>
      <c r="AQ153" s="269"/>
      <c r="AR153" s="168"/>
      <c r="AS153" s="269"/>
      <c r="AT153" s="269"/>
      <c r="AU153" s="269"/>
      <c r="AV153" s="269"/>
      <c r="AW153" s="269"/>
      <c r="AX153" s="168"/>
      <c r="AY153" s="269"/>
      <c r="AZ153" s="269"/>
      <c r="BA153" s="269"/>
      <c r="BB153" s="269"/>
      <c r="BC153" s="269"/>
      <c r="BD153" s="168"/>
      <c r="BE153" s="269"/>
      <c r="BF153" s="269"/>
      <c r="BG153" s="269"/>
      <c r="BH153" s="269"/>
      <c r="BI153" s="269"/>
      <c r="BJ153" s="168"/>
      <c r="BK153" s="269"/>
      <c r="BL153" s="269"/>
      <c r="BM153" s="269"/>
      <c r="BN153" s="269"/>
      <c r="BO153" s="581"/>
      <c r="BP153" s="168"/>
      <c r="BQ153" s="269"/>
      <c r="BR153" s="269"/>
      <c r="BS153" s="269"/>
      <c r="BT153" s="269"/>
      <c r="BU153" s="581"/>
      <c r="BV153" s="168"/>
      <c r="BW153" s="269"/>
      <c r="BX153" s="269"/>
      <c r="BY153" s="269"/>
      <c r="BZ153" s="269"/>
      <c r="CA153" s="581"/>
      <c r="CB153" s="168"/>
      <c r="CC153" s="269"/>
      <c r="CD153" s="269"/>
      <c r="CE153" s="269"/>
      <c r="CF153" s="269"/>
      <c r="CG153" s="581"/>
      <c r="CH153" s="168"/>
      <c r="CI153" s="168"/>
      <c r="CJ153" s="168"/>
      <c r="CK153"/>
      <c r="CL153"/>
      <c r="CM153"/>
      <c r="CN153"/>
      <c r="CO153"/>
      <c r="CP153"/>
    </row>
    <row r="154" spans="2:94" s="1102" customFormat="1" ht="11.25" customHeight="1" outlineLevel="1" x14ac:dyDescent="0.2">
      <c r="B154" s="1" t="s">
        <v>145</v>
      </c>
      <c r="C154" s="184">
        <f>+CashFlow!C32</f>
        <v>-7.15</v>
      </c>
      <c r="D154" s="184">
        <f>+CashFlow!D32</f>
        <v>-19.073</v>
      </c>
      <c r="E154" s="184">
        <f>+CashFlow!E32</f>
        <v>-74.412000000000006</v>
      </c>
      <c r="F154" s="184">
        <f>+CashFlow!F32</f>
        <v>-0.85699999999999932</v>
      </c>
      <c r="G154" s="184">
        <f>+CashFlow!G32</f>
        <v>-101.492</v>
      </c>
      <c r="H154" s="146"/>
      <c r="I154" s="184">
        <f>+CashFlow!I32</f>
        <v>-2.415</v>
      </c>
      <c r="J154" s="184">
        <f>+CashFlow!J32</f>
        <v>0</v>
      </c>
      <c r="K154" s="184">
        <f>+CashFlow!K32</f>
        <v>-41.521999999999998</v>
      </c>
      <c r="L154" s="184">
        <f>+CashFlow!L32</f>
        <v>-73.363</v>
      </c>
      <c r="M154" s="184">
        <f>+CashFlow!M32</f>
        <v>-117.3</v>
      </c>
      <c r="N154" s="146"/>
      <c r="O154" s="184">
        <f>+CashFlow!O32</f>
        <v>-0.57399999999999995</v>
      </c>
      <c r="P154" s="184">
        <f>+CashFlow!P32</f>
        <v>-2.4120000000000004</v>
      </c>
      <c r="Q154" s="184">
        <f>+CashFlow!Q32</f>
        <v>0</v>
      </c>
      <c r="R154" s="184">
        <f>+CashFlow!R32</f>
        <v>0</v>
      </c>
      <c r="S154" s="184">
        <f>+CashFlow!S32</f>
        <v>-2.9860000000000002</v>
      </c>
      <c r="T154" s="146"/>
      <c r="U154" s="184">
        <f>+CashFlow!U32</f>
        <v>-7.6870000000000003</v>
      </c>
      <c r="V154" s="184">
        <f>+CashFlow!V32</f>
        <v>-0.621999999999999</v>
      </c>
      <c r="W154" s="184">
        <f>+CashFlow!W32</f>
        <v>-13.688000000000001</v>
      </c>
      <c r="X154" s="184">
        <f>+CashFlow!X32</f>
        <v>-13.558999999999997</v>
      </c>
      <c r="Y154" s="184">
        <f>+CashFlow!Y32</f>
        <v>-35.555999999999997</v>
      </c>
      <c r="Z154" s="146"/>
      <c r="AA154" s="184">
        <f>+CashFlow!AA32</f>
        <v>-21.126999999999999</v>
      </c>
      <c r="AB154" s="184">
        <f>+CashFlow!AB32</f>
        <v>1.0399999999999991</v>
      </c>
      <c r="AC154" s="184">
        <f>+CashFlow!AC32</f>
        <v>-1777.8320000000001</v>
      </c>
      <c r="AD154" s="184">
        <f>+CashFlow!AD32</f>
        <v>10.403000000000031</v>
      </c>
      <c r="AE154" s="184">
        <f>+CashFlow!AE32</f>
        <v>-1787.5160000000001</v>
      </c>
      <c r="AF154" s="146"/>
      <c r="AG154" s="184">
        <f>+CashFlow!AG32</f>
        <v>0</v>
      </c>
      <c r="AH154" s="184">
        <f>+CashFlow!AH32</f>
        <v>0</v>
      </c>
      <c r="AI154" s="184">
        <f>+CashFlow!AI32</f>
        <v>0</v>
      </c>
      <c r="AJ154" s="184">
        <f>+CashFlow!AJ32</f>
        <v>-4.8609999999999998</v>
      </c>
      <c r="AK154" s="184">
        <f>+CashFlow!AK32</f>
        <v>-4.8609999999999998</v>
      </c>
      <c r="AL154" s="146"/>
      <c r="AM154" s="184">
        <f>+CashFlow!AM32</f>
        <v>-3.9390000000000001</v>
      </c>
      <c r="AN154" s="184">
        <f>+CashFlow!AN32</f>
        <v>0</v>
      </c>
      <c r="AO154" s="184">
        <f>+CashFlow!AO32</f>
        <v>0</v>
      </c>
      <c r="AP154" s="184">
        <f>+CashFlow!AP32</f>
        <v>-62.308</v>
      </c>
      <c r="AQ154" s="184">
        <f>+CashFlow!AQ32</f>
        <v>-66.247</v>
      </c>
      <c r="AR154" s="146"/>
      <c r="AS154" s="184">
        <f>+CashFlow!AS32</f>
        <v>0</v>
      </c>
      <c r="AT154" s="184">
        <f>+CashFlow!AT32</f>
        <v>-2.0089999999999999</v>
      </c>
      <c r="AU154" s="184">
        <f>+CashFlow!AU32</f>
        <v>1.371</v>
      </c>
      <c r="AV154" s="184">
        <f>+CashFlow!AV32</f>
        <v>-1.4030000000000005</v>
      </c>
      <c r="AW154" s="184">
        <f>+CashFlow!AW32</f>
        <v>-2.0410000000000004</v>
      </c>
      <c r="AX154" s="146"/>
      <c r="AY154" s="184">
        <f>+CashFlow!AY32</f>
        <v>0</v>
      </c>
      <c r="AZ154" s="184">
        <f>+CashFlow!AZ32</f>
        <v>-3.3050000000000002</v>
      </c>
      <c r="BA154" s="184">
        <f>+CashFlow!BA32</f>
        <v>5.0000000000003375E-3</v>
      </c>
      <c r="BB154" s="184">
        <f>+CashFlow!BB32</f>
        <v>-50.7</v>
      </c>
      <c r="BC154" s="184">
        <f>+CashFlow!BC32</f>
        <v>-54</v>
      </c>
      <c r="BD154" s="146"/>
      <c r="BE154" s="184">
        <f>+CashFlow!BE32</f>
        <v>-0.4</v>
      </c>
      <c r="BF154" s="184">
        <f>+CashFlow!BF32</f>
        <v>0</v>
      </c>
      <c r="BG154" s="184">
        <f>+CashFlow!BG32</f>
        <v>-341.40000000000003</v>
      </c>
      <c r="BH154" s="184">
        <f>+CashFlow!BH32</f>
        <v>0</v>
      </c>
      <c r="BI154" s="184">
        <f>+CashFlow!BI32</f>
        <v>-341.8</v>
      </c>
      <c r="BJ154" s="146"/>
      <c r="BK154" s="184">
        <f>+CashFlow!BK32</f>
        <v>-9.1</v>
      </c>
      <c r="BL154" s="184">
        <f>+CashFlow!BL32</f>
        <v>-116.10000000000001</v>
      </c>
      <c r="BM154" s="184">
        <f>+CashFlow!BM32</f>
        <v>-10.700000000000003</v>
      </c>
      <c r="BN154" s="184">
        <f>+CashFlow!BN32</f>
        <v>-10</v>
      </c>
      <c r="BO154" s="184">
        <f>+CashFlow!BO32</f>
        <v>-145.9</v>
      </c>
      <c r="BP154" s="146"/>
      <c r="BQ154" s="184">
        <f>+CashFlow!BQ32</f>
        <v>0</v>
      </c>
      <c r="BR154" s="184">
        <f>+CashFlow!BR32</f>
        <v>0</v>
      </c>
      <c r="BS154" s="184">
        <f>+CashFlow!BS32</f>
        <v>0</v>
      </c>
      <c r="BT154" s="184">
        <f>+CashFlow!BT32</f>
        <v>0</v>
      </c>
      <c r="BU154" s="184">
        <f>+CashFlow!BU32</f>
        <v>0</v>
      </c>
      <c r="BV154" s="146"/>
      <c r="BW154" s="184">
        <f>+CashFlow!BW32</f>
        <v>0</v>
      </c>
      <c r="BX154" s="184">
        <f>+CashFlow!BX32</f>
        <v>0</v>
      </c>
      <c r="BY154" s="184">
        <f>+CashFlow!BY32</f>
        <v>0</v>
      </c>
      <c r="BZ154" s="184">
        <f>+CashFlow!BZ32</f>
        <v>0</v>
      </c>
      <c r="CA154" s="184">
        <f>+CashFlow!CA32</f>
        <v>0</v>
      </c>
      <c r="CB154" s="146"/>
      <c r="CC154" s="184">
        <f>+CashFlow!CC32</f>
        <v>0</v>
      </c>
      <c r="CD154" s="184">
        <f>+CashFlow!CD32</f>
        <v>0</v>
      </c>
      <c r="CE154" s="184">
        <f>+CashFlow!CE32</f>
        <v>0</v>
      </c>
      <c r="CF154" s="184">
        <f>+CashFlow!CF32</f>
        <v>0</v>
      </c>
      <c r="CG154" s="184">
        <f>+CashFlow!CG32</f>
        <v>0</v>
      </c>
      <c r="CH154" s="184"/>
      <c r="CI154" s="184"/>
      <c r="CJ154" s="184"/>
      <c r="CK154"/>
      <c r="CL154"/>
      <c r="CM154"/>
      <c r="CN154"/>
      <c r="CO154"/>
      <c r="CP154"/>
    </row>
    <row r="155" spans="2:94" s="1102" customFormat="1" ht="11.25" customHeight="1" outlineLevel="1" x14ac:dyDescent="0.2">
      <c r="B155" s="6" t="s">
        <v>73</v>
      </c>
      <c r="C155" s="1140">
        <v>0.45</v>
      </c>
      <c r="D155" s="1140">
        <v>0.45</v>
      </c>
      <c r="E155" s="1140">
        <v>0.45</v>
      </c>
      <c r="F155" s="1140">
        <v>0.45</v>
      </c>
      <c r="G155" s="1140">
        <v>0.45</v>
      </c>
      <c r="H155" s="1140"/>
      <c r="I155" s="1140">
        <v>0.45</v>
      </c>
      <c r="J155" s="1140">
        <v>0.45</v>
      </c>
      <c r="K155" s="1140">
        <v>0.45</v>
      </c>
      <c r="L155" s="1140">
        <v>0.45</v>
      </c>
      <c r="M155" s="1140">
        <v>0.45</v>
      </c>
      <c r="N155" s="1140"/>
      <c r="O155" s="1140">
        <v>0.45</v>
      </c>
      <c r="P155" s="1140">
        <v>0.45</v>
      </c>
      <c r="Q155" s="1140">
        <v>0.45</v>
      </c>
      <c r="R155" s="1140">
        <v>0.45</v>
      </c>
      <c r="S155" s="1140">
        <v>0.45</v>
      </c>
      <c r="T155" s="1140"/>
      <c r="U155" s="1140">
        <v>0.45</v>
      </c>
      <c r="V155" s="1140">
        <v>0.45</v>
      </c>
      <c r="W155" s="1140">
        <v>0.45</v>
      </c>
      <c r="X155" s="1140">
        <v>0.45</v>
      </c>
      <c r="Y155" s="1140">
        <v>0.45</v>
      </c>
      <c r="Z155" s="1140"/>
      <c r="AA155" s="1140">
        <v>0.45</v>
      </c>
      <c r="AB155" s="1140">
        <v>0.45</v>
      </c>
      <c r="AC155" s="1140">
        <v>0.45</v>
      </c>
      <c r="AD155" s="1140">
        <v>0.45</v>
      </c>
      <c r="AE155" s="1140">
        <v>0.45</v>
      </c>
      <c r="AF155" s="1140"/>
      <c r="AG155" s="1140">
        <v>0.45</v>
      </c>
      <c r="AH155" s="1140">
        <v>0.45</v>
      </c>
      <c r="AI155" s="1140">
        <v>0.45</v>
      </c>
      <c r="AJ155" s="1140">
        <v>0.45</v>
      </c>
      <c r="AK155" s="1140">
        <v>0.45</v>
      </c>
      <c r="AL155" s="1140"/>
      <c r="AM155" s="1140">
        <v>0.45</v>
      </c>
      <c r="AN155" s="1140">
        <v>0.45</v>
      </c>
      <c r="AO155" s="1140">
        <v>0.45</v>
      </c>
      <c r="AP155" s="1140">
        <v>0.45</v>
      </c>
      <c r="AQ155" s="1140">
        <v>0.45</v>
      </c>
      <c r="AR155" s="1140"/>
      <c r="AS155" s="1140">
        <v>0.45</v>
      </c>
      <c r="AT155" s="1140">
        <v>0.45</v>
      </c>
      <c r="AU155" s="1140">
        <v>0.45</v>
      </c>
      <c r="AV155" s="1140">
        <v>0.45</v>
      </c>
      <c r="AW155" s="1140">
        <v>0.45</v>
      </c>
      <c r="AX155" s="1140"/>
      <c r="AY155" s="1140">
        <v>0.45</v>
      </c>
      <c r="AZ155" s="1140">
        <v>0.45</v>
      </c>
      <c r="BA155" s="1140">
        <v>0.45</v>
      </c>
      <c r="BB155" s="1140">
        <v>0.45</v>
      </c>
      <c r="BC155" s="1140">
        <v>0.45</v>
      </c>
      <c r="BD155" s="1140"/>
      <c r="BE155" s="1140">
        <v>0.45</v>
      </c>
      <c r="BF155" s="1140">
        <v>0.45</v>
      </c>
      <c r="BG155" s="1140">
        <v>0.45</v>
      </c>
      <c r="BH155" s="1140">
        <v>0.45</v>
      </c>
      <c r="BI155" s="1140">
        <v>0.45</v>
      </c>
      <c r="BJ155" s="1140"/>
      <c r="BK155" s="1140">
        <v>0.45</v>
      </c>
      <c r="BL155" s="1140">
        <v>0.45</v>
      </c>
      <c r="BM155" s="1140">
        <v>0.45</v>
      </c>
      <c r="BN155" s="1140">
        <v>0.45</v>
      </c>
      <c r="BO155" s="1140">
        <v>0.45</v>
      </c>
      <c r="BP155" s="1140"/>
      <c r="BQ155" s="1140">
        <v>0.45</v>
      </c>
      <c r="BR155" s="1140">
        <v>0.45</v>
      </c>
      <c r="BS155" s="1140">
        <v>0.45</v>
      </c>
      <c r="BT155" s="1140">
        <v>0.45</v>
      </c>
      <c r="BU155" s="1140">
        <v>0.45</v>
      </c>
      <c r="BV155" s="1140"/>
      <c r="BW155" s="1140">
        <v>0.45</v>
      </c>
      <c r="BX155" s="1140">
        <v>0.45</v>
      </c>
      <c r="BY155" s="1140">
        <v>0.45</v>
      </c>
      <c r="BZ155" s="1140">
        <v>0.45</v>
      </c>
      <c r="CA155" s="1140">
        <v>0.45</v>
      </c>
      <c r="CB155" s="1140"/>
      <c r="CC155" s="1140">
        <v>0.45</v>
      </c>
      <c r="CD155" s="1140">
        <v>0.45</v>
      </c>
      <c r="CE155" s="1140">
        <v>0.45</v>
      </c>
      <c r="CF155" s="1140">
        <v>0.45</v>
      </c>
      <c r="CG155" s="1140">
        <v>0.45</v>
      </c>
      <c r="CH155" s="1140"/>
      <c r="CI155" s="1140"/>
      <c r="CJ155" s="1140"/>
      <c r="CK155"/>
      <c r="CL155"/>
      <c r="CM155"/>
      <c r="CN155"/>
      <c r="CO155"/>
      <c r="CP155"/>
    </row>
    <row r="156" spans="2:94" s="1102" customFormat="1" ht="11.25" customHeight="1" outlineLevel="1" x14ac:dyDescent="0.2">
      <c r="B156" s="6" t="s">
        <v>123</v>
      </c>
      <c r="C156" s="1140">
        <v>0.3</v>
      </c>
      <c r="D156" s="1140">
        <v>0.3</v>
      </c>
      <c r="E156" s="1140">
        <v>0.3</v>
      </c>
      <c r="F156" s="1140">
        <v>0.3</v>
      </c>
      <c r="G156" s="1140">
        <v>0.3</v>
      </c>
      <c r="H156" s="1140"/>
      <c r="I156" s="1140">
        <v>0.3</v>
      </c>
      <c r="J156" s="1140">
        <v>0.3</v>
      </c>
      <c r="K156" s="1140">
        <v>0.3</v>
      </c>
      <c r="L156" s="1140">
        <v>0.3</v>
      </c>
      <c r="M156" s="1140">
        <v>0.3</v>
      </c>
      <c r="N156" s="1140"/>
      <c r="O156" s="1140">
        <v>0.3</v>
      </c>
      <c r="P156" s="1140">
        <v>0.3</v>
      </c>
      <c r="Q156" s="1140">
        <v>0.3</v>
      </c>
      <c r="R156" s="1140">
        <v>0.3</v>
      </c>
      <c r="S156" s="1140">
        <v>0.3</v>
      </c>
      <c r="T156" s="1140"/>
      <c r="U156" s="1140">
        <v>0.3</v>
      </c>
      <c r="V156" s="1140">
        <v>0.3</v>
      </c>
      <c r="W156" s="1140">
        <v>0.3</v>
      </c>
      <c r="X156" s="1140">
        <v>0.3</v>
      </c>
      <c r="Y156" s="1140">
        <v>0.3</v>
      </c>
      <c r="Z156" s="1140"/>
      <c r="AA156" s="1140">
        <v>0.3</v>
      </c>
      <c r="AB156" s="1140">
        <v>0.3</v>
      </c>
      <c r="AC156" s="1140">
        <v>0.3</v>
      </c>
      <c r="AD156" s="1140">
        <v>0.3</v>
      </c>
      <c r="AE156" s="1140">
        <v>0.3</v>
      </c>
      <c r="AF156" s="1140"/>
      <c r="AG156" s="1140">
        <v>0.3</v>
      </c>
      <c r="AH156" s="1140">
        <v>0.3</v>
      </c>
      <c r="AI156" s="1140">
        <v>0.3</v>
      </c>
      <c r="AJ156" s="1140">
        <v>0.3</v>
      </c>
      <c r="AK156" s="1140">
        <v>0.3</v>
      </c>
      <c r="AL156" s="1140"/>
      <c r="AM156" s="1140">
        <v>0.3</v>
      </c>
      <c r="AN156" s="1140">
        <v>0.3</v>
      </c>
      <c r="AO156" s="1140">
        <v>0.3</v>
      </c>
      <c r="AP156" s="1140">
        <v>0.3</v>
      </c>
      <c r="AQ156" s="1140">
        <v>0.3</v>
      </c>
      <c r="AR156" s="1140"/>
      <c r="AS156" s="1140">
        <v>0.3</v>
      </c>
      <c r="AT156" s="1140">
        <v>0.3</v>
      </c>
      <c r="AU156" s="1140">
        <v>0.3</v>
      </c>
      <c r="AV156" s="1140">
        <v>0.3</v>
      </c>
      <c r="AW156" s="1140">
        <v>0.3</v>
      </c>
      <c r="AX156" s="1140"/>
      <c r="AY156" s="1140">
        <v>0.3</v>
      </c>
      <c r="AZ156" s="1140">
        <v>0.3</v>
      </c>
      <c r="BA156" s="1140">
        <v>0.3</v>
      </c>
      <c r="BB156" s="1140">
        <v>0.3</v>
      </c>
      <c r="BC156" s="1140">
        <v>0.3</v>
      </c>
      <c r="BD156" s="1140"/>
      <c r="BE156" s="1140">
        <v>0.3</v>
      </c>
      <c r="BF156" s="1140">
        <v>0.3</v>
      </c>
      <c r="BG156" s="1140">
        <v>0.3</v>
      </c>
      <c r="BH156" s="1140">
        <v>0.3</v>
      </c>
      <c r="BI156" s="1140">
        <v>0.3</v>
      </c>
      <c r="BJ156" s="1140"/>
      <c r="BK156" s="1140">
        <v>0.3</v>
      </c>
      <c r="BL156" s="1140">
        <v>0.3</v>
      </c>
      <c r="BM156" s="1140">
        <v>0.3</v>
      </c>
      <c r="BN156" s="1140">
        <v>0.3</v>
      </c>
      <c r="BO156" s="1140">
        <v>0.3</v>
      </c>
      <c r="BP156" s="1140"/>
      <c r="BQ156" s="1140">
        <v>0.3</v>
      </c>
      <c r="BR156" s="1140">
        <v>0.3</v>
      </c>
      <c r="BS156" s="1140">
        <v>0.3</v>
      </c>
      <c r="BT156" s="1140">
        <v>0.3</v>
      </c>
      <c r="BU156" s="1140">
        <v>0.3</v>
      </c>
      <c r="BV156" s="1140"/>
      <c r="BW156" s="1140">
        <v>0.3</v>
      </c>
      <c r="BX156" s="1140">
        <v>0.3</v>
      </c>
      <c r="BY156" s="1140">
        <v>0.3</v>
      </c>
      <c r="BZ156" s="1140">
        <v>0.3</v>
      </c>
      <c r="CA156" s="1140">
        <v>0.3</v>
      </c>
      <c r="CB156" s="1140"/>
      <c r="CC156" s="1140">
        <v>0.3</v>
      </c>
      <c r="CD156" s="1140">
        <v>0.3</v>
      </c>
      <c r="CE156" s="1140">
        <v>0.3</v>
      </c>
      <c r="CF156" s="1140">
        <v>0.3</v>
      </c>
      <c r="CG156" s="1140">
        <v>0.3</v>
      </c>
      <c r="CH156" s="1140"/>
      <c r="CI156" s="1140"/>
      <c r="CJ156" s="1140"/>
      <c r="CK156"/>
      <c r="CL156"/>
      <c r="CM156"/>
      <c r="CN156"/>
      <c r="CO156"/>
      <c r="CP156"/>
    </row>
    <row r="157" spans="2:94" s="1102" customFormat="1" ht="11.25" customHeight="1" outlineLevel="1" x14ac:dyDescent="0.2">
      <c r="B157" s="6" t="s">
        <v>113</v>
      </c>
      <c r="C157" s="1140">
        <v>0.25</v>
      </c>
      <c r="D157" s="1140">
        <v>0.25</v>
      </c>
      <c r="E157" s="1140">
        <v>0.25</v>
      </c>
      <c r="F157" s="1140">
        <v>0.25</v>
      </c>
      <c r="G157" s="1140">
        <v>0.25</v>
      </c>
      <c r="H157" s="1140"/>
      <c r="I157" s="1140">
        <v>0.25</v>
      </c>
      <c r="J157" s="1140">
        <v>0.25</v>
      </c>
      <c r="K157" s="1140">
        <v>0.25</v>
      </c>
      <c r="L157" s="1140">
        <v>0.25</v>
      </c>
      <c r="M157" s="1140">
        <v>0.25</v>
      </c>
      <c r="N157" s="1140"/>
      <c r="O157" s="1140">
        <v>0.25</v>
      </c>
      <c r="P157" s="1140">
        <v>0.25</v>
      </c>
      <c r="Q157" s="1140">
        <v>0.25</v>
      </c>
      <c r="R157" s="1140">
        <v>0.25</v>
      </c>
      <c r="S157" s="1140">
        <v>0.25</v>
      </c>
      <c r="T157" s="1140"/>
      <c r="U157" s="1140">
        <v>0.25</v>
      </c>
      <c r="V157" s="1140">
        <v>0.25</v>
      </c>
      <c r="W157" s="1140">
        <v>0.25</v>
      </c>
      <c r="X157" s="1140">
        <v>0.25</v>
      </c>
      <c r="Y157" s="1140">
        <v>0.25</v>
      </c>
      <c r="Z157" s="1140"/>
      <c r="AA157" s="1140">
        <v>0.25</v>
      </c>
      <c r="AB157" s="1140">
        <v>0.25</v>
      </c>
      <c r="AC157" s="1140">
        <v>0.25</v>
      </c>
      <c r="AD157" s="1140">
        <v>0.25</v>
      </c>
      <c r="AE157" s="1140">
        <v>0.25</v>
      </c>
      <c r="AF157" s="1140"/>
      <c r="AG157" s="1140">
        <v>0.25</v>
      </c>
      <c r="AH157" s="1140">
        <v>0.25</v>
      </c>
      <c r="AI157" s="1140">
        <v>0.25</v>
      </c>
      <c r="AJ157" s="1140">
        <v>0.25</v>
      </c>
      <c r="AK157" s="1140">
        <v>0.25</v>
      </c>
      <c r="AL157" s="1140"/>
      <c r="AM157" s="1140">
        <v>0.25</v>
      </c>
      <c r="AN157" s="1140">
        <v>0.25</v>
      </c>
      <c r="AO157" s="1140">
        <v>0.25</v>
      </c>
      <c r="AP157" s="1140">
        <v>0.25</v>
      </c>
      <c r="AQ157" s="1140">
        <v>0.25</v>
      </c>
      <c r="AR157" s="1140"/>
      <c r="AS157" s="1140">
        <v>0.25</v>
      </c>
      <c r="AT157" s="1140">
        <v>0.25</v>
      </c>
      <c r="AU157" s="1140">
        <v>0.25</v>
      </c>
      <c r="AV157" s="1140">
        <v>0.25</v>
      </c>
      <c r="AW157" s="1140">
        <v>0.25</v>
      </c>
      <c r="AX157" s="1140"/>
      <c r="AY157" s="1140">
        <v>0.25</v>
      </c>
      <c r="AZ157" s="1140">
        <v>0.25</v>
      </c>
      <c r="BA157" s="1140">
        <v>0.25</v>
      </c>
      <c r="BB157" s="1140">
        <v>0.25</v>
      </c>
      <c r="BC157" s="1140">
        <v>0.25</v>
      </c>
      <c r="BD157" s="1140"/>
      <c r="BE157" s="1140">
        <v>0.25</v>
      </c>
      <c r="BF157" s="1140">
        <v>0.25</v>
      </c>
      <c r="BG157" s="1140">
        <v>0.25</v>
      </c>
      <c r="BH157" s="1140">
        <v>0.25</v>
      </c>
      <c r="BI157" s="1140">
        <v>0.25</v>
      </c>
      <c r="BJ157" s="1140"/>
      <c r="BK157" s="1140">
        <v>0.25</v>
      </c>
      <c r="BL157" s="1140">
        <v>0.25</v>
      </c>
      <c r="BM157" s="1140">
        <v>0.25</v>
      </c>
      <c r="BN157" s="1140">
        <v>0.25</v>
      </c>
      <c r="BO157" s="1140">
        <v>0.25</v>
      </c>
      <c r="BP157" s="1140"/>
      <c r="BQ157" s="1140">
        <v>0.25</v>
      </c>
      <c r="BR157" s="1140">
        <v>0.25</v>
      </c>
      <c r="BS157" s="1140">
        <v>0.25</v>
      </c>
      <c r="BT157" s="1140">
        <v>0.25</v>
      </c>
      <c r="BU157" s="1140">
        <v>0.25</v>
      </c>
      <c r="BV157" s="1140"/>
      <c r="BW157" s="1140">
        <v>0.25</v>
      </c>
      <c r="BX157" s="1140">
        <v>0.25</v>
      </c>
      <c r="BY157" s="1140">
        <v>0.25</v>
      </c>
      <c r="BZ157" s="1140">
        <v>0.25</v>
      </c>
      <c r="CA157" s="1140">
        <v>0.25</v>
      </c>
      <c r="CB157" s="1140"/>
      <c r="CC157" s="1140">
        <v>0.25</v>
      </c>
      <c r="CD157" s="1140">
        <v>0.25</v>
      </c>
      <c r="CE157" s="1140">
        <v>0.25</v>
      </c>
      <c r="CF157" s="1140">
        <v>0.25</v>
      </c>
      <c r="CG157" s="1140">
        <v>0.25</v>
      </c>
      <c r="CH157" s="1140"/>
      <c r="CI157" s="1140"/>
      <c r="CJ157" s="1140"/>
      <c r="CK157"/>
      <c r="CL157"/>
      <c r="CM157"/>
      <c r="CN157"/>
      <c r="CO157"/>
      <c r="CP157"/>
    </row>
    <row r="158" spans="2:94" s="1102" customFormat="1" ht="11.25" customHeight="1" outlineLevel="1" x14ac:dyDescent="0.2">
      <c r="B158" s="18" t="s">
        <v>146</v>
      </c>
      <c r="C158" s="270">
        <f>+SUM(C155:C157)</f>
        <v>1</v>
      </c>
      <c r="D158" s="270">
        <f>+SUM(D155:D157)</f>
        <v>1</v>
      </c>
      <c r="E158" s="270">
        <f>+SUM(E155:E157)</f>
        <v>1</v>
      </c>
      <c r="F158" s="270">
        <f>+SUM(F155:F157)</f>
        <v>1</v>
      </c>
      <c r="G158" s="270">
        <f>+SUM(G155:G157)</f>
        <v>1</v>
      </c>
      <c r="H158" s="125"/>
      <c r="I158" s="270">
        <f>+SUM(I155:I157)</f>
        <v>1</v>
      </c>
      <c r="J158" s="270">
        <f>+SUM(J155:J157)</f>
        <v>1</v>
      </c>
      <c r="K158" s="270">
        <f>+SUM(K155:K157)</f>
        <v>1</v>
      </c>
      <c r="L158" s="270">
        <f>+SUM(L155:L157)</f>
        <v>1</v>
      </c>
      <c r="M158" s="270">
        <f>+SUM(M155:M157)</f>
        <v>1</v>
      </c>
      <c r="N158" s="125"/>
      <c r="O158" s="270">
        <f>+SUM(O155:O157)</f>
        <v>1</v>
      </c>
      <c r="P158" s="270">
        <f>+SUM(P155:P157)</f>
        <v>1</v>
      </c>
      <c r="Q158" s="270">
        <f>+SUM(Q155:Q157)</f>
        <v>1</v>
      </c>
      <c r="R158" s="270">
        <f>+SUM(R155:R157)</f>
        <v>1</v>
      </c>
      <c r="S158" s="270">
        <f>+SUM(S155:S157)</f>
        <v>1</v>
      </c>
      <c r="T158" s="125"/>
      <c r="U158" s="270">
        <f>+SUM(U155:U157)</f>
        <v>1</v>
      </c>
      <c r="V158" s="270">
        <f>+SUM(V155:V157)</f>
        <v>1</v>
      </c>
      <c r="W158" s="270">
        <f>+SUM(W155:W157)</f>
        <v>1</v>
      </c>
      <c r="X158" s="270">
        <f>+SUM(X155:X157)</f>
        <v>1</v>
      </c>
      <c r="Y158" s="270">
        <f>+SUM(Y155:Y157)</f>
        <v>1</v>
      </c>
      <c r="Z158" s="125"/>
      <c r="AA158" s="270">
        <f>+SUM(AA155:AA157)</f>
        <v>1</v>
      </c>
      <c r="AB158" s="270">
        <f>+SUM(AB155:AB157)</f>
        <v>1</v>
      </c>
      <c r="AC158" s="270">
        <f>+SUM(AC155:AC157)</f>
        <v>1</v>
      </c>
      <c r="AD158" s="270">
        <f>+SUM(AD155:AD157)</f>
        <v>1</v>
      </c>
      <c r="AE158" s="270">
        <f>+SUM(AE155:AE157)</f>
        <v>1</v>
      </c>
      <c r="AF158" s="258"/>
      <c r="AG158" s="270">
        <f>+SUM(AG155:AG157)</f>
        <v>1</v>
      </c>
      <c r="AH158" s="270">
        <f>+SUM(AH155:AH157)</f>
        <v>1</v>
      </c>
      <c r="AI158" s="270">
        <f>+SUM(AI155:AI157)</f>
        <v>1</v>
      </c>
      <c r="AJ158" s="270">
        <f>+SUM(AJ155:AJ157)</f>
        <v>1</v>
      </c>
      <c r="AK158" s="270">
        <f>+SUM(AK155:AK157)</f>
        <v>1</v>
      </c>
      <c r="AL158" s="258"/>
      <c r="AM158" s="270">
        <f>+SUM(AM155:AM157)</f>
        <v>1</v>
      </c>
      <c r="AN158" s="270">
        <f>+SUM(AN155:AN157)</f>
        <v>1</v>
      </c>
      <c r="AO158" s="270">
        <f>+SUM(AO155:AO157)</f>
        <v>1</v>
      </c>
      <c r="AP158" s="270">
        <f>+SUM(AP155:AP157)</f>
        <v>1</v>
      </c>
      <c r="AQ158" s="270">
        <f>+SUM(AQ155:AQ157)</f>
        <v>1</v>
      </c>
      <c r="AR158" s="258"/>
      <c r="AS158" s="270">
        <f>+SUM(AS155:AS157)</f>
        <v>1</v>
      </c>
      <c r="AT158" s="270">
        <f>+SUM(AT155:AT157)</f>
        <v>1</v>
      </c>
      <c r="AU158" s="270">
        <f>+SUM(AU155:AU157)</f>
        <v>1</v>
      </c>
      <c r="AV158" s="270">
        <f>+SUM(AV155:AV157)</f>
        <v>1</v>
      </c>
      <c r="AW158" s="270">
        <f>+SUM(AW155:AW157)</f>
        <v>1</v>
      </c>
      <c r="AX158" s="258"/>
      <c r="AY158" s="270">
        <f>+SUM(AY155:AY157)</f>
        <v>1</v>
      </c>
      <c r="AZ158" s="270">
        <f>+SUM(AZ155:AZ157)</f>
        <v>1</v>
      </c>
      <c r="BA158" s="270">
        <f>+SUM(BA155:BA157)</f>
        <v>1</v>
      </c>
      <c r="BB158" s="270">
        <f>+SUM(BB155:BB157)</f>
        <v>1</v>
      </c>
      <c r="BC158" s="270">
        <f>+SUM(BC155:BC157)</f>
        <v>1</v>
      </c>
      <c r="BD158" s="258"/>
      <c r="BE158" s="270">
        <f>+SUM(BE155:BE157)</f>
        <v>1</v>
      </c>
      <c r="BF158" s="270">
        <f>+SUM(BF155:BF157)</f>
        <v>1</v>
      </c>
      <c r="BG158" s="270">
        <f>+SUM(BG155:BG157)</f>
        <v>1</v>
      </c>
      <c r="BH158" s="270">
        <f>+SUM(BH155:BH157)</f>
        <v>1</v>
      </c>
      <c r="BI158" s="270">
        <f>+SUM(BI155:BI157)</f>
        <v>1</v>
      </c>
      <c r="BJ158" s="258"/>
      <c r="BK158" s="270">
        <f>+SUM(BK155:BK157)</f>
        <v>1</v>
      </c>
      <c r="BL158" s="270">
        <f>+SUM(BL155:BL157)</f>
        <v>1</v>
      </c>
      <c r="BM158" s="270">
        <f>+SUM(BM155:BM157)</f>
        <v>1</v>
      </c>
      <c r="BN158" s="270">
        <f>+SUM(BN155:BN157)</f>
        <v>1</v>
      </c>
      <c r="BO158" s="270">
        <f>+SUM(BO155:BO157)</f>
        <v>1</v>
      </c>
      <c r="BP158" s="258"/>
      <c r="BQ158" s="270">
        <f>+SUM(BQ155:BQ157)</f>
        <v>1</v>
      </c>
      <c r="BR158" s="270">
        <f>+SUM(BR155:BR157)</f>
        <v>1</v>
      </c>
      <c r="BS158" s="270">
        <f>+SUM(BS155:BS157)</f>
        <v>1</v>
      </c>
      <c r="BT158" s="270">
        <f>+SUM(BT155:BT157)</f>
        <v>1</v>
      </c>
      <c r="BU158" s="280">
        <f>+SUM(BU155:BU157)</f>
        <v>1</v>
      </c>
      <c r="BV158" s="258"/>
      <c r="BW158" s="270">
        <f>+SUM(BW155:BW157)</f>
        <v>1</v>
      </c>
      <c r="BX158" s="270">
        <f>+SUM(BX155:BX157)</f>
        <v>1</v>
      </c>
      <c r="BY158" s="270">
        <f>+SUM(BY155:BY157)</f>
        <v>1</v>
      </c>
      <c r="BZ158" s="270">
        <f>+SUM(BZ155:BZ157)</f>
        <v>1</v>
      </c>
      <c r="CA158" s="280">
        <f>+SUM(CA155:CA157)</f>
        <v>1</v>
      </c>
      <c r="CB158" s="258"/>
      <c r="CC158" s="270">
        <f>+SUM(CC155:CC157)</f>
        <v>1</v>
      </c>
      <c r="CD158" s="270">
        <f>+SUM(CD155:CD157)</f>
        <v>1</v>
      </c>
      <c r="CE158" s="270">
        <f>+SUM(CE155:CE157)</f>
        <v>1</v>
      </c>
      <c r="CF158" s="270">
        <f>+SUM(CF155:CF157)</f>
        <v>1</v>
      </c>
      <c r="CG158" s="280">
        <f>+SUM(CG155:CG157)</f>
        <v>1</v>
      </c>
      <c r="CH158" s="280"/>
      <c r="CI158" s="280"/>
      <c r="CJ158" s="280"/>
      <c r="CK158"/>
      <c r="CL158"/>
      <c r="CM158"/>
      <c r="CN158"/>
      <c r="CO158"/>
      <c r="CP158"/>
    </row>
    <row r="159" spans="2:94" ht="11.25" customHeight="1" x14ac:dyDescent="0.2">
      <c r="B159" s="16"/>
    </row>
    <row r="160" spans="2:94" ht="11.25" customHeight="1" x14ac:dyDescent="0.2">
      <c r="B160" s="16"/>
    </row>
    <row r="161" spans="1:94" ht="11.25" customHeight="1" x14ac:dyDescent="0.2">
      <c r="A161" s="1517"/>
      <c r="B161" s="1517" t="s">
        <v>729</v>
      </c>
      <c r="C161" s="1519"/>
      <c r="D161" s="1519"/>
      <c r="E161" s="1519"/>
      <c r="F161" s="1519"/>
      <c r="G161" s="1518"/>
      <c r="H161" s="1518"/>
      <c r="I161" s="1519"/>
      <c r="J161" s="1519"/>
      <c r="K161" s="1519"/>
      <c r="L161" s="1519"/>
      <c r="M161" s="1518"/>
      <c r="N161" s="1518"/>
      <c r="O161" s="1519"/>
      <c r="P161" s="1519"/>
      <c r="Q161" s="1519"/>
      <c r="R161" s="1519"/>
      <c r="S161" s="1518"/>
      <c r="T161" s="1518"/>
      <c r="U161" s="1519"/>
      <c r="V161" s="1519"/>
      <c r="W161" s="1519"/>
      <c r="X161" s="1519"/>
      <c r="Y161" s="1518"/>
      <c r="Z161" s="1518"/>
      <c r="AA161" s="1519"/>
      <c r="AB161" s="1519"/>
      <c r="AC161" s="1519"/>
      <c r="AD161" s="1519"/>
      <c r="AE161" s="1518"/>
      <c r="AF161" s="1518"/>
      <c r="AG161" s="1519"/>
      <c r="AH161" s="1519"/>
      <c r="AI161" s="1519"/>
      <c r="AJ161" s="1519"/>
      <c r="AK161" s="1518"/>
      <c r="AL161" s="1518"/>
      <c r="AM161" s="1519"/>
      <c r="AN161" s="1519"/>
      <c r="AO161" s="1519"/>
      <c r="AP161" s="1519"/>
      <c r="AQ161" s="1518"/>
      <c r="AR161" s="1518"/>
      <c r="AS161" s="1519"/>
      <c r="AT161" s="1519"/>
      <c r="AU161" s="1519"/>
      <c r="AV161" s="1519"/>
      <c r="AW161" s="1518"/>
      <c r="AX161" s="1518"/>
      <c r="AY161" s="1519"/>
      <c r="AZ161" s="1519"/>
      <c r="BA161" s="1519"/>
      <c r="BB161" s="1519"/>
      <c r="BC161" s="1518"/>
      <c r="BD161" s="1518"/>
      <c r="BE161" s="1519"/>
      <c r="BF161" s="1519"/>
      <c r="BG161" s="1519"/>
      <c r="BH161" s="1519"/>
      <c r="BI161" s="1518"/>
      <c r="BJ161" s="1518"/>
      <c r="BK161" s="1519"/>
      <c r="BL161" s="1519"/>
      <c r="BM161" s="1519"/>
      <c r="BN161" s="1519"/>
      <c r="BO161" s="1518"/>
      <c r="BP161" s="1518"/>
      <c r="BQ161" s="1519"/>
      <c r="BR161" s="1519"/>
      <c r="BS161" s="1519"/>
      <c r="BT161" s="1519"/>
      <c r="BU161" s="1518"/>
      <c r="BV161" s="1518"/>
      <c r="BW161" s="1519"/>
      <c r="BX161" s="1519"/>
      <c r="BY161" s="1519"/>
      <c r="BZ161" s="1519"/>
      <c r="CA161" s="1518"/>
      <c r="CB161" s="1518"/>
      <c r="CC161" s="1519"/>
      <c r="CD161" s="1519"/>
      <c r="CE161" s="1519"/>
      <c r="CF161" s="1519"/>
      <c r="CG161" s="1518"/>
      <c r="CH161" s="1518"/>
    </row>
    <row r="162" spans="1:94" s="1516" customFormat="1" ht="11.25" customHeight="1" x14ac:dyDescent="0.2">
      <c r="A162" s="1457"/>
      <c r="B162" s="1457" t="s">
        <v>182</v>
      </c>
      <c r="C162" s="1521">
        <f>+'P&amp;L'!C8</f>
        <v>472.86399999999998</v>
      </c>
      <c r="D162" s="1521">
        <f>+'P&amp;L'!D8</f>
        <v>507.36200000000002</v>
      </c>
      <c r="E162" s="1521">
        <f>+'P&amp;L'!E8</f>
        <v>488.10300000000007</v>
      </c>
      <c r="F162" s="1521">
        <f>+'P&amp;L'!F8</f>
        <v>541.50400000000013</v>
      </c>
      <c r="G162" s="1521">
        <f>+'P&amp;L'!G8</f>
        <v>2009.8330000000003</v>
      </c>
      <c r="H162" s="1520"/>
      <c r="I162" s="1521">
        <f>+'P&amp;L'!I8</f>
        <v>560.78199999999993</v>
      </c>
      <c r="J162" s="1521">
        <f>+'P&amp;L'!J8</f>
        <v>594.84700000000009</v>
      </c>
      <c r="K162" s="1521">
        <f>+'P&amp;L'!K8</f>
        <v>529.95300000000009</v>
      </c>
      <c r="L162" s="1521">
        <f>+'P&amp;L'!L8</f>
        <v>508.14099999999996</v>
      </c>
      <c r="M162" s="1521">
        <f>+'P&amp;L'!M8</f>
        <v>2193.723</v>
      </c>
      <c r="N162" s="1520"/>
      <c r="O162" s="1521">
        <f>+'P&amp;L'!O8</f>
        <v>506.94900000000001</v>
      </c>
      <c r="P162" s="1521">
        <f>+'P&amp;L'!P8</f>
        <v>552.83199999999988</v>
      </c>
      <c r="Q162" s="1521">
        <f>+'P&amp;L'!Q8</f>
        <v>531.20299999999997</v>
      </c>
      <c r="R162" s="1521">
        <f>+'P&amp;L'!R8</f>
        <v>568.39399999999989</v>
      </c>
      <c r="S162" s="1521">
        <f>+'P&amp;L'!S8</f>
        <v>2159.3779999999997</v>
      </c>
      <c r="T162" s="1520"/>
      <c r="U162" s="1521">
        <f>+'P&amp;L'!U8</f>
        <v>545.94400000000007</v>
      </c>
      <c r="V162" s="1521">
        <f>+'P&amp;L'!V8</f>
        <v>565.08600000000001</v>
      </c>
      <c r="W162" s="1521">
        <f>+'P&amp;L'!W8</f>
        <v>541.81500000000005</v>
      </c>
      <c r="X162" s="1521">
        <f>+'P&amp;L'!X8</f>
        <v>568.16899999999998</v>
      </c>
      <c r="Y162" s="1521">
        <f>+'P&amp;L'!Y8</f>
        <v>2221.0140000000001</v>
      </c>
      <c r="Z162" s="1520"/>
      <c r="AA162" s="1521">
        <f>+'P&amp;L'!AA8</f>
        <v>570.50300000000004</v>
      </c>
      <c r="AB162" s="1521">
        <f>+'P&amp;L'!AB8</f>
        <v>609.44299999999998</v>
      </c>
      <c r="AC162" s="1521">
        <f>+'P&amp;L'!AC8</f>
        <v>619.75900000000001</v>
      </c>
      <c r="AD162" s="1521">
        <f>+'P&amp;L'!AD8</f>
        <v>738.01300000000003</v>
      </c>
      <c r="AE162" s="1521">
        <f>+'P&amp;L'!AE8</f>
        <v>2537.7179999999998</v>
      </c>
      <c r="AF162" s="1520"/>
      <c r="AG162" s="1521">
        <f>+'P&amp;L'!AG8</f>
        <v>716.41300000000001</v>
      </c>
      <c r="AH162" s="1521">
        <f>+'P&amp;L'!AH8</f>
        <v>762.99400000000003</v>
      </c>
      <c r="AI162" s="1521">
        <f>+'P&amp;L'!AI8</f>
        <v>695.73400000000004</v>
      </c>
      <c r="AJ162" s="1521">
        <f>+'P&amp;L'!AJ8</f>
        <v>753.28800000000001</v>
      </c>
      <c r="AK162" s="1521">
        <f>+'P&amp;L'!AK8</f>
        <v>2928.4290000000001</v>
      </c>
      <c r="AL162" s="1520"/>
      <c r="AM162" s="1521">
        <f>+'P&amp;L'!AM8</f>
        <v>732.08399999999995</v>
      </c>
      <c r="AN162" s="1521">
        <f>+'P&amp;L'!AN8</f>
        <v>761.01</v>
      </c>
      <c r="AO162" s="1521">
        <f>+'P&amp;L'!AO8</f>
        <v>704.01800000000003</v>
      </c>
      <c r="AP162" s="1521">
        <f>+'P&amp;L'!AP8</f>
        <v>753.65800000000002</v>
      </c>
      <c r="AQ162" s="1521">
        <f>+'P&amp;L'!AQ8</f>
        <v>2950.77</v>
      </c>
      <c r="AR162" s="1520"/>
      <c r="AS162" s="1521">
        <f>+'P&amp;L'!AS8</f>
        <v>730.11400000000003</v>
      </c>
      <c r="AT162" s="1521">
        <f>+'P&amp;L'!AT8</f>
        <v>765.22500000000002</v>
      </c>
      <c r="AU162" s="1521">
        <f>+'P&amp;L'!AU8</f>
        <v>708.24</v>
      </c>
      <c r="AV162" s="1521">
        <f>+'P&amp;L'!AV8</f>
        <v>719.04100000000005</v>
      </c>
      <c r="AW162" s="1521">
        <f>+'P&amp;L'!AW8</f>
        <v>2922.62</v>
      </c>
      <c r="AX162" s="1520"/>
      <c r="AY162" s="1521">
        <f>+'P&amp;L'!AY8</f>
        <v>656.32</v>
      </c>
      <c r="AZ162" s="1521">
        <f>+'P&amp;L'!AZ8</f>
        <v>698.00599999999997</v>
      </c>
      <c r="BA162" s="1521">
        <f>+'P&amp;L'!BA8</f>
        <v>648.9</v>
      </c>
      <c r="BB162" s="1521">
        <f>+'P&amp;L'!BB8</f>
        <v>671.1</v>
      </c>
      <c r="BC162" s="1521">
        <f>+'P&amp;L'!BC8</f>
        <v>2674.326</v>
      </c>
      <c r="BD162" s="1520"/>
      <c r="BE162" s="1521">
        <f>+'P&amp;L'!BE8</f>
        <v>772.6</v>
      </c>
      <c r="BF162" s="1521">
        <f>+'P&amp;L'!BF8</f>
        <v>1023.6</v>
      </c>
      <c r="BG162" s="1521">
        <f>+'P&amp;L'!BG8</f>
        <v>955.8</v>
      </c>
      <c r="BH162" s="1521">
        <f>+'P&amp;L'!BH8</f>
        <v>998</v>
      </c>
      <c r="BI162" s="1521">
        <f>+'P&amp;L'!BI8</f>
        <v>3750</v>
      </c>
      <c r="BJ162" s="1520"/>
      <c r="BK162" s="1521">
        <f>+'P&amp;L'!BK8</f>
        <v>902</v>
      </c>
      <c r="BL162" s="1521">
        <f>+'P&amp;L'!BL8</f>
        <v>994.2</v>
      </c>
      <c r="BM162" s="1521">
        <f>+'P&amp;L'!BM8</f>
        <v>1010.2</v>
      </c>
      <c r="BN162" s="1521">
        <f>+'P&amp;L'!BN8</f>
        <v>1091</v>
      </c>
      <c r="BO162" s="1521">
        <f>+'P&amp;L'!BO8</f>
        <v>3997.4</v>
      </c>
      <c r="BP162" s="1520"/>
      <c r="BQ162" s="1521">
        <f>+'P&amp;L'!BQ8</f>
        <v>950.57</v>
      </c>
      <c r="BR162" s="1521">
        <f>+'P&amp;L'!BR8</f>
        <v>1060.0640000000001</v>
      </c>
      <c r="BS162" s="1521">
        <f>+'P&amp;L'!BS8</f>
        <v>1082.2520000000002</v>
      </c>
      <c r="BT162" s="1521">
        <f>+'P&amp;L'!BT8</f>
        <v>1162.884</v>
      </c>
      <c r="BU162" s="1521">
        <f>+'P&amp;L'!BU8</f>
        <v>4255.7700000000004</v>
      </c>
      <c r="BV162" s="1520"/>
      <c r="BW162" s="1521">
        <f>+'P&amp;L'!BW8</f>
        <v>982.68546000000015</v>
      </c>
      <c r="BX162" s="1521">
        <f>+'P&amp;L'!BX8</f>
        <v>1108.9359800000002</v>
      </c>
      <c r="BY162" s="1521">
        <f>+'P&amp;L'!BY8</f>
        <v>1127.3386400000002</v>
      </c>
      <c r="BZ162" s="1521">
        <f>+'P&amp;L'!BZ8</f>
        <v>1202.3734000000002</v>
      </c>
      <c r="CA162" s="1521">
        <f>+'P&amp;L'!CA8</f>
        <v>4421.3334800000011</v>
      </c>
      <c r="CB162" s="1520"/>
      <c r="CC162" s="1521">
        <f>+'P&amp;L'!CC8</f>
        <v>1016.4237653000001</v>
      </c>
      <c r="CD162" s="1521">
        <f>+'P&amp;L'!CD8</f>
        <v>1136.0884081000002</v>
      </c>
      <c r="CE162" s="1521">
        <f>+'P&amp;L'!CE8</f>
        <v>1158.1781032000001</v>
      </c>
      <c r="CF162" s="1521">
        <f>+'P&amp;L'!CF8</f>
        <v>1243.9421122000001</v>
      </c>
      <c r="CG162" s="1521">
        <f>+'P&amp;L'!CG8</f>
        <v>4554.6323888000006</v>
      </c>
      <c r="CH162" s="1522"/>
      <c r="CK162"/>
      <c r="CL162"/>
      <c r="CM162"/>
      <c r="CN162"/>
      <c r="CO162"/>
      <c r="CP162"/>
    </row>
    <row r="163" spans="1:94" s="1516" customFormat="1" ht="11.25" customHeight="1" x14ac:dyDescent="0.2">
      <c r="A163" s="1457"/>
      <c r="B163" s="1457" t="s">
        <v>730</v>
      </c>
      <c r="C163" s="1521">
        <f>+'P&amp;L'!C18</f>
        <v>82.200999999999965</v>
      </c>
      <c r="D163" s="1521">
        <f>+'P&amp;L'!D18</f>
        <v>96.699999999999989</v>
      </c>
      <c r="E163" s="1521">
        <f>+'P&amp;L'!E18</f>
        <v>87.282000000000068</v>
      </c>
      <c r="F163" s="1521">
        <f>+'P&amp;L'!F18</f>
        <v>99.235000000000099</v>
      </c>
      <c r="G163" s="1521">
        <f>+'P&amp;L'!G18</f>
        <v>365.41800000000035</v>
      </c>
      <c r="H163" s="1520"/>
      <c r="I163" s="1521">
        <f>+'P&amp;L'!I18</f>
        <v>101.24099999999993</v>
      </c>
      <c r="J163" s="1521">
        <f>+'P&amp;L'!J18</f>
        <v>114.61900000000011</v>
      </c>
      <c r="K163" s="1521">
        <f>+'P&amp;L'!K18</f>
        <v>99.454000000000093</v>
      </c>
      <c r="L163" s="1521">
        <f>+'P&amp;L'!L18</f>
        <v>97.462999999999937</v>
      </c>
      <c r="M163" s="1521">
        <f>+'P&amp;L'!M18</f>
        <v>412.77699999999993</v>
      </c>
      <c r="N163" s="1520"/>
      <c r="O163" s="1521">
        <f>+'P&amp;L'!O18</f>
        <v>90.34899999999999</v>
      </c>
      <c r="P163" s="1521">
        <f>+'P&amp;L'!P18</f>
        <v>103.02399999999989</v>
      </c>
      <c r="Q163" s="1521">
        <f>+'P&amp;L'!Q18</f>
        <v>94.392999999999944</v>
      </c>
      <c r="R163" s="1521">
        <f>+'P&amp;L'!R18</f>
        <v>104.50099999999989</v>
      </c>
      <c r="S163" s="1521">
        <f>+'P&amp;L'!S18</f>
        <v>392.2669999999996</v>
      </c>
      <c r="T163" s="1520"/>
      <c r="U163" s="1521">
        <f>+'P&amp;L'!U18</f>
        <v>94.522000000000077</v>
      </c>
      <c r="V163" s="1521">
        <f>+'P&amp;L'!V18</f>
        <v>105.21200000000002</v>
      </c>
      <c r="W163" s="1521">
        <f>+'P&amp;L'!W18</f>
        <v>92.472000000000094</v>
      </c>
      <c r="X163" s="1521">
        <f>+'P&amp;L'!X18</f>
        <v>101.73899999999998</v>
      </c>
      <c r="Y163" s="1521">
        <f>+'P&amp;L'!Y18</f>
        <v>393.94500000000016</v>
      </c>
      <c r="Z163" s="1520"/>
      <c r="AA163" s="1521">
        <f>+'P&amp;L'!AA18</f>
        <v>101.61700000000008</v>
      </c>
      <c r="AB163" s="1521">
        <f>+'P&amp;L'!AB18</f>
        <v>106.887</v>
      </c>
      <c r="AC163" s="1521">
        <f>+'P&amp;L'!AC18</f>
        <v>96.970000000000027</v>
      </c>
      <c r="AD163" s="1521">
        <f>+'P&amp;L'!AD18</f>
        <v>108.4790000000001</v>
      </c>
      <c r="AE163" s="1521">
        <f>+'P&amp;L'!AE18</f>
        <v>413.95299999999997</v>
      </c>
      <c r="AF163" s="1520"/>
      <c r="AG163" s="1521">
        <f>+'P&amp;L'!AG18</f>
        <v>112.40100000000001</v>
      </c>
      <c r="AH163" s="1521">
        <f>+'P&amp;L'!AH18</f>
        <v>129.75099999999998</v>
      </c>
      <c r="AI163" s="1521">
        <f>+'P&amp;L'!AI18</f>
        <v>111.65300000000002</v>
      </c>
      <c r="AJ163" s="1521">
        <f>+'P&amp;L'!AJ18</f>
        <v>120.06799999999998</v>
      </c>
      <c r="AK163" s="1521">
        <f>+'P&amp;L'!AK18</f>
        <v>473.87299999999982</v>
      </c>
      <c r="AL163" s="1520"/>
      <c r="AM163" s="1521">
        <f>+'P&amp;L'!AM18</f>
        <v>108.70099999999999</v>
      </c>
      <c r="AN163" s="1521">
        <f>+'P&amp;L'!AN18</f>
        <v>137.76300000000001</v>
      </c>
      <c r="AO163" s="1521">
        <f>+'P&amp;L'!AO18</f>
        <v>119.71599999999999</v>
      </c>
      <c r="AP163" s="1521">
        <f>+'P&amp;L'!AP18</f>
        <v>122.622</v>
      </c>
      <c r="AQ163" s="1521">
        <f>+'P&amp;L'!AQ18</f>
        <v>488.80199999999991</v>
      </c>
      <c r="AR163" s="1520"/>
      <c r="AS163" s="1521">
        <f>+'P&amp;L'!AS18</f>
        <v>121.989</v>
      </c>
      <c r="AT163" s="1521">
        <f>+'P&amp;L'!AT18</f>
        <v>140.965</v>
      </c>
      <c r="AU163" s="1521">
        <f>+'P&amp;L'!AU18</f>
        <v>127.23299999999995</v>
      </c>
      <c r="AV163" s="1521">
        <f>+'P&amp;L'!AV18</f>
        <v>122.61799999999999</v>
      </c>
      <c r="AW163" s="1521">
        <f>+'P&amp;L'!AW18</f>
        <v>512.80499999999984</v>
      </c>
      <c r="AX163" s="1520"/>
      <c r="AY163" s="1521">
        <f>+'P&amp;L'!AY18</f>
        <v>117.87</v>
      </c>
      <c r="AZ163" s="1521">
        <f>+'P&amp;L'!AZ18</f>
        <v>142.619</v>
      </c>
      <c r="BA163" s="1521">
        <f>+'P&amp;L'!BA18</f>
        <v>132.4</v>
      </c>
      <c r="BB163" s="1521">
        <f>+'P&amp;L'!BB18</f>
        <v>128.70000000000002</v>
      </c>
      <c r="BC163" s="1521">
        <f>+'P&amp;L'!BC18</f>
        <v>521.08900000000006</v>
      </c>
      <c r="BD163" s="1520"/>
      <c r="BE163" s="1521">
        <f>+'P&amp;L'!BE18</f>
        <v>169.5</v>
      </c>
      <c r="BF163" s="1521">
        <f>+'P&amp;L'!BF18</f>
        <v>232.4</v>
      </c>
      <c r="BG163" s="1521">
        <f>+'P&amp;L'!BG18</f>
        <v>195.8</v>
      </c>
      <c r="BH163" s="1521">
        <f>+'P&amp;L'!BH18</f>
        <v>206.4</v>
      </c>
      <c r="BI163" s="1521">
        <f>+'P&amp;L'!BI18</f>
        <v>804.09999999999991</v>
      </c>
      <c r="BJ163" s="1520"/>
      <c r="BK163" s="1521">
        <f>+'P&amp;L'!BK18</f>
        <v>147.9</v>
      </c>
      <c r="BL163" s="1521">
        <f>+'P&amp;L'!BL18</f>
        <v>195.1</v>
      </c>
      <c r="BM163" s="1521">
        <f>+'P&amp;L'!BM18</f>
        <v>211.70000000000002</v>
      </c>
      <c r="BN163" s="1521">
        <f>+'P&amp;L'!BN18</f>
        <v>236.9</v>
      </c>
      <c r="BO163" s="1521">
        <f>+'P&amp;L'!BO18</f>
        <v>791.60000000000014</v>
      </c>
      <c r="BP163" s="1520"/>
      <c r="BQ163" s="1521">
        <f>+'P&amp;L'!BQ18</f>
        <v>138.82124999999991</v>
      </c>
      <c r="BR163" s="1521">
        <f>+'P&amp;L'!BR18</f>
        <v>189.61024000000003</v>
      </c>
      <c r="BS163" s="1521">
        <f>+'P&amp;L'!BS18</f>
        <v>220.21661999999998</v>
      </c>
      <c r="BT163" s="1521">
        <f>+'P&amp;L'!BT18</f>
        <v>252.57679999999999</v>
      </c>
      <c r="BU163" s="1521">
        <f>+'P&amp;L'!BU18</f>
        <v>801.22491000000014</v>
      </c>
      <c r="BV163" s="1520"/>
      <c r="BW163" s="1521">
        <f>+'P&amp;L'!BW18</f>
        <v>195.17772998000004</v>
      </c>
      <c r="BX163" s="1521">
        <f>+'P&amp;L'!BX18</f>
        <v>229.06379649999997</v>
      </c>
      <c r="BY163" s="1521">
        <f>+'P&amp;L'!BY18</f>
        <v>234.53893928000008</v>
      </c>
      <c r="BZ163" s="1521">
        <f>+'P&amp;L'!BZ18</f>
        <v>250.2248386</v>
      </c>
      <c r="CA163" s="1521">
        <f>+'P&amp;L'!CA18</f>
        <v>909.00530436000031</v>
      </c>
      <c r="CB163" s="1520"/>
      <c r="CC163" s="1521">
        <f>+'P&amp;L'!CC18</f>
        <v>211.26740445304995</v>
      </c>
      <c r="CD163" s="1521">
        <f>+'P&amp;L'!CD18</f>
        <v>245.06395766205003</v>
      </c>
      <c r="CE163" s="1521">
        <f>+'P&amp;L'!CE18</f>
        <v>251.36750383400005</v>
      </c>
      <c r="CF163" s="1521">
        <f>+'P&amp;L'!CF18</f>
        <v>269.50731970089993</v>
      </c>
      <c r="CG163" s="1521">
        <f>+'P&amp;L'!CG18</f>
        <v>977.20618564999995</v>
      </c>
      <c r="CH163" s="1521"/>
      <c r="CK163"/>
      <c r="CL163"/>
      <c r="CM163"/>
      <c r="CN163"/>
      <c r="CO163"/>
      <c r="CP163"/>
    </row>
    <row r="164" spans="1:94" s="1516" customFormat="1" ht="11.25" customHeight="1" x14ac:dyDescent="0.2">
      <c r="A164" s="1457"/>
      <c r="B164" s="1457" t="s">
        <v>205</v>
      </c>
      <c r="C164" s="1524">
        <f>+'P&amp;L'!C26</f>
        <v>0.30264279624893448</v>
      </c>
      <c r="D164" s="1524">
        <f>+'P&amp;L'!D26</f>
        <v>0.31153562069349311</v>
      </c>
      <c r="E164" s="1524">
        <f>+'P&amp;L'!E26</f>
        <v>0.2951569848735221</v>
      </c>
      <c r="F164" s="1524">
        <f>+'P&amp;L'!F26</f>
        <v>0.30691246104658187</v>
      </c>
      <c r="G164" s="1524">
        <f>+'P&amp;L'!G26</f>
        <v>0.30441434159202713</v>
      </c>
      <c r="H164" s="1523"/>
      <c r="I164" s="1524">
        <f>+'P&amp;L'!I26</f>
        <v>0.27510333729503472</v>
      </c>
      <c r="J164" s="1524">
        <f>+'P&amp;L'!J26</f>
        <v>0.27026396540276676</v>
      </c>
      <c r="K164" s="1524">
        <f>+'P&amp;L'!K26</f>
        <v>0.26131821040625075</v>
      </c>
      <c r="L164" s="1524">
        <f>+'P&amp;L'!L26</f>
        <v>0.21956103905072116</v>
      </c>
      <c r="M164" s="1524">
        <f>+'P&amp;L'!M26</f>
        <v>0.25790815206584256</v>
      </c>
      <c r="N164" s="1523"/>
      <c r="O164" s="1524">
        <f>+'P&amp;L'!O26</f>
        <v>0.26001055904264686</v>
      </c>
      <c r="P164" s="1524">
        <f>+'P&amp;L'!P26</f>
        <v>0.25650939406754097</v>
      </c>
      <c r="Q164" s="1524">
        <f>+'P&amp;L'!Q26</f>
        <v>0.25848786168592686</v>
      </c>
      <c r="R164" s="1524">
        <f>+'P&amp;L'!R26</f>
        <v>0.26858990300920199</v>
      </c>
      <c r="S164" s="1524">
        <f>+'P&amp;L'!S26</f>
        <v>0.26102216452714105</v>
      </c>
      <c r="T164" s="1523"/>
      <c r="U164" s="1524">
        <f>+'P&amp;L'!U26</f>
        <v>0.25599025314742085</v>
      </c>
      <c r="V164" s="1524">
        <f>+'P&amp;L'!V26</f>
        <v>0.25034310729992088</v>
      </c>
      <c r="W164" s="1524">
        <f>+'P&amp;L'!W26</f>
        <v>0.25403873514158493</v>
      </c>
      <c r="X164" s="1524">
        <f>+'P&amp;L'!X26</f>
        <v>0.23413521574455357</v>
      </c>
      <c r="Y164" s="1524">
        <f>+'P&amp;L'!Y26</f>
        <v>0.24833565983034456</v>
      </c>
      <c r="Z164" s="1523"/>
      <c r="AA164" s="1524">
        <f>+'P&amp;L'!AA26</f>
        <v>0.2503570262771338</v>
      </c>
      <c r="AB164" s="1524">
        <f>+'P&amp;L'!AB26</f>
        <v>0.19770511178961883</v>
      </c>
      <c r="AC164" s="1524">
        <f>+'P&amp;L'!AC26</f>
        <v>0.23791567459187271</v>
      </c>
      <c r="AD164" s="1524">
        <f>+'P&amp;L'!AD26</f>
        <v>0.21991369665974086</v>
      </c>
      <c r="AE164" s="1524">
        <f>+'P&amp;L'!AE26</f>
        <v>0.22597299027272061</v>
      </c>
      <c r="AF164" s="1523"/>
      <c r="AG164" s="1524">
        <f>+'P&amp;L'!AG26</f>
        <v>0.23020110430069396</v>
      </c>
      <c r="AH164" s="1524">
        <f>+'P&amp;L'!AH26</f>
        <v>0.23093651953410413</v>
      </c>
      <c r="AI164" s="1524">
        <f>+'P&amp;L'!AI26</f>
        <v>0.23186564053556716</v>
      </c>
      <c r="AJ164" s="1524">
        <f>+'P&amp;L'!AJ26</f>
        <v>0.243324123117031</v>
      </c>
      <c r="AK164" s="1524">
        <f>+'P&amp;L'!AK26</f>
        <v>0.23417625609698359</v>
      </c>
      <c r="AL164" s="1523"/>
      <c r="AM164" s="1524">
        <f>+'P&amp;L'!AM26</f>
        <v>0.21839707062187572</v>
      </c>
      <c r="AN164" s="1524">
        <f>+'P&amp;L'!AN26</f>
        <v>0.21962792558511701</v>
      </c>
      <c r="AO164" s="1524">
        <f>+'P&amp;L'!AO26</f>
        <v>0.22123689009432651</v>
      </c>
      <c r="AP164" s="1524">
        <f>+'P&amp;L'!AP26</f>
        <v>0.2075675579131615</v>
      </c>
      <c r="AQ164" s="1524">
        <f>+'P&amp;L'!AQ26</f>
        <v>0.21669636638293641</v>
      </c>
      <c r="AR164" s="1523"/>
      <c r="AS164" s="1524">
        <f>+'P&amp;L'!AS26</f>
        <v>0.22579746607961182</v>
      </c>
      <c r="AT164" s="1524">
        <f>+'P&amp;L'!AT26</f>
        <v>0.22414164576247711</v>
      </c>
      <c r="AU164" s="1524">
        <f>+'P&amp;L'!AU26</f>
        <v>0.2276561601633901</v>
      </c>
      <c r="AV164" s="1524">
        <f>+'P&amp;L'!AV26</f>
        <v>0.22075875574987477</v>
      </c>
      <c r="AW164" s="1524">
        <f>+'P&amp;L'!AW26</f>
        <v>0.22461737858346675</v>
      </c>
      <c r="AX164" s="1523"/>
      <c r="AY164" s="1524">
        <f>+'P&amp;L'!AY26</f>
        <v>0.22920093898449198</v>
      </c>
      <c r="AZ164" s="1524">
        <f>+'P&amp;L'!AZ26</f>
        <v>0.22795009660171636</v>
      </c>
      <c r="BA164" s="1524">
        <f>+'P&amp;L'!BA26</f>
        <v>0.22497932175351529</v>
      </c>
      <c r="BB164" s="1524">
        <f>+'P&amp;L'!BB26</f>
        <v>0.22800000000000001</v>
      </c>
      <c r="BC164" s="1524">
        <f>+'P&amp;L'!BC26</f>
        <v>0.22882479695010771</v>
      </c>
      <c r="BD164" s="1523"/>
      <c r="BE164" s="1524">
        <f>+'P&amp;L'!BE26</f>
        <v>0.22975517890772126</v>
      </c>
      <c r="BF164" s="1524">
        <f>+'P&amp;L'!BF26</f>
        <v>0.23037759864234192</v>
      </c>
      <c r="BG164" s="1524">
        <f>+'P&amp;L'!BG26</f>
        <v>0.1676486341724692</v>
      </c>
      <c r="BH164" s="1524">
        <f>+'P&amp;L'!BH26</f>
        <v>0.20220772704465628</v>
      </c>
      <c r="BI164" s="1524">
        <f>+'P&amp;L'!BI26</f>
        <v>0.20806658130601796</v>
      </c>
      <c r="BJ164" s="1523"/>
      <c r="BK164" s="1524">
        <f>+'P&amp;L'!BK26</f>
        <v>0.19203413940256045</v>
      </c>
      <c r="BL164" s="1524">
        <f>+'P&amp;L'!BL26</f>
        <v>0.1616499442586399</v>
      </c>
      <c r="BM164" s="1524">
        <f>+'P&amp;L'!BM26</f>
        <v>0.18389662027833001</v>
      </c>
      <c r="BN164" s="1524">
        <f>+'P&amp;L'!BN26</f>
        <v>0.16468516072214884</v>
      </c>
      <c r="BO164" s="1524">
        <f>+'P&amp;L'!BO26</f>
        <v>0.17426165976212746</v>
      </c>
      <c r="BP164" s="1523"/>
      <c r="BQ164" s="1524">
        <f>+'P&amp;L'!BQ26</f>
        <v>0.22</v>
      </c>
      <c r="BR164" s="1524">
        <f>+'P&amp;L'!BR26</f>
        <v>0.22</v>
      </c>
      <c r="BS164" s="1524">
        <f>+'P&amp;L'!BS26</f>
        <v>0.22</v>
      </c>
      <c r="BT164" s="1524">
        <f>+'P&amp;L'!BT26</f>
        <v>0.22</v>
      </c>
      <c r="BU164" s="1524">
        <f>+'P&amp;L'!BU26</f>
        <v>0.21999999999999997</v>
      </c>
      <c r="BV164" s="1523"/>
      <c r="BW164" s="1524">
        <f>+'P&amp;L'!BW26</f>
        <v>0.22</v>
      </c>
      <c r="BX164" s="1524">
        <f>+'P&amp;L'!BX26</f>
        <v>0.22</v>
      </c>
      <c r="BY164" s="1524">
        <f>+'P&amp;L'!BY26</f>
        <v>0.22</v>
      </c>
      <c r="BZ164" s="1524">
        <f>+'P&amp;L'!BZ26</f>
        <v>0.22</v>
      </c>
      <c r="CA164" s="1524">
        <f>+'P&amp;L'!CA26</f>
        <v>0.21999999999999997</v>
      </c>
      <c r="CB164" s="1523"/>
      <c r="CC164" s="1524">
        <f>+'P&amp;L'!CC26</f>
        <v>0.22</v>
      </c>
      <c r="CD164" s="1524">
        <f>+'P&amp;L'!CD26</f>
        <v>0.22</v>
      </c>
      <c r="CE164" s="1524">
        <f>+'P&amp;L'!CE26</f>
        <v>0.22</v>
      </c>
      <c r="CF164" s="1524">
        <f>+'P&amp;L'!CF26</f>
        <v>0.22</v>
      </c>
      <c r="CG164" s="1524">
        <f>+'P&amp;L'!CG26</f>
        <v>0.22000000000000003</v>
      </c>
      <c r="CH164" s="1524"/>
      <c r="CK164"/>
      <c r="CL164"/>
      <c r="CM164"/>
      <c r="CN164"/>
      <c r="CO164"/>
      <c r="CP164"/>
    </row>
    <row r="165" spans="1:94" s="1516" customFormat="1" ht="11.25" customHeight="1" x14ac:dyDescent="0.2">
      <c r="A165" s="1457"/>
      <c r="B165" s="1457" t="s">
        <v>731</v>
      </c>
      <c r="C165" s="1525">
        <f>C163*C164</f>
        <v>24.877540494458653</v>
      </c>
      <c r="D165" s="1526">
        <f t="shared" ref="D165:G165" si="65">D163*D164</f>
        <v>30.12549452106078</v>
      </c>
      <c r="E165" s="1526">
        <f t="shared" si="65"/>
        <v>25.761891953730775</v>
      </c>
      <c r="F165" s="1526">
        <f t="shared" si="65"/>
        <v>30.456458071957584</v>
      </c>
      <c r="G165" s="1527">
        <f t="shared" si="65"/>
        <v>111.23847987587547</v>
      </c>
      <c r="H165" s="1523"/>
      <c r="I165" s="1525">
        <f t="shared" ref="I165:M165" si="66">I163*I164</f>
        <v>27.851736971086591</v>
      </c>
      <c r="J165" s="1526">
        <f t="shared" si="66"/>
        <v>30.977385450499753</v>
      </c>
      <c r="K165" s="1526">
        <f t="shared" si="66"/>
        <v>25.989141297743288</v>
      </c>
      <c r="L165" s="1526">
        <f t="shared" si="66"/>
        <v>21.399077549000424</v>
      </c>
      <c r="M165" s="1527">
        <f t="shared" si="66"/>
        <v>106.45855328528228</v>
      </c>
      <c r="N165" s="1523"/>
      <c r="O165" s="1525">
        <f t="shared" ref="O165:S165" si="67">O163*O164</f>
        <v>23.491693998944097</v>
      </c>
      <c r="P165" s="1526">
        <f t="shared" si="67"/>
        <v>26.426623814414313</v>
      </c>
      <c r="Q165" s="1526">
        <f t="shared" si="67"/>
        <v>24.399444728119679</v>
      </c>
      <c r="R165" s="1526">
        <f t="shared" si="67"/>
        <v>28.067913454364589</v>
      </c>
      <c r="S165" s="1527">
        <f t="shared" si="67"/>
        <v>102.39038141256793</v>
      </c>
      <c r="T165" s="1523"/>
      <c r="U165" s="1525">
        <f t="shared" ref="U165:Y165" si="68">U163*U164</f>
        <v>24.196710708000534</v>
      </c>
      <c r="V165" s="1526">
        <f t="shared" si="68"/>
        <v>26.33909900523928</v>
      </c>
      <c r="W165" s="1526">
        <f t="shared" si="68"/>
        <v>23.491469916012665</v>
      </c>
      <c r="X165" s="1526">
        <f t="shared" si="68"/>
        <v>23.820682714635129</v>
      </c>
      <c r="Y165" s="1527">
        <f t="shared" si="68"/>
        <v>97.830591511865123</v>
      </c>
      <c r="Z165" s="1523"/>
      <c r="AA165" s="1525">
        <f t="shared" ref="AA165:AE165" si="69">AA163*AA164</f>
        <v>25.440529939203525</v>
      </c>
      <c r="AB165" s="1526">
        <f t="shared" si="69"/>
        <v>21.132106283856988</v>
      </c>
      <c r="AC165" s="1526">
        <f t="shared" si="69"/>
        <v>23.070682965173905</v>
      </c>
      <c r="AD165" s="1526">
        <f t="shared" si="69"/>
        <v>23.85601789995205</v>
      </c>
      <c r="AE165" s="1527">
        <f t="shared" si="69"/>
        <v>93.542197242363514</v>
      </c>
      <c r="AF165" s="1523"/>
      <c r="AG165" s="1525">
        <f t="shared" ref="AG165:AK165" si="70">AG163*AG164</f>
        <v>25.874834324502306</v>
      </c>
      <c r="AH165" s="1526">
        <f t="shared" si="70"/>
        <v>29.964244346069538</v>
      </c>
      <c r="AI165" s="1526">
        <f t="shared" si="70"/>
        <v>25.888494362717683</v>
      </c>
      <c r="AJ165" s="1526">
        <f t="shared" si="70"/>
        <v>29.215440814415675</v>
      </c>
      <c r="AK165" s="1527">
        <f t="shared" si="70"/>
        <v>110.96980500544586</v>
      </c>
      <c r="AL165" s="1523"/>
      <c r="AM165" s="1525">
        <f t="shared" ref="AM165:AQ165" si="71">AM163*AM164</f>
        <v>23.739979973668511</v>
      </c>
      <c r="AN165" s="1526">
        <f t="shared" si="71"/>
        <v>30.256601912382475</v>
      </c>
      <c r="AO165" s="1526">
        <f t="shared" si="71"/>
        <v>26.48559553453239</v>
      </c>
      <c r="AP165" s="1526">
        <f t="shared" si="71"/>
        <v>25.452349086427692</v>
      </c>
      <c r="AQ165" s="1527">
        <f t="shared" si="71"/>
        <v>105.92161728071206</v>
      </c>
      <c r="AR165" s="1523"/>
      <c r="AS165" s="1525">
        <f t="shared" ref="AS165:AW165" si="72">AS163*AS164</f>
        <v>27.544807089585767</v>
      </c>
      <c r="AT165" s="1526">
        <f t="shared" si="72"/>
        <v>31.596127094907587</v>
      </c>
      <c r="AU165" s="1526">
        <f t="shared" si="72"/>
        <v>28.965376226068599</v>
      </c>
      <c r="AV165" s="1526">
        <f t="shared" si="72"/>
        <v>27.068997112538145</v>
      </c>
      <c r="AW165" s="1527">
        <f t="shared" si="72"/>
        <v>115.18491482449463</v>
      </c>
      <c r="AX165" s="1523"/>
      <c r="AY165" s="1525">
        <f t="shared" ref="AY165:BC165" si="73">AY163*AY164</f>
        <v>27.015914678102071</v>
      </c>
      <c r="AZ165" s="1526">
        <f t="shared" si="73"/>
        <v>32.510014827240184</v>
      </c>
      <c r="BA165" s="1526">
        <f t="shared" si="73"/>
        <v>29.787262200165426</v>
      </c>
      <c r="BB165" s="1526">
        <f t="shared" si="73"/>
        <v>29.343600000000006</v>
      </c>
      <c r="BC165" s="1527">
        <f t="shared" si="73"/>
        <v>119.23808461793469</v>
      </c>
      <c r="BD165" s="1523"/>
      <c r="BE165" s="1525">
        <f t="shared" ref="BE165:BI165" si="74">BE163*BE164</f>
        <v>38.943502824858754</v>
      </c>
      <c r="BF165" s="1526">
        <f t="shared" si="74"/>
        <v>53.539753924480266</v>
      </c>
      <c r="BG165" s="1526">
        <f t="shared" si="74"/>
        <v>32.825602570969473</v>
      </c>
      <c r="BH165" s="1526">
        <f t="shared" si="74"/>
        <v>41.735674862017056</v>
      </c>
      <c r="BI165" s="1527">
        <f t="shared" si="74"/>
        <v>167.30633802816902</v>
      </c>
      <c r="BJ165" s="1523"/>
      <c r="BK165" s="1525">
        <f t="shared" ref="BK165:BO165" si="75">BK163*BK164</f>
        <v>28.401849217638691</v>
      </c>
      <c r="BL165" s="1526">
        <f t="shared" si="75"/>
        <v>31.537904124860646</v>
      </c>
      <c r="BM165" s="1526">
        <f t="shared" si="75"/>
        <v>38.930914512922463</v>
      </c>
      <c r="BN165" s="1526">
        <f t="shared" si="75"/>
        <v>39.01391457507706</v>
      </c>
      <c r="BO165" s="1527">
        <f t="shared" si="75"/>
        <v>137.94552986770012</v>
      </c>
      <c r="BP165" s="1523"/>
      <c r="BQ165" s="1525">
        <f t="shared" ref="BQ165:BU165" si="76">BQ163*BQ164</f>
        <v>30.540674999999979</v>
      </c>
      <c r="BR165" s="1526">
        <f t="shared" si="76"/>
        <v>41.714252800000004</v>
      </c>
      <c r="BS165" s="1526">
        <f t="shared" si="76"/>
        <v>48.447656399999993</v>
      </c>
      <c r="BT165" s="1526">
        <f t="shared" si="76"/>
        <v>55.566896</v>
      </c>
      <c r="BU165" s="1527">
        <f t="shared" si="76"/>
        <v>176.2694802</v>
      </c>
      <c r="BV165" s="1523"/>
      <c r="BW165" s="1525">
        <f t="shared" ref="BW165:CA165" si="77">BW163*BW164</f>
        <v>42.93910059560001</v>
      </c>
      <c r="BX165" s="1526">
        <f t="shared" si="77"/>
        <v>50.394035229999993</v>
      </c>
      <c r="BY165" s="1526">
        <f t="shared" si="77"/>
        <v>51.598566641600016</v>
      </c>
      <c r="BZ165" s="1526">
        <f t="shared" si="77"/>
        <v>55.049464491999998</v>
      </c>
      <c r="CA165" s="1527">
        <f t="shared" si="77"/>
        <v>199.98116695920004</v>
      </c>
      <c r="CB165" s="1523"/>
      <c r="CC165" s="1525">
        <f t="shared" ref="CC165:CG165" si="78">CC163*CC164</f>
        <v>46.478828979670986</v>
      </c>
      <c r="CD165" s="1526">
        <f t="shared" si="78"/>
        <v>53.914070685651005</v>
      </c>
      <c r="CE165" s="1526">
        <f t="shared" si="78"/>
        <v>55.300850843480013</v>
      </c>
      <c r="CF165" s="1526">
        <f t="shared" si="78"/>
        <v>59.291610334197983</v>
      </c>
      <c r="CG165" s="1527">
        <f t="shared" si="78"/>
        <v>214.98536084300002</v>
      </c>
      <c r="CH165" s="1527"/>
      <c r="CK165"/>
      <c r="CL165"/>
      <c r="CM165"/>
      <c r="CN165"/>
      <c r="CO165"/>
      <c r="CP165"/>
    </row>
    <row r="166" spans="1:94" s="1516" customFormat="1" ht="11.25" customHeight="1" x14ac:dyDescent="0.2">
      <c r="A166" s="1460"/>
      <c r="B166" s="1460" t="s">
        <v>732</v>
      </c>
      <c r="C166" s="1459">
        <f>C163-C165</f>
        <v>57.323459505541308</v>
      </c>
      <c r="D166" s="1529">
        <f t="shared" ref="D166:G166" si="79">D163-D165</f>
        <v>66.574505478939216</v>
      </c>
      <c r="E166" s="1529">
        <f t="shared" si="79"/>
        <v>61.520108046269293</v>
      </c>
      <c r="F166" s="1529">
        <f t="shared" si="79"/>
        <v>68.778541928042515</v>
      </c>
      <c r="G166" s="1530">
        <f t="shared" si="79"/>
        <v>254.17952012412488</v>
      </c>
      <c r="H166" s="1528"/>
      <c r="I166" s="1459">
        <f t="shared" ref="I166:M166" si="80">I163-I165</f>
        <v>73.389263028913334</v>
      </c>
      <c r="J166" s="1529">
        <f t="shared" si="80"/>
        <v>83.64161454950036</v>
      </c>
      <c r="K166" s="1529">
        <f t="shared" si="80"/>
        <v>73.464858702256805</v>
      </c>
      <c r="L166" s="1529">
        <f t="shared" si="80"/>
        <v>76.063922450999513</v>
      </c>
      <c r="M166" s="1530">
        <f t="shared" si="80"/>
        <v>306.31844671471765</v>
      </c>
      <c r="N166" s="1528"/>
      <c r="O166" s="1459">
        <f t="shared" ref="O166:S166" si="81">O163-O165</f>
        <v>66.857306001055889</v>
      </c>
      <c r="P166" s="1529">
        <f t="shared" si="81"/>
        <v>76.597376185585574</v>
      </c>
      <c r="Q166" s="1529">
        <f t="shared" si="81"/>
        <v>69.993555271880268</v>
      </c>
      <c r="R166" s="1529">
        <f t="shared" si="81"/>
        <v>76.433086545635305</v>
      </c>
      <c r="S166" s="1530">
        <f t="shared" si="81"/>
        <v>289.87661858743166</v>
      </c>
      <c r="T166" s="1528"/>
      <c r="U166" s="1459">
        <f t="shared" ref="U166:Y166" si="82">U163-U165</f>
        <v>70.325289291999539</v>
      </c>
      <c r="V166" s="1529">
        <f t="shared" si="82"/>
        <v>78.872900994760741</v>
      </c>
      <c r="W166" s="1529">
        <f t="shared" si="82"/>
        <v>68.980530083987432</v>
      </c>
      <c r="X166" s="1529">
        <f t="shared" si="82"/>
        <v>77.91831728536485</v>
      </c>
      <c r="Y166" s="1530">
        <f t="shared" si="82"/>
        <v>296.11440848813504</v>
      </c>
      <c r="Z166" s="1528"/>
      <c r="AA166" s="1459">
        <f t="shared" ref="AA166:AE166" si="83">AA163-AA165</f>
        <v>76.176470060796547</v>
      </c>
      <c r="AB166" s="1529">
        <f t="shared" si="83"/>
        <v>85.754893716143016</v>
      </c>
      <c r="AC166" s="1529">
        <f t="shared" si="83"/>
        <v>73.899317034826126</v>
      </c>
      <c r="AD166" s="1529">
        <f t="shared" si="83"/>
        <v>84.622982100048048</v>
      </c>
      <c r="AE166" s="1530">
        <f t="shared" si="83"/>
        <v>320.41080275763647</v>
      </c>
      <c r="AF166" s="1528"/>
      <c r="AG166" s="1459">
        <f t="shared" ref="AG166:AK166" si="84">AG163-AG165</f>
        <v>86.526165675497708</v>
      </c>
      <c r="AH166" s="1529">
        <f t="shared" si="84"/>
        <v>99.786755653930442</v>
      </c>
      <c r="AI166" s="1529">
        <f t="shared" si="84"/>
        <v>85.76450563728234</v>
      </c>
      <c r="AJ166" s="1529">
        <f t="shared" si="84"/>
        <v>90.852559185584312</v>
      </c>
      <c r="AK166" s="1530">
        <f t="shared" si="84"/>
        <v>362.90319499455393</v>
      </c>
      <c r="AL166" s="1528"/>
      <c r="AM166" s="1459">
        <f t="shared" ref="AM166:AQ166" si="85">AM163-AM165</f>
        <v>84.961020026331482</v>
      </c>
      <c r="AN166" s="1529">
        <f t="shared" si="85"/>
        <v>107.50639808761753</v>
      </c>
      <c r="AO166" s="1529">
        <f t="shared" si="85"/>
        <v>93.230404465467601</v>
      </c>
      <c r="AP166" s="1529">
        <f t="shared" si="85"/>
        <v>97.169650913572312</v>
      </c>
      <c r="AQ166" s="1530">
        <f t="shared" si="85"/>
        <v>382.88038271928787</v>
      </c>
      <c r="AR166" s="1528"/>
      <c r="AS166" s="1459">
        <f t="shared" ref="AS166:AW166" si="86">AS163-AS165</f>
        <v>94.444192910414245</v>
      </c>
      <c r="AT166" s="1529">
        <f t="shared" si="86"/>
        <v>109.36887290509242</v>
      </c>
      <c r="AU166" s="1529">
        <f t="shared" si="86"/>
        <v>98.267623773931348</v>
      </c>
      <c r="AV166" s="1529">
        <f t="shared" si="86"/>
        <v>95.549002887461853</v>
      </c>
      <c r="AW166" s="1530">
        <f t="shared" si="86"/>
        <v>397.62008517550521</v>
      </c>
      <c r="AX166" s="1528"/>
      <c r="AY166" s="1459">
        <f t="shared" ref="AY166:BC166" si="87">AY163-AY165</f>
        <v>90.854085321897941</v>
      </c>
      <c r="AZ166" s="1529">
        <f t="shared" si="87"/>
        <v>110.10898517275982</v>
      </c>
      <c r="BA166" s="1529">
        <f t="shared" si="87"/>
        <v>102.61273779983458</v>
      </c>
      <c r="BB166" s="1529">
        <f t="shared" si="87"/>
        <v>99.356400000000008</v>
      </c>
      <c r="BC166" s="1530">
        <f t="shared" si="87"/>
        <v>401.85091538206535</v>
      </c>
      <c r="BD166" s="1528"/>
      <c r="BE166" s="1459">
        <f t="shared" ref="BE166:BI166" si="88">BE163-BE165</f>
        <v>130.55649717514126</v>
      </c>
      <c r="BF166" s="1529">
        <f t="shared" si="88"/>
        <v>178.86024607551974</v>
      </c>
      <c r="BG166" s="1529">
        <f t="shared" si="88"/>
        <v>162.97439742903055</v>
      </c>
      <c r="BH166" s="1529">
        <f t="shared" si="88"/>
        <v>164.66432513798296</v>
      </c>
      <c r="BI166" s="1530">
        <f t="shared" si="88"/>
        <v>636.79366197183094</v>
      </c>
      <c r="BJ166" s="1528"/>
      <c r="BK166" s="1459">
        <f t="shared" ref="BK166:BO166" si="89">BK163-BK165</f>
        <v>119.49815078236131</v>
      </c>
      <c r="BL166" s="1529">
        <f t="shared" si="89"/>
        <v>163.56209587513933</v>
      </c>
      <c r="BM166" s="1529">
        <f t="shared" si="89"/>
        <v>172.76908548707755</v>
      </c>
      <c r="BN166" s="1529">
        <f t="shared" si="89"/>
        <v>197.88608542492295</v>
      </c>
      <c r="BO166" s="1530">
        <f t="shared" si="89"/>
        <v>653.65447013230005</v>
      </c>
      <c r="BP166" s="1528"/>
      <c r="BQ166" s="1459">
        <f t="shared" ref="BQ166:BU166" si="90">BQ163-BQ165</f>
        <v>108.28057499999993</v>
      </c>
      <c r="BR166" s="1529">
        <f t="shared" si="90"/>
        <v>147.89598720000004</v>
      </c>
      <c r="BS166" s="1529">
        <f t="shared" si="90"/>
        <v>171.76896359999998</v>
      </c>
      <c r="BT166" s="1529">
        <f t="shared" si="90"/>
        <v>197.00990400000001</v>
      </c>
      <c r="BU166" s="1530">
        <f t="shared" si="90"/>
        <v>624.95542980000016</v>
      </c>
      <c r="BV166" s="1528"/>
      <c r="BW166" s="1459">
        <f t="shared" ref="BW166:CA166" si="91">BW163-BW165</f>
        <v>152.23862938440004</v>
      </c>
      <c r="BX166" s="1529">
        <f t="shared" si="91"/>
        <v>178.66976126999998</v>
      </c>
      <c r="BY166" s="1529">
        <f t="shared" si="91"/>
        <v>182.94037263840005</v>
      </c>
      <c r="BZ166" s="1529">
        <f t="shared" si="91"/>
        <v>195.175374108</v>
      </c>
      <c r="CA166" s="1530">
        <f t="shared" si="91"/>
        <v>709.02413740080033</v>
      </c>
      <c r="CB166" s="1528"/>
      <c r="CC166" s="1459">
        <f t="shared" ref="CC166:CG166" si="92">CC163-CC165</f>
        <v>164.78857547337896</v>
      </c>
      <c r="CD166" s="1529">
        <f t="shared" si="92"/>
        <v>191.14988697639902</v>
      </c>
      <c r="CE166" s="1529">
        <f t="shared" si="92"/>
        <v>196.06665299052003</v>
      </c>
      <c r="CF166" s="1529">
        <f t="shared" si="92"/>
        <v>210.21570936670196</v>
      </c>
      <c r="CG166" s="1530">
        <f t="shared" si="92"/>
        <v>762.22082480699987</v>
      </c>
      <c r="CH166" s="1530"/>
      <c r="CK166"/>
      <c r="CL166"/>
      <c r="CM166"/>
      <c r="CN166"/>
      <c r="CO166"/>
      <c r="CP166"/>
    </row>
    <row r="167" spans="1:94" s="1516" customFormat="1" ht="11.25" customHeight="1" x14ac:dyDescent="0.2">
      <c r="A167" s="1460"/>
      <c r="B167" s="1460" t="s">
        <v>733</v>
      </c>
      <c r="C167" s="1532">
        <f>C166/C162</f>
        <v>0.12122610201990701</v>
      </c>
      <c r="D167" s="1533">
        <f t="shared" ref="D167:G167" si="93">D166/D162</f>
        <v>0.13121697225834653</v>
      </c>
      <c r="E167" s="1533">
        <f t="shared" si="93"/>
        <v>0.1260391926422687</v>
      </c>
      <c r="F167" s="1533">
        <f t="shared" si="93"/>
        <v>0.12701391296840372</v>
      </c>
      <c r="G167" s="1528">
        <f t="shared" si="93"/>
        <v>0.12646798023722611</v>
      </c>
      <c r="H167" s="1531"/>
      <c r="I167" s="1532">
        <f t="shared" ref="I167:M167" si="94">I166/I162</f>
        <v>0.13086950549217582</v>
      </c>
      <c r="J167" s="1533">
        <f t="shared" si="94"/>
        <v>0.14061029903403791</v>
      </c>
      <c r="K167" s="1533">
        <f t="shared" si="94"/>
        <v>0.13862523412879404</v>
      </c>
      <c r="L167" s="1533">
        <f t="shared" si="94"/>
        <v>0.14969058283232314</v>
      </c>
      <c r="M167" s="1528">
        <f t="shared" si="94"/>
        <v>0.13963405895581057</v>
      </c>
      <c r="N167" s="1531"/>
      <c r="O167" s="1532">
        <f t="shared" ref="O167:S167" si="95">O166/O162</f>
        <v>0.13188171985950439</v>
      </c>
      <c r="P167" s="1533">
        <f t="shared" si="95"/>
        <v>0.13855452684646619</v>
      </c>
      <c r="Q167" s="1533">
        <f t="shared" si="95"/>
        <v>0.13176423188852524</v>
      </c>
      <c r="R167" s="1533">
        <f t="shared" si="95"/>
        <v>0.13447201509100257</v>
      </c>
      <c r="S167" s="1528">
        <f t="shared" si="95"/>
        <v>0.13424079461188904</v>
      </c>
      <c r="T167" s="1531"/>
      <c r="U167" s="1532">
        <f t="shared" ref="U167:Y167" si="96">U166/U162</f>
        <v>0.12881410784256175</v>
      </c>
      <c r="V167" s="1533">
        <f t="shared" si="96"/>
        <v>0.13957680953830168</v>
      </c>
      <c r="W167" s="1533">
        <f t="shared" si="96"/>
        <v>0.12731380652803526</v>
      </c>
      <c r="X167" s="1533">
        <f t="shared" si="96"/>
        <v>0.13713933228557851</v>
      </c>
      <c r="Y167" s="1528">
        <f t="shared" si="96"/>
        <v>0.13332397206327157</v>
      </c>
      <c r="Z167" s="1531"/>
      <c r="AA167" s="1532">
        <f t="shared" ref="AA167:AE167" si="97">AA166/AA162</f>
        <v>0.13352509988693581</v>
      </c>
      <c r="AB167" s="1533">
        <f t="shared" si="97"/>
        <v>0.14071027760782062</v>
      </c>
      <c r="AC167" s="1533">
        <f t="shared" si="97"/>
        <v>0.1192387961043343</v>
      </c>
      <c r="AD167" s="1533">
        <f t="shared" si="97"/>
        <v>0.11466326758478244</v>
      </c>
      <c r="AE167" s="1528">
        <f t="shared" si="97"/>
        <v>0.12625941998190363</v>
      </c>
      <c r="AF167" s="1531"/>
      <c r="AG167" s="1532">
        <f t="shared" ref="AG167:AK167" si="98">AG166/AG162</f>
        <v>0.12077693408061789</v>
      </c>
      <c r="AH167" s="1533">
        <f t="shared" si="98"/>
        <v>0.13078314594076812</v>
      </c>
      <c r="AI167" s="1533">
        <f t="shared" si="98"/>
        <v>0.12327197698730023</v>
      </c>
      <c r="AJ167" s="1533">
        <f t="shared" si="98"/>
        <v>0.12060800010830428</v>
      </c>
      <c r="AK167" s="1528">
        <f t="shared" si="98"/>
        <v>0.12392419109172663</v>
      </c>
      <c r="AL167" s="1531"/>
      <c r="AM167" s="1532">
        <f t="shared" ref="AM167:AQ167" si="99">AM166/AM162</f>
        <v>0.11605364961716345</v>
      </c>
      <c r="AN167" s="1533">
        <f t="shared" si="99"/>
        <v>0.14126804915522467</v>
      </c>
      <c r="AO167" s="1533">
        <f t="shared" si="99"/>
        <v>0.13242616590125195</v>
      </c>
      <c r="AP167" s="1533">
        <f t="shared" si="99"/>
        <v>0.12893069656737183</v>
      </c>
      <c r="AQ167" s="1528">
        <f t="shared" si="99"/>
        <v>0.1297560917046357</v>
      </c>
      <c r="AR167" s="1531"/>
      <c r="AS167" s="1532">
        <f t="shared" ref="AS167:AW167" si="100">AS166/AS162</f>
        <v>0.12935540601935347</v>
      </c>
      <c r="AT167" s="1533">
        <f t="shared" si="100"/>
        <v>0.14292381051990252</v>
      </c>
      <c r="AU167" s="1533">
        <f t="shared" si="100"/>
        <v>0.13874904520209441</v>
      </c>
      <c r="AV167" s="1533">
        <f t="shared" si="100"/>
        <v>0.13288394248375524</v>
      </c>
      <c r="AW167" s="1528">
        <f t="shared" si="100"/>
        <v>0.13604919051245296</v>
      </c>
      <c r="AX167" s="1531"/>
      <c r="AY167" s="1532">
        <f t="shared" ref="AY167:BC167" si="101">AY166/AY162</f>
        <v>0.13842955467134618</v>
      </c>
      <c r="AZ167" s="1533">
        <f t="shared" si="101"/>
        <v>0.1577479064259617</v>
      </c>
      <c r="BA167" s="1533">
        <f t="shared" si="101"/>
        <v>0.15813336076411555</v>
      </c>
      <c r="BB167" s="1533">
        <f t="shared" si="101"/>
        <v>0.1480500670540903</v>
      </c>
      <c r="BC167" s="1528">
        <f t="shared" si="101"/>
        <v>0.15026250179748668</v>
      </c>
      <c r="BD167" s="1531"/>
      <c r="BE167" s="1532">
        <f t="shared" ref="BE167:BI167" si="102">BE166/BE162</f>
        <v>0.16898329947597884</v>
      </c>
      <c r="BF167" s="1533">
        <f t="shared" si="102"/>
        <v>0.17473646548995675</v>
      </c>
      <c r="BG167" s="1533">
        <f t="shared" si="102"/>
        <v>0.17051098287197169</v>
      </c>
      <c r="BH167" s="1533">
        <f t="shared" si="102"/>
        <v>0.16499431376551399</v>
      </c>
      <c r="BI167" s="1528">
        <f t="shared" si="102"/>
        <v>0.16981164319248826</v>
      </c>
      <c r="BJ167" s="1531"/>
      <c r="BK167" s="1532">
        <f t="shared" ref="BK167:BO167" si="103">BK166/BK162</f>
        <v>0.13248132015782851</v>
      </c>
      <c r="BL167" s="1533">
        <f t="shared" si="103"/>
        <v>0.16451629035922283</v>
      </c>
      <c r="BM167" s="1533">
        <f t="shared" si="103"/>
        <v>0.17102463421805339</v>
      </c>
      <c r="BN167" s="1533">
        <f t="shared" si="103"/>
        <v>0.18138046326757373</v>
      </c>
      <c r="BO167" s="1528">
        <f t="shared" si="103"/>
        <v>0.16351990547163156</v>
      </c>
      <c r="BP167" s="1531"/>
      <c r="BQ167" s="1532">
        <f t="shared" ref="BQ167:BU167" si="104">BQ166/BQ162</f>
        <v>0.11391120590803404</v>
      </c>
      <c r="BR167" s="1533">
        <f t="shared" si="104"/>
        <v>0.13951609261327622</v>
      </c>
      <c r="BS167" s="1533">
        <f t="shared" si="104"/>
        <v>0.15871438777659913</v>
      </c>
      <c r="BT167" s="1533">
        <f t="shared" si="104"/>
        <v>0.16941492358653143</v>
      </c>
      <c r="BU167" s="1528">
        <f t="shared" si="104"/>
        <v>0.14684896735490877</v>
      </c>
      <c r="BV167" s="1531"/>
      <c r="BW167" s="1532">
        <f t="shared" ref="BW167:CA167" si="105">BW166/BW162</f>
        <v>0.15492101550418791</v>
      </c>
      <c r="BX167" s="1533">
        <f t="shared" si="105"/>
        <v>0.16111819301777902</v>
      </c>
      <c r="BY167" s="1533">
        <f t="shared" si="105"/>
        <v>0.16227632598346847</v>
      </c>
      <c r="BZ167" s="1533">
        <f t="shared" si="105"/>
        <v>0.16232509311001056</v>
      </c>
      <c r="CA167" s="1528">
        <f t="shared" si="105"/>
        <v>0.16036432008761306</v>
      </c>
      <c r="CB167" s="1531"/>
      <c r="CC167" s="1532">
        <f t="shared" ref="CC167:CG167" si="106">CC166/CC162</f>
        <v>0.1621258584255369</v>
      </c>
      <c r="CD167" s="1533">
        <f t="shared" si="106"/>
        <v>0.16825265147813542</v>
      </c>
      <c r="CE167" s="1533">
        <f t="shared" si="106"/>
        <v>0.16928886191924683</v>
      </c>
      <c r="CF167" s="1533">
        <f t="shared" si="106"/>
        <v>0.16899155298707633</v>
      </c>
      <c r="CG167" s="1528">
        <f t="shared" si="106"/>
        <v>0.16735067942724147</v>
      </c>
      <c r="CH167" s="1528"/>
      <c r="CK167"/>
      <c r="CL167"/>
      <c r="CM167"/>
      <c r="CN167"/>
      <c r="CO167"/>
      <c r="CP167"/>
    </row>
    <row r="168" spans="1:94" s="1516" customFormat="1" ht="11.25" customHeight="1" x14ac:dyDescent="0.2">
      <c r="A168" s="1460"/>
      <c r="B168" s="1460"/>
      <c r="C168" s="1532"/>
      <c r="D168" s="1533"/>
      <c r="E168" s="1533"/>
      <c r="F168" s="1533"/>
      <c r="G168" s="1528"/>
      <c r="H168" s="1531"/>
      <c r="I168" s="1532"/>
      <c r="J168" s="1533"/>
      <c r="K168" s="1533"/>
      <c r="L168" s="1533"/>
      <c r="M168" s="1528"/>
      <c r="N168" s="1531"/>
      <c r="O168" s="1532"/>
      <c r="P168" s="1533"/>
      <c r="Q168" s="1533"/>
      <c r="R168" s="1533"/>
      <c r="S168" s="1528"/>
      <c r="T168" s="1531"/>
      <c r="U168" s="1532"/>
      <c r="V168" s="1533"/>
      <c r="W168" s="1533"/>
      <c r="X168" s="1533"/>
      <c r="Y168" s="1528"/>
      <c r="Z168" s="1531"/>
      <c r="AA168" s="1532"/>
      <c r="AB168" s="1533"/>
      <c r="AC168" s="1533"/>
      <c r="AD168" s="1533"/>
      <c r="AE168" s="1528"/>
      <c r="AF168" s="1531"/>
      <c r="AG168" s="1532"/>
      <c r="AH168" s="1533"/>
      <c r="AI168" s="1533"/>
      <c r="AJ168" s="1533"/>
      <c r="AK168" s="1528"/>
      <c r="AL168" s="1531"/>
      <c r="AM168" s="1532"/>
      <c r="AN168" s="1533"/>
      <c r="AO168" s="1533"/>
      <c r="AP168" s="1533"/>
      <c r="AQ168" s="1528"/>
      <c r="AR168" s="1531"/>
      <c r="AS168" s="1532"/>
      <c r="AT168" s="1533"/>
      <c r="AU168" s="1533"/>
      <c r="AV168" s="1533"/>
      <c r="AW168" s="1528"/>
      <c r="AX168" s="1531"/>
      <c r="AY168" s="1532"/>
      <c r="AZ168" s="1533"/>
      <c r="BA168" s="1533"/>
      <c r="BB168" s="1533"/>
      <c r="BC168" s="1528"/>
      <c r="BD168" s="1531"/>
      <c r="BE168" s="1532"/>
      <c r="BF168" s="1533"/>
      <c r="BG168" s="1533"/>
      <c r="BH168" s="1533"/>
      <c r="BI168" s="1528"/>
      <c r="BJ168" s="1531"/>
      <c r="BK168" s="1532"/>
      <c r="BL168" s="1533"/>
      <c r="BM168" s="1533"/>
      <c r="BN168" s="1533"/>
      <c r="BO168" s="1528"/>
      <c r="BP168" s="1531"/>
      <c r="BQ168" s="1532"/>
      <c r="BR168" s="1533"/>
      <c r="BS168" s="1533"/>
      <c r="BT168" s="1533"/>
      <c r="BU168" s="1528"/>
      <c r="BV168" s="1531"/>
      <c r="BW168" s="1532"/>
      <c r="BX168" s="1533"/>
      <c r="BY168" s="1533"/>
      <c r="BZ168" s="1533"/>
      <c r="CA168" s="1528"/>
      <c r="CB168" s="1531"/>
      <c r="CC168" s="1532"/>
      <c r="CD168" s="1533"/>
      <c r="CE168" s="1533"/>
      <c r="CF168" s="1533"/>
      <c r="CG168" s="1528"/>
      <c r="CH168" s="1528"/>
      <c r="CK168"/>
      <c r="CL168"/>
      <c r="CM168"/>
      <c r="CN168"/>
      <c r="CO168"/>
      <c r="CP168"/>
    </row>
    <row r="169" spans="1:94" s="1516" customFormat="1" ht="11.25" customHeight="1" x14ac:dyDescent="0.2">
      <c r="A169" s="1460"/>
      <c r="B169" s="1460" t="s">
        <v>734</v>
      </c>
      <c r="C169" s="1535"/>
      <c r="D169" s="1536"/>
      <c r="E169" s="1536"/>
      <c r="F169" s="1536"/>
      <c r="G169" s="1534"/>
      <c r="H169" s="1534"/>
      <c r="I169" s="1536"/>
      <c r="J169" s="1536"/>
      <c r="K169" s="1536"/>
      <c r="L169" s="1536"/>
      <c r="M169" s="1534"/>
      <c r="N169" s="1534"/>
      <c r="O169" s="1536"/>
      <c r="P169" s="1536"/>
      <c r="Q169" s="1536"/>
      <c r="R169" s="1536"/>
      <c r="S169" s="1534"/>
      <c r="T169" s="1534"/>
      <c r="U169" s="1536"/>
      <c r="V169" s="1536"/>
      <c r="W169" s="1536"/>
      <c r="X169" s="1536"/>
      <c r="Y169" s="1534"/>
      <c r="Z169" s="1534"/>
      <c r="AA169" s="1536"/>
      <c r="AB169" s="1536"/>
      <c r="AC169" s="1536"/>
      <c r="AD169" s="1536"/>
      <c r="AE169" s="1534"/>
      <c r="AF169" s="1534"/>
      <c r="AG169" s="1536"/>
      <c r="AH169" s="1536"/>
      <c r="AI169" s="1536"/>
      <c r="AJ169" s="1536"/>
      <c r="AK169" s="1534"/>
      <c r="AL169" s="1534"/>
      <c r="AM169" s="1536"/>
      <c r="AN169" s="1536"/>
      <c r="AO169" s="1536"/>
      <c r="AP169" s="1536"/>
      <c r="AQ169" s="1534"/>
      <c r="AR169" s="1534"/>
      <c r="AS169" s="1536"/>
      <c r="AT169" s="1536"/>
      <c r="AU169" s="1536"/>
      <c r="AV169" s="1536"/>
      <c r="AW169" s="1534"/>
      <c r="AX169" s="1534"/>
      <c r="AY169" s="1536"/>
      <c r="AZ169" s="1536"/>
      <c r="BA169" s="1536"/>
      <c r="BB169" s="1536"/>
      <c r="BC169" s="1534"/>
      <c r="BD169" s="1534"/>
      <c r="BE169" s="1536"/>
      <c r="BF169" s="1536"/>
      <c r="BG169" s="1536"/>
      <c r="BH169" s="1536"/>
      <c r="BI169" s="1534"/>
      <c r="BJ169" s="1534"/>
      <c r="BK169" s="1536"/>
      <c r="BL169" s="1536"/>
      <c r="BM169" s="1536"/>
      <c r="BN169" s="1536"/>
      <c r="BO169" s="1534"/>
      <c r="BP169" s="1534"/>
      <c r="BQ169" s="1536"/>
      <c r="BR169" s="1536"/>
      <c r="BS169" s="1536"/>
      <c r="BT169" s="1536"/>
      <c r="BU169" s="1534"/>
      <c r="BV169" s="1534"/>
      <c r="BW169" s="1536"/>
      <c r="BX169" s="1536"/>
      <c r="BY169" s="1536"/>
      <c r="BZ169" s="1536"/>
      <c r="CA169" s="1534"/>
      <c r="CB169" s="1534"/>
      <c r="CC169" s="1536"/>
      <c r="CD169" s="1536"/>
      <c r="CE169" s="1536"/>
      <c r="CF169" s="1536"/>
      <c r="CG169" s="1534"/>
      <c r="CH169" s="1534"/>
      <c r="CK169"/>
      <c r="CL169"/>
      <c r="CM169"/>
      <c r="CN169"/>
      <c r="CO169"/>
      <c r="CP169"/>
    </row>
    <row r="170" spans="1:94" s="1516" customFormat="1" ht="11.25" customHeight="1" x14ac:dyDescent="0.2">
      <c r="A170" s="1457"/>
      <c r="B170" s="1457" t="s">
        <v>83</v>
      </c>
      <c r="C170" s="1537">
        <f>+C33+C29</f>
        <v>423.11400000000003</v>
      </c>
      <c r="D170" s="1537">
        <f t="shared" ref="D170:G170" si="107">+D33+D29</f>
        <v>402.22800000000001</v>
      </c>
      <c r="E170" s="1537">
        <f t="shared" si="107"/>
        <v>502.68799999999999</v>
      </c>
      <c r="F170" s="1537">
        <f t="shared" si="107"/>
        <v>483.30700000000002</v>
      </c>
      <c r="G170" s="1537">
        <f t="shared" si="107"/>
        <v>483.30700000000002</v>
      </c>
      <c r="H170" s="1534"/>
      <c r="I170" s="1537">
        <f>+I33+I29</f>
        <v>592.63400000000001</v>
      </c>
      <c r="J170" s="1537">
        <f t="shared" ref="J170:M170" si="108">+J33+J29</f>
        <v>581.50300000000004</v>
      </c>
      <c r="K170" s="1537">
        <f t="shared" si="108"/>
        <v>404.51299999999998</v>
      </c>
      <c r="L170" s="1537">
        <f t="shared" si="108"/>
        <v>449.47399999999999</v>
      </c>
      <c r="M170" s="1537">
        <f t="shared" si="108"/>
        <v>449.47399999999999</v>
      </c>
      <c r="N170" s="1534"/>
      <c r="O170" s="1537">
        <f t="shared" ref="O170:S170" si="109">+O33+O29</f>
        <v>486.459</v>
      </c>
      <c r="P170" s="1537">
        <f t="shared" si="109"/>
        <v>419.85500000000002</v>
      </c>
      <c r="Q170" s="1537">
        <f t="shared" si="109"/>
        <v>395.20800000000003</v>
      </c>
      <c r="R170" s="1537">
        <f t="shared" si="109"/>
        <v>469.32500000000005</v>
      </c>
      <c r="S170" s="1537">
        <f t="shared" si="109"/>
        <v>469.32500000000005</v>
      </c>
      <c r="T170" s="1534"/>
      <c r="U170" s="1537">
        <f t="shared" ref="U170:Y170" si="110">+U33+U29</f>
        <v>476.51100000000002</v>
      </c>
      <c r="V170" s="1537">
        <f t="shared" si="110"/>
        <v>474.90300000000002</v>
      </c>
      <c r="W170" s="1537">
        <f t="shared" si="110"/>
        <v>599.66599999999994</v>
      </c>
      <c r="X170" s="1537">
        <f t="shared" si="110"/>
        <v>611.76900000000001</v>
      </c>
      <c r="Y170" s="1537">
        <f t="shared" si="110"/>
        <v>611.76900000000001</v>
      </c>
      <c r="Z170" s="1534"/>
      <c r="AA170" s="1537">
        <f t="shared" ref="AA170:AE170" si="111">+AA33+AA29</f>
        <v>663.74299999999994</v>
      </c>
      <c r="AB170" s="1537">
        <f t="shared" si="111"/>
        <v>663.37300000000005</v>
      </c>
      <c r="AC170" s="1537">
        <f t="shared" si="111"/>
        <v>1839.5520000000001</v>
      </c>
      <c r="AD170" s="1537">
        <f t="shared" si="111"/>
        <v>1766.711</v>
      </c>
      <c r="AE170" s="1537">
        <f t="shared" si="111"/>
        <v>1766.711</v>
      </c>
      <c r="AF170" s="1534"/>
      <c r="AG170" s="1537">
        <f t="shared" ref="AG170:AK170" si="112">+AG33+AG29</f>
        <v>1769.2540000000001</v>
      </c>
      <c r="AH170" s="1537">
        <f t="shared" si="112"/>
        <v>1724.5839999999998</v>
      </c>
      <c r="AI170" s="1537">
        <f t="shared" si="112"/>
        <v>1649.0839999999998</v>
      </c>
      <c r="AJ170" s="1537">
        <f t="shared" si="112"/>
        <v>1520.998</v>
      </c>
      <c r="AK170" s="1537">
        <f t="shared" si="112"/>
        <v>1520.998</v>
      </c>
      <c r="AL170" s="1534"/>
      <c r="AM170" s="1537">
        <f t="shared" ref="AM170:AQ170" si="113">+AM33+AM29</f>
        <v>1523.1599999999999</v>
      </c>
      <c r="AN170" s="1537">
        <f t="shared" si="113"/>
        <v>1540.857</v>
      </c>
      <c r="AO170" s="1537">
        <f t="shared" si="113"/>
        <v>1435.7420000000002</v>
      </c>
      <c r="AP170" s="1537">
        <f t="shared" si="113"/>
        <v>1476.0400000000002</v>
      </c>
      <c r="AQ170" s="1537">
        <f t="shared" si="113"/>
        <v>1476.0400000000002</v>
      </c>
      <c r="AR170" s="1534"/>
      <c r="AS170" s="1537">
        <f t="shared" ref="AS170:AW170" si="114">+AS33+AS29</f>
        <v>1468.6079999999999</v>
      </c>
      <c r="AT170" s="1537">
        <f t="shared" si="114"/>
        <v>1367.1750000000002</v>
      </c>
      <c r="AU170" s="1537">
        <f t="shared" si="114"/>
        <v>1280.819</v>
      </c>
      <c r="AV170" s="1537">
        <f t="shared" si="114"/>
        <v>1265.713</v>
      </c>
      <c r="AW170" s="1537">
        <f t="shared" si="114"/>
        <v>1265.713</v>
      </c>
      <c r="AX170" s="1534"/>
      <c r="AY170" s="1537">
        <f t="shared" ref="AY170:BC170" si="115">+AY33+AY29</f>
        <v>1326.4540000000002</v>
      </c>
      <c r="AZ170" s="1537">
        <f t="shared" si="115"/>
        <v>1197.4829999999999</v>
      </c>
      <c r="BA170" s="1537">
        <f t="shared" si="115"/>
        <v>1155.0999999999999</v>
      </c>
      <c r="BB170" s="1537">
        <f t="shared" si="115"/>
        <v>1153.0999999999999</v>
      </c>
      <c r="BC170" s="1537">
        <f t="shared" si="115"/>
        <v>1153.0999999999999</v>
      </c>
      <c r="BD170" s="1534"/>
      <c r="BE170" s="1537">
        <f t="shared" ref="BE170:BI170" si="116">+BE33+BE29</f>
        <v>1180</v>
      </c>
      <c r="BF170" s="1537">
        <f t="shared" si="116"/>
        <v>1181.5999999999999</v>
      </c>
      <c r="BG170" s="1537">
        <f t="shared" si="116"/>
        <v>1586.2</v>
      </c>
      <c r="BH170" s="1537">
        <f t="shared" si="116"/>
        <v>1532.1999999999998</v>
      </c>
      <c r="BI170" s="1537">
        <f t="shared" si="116"/>
        <v>1532.1999999999998</v>
      </c>
      <c r="BJ170" s="1534"/>
      <c r="BK170" s="1537">
        <f t="shared" ref="BK170:BO170" si="117">+BK33+BK29</f>
        <v>1550.8</v>
      </c>
      <c r="BL170" s="1537">
        <f t="shared" si="117"/>
        <v>1608.8999999999999</v>
      </c>
      <c r="BM170" s="1537">
        <f t="shared" si="117"/>
        <v>1622.1000000000001</v>
      </c>
      <c r="BN170" s="1537">
        <f t="shared" si="117"/>
        <v>1641.6999999999998</v>
      </c>
      <c r="BO170" s="1537">
        <f t="shared" si="117"/>
        <v>1641.6999999999998</v>
      </c>
      <c r="BP170" s="1534"/>
      <c r="BQ170" s="1537">
        <f t="shared" ref="BQ170:BU170" si="118">+BQ33+BQ29</f>
        <v>1630.8</v>
      </c>
      <c r="BR170" s="1537">
        <f t="shared" si="118"/>
        <v>1630.8</v>
      </c>
      <c r="BS170" s="1537">
        <f t="shared" si="118"/>
        <v>1630.8</v>
      </c>
      <c r="BT170" s="1537">
        <f t="shared" si="118"/>
        <v>1630.8</v>
      </c>
      <c r="BU170" s="1537">
        <f t="shared" si="118"/>
        <v>1630.8</v>
      </c>
      <c r="BV170" s="1534"/>
      <c r="BW170" s="1537">
        <f t="shared" ref="BW170:CA170" si="119">+BW33+BW29</f>
        <v>1630.8</v>
      </c>
      <c r="BX170" s="1537">
        <f t="shared" si="119"/>
        <v>1630.8</v>
      </c>
      <c r="BY170" s="1537">
        <f t="shared" si="119"/>
        <v>1630.8</v>
      </c>
      <c r="BZ170" s="1537">
        <f t="shared" si="119"/>
        <v>1630.8</v>
      </c>
      <c r="CA170" s="1537">
        <f t="shared" si="119"/>
        <v>1630.8</v>
      </c>
      <c r="CB170" s="1534"/>
      <c r="CC170" s="1537">
        <f t="shared" ref="CC170:CG170" si="120">+CC33+CC29</f>
        <v>1630.8</v>
      </c>
      <c r="CD170" s="1537">
        <f t="shared" si="120"/>
        <v>1630.8</v>
      </c>
      <c r="CE170" s="1537">
        <f t="shared" si="120"/>
        <v>1630.8</v>
      </c>
      <c r="CF170" s="1537">
        <f t="shared" si="120"/>
        <v>1630.8</v>
      </c>
      <c r="CG170" s="1537">
        <f t="shared" si="120"/>
        <v>1630.8</v>
      </c>
      <c r="CH170" s="1537"/>
      <c r="CK170"/>
      <c r="CL170"/>
      <c r="CM170"/>
      <c r="CN170"/>
      <c r="CO170"/>
      <c r="CP170"/>
    </row>
    <row r="171" spans="1:94" s="1516" customFormat="1" ht="11.25" customHeight="1" x14ac:dyDescent="0.2">
      <c r="A171" s="1457"/>
      <c r="B171" s="1457" t="s">
        <v>735</v>
      </c>
      <c r="C171" s="1537">
        <f>+C34</f>
        <v>44.600999999999999</v>
      </c>
      <c r="D171" s="1537">
        <f t="shared" ref="D171:G171" si="121">+D34</f>
        <v>56.716000000000001</v>
      </c>
      <c r="E171" s="1537">
        <f t="shared" si="121"/>
        <v>51.716999999999999</v>
      </c>
      <c r="F171" s="1537">
        <f t="shared" si="121"/>
        <v>60.546999999999997</v>
      </c>
      <c r="G171" s="1537">
        <f t="shared" si="121"/>
        <v>60.546999999999997</v>
      </c>
      <c r="H171" s="1534"/>
      <c r="I171" s="1537">
        <f>+I34</f>
        <v>68</v>
      </c>
      <c r="J171" s="1537">
        <f t="shared" ref="J171:M171" si="122">+J34</f>
        <v>69.727000000000004</v>
      </c>
      <c r="K171" s="1537">
        <f t="shared" si="122"/>
        <v>63.186999999999998</v>
      </c>
      <c r="L171" s="1537">
        <f t="shared" si="122"/>
        <v>69.049000000000007</v>
      </c>
      <c r="M171" s="1537">
        <f t="shared" si="122"/>
        <v>69.049000000000007</v>
      </c>
      <c r="N171" s="1534"/>
      <c r="O171" s="1537">
        <f t="shared" ref="O171:S171" si="123">+O34</f>
        <v>59.030999999999999</v>
      </c>
      <c r="P171" s="1537">
        <f t="shared" si="123"/>
        <v>70.507999999999996</v>
      </c>
      <c r="Q171" s="1537">
        <f t="shared" si="123"/>
        <v>77.837999999999994</v>
      </c>
      <c r="R171" s="1537">
        <f t="shared" si="123"/>
        <v>72.524000000000001</v>
      </c>
      <c r="S171" s="1537">
        <f t="shared" si="123"/>
        <v>72.524000000000001</v>
      </c>
      <c r="T171" s="1534"/>
      <c r="U171" s="1537">
        <f t="shared" ref="U171:Y171" si="124">+U34</f>
        <v>70.165999999999997</v>
      </c>
      <c r="V171" s="1537">
        <f t="shared" si="124"/>
        <v>73.778999999999996</v>
      </c>
      <c r="W171" s="1537">
        <f t="shared" si="124"/>
        <v>74.238</v>
      </c>
      <c r="X171" s="1537">
        <f t="shared" si="124"/>
        <v>72.489000000000004</v>
      </c>
      <c r="Y171" s="1537">
        <f t="shared" si="124"/>
        <v>72.489000000000004</v>
      </c>
      <c r="Z171" s="1534"/>
      <c r="AA171" s="1537">
        <f t="shared" ref="AA171:AE171" si="125">+AA34</f>
        <v>79.962999999999994</v>
      </c>
      <c r="AB171" s="1537">
        <f t="shared" si="125"/>
        <v>81.323999999999998</v>
      </c>
      <c r="AC171" s="1537">
        <f t="shared" si="125"/>
        <v>242.16200000000001</v>
      </c>
      <c r="AD171" s="1537">
        <f t="shared" si="125"/>
        <v>249.822</v>
      </c>
      <c r="AE171" s="1537">
        <f t="shared" si="125"/>
        <v>249.822</v>
      </c>
      <c r="AF171" s="1534"/>
      <c r="AG171" s="1537">
        <f t="shared" ref="AG171:AK171" si="126">+AG34</f>
        <v>321.36200000000002</v>
      </c>
      <c r="AH171" s="1537">
        <f t="shared" si="126"/>
        <v>334.673</v>
      </c>
      <c r="AI171" s="1537">
        <f t="shared" si="126"/>
        <v>319.834</v>
      </c>
      <c r="AJ171" s="1537">
        <f t="shared" si="126"/>
        <v>232.64099999999999</v>
      </c>
      <c r="AK171" s="1537">
        <f t="shared" si="126"/>
        <v>232.64099999999999</v>
      </c>
      <c r="AL171" s="1534"/>
      <c r="AM171" s="1537">
        <f t="shared" ref="AM171:AQ171" si="127">+AM34</f>
        <v>226.1</v>
      </c>
      <c r="AN171" s="1537">
        <f t="shared" si="127"/>
        <v>218.624</v>
      </c>
      <c r="AO171" s="1537">
        <f t="shared" si="127"/>
        <v>226.66800000000001</v>
      </c>
      <c r="AP171" s="1537">
        <f t="shared" si="127"/>
        <v>238.39400000000001</v>
      </c>
      <c r="AQ171" s="1537">
        <f t="shared" si="127"/>
        <v>238.39400000000001</v>
      </c>
      <c r="AR171" s="1534"/>
      <c r="AS171" s="1537">
        <f t="shared" ref="AS171:AW171" si="128">+AS34</f>
        <v>236.26900000000001</v>
      </c>
      <c r="AT171" s="1537">
        <f t="shared" si="128"/>
        <v>231.005</v>
      </c>
      <c r="AU171" s="1537">
        <f t="shared" si="128"/>
        <v>215.482</v>
      </c>
      <c r="AV171" s="1537">
        <f t="shared" si="128"/>
        <v>165.55099999999999</v>
      </c>
      <c r="AW171" s="1537">
        <f t="shared" si="128"/>
        <v>165.55099999999999</v>
      </c>
      <c r="AX171" s="1534"/>
      <c r="AY171" s="1537">
        <f t="shared" ref="AY171:BC171" si="129">+AY34</f>
        <v>150.47</v>
      </c>
      <c r="AZ171" s="1537">
        <f t="shared" si="129"/>
        <v>155.58699999999999</v>
      </c>
      <c r="BA171" s="1537">
        <f t="shared" si="129"/>
        <v>152.9</v>
      </c>
      <c r="BB171" s="1537">
        <f t="shared" si="129"/>
        <v>160.30000000000001</v>
      </c>
      <c r="BC171" s="1537">
        <f t="shared" si="129"/>
        <v>160.30000000000001</v>
      </c>
      <c r="BD171" s="1534"/>
      <c r="BE171" s="1537">
        <f t="shared" ref="BE171:BI171" si="130">+BE34</f>
        <v>875.5</v>
      </c>
      <c r="BF171" s="1537">
        <f t="shared" si="130"/>
        <v>849.8</v>
      </c>
      <c r="BG171" s="1537">
        <f t="shared" si="130"/>
        <v>854.5</v>
      </c>
      <c r="BH171" s="1537">
        <f t="shared" si="130"/>
        <v>848.6</v>
      </c>
      <c r="BI171" s="1537">
        <f t="shared" si="130"/>
        <v>848.6</v>
      </c>
      <c r="BJ171" s="1534"/>
      <c r="BK171" s="1537">
        <f t="shared" ref="BK171:BO171" si="131">+BK34</f>
        <v>753.2</v>
      </c>
      <c r="BL171" s="1537">
        <f t="shared" si="131"/>
        <v>802.4</v>
      </c>
      <c r="BM171" s="1537">
        <f t="shared" si="131"/>
        <v>818.2</v>
      </c>
      <c r="BN171" s="1537">
        <f t="shared" si="131"/>
        <v>718</v>
      </c>
      <c r="BO171" s="1537">
        <f t="shared" si="131"/>
        <v>718</v>
      </c>
      <c r="BP171" s="1534"/>
      <c r="BQ171" s="1537">
        <f t="shared" ref="BQ171:BU171" si="132">+BQ34</f>
        <v>718</v>
      </c>
      <c r="BR171" s="1537">
        <f t="shared" si="132"/>
        <v>718</v>
      </c>
      <c r="BS171" s="1537">
        <f t="shared" si="132"/>
        <v>718</v>
      </c>
      <c r="BT171" s="1537">
        <f t="shared" si="132"/>
        <v>718</v>
      </c>
      <c r="BU171" s="1537">
        <f t="shared" si="132"/>
        <v>718</v>
      </c>
      <c r="BV171" s="1534"/>
      <c r="BW171" s="1537">
        <f t="shared" ref="BW171:CA171" si="133">+BW34</f>
        <v>718</v>
      </c>
      <c r="BX171" s="1537">
        <f t="shared" si="133"/>
        <v>718</v>
      </c>
      <c r="BY171" s="1537">
        <f t="shared" si="133"/>
        <v>718</v>
      </c>
      <c r="BZ171" s="1537">
        <f t="shared" si="133"/>
        <v>718</v>
      </c>
      <c r="CA171" s="1537">
        <f t="shared" si="133"/>
        <v>718</v>
      </c>
      <c r="CB171" s="1534"/>
      <c r="CC171" s="1537">
        <f t="shared" ref="CC171:CG171" si="134">+CC34</f>
        <v>718</v>
      </c>
      <c r="CD171" s="1537">
        <f t="shared" si="134"/>
        <v>718</v>
      </c>
      <c r="CE171" s="1537">
        <f t="shared" si="134"/>
        <v>718</v>
      </c>
      <c r="CF171" s="1537">
        <f t="shared" si="134"/>
        <v>718</v>
      </c>
      <c r="CG171" s="1537">
        <f t="shared" si="134"/>
        <v>718</v>
      </c>
      <c r="CH171" s="1537"/>
      <c r="CK171"/>
      <c r="CL171"/>
      <c r="CM171"/>
      <c r="CN171"/>
      <c r="CO171"/>
      <c r="CP171"/>
    </row>
    <row r="172" spans="1:94" s="1516" customFormat="1" ht="11.25" customHeight="1" x14ac:dyDescent="0.2">
      <c r="A172" s="1457"/>
      <c r="B172" s="1457" t="s">
        <v>736</v>
      </c>
      <c r="C172" s="1537">
        <f>+C35</f>
        <v>233.55799999999999</v>
      </c>
      <c r="D172" s="1537">
        <f t="shared" ref="D172:G172" si="135">+D35</f>
        <v>244.92</v>
      </c>
      <c r="E172" s="1537">
        <f t="shared" si="135"/>
        <v>291.19900000000001</v>
      </c>
      <c r="F172" s="1537">
        <f t="shared" si="135"/>
        <v>304.14600000000002</v>
      </c>
      <c r="G172" s="1537">
        <f t="shared" si="135"/>
        <v>304.14600000000002</v>
      </c>
      <c r="H172" s="1534"/>
      <c r="I172" s="1537">
        <f>+I35</f>
        <v>442.90899999999999</v>
      </c>
      <c r="J172" s="1537">
        <f t="shared" ref="J172:M172" si="136">+J35</f>
        <v>411.74400000000003</v>
      </c>
      <c r="K172" s="1537">
        <f t="shared" si="136"/>
        <v>271.61799999999999</v>
      </c>
      <c r="L172" s="1537">
        <f t="shared" si="136"/>
        <v>318.29700000000003</v>
      </c>
      <c r="M172" s="1537">
        <f t="shared" si="136"/>
        <v>318.29700000000003</v>
      </c>
      <c r="N172" s="1534"/>
      <c r="O172" s="1537">
        <f t="shared" ref="O172:S172" si="137">+O35</f>
        <v>217.61199999999999</v>
      </c>
      <c r="P172" s="1537">
        <f t="shared" si="137"/>
        <v>287.40699999999998</v>
      </c>
      <c r="Q172" s="1537">
        <f t="shared" si="137"/>
        <v>328.32600000000002</v>
      </c>
      <c r="R172" s="1537">
        <f t="shared" si="137"/>
        <v>276.74299999999999</v>
      </c>
      <c r="S172" s="1537">
        <f t="shared" si="137"/>
        <v>276.74299999999999</v>
      </c>
      <c r="T172" s="1534"/>
      <c r="U172" s="1537">
        <f t="shared" ref="U172:Y172" si="138">+U35</f>
        <v>248.96299999999999</v>
      </c>
      <c r="V172" s="1537">
        <f t="shared" si="138"/>
        <v>196.72800000000001</v>
      </c>
      <c r="W172" s="1537">
        <f t="shared" si="138"/>
        <v>300.07400000000001</v>
      </c>
      <c r="X172" s="1537">
        <f t="shared" si="138"/>
        <v>311.44400000000002</v>
      </c>
      <c r="Y172" s="1537">
        <f t="shared" si="138"/>
        <v>311.44400000000002</v>
      </c>
      <c r="Z172" s="1534"/>
      <c r="AA172" s="1537">
        <f t="shared" ref="AA172:AE172" si="139">+AA35</f>
        <v>360.286</v>
      </c>
      <c r="AB172" s="1537">
        <f t="shared" si="139"/>
        <v>408.78699999999998</v>
      </c>
      <c r="AC172" s="1537">
        <f t="shared" si="139"/>
        <v>394.46699999999998</v>
      </c>
      <c r="AD172" s="1537">
        <f t="shared" si="139"/>
        <v>407.34199999999998</v>
      </c>
      <c r="AE172" s="1537">
        <f t="shared" si="139"/>
        <v>407.34199999999998</v>
      </c>
      <c r="AF172" s="1534"/>
      <c r="AG172" s="1537">
        <f t="shared" ref="AG172:AK172" si="140">+AG35</f>
        <v>371.024</v>
      </c>
      <c r="AH172" s="1537">
        <f t="shared" si="140"/>
        <v>316.09800000000001</v>
      </c>
      <c r="AI172" s="1537">
        <f t="shared" si="140"/>
        <v>318.75700000000001</v>
      </c>
      <c r="AJ172" s="1537">
        <f t="shared" si="140"/>
        <v>340.39800000000002</v>
      </c>
      <c r="AK172" s="1537">
        <f t="shared" si="140"/>
        <v>340.39800000000002</v>
      </c>
      <c r="AL172" s="1534"/>
      <c r="AM172" s="1537">
        <f t="shared" ref="AM172:AQ172" si="141">+AM35</f>
        <v>372.74700000000001</v>
      </c>
      <c r="AN172" s="1537">
        <f t="shared" si="141"/>
        <v>353.55599999999998</v>
      </c>
      <c r="AO172" s="1537">
        <f t="shared" si="141"/>
        <v>361.93799999999999</v>
      </c>
      <c r="AP172" s="1537">
        <f t="shared" si="141"/>
        <v>299.096</v>
      </c>
      <c r="AQ172" s="1537">
        <f t="shared" si="141"/>
        <v>299.096</v>
      </c>
      <c r="AR172" s="1534"/>
      <c r="AS172" s="1537">
        <f t="shared" ref="AS172:AW172" si="142">+AS35</f>
        <v>295.65699999999998</v>
      </c>
      <c r="AT172" s="1537">
        <f t="shared" si="142"/>
        <v>294.404</v>
      </c>
      <c r="AU172" s="1537">
        <f t="shared" si="142"/>
        <v>272.2</v>
      </c>
      <c r="AV172" s="1537">
        <f t="shared" si="142"/>
        <v>356.04199999999997</v>
      </c>
      <c r="AW172" s="1537">
        <f t="shared" si="142"/>
        <v>356.04199999999997</v>
      </c>
      <c r="AX172" s="1534"/>
      <c r="AY172" s="1537">
        <f t="shared" ref="AY172:BC172" si="143">+AY35</f>
        <v>319.452</v>
      </c>
      <c r="AZ172" s="1537">
        <f t="shared" si="143"/>
        <v>334.12799999999999</v>
      </c>
      <c r="BA172" s="1537">
        <f t="shared" si="143"/>
        <v>332.5</v>
      </c>
      <c r="BB172" s="1537">
        <f t="shared" si="143"/>
        <v>286.2</v>
      </c>
      <c r="BC172" s="1537">
        <f t="shared" si="143"/>
        <v>286.2</v>
      </c>
      <c r="BD172" s="1534"/>
      <c r="BE172" s="1537">
        <f t="shared" ref="BE172:BI172" si="144">+BE35</f>
        <v>398.2</v>
      </c>
      <c r="BF172" s="1537">
        <f t="shared" si="144"/>
        <v>391.7</v>
      </c>
      <c r="BG172" s="1537">
        <f t="shared" si="144"/>
        <v>400.8</v>
      </c>
      <c r="BH172" s="1537">
        <f t="shared" si="144"/>
        <v>399.5</v>
      </c>
      <c r="BI172" s="1537">
        <f t="shared" si="144"/>
        <v>399.5</v>
      </c>
      <c r="BJ172" s="1534"/>
      <c r="BK172" s="1537">
        <f t="shared" ref="BK172:BO172" si="145">+BK35</f>
        <v>401.6</v>
      </c>
      <c r="BL172" s="1537">
        <f t="shared" si="145"/>
        <v>432.4</v>
      </c>
      <c r="BM172" s="1537">
        <f t="shared" si="145"/>
        <v>441.9</v>
      </c>
      <c r="BN172" s="1537">
        <f t="shared" si="145"/>
        <v>462.5</v>
      </c>
      <c r="BO172" s="1537">
        <f t="shared" si="145"/>
        <v>462.5</v>
      </c>
      <c r="BP172" s="1534"/>
      <c r="BQ172" s="1537">
        <f t="shared" ref="BQ172:BU172" si="146">+BQ35</f>
        <v>462.5</v>
      </c>
      <c r="BR172" s="1537">
        <f t="shared" si="146"/>
        <v>462.5</v>
      </c>
      <c r="BS172" s="1537">
        <f t="shared" si="146"/>
        <v>462.5</v>
      </c>
      <c r="BT172" s="1537">
        <f t="shared" si="146"/>
        <v>462.5</v>
      </c>
      <c r="BU172" s="1537">
        <f t="shared" si="146"/>
        <v>462.5</v>
      </c>
      <c r="BV172" s="1534"/>
      <c r="BW172" s="1537">
        <f t="shared" ref="BW172:CA172" si="147">+BW35</f>
        <v>462.5</v>
      </c>
      <c r="BX172" s="1537">
        <f t="shared" si="147"/>
        <v>462.5</v>
      </c>
      <c r="BY172" s="1537">
        <f t="shared" si="147"/>
        <v>462.5</v>
      </c>
      <c r="BZ172" s="1537">
        <f t="shared" si="147"/>
        <v>462.5</v>
      </c>
      <c r="CA172" s="1537">
        <f t="shared" si="147"/>
        <v>462.5</v>
      </c>
      <c r="CB172" s="1534"/>
      <c r="CC172" s="1537">
        <f t="shared" ref="CC172:CG172" si="148">+CC35</f>
        <v>462.5</v>
      </c>
      <c r="CD172" s="1537">
        <f t="shared" si="148"/>
        <v>462.5</v>
      </c>
      <c r="CE172" s="1537">
        <f t="shared" si="148"/>
        <v>462.5</v>
      </c>
      <c r="CF172" s="1537">
        <f t="shared" si="148"/>
        <v>462.5</v>
      </c>
      <c r="CG172" s="1537">
        <f t="shared" si="148"/>
        <v>462.5</v>
      </c>
      <c r="CH172" s="1537"/>
      <c r="CK172"/>
      <c r="CL172"/>
      <c r="CM172"/>
      <c r="CN172"/>
      <c r="CO172"/>
      <c r="CP172"/>
    </row>
    <row r="173" spans="1:94" s="1516" customFormat="1" ht="11.25" customHeight="1" x14ac:dyDescent="0.2">
      <c r="A173" s="1538"/>
      <c r="B173" s="1538" t="s">
        <v>737</v>
      </c>
      <c r="C173" s="1537"/>
      <c r="D173" s="1537"/>
      <c r="E173" s="1537"/>
      <c r="F173" s="1537"/>
      <c r="G173" s="1537"/>
      <c r="H173" s="1534"/>
      <c r="I173" s="1537"/>
      <c r="J173" s="1537"/>
      <c r="K173" s="1537"/>
      <c r="L173" s="1537"/>
      <c r="M173" s="1537"/>
      <c r="N173" s="1534"/>
      <c r="O173" s="1537"/>
      <c r="P173" s="1537"/>
      <c r="Q173" s="1537"/>
      <c r="R173" s="1537"/>
      <c r="S173" s="1537"/>
      <c r="T173" s="1534"/>
      <c r="U173" s="1537"/>
      <c r="V173" s="1537"/>
      <c r="W173" s="1537"/>
      <c r="X173" s="1537"/>
      <c r="Y173" s="1537"/>
      <c r="Z173" s="1534"/>
      <c r="AA173" s="1537"/>
      <c r="AB173" s="1537"/>
      <c r="AC173" s="1537"/>
      <c r="AD173" s="1537"/>
      <c r="AE173" s="1537"/>
      <c r="AF173" s="1534"/>
      <c r="AG173" s="1537"/>
      <c r="AH173" s="1537"/>
      <c r="AI173" s="1537"/>
      <c r="AJ173" s="1537"/>
      <c r="AK173" s="1537"/>
      <c r="AL173" s="1534"/>
      <c r="AM173" s="1537"/>
      <c r="AN173" s="1537"/>
      <c r="AO173" s="1537"/>
      <c r="AP173" s="1537"/>
      <c r="AQ173" s="1537"/>
      <c r="AR173" s="1534"/>
      <c r="AS173" s="1537"/>
      <c r="AT173" s="1537"/>
      <c r="AU173" s="1537"/>
      <c r="AV173" s="1537"/>
      <c r="AW173" s="1537"/>
      <c r="AX173" s="1534"/>
      <c r="AY173" s="1537"/>
      <c r="AZ173" s="1537"/>
      <c r="BA173" s="1537"/>
      <c r="BB173" s="1537"/>
      <c r="BC173" s="1537"/>
      <c r="BD173" s="1534"/>
      <c r="BE173" s="1537"/>
      <c r="BF173" s="1537"/>
      <c r="BG173" s="1537"/>
      <c r="BH173" s="1537"/>
      <c r="BI173" s="1537"/>
      <c r="BJ173" s="1534"/>
      <c r="BK173" s="1537"/>
      <c r="BL173" s="1537"/>
      <c r="BM173" s="1537"/>
      <c r="BN173" s="1537"/>
      <c r="BO173" s="1537"/>
      <c r="BP173" s="1534"/>
      <c r="BQ173" s="1537"/>
      <c r="BR173" s="1537"/>
      <c r="BS173" s="1537"/>
      <c r="BT173" s="1537"/>
      <c r="BU173" s="1537"/>
      <c r="BV173" s="1534"/>
      <c r="BW173" s="1537"/>
      <c r="BX173" s="1537"/>
      <c r="BY173" s="1537"/>
      <c r="BZ173" s="1537"/>
      <c r="CA173" s="1537"/>
      <c r="CB173" s="1534"/>
      <c r="CC173" s="1537"/>
      <c r="CD173" s="1537"/>
      <c r="CE173" s="1537"/>
      <c r="CF173" s="1537"/>
      <c r="CG173" s="1537"/>
      <c r="CH173" s="1537"/>
      <c r="CK173"/>
      <c r="CL173"/>
      <c r="CM173"/>
      <c r="CN173"/>
      <c r="CO173"/>
      <c r="CP173"/>
    </row>
    <row r="174" spans="1:94" s="1516" customFormat="1" ht="11.25" customHeight="1" x14ac:dyDescent="0.2">
      <c r="A174" s="1460"/>
      <c r="B174" s="1460" t="s">
        <v>402</v>
      </c>
      <c r="C174" s="1537"/>
      <c r="D174" s="1537"/>
      <c r="E174" s="1537"/>
      <c r="F174" s="1537"/>
      <c r="G174" s="1537"/>
      <c r="H174" s="1534"/>
      <c r="I174" s="1537"/>
      <c r="J174" s="1537"/>
      <c r="K174" s="1537"/>
      <c r="L174" s="1537"/>
      <c r="M174" s="1537"/>
      <c r="N174" s="1534"/>
      <c r="O174" s="1537"/>
      <c r="P174" s="1537"/>
      <c r="Q174" s="1537"/>
      <c r="R174" s="1537"/>
      <c r="S174" s="1537"/>
      <c r="T174" s="1534"/>
      <c r="U174" s="1537"/>
      <c r="V174" s="1537"/>
      <c r="W174" s="1537"/>
      <c r="X174" s="1537"/>
      <c r="Y174" s="1537"/>
      <c r="Z174" s="1534"/>
      <c r="AA174" s="1537"/>
      <c r="AB174" s="1537"/>
      <c r="AC174" s="1537"/>
      <c r="AD174" s="1537"/>
      <c r="AE174" s="1537"/>
      <c r="AF174" s="1534"/>
      <c r="AG174" s="1537"/>
      <c r="AH174" s="1537"/>
      <c r="AI174" s="1537"/>
      <c r="AJ174" s="1537"/>
      <c r="AK174" s="1537"/>
      <c r="AL174" s="1534"/>
      <c r="AM174" s="1537"/>
      <c r="AN174" s="1537"/>
      <c r="AO174" s="1537"/>
      <c r="AP174" s="1537"/>
      <c r="AQ174" s="1537"/>
      <c r="AR174" s="1534"/>
      <c r="AS174" s="1537"/>
      <c r="AT174" s="1537"/>
      <c r="AU174" s="1537"/>
      <c r="AV174" s="1537"/>
      <c r="AW174" s="1537"/>
      <c r="AX174" s="1534"/>
      <c r="AY174" s="1537"/>
      <c r="AZ174" s="1537"/>
      <c r="BA174" s="1537"/>
      <c r="BB174" s="1537"/>
      <c r="BC174" s="1537"/>
      <c r="BD174" s="1534"/>
      <c r="BE174" s="1537"/>
      <c r="BF174" s="1537"/>
      <c r="BG174" s="1537"/>
      <c r="BH174" s="1537"/>
      <c r="BI174" s="1537"/>
      <c r="BJ174" s="1534"/>
      <c r="BK174" s="1537"/>
      <c r="BL174" s="1537"/>
      <c r="BM174" s="1537"/>
      <c r="BN174" s="1537"/>
      <c r="BO174" s="1537"/>
      <c r="BP174" s="1534"/>
      <c r="BQ174" s="1537"/>
      <c r="BR174" s="1537"/>
      <c r="BS174" s="1537"/>
      <c r="BT174" s="1537"/>
      <c r="BU174" s="1537"/>
      <c r="BV174" s="1534"/>
      <c r="BW174" s="1537"/>
      <c r="BX174" s="1537"/>
      <c r="BY174" s="1537"/>
      <c r="BZ174" s="1537"/>
      <c r="CA174" s="1537"/>
      <c r="CB174" s="1534"/>
      <c r="CC174" s="1537"/>
      <c r="CD174" s="1537"/>
      <c r="CE174" s="1537"/>
      <c r="CF174" s="1537"/>
      <c r="CG174" s="1537"/>
      <c r="CH174" s="1537"/>
      <c r="CK174"/>
      <c r="CL174"/>
      <c r="CM174"/>
      <c r="CN174"/>
      <c r="CO174"/>
      <c r="CP174"/>
    </row>
    <row r="175" spans="1:94" s="1516" customFormat="1" ht="11.25" customHeight="1" x14ac:dyDescent="0.2">
      <c r="A175" s="1457"/>
      <c r="B175" s="1457" t="s">
        <v>438</v>
      </c>
      <c r="C175" s="1537">
        <f>+C48</f>
        <v>0.23499999999999999</v>
      </c>
      <c r="D175" s="1537">
        <f t="shared" ref="D175:G175" si="149">+D48</f>
        <v>0.249</v>
      </c>
      <c r="E175" s="1537">
        <f t="shared" si="149"/>
        <v>0.28000000000000003</v>
      </c>
      <c r="F175" s="1537">
        <f t="shared" si="149"/>
        <v>0.29599999999999999</v>
      </c>
      <c r="G175" s="1537">
        <f t="shared" si="149"/>
        <v>0.29599999999999999</v>
      </c>
      <c r="H175" s="1534"/>
      <c r="I175" s="1537">
        <f>+I48</f>
        <v>0.30399999999999999</v>
      </c>
      <c r="J175" s="1537">
        <f t="shared" ref="J175:M175" si="150">+J48</f>
        <v>0.33700000000000002</v>
      </c>
      <c r="K175" s="1537">
        <f t="shared" si="150"/>
        <v>0.35499999999999998</v>
      </c>
      <c r="L175" s="1537">
        <f t="shared" si="150"/>
        <v>71.691000000000003</v>
      </c>
      <c r="M175" s="1537">
        <f t="shared" si="150"/>
        <v>71.691000000000003</v>
      </c>
      <c r="N175" s="1534"/>
      <c r="O175" s="1537">
        <f t="shared" ref="O175:S175" si="151">+O48</f>
        <v>65.450999999999993</v>
      </c>
      <c r="P175" s="1537">
        <f t="shared" si="151"/>
        <v>71.504000000000005</v>
      </c>
      <c r="Q175" s="1537">
        <f t="shared" si="151"/>
        <v>75.195999999999998</v>
      </c>
      <c r="R175" s="1537">
        <f t="shared" si="151"/>
        <v>74.852999999999994</v>
      </c>
      <c r="S175" s="1537">
        <f t="shared" si="151"/>
        <v>74.852999999999994</v>
      </c>
      <c r="T175" s="1534"/>
      <c r="U175" s="1537">
        <f t="shared" ref="U175:Y175" si="152">+U48</f>
        <v>71.430000000000007</v>
      </c>
      <c r="V175" s="1537">
        <f t="shared" si="152"/>
        <v>65.695999999999998</v>
      </c>
      <c r="W175" s="1537">
        <f t="shared" si="152"/>
        <v>73.075000000000003</v>
      </c>
      <c r="X175" s="1537">
        <f t="shared" si="152"/>
        <v>70.525999999999996</v>
      </c>
      <c r="Y175" s="1537">
        <f t="shared" si="152"/>
        <v>70.525999999999996</v>
      </c>
      <c r="Z175" s="1534"/>
      <c r="AA175" s="1537">
        <f t="shared" ref="AA175:AE175" si="153">+AA48</f>
        <v>37.161000000000001</v>
      </c>
      <c r="AB175" s="1537">
        <f t="shared" si="153"/>
        <v>39.003</v>
      </c>
      <c r="AC175" s="1537">
        <f t="shared" si="153"/>
        <v>36.722000000000001</v>
      </c>
      <c r="AD175" s="1537">
        <f t="shared" si="153"/>
        <v>36.073999999999998</v>
      </c>
      <c r="AE175" s="1537">
        <f t="shared" si="153"/>
        <v>36.073999999999998</v>
      </c>
      <c r="AF175" s="1534"/>
      <c r="AG175" s="1537">
        <f t="shared" ref="AG175:AK175" si="154">+AG48</f>
        <v>38.357999999999997</v>
      </c>
      <c r="AH175" s="1537">
        <f t="shared" si="154"/>
        <v>37.43</v>
      </c>
      <c r="AI175" s="1537">
        <f t="shared" si="154"/>
        <v>38.795999999999999</v>
      </c>
      <c r="AJ175" s="1537">
        <f t="shared" si="154"/>
        <v>40.744999999999997</v>
      </c>
      <c r="AK175" s="1537">
        <f t="shared" si="154"/>
        <v>40.744999999999997</v>
      </c>
      <c r="AL175" s="1534"/>
      <c r="AM175" s="1537">
        <f t="shared" ref="AM175:AQ175" si="155">+AM48</f>
        <v>35.892000000000003</v>
      </c>
      <c r="AN175" s="1537">
        <f t="shared" si="155"/>
        <v>37.911000000000001</v>
      </c>
      <c r="AO175" s="1537">
        <f t="shared" si="155"/>
        <v>40.576999999999998</v>
      </c>
      <c r="AP175" s="1537">
        <f t="shared" si="155"/>
        <v>42.920999999999999</v>
      </c>
      <c r="AQ175" s="1537">
        <f t="shared" si="155"/>
        <v>42.920999999999999</v>
      </c>
      <c r="AR175" s="1534"/>
      <c r="AS175" s="1537">
        <f t="shared" ref="AS175:AW175" si="156">+AS48</f>
        <v>1.5649999999999999</v>
      </c>
      <c r="AT175" s="1537">
        <f t="shared" si="156"/>
        <v>1.3109999999999999</v>
      </c>
      <c r="AU175" s="1537">
        <f t="shared" si="156"/>
        <v>1.1359999999999999</v>
      </c>
      <c r="AV175" s="1537">
        <f t="shared" si="156"/>
        <v>0.91900000000000004</v>
      </c>
      <c r="AW175" s="1537">
        <f t="shared" si="156"/>
        <v>0.91900000000000004</v>
      </c>
      <c r="AX175" s="1534"/>
      <c r="AY175" s="1537">
        <f t="shared" ref="AY175:BC175" si="157">+AY48</f>
        <v>1.4590000000000001</v>
      </c>
      <c r="AZ175" s="1537">
        <f t="shared" si="157"/>
        <v>1.419</v>
      </c>
      <c r="BA175" s="1537">
        <f t="shared" si="157"/>
        <v>1.4</v>
      </c>
      <c r="BB175" s="1537">
        <f t="shared" si="157"/>
        <v>1.4</v>
      </c>
      <c r="BC175" s="1537">
        <f t="shared" si="157"/>
        <v>1.4</v>
      </c>
      <c r="BD175" s="1534"/>
      <c r="BE175" s="1537">
        <f t="shared" ref="BE175:BI175" si="158">+BE48</f>
        <v>3.6</v>
      </c>
      <c r="BF175" s="1537">
        <f t="shared" si="158"/>
        <v>4.0999999999999996</v>
      </c>
      <c r="BG175" s="1537">
        <f t="shared" si="158"/>
        <v>13</v>
      </c>
      <c r="BH175" s="1537">
        <f t="shared" si="158"/>
        <v>11.6</v>
      </c>
      <c r="BI175" s="1537">
        <f t="shared" si="158"/>
        <v>11.6</v>
      </c>
      <c r="BJ175" s="1534"/>
      <c r="BK175" s="1537">
        <f t="shared" ref="BK175:BO175" si="159">+BK48</f>
        <v>11.4</v>
      </c>
      <c r="BL175" s="1537">
        <f t="shared" si="159"/>
        <v>11.7</v>
      </c>
      <c r="BM175" s="1537">
        <f t="shared" si="159"/>
        <v>12</v>
      </c>
      <c r="BN175" s="1537">
        <f t="shared" si="159"/>
        <v>11.6</v>
      </c>
      <c r="BO175" s="1537">
        <f t="shared" si="159"/>
        <v>11.6</v>
      </c>
      <c r="BP175" s="1534"/>
      <c r="BQ175" s="1537">
        <f t="shared" ref="BQ175:BU175" si="160">+BQ48</f>
        <v>11.6</v>
      </c>
      <c r="BR175" s="1537">
        <f t="shared" si="160"/>
        <v>11.6</v>
      </c>
      <c r="BS175" s="1537">
        <f t="shared" si="160"/>
        <v>11.6</v>
      </c>
      <c r="BT175" s="1537">
        <f t="shared" si="160"/>
        <v>11.6</v>
      </c>
      <c r="BU175" s="1537">
        <f t="shared" si="160"/>
        <v>11.6</v>
      </c>
      <c r="BV175" s="1534"/>
      <c r="BW175" s="1537">
        <f t="shared" ref="BW175:CA175" si="161">+BW48</f>
        <v>11.6</v>
      </c>
      <c r="BX175" s="1537">
        <f t="shared" si="161"/>
        <v>11.6</v>
      </c>
      <c r="BY175" s="1537">
        <f t="shared" si="161"/>
        <v>11.6</v>
      </c>
      <c r="BZ175" s="1537">
        <f t="shared" si="161"/>
        <v>11.6</v>
      </c>
      <c r="CA175" s="1537">
        <f t="shared" si="161"/>
        <v>11.6</v>
      </c>
      <c r="CB175" s="1534"/>
      <c r="CC175" s="1537">
        <f t="shared" ref="CC175:CG175" si="162">+CC48</f>
        <v>11.6</v>
      </c>
      <c r="CD175" s="1537">
        <f t="shared" si="162"/>
        <v>11.6</v>
      </c>
      <c r="CE175" s="1537">
        <f t="shared" si="162"/>
        <v>11.6</v>
      </c>
      <c r="CF175" s="1537">
        <f t="shared" si="162"/>
        <v>11.6</v>
      </c>
      <c r="CG175" s="1537">
        <f t="shared" si="162"/>
        <v>11.6</v>
      </c>
      <c r="CH175" s="1537"/>
      <c r="CK175"/>
      <c r="CL175"/>
      <c r="CM175"/>
      <c r="CN175"/>
      <c r="CO175"/>
      <c r="CP175"/>
    </row>
    <row r="176" spans="1:94" ht="11.25" customHeight="1" x14ac:dyDescent="0.2">
      <c r="A176" s="1457"/>
      <c r="B176" s="1457" t="s">
        <v>738</v>
      </c>
      <c r="C176" s="1537">
        <f>+C40</f>
        <v>0</v>
      </c>
      <c r="D176" s="1537">
        <f t="shared" ref="D176:G176" si="163">+D40</f>
        <v>0</v>
      </c>
      <c r="E176" s="1537">
        <f t="shared" si="163"/>
        <v>0</v>
      </c>
      <c r="F176" s="1537">
        <f t="shared" si="163"/>
        <v>0</v>
      </c>
      <c r="G176" s="1537">
        <f t="shared" si="163"/>
        <v>0</v>
      </c>
      <c r="H176" s="1534"/>
      <c r="I176" s="1537">
        <f>+I40</f>
        <v>0</v>
      </c>
      <c r="J176" s="1537">
        <f t="shared" ref="J176:M176" si="164">+J40</f>
        <v>0</v>
      </c>
      <c r="K176" s="1537">
        <f t="shared" si="164"/>
        <v>0</v>
      </c>
      <c r="L176" s="1537">
        <f t="shared" si="164"/>
        <v>0</v>
      </c>
      <c r="M176" s="1537">
        <f t="shared" si="164"/>
        <v>0</v>
      </c>
      <c r="N176" s="1534"/>
      <c r="O176" s="1537">
        <f t="shared" ref="O176:S176" si="165">+O40</f>
        <v>0</v>
      </c>
      <c r="P176" s="1537">
        <f t="shared" si="165"/>
        <v>0</v>
      </c>
      <c r="Q176" s="1537">
        <f t="shared" si="165"/>
        <v>0</v>
      </c>
      <c r="R176" s="1537">
        <f t="shared" si="165"/>
        <v>0</v>
      </c>
      <c r="S176" s="1537">
        <f t="shared" si="165"/>
        <v>0</v>
      </c>
      <c r="T176" s="1534"/>
      <c r="U176" s="1537">
        <f t="shared" ref="U176:Y176" si="166">+U40</f>
        <v>0</v>
      </c>
      <c r="V176" s="1537">
        <f t="shared" si="166"/>
        <v>0</v>
      </c>
      <c r="W176" s="1537">
        <f t="shared" si="166"/>
        <v>0</v>
      </c>
      <c r="X176" s="1537">
        <f t="shared" si="166"/>
        <v>0</v>
      </c>
      <c r="Y176" s="1537">
        <f t="shared" si="166"/>
        <v>0</v>
      </c>
      <c r="Z176" s="1534"/>
      <c r="AA176" s="1537">
        <f t="shared" ref="AA176:AE176" si="167">+AA40</f>
        <v>0</v>
      </c>
      <c r="AB176" s="1537">
        <f t="shared" si="167"/>
        <v>0</v>
      </c>
      <c r="AC176" s="1537">
        <f t="shared" si="167"/>
        <v>0</v>
      </c>
      <c r="AD176" s="1537">
        <f t="shared" si="167"/>
        <v>0</v>
      </c>
      <c r="AE176" s="1537">
        <f t="shared" si="167"/>
        <v>0</v>
      </c>
      <c r="AF176" s="1534"/>
      <c r="AG176" s="1537">
        <f t="shared" ref="AG176:AK176" si="168">+AG40</f>
        <v>0</v>
      </c>
      <c r="AH176" s="1537">
        <f t="shared" si="168"/>
        <v>0</v>
      </c>
      <c r="AI176" s="1537">
        <f t="shared" si="168"/>
        <v>0</v>
      </c>
      <c r="AJ176" s="1537">
        <f t="shared" si="168"/>
        <v>0</v>
      </c>
      <c r="AK176" s="1537">
        <f t="shared" si="168"/>
        <v>0</v>
      </c>
      <c r="AL176" s="1534"/>
      <c r="AM176" s="1537">
        <f t="shared" ref="AM176:AQ176" si="169">+AM40</f>
        <v>0</v>
      </c>
      <c r="AN176" s="1537">
        <f t="shared" si="169"/>
        <v>0</v>
      </c>
      <c r="AO176" s="1537">
        <f t="shared" si="169"/>
        <v>0</v>
      </c>
      <c r="AP176" s="1537">
        <f t="shared" si="169"/>
        <v>0</v>
      </c>
      <c r="AQ176" s="1537">
        <f t="shared" si="169"/>
        <v>0</v>
      </c>
      <c r="AR176" s="1534"/>
      <c r="AS176" s="1537">
        <f t="shared" ref="AS176:AW176" si="170">+AS40</f>
        <v>0</v>
      </c>
      <c r="AT176" s="1537">
        <f t="shared" si="170"/>
        <v>0</v>
      </c>
      <c r="AU176" s="1537">
        <f t="shared" si="170"/>
        <v>0</v>
      </c>
      <c r="AV176" s="1537">
        <f t="shared" si="170"/>
        <v>0</v>
      </c>
      <c r="AW176" s="1537">
        <f t="shared" si="170"/>
        <v>0</v>
      </c>
      <c r="AX176" s="1534"/>
      <c r="AY176" s="1537">
        <f t="shared" ref="AY176:BC176" si="171">+AY40</f>
        <v>0</v>
      </c>
      <c r="AZ176" s="1537">
        <f t="shared" si="171"/>
        <v>0</v>
      </c>
      <c r="BA176" s="1537">
        <f t="shared" si="171"/>
        <v>0</v>
      </c>
      <c r="BB176" s="1537">
        <f t="shared" si="171"/>
        <v>0</v>
      </c>
      <c r="BC176" s="1537">
        <f t="shared" si="171"/>
        <v>0</v>
      </c>
      <c r="BD176" s="1534"/>
      <c r="BE176" s="1537">
        <f t="shared" ref="BE176:BI176" si="172">+BE40</f>
        <v>0</v>
      </c>
      <c r="BF176" s="1537">
        <f t="shared" si="172"/>
        <v>0</v>
      </c>
      <c r="BG176" s="1537">
        <f t="shared" si="172"/>
        <v>0</v>
      </c>
      <c r="BH176" s="1537">
        <f t="shared" si="172"/>
        <v>0</v>
      </c>
      <c r="BI176" s="1537">
        <f t="shared" si="172"/>
        <v>0</v>
      </c>
      <c r="BJ176" s="1534"/>
      <c r="BK176" s="1537">
        <f t="shared" ref="BK176:BO176" si="173">+BK40</f>
        <v>0</v>
      </c>
      <c r="BL176" s="1537">
        <f t="shared" si="173"/>
        <v>0</v>
      </c>
      <c r="BM176" s="1537">
        <f t="shared" si="173"/>
        <v>0</v>
      </c>
      <c r="BN176" s="1537">
        <f t="shared" si="173"/>
        <v>0</v>
      </c>
      <c r="BO176" s="1537">
        <f t="shared" si="173"/>
        <v>0</v>
      </c>
      <c r="BP176" s="1534"/>
      <c r="BQ176" s="1537">
        <f t="shared" ref="BQ176:BU176" si="174">+BQ40</f>
        <v>0</v>
      </c>
      <c r="BR176" s="1537">
        <f t="shared" si="174"/>
        <v>0</v>
      </c>
      <c r="BS176" s="1537">
        <f t="shared" si="174"/>
        <v>0</v>
      </c>
      <c r="BT176" s="1537">
        <f t="shared" si="174"/>
        <v>0</v>
      </c>
      <c r="BU176" s="1537">
        <f t="shared" si="174"/>
        <v>0</v>
      </c>
      <c r="BV176" s="1534"/>
      <c r="BW176" s="1537">
        <f t="shared" ref="BW176:CA176" si="175">+BW40</f>
        <v>0</v>
      </c>
      <c r="BX176" s="1537">
        <f t="shared" si="175"/>
        <v>0</v>
      </c>
      <c r="BY176" s="1537">
        <f t="shared" si="175"/>
        <v>0</v>
      </c>
      <c r="BZ176" s="1537">
        <f t="shared" si="175"/>
        <v>0</v>
      </c>
      <c r="CA176" s="1537">
        <f t="shared" si="175"/>
        <v>0</v>
      </c>
      <c r="CB176" s="1534"/>
      <c r="CC176" s="1537">
        <f t="shared" ref="CC176:CG176" si="176">+CC40</f>
        <v>0</v>
      </c>
      <c r="CD176" s="1537">
        <f t="shared" si="176"/>
        <v>0</v>
      </c>
      <c r="CE176" s="1537">
        <f t="shared" si="176"/>
        <v>0</v>
      </c>
      <c r="CF176" s="1537">
        <f t="shared" si="176"/>
        <v>0</v>
      </c>
      <c r="CG176" s="1537">
        <f t="shared" si="176"/>
        <v>0</v>
      </c>
      <c r="CH176" s="1537"/>
    </row>
    <row r="177" spans="1:86" ht="11.25" customHeight="1" x14ac:dyDescent="0.2">
      <c r="A177" s="1457"/>
      <c r="B177" s="1457" t="s">
        <v>739</v>
      </c>
      <c r="C177" s="1537">
        <f>+C46-C40</f>
        <v>1338.029</v>
      </c>
      <c r="D177" s="1537">
        <f t="shared" ref="D177:G177" si="177">+D46-D40</f>
        <v>1398.4860000000001</v>
      </c>
      <c r="E177" s="1537">
        <f t="shared" si="177"/>
        <v>1453.635</v>
      </c>
      <c r="F177" s="1537">
        <f t="shared" si="177"/>
        <v>1516.106</v>
      </c>
      <c r="G177" s="1537">
        <f t="shared" si="177"/>
        <v>1516.106</v>
      </c>
      <c r="H177" s="1534"/>
      <c r="I177" s="1537">
        <f>+I46-I40</f>
        <v>1519.9409999999996</v>
      </c>
      <c r="J177" s="1537">
        <f t="shared" ref="J177:M177" si="178">+J46-J40</f>
        <v>1609.19</v>
      </c>
      <c r="K177" s="1537">
        <f t="shared" si="178"/>
        <v>1586.4190000000003</v>
      </c>
      <c r="L177" s="1537">
        <f t="shared" si="178"/>
        <v>1587.7219999999998</v>
      </c>
      <c r="M177" s="1537">
        <f t="shared" si="178"/>
        <v>1587.7219999999998</v>
      </c>
      <c r="N177" s="1534"/>
      <c r="O177" s="1537">
        <f t="shared" ref="O177:S177" si="179">+O46-O40</f>
        <v>1614.1460000000002</v>
      </c>
      <c r="P177" s="1537">
        <f t="shared" si="179"/>
        <v>1732.6180000000004</v>
      </c>
      <c r="Q177" s="1537">
        <f t="shared" si="179"/>
        <v>1827.2550000000003</v>
      </c>
      <c r="R177" s="1537">
        <f t="shared" si="179"/>
        <v>1832.1049999999998</v>
      </c>
      <c r="S177" s="1537">
        <f t="shared" si="179"/>
        <v>1832.1049999999998</v>
      </c>
      <c r="T177" s="1534"/>
      <c r="U177" s="1537">
        <f t="shared" ref="U177:Y177" si="180">+U46-U40</f>
        <v>1811.1880000000006</v>
      </c>
      <c r="V177" s="1537">
        <f t="shared" si="180"/>
        <v>1675.7139999999999</v>
      </c>
      <c r="W177" s="1537">
        <f t="shared" si="180"/>
        <v>1803.4810000000002</v>
      </c>
      <c r="X177" s="1537">
        <f t="shared" si="180"/>
        <v>1839.386</v>
      </c>
      <c r="Y177" s="1537">
        <f t="shared" si="180"/>
        <v>1839.386</v>
      </c>
      <c r="Z177" s="1534"/>
      <c r="AA177" s="1537">
        <f t="shared" ref="AA177:AE177" si="181">+AA46-AA40</f>
        <v>1945.3379999999993</v>
      </c>
      <c r="AB177" s="1537">
        <f t="shared" si="181"/>
        <v>2042.23</v>
      </c>
      <c r="AC177" s="1537">
        <f t="shared" si="181"/>
        <v>1853.692</v>
      </c>
      <c r="AD177" s="1537">
        <f t="shared" si="181"/>
        <v>1848.0770000000002</v>
      </c>
      <c r="AE177" s="1537">
        <f t="shared" si="181"/>
        <v>1848.0770000000002</v>
      </c>
      <c r="AF177" s="1534"/>
      <c r="AG177" s="1537">
        <f t="shared" ref="AG177:AK177" si="182">+AG46-AG40</f>
        <v>2008.6170000000002</v>
      </c>
      <c r="AH177" s="1537">
        <f t="shared" si="182"/>
        <v>1951.5689999999995</v>
      </c>
      <c r="AI177" s="1537">
        <f t="shared" si="182"/>
        <v>2122.0709999999999</v>
      </c>
      <c r="AJ177" s="1537">
        <f t="shared" si="182"/>
        <v>2208.6979999999999</v>
      </c>
      <c r="AK177" s="1537">
        <f t="shared" si="182"/>
        <v>2208.6979999999999</v>
      </c>
      <c r="AL177" s="1534"/>
      <c r="AM177" s="1537">
        <f t="shared" ref="AM177:AQ177" si="183">+AM46-AM40</f>
        <v>2233.502</v>
      </c>
      <c r="AN177" s="1537">
        <f t="shared" si="183"/>
        <v>2250.1849999999999</v>
      </c>
      <c r="AO177" s="1537">
        <f t="shared" si="183"/>
        <v>2438.4409999999998</v>
      </c>
      <c r="AP177" s="1537">
        <f t="shared" si="183"/>
        <v>2535.0530000000003</v>
      </c>
      <c r="AQ177" s="1537">
        <f t="shared" si="183"/>
        <v>2535.0530000000003</v>
      </c>
      <c r="AR177" s="1534"/>
      <c r="AS177" s="1537">
        <f t="shared" ref="AS177:AW177" si="184">+AS46-AS40</f>
        <v>2523.0329999999999</v>
      </c>
      <c r="AT177" s="1537">
        <f t="shared" si="184"/>
        <v>2583.4630000000002</v>
      </c>
      <c r="AU177" s="1537">
        <f t="shared" si="184"/>
        <v>2495.1080000000002</v>
      </c>
      <c r="AV177" s="1537">
        <f t="shared" si="184"/>
        <v>2321.279</v>
      </c>
      <c r="AW177" s="1537">
        <f t="shared" si="184"/>
        <v>2321.279</v>
      </c>
      <c r="AX177" s="1534"/>
      <c r="AY177" s="1537">
        <f t="shared" ref="AY177:BC177" si="185">+AY46-AY40</f>
        <v>2172.7930000000001</v>
      </c>
      <c r="AZ177" s="1537">
        <f t="shared" si="185"/>
        <v>2314.8700000000003</v>
      </c>
      <c r="BA177" s="1537">
        <f t="shared" si="185"/>
        <v>2280.0999999999995</v>
      </c>
      <c r="BB177" s="1537">
        <f t="shared" si="185"/>
        <v>2338</v>
      </c>
      <c r="BC177" s="1537">
        <f t="shared" si="185"/>
        <v>2338</v>
      </c>
      <c r="BD177" s="1534"/>
      <c r="BE177" s="1537">
        <f t="shared" ref="BE177:BI177" si="186">+BE46-BE40</f>
        <v>8381.7999999999993</v>
      </c>
      <c r="BF177" s="1537">
        <f t="shared" si="186"/>
        <v>8311.5</v>
      </c>
      <c r="BG177" s="1537">
        <f t="shared" si="186"/>
        <v>8344.1000000000022</v>
      </c>
      <c r="BH177" s="1537">
        <f t="shared" si="186"/>
        <v>8114.2999999999984</v>
      </c>
      <c r="BI177" s="1537">
        <f t="shared" si="186"/>
        <v>8114.2999999999984</v>
      </c>
      <c r="BJ177" s="1534"/>
      <c r="BK177" s="1537">
        <f t="shared" ref="BK177:BO177" si="187">+BK46-BK40</f>
        <v>8152.2000000000007</v>
      </c>
      <c r="BL177" s="1537">
        <f t="shared" si="187"/>
        <v>7262.5</v>
      </c>
      <c r="BM177" s="1537">
        <f t="shared" si="187"/>
        <v>7477.7999999999993</v>
      </c>
      <c r="BN177" s="1537">
        <f t="shared" si="187"/>
        <v>6616.3000000000011</v>
      </c>
      <c r="BO177" s="1537">
        <f t="shared" si="187"/>
        <v>6616.3000000000011</v>
      </c>
      <c r="BP177" s="1534"/>
      <c r="BQ177" s="1537">
        <f t="shared" ref="BQ177:BU177" si="188">+BQ46-BQ40</f>
        <v>6557.5357090350735</v>
      </c>
      <c r="BR177" s="1537">
        <f t="shared" si="188"/>
        <v>6530.1745332754726</v>
      </c>
      <c r="BS177" s="1537">
        <f t="shared" si="188"/>
        <v>6507.5562967143178</v>
      </c>
      <c r="BT177" s="1537">
        <f t="shared" si="188"/>
        <v>6540.7941689732743</v>
      </c>
      <c r="BU177" s="1537">
        <f t="shared" si="188"/>
        <v>6540.7941689732743</v>
      </c>
      <c r="BV177" s="1534"/>
      <c r="BW177" s="1537">
        <f t="shared" ref="BW177:CA177" si="189">+BW46-BW40</f>
        <v>6504.3775391753588</v>
      </c>
      <c r="BX177" s="1537">
        <f t="shared" si="189"/>
        <v>6487.9945144440298</v>
      </c>
      <c r="BY177" s="1537">
        <f t="shared" si="189"/>
        <v>6454.1056404013234</v>
      </c>
      <c r="BZ177" s="1537">
        <f t="shared" si="189"/>
        <v>6465.5430807654593</v>
      </c>
      <c r="CA177" s="1537">
        <f t="shared" si="189"/>
        <v>6465.5430807654593</v>
      </c>
      <c r="CB177" s="1534"/>
      <c r="CC177" s="1537">
        <f t="shared" ref="CC177:CG177" si="190">+CC46-CC40</f>
        <v>6448.3261939083786</v>
      </c>
      <c r="CD177" s="1537">
        <f t="shared" si="190"/>
        <v>6454.1253862118938</v>
      </c>
      <c r="CE177" s="1537">
        <f t="shared" si="190"/>
        <v>6443.4689695969773</v>
      </c>
      <c r="CF177" s="1537">
        <f t="shared" si="190"/>
        <v>6477.9436921799006</v>
      </c>
      <c r="CG177" s="1537">
        <f t="shared" si="190"/>
        <v>6477.9436921799006</v>
      </c>
      <c r="CH177" s="1537"/>
    </row>
    <row r="178" spans="1:86" ht="11.25" customHeight="1" x14ac:dyDescent="0.2">
      <c r="A178" s="1538"/>
      <c r="B178" s="1538" t="s">
        <v>740</v>
      </c>
      <c r="C178" s="1537"/>
      <c r="D178" s="1537"/>
      <c r="E178" s="1537"/>
      <c r="F178" s="1537"/>
      <c r="G178" s="1537"/>
      <c r="H178" s="1534"/>
      <c r="I178" s="1537"/>
      <c r="J178" s="1537"/>
      <c r="K178" s="1537"/>
      <c r="L178" s="1537"/>
      <c r="M178" s="1537"/>
      <c r="N178" s="1534"/>
      <c r="O178" s="1537"/>
      <c r="P178" s="1537"/>
      <c r="Q178" s="1537"/>
      <c r="R178" s="1537"/>
      <c r="S178" s="1537"/>
      <c r="T178" s="1534"/>
      <c r="U178" s="1537"/>
      <c r="V178" s="1537"/>
      <c r="W178" s="1537"/>
      <c r="X178" s="1537"/>
      <c r="Y178" s="1537"/>
      <c r="Z178" s="1534"/>
      <c r="AA178" s="1537"/>
      <c r="AB178" s="1537"/>
      <c r="AC178" s="1537"/>
      <c r="AD178" s="1537"/>
      <c r="AE178" s="1537"/>
      <c r="AF178" s="1534"/>
      <c r="AG178" s="1537"/>
      <c r="AH178" s="1537"/>
      <c r="AI178" s="1537"/>
      <c r="AJ178" s="1537"/>
      <c r="AK178" s="1537"/>
      <c r="AL178" s="1534"/>
      <c r="AM178" s="1537"/>
      <c r="AN178" s="1537"/>
      <c r="AO178" s="1537"/>
      <c r="AP178" s="1537"/>
      <c r="AQ178" s="1537"/>
      <c r="AR178" s="1534"/>
      <c r="AS178" s="1537"/>
      <c r="AT178" s="1537"/>
      <c r="AU178" s="1537"/>
      <c r="AV178" s="1537"/>
      <c r="AW178" s="1537"/>
      <c r="AX178" s="1534"/>
      <c r="AY178" s="1537"/>
      <c r="AZ178" s="1537"/>
      <c r="BA178" s="1537"/>
      <c r="BB178" s="1537"/>
      <c r="BC178" s="1537"/>
      <c r="BD178" s="1534"/>
      <c r="BE178" s="1537"/>
      <c r="BF178" s="1537"/>
      <c r="BG178" s="1537"/>
      <c r="BH178" s="1537"/>
      <c r="BI178" s="1537"/>
      <c r="BJ178" s="1534"/>
      <c r="BK178" s="1537"/>
      <c r="BL178" s="1537"/>
      <c r="BM178" s="1537"/>
      <c r="BN178" s="1537"/>
      <c r="BO178" s="1537"/>
      <c r="BP178" s="1534"/>
      <c r="BQ178" s="1537"/>
      <c r="BR178" s="1537"/>
      <c r="BS178" s="1537"/>
      <c r="BT178" s="1537"/>
      <c r="BU178" s="1537"/>
      <c r="BV178" s="1534"/>
      <c r="BW178" s="1537"/>
      <c r="BX178" s="1537"/>
      <c r="BY178" s="1537"/>
      <c r="BZ178" s="1537"/>
      <c r="CA178" s="1537"/>
      <c r="CB178" s="1534"/>
      <c r="CC178" s="1537"/>
      <c r="CD178" s="1537"/>
      <c r="CE178" s="1537"/>
      <c r="CF178" s="1537"/>
      <c r="CG178" s="1537"/>
      <c r="CH178" s="1537"/>
    </row>
    <row r="179" spans="1:86" ht="11.25" customHeight="1" x14ac:dyDescent="0.2">
      <c r="A179" s="1460"/>
      <c r="B179" s="1460" t="s">
        <v>741</v>
      </c>
      <c r="C179" s="1537"/>
      <c r="D179" s="1537"/>
      <c r="E179" s="1537"/>
      <c r="F179" s="1537"/>
      <c r="G179" s="1537"/>
      <c r="H179" s="1534"/>
      <c r="I179" s="1537"/>
      <c r="J179" s="1537"/>
      <c r="K179" s="1537"/>
      <c r="L179" s="1537"/>
      <c r="M179" s="1537"/>
      <c r="N179" s="1534"/>
      <c r="O179" s="1537"/>
      <c r="P179" s="1537"/>
      <c r="Q179" s="1537"/>
      <c r="R179" s="1537"/>
      <c r="S179" s="1537"/>
      <c r="T179" s="1534"/>
      <c r="U179" s="1537"/>
      <c r="V179" s="1537"/>
      <c r="W179" s="1537"/>
      <c r="X179" s="1537"/>
      <c r="Y179" s="1537"/>
      <c r="Z179" s="1534"/>
      <c r="AA179" s="1537"/>
      <c r="AB179" s="1537"/>
      <c r="AC179" s="1537"/>
      <c r="AD179" s="1537"/>
      <c r="AE179" s="1537"/>
      <c r="AF179" s="1534"/>
      <c r="AG179" s="1537"/>
      <c r="AH179" s="1537"/>
      <c r="AI179" s="1537"/>
      <c r="AJ179" s="1537"/>
      <c r="AK179" s="1537"/>
      <c r="AL179" s="1534"/>
      <c r="AM179" s="1537"/>
      <c r="AN179" s="1537"/>
      <c r="AO179" s="1537"/>
      <c r="AP179" s="1537"/>
      <c r="AQ179" s="1537"/>
      <c r="AR179" s="1534"/>
      <c r="AS179" s="1537"/>
      <c r="AT179" s="1537"/>
      <c r="AU179" s="1537"/>
      <c r="AV179" s="1537"/>
      <c r="AW179" s="1537"/>
      <c r="AX179" s="1534"/>
      <c r="AY179" s="1537"/>
      <c r="AZ179" s="1537"/>
      <c r="BA179" s="1537"/>
      <c r="BB179" s="1537"/>
      <c r="BC179" s="1537"/>
      <c r="BD179" s="1534"/>
      <c r="BE179" s="1537"/>
      <c r="BF179" s="1537"/>
      <c r="BG179" s="1537"/>
      <c r="BH179" s="1537"/>
      <c r="BI179" s="1537"/>
      <c r="BJ179" s="1534"/>
      <c r="BK179" s="1537"/>
      <c r="BL179" s="1537"/>
      <c r="BM179" s="1537"/>
      <c r="BN179" s="1537"/>
      <c r="BO179" s="1537"/>
      <c r="BP179" s="1534"/>
      <c r="BQ179" s="1537"/>
      <c r="BR179" s="1537"/>
      <c r="BS179" s="1537"/>
      <c r="BT179" s="1537"/>
      <c r="BU179" s="1537"/>
      <c r="BV179" s="1534"/>
      <c r="BW179" s="1537"/>
      <c r="BX179" s="1537"/>
      <c r="BY179" s="1537"/>
      <c r="BZ179" s="1537"/>
      <c r="CA179" s="1537"/>
      <c r="CB179" s="1534"/>
      <c r="CC179" s="1537"/>
      <c r="CD179" s="1537"/>
      <c r="CE179" s="1537"/>
      <c r="CF179" s="1537"/>
      <c r="CG179" s="1537"/>
      <c r="CH179" s="1537"/>
    </row>
    <row r="180" spans="1:86" ht="11.25" customHeight="1" x14ac:dyDescent="0.2">
      <c r="A180" s="1457"/>
      <c r="B180" s="1457" t="s">
        <v>742</v>
      </c>
      <c r="C180" s="1537">
        <f>-C9</f>
        <v>-104.078</v>
      </c>
      <c r="D180" s="1537">
        <f t="shared" ref="D180:G180" si="191">-D9</f>
        <v>-69.433999999999983</v>
      </c>
      <c r="E180" s="1537">
        <f t="shared" si="191"/>
        <v>-141.82099999999994</v>
      </c>
      <c r="F180" s="1537">
        <f t="shared" si="191"/>
        <v>-169.38399999999996</v>
      </c>
      <c r="G180" s="1537">
        <f t="shared" si="191"/>
        <v>-169.38399999999996</v>
      </c>
      <c r="H180" s="1534"/>
      <c r="I180" s="1537">
        <f>-I9</f>
        <v>-90.660000000000011</v>
      </c>
      <c r="J180" s="1537">
        <f t="shared" ref="J180:M180" si="192">-J9</f>
        <v>-113.45400000000004</v>
      </c>
      <c r="K180" s="1537">
        <f t="shared" si="192"/>
        <v>-54.205000000000013</v>
      </c>
      <c r="L180" s="1537">
        <f t="shared" si="192"/>
        <v>-203.99100000000004</v>
      </c>
      <c r="M180" s="1537">
        <f t="shared" si="192"/>
        <v>-203.99100000000004</v>
      </c>
      <c r="N180" s="1534"/>
      <c r="O180" s="1537">
        <f t="shared" ref="O180:S180" si="193">-O9</f>
        <v>-226.29899999999995</v>
      </c>
      <c r="P180" s="1537">
        <f t="shared" si="193"/>
        <v>-251.8709999999999</v>
      </c>
      <c r="Q180" s="1537">
        <f t="shared" si="193"/>
        <v>-333.36799999999994</v>
      </c>
      <c r="R180" s="1537">
        <f t="shared" si="193"/>
        <v>-450.3479999999999</v>
      </c>
      <c r="S180" s="1537">
        <f t="shared" si="193"/>
        <v>-450.3479999999999</v>
      </c>
      <c r="T180" s="1534"/>
      <c r="U180" s="1537">
        <f t="shared" ref="U180:Y180" si="194">-U9</f>
        <v>-405.01699999999994</v>
      </c>
      <c r="V180" s="1537">
        <f t="shared" si="194"/>
        <v>-340.34699999999998</v>
      </c>
      <c r="W180" s="1537">
        <f t="shared" si="194"/>
        <v>-534.24299999999994</v>
      </c>
      <c r="X180" s="1537">
        <f t="shared" si="194"/>
        <v>-540.0379999999999</v>
      </c>
      <c r="Y180" s="1537">
        <f t="shared" si="194"/>
        <v>-540.0379999999999</v>
      </c>
      <c r="Z180" s="1534"/>
      <c r="AA180" s="1537">
        <f t="shared" ref="AA180:AE180" si="195">-AA9</f>
        <v>-575.26399999999978</v>
      </c>
      <c r="AB180" s="1537">
        <f t="shared" si="195"/>
        <v>-671.70999999999981</v>
      </c>
      <c r="AC180" s="1537">
        <f t="shared" si="195"/>
        <v>-81.865999999999985</v>
      </c>
      <c r="AD180" s="1537">
        <f t="shared" si="195"/>
        <v>-77.127999999999844</v>
      </c>
      <c r="AE180" s="1537">
        <f t="shared" si="195"/>
        <v>-77.127999999999844</v>
      </c>
      <c r="AF180" s="1534"/>
      <c r="AG180" s="1537">
        <f t="shared" ref="AG180:AK180" si="196">-AG9</f>
        <v>-67.345999999999663</v>
      </c>
      <c r="AH180" s="1537">
        <f t="shared" si="196"/>
        <v>-53.209999999999653</v>
      </c>
      <c r="AI180" s="1537">
        <f t="shared" si="196"/>
        <v>-56.074999999999676</v>
      </c>
      <c r="AJ180" s="1537">
        <f t="shared" si="196"/>
        <v>-80.131999999999579</v>
      </c>
      <c r="AK180" s="1537">
        <f t="shared" si="196"/>
        <v>-80.131999999999579</v>
      </c>
      <c r="AL180" s="1534"/>
      <c r="AM180" s="1537">
        <f t="shared" ref="AM180:AQ180" si="197">-AM9</f>
        <v>-56.202999999999534</v>
      </c>
      <c r="AN180" s="1537">
        <f t="shared" si="197"/>
        <v>-57.026000000000067</v>
      </c>
      <c r="AO180" s="1537">
        <f t="shared" si="197"/>
        <v>-50.657999999999518</v>
      </c>
      <c r="AP180" s="1537">
        <f t="shared" si="197"/>
        <v>-74.953999999999482</v>
      </c>
      <c r="AQ180" s="1537">
        <f t="shared" si="197"/>
        <v>-74.953999999999482</v>
      </c>
      <c r="AR180" s="1534"/>
      <c r="AS180" s="1537">
        <f t="shared" ref="AS180:AW180" si="198">-AS9</f>
        <v>-55.77799999999948</v>
      </c>
      <c r="AT180" s="1537">
        <f t="shared" si="198"/>
        <v>-66.883999999999503</v>
      </c>
      <c r="AU180" s="1537">
        <f t="shared" si="198"/>
        <v>-97.606999999999459</v>
      </c>
      <c r="AV180" s="1537">
        <f t="shared" si="198"/>
        <v>-151.59399999999948</v>
      </c>
      <c r="AW180" s="1537">
        <f t="shared" si="198"/>
        <v>-151.59399999999948</v>
      </c>
      <c r="AX180" s="1534"/>
      <c r="AY180" s="1537">
        <f t="shared" ref="AY180:BC180" si="199">-AY9</f>
        <v>-100.619</v>
      </c>
      <c r="AZ180" s="1537">
        <f t="shared" si="199"/>
        <v>-96.471999999999994</v>
      </c>
      <c r="BA180" s="1537">
        <f t="shared" si="199"/>
        <v>-236.4</v>
      </c>
      <c r="BB180" s="1537">
        <f t="shared" si="199"/>
        <v>-284.60000000000002</v>
      </c>
      <c r="BC180" s="1537">
        <f t="shared" si="199"/>
        <v>-284.60000000000002</v>
      </c>
      <c r="BD180" s="1534"/>
      <c r="BE180" s="1537">
        <f t="shared" ref="BE180:BI180" si="200">-BE9</f>
        <v>-323.10000000000002</v>
      </c>
      <c r="BF180" s="1537">
        <f t="shared" si="200"/>
        <v>-311.60000000000002</v>
      </c>
      <c r="BG180" s="1537">
        <f t="shared" si="200"/>
        <v>-330.7</v>
      </c>
      <c r="BH180" s="1537">
        <f t="shared" si="200"/>
        <v>-383.9</v>
      </c>
      <c r="BI180" s="1537">
        <f t="shared" si="200"/>
        <v>-383.9</v>
      </c>
      <c r="BJ180" s="1534"/>
      <c r="BK180" s="1537">
        <f t="shared" ref="BK180:BO180" si="201">-BK9</f>
        <v>-363.3</v>
      </c>
      <c r="BL180" s="1537">
        <f t="shared" si="201"/>
        <v>-268.39999999999998</v>
      </c>
      <c r="BM180" s="1537">
        <f t="shared" si="201"/>
        <v>-370</v>
      </c>
      <c r="BN180" s="1537">
        <f t="shared" si="201"/>
        <v>-320.60000000000002</v>
      </c>
      <c r="BO180" s="1537">
        <f t="shared" si="201"/>
        <v>-320.60000000000002</v>
      </c>
      <c r="BP180" s="1534"/>
      <c r="BQ180" s="1537">
        <f t="shared" ref="BQ180:BU180" si="202">-BQ9</f>
        <v>-412.04769188686356</v>
      </c>
      <c r="BR180" s="1537">
        <f t="shared" si="202"/>
        <v>-325.62592569670232</v>
      </c>
      <c r="BS180" s="1537">
        <f t="shared" si="202"/>
        <v>-229.98791722566793</v>
      </c>
      <c r="BT180" s="1537">
        <f t="shared" si="202"/>
        <v>-222.68520568684852</v>
      </c>
      <c r="BU180" s="1537">
        <f t="shared" si="202"/>
        <v>-222.68520568684852</v>
      </c>
      <c r="BV180" s="1534"/>
      <c r="BW180" s="1537">
        <f t="shared" ref="BW180:CA180" si="203">-BW9</f>
        <v>-388.45571862714547</v>
      </c>
      <c r="BX180" s="1537">
        <f t="shared" si="203"/>
        <v>-319.79225826526704</v>
      </c>
      <c r="BY180" s="1537">
        <f t="shared" si="203"/>
        <v>-240.44515190401728</v>
      </c>
      <c r="BZ180" s="1537">
        <f t="shared" si="203"/>
        <v>-230.26397178660005</v>
      </c>
      <c r="CA180" s="1537">
        <f t="shared" si="203"/>
        <v>-230.26397178660005</v>
      </c>
      <c r="CB180" s="1534"/>
      <c r="CC180" s="1537">
        <f t="shared" ref="CC180:CG180" si="204">-CC9</f>
        <v>-416.34620365496158</v>
      </c>
      <c r="CD180" s="1537">
        <f t="shared" si="204"/>
        <v>-359.06419003925782</v>
      </c>
      <c r="CE180" s="1537">
        <f t="shared" si="204"/>
        <v>-296.25760191300799</v>
      </c>
      <c r="CF180" s="1537">
        <f t="shared" si="204"/>
        <v>-296.24523202720752</v>
      </c>
      <c r="CG180" s="1537">
        <f t="shared" si="204"/>
        <v>-296.24523202720752</v>
      </c>
      <c r="CH180" s="1537"/>
    </row>
    <row r="181" spans="1:86" ht="11.25" customHeight="1" x14ac:dyDescent="0.2">
      <c r="A181" s="1457"/>
      <c r="B181" s="1457" t="s">
        <v>743</v>
      </c>
      <c r="C181" s="1537">
        <f>-C10</f>
        <v>-32.838999999999999</v>
      </c>
      <c r="D181" s="1537">
        <f t="shared" ref="D181:G181" si="205">-D10</f>
        <v>-110.791</v>
      </c>
      <c r="E181" s="1537">
        <f t="shared" si="205"/>
        <v>-118.92100000000001</v>
      </c>
      <c r="F181" s="1537">
        <f t="shared" si="205"/>
        <v>-146.93899999999999</v>
      </c>
      <c r="G181" s="1537">
        <f t="shared" si="205"/>
        <v>-146.93899999999999</v>
      </c>
      <c r="H181" s="1534"/>
      <c r="I181" s="1537">
        <f>-I10</f>
        <v>-254.00299999999999</v>
      </c>
      <c r="J181" s="1537">
        <f t="shared" ref="J181:M181" si="206">-J10</f>
        <v>-309.79700000000003</v>
      </c>
      <c r="K181" s="1537">
        <f t="shared" si="206"/>
        <v>-190.54499999999999</v>
      </c>
      <c r="L181" s="1537">
        <f t="shared" si="206"/>
        <v>-0.25800000000000001</v>
      </c>
      <c r="M181" s="1537">
        <f t="shared" si="206"/>
        <v>-0.25800000000000001</v>
      </c>
      <c r="N181" s="1534"/>
      <c r="O181" s="1537">
        <f t="shared" ref="O181:S181" si="207">-O10</f>
        <v>-0.187</v>
      </c>
      <c r="P181" s="1537">
        <f t="shared" si="207"/>
        <v>-3.5999999999999997E-2</v>
      </c>
      <c r="Q181" s="1537">
        <f t="shared" si="207"/>
        <v>-3.6999999999999998E-2</v>
      </c>
      <c r="R181" s="1537">
        <f t="shared" si="207"/>
        <v>0</v>
      </c>
      <c r="S181" s="1537">
        <f t="shared" si="207"/>
        <v>0</v>
      </c>
      <c r="T181" s="1534"/>
      <c r="U181" s="1537">
        <f t="shared" ref="U181:Y181" si="208">-U10</f>
        <v>0</v>
      </c>
      <c r="V181" s="1537">
        <f t="shared" si="208"/>
        <v>0</v>
      </c>
      <c r="W181" s="1537">
        <f t="shared" si="208"/>
        <v>0</v>
      </c>
      <c r="X181" s="1537">
        <f t="shared" si="208"/>
        <v>0</v>
      </c>
      <c r="Y181" s="1537">
        <f t="shared" si="208"/>
        <v>0</v>
      </c>
      <c r="Z181" s="1534"/>
      <c r="AA181" s="1537">
        <f t="shared" ref="AA181:AE181" si="209">-AA10</f>
        <v>0</v>
      </c>
      <c r="AB181" s="1537">
        <f t="shared" si="209"/>
        <v>0</v>
      </c>
      <c r="AC181" s="1537">
        <f t="shared" si="209"/>
        <v>0</v>
      </c>
      <c r="AD181" s="1537">
        <f t="shared" si="209"/>
        <v>0</v>
      </c>
      <c r="AE181" s="1537">
        <f t="shared" si="209"/>
        <v>0</v>
      </c>
      <c r="AF181" s="1534"/>
      <c r="AG181" s="1537">
        <f t="shared" ref="AG181:AK181" si="210">-AG10</f>
        <v>0</v>
      </c>
      <c r="AH181" s="1537">
        <f t="shared" si="210"/>
        <v>0</v>
      </c>
      <c r="AI181" s="1537">
        <f t="shared" si="210"/>
        <v>0</v>
      </c>
      <c r="AJ181" s="1537">
        <f t="shared" si="210"/>
        <v>0</v>
      </c>
      <c r="AK181" s="1537">
        <f t="shared" si="210"/>
        <v>0</v>
      </c>
      <c r="AL181" s="1534"/>
      <c r="AM181" s="1537">
        <f t="shared" ref="AM181:AQ181" si="211">-AM10</f>
        <v>0</v>
      </c>
      <c r="AN181" s="1537">
        <f t="shared" si="211"/>
        <v>0</v>
      </c>
      <c r="AO181" s="1537">
        <f t="shared" si="211"/>
        <v>0</v>
      </c>
      <c r="AP181" s="1537">
        <f t="shared" si="211"/>
        <v>0</v>
      </c>
      <c r="AQ181" s="1537">
        <f t="shared" si="211"/>
        <v>0</v>
      </c>
      <c r="AR181" s="1534"/>
      <c r="AS181" s="1537">
        <f t="shared" ref="AS181:AW181" si="212">-AS10</f>
        <v>0</v>
      </c>
      <c r="AT181" s="1537">
        <f t="shared" si="212"/>
        <v>0</v>
      </c>
      <c r="AU181" s="1537">
        <f t="shared" si="212"/>
        <v>0</v>
      </c>
      <c r="AV181" s="1537">
        <f t="shared" si="212"/>
        <v>0</v>
      </c>
      <c r="AW181" s="1537">
        <f t="shared" si="212"/>
        <v>0</v>
      </c>
      <c r="AX181" s="1534"/>
      <c r="AY181" s="1537">
        <f t="shared" ref="AY181:BC181" si="213">-AY10</f>
        <v>0</v>
      </c>
      <c r="AZ181" s="1537">
        <f t="shared" si="213"/>
        <v>0</v>
      </c>
      <c r="BA181" s="1537">
        <f t="shared" si="213"/>
        <v>0</v>
      </c>
      <c r="BB181" s="1537">
        <f t="shared" si="213"/>
        <v>0</v>
      </c>
      <c r="BC181" s="1537">
        <f t="shared" si="213"/>
        <v>0</v>
      </c>
      <c r="BD181" s="1534"/>
      <c r="BE181" s="1537">
        <f t="shared" ref="BE181:BI181" si="214">-BE10</f>
        <v>0</v>
      </c>
      <c r="BF181" s="1537">
        <f t="shared" si="214"/>
        <v>0</v>
      </c>
      <c r="BG181" s="1537">
        <f t="shared" si="214"/>
        <v>0</v>
      </c>
      <c r="BH181" s="1537">
        <f t="shared" si="214"/>
        <v>0</v>
      </c>
      <c r="BI181" s="1537">
        <f t="shared" si="214"/>
        <v>0</v>
      </c>
      <c r="BJ181" s="1534"/>
      <c r="BK181" s="1537">
        <f t="shared" ref="BK181:BO181" si="215">-BK10</f>
        <v>0</v>
      </c>
      <c r="BL181" s="1537">
        <f t="shared" si="215"/>
        <v>0</v>
      </c>
      <c r="BM181" s="1537">
        <f t="shared" si="215"/>
        <v>0</v>
      </c>
      <c r="BN181" s="1537">
        <f t="shared" si="215"/>
        <v>0</v>
      </c>
      <c r="BO181" s="1537">
        <f t="shared" si="215"/>
        <v>0</v>
      </c>
      <c r="BP181" s="1534"/>
      <c r="BQ181" s="1537">
        <f t="shared" ref="BQ181:BU181" si="216">-BQ10</f>
        <v>0</v>
      </c>
      <c r="BR181" s="1537">
        <f t="shared" si="216"/>
        <v>0</v>
      </c>
      <c r="BS181" s="1537">
        <f t="shared" si="216"/>
        <v>0</v>
      </c>
      <c r="BT181" s="1537">
        <f t="shared" si="216"/>
        <v>0</v>
      </c>
      <c r="BU181" s="1537">
        <f t="shared" si="216"/>
        <v>0</v>
      </c>
      <c r="BV181" s="1534"/>
      <c r="BW181" s="1537">
        <f t="shared" ref="BW181:CA181" si="217">-BW10</f>
        <v>0</v>
      </c>
      <c r="BX181" s="1537">
        <f t="shared" si="217"/>
        <v>0</v>
      </c>
      <c r="BY181" s="1537">
        <f t="shared" si="217"/>
        <v>0</v>
      </c>
      <c r="BZ181" s="1537">
        <f t="shared" si="217"/>
        <v>0</v>
      </c>
      <c r="CA181" s="1537">
        <f t="shared" si="217"/>
        <v>0</v>
      </c>
      <c r="CB181" s="1534"/>
      <c r="CC181" s="1537">
        <f t="shared" ref="CC181:CG181" si="218">-CC10</f>
        <v>0</v>
      </c>
      <c r="CD181" s="1537">
        <f t="shared" si="218"/>
        <v>0</v>
      </c>
      <c r="CE181" s="1537">
        <f t="shared" si="218"/>
        <v>0</v>
      </c>
      <c r="CF181" s="1537">
        <f t="shared" si="218"/>
        <v>0</v>
      </c>
      <c r="CG181" s="1537">
        <f t="shared" si="218"/>
        <v>0</v>
      </c>
      <c r="CH181" s="1537"/>
    </row>
    <row r="182" spans="1:86" ht="11.25" customHeight="1" x14ac:dyDescent="0.2">
      <c r="A182" s="1457"/>
      <c r="B182" s="1457" t="s">
        <v>744</v>
      </c>
      <c r="C182" s="1537">
        <f>-C19</f>
        <v>-998.39599999999996</v>
      </c>
      <c r="D182" s="1537">
        <f t="shared" ref="D182:G182" si="219">-D19</f>
        <v>-1020.02</v>
      </c>
      <c r="E182" s="1537">
        <f t="shared" si="219"/>
        <v>-1121.81</v>
      </c>
      <c r="F182" s="1537">
        <f t="shared" si="219"/>
        <v>-1127.42</v>
      </c>
      <c r="G182" s="1537">
        <f t="shared" si="219"/>
        <v>-1127.42</v>
      </c>
      <c r="H182" s="1534"/>
      <c r="I182" s="1537">
        <f>-I19</f>
        <v>-1181.1969999999999</v>
      </c>
      <c r="J182" s="1537">
        <f t="shared" ref="J182:M182" si="220">-J19</f>
        <v>-1178.627</v>
      </c>
      <c r="K182" s="1537">
        <f t="shared" si="220"/>
        <v>-1145.212</v>
      </c>
      <c r="L182" s="1537">
        <f t="shared" si="220"/>
        <v>-1277.0260000000001</v>
      </c>
      <c r="M182" s="1537">
        <f t="shared" si="220"/>
        <v>-1277.0260000000001</v>
      </c>
      <c r="N182" s="1534"/>
      <c r="O182" s="1537">
        <f t="shared" ref="O182:S182" si="221">-O19</f>
        <v>-1206.008</v>
      </c>
      <c r="P182" s="1537">
        <f t="shared" si="221"/>
        <v>-1267.8979999999999</v>
      </c>
      <c r="Q182" s="1537">
        <f t="shared" si="221"/>
        <v>-1308.8240000000001</v>
      </c>
      <c r="R182" s="1537">
        <f t="shared" si="221"/>
        <v>-1312.596</v>
      </c>
      <c r="S182" s="1537">
        <f t="shared" si="221"/>
        <v>-1312.596</v>
      </c>
      <c r="T182" s="1534"/>
      <c r="U182" s="1537">
        <f t="shared" ref="U182:Y182" si="222">-U19</f>
        <v>-1279.1030000000001</v>
      </c>
      <c r="V182" s="1537">
        <f t="shared" si="222"/>
        <v>-1208.7650000000001</v>
      </c>
      <c r="W182" s="1537">
        <f t="shared" si="222"/>
        <v>-1304.9380000000001</v>
      </c>
      <c r="X182" s="1537">
        <f t="shared" si="222"/>
        <v>-1303.0550000000001</v>
      </c>
      <c r="Y182" s="1537">
        <f t="shared" si="222"/>
        <v>-1303.0550000000001</v>
      </c>
      <c r="Z182" s="1534"/>
      <c r="AA182" s="1537">
        <f t="shared" ref="AA182:AE182" si="223">-AA19</f>
        <v>-1350.78</v>
      </c>
      <c r="AB182" s="1537">
        <f t="shared" si="223"/>
        <v>-1391.289</v>
      </c>
      <c r="AC182" s="1537">
        <f t="shared" si="223"/>
        <v>-2208.9059999999999</v>
      </c>
      <c r="AD182" s="1537">
        <f t="shared" si="223"/>
        <v>-2190.0630000000001</v>
      </c>
      <c r="AE182" s="1537">
        <f t="shared" si="223"/>
        <v>-2190.0630000000001</v>
      </c>
      <c r="AF182" s="1534"/>
      <c r="AG182" s="1537">
        <f t="shared" ref="AG182:AK182" si="224">-AG19</f>
        <v>-2109.451</v>
      </c>
      <c r="AH182" s="1537">
        <f t="shared" si="224"/>
        <v>-2036.0840000000001</v>
      </c>
      <c r="AI182" s="1537">
        <f t="shared" si="224"/>
        <v>-2207.413</v>
      </c>
      <c r="AJ182" s="1537">
        <f t="shared" si="224"/>
        <v>-2210.953</v>
      </c>
      <c r="AK182" s="1537">
        <f t="shared" si="224"/>
        <v>-2210.953</v>
      </c>
      <c r="AL182" s="1534"/>
      <c r="AM182" s="1537">
        <f t="shared" ref="AM182:AQ182" si="225">-AM19</f>
        <v>-2167.241</v>
      </c>
      <c r="AN182" s="1537">
        <f t="shared" si="225"/>
        <v>-2158.529</v>
      </c>
      <c r="AO182" s="1537">
        <f t="shared" si="225"/>
        <v>-2218.136</v>
      </c>
      <c r="AP182" s="1537">
        <f t="shared" si="225"/>
        <v>-2281.596</v>
      </c>
      <c r="AQ182" s="1537">
        <f t="shared" si="225"/>
        <v>-2281.596</v>
      </c>
      <c r="AR182" s="1534"/>
      <c r="AS182" s="1537">
        <f t="shared" ref="AS182:AW182" si="226">-AS19</f>
        <v>-2286.7150000000001</v>
      </c>
      <c r="AT182" s="1537">
        <f t="shared" si="226"/>
        <v>-2278.7979999999998</v>
      </c>
      <c r="AU182" s="1537">
        <f t="shared" si="226"/>
        <v>-2160.6959999999999</v>
      </c>
      <c r="AV182" s="1537">
        <f t="shared" si="226"/>
        <v>-2089.3389999999999</v>
      </c>
      <c r="AW182" s="1537">
        <f t="shared" si="226"/>
        <v>-2089.3389999999999</v>
      </c>
      <c r="AX182" s="1534"/>
      <c r="AY182" s="1537">
        <f t="shared" ref="AY182:BC182" si="227">-AY19</f>
        <v>-1953.271</v>
      </c>
      <c r="AZ182" s="1537">
        <f t="shared" si="227"/>
        <v>-1998.6079999999999</v>
      </c>
      <c r="BA182" s="1537">
        <f t="shared" si="227"/>
        <v>-1984.3</v>
      </c>
      <c r="BB182" s="1537">
        <f t="shared" si="227"/>
        <v>-1987.6</v>
      </c>
      <c r="BC182" s="1537">
        <f t="shared" si="227"/>
        <v>-1987.6</v>
      </c>
      <c r="BD182" s="1534"/>
      <c r="BE182" s="1537">
        <f t="shared" ref="BE182:BI182" si="228">-BE19</f>
        <v>-5836</v>
      </c>
      <c r="BF182" s="1537">
        <f t="shared" si="228"/>
        <v>-5794.7</v>
      </c>
      <c r="BG182" s="1537">
        <f t="shared" si="228"/>
        <v>-6056.7</v>
      </c>
      <c r="BH182" s="1537">
        <f t="shared" si="228"/>
        <v>-5952</v>
      </c>
      <c r="BI182" s="1537">
        <f t="shared" si="228"/>
        <v>-5952</v>
      </c>
      <c r="BJ182" s="1534"/>
      <c r="BK182" s="1537">
        <f t="shared" ref="BK182:BO182" si="229">-BK19</f>
        <v>-5958.2</v>
      </c>
      <c r="BL182" s="1537">
        <f t="shared" si="229"/>
        <v>-5023.6000000000004</v>
      </c>
      <c r="BM182" s="1537">
        <f t="shared" si="229"/>
        <v>-5074.8999999999996</v>
      </c>
      <c r="BN182" s="1537">
        <f t="shared" si="229"/>
        <v>-4539.2</v>
      </c>
      <c r="BO182" s="1537">
        <f t="shared" si="229"/>
        <v>-4539.2</v>
      </c>
      <c r="BP182" s="1534"/>
      <c r="BQ182" s="1537">
        <f t="shared" ref="BQ182:BU182" si="230">-BQ19</f>
        <v>-4539.2000000000007</v>
      </c>
      <c r="BR182" s="1537">
        <f t="shared" si="230"/>
        <v>-4539.2000000000007</v>
      </c>
      <c r="BS182" s="1537">
        <f t="shared" si="230"/>
        <v>-4539.2000000000007</v>
      </c>
      <c r="BT182" s="1537">
        <f t="shared" si="230"/>
        <v>-4539.2000000000007</v>
      </c>
      <c r="BU182" s="1537">
        <f t="shared" si="230"/>
        <v>-4539.2000000000007</v>
      </c>
      <c r="BV182" s="1534"/>
      <c r="BW182" s="1537">
        <f t="shared" ref="BW182:CA182" si="231">-BW19</f>
        <v>-4539.2000000000007</v>
      </c>
      <c r="BX182" s="1537">
        <f t="shared" si="231"/>
        <v>-4539.2000000000007</v>
      </c>
      <c r="BY182" s="1537">
        <f t="shared" si="231"/>
        <v>-4539.2000000000007</v>
      </c>
      <c r="BZ182" s="1537">
        <f t="shared" si="231"/>
        <v>-4539.2000000000007</v>
      </c>
      <c r="CA182" s="1537">
        <f t="shared" si="231"/>
        <v>-4539.2000000000007</v>
      </c>
      <c r="CB182" s="1534"/>
      <c r="CC182" s="1537">
        <f t="shared" ref="CC182:CG182" si="232">-CC19</f>
        <v>-4539.2000000000007</v>
      </c>
      <c r="CD182" s="1537">
        <f t="shared" si="232"/>
        <v>-4539.2000000000007</v>
      </c>
      <c r="CE182" s="1537">
        <f t="shared" si="232"/>
        <v>-4539.2000000000007</v>
      </c>
      <c r="CF182" s="1537">
        <f t="shared" si="232"/>
        <v>-4539.2000000000007</v>
      </c>
      <c r="CG182" s="1537">
        <f t="shared" si="232"/>
        <v>-4539.2000000000007</v>
      </c>
      <c r="CH182" s="1537"/>
    </row>
    <row r="183" spans="1:86" ht="11.25" customHeight="1" x14ac:dyDescent="0.2">
      <c r="A183" s="1460"/>
      <c r="B183" s="1460" t="s">
        <v>745</v>
      </c>
      <c r="C183" s="1458">
        <f>+SUM(C169:C181)</f>
        <v>1902.6200000000001</v>
      </c>
      <c r="D183" s="1539">
        <f t="shared" ref="D183:F184" si="233">+SUM(D169:D181)</f>
        <v>1922.3740000000003</v>
      </c>
      <c r="E183" s="1539">
        <f t="shared" si="233"/>
        <v>2038.7770000000003</v>
      </c>
      <c r="F183" s="1539">
        <f t="shared" si="233"/>
        <v>2048.0790000000002</v>
      </c>
      <c r="G183" s="1540">
        <f>+F183</f>
        <v>2048.0790000000002</v>
      </c>
      <c r="H183" s="1534"/>
      <c r="I183" s="1458">
        <f t="shared" ref="I183:L184" si="234">+SUM(I169:I181)</f>
        <v>2279.1249999999995</v>
      </c>
      <c r="J183" s="1539">
        <f t="shared" si="234"/>
        <v>2249.25</v>
      </c>
      <c r="K183" s="1539">
        <f t="shared" si="234"/>
        <v>2081.3420000000006</v>
      </c>
      <c r="L183" s="1539">
        <f t="shared" si="234"/>
        <v>2291.9839999999999</v>
      </c>
      <c r="M183" s="1540">
        <f t="shared" ref="M183:Y184" si="235">+L183</f>
        <v>2291.9839999999999</v>
      </c>
      <c r="N183" s="1534"/>
      <c r="O183" s="1458">
        <f t="shared" ref="O183:R184" si="236">+SUM(O169:O181)</f>
        <v>2216.2130000000002</v>
      </c>
      <c r="P183" s="1539">
        <f t="shared" si="236"/>
        <v>2329.9850000000001</v>
      </c>
      <c r="Q183" s="1539">
        <f t="shared" si="236"/>
        <v>2370.4180000000006</v>
      </c>
      <c r="R183" s="1539">
        <f t="shared" si="236"/>
        <v>2275.2019999999998</v>
      </c>
      <c r="S183" s="1540">
        <f t="shared" si="235"/>
        <v>2275.2019999999998</v>
      </c>
      <c r="T183" s="1534"/>
      <c r="U183" s="1458">
        <f t="shared" ref="U183:X184" si="237">+SUM(U169:U181)</f>
        <v>2273.2410000000009</v>
      </c>
      <c r="V183" s="1539">
        <f t="shared" si="237"/>
        <v>2146.473</v>
      </c>
      <c r="W183" s="1539">
        <f t="shared" si="237"/>
        <v>2316.2910000000006</v>
      </c>
      <c r="X183" s="1539">
        <f t="shared" si="237"/>
        <v>2365.576</v>
      </c>
      <c r="Y183" s="1540">
        <f t="shared" si="235"/>
        <v>2365.576</v>
      </c>
      <c r="Z183" s="1534"/>
      <c r="AA183" s="1458">
        <f t="shared" ref="AA183:AD184" si="238">+SUM(AA169:AA181)</f>
        <v>2511.2269999999994</v>
      </c>
      <c r="AB183" s="1539">
        <f t="shared" si="238"/>
        <v>2563.0069999999996</v>
      </c>
      <c r="AC183" s="1539">
        <f t="shared" si="238"/>
        <v>4284.7290000000003</v>
      </c>
      <c r="AD183" s="1539">
        <f t="shared" si="238"/>
        <v>4230.8980000000001</v>
      </c>
      <c r="AE183" s="1540">
        <f t="shared" ref="AE183:AQ184" si="239">+AD183</f>
        <v>4230.8980000000001</v>
      </c>
      <c r="AF183" s="1534"/>
      <c r="AG183" s="1458">
        <f t="shared" ref="AG183:AJ184" si="240">+SUM(AG169:AG181)</f>
        <v>4441.2690000000002</v>
      </c>
      <c r="AH183" s="1539">
        <f t="shared" si="240"/>
        <v>4311.1439999999993</v>
      </c>
      <c r="AI183" s="1539">
        <f t="shared" si="240"/>
        <v>4392.4669999999996</v>
      </c>
      <c r="AJ183" s="1539">
        <f t="shared" si="240"/>
        <v>4263.348</v>
      </c>
      <c r="AK183" s="1540">
        <f t="shared" si="239"/>
        <v>4263.348</v>
      </c>
      <c r="AL183" s="1534"/>
      <c r="AM183" s="1458">
        <f t="shared" ref="AM183:AP184" si="241">+SUM(AM169:AM181)</f>
        <v>4335.1980000000003</v>
      </c>
      <c r="AN183" s="1539">
        <f t="shared" si="241"/>
        <v>4344.107</v>
      </c>
      <c r="AO183" s="1539">
        <f t="shared" si="241"/>
        <v>4452.7080000000005</v>
      </c>
      <c r="AP183" s="1539">
        <f t="shared" si="241"/>
        <v>4516.5500000000011</v>
      </c>
      <c r="AQ183" s="1540">
        <f t="shared" si="239"/>
        <v>4516.5500000000011</v>
      </c>
      <c r="AR183" s="1534"/>
      <c r="AS183" s="1458">
        <f t="shared" ref="AS183:AV184" si="242">+SUM(AS169:AS181)</f>
        <v>4469.3540000000003</v>
      </c>
      <c r="AT183" s="1539">
        <f t="shared" si="242"/>
        <v>4410.4740000000011</v>
      </c>
      <c r="AU183" s="1539">
        <f t="shared" si="242"/>
        <v>4167.1380000000008</v>
      </c>
      <c r="AV183" s="1539">
        <f t="shared" si="242"/>
        <v>3957.9100000000003</v>
      </c>
      <c r="AW183" s="1540">
        <f t="shared" ref="AW183:BI184" si="243">+AV183</f>
        <v>3957.9100000000003</v>
      </c>
      <c r="AX183" s="1534"/>
      <c r="AY183" s="1458">
        <f t="shared" ref="AY183:BB184" si="244">+SUM(AY169:AY181)</f>
        <v>3870.0090000000005</v>
      </c>
      <c r="AZ183" s="1539">
        <f t="shared" si="244"/>
        <v>3907.0149999999999</v>
      </c>
      <c r="BA183" s="1539">
        <f t="shared" si="244"/>
        <v>3685.5999999999995</v>
      </c>
      <c r="BB183" s="1539">
        <f t="shared" si="244"/>
        <v>3654.4</v>
      </c>
      <c r="BC183" s="1540">
        <f t="shared" si="243"/>
        <v>3654.4</v>
      </c>
      <c r="BD183" s="1534"/>
      <c r="BE183" s="1541">
        <f t="shared" ref="BE183:BH184" si="245">+SUM(BE169:BE181)</f>
        <v>10515.999999999998</v>
      </c>
      <c r="BF183" s="1542">
        <f t="shared" si="245"/>
        <v>10427.1</v>
      </c>
      <c r="BG183" s="1542">
        <f t="shared" si="245"/>
        <v>10867.900000000001</v>
      </c>
      <c r="BH183" s="1542">
        <f t="shared" si="245"/>
        <v>10522.299999999997</v>
      </c>
      <c r="BI183" s="1543">
        <f t="shared" si="243"/>
        <v>10522.299999999997</v>
      </c>
      <c r="BJ183" s="1544"/>
      <c r="BK183" s="1541">
        <f t="shared" ref="BK183:BN184" si="246">+SUM(BK169:BK181)</f>
        <v>10505.900000000001</v>
      </c>
      <c r="BL183" s="1542">
        <f t="shared" si="246"/>
        <v>9849.5</v>
      </c>
      <c r="BM183" s="1542">
        <f t="shared" si="246"/>
        <v>10002</v>
      </c>
      <c r="BN183" s="1542">
        <f t="shared" si="246"/>
        <v>9129.5</v>
      </c>
      <c r="BO183" s="1543">
        <f t="shared" ref="BO183:BU184" si="247">+BN183</f>
        <v>9129.5</v>
      </c>
      <c r="BP183" s="1544"/>
      <c r="BQ183" s="1541">
        <f t="shared" ref="BQ183:BT184" si="248">+SUM(BQ169:BQ181)</f>
        <v>8968.3880171482087</v>
      </c>
      <c r="BR183" s="1542">
        <f t="shared" si="248"/>
        <v>9027.44860757877</v>
      </c>
      <c r="BS183" s="1542">
        <f t="shared" si="248"/>
        <v>9100.4683794886496</v>
      </c>
      <c r="BT183" s="1542">
        <f t="shared" si="248"/>
        <v>9141.0089632864256</v>
      </c>
      <c r="BU183" s="1543">
        <f t="shared" si="247"/>
        <v>9141.0089632864256</v>
      </c>
      <c r="BV183" s="1544"/>
      <c r="BW183" s="1541">
        <f t="shared" ref="BW183:BZ184" si="249">+SUM(BW169:BW181)</f>
        <v>8938.8218205482135</v>
      </c>
      <c r="BX183" s="1542">
        <f t="shared" si="249"/>
        <v>8991.1022561787631</v>
      </c>
      <c r="BY183" s="1542">
        <f t="shared" si="249"/>
        <v>9036.5604884973054</v>
      </c>
      <c r="BZ183" s="1542">
        <f t="shared" si="249"/>
        <v>9058.1791089788585</v>
      </c>
      <c r="CA183" s="1543">
        <f t="shared" ref="CA183:CG184" si="250">+BZ183</f>
        <v>9058.1791089788585</v>
      </c>
      <c r="CB183" s="1544"/>
      <c r="CC183" s="1541">
        <f t="shared" ref="CC183:CF184" si="251">+SUM(CC169:CC181)</f>
        <v>8854.8799902534174</v>
      </c>
      <c r="CD183" s="1542">
        <f t="shared" si="251"/>
        <v>8917.961196172635</v>
      </c>
      <c r="CE183" s="1542">
        <f t="shared" si="251"/>
        <v>8970.1113676839686</v>
      </c>
      <c r="CF183" s="1542">
        <f t="shared" si="251"/>
        <v>9004.5984601526925</v>
      </c>
      <c r="CG183" s="1543">
        <f t="shared" si="250"/>
        <v>9004.5984601526925</v>
      </c>
      <c r="CH183" s="1543"/>
    </row>
    <row r="184" spans="1:86" ht="11.25" customHeight="1" x14ac:dyDescent="0.2">
      <c r="A184" s="1460"/>
      <c r="B184" s="1460" t="s">
        <v>746</v>
      </c>
      <c r="C184" s="1458">
        <f>+SUM(C170:C182)</f>
        <v>904.22400000000016</v>
      </c>
      <c r="D184" s="1539">
        <f t="shared" si="233"/>
        <v>902.35400000000027</v>
      </c>
      <c r="E184" s="1539">
        <f t="shared" si="233"/>
        <v>916.96700000000033</v>
      </c>
      <c r="F184" s="1539">
        <f t="shared" si="233"/>
        <v>920.65900000000011</v>
      </c>
      <c r="G184" s="1540">
        <f>+F184</f>
        <v>920.65900000000011</v>
      </c>
      <c r="H184" s="1534"/>
      <c r="I184" s="1458">
        <f t="shared" si="234"/>
        <v>1097.9279999999997</v>
      </c>
      <c r="J184" s="1539">
        <f t="shared" si="234"/>
        <v>1070.623</v>
      </c>
      <c r="K184" s="1539">
        <f t="shared" si="234"/>
        <v>936.13000000000056</v>
      </c>
      <c r="L184" s="1539">
        <f t="shared" si="234"/>
        <v>1014.9579999999999</v>
      </c>
      <c r="M184" s="1540">
        <f t="shared" si="235"/>
        <v>1014.9579999999999</v>
      </c>
      <c r="N184" s="1534"/>
      <c r="O184" s="1458">
        <f t="shared" si="236"/>
        <v>1010.2050000000002</v>
      </c>
      <c r="P184" s="1539">
        <f t="shared" si="236"/>
        <v>1062.0870000000002</v>
      </c>
      <c r="Q184" s="1539">
        <f t="shared" si="236"/>
        <v>1061.5940000000005</v>
      </c>
      <c r="R184" s="1539">
        <f t="shared" si="236"/>
        <v>962.60599999999977</v>
      </c>
      <c r="S184" s="1540">
        <f t="shared" si="235"/>
        <v>962.60599999999977</v>
      </c>
      <c r="T184" s="1534"/>
      <c r="U184" s="1458">
        <f t="shared" si="237"/>
        <v>994.13800000000083</v>
      </c>
      <c r="V184" s="1539">
        <f t="shared" si="237"/>
        <v>937.70799999999986</v>
      </c>
      <c r="W184" s="1539">
        <f t="shared" si="237"/>
        <v>1011.3530000000005</v>
      </c>
      <c r="X184" s="1539">
        <f t="shared" si="237"/>
        <v>1062.521</v>
      </c>
      <c r="Y184" s="1540">
        <f t="shared" si="235"/>
        <v>1062.521</v>
      </c>
      <c r="Z184" s="1534"/>
      <c r="AA184" s="1458">
        <f t="shared" si="238"/>
        <v>1160.4469999999994</v>
      </c>
      <c r="AB184" s="1539">
        <f t="shared" si="238"/>
        <v>1171.7179999999996</v>
      </c>
      <c r="AC184" s="1539">
        <f t="shared" si="238"/>
        <v>2075.8230000000003</v>
      </c>
      <c r="AD184" s="1539">
        <f t="shared" si="238"/>
        <v>2040.835</v>
      </c>
      <c r="AE184" s="1540">
        <f t="shared" si="239"/>
        <v>2040.835</v>
      </c>
      <c r="AF184" s="1534"/>
      <c r="AG184" s="1458">
        <f t="shared" si="240"/>
        <v>2331.8180000000002</v>
      </c>
      <c r="AH184" s="1539">
        <f t="shared" si="240"/>
        <v>2275.0599999999995</v>
      </c>
      <c r="AI184" s="1539">
        <f t="shared" si="240"/>
        <v>2185.0539999999996</v>
      </c>
      <c r="AJ184" s="1539">
        <f t="shared" si="240"/>
        <v>2052.395</v>
      </c>
      <c r="AK184" s="1540">
        <f t="shared" si="239"/>
        <v>2052.395</v>
      </c>
      <c r="AL184" s="1534"/>
      <c r="AM184" s="1458">
        <f t="shared" si="241"/>
        <v>2167.9570000000003</v>
      </c>
      <c r="AN184" s="1539">
        <f t="shared" si="241"/>
        <v>2185.578</v>
      </c>
      <c r="AO184" s="1539">
        <f t="shared" si="241"/>
        <v>2234.5720000000006</v>
      </c>
      <c r="AP184" s="1539">
        <f t="shared" si="241"/>
        <v>2234.9540000000011</v>
      </c>
      <c r="AQ184" s="1540">
        <f t="shared" si="239"/>
        <v>2234.9540000000011</v>
      </c>
      <c r="AR184" s="1534"/>
      <c r="AS184" s="1458">
        <f t="shared" si="242"/>
        <v>2182.6390000000001</v>
      </c>
      <c r="AT184" s="1539">
        <f t="shared" si="242"/>
        <v>2131.6760000000013</v>
      </c>
      <c r="AU184" s="1539">
        <f t="shared" si="242"/>
        <v>2006.4420000000009</v>
      </c>
      <c r="AV184" s="1539">
        <f t="shared" si="242"/>
        <v>1868.5710000000004</v>
      </c>
      <c r="AW184" s="1540">
        <f t="shared" si="243"/>
        <v>1868.5710000000004</v>
      </c>
      <c r="AX184" s="1534"/>
      <c r="AY184" s="1458">
        <f t="shared" si="244"/>
        <v>1916.7380000000005</v>
      </c>
      <c r="AZ184" s="1539">
        <f t="shared" si="244"/>
        <v>1908.4069999999999</v>
      </c>
      <c r="BA184" s="1539">
        <f t="shared" si="244"/>
        <v>1701.2999999999995</v>
      </c>
      <c r="BB184" s="1539">
        <f t="shared" si="244"/>
        <v>1666.8000000000002</v>
      </c>
      <c r="BC184" s="1540">
        <f t="shared" si="243"/>
        <v>1666.8000000000002</v>
      </c>
      <c r="BD184" s="1534"/>
      <c r="BE184" s="1541">
        <f t="shared" si="245"/>
        <v>4679.9999999999982</v>
      </c>
      <c r="BF184" s="1542">
        <f t="shared" si="245"/>
        <v>4632.4000000000005</v>
      </c>
      <c r="BG184" s="1542">
        <f t="shared" si="245"/>
        <v>4811.2000000000016</v>
      </c>
      <c r="BH184" s="1542">
        <f t="shared" si="245"/>
        <v>4570.2999999999975</v>
      </c>
      <c r="BI184" s="1543">
        <f t="shared" si="243"/>
        <v>4570.2999999999975</v>
      </c>
      <c r="BJ184" s="1544"/>
      <c r="BK184" s="1541">
        <f t="shared" si="246"/>
        <v>4547.7000000000016</v>
      </c>
      <c r="BL184" s="1542">
        <f t="shared" si="246"/>
        <v>4825.8999999999996</v>
      </c>
      <c r="BM184" s="1542">
        <f t="shared" si="246"/>
        <v>4927.1000000000004</v>
      </c>
      <c r="BN184" s="1542">
        <f t="shared" si="246"/>
        <v>4590.3</v>
      </c>
      <c r="BO184" s="1543">
        <f t="shared" si="247"/>
        <v>4590.3</v>
      </c>
      <c r="BP184" s="1544"/>
      <c r="BQ184" s="1541">
        <f t="shared" si="248"/>
        <v>4429.188017148208</v>
      </c>
      <c r="BR184" s="1542">
        <f t="shared" si="248"/>
        <v>4488.2486075787692</v>
      </c>
      <c r="BS184" s="1542">
        <f t="shared" si="248"/>
        <v>4561.2683794886489</v>
      </c>
      <c r="BT184" s="1542">
        <f t="shared" si="248"/>
        <v>4601.8089632864248</v>
      </c>
      <c r="BU184" s="1543">
        <f t="shared" si="247"/>
        <v>4601.8089632864248</v>
      </c>
      <c r="BV184" s="1544"/>
      <c r="BW184" s="1541">
        <f t="shared" si="249"/>
        <v>4399.6218205482128</v>
      </c>
      <c r="BX184" s="1542">
        <f t="shared" si="249"/>
        <v>4451.9022561787624</v>
      </c>
      <c r="BY184" s="1542">
        <f t="shared" si="249"/>
        <v>4497.3604884973047</v>
      </c>
      <c r="BZ184" s="1542">
        <f t="shared" si="249"/>
        <v>4518.9791089788578</v>
      </c>
      <c r="CA184" s="1543">
        <f t="shared" si="250"/>
        <v>4518.9791089788578</v>
      </c>
      <c r="CB184" s="1544"/>
      <c r="CC184" s="1541">
        <f t="shared" si="251"/>
        <v>4315.6799902534167</v>
      </c>
      <c r="CD184" s="1542">
        <f t="shared" si="251"/>
        <v>4378.7611961726343</v>
      </c>
      <c r="CE184" s="1542">
        <f t="shared" si="251"/>
        <v>4430.9113676839679</v>
      </c>
      <c r="CF184" s="1542">
        <f t="shared" si="251"/>
        <v>4465.3984601526918</v>
      </c>
      <c r="CG184" s="1543">
        <f t="shared" si="250"/>
        <v>4465.3984601526918</v>
      </c>
      <c r="CH184" s="1543"/>
    </row>
    <row r="185" spans="1:86" ht="11.25" customHeight="1" x14ac:dyDescent="0.2">
      <c r="A185" s="1457"/>
      <c r="B185" s="1457"/>
      <c r="C185" s="1546"/>
      <c r="D185" s="1546"/>
      <c r="E185" s="1546"/>
      <c r="F185" s="1546"/>
      <c r="G185" s="1545"/>
      <c r="H185" s="1545"/>
      <c r="I185" s="1546"/>
      <c r="J185" s="1546"/>
      <c r="K185" s="1546"/>
      <c r="L185" s="1546"/>
      <c r="M185" s="1545"/>
      <c r="N185" s="1545"/>
      <c r="O185" s="1546"/>
      <c r="P185" s="1546"/>
      <c r="Q185" s="1546"/>
      <c r="R185" s="1546"/>
      <c r="S185" s="1545"/>
      <c r="T185" s="1545"/>
      <c r="U185" s="1546"/>
      <c r="V185" s="1546"/>
      <c r="W185" s="1546"/>
      <c r="X185" s="1546"/>
      <c r="Y185" s="1545"/>
      <c r="Z185" s="1545"/>
      <c r="AA185" s="1546"/>
      <c r="AB185" s="1546"/>
      <c r="AC185" s="1546"/>
      <c r="AD185" s="1546"/>
      <c r="AE185" s="1545"/>
      <c r="AF185" s="1545"/>
      <c r="AG185" s="1546"/>
      <c r="AH185" s="1546"/>
      <c r="AI185" s="1546"/>
      <c r="AJ185" s="1546"/>
      <c r="AK185" s="1545"/>
      <c r="AL185" s="1545"/>
      <c r="AM185" s="1546"/>
      <c r="AN185" s="1546"/>
      <c r="AO185" s="1546"/>
      <c r="AP185" s="1546"/>
      <c r="AQ185" s="1545"/>
      <c r="AR185" s="1545"/>
      <c r="AS185" s="1546"/>
      <c r="AT185" s="1546"/>
      <c r="AU185" s="1546"/>
      <c r="AV185" s="1546"/>
      <c r="AW185" s="1545"/>
      <c r="AX185" s="1545"/>
      <c r="AY185" s="1546"/>
      <c r="AZ185" s="1546"/>
      <c r="BA185" s="1546"/>
      <c r="BB185" s="1546"/>
      <c r="BC185" s="1545"/>
      <c r="BD185" s="1545"/>
      <c r="BE185" s="1546"/>
      <c r="BF185" s="1546"/>
      <c r="BG185" s="1546"/>
      <c r="BH185" s="1546"/>
      <c r="BI185" s="1545"/>
      <c r="BJ185" s="1545"/>
      <c r="BK185" s="1546"/>
      <c r="BL185" s="1546"/>
      <c r="BM185" s="1546"/>
      <c r="BN185" s="1546"/>
      <c r="BO185" s="1545"/>
      <c r="BP185" s="1545"/>
      <c r="BQ185" s="1546"/>
      <c r="BR185" s="1546"/>
      <c r="BS185" s="1546"/>
      <c r="BT185" s="1546"/>
      <c r="BU185" s="1545"/>
      <c r="BV185" s="1545"/>
      <c r="BW185" s="1546"/>
      <c r="BX185" s="1546"/>
      <c r="BY185" s="1546"/>
      <c r="BZ185" s="1546"/>
      <c r="CA185" s="1545"/>
      <c r="CB185" s="1545"/>
      <c r="CC185" s="1546"/>
      <c r="CD185" s="1546"/>
      <c r="CE185" s="1546"/>
      <c r="CF185" s="1546"/>
      <c r="CG185" s="1545"/>
      <c r="CH185" s="1545"/>
    </row>
    <row r="186" spans="1:86" ht="11.25" customHeight="1" x14ac:dyDescent="0.2">
      <c r="A186" s="1460"/>
      <c r="B186" s="1460" t="s">
        <v>747</v>
      </c>
      <c r="C186" s="1533">
        <f>+C166*4/C183</f>
        <v>0.12051478383606039</v>
      </c>
      <c r="D186" s="1533">
        <f t="shared" ref="D186:F186" si="252">+D166*4/D183</f>
        <v>0.13852560527543384</v>
      </c>
      <c r="E186" s="1533">
        <f t="shared" si="252"/>
        <v>0.12070002368335386</v>
      </c>
      <c r="F186" s="1533">
        <f t="shared" si="252"/>
        <v>0.13432790810909639</v>
      </c>
      <c r="G186" s="1528">
        <f>+G166/AVERAGE(C183:F183)</f>
        <v>0.12850573260318376</v>
      </c>
      <c r="H186" s="1545"/>
      <c r="I186" s="1533">
        <f t="shared" ref="I186:L186" si="253">+I166*4/I183</f>
        <v>0.12880252382631641</v>
      </c>
      <c r="J186" s="1533">
        <f t="shared" si="253"/>
        <v>0.14874578557208024</v>
      </c>
      <c r="K186" s="1533">
        <f t="shared" si="253"/>
        <v>0.1411874813505071</v>
      </c>
      <c r="L186" s="1533">
        <f t="shared" si="253"/>
        <v>0.13274773724598343</v>
      </c>
      <c r="M186" s="1528">
        <f t="shared" ref="M186" si="254">+M166/AVERAGE(I183:L183)</f>
        <v>0.13764490481750291</v>
      </c>
      <c r="N186" s="1545"/>
      <c r="O186" s="1533">
        <f t="shared" ref="O186:R186" si="255">+O166*4/O183</f>
        <v>0.12066945911977935</v>
      </c>
      <c r="P186" s="1533">
        <f t="shared" si="255"/>
        <v>0.13149848807710876</v>
      </c>
      <c r="Q186" s="1533">
        <f t="shared" si="255"/>
        <v>0.11811175121329698</v>
      </c>
      <c r="R186" s="1533">
        <f t="shared" si="255"/>
        <v>0.13437591307608787</v>
      </c>
      <c r="S186" s="1528">
        <f t="shared" ref="S186" si="256">+S166/AVERAGE(O183:R183)</f>
        <v>0.12614549965520711</v>
      </c>
      <c r="T186" s="1545"/>
      <c r="U186" s="1533">
        <f t="shared" ref="U186:X186" si="257">+U166*4/U183</f>
        <v>0.12374453793856351</v>
      </c>
      <c r="V186" s="1533">
        <f t="shared" si="257"/>
        <v>0.14698139877792218</v>
      </c>
      <c r="W186" s="1533">
        <f t="shared" si="257"/>
        <v>0.11912239020742629</v>
      </c>
      <c r="X186" s="1533">
        <f t="shared" si="257"/>
        <v>0.131753648642639</v>
      </c>
      <c r="Y186" s="1528">
        <f t="shared" ref="Y186" si="258">+Y166/AVERAGE(U183:X183)</f>
        <v>0.13013756994005107</v>
      </c>
      <c r="Z186" s="1545"/>
      <c r="AA186" s="1533">
        <f t="shared" ref="AA186:AD186" si="259">+AA166*4/AA183</f>
        <v>0.12133744987736524</v>
      </c>
      <c r="AB186" s="1533">
        <f t="shared" si="259"/>
        <v>0.13383481779978443</v>
      </c>
      <c r="AC186" s="1533">
        <f t="shared" si="259"/>
        <v>6.8988556368280107E-2</v>
      </c>
      <c r="AD186" s="1533">
        <f t="shared" si="259"/>
        <v>8.0004748022805605E-2</v>
      </c>
      <c r="AE186" s="1528">
        <f t="shared" ref="AE186" si="260">+AE166/AVERAGE(AA183:AD183)</f>
        <v>9.4308779981675001E-2</v>
      </c>
      <c r="AF186" s="1545"/>
      <c r="AG186" s="1533">
        <f t="shared" ref="AG186:AJ186" si="261">+AG166*4/AG183</f>
        <v>7.7929227592832329E-2</v>
      </c>
      <c r="AH186" s="1533">
        <f t="shared" si="261"/>
        <v>9.2584943257687943E-2</v>
      </c>
      <c r="AI186" s="1533">
        <f t="shared" si="261"/>
        <v>7.8101445622500834E-2</v>
      </c>
      <c r="AJ186" s="1533">
        <f t="shared" si="261"/>
        <v>8.5240575421555373E-2</v>
      </c>
      <c r="AK186" s="1528">
        <f t="shared" ref="AK186" si="262">+AK166/AVERAGE(AG183:AJ183)</f>
        <v>8.3386590523642931E-2</v>
      </c>
      <c r="AL186" s="1545"/>
      <c r="AM186" s="1533">
        <f t="shared" ref="AM186:AP186" si="263">+AM166*4/AM183</f>
        <v>7.8391824342354352E-2</v>
      </c>
      <c r="AN186" s="1533">
        <f t="shared" si="263"/>
        <v>9.8990561777246758E-2</v>
      </c>
      <c r="AO186" s="1533">
        <f t="shared" si="263"/>
        <v>8.3751644586141816E-2</v>
      </c>
      <c r="AP186" s="1533">
        <f t="shared" si="263"/>
        <v>8.6056526254395319E-2</v>
      </c>
      <c r="AQ186" s="1528">
        <f t="shared" ref="AQ186" si="264">+AQ166/AVERAGE(AM183:AP183)</f>
        <v>8.6778823345399353E-2</v>
      </c>
      <c r="AR186" s="1545"/>
      <c r="AS186" s="1533">
        <f t="shared" ref="AS186:AV186" si="265">+AS166*4/AS183</f>
        <v>8.452603477855121E-2</v>
      </c>
      <c r="AT186" s="1533">
        <f t="shared" si="265"/>
        <v>9.919013049852908E-2</v>
      </c>
      <c r="AU186" s="1533">
        <f t="shared" si="265"/>
        <v>9.4326248637728177E-2</v>
      </c>
      <c r="AV186" s="1533">
        <f t="shared" si="265"/>
        <v>9.6565109249540135E-2</v>
      </c>
      <c r="AW186" s="1528">
        <f t="shared" ref="AW186" si="266">+AW166/AVERAGE(AS183:AV183)</f>
        <v>9.3530840254408235E-2</v>
      </c>
      <c r="AX186" s="1545"/>
      <c r="AY186" s="1533">
        <f t="shared" ref="AY186:BB186" si="267">+AY166*4/AY183</f>
        <v>9.3905812954851453E-2</v>
      </c>
      <c r="AZ186" s="1533">
        <f t="shared" si="267"/>
        <v>0.11272952386695195</v>
      </c>
      <c r="BA186" s="1533">
        <f t="shared" si="267"/>
        <v>0.11136611439096439</v>
      </c>
      <c r="BB186" s="1533">
        <f t="shared" si="267"/>
        <v>0.10875262697022768</v>
      </c>
      <c r="BC186" s="1528">
        <f t="shared" ref="BC186" si="268">+BC166/AVERAGE(AY183:BB183)</f>
        <v>0.10633069455524193</v>
      </c>
      <c r="BD186" s="1545"/>
      <c r="BE186" s="1533">
        <f t="shared" ref="BE186:BH186" si="269">+BE166*4/BE183</f>
        <v>4.966013585969619E-2</v>
      </c>
      <c r="BF186" s="1533">
        <f t="shared" si="269"/>
        <v>6.8613611100121694E-2</v>
      </c>
      <c r="BG186" s="1533">
        <f t="shared" si="269"/>
        <v>5.9983767767105151E-2</v>
      </c>
      <c r="BH186" s="1533">
        <f t="shared" si="269"/>
        <v>6.2596324050058633E-2</v>
      </c>
      <c r="BI186" s="1528">
        <f t="shared" ref="BI186" si="270">+BI166/AVERAGE(BE183:BH183)</f>
        <v>6.0169527248934623E-2</v>
      </c>
      <c r="BJ186" s="1545"/>
      <c r="BK186" s="1533">
        <f t="shared" ref="BK186:BN186" si="271">+BK166*4/BK183</f>
        <v>4.5497539775692243E-2</v>
      </c>
      <c r="BL186" s="1533">
        <f t="shared" si="271"/>
        <v>6.6424527488761598E-2</v>
      </c>
      <c r="BM186" s="1533">
        <f t="shared" si="271"/>
        <v>6.9093815431744671E-2</v>
      </c>
      <c r="BN186" s="1533">
        <f t="shared" si="271"/>
        <v>8.6701828325723401E-2</v>
      </c>
      <c r="BO186" s="1528">
        <f t="shared" ref="BO186" si="272">+BO166/AVERAGE(BK183:BN183)</f>
        <v>6.6214817585812005E-2</v>
      </c>
      <c r="BP186" s="1545"/>
      <c r="BQ186" s="1533">
        <f t="shared" ref="BQ186:BT186" si="273">+BQ166*4/BQ183</f>
        <v>4.829433106282182E-2</v>
      </c>
      <c r="BR186" s="1533">
        <f t="shared" si="273"/>
        <v>6.5531688355816339E-2</v>
      </c>
      <c r="BS186" s="1533">
        <f t="shared" si="273"/>
        <v>7.549895519098615E-2</v>
      </c>
      <c r="BT186" s="1533">
        <f t="shared" si="273"/>
        <v>8.620925973982195E-2</v>
      </c>
      <c r="BU186" s="1528">
        <f t="shared" ref="BU186" si="274">+BU166/AVERAGE(BQ183:BT183)</f>
        <v>6.8984741017004261E-2</v>
      </c>
      <c r="BV186" s="1545"/>
      <c r="BW186" s="1533">
        <f t="shared" ref="BW186:BZ186" si="275">+BW166*4/BW183</f>
        <v>6.8124695822637318E-2</v>
      </c>
      <c r="BX186" s="1533">
        <f t="shared" si="275"/>
        <v>7.9487367034321771E-2</v>
      </c>
      <c r="BY186" s="1533">
        <f t="shared" si="275"/>
        <v>8.0977877753937902E-2</v>
      </c>
      <c r="BZ186" s="1533">
        <f t="shared" si="275"/>
        <v>8.6187465167048297E-2</v>
      </c>
      <c r="CA186" s="1528">
        <f t="shared" ref="CA186" si="276">+CA166/AVERAGE(BW183:BZ183)</f>
        <v>7.8726524007331627E-2</v>
      </c>
      <c r="CB186" s="1545"/>
      <c r="CC186" s="1533">
        <f t="shared" ref="CC186:CF186" si="277">+CC166*4/CC183</f>
        <v>7.4439665203712327E-2</v>
      </c>
      <c r="CD186" s="1533">
        <f t="shared" si="277"/>
        <v>8.5737034630038872E-2</v>
      </c>
      <c r="CE186" s="1533">
        <f t="shared" si="277"/>
        <v>8.7431089739588519E-2</v>
      </c>
      <c r="CF186" s="1533">
        <f t="shared" si="277"/>
        <v>9.3381491821962842E-2</v>
      </c>
      <c r="CG186" s="1528">
        <f t="shared" ref="CG186" si="278">+CG166/AVERAGE(CC183:CF183)</f>
        <v>8.5289291510110513E-2</v>
      </c>
      <c r="CH186" s="1528"/>
    </row>
    <row r="187" spans="1:86" ht="11.25" customHeight="1" x14ac:dyDescent="0.2">
      <c r="A187" s="1460"/>
      <c r="B187" s="1460" t="s">
        <v>748</v>
      </c>
      <c r="C187" s="1533">
        <f>+C166*4/C184</f>
        <v>0.25358079195217686</v>
      </c>
      <c r="D187" s="1533">
        <f>+D166*4/D184</f>
        <v>0.29511480185798122</v>
      </c>
      <c r="E187" s="1533">
        <f>+E166*4/E184</f>
        <v>0.26836345493902952</v>
      </c>
      <c r="F187" s="1533">
        <f>+F166*4/F184</f>
        <v>0.29882309053859252</v>
      </c>
      <c r="G187" s="1528">
        <f>+G166/AVERAGE(C184:F184)</f>
        <v>0.27899592901399023</v>
      </c>
      <c r="H187" s="1545"/>
      <c r="I187" s="1533">
        <f t="shared" ref="I187:L187" si="279">+I166*4/I184</f>
        <v>0.26737368216827828</v>
      </c>
      <c r="J187" s="1533">
        <f t="shared" si="279"/>
        <v>0.31249698371695867</v>
      </c>
      <c r="K187" s="1533">
        <f t="shared" si="279"/>
        <v>0.31390878917354109</v>
      </c>
      <c r="L187" s="1533">
        <f t="shared" si="279"/>
        <v>0.29977170464590464</v>
      </c>
      <c r="M187" s="1528">
        <f t="shared" ref="M187" si="280">+M166/AVERAGE(I184:L184)</f>
        <v>0.2974226107818842</v>
      </c>
      <c r="N187" s="1545"/>
      <c r="O187" s="1533">
        <f t="shared" ref="O187:R187" si="281">+O166*4/O184</f>
        <v>0.26472767804972608</v>
      </c>
      <c r="P187" s="1533">
        <f t="shared" si="281"/>
        <v>0.28847872607643466</v>
      </c>
      <c r="Q187" s="1533">
        <f t="shared" si="281"/>
        <v>0.26373003340968482</v>
      </c>
      <c r="R187" s="1533">
        <f t="shared" si="281"/>
        <v>0.31760901779392742</v>
      </c>
      <c r="S187" s="1528">
        <f t="shared" ref="S187" si="282">+S166/AVERAGE(O184:R184)</f>
        <v>0.28304863633316668</v>
      </c>
      <c r="T187" s="1545"/>
      <c r="U187" s="1533">
        <f t="shared" ref="U187:X187" si="283">+U166*4/U184</f>
        <v>0.28295986791370809</v>
      </c>
      <c r="V187" s="1533">
        <f t="shared" si="283"/>
        <v>0.33644973059741734</v>
      </c>
      <c r="W187" s="1533">
        <f t="shared" si="283"/>
        <v>0.27282474105079985</v>
      </c>
      <c r="X187" s="1533">
        <f t="shared" si="283"/>
        <v>0.2933337497719663</v>
      </c>
      <c r="Y187" s="1528">
        <f t="shared" ref="Y187" si="284">+Y166/AVERAGE(U184:X184)</f>
        <v>0.29569156954368747</v>
      </c>
      <c r="Z187" s="1545"/>
      <c r="AA187" s="1533">
        <f t="shared" ref="AA187:AD187" si="285">+AA166*4/AA184</f>
        <v>0.26257630054900083</v>
      </c>
      <c r="AB187" s="1533">
        <f t="shared" si="285"/>
        <v>0.29274925781166816</v>
      </c>
      <c r="AC187" s="1533">
        <f t="shared" si="285"/>
        <v>0.14240003513753555</v>
      </c>
      <c r="AD187" s="1533">
        <f t="shared" si="285"/>
        <v>0.16585952730141937</v>
      </c>
      <c r="AE187" s="1528">
        <f t="shared" ref="AE187" si="286">+AE166/AVERAGE(AA184:AD184)</f>
        <v>0.19874064011844425</v>
      </c>
      <c r="AF187" s="1545"/>
      <c r="AG187" s="1533">
        <f t="shared" ref="AG187:AJ187" si="287">+AG166*4/AG184</f>
        <v>0.14842696243960327</v>
      </c>
      <c r="AH187" s="1533">
        <f t="shared" si="287"/>
        <v>0.17544461359951907</v>
      </c>
      <c r="AI187" s="1533">
        <f t="shared" si="287"/>
        <v>0.15700207983378417</v>
      </c>
      <c r="AJ187" s="1533">
        <f t="shared" si="287"/>
        <v>0.17706642081194762</v>
      </c>
      <c r="AK187" s="1528">
        <f t="shared" ref="AK187" si="288">+AK166/AVERAGE(AG184:AJ184)</f>
        <v>0.16412925256813954</v>
      </c>
      <c r="AL187" s="1545"/>
      <c r="AM187" s="1533">
        <f t="shared" ref="AM187:AP187" si="289">+AM166*4/AM184</f>
        <v>0.15675775862036281</v>
      </c>
      <c r="AN187" s="1533">
        <f t="shared" si="289"/>
        <v>0.19675600337781132</v>
      </c>
      <c r="AO187" s="1533">
        <f t="shared" si="289"/>
        <v>0.1668872687305982</v>
      </c>
      <c r="AP187" s="1533">
        <f t="shared" si="289"/>
        <v>0.1739089948402916</v>
      </c>
      <c r="AQ187" s="1528">
        <f t="shared" ref="AQ187" si="290">+AQ166/AVERAGE(AM184:AP184)</f>
        <v>0.17358165503753756</v>
      </c>
      <c r="AR187" s="1545"/>
      <c r="AS187" s="1533">
        <f t="shared" ref="AS187:AV187" si="291">+AS166*4/AS184</f>
        <v>0.17308257189652387</v>
      </c>
      <c r="AT187" s="1533">
        <f t="shared" si="291"/>
        <v>0.20522607170150126</v>
      </c>
      <c r="AU187" s="1533">
        <f t="shared" si="291"/>
        <v>0.19590423999085207</v>
      </c>
      <c r="AV187" s="1533">
        <f t="shared" si="291"/>
        <v>0.20453919682465763</v>
      </c>
      <c r="AW187" s="1528">
        <f t="shared" ref="AW187" si="292">+AW166/AVERAGE(AS184:AV184)</f>
        <v>0.19421377928714301</v>
      </c>
      <c r="AX187" s="1545"/>
      <c r="AY187" s="1533">
        <f t="shared" ref="AY187:BB187" si="293">+AY166*4/AY184</f>
        <v>0.18960146941709907</v>
      </c>
      <c r="AZ187" s="1533">
        <f t="shared" si="293"/>
        <v>0.23078721713504471</v>
      </c>
      <c r="BA187" s="1533">
        <f t="shared" si="293"/>
        <v>0.24125724516507285</v>
      </c>
      <c r="BB187" s="1533">
        <f t="shared" si="293"/>
        <v>0.23843628509719222</v>
      </c>
      <c r="BC187" s="1528">
        <f t="shared" ref="BC187" si="294">+BC166/AVERAGE(AY184:BB184)</f>
        <v>0.2234601576240294</v>
      </c>
      <c r="BD187" s="1545"/>
      <c r="BE187" s="1533">
        <f t="shared" ref="BE187:BH187" si="295">+BE166*4/BE184</f>
        <v>0.111586749722343</v>
      </c>
      <c r="BF187" s="1533">
        <f t="shared" si="295"/>
        <v>0.15444283401737305</v>
      </c>
      <c r="BG187" s="1533">
        <f t="shared" si="295"/>
        <v>0.13549584089543606</v>
      </c>
      <c r="BH187" s="1533">
        <f t="shared" si="295"/>
        <v>0.1441168633463738</v>
      </c>
      <c r="BI187" s="1528">
        <f t="shared" ref="BI187" si="296">+BI166/AVERAGE(BE184:BH184)</f>
        <v>0.1362569954844802</v>
      </c>
      <c r="BJ187" s="1545"/>
      <c r="BK187" s="1533">
        <f t="shared" ref="BK187:BN187" si="297">+BK166*4/BK184</f>
        <v>0.10510645010212746</v>
      </c>
      <c r="BL187" s="1533">
        <f t="shared" si="297"/>
        <v>0.13557023218478573</v>
      </c>
      <c r="BM187" s="1533">
        <f t="shared" si="297"/>
        <v>0.1402602630245601</v>
      </c>
      <c r="BN187" s="1533">
        <f t="shared" si="297"/>
        <v>0.17243847715828853</v>
      </c>
      <c r="BO187" s="1528">
        <f t="shared" ref="BO187" si="298">+BO166/AVERAGE(BK184:BN184)</f>
        <v>0.13840547776873641</v>
      </c>
      <c r="BP187" s="1545"/>
      <c r="BQ187" s="1533">
        <f t="shared" ref="BQ187:BT187" si="299">+BQ166*4/BQ184</f>
        <v>9.7788194658503413E-2</v>
      </c>
      <c r="BR187" s="1533">
        <f t="shared" si="299"/>
        <v>0.13180730403415333</v>
      </c>
      <c r="BS187" s="1533">
        <f t="shared" si="299"/>
        <v>0.15063263049586792</v>
      </c>
      <c r="BT187" s="1533">
        <f t="shared" si="299"/>
        <v>0.17124561716643147</v>
      </c>
      <c r="BU187" s="1528">
        <f t="shared" ref="BU187" si="300">+BU166/AVERAGE(BQ184:BT184)</f>
        <v>0.138260545230804</v>
      </c>
      <c r="BV187" s="1545"/>
      <c r="BW187" s="1533">
        <f t="shared" ref="BW187:BZ187" si="301">+BW166*4/BW184</f>
        <v>0.1384106503639719</v>
      </c>
      <c r="BX187" s="1533">
        <f t="shared" si="301"/>
        <v>0.16053340885642808</v>
      </c>
      <c r="BY187" s="1533">
        <f t="shared" si="301"/>
        <v>0.1627091029116286</v>
      </c>
      <c r="BZ187" s="1533">
        <f t="shared" si="301"/>
        <v>0.17276058985995471</v>
      </c>
      <c r="CA187" s="1528">
        <f t="shared" ref="CA187" si="302">+CA166/AVERAGE(BW184:BZ184)</f>
        <v>0.15872611305501716</v>
      </c>
      <c r="CB187" s="1545"/>
      <c r="CC187" s="1533">
        <f t="shared" ref="CC187:CF187" si="303">+CC166*4/CC184</f>
        <v>0.15273474942121701</v>
      </c>
      <c r="CD187" s="1533">
        <f t="shared" si="303"/>
        <v>0.17461549366380461</v>
      </c>
      <c r="CE187" s="1533">
        <f t="shared" si="303"/>
        <v>0.17699893924351173</v>
      </c>
      <c r="CF187" s="1533">
        <f t="shared" si="303"/>
        <v>0.18830633928199433</v>
      </c>
      <c r="CG187" s="1528">
        <f t="shared" ref="CG187" si="304">+CG166/AVERAGE(CC184:CF184)</f>
        <v>0.17332308875021551</v>
      </c>
      <c r="CH187" s="1528"/>
    </row>
    <row r="188" spans="1:86" ht="11.25" customHeight="1" x14ac:dyDescent="0.2">
      <c r="B188" s="16"/>
    </row>
    <row r="189" spans="1:86" ht="11.25" customHeight="1" x14ac:dyDescent="0.2">
      <c r="B189" s="16"/>
    </row>
    <row r="190" spans="1:86" ht="11.25" customHeight="1" x14ac:dyDescent="0.2">
      <c r="B190" s="16"/>
    </row>
    <row r="191" spans="1:86" ht="11.25" customHeight="1" x14ac:dyDescent="0.2">
      <c r="B191" s="16"/>
    </row>
    <row r="192" spans="1:86" customFormat="1" x14ac:dyDescent="0.2"/>
    <row r="193" spans="1:94" s="24" customFormat="1" ht="11.25" customHeight="1" x14ac:dyDescent="0.2">
      <c r="A193" s="763"/>
      <c r="B193" s="763"/>
      <c r="C193" s="763"/>
      <c r="D193" s="763"/>
      <c r="E193" s="763"/>
      <c r="F193" s="763"/>
      <c r="G193" s="763"/>
      <c r="H193" s="763"/>
      <c r="I193" s="763"/>
      <c r="J193" s="763"/>
      <c r="K193" s="763"/>
      <c r="L193" s="763"/>
      <c r="M193" s="763"/>
      <c r="N193" s="763"/>
      <c r="O193" s="763"/>
      <c r="P193" s="763"/>
      <c r="Q193" s="763"/>
      <c r="R193" s="763"/>
      <c r="S193" s="763"/>
      <c r="T193" s="763"/>
      <c r="U193" s="763"/>
      <c r="V193" s="763"/>
      <c r="W193" s="763"/>
      <c r="X193" s="763"/>
      <c r="Y193" s="763"/>
      <c r="Z193" s="763"/>
      <c r="AA193" s="763"/>
      <c r="AB193" s="763"/>
      <c r="AC193" s="763"/>
      <c r="AD193" s="763"/>
      <c r="AE193" s="763"/>
      <c r="AF193" s="763"/>
      <c r="AG193" s="763"/>
      <c r="AH193" s="763"/>
      <c r="AI193" s="763"/>
      <c r="AJ193" s="763"/>
      <c r="AK193" s="763"/>
      <c r="AL193" s="763"/>
      <c r="AM193" s="763"/>
      <c r="AN193" s="763"/>
      <c r="AO193" s="763"/>
      <c r="AP193" s="763"/>
      <c r="AQ193" s="763"/>
      <c r="AR193" s="763"/>
      <c r="AS193" s="763"/>
      <c r="AT193" s="763"/>
      <c r="AU193" s="763"/>
      <c r="AV193" s="763"/>
      <c r="AW193" s="763"/>
      <c r="AX193" s="763"/>
      <c r="AY193" s="763"/>
      <c r="AZ193" s="763"/>
      <c r="BA193" s="763"/>
      <c r="BB193" s="763"/>
      <c r="BC193" s="763"/>
      <c r="BD193" s="763"/>
      <c r="BE193" s="763"/>
      <c r="BF193" s="763"/>
      <c r="BG193" s="763"/>
      <c r="BH193" s="763"/>
      <c r="BI193" s="763"/>
      <c r="BJ193" s="763"/>
      <c r="BK193" s="763"/>
      <c r="BL193" s="763"/>
      <c r="BM193" s="763"/>
      <c r="BN193" s="763"/>
      <c r="BO193" s="763"/>
      <c r="BP193" s="763"/>
      <c r="BQ193" s="763"/>
      <c r="BR193" s="763"/>
      <c r="BS193" s="763"/>
      <c r="BT193" s="763"/>
      <c r="BU193" s="763"/>
      <c r="BV193" s="763"/>
      <c r="BW193" s="763"/>
      <c r="BX193" s="763"/>
      <c r="BY193" s="763"/>
      <c r="BZ193" s="763"/>
      <c r="CA193" s="763"/>
      <c r="CB193" s="763"/>
      <c r="CC193" s="763"/>
      <c r="CD193" s="763"/>
      <c r="CE193" s="763"/>
      <c r="CF193" s="763"/>
      <c r="CG193" s="763"/>
      <c r="CH193" s="763"/>
      <c r="CI193" s="763"/>
      <c r="CJ193" s="763"/>
      <c r="CK193"/>
      <c r="CL193"/>
      <c r="CM193"/>
      <c r="CN193"/>
      <c r="CO193"/>
      <c r="CP193"/>
    </row>
    <row r="194" spans="1:94" s="24" customFormat="1" ht="11.25" customHeight="1" x14ac:dyDescent="0.2">
      <c r="A194" s="763"/>
      <c r="B194" s="763"/>
      <c r="C194" s="763"/>
      <c r="D194" s="763"/>
      <c r="E194" s="763"/>
      <c r="F194" s="763"/>
      <c r="G194" s="763"/>
      <c r="H194" s="763"/>
      <c r="I194" s="763"/>
      <c r="J194" s="763"/>
      <c r="K194" s="763"/>
      <c r="L194" s="763"/>
      <c r="M194" s="763"/>
      <c r="N194" s="763"/>
      <c r="O194" s="763"/>
      <c r="P194" s="763"/>
      <c r="Q194" s="763"/>
      <c r="R194" s="763"/>
      <c r="S194" s="763"/>
      <c r="T194" s="763"/>
      <c r="U194" s="763"/>
      <c r="V194" s="763"/>
      <c r="W194" s="763"/>
      <c r="X194" s="763"/>
      <c r="Y194" s="763"/>
      <c r="Z194" s="763"/>
      <c r="AA194" s="763"/>
      <c r="AB194" s="763"/>
      <c r="AC194" s="763"/>
      <c r="AD194" s="763"/>
      <c r="AE194" s="763"/>
      <c r="AF194" s="763"/>
      <c r="AG194" s="763"/>
      <c r="AH194" s="763"/>
      <c r="AI194" s="763"/>
      <c r="AJ194" s="763"/>
      <c r="AK194" s="763"/>
      <c r="AL194" s="763"/>
      <c r="AM194" s="763"/>
      <c r="AN194" s="763"/>
      <c r="AO194" s="763"/>
      <c r="AP194" s="763"/>
      <c r="AQ194" s="763"/>
      <c r="AR194" s="763"/>
      <c r="AS194" s="763"/>
      <c r="AT194" s="763"/>
      <c r="AU194" s="763"/>
      <c r="AV194" s="763"/>
      <c r="AW194" s="763"/>
      <c r="AX194" s="763"/>
      <c r="AY194" s="763"/>
      <c r="AZ194" s="763"/>
      <c r="BA194" s="763"/>
      <c r="BB194" s="763"/>
      <c r="BC194" s="763"/>
      <c r="BD194" s="763"/>
      <c r="BE194" s="763"/>
      <c r="BF194" s="763"/>
      <c r="BG194" s="763"/>
      <c r="BH194" s="763"/>
      <c r="BI194" s="763"/>
      <c r="BJ194" s="763"/>
      <c r="BK194" s="763"/>
      <c r="BL194" s="763"/>
      <c r="BM194" s="763"/>
      <c r="BN194" s="763"/>
      <c r="BO194" s="763"/>
      <c r="BP194" s="763"/>
      <c r="BQ194" s="763"/>
      <c r="BR194" s="763"/>
      <c r="BS194" s="763"/>
      <c r="BT194" s="763"/>
      <c r="BU194" s="763"/>
      <c r="BV194" s="763"/>
      <c r="BW194" s="763"/>
      <c r="BX194" s="763"/>
      <c r="BY194" s="763"/>
      <c r="BZ194" s="763"/>
      <c r="CA194" s="763"/>
      <c r="CB194" s="763"/>
      <c r="CC194" s="763"/>
      <c r="CD194" s="763"/>
      <c r="CE194" s="763"/>
      <c r="CF194" s="763"/>
      <c r="CG194" s="763"/>
      <c r="CH194" s="763"/>
      <c r="CI194" s="763"/>
      <c r="CJ194" s="763"/>
      <c r="CK194"/>
      <c r="CL194"/>
      <c r="CM194"/>
      <c r="CN194"/>
      <c r="CO194"/>
      <c r="CP194"/>
    </row>
    <row r="195" spans="1:94" s="24" customFormat="1" ht="11.25" customHeight="1" x14ac:dyDescent="0.2">
      <c r="A195" s="763"/>
      <c r="B195" s="763"/>
      <c r="C195" s="763"/>
      <c r="D195" s="763"/>
      <c r="E195" s="763"/>
      <c r="F195" s="763"/>
      <c r="G195" s="763"/>
      <c r="H195" s="763"/>
      <c r="I195" s="763"/>
      <c r="J195" s="763"/>
      <c r="K195" s="763"/>
      <c r="L195" s="763"/>
      <c r="M195" s="763"/>
      <c r="N195" s="763"/>
      <c r="O195" s="763"/>
      <c r="P195" s="763"/>
      <c r="Q195" s="763"/>
      <c r="R195" s="763"/>
      <c r="S195" s="763"/>
      <c r="T195" s="763"/>
      <c r="U195" s="763"/>
      <c r="V195" s="763"/>
      <c r="W195" s="763"/>
      <c r="X195" s="763"/>
      <c r="Y195" s="763"/>
      <c r="Z195" s="763"/>
      <c r="AA195" s="763"/>
      <c r="AB195" s="763"/>
      <c r="AC195" s="763"/>
      <c r="AD195" s="763"/>
      <c r="AE195" s="763"/>
      <c r="AF195" s="763"/>
      <c r="AG195" s="763"/>
      <c r="AH195" s="763"/>
      <c r="AI195" s="763"/>
      <c r="AJ195" s="763"/>
      <c r="AK195" s="763"/>
      <c r="AL195" s="763"/>
      <c r="AM195" s="763"/>
      <c r="AN195" s="763"/>
      <c r="AO195" s="763"/>
      <c r="AP195" s="763"/>
      <c r="AQ195" s="763"/>
      <c r="AR195" s="763"/>
      <c r="AS195" s="763"/>
      <c r="AT195" s="763"/>
      <c r="AU195" s="763"/>
      <c r="AV195" s="763"/>
      <c r="AW195" s="763"/>
      <c r="AX195" s="763"/>
      <c r="AY195" s="763"/>
      <c r="AZ195" s="763"/>
      <c r="BA195" s="763"/>
      <c r="BB195" s="763"/>
      <c r="BC195" s="763"/>
      <c r="BD195" s="763"/>
      <c r="BE195" s="763"/>
      <c r="BF195" s="763"/>
      <c r="BG195" s="763"/>
      <c r="BH195" s="763"/>
      <c r="BI195" s="763"/>
      <c r="BJ195" s="763"/>
      <c r="BK195" s="763"/>
      <c r="BL195" s="763"/>
      <c r="BM195" s="763"/>
      <c r="BN195" s="763"/>
      <c r="BO195" s="763"/>
      <c r="BP195" s="763"/>
      <c r="BQ195" s="763"/>
      <c r="BR195" s="763"/>
      <c r="BS195" s="763"/>
      <c r="BT195" s="763"/>
      <c r="BU195" s="763"/>
      <c r="BV195" s="763"/>
      <c r="BW195" s="763"/>
      <c r="BX195" s="763"/>
      <c r="BY195" s="763"/>
      <c r="BZ195" s="763"/>
      <c r="CA195" s="763"/>
      <c r="CB195" s="763"/>
      <c r="CC195" s="763"/>
      <c r="CD195" s="763"/>
      <c r="CE195" s="763"/>
      <c r="CF195" s="763"/>
      <c r="CG195" s="763"/>
      <c r="CH195" s="763"/>
      <c r="CI195" s="763"/>
      <c r="CJ195" s="763"/>
      <c r="CK195"/>
      <c r="CL195"/>
      <c r="CM195"/>
      <c r="CN195"/>
      <c r="CO195"/>
      <c r="CP195"/>
    </row>
  </sheetData>
  <mergeCells count="14">
    <mergeCell ref="BW5:CA5"/>
    <mergeCell ref="CC5:CG5"/>
    <mergeCell ref="AM5:AQ5"/>
    <mergeCell ref="AS5:AW5"/>
    <mergeCell ref="AY5:BC5"/>
    <mergeCell ref="BE5:BI5"/>
    <mergeCell ref="BK5:BO5"/>
    <mergeCell ref="BQ5:BU5"/>
    <mergeCell ref="AG5:AK5"/>
    <mergeCell ref="C5:G5"/>
    <mergeCell ref="I5:M5"/>
    <mergeCell ref="O5:S5"/>
    <mergeCell ref="U5:Y5"/>
    <mergeCell ref="AA5:AE5"/>
  </mergeCells>
  <printOptions horizontalCentered="1" verticalCentered="1"/>
  <pageMargins left="0" right="0" top="0" bottom="0" header="0" footer="0"/>
  <pageSetup scale="30" orientation="landscape" r:id="rId1"/>
  <headerFooter alignWithMargins="0"/>
  <ignoredErrors>
    <ignoredError sqref="AK10:AW10 BI130 BI141" formula="1"/>
    <ignoredError sqref="B168:CG184 B162:BM167 BP162:CG167 BN162:BN164 BO162:BO164" unlockedFormula="1"/>
  </ignoredError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tabColor theme="0"/>
    <pageSetUpPr fitToPage="1"/>
  </sheetPr>
  <dimension ref="A1:HW210"/>
  <sheetViews>
    <sheetView showGridLines="0" zoomScaleNormal="100" workbookViewId="0">
      <pane xSplit="2" ySplit="6" topLeftCell="AK7" activePane="bottomRight" state="frozen"/>
      <selection activeCell="BQ281" sqref="BQ281"/>
      <selection pane="topRight" activeCell="BQ281" sqref="BQ281"/>
      <selection pane="bottomLeft" activeCell="BQ281" sqref="BQ281"/>
      <selection pane="bottomRight" sqref="A1:XFD1048576"/>
    </sheetView>
  </sheetViews>
  <sheetFormatPr defaultRowHeight="12.75" outlineLevelRow="1" outlineLevelCol="1" x14ac:dyDescent="0.2"/>
  <cols>
    <col min="1" max="1" width="1.85546875" style="763" customWidth="1"/>
    <col min="2" max="2" width="26.5703125" style="763" customWidth="1"/>
    <col min="3" max="7" width="7.7109375" style="763" hidden="1" customWidth="1" outlineLevel="1"/>
    <col min="8" max="8" width="0.85546875" style="763" hidden="1" customWidth="1" outlineLevel="1"/>
    <col min="9" max="13" width="7.7109375" style="763" hidden="1" customWidth="1" outlineLevel="1"/>
    <col min="14" max="14" width="0.85546875" style="763" hidden="1" customWidth="1" outlineLevel="1"/>
    <col min="15" max="19" width="7.7109375" style="763" hidden="1" customWidth="1" outlineLevel="1"/>
    <col min="20" max="20" width="0.85546875" style="763" hidden="1" customWidth="1" outlineLevel="1"/>
    <col min="21" max="25" width="7.7109375" style="763" hidden="1" customWidth="1" outlineLevel="1"/>
    <col min="26" max="26" width="0.85546875" style="763" hidden="1" customWidth="1" outlineLevel="1"/>
    <col min="27" max="30" width="7.7109375" style="763" hidden="1" customWidth="1" outlineLevel="1"/>
    <col min="31" max="31" width="8.5703125" style="763" hidden="1" customWidth="1" outlineLevel="1"/>
    <col min="32" max="32" width="0.85546875" style="763" hidden="1" customWidth="1" outlineLevel="1"/>
    <col min="33" max="36" width="7.7109375" style="763" hidden="1" customWidth="1" outlineLevel="1"/>
    <col min="37" max="37" width="7.7109375" style="763" customWidth="1" collapsed="1"/>
    <col min="38" max="38" width="0.85546875" style="763" customWidth="1"/>
    <col min="39" max="42" width="7.7109375" style="763" hidden="1" customWidth="1" outlineLevel="1"/>
    <col min="43" max="43" width="7.7109375" style="763" customWidth="1" collapsed="1"/>
    <col min="44" max="44" width="0.85546875" style="763" customWidth="1"/>
    <col min="45" max="48" width="7.7109375" style="763" hidden="1" customWidth="1" outlineLevel="1"/>
    <col min="49" max="49" width="7.7109375" style="763" customWidth="1" collapsed="1"/>
    <col min="50" max="50" width="0.85546875" style="763" customWidth="1"/>
    <col min="51" max="54" width="7.7109375" style="763" hidden="1" customWidth="1" outlineLevel="1"/>
    <col min="55" max="55" width="7.7109375" style="763" customWidth="1" collapsed="1"/>
    <col min="56" max="56" width="0.85546875" style="763" customWidth="1"/>
    <col min="57" max="60" width="7.7109375" style="763" hidden="1" customWidth="1" outlineLevel="1"/>
    <col min="61" max="61" width="7.7109375" style="763" customWidth="1" collapsed="1"/>
    <col min="62" max="62" width="0.85546875" style="763" customWidth="1"/>
    <col min="63" max="66" width="7.7109375" style="763" customWidth="1" outlineLevel="1"/>
    <col min="67" max="67" width="7.7109375" style="763" customWidth="1"/>
    <col min="68" max="68" width="0.85546875" style="763" customWidth="1"/>
    <col min="69" max="72" width="7.7109375" style="763" customWidth="1" outlineLevel="1"/>
    <col min="73" max="73" width="7.7109375" style="763" customWidth="1"/>
    <col min="74" max="74" width="0.85546875" style="763" customWidth="1"/>
    <col min="75" max="78" width="7.7109375" style="763" customWidth="1" outlineLevel="1"/>
    <col min="79" max="79" width="7.7109375" style="763" customWidth="1"/>
    <col min="80" max="80" width="0.85546875" style="763" customWidth="1"/>
    <col min="81" max="84" width="7.7109375" style="763" hidden="1" customWidth="1" outlineLevel="1"/>
    <col min="85" max="85" width="7.7109375" style="763" customWidth="1" collapsed="1"/>
    <col min="86" max="87" width="7" style="763" customWidth="1"/>
    <col min="88" max="88" width="9.140625" style="763"/>
    <col min="89" max="89" width="21.7109375" hidden="1" customWidth="1" outlineLevel="1"/>
    <col min="90" max="94" width="9.140625" hidden="1" customWidth="1" outlineLevel="1"/>
    <col min="95" max="95" width="9.140625" style="763" collapsed="1"/>
    <col min="96" max="16384" width="9.140625" style="763"/>
  </cols>
  <sheetData>
    <row r="1" spans="1:95" ht="11.25" customHeight="1" x14ac:dyDescent="0.2">
      <c r="B1" s="80" t="str">
        <f>'BalSht '!B1</f>
        <v>Dentsply Sirona Inc.</v>
      </c>
      <c r="D1" s="24"/>
      <c r="H1" s="34"/>
      <c r="J1" s="24"/>
      <c r="N1" s="34"/>
      <c r="P1" s="24"/>
      <c r="T1" s="34"/>
      <c r="V1" s="24"/>
      <c r="Z1" s="34"/>
      <c r="AB1" s="24"/>
      <c r="AF1" s="34"/>
      <c r="AH1" s="24"/>
      <c r="AL1" s="34"/>
      <c r="AN1" s="24"/>
      <c r="AR1" s="34"/>
      <c r="AX1" s="34"/>
      <c r="BD1" s="34"/>
      <c r="BJ1" s="34"/>
      <c r="BP1" s="34"/>
      <c r="BV1" s="34"/>
      <c r="CB1" s="34"/>
    </row>
    <row r="2" spans="1:95" ht="11.25" customHeight="1" x14ac:dyDescent="0.2">
      <c r="B2" s="17" t="s">
        <v>497</v>
      </c>
      <c r="D2" s="24"/>
      <c r="H2" s="34"/>
      <c r="J2" s="24"/>
      <c r="N2" s="34"/>
      <c r="P2" s="24"/>
      <c r="T2" s="34"/>
      <c r="V2" s="24"/>
      <c r="Z2" s="34"/>
      <c r="AB2" s="24"/>
      <c r="AF2" s="34"/>
      <c r="AH2" s="24"/>
      <c r="AL2" s="34"/>
      <c r="AN2" s="24"/>
      <c r="AR2" s="34"/>
      <c r="AV2" s="31"/>
      <c r="AX2" s="34"/>
      <c r="BD2" s="34"/>
      <c r="BJ2" s="34"/>
      <c r="BN2" s="1607"/>
      <c r="BP2" s="34"/>
      <c r="BV2" s="34"/>
      <c r="CB2" s="34"/>
    </row>
    <row r="3" spans="1:95" ht="11.25" customHeight="1" x14ac:dyDescent="0.2">
      <c r="B3" s="8" t="s">
        <v>78</v>
      </c>
      <c r="D3" s="24"/>
      <c r="G3" s="379"/>
      <c r="H3" s="1"/>
      <c r="J3" s="24"/>
      <c r="M3" s="379"/>
      <c r="N3" s="1"/>
      <c r="P3" s="24"/>
      <c r="S3" s="379"/>
      <c r="T3" s="1"/>
      <c r="V3" s="24"/>
      <c r="Y3" s="379"/>
      <c r="Z3" s="1"/>
      <c r="AB3" s="24"/>
      <c r="AE3" s="379"/>
      <c r="AF3" s="1"/>
      <c r="AH3" s="24"/>
      <c r="AK3" s="379"/>
      <c r="AL3" s="1"/>
      <c r="AN3" s="24"/>
      <c r="AQ3" s="379"/>
      <c r="AR3" s="1"/>
      <c r="AV3" s="31"/>
      <c r="AW3" s="379"/>
      <c r="AX3" s="1"/>
      <c r="BC3" s="379"/>
      <c r="BD3" s="1"/>
      <c r="BE3" s="1070"/>
      <c r="BI3" s="379"/>
      <c r="BJ3" s="1"/>
      <c r="BO3" s="379"/>
      <c r="BP3" s="1"/>
      <c r="BU3" s="379"/>
      <c r="BV3" s="1"/>
      <c r="CA3" s="379"/>
      <c r="CB3" s="1"/>
      <c r="CG3" s="379"/>
    </row>
    <row r="4" spans="1:95" ht="11.25" customHeight="1" x14ac:dyDescent="0.2">
      <c r="B4" s="9" t="s">
        <v>332</v>
      </c>
      <c r="D4" s="24"/>
      <c r="G4" s="379"/>
      <c r="H4" s="1"/>
      <c r="J4" s="24"/>
      <c r="M4" s="379"/>
      <c r="N4" s="1"/>
      <c r="P4" s="24"/>
      <c r="S4" s="379"/>
      <c r="T4" s="1"/>
      <c r="V4" s="24"/>
      <c r="Y4" s="379"/>
      <c r="Z4" s="1"/>
      <c r="AB4" s="24"/>
      <c r="AE4" s="379"/>
      <c r="AF4" s="1"/>
      <c r="AH4" s="24"/>
      <c r="AK4" s="379"/>
      <c r="AL4" s="1"/>
      <c r="AN4" s="24"/>
      <c r="AQ4" s="379"/>
      <c r="AR4" s="1"/>
      <c r="AW4" s="379"/>
      <c r="AX4" s="1"/>
      <c r="BC4" s="379"/>
      <c r="BD4" s="1"/>
      <c r="BI4" s="379"/>
      <c r="BJ4" s="1"/>
      <c r="BO4" s="379"/>
      <c r="BP4" s="1"/>
      <c r="BU4" s="379"/>
      <c r="BV4" s="1"/>
      <c r="CA4" s="379"/>
      <c r="CB4" s="1"/>
      <c r="CG4" s="379"/>
    </row>
    <row r="5" spans="1:95" s="762" customFormat="1" ht="11.25" customHeight="1" x14ac:dyDescent="0.2">
      <c r="C5" s="1712" t="str">
        <f>'BalSht '!C5</f>
        <v>2007A</v>
      </c>
      <c r="D5" s="1712"/>
      <c r="E5" s="1712"/>
      <c r="F5" s="1712"/>
      <c r="G5" s="1712"/>
      <c r="H5" s="4"/>
      <c r="I5" s="1712" t="str">
        <f>'BalSht '!I5</f>
        <v>2008A</v>
      </c>
      <c r="J5" s="1712"/>
      <c r="K5" s="1712"/>
      <c r="L5" s="1712"/>
      <c r="M5" s="1712"/>
      <c r="N5" s="4"/>
      <c r="O5" s="1712" t="str">
        <f>'BalSht '!O5</f>
        <v>2009A</v>
      </c>
      <c r="P5" s="1712"/>
      <c r="Q5" s="1712"/>
      <c r="R5" s="1712"/>
      <c r="S5" s="1712"/>
      <c r="T5" s="4"/>
      <c r="U5" s="1712" t="str">
        <f>'BalSht '!U5</f>
        <v>2010A</v>
      </c>
      <c r="V5" s="1712"/>
      <c r="W5" s="1712"/>
      <c r="X5" s="1712"/>
      <c r="Y5" s="1712"/>
      <c r="Z5" s="4"/>
      <c r="AA5" s="1712" t="str">
        <f>'BalSht '!AA5</f>
        <v>2011A</v>
      </c>
      <c r="AB5" s="1712"/>
      <c r="AC5" s="1712"/>
      <c r="AD5" s="1712"/>
      <c r="AE5" s="1712"/>
      <c r="AF5" s="4"/>
      <c r="AG5" s="1712" t="str">
        <f>'BalSht '!AG5</f>
        <v>2012A</v>
      </c>
      <c r="AH5" s="1712"/>
      <c r="AI5" s="1712"/>
      <c r="AJ5" s="1712"/>
      <c r="AK5" s="1712"/>
      <c r="AL5" s="4"/>
      <c r="AM5" s="1712" t="str">
        <f>'BalSht '!AM5</f>
        <v>2013A</v>
      </c>
      <c r="AN5" s="1712"/>
      <c r="AO5" s="1712"/>
      <c r="AP5" s="1712"/>
      <c r="AQ5" s="1712"/>
      <c r="AR5" s="4"/>
      <c r="AS5" s="1712" t="str">
        <f>'BalSht '!AS5</f>
        <v>2014A</v>
      </c>
      <c r="AT5" s="1712"/>
      <c r="AU5" s="1712"/>
      <c r="AV5" s="1712"/>
      <c r="AW5" s="1712"/>
      <c r="AX5" s="4"/>
      <c r="AY5" s="1712" t="str">
        <f>'BalSht '!AY5</f>
        <v>2015A</v>
      </c>
      <c r="AZ5" s="1712"/>
      <c r="BA5" s="1712"/>
      <c r="BB5" s="1712"/>
      <c r="BC5" s="1712"/>
      <c r="BD5" s="4"/>
      <c r="BE5" s="1712" t="str">
        <f>'BalSht '!BE5</f>
        <v>2016A</v>
      </c>
      <c r="BF5" s="1712"/>
      <c r="BG5" s="1712"/>
      <c r="BH5" s="1712"/>
      <c r="BI5" s="1712"/>
      <c r="BJ5" s="4"/>
      <c r="BK5" s="1712" t="str">
        <f>'BalSht '!BK5</f>
        <v>2017E</v>
      </c>
      <c r="BL5" s="1712"/>
      <c r="BM5" s="1712"/>
      <c r="BN5" s="1712"/>
      <c r="BO5" s="1712"/>
      <c r="BP5" s="4"/>
      <c r="BQ5" s="1712" t="str">
        <f>'BalSht '!BQ5</f>
        <v>2018E</v>
      </c>
      <c r="BR5" s="1712"/>
      <c r="BS5" s="1712"/>
      <c r="BT5" s="1712"/>
      <c r="BU5" s="1712"/>
      <c r="BV5" s="4"/>
      <c r="BW5" s="1712" t="str">
        <f>'BalSht '!BW5</f>
        <v>2019E</v>
      </c>
      <c r="BX5" s="1712"/>
      <c r="BY5" s="1712"/>
      <c r="BZ5" s="1712"/>
      <c r="CA5" s="1712"/>
      <c r="CB5" s="4"/>
      <c r="CC5" s="1712" t="str">
        <f>'BalSht '!CC5</f>
        <v>2020E</v>
      </c>
      <c r="CD5" s="1712"/>
      <c r="CE5" s="1712"/>
      <c r="CF5" s="1712"/>
      <c r="CG5" s="1712"/>
      <c r="CK5"/>
      <c r="CL5"/>
      <c r="CM5"/>
      <c r="CN5"/>
      <c r="CO5"/>
      <c r="CP5"/>
    </row>
    <row r="6" spans="1:95" ht="11.25" customHeight="1" x14ac:dyDescent="0.2">
      <c r="B6" s="381"/>
      <c r="C6" s="2">
        <f>'BalSht '!C6</f>
        <v>39172</v>
      </c>
      <c r="D6" s="2">
        <f>'BalSht '!D6</f>
        <v>39263</v>
      </c>
      <c r="E6" s="2">
        <f>'BalSht '!E6</f>
        <v>39355</v>
      </c>
      <c r="F6" s="2">
        <f>'BalSht '!F6</f>
        <v>39447</v>
      </c>
      <c r="G6" s="60" t="str">
        <f>'BalSht '!G6</f>
        <v>2007A</v>
      </c>
      <c r="H6" s="3"/>
      <c r="I6" s="2">
        <f>'BalSht '!I6</f>
        <v>39538</v>
      </c>
      <c r="J6" s="2">
        <f>'BalSht '!J6</f>
        <v>39629</v>
      </c>
      <c r="K6" s="2">
        <f>'BalSht '!K6</f>
        <v>39721</v>
      </c>
      <c r="L6" s="2">
        <f>'BalSht '!L6</f>
        <v>39813</v>
      </c>
      <c r="M6" s="60" t="str">
        <f>'BalSht '!M6</f>
        <v>2008A</v>
      </c>
      <c r="N6" s="3"/>
      <c r="O6" s="2">
        <f>'BalSht '!O6</f>
        <v>39903</v>
      </c>
      <c r="P6" s="2">
        <f>'BalSht '!P6</f>
        <v>39994</v>
      </c>
      <c r="Q6" s="2">
        <f>'BalSht '!Q6</f>
        <v>40086</v>
      </c>
      <c r="R6" s="2">
        <f>'BalSht '!R6</f>
        <v>40178</v>
      </c>
      <c r="S6" s="60" t="str">
        <f>'BalSht '!S6</f>
        <v>2009A</v>
      </c>
      <c r="T6" s="3"/>
      <c r="U6" s="2">
        <f>'BalSht '!U6</f>
        <v>40268</v>
      </c>
      <c r="V6" s="2">
        <f>'BalSht '!V6</f>
        <v>40359</v>
      </c>
      <c r="W6" s="2">
        <f>'BalSht '!W6</f>
        <v>40451</v>
      </c>
      <c r="X6" s="2">
        <f>'BalSht '!X6</f>
        <v>40543</v>
      </c>
      <c r="Y6" s="60" t="str">
        <f>'BalSht '!Y6</f>
        <v>2010A</v>
      </c>
      <c r="Z6" s="3"/>
      <c r="AA6" s="2">
        <f>'BalSht '!AA6</f>
        <v>40633</v>
      </c>
      <c r="AB6" s="2">
        <f>'BalSht '!AB6</f>
        <v>40724</v>
      </c>
      <c r="AC6" s="2">
        <f>'BalSht '!AC6</f>
        <v>40816</v>
      </c>
      <c r="AD6" s="2">
        <f>'BalSht '!AD6</f>
        <v>40908</v>
      </c>
      <c r="AE6" s="60" t="str">
        <f>'BalSht '!AE6</f>
        <v>2011A</v>
      </c>
      <c r="AF6" s="3"/>
      <c r="AG6" s="2">
        <f>'BalSht '!AG6</f>
        <v>40999</v>
      </c>
      <c r="AH6" s="2">
        <f>'BalSht '!AH6</f>
        <v>41090</v>
      </c>
      <c r="AI6" s="2">
        <f>'BalSht '!AI6</f>
        <v>41182</v>
      </c>
      <c r="AJ6" s="2">
        <f>'BalSht '!AJ6</f>
        <v>41274</v>
      </c>
      <c r="AK6" s="60" t="str">
        <f>'BalSht '!AK6</f>
        <v>2012A</v>
      </c>
      <c r="AL6" s="3"/>
      <c r="AM6" s="2">
        <f>'BalSht '!AM6</f>
        <v>41364</v>
      </c>
      <c r="AN6" s="2">
        <f>'BalSht '!AN6</f>
        <v>41455</v>
      </c>
      <c r="AO6" s="2">
        <f>'BalSht '!AO6</f>
        <v>41547</v>
      </c>
      <c r="AP6" s="2">
        <f>'BalSht '!AP6</f>
        <v>41639</v>
      </c>
      <c r="AQ6" s="60" t="str">
        <f>'BalSht '!AQ6</f>
        <v>2013A</v>
      </c>
      <c r="AR6" s="3"/>
      <c r="AS6" s="2">
        <f>'BalSht '!AS6</f>
        <v>41729</v>
      </c>
      <c r="AT6" s="2">
        <f>'BalSht '!AT6</f>
        <v>41820</v>
      </c>
      <c r="AU6" s="2">
        <f>'BalSht '!AU6</f>
        <v>41912</v>
      </c>
      <c r="AV6" s="2">
        <f>'BalSht '!AV6</f>
        <v>42004</v>
      </c>
      <c r="AW6" s="60" t="str">
        <f>'BalSht '!AW6</f>
        <v>2014A</v>
      </c>
      <c r="AX6" s="3"/>
      <c r="AY6" s="2">
        <f>'BalSht '!AY6</f>
        <v>42094</v>
      </c>
      <c r="AZ6" s="2">
        <f>'BalSht '!AZ6</f>
        <v>42185</v>
      </c>
      <c r="BA6" s="2">
        <f>'BalSht '!BA6</f>
        <v>42277</v>
      </c>
      <c r="BB6" s="2">
        <v>42369</v>
      </c>
      <c r="BC6" s="60" t="str">
        <f>'BalSht '!BC6</f>
        <v>2015A</v>
      </c>
      <c r="BD6" s="3"/>
      <c r="BE6" s="2">
        <f>'BalSht '!BE6</f>
        <v>42460</v>
      </c>
      <c r="BF6" s="2">
        <f>'BalSht '!BF6</f>
        <v>42551</v>
      </c>
      <c r="BG6" s="2">
        <f>'BalSht '!BG6</f>
        <v>42643</v>
      </c>
      <c r="BH6" s="2">
        <f>'BalSht '!BH6</f>
        <v>42735</v>
      </c>
      <c r="BI6" s="60" t="str">
        <f>'BalSht '!BI6</f>
        <v>2016E</v>
      </c>
      <c r="BJ6" s="3"/>
      <c r="BK6" s="2">
        <f>'BalSht '!BK6</f>
        <v>42825</v>
      </c>
      <c r="BL6" s="2">
        <f>'BalSht '!BL6</f>
        <v>42916</v>
      </c>
      <c r="BM6" s="2">
        <f>'BalSht '!BM6</f>
        <v>43008</v>
      </c>
      <c r="BN6" s="2">
        <f>'BalSht '!BN6</f>
        <v>43100</v>
      </c>
      <c r="BO6" s="76" t="str">
        <f>'BalSht '!BO6</f>
        <v>2017E</v>
      </c>
      <c r="BP6" s="3"/>
      <c r="BQ6" s="75">
        <f>'BalSht '!BQ6</f>
        <v>43190</v>
      </c>
      <c r="BR6" s="75">
        <f>'BalSht '!BR6</f>
        <v>43281</v>
      </c>
      <c r="BS6" s="75">
        <f>'BalSht '!BS6</f>
        <v>43373</v>
      </c>
      <c r="BT6" s="75">
        <f>'BalSht '!BT6</f>
        <v>43465</v>
      </c>
      <c r="BU6" s="76" t="str">
        <f>'BalSht '!BU6</f>
        <v>2018E</v>
      </c>
      <c r="BV6" s="3"/>
      <c r="BW6" s="75">
        <f>'BalSht '!BW6</f>
        <v>43555</v>
      </c>
      <c r="BX6" s="75">
        <f>'BalSht '!BX6</f>
        <v>43646</v>
      </c>
      <c r="BY6" s="75">
        <f>'BalSht '!BY6</f>
        <v>43738</v>
      </c>
      <c r="BZ6" s="75">
        <f>'BalSht '!BZ6</f>
        <v>43830</v>
      </c>
      <c r="CA6" s="76" t="str">
        <f>'BalSht '!CA6</f>
        <v>2019E</v>
      </c>
      <c r="CB6" s="3"/>
      <c r="CC6" s="75">
        <f>'BalSht '!CC6</f>
        <v>43921</v>
      </c>
      <c r="CD6" s="75">
        <f>'BalSht '!CD6</f>
        <v>44012</v>
      </c>
      <c r="CE6" s="75">
        <f>'BalSht '!CE6</f>
        <v>44104</v>
      </c>
      <c r="CF6" s="75">
        <f>'BalSht '!CF6</f>
        <v>44196</v>
      </c>
      <c r="CG6" s="76" t="str">
        <f>'BalSht '!CG6</f>
        <v>2020E</v>
      </c>
    </row>
    <row r="7" spans="1:95" ht="11.25" customHeight="1" x14ac:dyDescent="0.2">
      <c r="A7" s="24"/>
      <c r="B7" s="101" t="s">
        <v>273</v>
      </c>
      <c r="C7" s="33"/>
      <c r="D7" s="503"/>
      <c r="E7" s="33"/>
      <c r="F7" s="33"/>
      <c r="G7" s="33"/>
      <c r="H7" s="3"/>
      <c r="I7" s="33"/>
      <c r="J7" s="503"/>
      <c r="K7" s="33"/>
      <c r="L7" s="33"/>
      <c r="M7" s="33"/>
      <c r="N7" s="3"/>
      <c r="O7" s="33"/>
      <c r="P7" s="503"/>
      <c r="Q7" s="33"/>
      <c r="R7" s="33"/>
      <c r="S7" s="33"/>
      <c r="T7" s="3"/>
      <c r="U7" s="33"/>
      <c r="V7" s="503"/>
      <c r="W7" s="33"/>
      <c r="X7" s="33"/>
      <c r="Y7" s="33"/>
      <c r="Z7" s="3"/>
      <c r="AA7" s="33"/>
      <c r="AB7" s="503"/>
      <c r="AC7" s="33"/>
      <c r="AD7" s="33"/>
      <c r="AE7" s="33"/>
      <c r="AF7" s="3"/>
      <c r="AG7" s="33"/>
      <c r="AH7" s="503"/>
      <c r="AI7" s="33"/>
      <c r="AJ7" s="33"/>
      <c r="AK7" s="33"/>
      <c r="AL7" s="3"/>
      <c r="AM7" s="33"/>
      <c r="AN7" s="503"/>
      <c r="AO7" s="33"/>
      <c r="AP7" s="33"/>
      <c r="AQ7" s="33"/>
      <c r="AR7" s="3"/>
      <c r="AS7" s="33"/>
      <c r="AT7" s="33"/>
      <c r="AU7" s="33"/>
      <c r="AV7" s="33"/>
      <c r="AW7" s="33"/>
      <c r="AX7" s="3"/>
      <c r="AY7" s="33"/>
      <c r="AZ7" s="33"/>
      <c r="BA7" s="33"/>
      <c r="BB7" s="33"/>
      <c r="BC7" s="33"/>
      <c r="BD7" s="3"/>
      <c r="BE7" s="33"/>
      <c r="BF7" s="33"/>
      <c r="BG7" s="33"/>
      <c r="BH7" s="33"/>
      <c r="BI7" s="33"/>
      <c r="BJ7" s="3"/>
      <c r="BK7" s="33"/>
      <c r="BL7" s="33"/>
      <c r="BM7" s="33"/>
      <c r="BN7" s="33"/>
      <c r="BO7" s="33"/>
      <c r="BP7" s="3"/>
      <c r="BQ7" s="33"/>
      <c r="BR7" s="33"/>
      <c r="BS7" s="33"/>
      <c r="BT7" s="33"/>
      <c r="BU7" s="33"/>
      <c r="BV7" s="3"/>
      <c r="BW7" s="33"/>
      <c r="BX7" s="33"/>
      <c r="BY7" s="33"/>
      <c r="BZ7" s="33"/>
      <c r="CA7" s="33"/>
      <c r="CB7" s="3"/>
      <c r="CC7" s="33"/>
      <c r="CD7" s="33"/>
      <c r="CE7" s="33"/>
      <c r="CF7" s="33"/>
      <c r="CG7" s="33"/>
    </row>
    <row r="8" spans="1:95" ht="5.25" customHeight="1" x14ac:dyDescent="0.2">
      <c r="A8" s="26"/>
      <c r="B8" s="101"/>
      <c r="C8" s="33"/>
      <c r="D8" s="503"/>
      <c r="E8" s="33"/>
      <c r="F8" s="33"/>
      <c r="G8" s="33"/>
      <c r="H8" s="3"/>
      <c r="I8" s="33"/>
      <c r="J8" s="503"/>
      <c r="K8" s="33"/>
      <c r="L8" s="33"/>
      <c r="M8" s="33"/>
      <c r="N8" s="3"/>
      <c r="O8" s="33"/>
      <c r="P8" s="503"/>
      <c r="Q8" s="33"/>
      <c r="R8" s="33"/>
      <c r="S8" s="33"/>
      <c r="T8" s="3"/>
      <c r="U8" s="33"/>
      <c r="V8" s="503"/>
      <c r="W8" s="33"/>
      <c r="X8" s="33"/>
      <c r="Y8" s="33"/>
      <c r="Z8" s="3"/>
      <c r="AA8" s="33"/>
      <c r="AB8" s="503"/>
      <c r="AC8" s="33"/>
      <c r="AD8" s="33"/>
      <c r="AE8" s="33"/>
      <c r="AF8" s="3"/>
      <c r="AG8" s="33"/>
      <c r="AH8" s="503"/>
      <c r="AI8" s="33"/>
      <c r="AJ8" s="33"/>
      <c r="AK8" s="33"/>
      <c r="AL8" s="3"/>
      <c r="AM8" s="33"/>
      <c r="AN8" s="503"/>
      <c r="AO8" s="33"/>
      <c r="AP8" s="33"/>
      <c r="AQ8" s="33"/>
      <c r="AR8" s="3"/>
      <c r="AS8" s="33"/>
      <c r="AT8" s="33"/>
      <c r="AU8" s="33"/>
      <c r="AV8" s="33"/>
      <c r="AW8" s="33"/>
      <c r="AX8" s="3"/>
      <c r="AY8" s="33"/>
      <c r="AZ8" s="33"/>
      <c r="BA8" s="33"/>
      <c r="BB8" s="33"/>
      <c r="BC8" s="33"/>
      <c r="BD8" s="3"/>
      <c r="BE8" s="33"/>
      <c r="BF8" s="33"/>
      <c r="BG8" s="33"/>
      <c r="BH8" s="33"/>
      <c r="BI8" s="33"/>
      <c r="BJ8" s="3"/>
      <c r="BK8" s="33"/>
      <c r="BL8" s="33"/>
      <c r="BM8" s="33"/>
      <c r="BN8" s="33"/>
      <c r="BO8" s="33"/>
      <c r="BP8" s="3"/>
      <c r="BQ8" s="33"/>
      <c r="BR8" s="33"/>
      <c r="BS8" s="33"/>
      <c r="BT8" s="33"/>
      <c r="BU8" s="33"/>
      <c r="BV8" s="3"/>
      <c r="BW8" s="33"/>
      <c r="BX8" s="33"/>
      <c r="BY8" s="33"/>
      <c r="BZ8" s="33"/>
      <c r="CA8" s="33"/>
      <c r="CB8" s="3"/>
      <c r="CC8" s="33"/>
      <c r="CD8" s="33"/>
      <c r="CE8" s="33"/>
      <c r="CF8" s="33"/>
      <c r="CG8" s="33"/>
    </row>
    <row r="9" spans="1:95" ht="11.25" customHeight="1" x14ac:dyDescent="0.2">
      <c r="A9" s="81"/>
      <c r="B9" s="81" t="s">
        <v>108</v>
      </c>
      <c r="C9" s="271">
        <v>58.472000000000001</v>
      </c>
      <c r="D9" s="271">
        <f>123.905-C9</f>
        <v>65.432999999999993</v>
      </c>
      <c r="E9" s="271">
        <f>189.624-SUM(C9:D9)</f>
        <v>65.718999999999994</v>
      </c>
      <c r="F9" s="271">
        <f>259.654-SUM(C9:E9)</f>
        <v>70.03</v>
      </c>
      <c r="G9" s="234">
        <f>SUM(C9:F9)</f>
        <v>259.654</v>
      </c>
      <c r="H9" s="234"/>
      <c r="I9" s="240">
        <v>68.155000000000001</v>
      </c>
      <c r="J9" s="240">
        <f>146.854-I9</f>
        <v>78.699000000000012</v>
      </c>
      <c r="K9" s="240">
        <f>212.919-SUM(I9:J9)</f>
        <v>66.064999999999998</v>
      </c>
      <c r="L9" s="240">
        <f>283.869-SUM(I9:K9)</f>
        <v>70.950000000000017</v>
      </c>
      <c r="M9" s="234">
        <f>SUM(I9:L9)</f>
        <v>283.86900000000003</v>
      </c>
      <c r="N9" s="234"/>
      <c r="O9" s="240">
        <v>59.93</v>
      </c>
      <c r="P9" s="240">
        <f>130.509-O9</f>
        <v>70.578999999999979</v>
      </c>
      <c r="Q9" s="240">
        <f>198.362-SUM(O9:P9)</f>
        <v>67.853000000000009</v>
      </c>
      <c r="R9" s="240">
        <f>274.412-SUM(O9:Q9)</f>
        <v>76.049999999999983</v>
      </c>
      <c r="S9" s="234">
        <f>SUM(O9:R9)</f>
        <v>274.41199999999998</v>
      </c>
      <c r="T9" s="234"/>
      <c r="U9" s="240">
        <v>62.191000000000003</v>
      </c>
      <c r="V9" s="240">
        <f>135.537-U9</f>
        <v>73.346000000000004</v>
      </c>
      <c r="W9" s="240">
        <f>199.351-SUM(U9:V9)</f>
        <v>63.813999999999993</v>
      </c>
      <c r="X9" s="240">
        <f>267.335-SUM(U9:W9)</f>
        <v>67.98399999999998</v>
      </c>
      <c r="Y9" s="234">
        <f>SUM(U9:X9)</f>
        <v>267.33499999999998</v>
      </c>
      <c r="Z9" s="179"/>
      <c r="AA9" s="240">
        <v>69.462999999999994</v>
      </c>
      <c r="AB9" s="240">
        <f>144.853-AA9</f>
        <v>75.390000000000015</v>
      </c>
      <c r="AC9" s="240">
        <f>206.053-AB9-AA9</f>
        <v>61.199999999999989</v>
      </c>
      <c r="AD9" s="240">
        <f>247.446-AC9-AB9-AA9</f>
        <v>41.393000000000001</v>
      </c>
      <c r="AE9" s="234">
        <f>SUM(AA9:AD9)</f>
        <v>247.446</v>
      </c>
      <c r="AF9" s="179"/>
      <c r="AG9" s="240">
        <v>54.228000000000002</v>
      </c>
      <c r="AH9" s="240">
        <f>136.269-AG9</f>
        <v>82.040999999999997</v>
      </c>
      <c r="AI9" s="240">
        <f>190.561-AH9-AG9</f>
        <v>54.292000000000009</v>
      </c>
      <c r="AJ9" s="240">
        <f>318.489-AI9-AH9-AG9</f>
        <v>127.92799999999994</v>
      </c>
      <c r="AK9" s="234">
        <f>SUM(AG9:AJ9)</f>
        <v>318.48899999999992</v>
      </c>
      <c r="AL9" s="179"/>
      <c r="AM9" s="240">
        <v>72.572999999999993</v>
      </c>
      <c r="AN9" s="240">
        <f>161.264-AM9</f>
        <v>88.691000000000017</v>
      </c>
      <c r="AO9" s="240">
        <f>242.129-AN9-AM9</f>
        <v>80.864999999999995</v>
      </c>
      <c r="AP9" s="240">
        <f>318.161-AO9-AN9-AM9</f>
        <v>76.031999999999968</v>
      </c>
      <c r="AQ9" s="234">
        <f>SUM(AM9:AP9)</f>
        <v>318.161</v>
      </c>
      <c r="AR9" s="179"/>
      <c r="AS9" s="240">
        <v>72.92</v>
      </c>
      <c r="AT9" s="240">
        <f>162.934-AS9</f>
        <v>90.013999999999996</v>
      </c>
      <c r="AU9" s="240">
        <f>238.2-SUM(AS9:AT9)</f>
        <v>75.265999999999991</v>
      </c>
      <c r="AV9" s="240">
        <f>322.913-SUM(AS9:AU9)</f>
        <v>84.713000000000022</v>
      </c>
      <c r="AW9" s="234">
        <f>SUM(AS9:AV9)</f>
        <v>322.91300000000001</v>
      </c>
      <c r="AX9" s="234"/>
      <c r="AY9" s="1147">
        <v>63.954000000000001</v>
      </c>
      <c r="AZ9" s="1147">
        <v>44.065000000000005</v>
      </c>
      <c r="BA9" s="1147">
        <v>84.480999999999995</v>
      </c>
      <c r="BB9" s="1147">
        <v>58.6</v>
      </c>
      <c r="BC9" s="649">
        <f>SUM(AY9:BB9)</f>
        <v>251.1</v>
      </c>
      <c r="BD9" s="234"/>
      <c r="BE9" s="1274">
        <v>125.3</v>
      </c>
      <c r="BF9" s="1274">
        <f>231.2-BE9</f>
        <v>105.89999999999999</v>
      </c>
      <c r="BG9" s="1274">
        <f>323.5-SUM(BE9:BF9)</f>
        <v>92.300000000000011</v>
      </c>
      <c r="BH9" s="1147">
        <f>431.4-SUM(BE9:BG9)</f>
        <v>107.89999999999998</v>
      </c>
      <c r="BI9" s="649">
        <f>SUM(BE9:BH9)</f>
        <v>431.4</v>
      </c>
      <c r="BJ9" s="234"/>
      <c r="BK9" s="1274">
        <v>59.7</v>
      </c>
      <c r="BL9" s="1465">
        <f>-990.6-BK9</f>
        <v>-1050.3</v>
      </c>
      <c r="BM9" s="1274">
        <f>-900.1-SUM(BK9:BL9)</f>
        <v>90.499999999999886</v>
      </c>
      <c r="BN9" s="1147">
        <f>-1550.3-SUM(BK9:BM9)</f>
        <v>-650.19999999999993</v>
      </c>
      <c r="BO9" s="1608">
        <f>SUM(BK9:BN9)</f>
        <v>-1550.3</v>
      </c>
      <c r="BP9" s="234"/>
      <c r="BQ9" s="649">
        <f>'P&amp;L'!BQ75</f>
        <v>63.674222295730033</v>
      </c>
      <c r="BR9" s="649">
        <f>'P&amp;L'!BR75</f>
        <v>93.459975254319971</v>
      </c>
      <c r="BS9" s="649">
        <f>'P&amp;L'!BS75</f>
        <v>98.739437693163268</v>
      </c>
      <c r="BT9" s="649">
        <f>'P&amp;L'!BT75</f>
        <v>152.16746916770063</v>
      </c>
      <c r="BU9" s="649">
        <f>SUM(BQ9:BT9)</f>
        <v>408.04110441091393</v>
      </c>
      <c r="BV9" s="234"/>
      <c r="BW9" s="649">
        <f>'P&amp;L'!BW75</f>
        <v>107.64606063411151</v>
      </c>
      <c r="BX9" s="649">
        <f>'P&amp;L'!BX75</f>
        <v>124.53369382078827</v>
      </c>
      <c r="BY9" s="649">
        <f>'P&amp;L'!BY75</f>
        <v>107.54917382356362</v>
      </c>
      <c r="BZ9" s="649">
        <f>'P&amp;L'!BZ75</f>
        <v>150.58943038272005</v>
      </c>
      <c r="CA9" s="649">
        <f>SUM(BW9:BZ9)</f>
        <v>490.31835866118342</v>
      </c>
      <c r="CB9" s="234"/>
      <c r="CC9" s="649">
        <f>'P&amp;L'!CC75</f>
        <v>122.46487822371225</v>
      </c>
      <c r="CD9" s="649">
        <f>'P&amp;L'!CD75</f>
        <v>141.16844418204246</v>
      </c>
      <c r="CE9" s="649">
        <f>'P&amp;L'!CE75</f>
        <v>125.62545079526699</v>
      </c>
      <c r="CF9" s="649">
        <f>'P&amp;L'!CF75</f>
        <v>168.68465013923083</v>
      </c>
      <c r="CG9" s="649">
        <f>SUM(CC9:CF9)</f>
        <v>557.94342334025259</v>
      </c>
      <c r="CQ9" s="556"/>
    </row>
    <row r="10" spans="1:95" ht="11.25" customHeight="1" x14ac:dyDescent="0.2">
      <c r="B10" s="81" t="s">
        <v>274</v>
      </c>
      <c r="C10" s="271"/>
      <c r="D10" s="271"/>
      <c r="E10" s="271"/>
      <c r="F10" s="271"/>
      <c r="G10" s="234"/>
      <c r="H10" s="234"/>
      <c r="I10" s="240"/>
      <c r="J10" s="240"/>
      <c r="K10" s="240"/>
      <c r="L10" s="240"/>
      <c r="M10" s="234"/>
      <c r="N10" s="234"/>
      <c r="O10" s="240"/>
      <c r="P10" s="240"/>
      <c r="Q10" s="240"/>
      <c r="R10" s="240"/>
      <c r="S10" s="234"/>
      <c r="T10" s="234"/>
      <c r="U10" s="240"/>
      <c r="V10" s="240"/>
      <c r="W10" s="240"/>
      <c r="X10" s="240"/>
      <c r="Y10" s="234"/>
      <c r="Z10" s="179"/>
      <c r="AA10" s="240"/>
      <c r="AB10" s="240"/>
      <c r="AC10" s="240"/>
      <c r="AD10" s="240"/>
      <c r="AE10" s="234"/>
      <c r="AF10" s="179"/>
      <c r="AG10" s="240"/>
      <c r="AH10" s="240"/>
      <c r="AI10" s="240"/>
      <c r="AJ10" s="240"/>
      <c r="AK10" s="234"/>
      <c r="AL10" s="179"/>
      <c r="AM10" s="240"/>
      <c r="AN10" s="240"/>
      <c r="AO10" s="240"/>
      <c r="AP10" s="240"/>
      <c r="AQ10" s="234"/>
      <c r="AR10" s="179"/>
      <c r="AS10" s="240"/>
      <c r="AT10" s="240"/>
      <c r="AU10" s="237"/>
      <c r="AV10" s="237"/>
      <c r="AW10" s="234"/>
      <c r="AX10" s="179"/>
      <c r="AY10" s="240"/>
      <c r="AZ10" s="240"/>
      <c r="BA10" s="240"/>
      <c r="BB10" s="240"/>
      <c r="BC10" s="237"/>
      <c r="BD10" s="142"/>
      <c r="BE10" s="968"/>
      <c r="BF10" s="968"/>
      <c r="BG10" s="968"/>
      <c r="BH10" s="240"/>
      <c r="BI10" s="237"/>
      <c r="BJ10" s="142"/>
      <c r="BK10" s="968"/>
      <c r="BL10" s="968"/>
      <c r="BM10" s="968"/>
      <c r="BN10" s="240"/>
      <c r="BO10" s="237"/>
      <c r="BP10" s="142"/>
      <c r="BQ10" s="240"/>
      <c r="BR10" s="240"/>
      <c r="BS10" s="240"/>
      <c r="BT10" s="240"/>
      <c r="BU10" s="240"/>
      <c r="BV10" s="142"/>
      <c r="BW10" s="240"/>
      <c r="BX10" s="240"/>
      <c r="BY10" s="240"/>
      <c r="BZ10" s="240"/>
      <c r="CA10" s="237"/>
      <c r="CB10" s="142"/>
      <c r="CC10" s="240"/>
      <c r="CD10" s="240"/>
      <c r="CE10" s="240"/>
      <c r="CF10" s="240"/>
      <c r="CG10" s="237"/>
    </row>
    <row r="11" spans="1:95" ht="11.25" customHeight="1" x14ac:dyDescent="0.2">
      <c r="A11" s="301"/>
      <c r="B11" s="336" t="s">
        <v>119</v>
      </c>
      <c r="C11" s="240">
        <v>11.11</v>
      </c>
      <c r="D11" s="233">
        <f>21.505-C11</f>
        <v>10.395</v>
      </c>
      <c r="E11" s="233">
        <f>32.212-SUM(C11:D11)</f>
        <v>10.707000000000004</v>
      </c>
      <c r="F11" s="233">
        <f>42.628-SUM(C11:E11)</f>
        <v>10.415999999999997</v>
      </c>
      <c r="G11" s="234">
        <f t="shared" ref="G11:G16" si="0">SUM(C11:F11)</f>
        <v>42.628</v>
      </c>
      <c r="H11" s="483"/>
      <c r="I11" s="240">
        <v>12.021000000000001</v>
      </c>
      <c r="J11" s="233">
        <f>23.943-I11</f>
        <v>11.922000000000001</v>
      </c>
      <c r="K11" s="233">
        <f>36.697-SUM(I11:J11)</f>
        <v>12.754000000000001</v>
      </c>
      <c r="L11" s="233">
        <f>47.887-SUM(I11:K11)</f>
        <v>11.189999999999998</v>
      </c>
      <c r="M11" s="234">
        <f t="shared" ref="M11:M16" si="1">SUM(I11:L11)</f>
        <v>47.887</v>
      </c>
      <c r="N11" s="483"/>
      <c r="O11" s="240">
        <v>12.93</v>
      </c>
      <c r="P11" s="233">
        <f>26.373-O11</f>
        <v>13.443000000000001</v>
      </c>
      <c r="Q11" s="233">
        <f>40.118-SUM(O11:P11)</f>
        <v>13.745000000000001</v>
      </c>
      <c r="R11" s="233">
        <f>54.087-SUM(O11:Q11)</f>
        <v>13.969000000000001</v>
      </c>
      <c r="S11" s="234">
        <f t="shared" ref="S11:S16" si="2">SUM(O11:R11)</f>
        <v>54.087000000000003</v>
      </c>
      <c r="T11" s="483"/>
      <c r="U11" s="240">
        <v>15.265000000000001</v>
      </c>
      <c r="V11" s="240">
        <f>29.438-U11</f>
        <v>14.172999999999998</v>
      </c>
      <c r="W11" s="240">
        <f>43.022-SUM(U11:V11)</f>
        <v>13.584</v>
      </c>
      <c r="X11" s="233">
        <f>56.868-SUM(U11:W11)</f>
        <v>13.846000000000004</v>
      </c>
      <c r="Y11" s="234">
        <f t="shared" ref="Y11:Y16" si="3">SUM(U11:X11)</f>
        <v>56.868000000000002</v>
      </c>
      <c r="Z11" s="483"/>
      <c r="AA11" s="240">
        <v>15.2</v>
      </c>
      <c r="AB11" s="240">
        <f>32.359-AA11</f>
        <v>17.159000000000002</v>
      </c>
      <c r="AC11" s="240">
        <v>14.698999999999998</v>
      </c>
      <c r="AD11" s="240">
        <f>64.039-AC11-AB11-AA11</f>
        <v>16.980999999999998</v>
      </c>
      <c r="AE11" s="234">
        <f t="shared" ref="AE11:AE16" si="4">SUM(AA11:AD11)</f>
        <v>64.039000000000001</v>
      </c>
      <c r="AF11" s="483"/>
      <c r="AG11" s="240">
        <v>20.209</v>
      </c>
      <c r="AH11" s="240">
        <f>40.357-AG11</f>
        <v>20.148</v>
      </c>
      <c r="AI11" s="240">
        <f>59.509-AH11-AG11</f>
        <v>19.152000000000005</v>
      </c>
      <c r="AJ11" s="240">
        <f>79.456-AI11-AH11-AG11</f>
        <v>19.947000000000006</v>
      </c>
      <c r="AK11" s="234">
        <f t="shared" ref="AK11:AK16" si="5">SUM(AG11:AJ11)</f>
        <v>79.456000000000003</v>
      </c>
      <c r="AL11" s="483"/>
      <c r="AM11" s="240">
        <v>20.416</v>
      </c>
      <c r="AN11" s="240">
        <f>41.743-AM11</f>
        <v>21.327000000000002</v>
      </c>
      <c r="AO11" s="240">
        <f>61.545-AN11-AM11</f>
        <v>19.802000000000003</v>
      </c>
      <c r="AP11" s="240">
        <f>81.639-AO11-AN11-AM11</f>
        <v>20.093999999999991</v>
      </c>
      <c r="AQ11" s="234">
        <f t="shared" ref="AQ11:AQ16" si="6">SUM(AM11:AP11)</f>
        <v>81.638999999999996</v>
      </c>
      <c r="AR11" s="483"/>
      <c r="AS11" s="240">
        <v>21.37</v>
      </c>
      <c r="AT11" s="240">
        <f>42.325-AS11</f>
        <v>20.955000000000002</v>
      </c>
      <c r="AU11" s="240">
        <f>63.048-AT11-AS11</f>
        <v>20.723000000000003</v>
      </c>
      <c r="AV11" s="240">
        <f>81.163-SUM(AS11:AU11)</f>
        <v>18.114999999999995</v>
      </c>
      <c r="AW11" s="234">
        <f t="shared" ref="AW11:AW16" si="7">SUM(AS11:AV11)</f>
        <v>81.162999999999997</v>
      </c>
      <c r="AX11" s="483"/>
      <c r="AY11" s="536">
        <v>19.311</v>
      </c>
      <c r="AZ11" s="536">
        <v>19.470999999999997</v>
      </c>
      <c r="BA11" s="536">
        <v>22.818000000000005</v>
      </c>
      <c r="BB11" s="252">
        <v>17.499999999999993</v>
      </c>
      <c r="BC11" s="237">
        <f t="shared" ref="BC11:BC17" si="8">SUM(AY11:BB11)</f>
        <v>79.099999999999994</v>
      </c>
      <c r="BD11" s="431"/>
      <c r="BE11" s="987">
        <v>23.5</v>
      </c>
      <c r="BF11" s="968">
        <f>55.1-BE11</f>
        <v>31.6</v>
      </c>
      <c r="BG11" s="968">
        <f>87-SUM(BE11:BF11)</f>
        <v>31.9</v>
      </c>
      <c r="BH11" s="252">
        <f>116.6-SUM(BE11:BG11)</f>
        <v>29.599999999999994</v>
      </c>
      <c r="BI11" s="237">
        <f t="shared" ref="BI11:BI17" si="9">SUM(BE11:BH11)</f>
        <v>116.6</v>
      </c>
      <c r="BJ11" s="431"/>
      <c r="BK11" s="987">
        <v>30.9</v>
      </c>
      <c r="BL11" s="968">
        <f>62.1-BK11</f>
        <v>31.200000000000003</v>
      </c>
      <c r="BM11" s="968">
        <f>93.9-SUM(BK11:BL11)</f>
        <v>31.800000000000004</v>
      </c>
      <c r="BN11" s="252">
        <f>127.3-SUM(BK11:BM11)</f>
        <v>33.399999999999991</v>
      </c>
      <c r="BO11" s="237">
        <f t="shared" ref="BO11:BO17" si="10">SUM(BK11:BN11)</f>
        <v>127.3</v>
      </c>
      <c r="BP11" s="431"/>
      <c r="BQ11" s="237">
        <f>-'BalSht '!BQ129</f>
        <v>31.025665624999995</v>
      </c>
      <c r="BR11" s="237">
        <f>-'BalSht '!BR129</f>
        <v>31.429657874999993</v>
      </c>
      <c r="BS11" s="237">
        <f>-'BalSht '!BS129</f>
        <v>31.880185074999993</v>
      </c>
      <c r="BT11" s="237">
        <f>-'BalSht '!BT129</f>
        <v>32.340142174999997</v>
      </c>
      <c r="BU11" s="237">
        <f t="shared" ref="BU11:BU17" si="11">SUM(BQ11:BT11)</f>
        <v>126.67565074999997</v>
      </c>
      <c r="BV11" s="431"/>
      <c r="BW11" s="237">
        <f>-'BalSht '!BW129</f>
        <v>32.834367874999991</v>
      </c>
      <c r="BX11" s="237">
        <f>-'BalSht '!BX129</f>
        <v>33.252009195499994</v>
      </c>
      <c r="BY11" s="237">
        <f>-'BalSht '!BY129</f>
        <v>33.723306986999994</v>
      </c>
      <c r="BZ11" s="237">
        <f>-'BalSht '!BZ129</f>
        <v>34.202425908999992</v>
      </c>
      <c r="CA11" s="237">
        <f t="shared" ref="CA11:CA17" si="12">SUM(BW11:BZ11)</f>
        <v>134.01210996649999</v>
      </c>
      <c r="CB11" s="431"/>
      <c r="CC11" s="237">
        <f>-'BalSht '!CC129</f>
        <v>34.713434603999993</v>
      </c>
      <c r="CD11" s="237">
        <f>-'BalSht '!CD129</f>
        <v>35.145414704252495</v>
      </c>
      <c r="CE11" s="237">
        <f>-'BalSht '!CE129</f>
        <v>35.62825227769499</v>
      </c>
      <c r="CF11" s="237">
        <f>-'BalSht '!CF129</f>
        <v>36.120477971554998</v>
      </c>
      <c r="CG11" s="237">
        <f t="shared" ref="CG11:CG17" si="13">SUM(CC11:CF11)</f>
        <v>141.60757955750248</v>
      </c>
      <c r="CQ11" s="556"/>
    </row>
    <row r="12" spans="1:95" ht="11.25" customHeight="1" x14ac:dyDescent="0.2">
      <c r="A12" s="301"/>
      <c r="B12" s="336" t="s">
        <v>125</v>
      </c>
      <c r="C12" s="240">
        <v>1.8240000000000001</v>
      </c>
      <c r="D12" s="240">
        <f>3.847-C12</f>
        <v>2.0229999999999997</v>
      </c>
      <c r="E12" s="240">
        <f>5.608-SUM(C12:D12)</f>
        <v>1.7610000000000001</v>
      </c>
      <c r="F12" s="240">
        <f>7.661-SUM(C12:E12)</f>
        <v>2.0529999999999999</v>
      </c>
      <c r="G12" s="234">
        <f t="shared" si="0"/>
        <v>7.6609999999999996</v>
      </c>
      <c r="H12" s="483"/>
      <c r="I12" s="240">
        <v>2.1890000000000001</v>
      </c>
      <c r="J12" s="240">
        <f>4.363-I12</f>
        <v>2.1740000000000004</v>
      </c>
      <c r="K12" s="240">
        <f>6.703-SUM(I12:J12)</f>
        <v>2.34</v>
      </c>
      <c r="L12" s="233">
        <f>9.042-SUM(I12:K12)</f>
        <v>2.3389999999999995</v>
      </c>
      <c r="M12" s="234">
        <f t="shared" si="1"/>
        <v>9.0419999999999998</v>
      </c>
      <c r="N12" s="483"/>
      <c r="O12" s="240">
        <v>3.4409999999999998</v>
      </c>
      <c r="P12" s="240">
        <f>6.574-O12</f>
        <v>3.133</v>
      </c>
      <c r="Q12" s="240">
        <f>9.227-SUM(O12:P12)</f>
        <v>2.6530000000000005</v>
      </c>
      <c r="R12" s="233">
        <f>11.088-SUM(O12:Q12)</f>
        <v>1.8609999999999989</v>
      </c>
      <c r="S12" s="234">
        <f t="shared" si="2"/>
        <v>11.087999999999999</v>
      </c>
      <c r="T12" s="483"/>
      <c r="U12" s="240">
        <v>2.524</v>
      </c>
      <c r="V12" s="240">
        <f>4.771-U12</f>
        <v>2.2469999999999999</v>
      </c>
      <c r="W12" s="240">
        <f>7.097-SUM(U12:V12)</f>
        <v>2.3260000000000005</v>
      </c>
      <c r="X12" s="233">
        <f>9.472-SUM(U12:W12)</f>
        <v>2.3749999999999991</v>
      </c>
      <c r="Y12" s="234">
        <f t="shared" si="3"/>
        <v>9.4719999999999995</v>
      </c>
      <c r="Z12" s="483"/>
      <c r="AA12" s="240">
        <v>2.379</v>
      </c>
      <c r="AB12" s="240">
        <f>4.736-AA12</f>
        <v>2.3569999999999998</v>
      </c>
      <c r="AC12" s="240">
        <v>12.093999999999999</v>
      </c>
      <c r="AD12" s="240">
        <f>20.996+8.023-AC12-AB12-AA12</f>
        <v>12.188999999999998</v>
      </c>
      <c r="AE12" s="237">
        <f t="shared" si="4"/>
        <v>29.018999999999998</v>
      </c>
      <c r="AF12" s="483"/>
      <c r="AG12" s="240">
        <f>15.364+1.196</f>
        <v>16.560000000000002</v>
      </c>
      <c r="AH12" s="240">
        <f>28.014+2.391-AG12</f>
        <v>13.844999999999999</v>
      </c>
      <c r="AI12" s="240">
        <f>37.289-AH12-AG12+5.749</f>
        <v>12.632999999999999</v>
      </c>
      <c r="AJ12" s="240">
        <f>49.743+7.045-AG12-AH12-AI12</f>
        <v>13.750000000000004</v>
      </c>
      <c r="AK12" s="237">
        <f t="shared" si="5"/>
        <v>56.787999999999997</v>
      </c>
      <c r="AL12" s="483"/>
      <c r="AM12" s="240">
        <f>11.934+1.296</f>
        <v>13.229999999999999</v>
      </c>
      <c r="AN12" s="240">
        <f>23.434+2.592-AM12</f>
        <v>12.796000000000001</v>
      </c>
      <c r="AO12" s="240">
        <f>34.7+3.842-AN12-AM12</f>
        <v>12.516000000000004</v>
      </c>
      <c r="AP12" s="240">
        <f>46.264+4.984-AM12-AN12-AO12</f>
        <v>12.706000000000005</v>
      </c>
      <c r="AQ12" s="237">
        <f t="shared" si="6"/>
        <v>51.248000000000005</v>
      </c>
      <c r="AR12" s="483"/>
      <c r="AS12" s="240">
        <f>12.569+1.142</f>
        <v>13.711</v>
      </c>
      <c r="AT12" s="240">
        <f>24.493+2.285-AS12</f>
        <v>13.066999999999998</v>
      </c>
      <c r="AU12" s="240">
        <f>36.43+3.517-AT12-AS12</f>
        <v>13.169000000000002</v>
      </c>
      <c r="AV12" s="240">
        <f>47.914-SUM(AS12:AU12)</f>
        <v>7.9669999999999987</v>
      </c>
      <c r="AW12" s="237">
        <f t="shared" si="7"/>
        <v>47.914000000000001</v>
      </c>
      <c r="AX12" s="483"/>
      <c r="AY12" s="536">
        <v>11.995000000000001</v>
      </c>
      <c r="AZ12" s="536">
        <v>12.027999999999999</v>
      </c>
      <c r="BA12" s="536">
        <v>8.7769999999999975</v>
      </c>
      <c r="BB12" s="252">
        <v>10.999999999999996</v>
      </c>
      <c r="BC12" s="237">
        <f t="shared" si="8"/>
        <v>43.8</v>
      </c>
      <c r="BD12" s="431"/>
      <c r="BE12" s="987">
        <f>21.8</f>
        <v>21.8</v>
      </c>
      <c r="BF12" s="968">
        <f>65.6-BE12</f>
        <v>43.8</v>
      </c>
      <c r="BG12" s="968">
        <f>109.9-SUM(BE12:BF12)</f>
        <v>44.300000000000011</v>
      </c>
      <c r="BH12" s="252">
        <f>155.1-SUM(BE12:BG12)</f>
        <v>45.199999999999989</v>
      </c>
      <c r="BI12" s="237">
        <f t="shared" si="9"/>
        <v>155.1</v>
      </c>
      <c r="BJ12" s="431"/>
      <c r="BK12" s="987">
        <f>45.2</f>
        <v>45.2</v>
      </c>
      <c r="BL12" s="968">
        <f>91.8-BK12</f>
        <v>46.599999999999994</v>
      </c>
      <c r="BM12" s="968">
        <f>140.5-SUM(BK12:BL12)</f>
        <v>48.7</v>
      </c>
      <c r="BN12" s="252">
        <f>189.1-SUM(BK12:BM12)</f>
        <v>48.599999999999994</v>
      </c>
      <c r="BO12" s="237">
        <f t="shared" si="10"/>
        <v>189.1</v>
      </c>
      <c r="BP12" s="431"/>
      <c r="BQ12" s="237">
        <f>+'BalSht '!BQ140</f>
        <v>42.010499999999986</v>
      </c>
      <c r="BR12" s="237">
        <f>+'BalSht '!BR140</f>
        <v>41.38034249999999</v>
      </c>
      <c r="BS12" s="237">
        <f>+'BalSht '!BS140</f>
        <v>40.759637362499987</v>
      </c>
      <c r="BT12" s="237">
        <f>+'BalSht '!BT140</f>
        <v>40.148242802062491</v>
      </c>
      <c r="BU12" s="237">
        <f t="shared" si="11"/>
        <v>164.29872266456246</v>
      </c>
      <c r="BV12" s="431"/>
      <c r="BW12" s="237">
        <f>+'BalSht '!BW140</f>
        <v>39.546019160031555</v>
      </c>
      <c r="BX12" s="237">
        <f>+'BalSht '!BX140</f>
        <v>38.952828872631081</v>
      </c>
      <c r="BY12" s="237">
        <f>+'BalSht '!BY140</f>
        <v>38.368536439541622</v>
      </c>
      <c r="BZ12" s="237">
        <f>+'BalSht '!BZ140</f>
        <v>37.793008392948494</v>
      </c>
      <c r="CA12" s="237">
        <f t="shared" si="12"/>
        <v>154.66039286515274</v>
      </c>
      <c r="CB12" s="431"/>
      <c r="CC12" s="237">
        <f>+'BalSht '!CC140</f>
        <v>37.226113267054259</v>
      </c>
      <c r="CD12" s="237">
        <f>+'BalSht '!CD140</f>
        <v>36.667721568048449</v>
      </c>
      <c r="CE12" s="237">
        <f>+'BalSht '!CE140</f>
        <v>36.117705744527719</v>
      </c>
      <c r="CF12" s="237">
        <f>+'BalSht '!CF140</f>
        <v>35.575940158359799</v>
      </c>
      <c r="CG12" s="237">
        <f t="shared" si="13"/>
        <v>145.58748073799023</v>
      </c>
      <c r="CQ12" s="556"/>
    </row>
    <row r="13" spans="1:95" ht="11.25" customHeight="1" x14ac:dyDescent="0.2">
      <c r="A13" s="301"/>
      <c r="B13" s="336" t="s">
        <v>265</v>
      </c>
      <c r="C13" s="240">
        <v>0</v>
      </c>
      <c r="D13" s="240">
        <f>17.346-C13</f>
        <v>17.346</v>
      </c>
      <c r="E13" s="240">
        <f>11.617-SUM(C13:D13)</f>
        <v>-5.7289999999999992</v>
      </c>
      <c r="F13" s="240">
        <f>25.568-SUM(C13:E13)</f>
        <v>13.951000000000001</v>
      </c>
      <c r="G13" s="234">
        <f t="shared" si="0"/>
        <v>25.568000000000001</v>
      </c>
      <c r="H13" s="483"/>
      <c r="I13" s="240">
        <v>18.449000000000002</v>
      </c>
      <c r="J13" s="240">
        <f>18.542-I13</f>
        <v>9.2999999999999972E-2</v>
      </c>
      <c r="K13" s="240">
        <f>25.245-SUM(I13:J13)</f>
        <v>6.7029999999999994</v>
      </c>
      <c r="L13" s="233">
        <f>13.371-SUM(I13:K13)</f>
        <v>-11.874000000000001</v>
      </c>
      <c r="M13" s="234">
        <f t="shared" si="1"/>
        <v>13.371</v>
      </c>
      <c r="N13" s="483"/>
      <c r="O13" s="240">
        <v>-1.75</v>
      </c>
      <c r="P13" s="240">
        <f>4.379-O13</f>
        <v>6.1289999999999996</v>
      </c>
      <c r="Q13" s="240">
        <f>9.655-SUM(O13:P13)</f>
        <v>5.2759999999999998</v>
      </c>
      <c r="R13" s="233">
        <f>0.195-SUM(O13:Q13)</f>
        <v>-9.4599999999999991</v>
      </c>
      <c r="S13" s="234">
        <f t="shared" si="2"/>
        <v>0.19500000000000028</v>
      </c>
      <c r="T13" s="483"/>
      <c r="U13" s="240">
        <v>-3.7450000000000001</v>
      </c>
      <c r="V13" s="240">
        <f>-0.057-U13</f>
        <v>3.6880000000000002</v>
      </c>
      <c r="W13" s="240">
        <f>2.672-SUM(U13:V13)</f>
        <v>2.7290000000000001</v>
      </c>
      <c r="X13" s="233">
        <f>1.386-SUM(U13:W13)</f>
        <v>-1.2860000000000003</v>
      </c>
      <c r="Y13" s="234">
        <f t="shared" si="3"/>
        <v>1.3859999999999999</v>
      </c>
      <c r="Z13" s="483"/>
      <c r="AA13" s="240">
        <v>1.22</v>
      </c>
      <c r="AB13" s="240">
        <f>6.894-AA13</f>
        <v>5.6740000000000004</v>
      </c>
      <c r="AC13" s="240">
        <v>-35.847000000000001</v>
      </c>
      <c r="AD13" s="240">
        <f>-88.402-AC13-AB13-AA13</f>
        <v>-59.448999999999998</v>
      </c>
      <c r="AE13" s="237">
        <f t="shared" si="4"/>
        <v>-88.402000000000001</v>
      </c>
      <c r="AF13" s="483"/>
      <c r="AG13" s="240">
        <v>3.69</v>
      </c>
      <c r="AH13" s="240">
        <f>-4.432-AG13</f>
        <v>-8.1219999999999999</v>
      </c>
      <c r="AI13" s="240">
        <f>-2.702-AH13-AG13</f>
        <v>1.73</v>
      </c>
      <c r="AJ13" s="240">
        <f>-65.527-AI13-AH13-AG13</f>
        <v>-62.825000000000003</v>
      </c>
      <c r="AK13" s="237">
        <f t="shared" si="5"/>
        <v>-65.527000000000001</v>
      </c>
      <c r="AL13" s="483"/>
      <c r="AM13" s="240">
        <v>-11.792999999999999</v>
      </c>
      <c r="AN13" s="240">
        <f>-8.564-AM13</f>
        <v>3.2289999999999992</v>
      </c>
      <c r="AO13" s="240">
        <f>-32.096-AN13-AM13</f>
        <v>-23.531999999999996</v>
      </c>
      <c r="AP13" s="240">
        <f>-29.156-AO13-AN13-AM13</f>
        <v>2.9399999999999977</v>
      </c>
      <c r="AQ13" s="237">
        <f t="shared" si="6"/>
        <v>-29.155999999999999</v>
      </c>
      <c r="AR13" s="483"/>
      <c r="AS13" s="240">
        <v>-11.505000000000001</v>
      </c>
      <c r="AT13" s="240">
        <f>-4.893-AS13</f>
        <v>6.612000000000001</v>
      </c>
      <c r="AU13" s="240">
        <f>4.635-AT13-AS13</f>
        <v>9.5279999999999987</v>
      </c>
      <c r="AV13" s="240">
        <f>17.484-SUM(AS13:AU13)</f>
        <v>12.849000000000004</v>
      </c>
      <c r="AW13" s="237">
        <f t="shared" si="7"/>
        <v>17.484000000000002</v>
      </c>
      <c r="AX13" s="483"/>
      <c r="AY13" s="536">
        <v>20.172000000000001</v>
      </c>
      <c r="AZ13" s="536">
        <v>8.5249999999999986</v>
      </c>
      <c r="BA13" s="536">
        <v>10.503000000000004</v>
      </c>
      <c r="BB13" s="252">
        <v>-11.800000000000004</v>
      </c>
      <c r="BC13" s="237">
        <f t="shared" si="8"/>
        <v>27.4</v>
      </c>
      <c r="BD13" s="431"/>
      <c r="BE13" s="987">
        <v>-80.400000000000006</v>
      </c>
      <c r="BF13" s="968">
        <f>-70.5-BE13</f>
        <v>9.9000000000000057</v>
      </c>
      <c r="BG13" s="968">
        <f>-102-SUM(BE13:BF13)</f>
        <v>-31.5</v>
      </c>
      <c r="BH13" s="252">
        <f>-110.1-SUM(BE13:BG13)</f>
        <v>-8.0999999999999943</v>
      </c>
      <c r="BI13" s="237">
        <f t="shared" si="9"/>
        <v>-110.1</v>
      </c>
      <c r="BJ13" s="431"/>
      <c r="BK13" s="987">
        <v>9.8000000000000007</v>
      </c>
      <c r="BL13" s="968">
        <f>-34.2-BK13</f>
        <v>-44</v>
      </c>
      <c r="BM13" s="968">
        <f>-46.3-SUM(BK13:BL13)</f>
        <v>-12.099999999999994</v>
      </c>
      <c r="BN13" s="252">
        <f>-143.8-SUM(BK13:BM13)</f>
        <v>-97.500000000000014</v>
      </c>
      <c r="BO13" s="237">
        <f t="shared" si="10"/>
        <v>-143.80000000000001</v>
      </c>
      <c r="BP13" s="431"/>
      <c r="BQ13" s="237">
        <f>'BalSht '!BQ34-'BalSht '!BO34</f>
        <v>0</v>
      </c>
      <c r="BR13" s="237">
        <f>'BalSht '!BR34-'BalSht '!BQ34</f>
        <v>0</v>
      </c>
      <c r="BS13" s="237">
        <f>'BalSht '!BS34-'BalSht '!BR34</f>
        <v>0</v>
      </c>
      <c r="BT13" s="237">
        <f>'BalSht '!BT34-'BalSht '!BS34</f>
        <v>0</v>
      </c>
      <c r="BU13" s="237">
        <f t="shared" si="11"/>
        <v>0</v>
      </c>
      <c r="BV13" s="431"/>
      <c r="BW13" s="237">
        <f>'BalSht '!BW34-'BalSht '!BU34</f>
        <v>0</v>
      </c>
      <c r="BX13" s="237">
        <f>'BalSht '!BX34-'BalSht '!BW34</f>
        <v>0</v>
      </c>
      <c r="BY13" s="237">
        <f>'BalSht '!BY34-'BalSht '!BX34</f>
        <v>0</v>
      </c>
      <c r="BZ13" s="237">
        <f>'BalSht '!BZ34-'BalSht '!BY34</f>
        <v>0</v>
      </c>
      <c r="CA13" s="237">
        <f t="shared" si="12"/>
        <v>0</v>
      </c>
      <c r="CB13" s="431"/>
      <c r="CC13" s="237">
        <f>'BalSht '!CC34-'BalSht '!CA34</f>
        <v>0</v>
      </c>
      <c r="CD13" s="237">
        <f>'BalSht '!CD34-'BalSht '!CC34</f>
        <v>0</v>
      </c>
      <c r="CE13" s="237">
        <f>'BalSht '!CE34-'BalSht '!CD34</f>
        <v>0</v>
      </c>
      <c r="CF13" s="237">
        <f>'BalSht '!CF34-'BalSht '!CE34</f>
        <v>0</v>
      </c>
      <c r="CG13" s="237">
        <f t="shared" si="13"/>
        <v>0</v>
      </c>
      <c r="CQ13" s="556"/>
    </row>
    <row r="14" spans="1:95" ht="11.25" customHeight="1" x14ac:dyDescent="0.2">
      <c r="A14" s="300"/>
      <c r="B14" s="336" t="s">
        <v>284</v>
      </c>
      <c r="C14" s="240">
        <v>3.4359999999999999</v>
      </c>
      <c r="D14" s="240">
        <f>7.124-C14</f>
        <v>3.6879999999999997</v>
      </c>
      <c r="E14" s="233">
        <f>11.541-SUM(C14:D14)</f>
        <v>4.4170000000000007</v>
      </c>
      <c r="F14" s="233">
        <f>14.088-SUM(C14:E14)</f>
        <v>2.5469999999999988</v>
      </c>
      <c r="G14" s="237">
        <f t="shared" si="0"/>
        <v>14.087999999999999</v>
      </c>
      <c r="H14" s="239"/>
      <c r="I14" s="240">
        <v>4.093</v>
      </c>
      <c r="J14" s="240">
        <f>8.404-I14</f>
        <v>4.3109999999999999</v>
      </c>
      <c r="K14" s="233">
        <f>12.748-SUM(I14:J14)</f>
        <v>4.3439999999999994</v>
      </c>
      <c r="L14" s="233">
        <f>17.29-SUM(I14:K14)</f>
        <v>4.5419999999999998</v>
      </c>
      <c r="M14" s="237">
        <f t="shared" si="1"/>
        <v>17.29</v>
      </c>
      <c r="N14" s="239"/>
      <c r="O14" s="240">
        <v>4.7889999999999997</v>
      </c>
      <c r="P14" s="240">
        <f>9.723-O14</f>
        <v>4.9340000000000011</v>
      </c>
      <c r="Q14" s="233">
        <f>14.778-SUM(O14:P14)</f>
        <v>5.0549999999999997</v>
      </c>
      <c r="R14" s="233">
        <f>16.276-SUM(O14:Q14)</f>
        <v>1.4979999999999993</v>
      </c>
      <c r="S14" s="237">
        <f t="shared" si="2"/>
        <v>16.276</v>
      </c>
      <c r="T14" s="239"/>
      <c r="U14" s="240">
        <v>5.2229999999999999</v>
      </c>
      <c r="V14" s="240">
        <f>10.238-U14</f>
        <v>5.0149999999999997</v>
      </c>
      <c r="W14" s="240">
        <f>14.769-SUM(U14:V14)</f>
        <v>4.5310000000000006</v>
      </c>
      <c r="X14" s="233">
        <f>18.803-SUM(U14:W14)</f>
        <v>4.0340000000000007</v>
      </c>
      <c r="Y14" s="237">
        <f t="shared" si="3"/>
        <v>18.803000000000001</v>
      </c>
      <c r="Z14" s="239"/>
      <c r="AA14" s="240">
        <v>4.6680000000000001</v>
      </c>
      <c r="AB14" s="240">
        <f>10.316-AA14</f>
        <v>5.6480000000000006</v>
      </c>
      <c r="AC14" s="240">
        <v>5.3429999999999991</v>
      </c>
      <c r="AD14" s="240">
        <f>20.947-AC14-AB14-AA14</f>
        <v>5.2879999999999994</v>
      </c>
      <c r="AE14" s="237">
        <f t="shared" si="4"/>
        <v>20.946999999999999</v>
      </c>
      <c r="AF14" s="239"/>
      <c r="AG14" s="240">
        <v>4.2220000000000004</v>
      </c>
      <c r="AH14" s="240">
        <f>11.029-AG14</f>
        <v>6.8069999999999995</v>
      </c>
      <c r="AI14" s="240">
        <f>17.248-AH14-AG14</f>
        <v>6.2190000000000021</v>
      </c>
      <c r="AJ14" s="240">
        <f>22.187-AI14-AH14-AG14</f>
        <v>4.9390000000000009</v>
      </c>
      <c r="AK14" s="237">
        <f t="shared" si="5"/>
        <v>22.187000000000001</v>
      </c>
      <c r="AL14" s="239"/>
      <c r="AM14" s="240">
        <v>5.4340000000000002</v>
      </c>
      <c r="AN14" s="240">
        <f>12.023-AM14</f>
        <v>6.5889999999999995</v>
      </c>
      <c r="AO14" s="240">
        <f>18.027-AN14-AM14</f>
        <v>6.0040000000000022</v>
      </c>
      <c r="AP14" s="240">
        <f>25.099-AO14-AN14-AM14</f>
        <v>7.0720000000000001</v>
      </c>
      <c r="AQ14" s="237">
        <f t="shared" si="6"/>
        <v>25.099</v>
      </c>
      <c r="AR14" s="239"/>
      <c r="AS14" s="240">
        <v>5.7859999999999996</v>
      </c>
      <c r="AT14" s="240">
        <f>13.358-AS14</f>
        <v>7.572000000000001</v>
      </c>
      <c r="AU14" s="240">
        <f>19.901-AT14-AS14</f>
        <v>6.5429999999999993</v>
      </c>
      <c r="AV14" s="240">
        <f>25.428-SUM(AS14:AU14)</f>
        <v>5.527000000000001</v>
      </c>
      <c r="AW14" s="237">
        <f t="shared" si="7"/>
        <v>25.428000000000001</v>
      </c>
      <c r="AX14" s="239"/>
      <c r="AY14" s="536">
        <v>4.8949999999999996</v>
      </c>
      <c r="AZ14" s="536">
        <v>6.9350000000000005</v>
      </c>
      <c r="BA14" s="536">
        <v>7.67</v>
      </c>
      <c r="BB14" s="252">
        <v>6.1</v>
      </c>
      <c r="BC14" s="237">
        <f t="shared" si="8"/>
        <v>25.6</v>
      </c>
      <c r="BD14" s="239"/>
      <c r="BE14" s="987">
        <v>4.8</v>
      </c>
      <c r="BF14" s="968">
        <f>17.4-BE14</f>
        <v>12.599999999999998</v>
      </c>
      <c r="BG14" s="968">
        <f>29.4-SUM(BE14:BF14)</f>
        <v>12</v>
      </c>
      <c r="BH14" s="252">
        <f>41.3-SUM(BE14:BG14)</f>
        <v>11.899999999999999</v>
      </c>
      <c r="BI14" s="237">
        <f t="shared" si="9"/>
        <v>41.3</v>
      </c>
      <c r="BJ14" s="239"/>
      <c r="BK14" s="987">
        <v>10.8</v>
      </c>
      <c r="BL14" s="968">
        <f>21.9-BK14</f>
        <v>11.099999999999998</v>
      </c>
      <c r="BM14" s="968">
        <f>40.8-SUM(BK14:BL14)</f>
        <v>18.899999999999999</v>
      </c>
      <c r="BN14" s="252">
        <f>48-SUM(BK14:BM14)</f>
        <v>7.2000000000000028</v>
      </c>
      <c r="BO14" s="237">
        <f t="shared" si="10"/>
        <v>48</v>
      </c>
      <c r="BP14" s="239"/>
      <c r="BQ14" s="237">
        <f>BQ160</f>
        <v>12.176231250000003</v>
      </c>
      <c r="BR14" s="237">
        <f>BR160</f>
        <v>13.056806400000001</v>
      </c>
      <c r="BS14" s="237">
        <f>BS160</f>
        <v>12.930530700000004</v>
      </c>
      <c r="BT14" s="237">
        <f>BT160</f>
        <v>13.654608</v>
      </c>
      <c r="BU14" s="237">
        <f t="shared" si="11"/>
        <v>51.818176350000002</v>
      </c>
      <c r="BV14" s="239"/>
      <c r="BW14" s="237">
        <f>BW160</f>
        <v>11.8126159503</v>
      </c>
      <c r="BX14" s="237">
        <f>BX160</f>
        <v>13.198082752500003</v>
      </c>
      <c r="BY14" s="237">
        <f>BY160</f>
        <v>13.391995510800001</v>
      </c>
      <c r="BZ14" s="237">
        <f>BZ160</f>
        <v>14.282228421000003</v>
      </c>
      <c r="CA14" s="237">
        <f t="shared" si="12"/>
        <v>52.684922634599999</v>
      </c>
      <c r="CB14" s="239"/>
      <c r="CC14" s="237">
        <f>CC160</f>
        <v>12.077345412704252</v>
      </c>
      <c r="CD14" s="237">
        <f>CD160</f>
        <v>13.365366756569252</v>
      </c>
      <c r="CE14" s="237">
        <f>CE160</f>
        <v>13.602158990490002</v>
      </c>
      <c r="CF14" s="237">
        <f>CF160</f>
        <v>14.616521887486503</v>
      </c>
      <c r="CG14" s="237">
        <f t="shared" si="13"/>
        <v>53.661393047250016</v>
      </c>
      <c r="CQ14" s="556"/>
    </row>
    <row r="15" spans="1:95" ht="11.25" customHeight="1" x14ac:dyDescent="0.2">
      <c r="A15" s="300"/>
      <c r="B15" s="336" t="s">
        <v>285</v>
      </c>
      <c r="C15" s="240">
        <v>0.99</v>
      </c>
      <c r="D15" s="240">
        <f>4.197-C15</f>
        <v>3.2069999999999999</v>
      </c>
      <c r="E15" s="233">
        <f>8.889-SUM(C15:D15)</f>
        <v>4.6919999999999993</v>
      </c>
      <c r="F15" s="233">
        <f>1.892-1.904+2.778-SUM(C15:E15)</f>
        <v>-6.1229999999999993</v>
      </c>
      <c r="G15" s="237">
        <f t="shared" si="0"/>
        <v>2.766</v>
      </c>
      <c r="H15" s="239"/>
      <c r="I15" s="240">
        <v>0.20399999999999999</v>
      </c>
      <c r="J15" s="240">
        <f>1.127-I15</f>
        <v>0.92300000000000004</v>
      </c>
      <c r="K15" s="233">
        <f>20.202-SUM(I15:J15)</f>
        <v>19.075000000000003</v>
      </c>
      <c r="L15" s="233">
        <f>13.468+1.373+2.356-20.253-SUM(I15:K15)</f>
        <v>-23.258000000000003</v>
      </c>
      <c r="M15" s="237">
        <f t="shared" si="1"/>
        <v>-3.0560000000000009</v>
      </c>
      <c r="N15" s="239"/>
      <c r="O15" s="240">
        <v>0.32800000000000001</v>
      </c>
      <c r="P15" s="240">
        <f>0.328-O15</f>
        <v>0</v>
      </c>
      <c r="Q15" s="233">
        <f>0.328-SUM(O15:P15)</f>
        <v>0</v>
      </c>
      <c r="R15" s="240">
        <f>-1.997-8.65+0.369-SUM(O15:Q15)</f>
        <v>-10.606</v>
      </c>
      <c r="S15" s="237">
        <f t="shared" si="2"/>
        <v>-10.278</v>
      </c>
      <c r="T15" s="239"/>
      <c r="U15" s="240">
        <v>0.36299999999999999</v>
      </c>
      <c r="V15" s="240">
        <f>0.363-U15</f>
        <v>0</v>
      </c>
      <c r="W15" s="240">
        <f>0.363-SUM(U15:V15)</f>
        <v>0</v>
      </c>
      <c r="X15" s="240">
        <f>0.379+7.249+0.113-SUM(U15:W15)</f>
        <v>7.3780000000000001</v>
      </c>
      <c r="Y15" s="237">
        <f t="shared" si="3"/>
        <v>7.7409999999999997</v>
      </c>
      <c r="Z15" s="239"/>
      <c r="AA15" s="240">
        <v>0</v>
      </c>
      <c r="AB15" s="240">
        <f>-0.787-AA15</f>
        <v>-0.78700000000000003</v>
      </c>
      <c r="AC15" s="240">
        <v>1.512</v>
      </c>
      <c r="AD15" s="240">
        <f>2.46-AC15-AB15-AA15</f>
        <v>1.7349999999999999</v>
      </c>
      <c r="AE15" s="237">
        <f t="shared" si="4"/>
        <v>2.46</v>
      </c>
      <c r="AF15" s="239"/>
      <c r="AG15" s="240">
        <v>1.165</v>
      </c>
      <c r="AH15" s="240">
        <f>2.105-AG15</f>
        <v>0.94</v>
      </c>
      <c r="AI15" s="240">
        <f>14.207-AH15-AG15</f>
        <v>12.102</v>
      </c>
      <c r="AJ15" s="240">
        <f>20.229-AI15-AH15-AG15</f>
        <v>6.0219999999999994</v>
      </c>
      <c r="AK15" s="237">
        <f t="shared" si="5"/>
        <v>20.228999999999999</v>
      </c>
      <c r="AL15" s="239"/>
      <c r="AM15" s="240">
        <v>-3.9119999999999999</v>
      </c>
      <c r="AN15" s="240">
        <f>1.57-AM15</f>
        <v>5.4820000000000002</v>
      </c>
      <c r="AO15" s="240">
        <f>0.843-AN15-AM15</f>
        <v>-0.72700000000000031</v>
      </c>
      <c r="AP15" s="240">
        <f>14.008-AO15-AN15-AM15</f>
        <v>13.164999999999999</v>
      </c>
      <c r="AQ15" s="237">
        <f t="shared" si="6"/>
        <v>14.007999999999999</v>
      </c>
      <c r="AR15" s="239"/>
      <c r="AS15" s="240">
        <v>-3.4049999999999998</v>
      </c>
      <c r="AT15" s="240">
        <f>-9.11+0.657-AS15</f>
        <v>-5.048</v>
      </c>
      <c r="AU15" s="240">
        <f>0+1.624+3.589-AT15-AS15</f>
        <v>13.665999999999999</v>
      </c>
      <c r="AV15" s="240">
        <f>5.818+4.607+0.34+9.85+0.492-SUM(AS15:AU15)</f>
        <v>15.894000000000004</v>
      </c>
      <c r="AW15" s="237">
        <f t="shared" si="7"/>
        <v>21.107000000000003</v>
      </c>
      <c r="AX15" s="239"/>
      <c r="AY15" s="536">
        <v>1.1939999999999991</v>
      </c>
      <c r="AZ15" s="536">
        <v>43.917000000000002</v>
      </c>
      <c r="BA15" s="536">
        <v>-11.711000000000002</v>
      </c>
      <c r="BB15" s="252">
        <v>10.499999999999989</v>
      </c>
      <c r="BC15" s="237">
        <f t="shared" si="8"/>
        <v>43.899999999999991</v>
      </c>
      <c r="BD15" s="239"/>
      <c r="BE15" s="987">
        <v>2.6</v>
      </c>
      <c r="BF15" s="968">
        <f>3.3-BE15</f>
        <v>0.69999999999999973</v>
      </c>
      <c r="BG15" s="968">
        <f>4.2-SUM(BE15:BF15)</f>
        <v>0.90000000000000036</v>
      </c>
      <c r="BH15" s="252">
        <f>9.7-SUM(BE15:BG15)</f>
        <v>5.4999999999999991</v>
      </c>
      <c r="BI15" s="237">
        <f t="shared" si="9"/>
        <v>9.6999999999999993</v>
      </c>
      <c r="BJ15" s="239"/>
      <c r="BK15" s="987">
        <v>0.6</v>
      </c>
      <c r="BL15" s="968">
        <f>1-BK15</f>
        <v>0.4</v>
      </c>
      <c r="BM15" s="968">
        <f>11.6-SUM(BK15:BL15)</f>
        <v>10.6</v>
      </c>
      <c r="BN15" s="252">
        <f>64.7-SUM(BK15:BM15)</f>
        <v>53.1</v>
      </c>
      <c r="BO15" s="237">
        <f t="shared" si="10"/>
        <v>64.7</v>
      </c>
      <c r="BP15" s="239"/>
      <c r="BQ15" s="700">
        <v>0</v>
      </c>
      <c r="BR15" s="700">
        <v>0</v>
      </c>
      <c r="BS15" s="700">
        <v>0</v>
      </c>
      <c r="BT15" s="700">
        <v>0</v>
      </c>
      <c r="BU15" s="237">
        <f t="shared" si="11"/>
        <v>0</v>
      </c>
      <c r="BV15" s="239"/>
      <c r="BW15" s="700">
        <v>0</v>
      </c>
      <c r="BX15" s="700">
        <v>0</v>
      </c>
      <c r="BY15" s="700">
        <v>0</v>
      </c>
      <c r="BZ15" s="700">
        <v>0</v>
      </c>
      <c r="CA15" s="237">
        <f t="shared" si="12"/>
        <v>0</v>
      </c>
      <c r="CB15" s="239"/>
      <c r="CC15" s="700">
        <v>0</v>
      </c>
      <c r="CD15" s="700">
        <v>0</v>
      </c>
      <c r="CE15" s="700">
        <v>0</v>
      </c>
      <c r="CF15" s="700">
        <v>0</v>
      </c>
      <c r="CG15" s="237">
        <f t="shared" si="13"/>
        <v>0</v>
      </c>
      <c r="CQ15" s="556"/>
    </row>
    <row r="16" spans="1:95" ht="11.25" customHeight="1" x14ac:dyDescent="0.2">
      <c r="A16" s="301"/>
      <c r="B16" s="336" t="s">
        <v>286</v>
      </c>
      <c r="C16" s="240">
        <v>0</v>
      </c>
      <c r="D16" s="233">
        <f>-3.659-C16</f>
        <v>-3.6589999999999998</v>
      </c>
      <c r="E16" s="233">
        <f>-5.412-SUM(C16:D16)</f>
        <v>-1.7530000000000001</v>
      </c>
      <c r="F16" s="233">
        <f>-11.414-SUM(C16:E16)</f>
        <v>-6.0019999999999998</v>
      </c>
      <c r="G16" s="234">
        <f t="shared" si="0"/>
        <v>-11.414</v>
      </c>
      <c r="H16" s="479"/>
      <c r="I16" s="240">
        <v>-1.139</v>
      </c>
      <c r="J16" s="233">
        <f>-2.008-I16</f>
        <v>-0.86899999999999999</v>
      </c>
      <c r="K16" s="233">
        <f>-3.575-SUM(I16:J16)</f>
        <v>-1.5670000000000002</v>
      </c>
      <c r="L16" s="233">
        <f>-3.91-SUM(I16:K16)</f>
        <v>-0.33499999999999996</v>
      </c>
      <c r="M16" s="234">
        <f t="shared" si="1"/>
        <v>-3.91</v>
      </c>
      <c r="N16" s="479"/>
      <c r="O16" s="240">
        <v>-0.59199999999999997</v>
      </c>
      <c r="P16" s="233">
        <f>-2.003-O16</f>
        <v>-1.411</v>
      </c>
      <c r="Q16" s="233">
        <f>-2.921-SUM(O16:P16)</f>
        <v>-0.91799999999999971</v>
      </c>
      <c r="R16" s="233">
        <f>-3.505-SUM(O16:Q16)</f>
        <v>-0.58400000000000007</v>
      </c>
      <c r="S16" s="234">
        <f t="shared" si="2"/>
        <v>-3.5049999999999999</v>
      </c>
      <c r="T16" s="479"/>
      <c r="U16" s="240">
        <v>-1.8979999999999999</v>
      </c>
      <c r="V16" s="240">
        <f>-4.666-U16</f>
        <v>-2.7680000000000007</v>
      </c>
      <c r="W16" s="240">
        <f>-4.784-SUM(U16:V16)</f>
        <v>-0.11799999999999944</v>
      </c>
      <c r="X16" s="233">
        <f>-4.663-SUM(U16:W16)</f>
        <v>0.12099999999999955</v>
      </c>
      <c r="Y16" s="234">
        <f t="shared" si="3"/>
        <v>-4.6630000000000003</v>
      </c>
      <c r="Z16" s="479"/>
      <c r="AA16" s="240">
        <v>-4.3710000000000004</v>
      </c>
      <c r="AB16" s="240">
        <f>+-6.217-AA16</f>
        <v>-1.8459999999999992</v>
      </c>
      <c r="AC16" s="240">
        <v>-0.4870000000000001</v>
      </c>
      <c r="AD16" s="240">
        <f>-1.039-AC16-AB16-AA16</f>
        <v>5.665</v>
      </c>
      <c r="AE16" s="237">
        <f t="shared" si="4"/>
        <v>-1.0389999999999997</v>
      </c>
      <c r="AF16" s="479"/>
      <c r="AG16" s="240">
        <v>-3.879</v>
      </c>
      <c r="AH16" s="240">
        <f>-5.163-AG16</f>
        <v>-1.2840000000000003</v>
      </c>
      <c r="AI16" s="240">
        <f>-11.201-AH16-AG16</f>
        <v>-6.0380000000000003</v>
      </c>
      <c r="AJ16" s="240">
        <f>-13.009-AI16-AH16-AG16</f>
        <v>-1.8079999999999994</v>
      </c>
      <c r="AK16" s="237">
        <f t="shared" si="5"/>
        <v>-13.009</v>
      </c>
      <c r="AL16" s="479"/>
      <c r="AM16" s="240">
        <v>-0.60299999999999998</v>
      </c>
      <c r="AN16" s="240">
        <f>-1.122-AM16</f>
        <v>-0.51900000000000013</v>
      </c>
      <c r="AO16" s="240">
        <f>-2.262-AN16-AM16</f>
        <v>-1.1399999999999999</v>
      </c>
      <c r="AP16" s="240">
        <f>-2.406-AO16-AN16-AM16</f>
        <v>-0.14400000000000013</v>
      </c>
      <c r="AQ16" s="237">
        <f t="shared" si="6"/>
        <v>-2.4060000000000001</v>
      </c>
      <c r="AR16" s="479"/>
      <c r="AS16" s="240">
        <v>-6.9000000000000006E-2</v>
      </c>
      <c r="AT16" s="240">
        <f>-0.349-AS16</f>
        <v>-0.27999999999999997</v>
      </c>
      <c r="AU16" s="240">
        <f>-0.365-AT16-AS16</f>
        <v>-1.6000000000000014E-2</v>
      </c>
      <c r="AV16" s="240">
        <f>-2.093-SUM(AS16:AU16)</f>
        <v>-1.728</v>
      </c>
      <c r="AW16" s="237">
        <f t="shared" si="7"/>
        <v>-2.093</v>
      </c>
      <c r="AX16" s="479"/>
      <c r="AY16" s="536">
        <v>-0.38100000000000001</v>
      </c>
      <c r="AZ16" s="536">
        <v>-8.4409999999999989</v>
      </c>
      <c r="BA16" s="536">
        <v>-1.178000000000001</v>
      </c>
      <c r="BB16" s="252">
        <v>-1.5999999999999999</v>
      </c>
      <c r="BC16" s="237">
        <f t="shared" si="8"/>
        <v>-11.6</v>
      </c>
      <c r="BD16" s="238"/>
      <c r="BE16" s="987">
        <v>0</v>
      </c>
      <c r="BF16" s="968">
        <v>0</v>
      </c>
      <c r="BG16" s="968">
        <v>0</v>
      </c>
      <c r="BH16" s="252">
        <v>0</v>
      </c>
      <c r="BI16" s="237">
        <f t="shared" si="9"/>
        <v>0</v>
      </c>
      <c r="BJ16" s="238"/>
      <c r="BK16" s="987">
        <v>0</v>
      </c>
      <c r="BL16" s="968">
        <f t="shared" ref="BL16" si="14">0-BK16</f>
        <v>0</v>
      </c>
      <c r="BM16" s="968">
        <f t="shared" ref="BM16" si="15">0-SUM(BK16:BL16)</f>
        <v>0</v>
      </c>
      <c r="BN16" s="252">
        <v>0</v>
      </c>
      <c r="BO16" s="237">
        <f t="shared" si="10"/>
        <v>0</v>
      </c>
      <c r="BP16" s="238"/>
      <c r="BQ16" s="700">
        <v>0</v>
      </c>
      <c r="BR16" s="700">
        <f t="shared" ref="BR16:BT16" si="16">+BQ16</f>
        <v>0</v>
      </c>
      <c r="BS16" s="700">
        <f t="shared" si="16"/>
        <v>0</v>
      </c>
      <c r="BT16" s="700">
        <f t="shared" si="16"/>
        <v>0</v>
      </c>
      <c r="BU16" s="237">
        <f t="shared" si="11"/>
        <v>0</v>
      </c>
      <c r="BV16" s="238"/>
      <c r="BW16" s="700">
        <f>+BT16</f>
        <v>0</v>
      </c>
      <c r="BX16" s="700">
        <f t="shared" ref="BX16:BZ16" si="17">+BW16</f>
        <v>0</v>
      </c>
      <c r="BY16" s="700">
        <f t="shared" si="17"/>
        <v>0</v>
      </c>
      <c r="BZ16" s="700">
        <f t="shared" si="17"/>
        <v>0</v>
      </c>
      <c r="CA16" s="237">
        <f t="shared" si="12"/>
        <v>0</v>
      </c>
      <c r="CB16" s="238"/>
      <c r="CC16" s="700">
        <f>+BZ16</f>
        <v>0</v>
      </c>
      <c r="CD16" s="700">
        <f t="shared" ref="CD16:CF16" si="18">+CC16</f>
        <v>0</v>
      </c>
      <c r="CE16" s="700">
        <f t="shared" si="18"/>
        <v>0</v>
      </c>
      <c r="CF16" s="700">
        <f t="shared" si="18"/>
        <v>0</v>
      </c>
      <c r="CG16" s="237">
        <f t="shared" si="13"/>
        <v>0</v>
      </c>
      <c r="CQ16" s="556"/>
    </row>
    <row r="17" spans="1:95" ht="11.25" customHeight="1" x14ac:dyDescent="0.2">
      <c r="A17" s="301"/>
      <c r="B17" s="336" t="s">
        <v>491</v>
      </c>
      <c r="C17" s="240"/>
      <c r="D17" s="233"/>
      <c r="E17" s="233"/>
      <c r="F17" s="233"/>
      <c r="G17" s="234"/>
      <c r="H17" s="479"/>
      <c r="I17" s="240"/>
      <c r="J17" s="233"/>
      <c r="K17" s="233"/>
      <c r="L17" s="233"/>
      <c r="M17" s="234"/>
      <c r="N17" s="479"/>
      <c r="O17" s="240"/>
      <c r="P17" s="233"/>
      <c r="Q17" s="233"/>
      <c r="R17" s="233"/>
      <c r="S17" s="234"/>
      <c r="T17" s="479"/>
      <c r="U17" s="240"/>
      <c r="V17" s="240"/>
      <c r="W17" s="240"/>
      <c r="X17" s="233"/>
      <c r="Y17" s="234"/>
      <c r="Z17" s="479"/>
      <c r="AA17" s="240"/>
      <c r="AB17" s="240"/>
      <c r="AC17" s="240"/>
      <c r="AD17" s="240"/>
      <c r="AE17" s="237"/>
      <c r="AF17" s="479"/>
      <c r="AG17" s="240"/>
      <c r="AH17" s="240"/>
      <c r="AI17" s="240"/>
      <c r="AJ17" s="240"/>
      <c r="AK17" s="237"/>
      <c r="AL17" s="479"/>
      <c r="AM17" s="240"/>
      <c r="AN17" s="240"/>
      <c r="AO17" s="240"/>
      <c r="AP17" s="240"/>
      <c r="AQ17" s="237"/>
      <c r="AR17" s="479"/>
      <c r="AS17" s="240"/>
      <c r="AT17" s="240"/>
      <c r="AU17" s="240"/>
      <c r="AV17" s="240"/>
      <c r="AW17" s="237"/>
      <c r="AX17" s="128"/>
      <c r="AY17" s="968">
        <v>0</v>
      </c>
      <c r="AZ17" s="968">
        <v>0</v>
      </c>
      <c r="BA17" s="968">
        <v>0</v>
      </c>
      <c r="BB17" s="700">
        <v>0</v>
      </c>
      <c r="BC17" s="237">
        <f t="shared" si="8"/>
        <v>0</v>
      </c>
      <c r="BD17" s="239"/>
      <c r="BE17" s="968">
        <f>0-3.4+1.1</f>
        <v>-2.2999999999999998</v>
      </c>
      <c r="BF17" s="968">
        <f>2.1-31.5+0.5-BE17</f>
        <v>-26.599999999999998</v>
      </c>
      <c r="BG17" s="968">
        <f>3.6-41.4+1.8-SUM(BE17:BF17)</f>
        <v>-7.1000000000000014</v>
      </c>
      <c r="BH17" s="700">
        <f>4.5-32+2.8-SUM(BE17:BG17)</f>
        <v>11.3</v>
      </c>
      <c r="BI17" s="237">
        <f t="shared" si="9"/>
        <v>-24.7</v>
      </c>
      <c r="BJ17" s="239"/>
      <c r="BK17" s="968">
        <f>0.7-14.4+0.3</f>
        <v>-13.4</v>
      </c>
      <c r="BL17" s="968">
        <f>1.3+1092.9+79.8+5.5+0.4-BK17</f>
        <v>1193.3000000000002</v>
      </c>
      <c r="BM17" s="968">
        <f>1.9+1092.9+79.8-1.6+2.3-SUM(BK17:BL17)</f>
        <v>-4.5999999999999091</v>
      </c>
      <c r="BN17" s="700">
        <f>1650.9+2.6+9.9+1.6+346.7-SUM(BK17:BM17)</f>
        <v>836.39999999999986</v>
      </c>
      <c r="BO17" s="237">
        <f t="shared" si="10"/>
        <v>2011.7</v>
      </c>
      <c r="BP17" s="239"/>
      <c r="BQ17" s="700">
        <v>0</v>
      </c>
      <c r="BR17" s="700">
        <v>0</v>
      </c>
      <c r="BS17" s="700">
        <v>0</v>
      </c>
      <c r="BT17" s="700">
        <v>0</v>
      </c>
      <c r="BU17" s="237">
        <f t="shared" si="11"/>
        <v>0</v>
      </c>
      <c r="BV17" s="239"/>
      <c r="BW17" s="700">
        <v>0</v>
      </c>
      <c r="BX17" s="700">
        <v>0</v>
      </c>
      <c r="BY17" s="700">
        <v>0</v>
      </c>
      <c r="BZ17" s="700">
        <v>0</v>
      </c>
      <c r="CA17" s="237">
        <f t="shared" si="12"/>
        <v>0</v>
      </c>
      <c r="CB17" s="239"/>
      <c r="CC17" s="700">
        <v>0</v>
      </c>
      <c r="CD17" s="700">
        <v>0</v>
      </c>
      <c r="CE17" s="700">
        <v>0</v>
      </c>
      <c r="CF17" s="700">
        <v>0</v>
      </c>
      <c r="CG17" s="237">
        <f t="shared" si="13"/>
        <v>0</v>
      </c>
      <c r="CQ17" s="556"/>
    </row>
    <row r="18" spans="1:95" ht="11.25" customHeight="1" x14ac:dyDescent="0.2">
      <c r="A18" s="301"/>
      <c r="B18" s="283"/>
      <c r="C18" s="240"/>
      <c r="D18" s="233"/>
      <c r="E18" s="233"/>
      <c r="F18" s="233"/>
      <c r="G18" s="234"/>
      <c r="H18" s="128"/>
      <c r="I18" s="240"/>
      <c r="J18" s="233"/>
      <c r="K18" s="233"/>
      <c r="L18" s="233"/>
      <c r="M18" s="234"/>
      <c r="N18" s="128"/>
      <c r="O18" s="240"/>
      <c r="P18" s="233"/>
      <c r="Q18" s="233"/>
      <c r="R18" s="233"/>
      <c r="S18" s="234"/>
      <c r="T18" s="128"/>
      <c r="U18" s="240"/>
      <c r="V18" s="233"/>
      <c r="W18" s="240"/>
      <c r="X18" s="233"/>
      <c r="Y18" s="234"/>
      <c r="Z18" s="128"/>
      <c r="AA18" s="240"/>
      <c r="AB18" s="240"/>
      <c r="AC18" s="240"/>
      <c r="AD18" s="240"/>
      <c r="AE18" s="234"/>
      <c r="AF18" s="128"/>
      <c r="AG18" s="240"/>
      <c r="AH18" s="240"/>
      <c r="AI18" s="240"/>
      <c r="AJ18" s="240"/>
      <c r="AK18" s="234"/>
      <c r="AL18" s="128"/>
      <c r="AM18" s="240"/>
      <c r="AN18" s="240"/>
      <c r="AO18" s="240"/>
      <c r="AP18" s="240"/>
      <c r="AQ18" s="234"/>
      <c r="AR18" s="128"/>
      <c r="AS18" s="240"/>
      <c r="AT18" s="240"/>
      <c r="AU18" s="240"/>
      <c r="AV18" s="240"/>
      <c r="AW18" s="234"/>
      <c r="AX18" s="128"/>
      <c r="AY18" s="240"/>
      <c r="AZ18" s="240"/>
      <c r="BA18" s="240"/>
      <c r="BB18" s="240"/>
      <c r="BC18" s="237"/>
      <c r="BD18" s="239"/>
      <c r="BE18" s="240"/>
      <c r="BF18" s="240"/>
      <c r="BG18" s="240"/>
      <c r="BH18" s="240"/>
      <c r="BI18" s="237"/>
      <c r="BJ18" s="239"/>
      <c r="BK18" s="240"/>
      <c r="BL18" s="240"/>
      <c r="BM18" s="240"/>
      <c r="BN18" s="240"/>
      <c r="BO18" s="237"/>
      <c r="BP18" s="239"/>
      <c r="BQ18" s="240"/>
      <c r="BR18" s="240"/>
      <c r="BS18" s="240"/>
      <c r="BT18" s="240"/>
      <c r="BU18" s="237"/>
      <c r="BV18" s="239"/>
      <c r="BW18" s="240"/>
      <c r="BX18" s="240"/>
      <c r="BY18" s="240"/>
      <c r="BZ18" s="240"/>
      <c r="CA18" s="237"/>
      <c r="CB18" s="239"/>
      <c r="CC18" s="240"/>
      <c r="CD18" s="240"/>
      <c r="CE18" s="240"/>
      <c r="CF18" s="240"/>
      <c r="CG18" s="237"/>
      <c r="CQ18" s="556"/>
    </row>
    <row r="19" spans="1:95" ht="11.25" customHeight="1" x14ac:dyDescent="0.2">
      <c r="A19" s="301"/>
      <c r="B19" s="336" t="s">
        <v>287</v>
      </c>
      <c r="C19" s="234">
        <f>SUM(C20:C25)</f>
        <v>0</v>
      </c>
      <c r="D19" s="234">
        <f>SUM(D20:D25)</f>
        <v>-21.008999999999997</v>
      </c>
      <c r="E19" s="234">
        <f>SUM(E20:E25)</f>
        <v>31.67</v>
      </c>
      <c r="F19" s="234">
        <f>SUM(F20:F25)</f>
        <v>36.079999999999991</v>
      </c>
      <c r="G19" s="234">
        <f>SUM(G20:G25)</f>
        <v>46.741</v>
      </c>
      <c r="H19" s="128"/>
      <c r="I19" s="234">
        <f>SUM(I20:I25)</f>
        <v>-78.665000000000006</v>
      </c>
      <c r="J19" s="234">
        <f>SUM(J20:J25)</f>
        <v>12.720000000000002</v>
      </c>
      <c r="K19" s="234">
        <f>SUM(K20:K25)</f>
        <v>2.7349999999999968</v>
      </c>
      <c r="L19" s="234">
        <f>SUM(L20:L25)</f>
        <v>34.117000000000004</v>
      </c>
      <c r="M19" s="234">
        <f>SUM(M20:M25)</f>
        <v>-29.092999999999996</v>
      </c>
      <c r="N19" s="128"/>
      <c r="O19" s="234">
        <f>SUM(O20:O25)</f>
        <v>-68.531999999999996</v>
      </c>
      <c r="P19" s="234">
        <f>SUM(P20:P25)</f>
        <v>9.0930000000000053</v>
      </c>
      <c r="Q19" s="234">
        <f>SUM(Q20:Q25)</f>
        <v>38.567</v>
      </c>
      <c r="R19" s="234">
        <f>SUM(R20:R25)</f>
        <v>39.893000000000001</v>
      </c>
      <c r="S19" s="234">
        <f>SUM(S20:S25)</f>
        <v>19.021000000000001</v>
      </c>
      <c r="T19" s="128"/>
      <c r="U19" s="234">
        <f>SUM(U20:U25)</f>
        <v>-45.856000000000002</v>
      </c>
      <c r="V19" s="234">
        <f>SUM(V20:V25)</f>
        <v>13.407999999999998</v>
      </c>
      <c r="W19" s="234">
        <f>SUM(W20:W25)</f>
        <v>10.291</v>
      </c>
      <c r="X19" s="234">
        <f>SUM(X20:X25)</f>
        <v>27.29</v>
      </c>
      <c r="Y19" s="234">
        <f>SUM(Y20:Y25)</f>
        <v>5.1330000000000018</v>
      </c>
      <c r="Z19" s="128"/>
      <c r="AA19" s="234">
        <f>SUM(AA20:AA25)</f>
        <v>-47.954000000000001</v>
      </c>
      <c r="AB19" s="234">
        <f>SUM(AB20:AB25)</f>
        <v>23.423999999999999</v>
      </c>
      <c r="AC19" s="234">
        <f>SUM(AC20:AC25)</f>
        <v>21.826000000000008</v>
      </c>
      <c r="AD19" s="234">
        <f>SUM(AD20:AD25)</f>
        <v>100.06299999999999</v>
      </c>
      <c r="AE19" s="234">
        <f>SUM(AE20:AE25)</f>
        <v>97.358999999999995</v>
      </c>
      <c r="AF19" s="128"/>
      <c r="AG19" s="234">
        <f>SUM(AG20:AG25)</f>
        <v>-82.787999999999997</v>
      </c>
      <c r="AH19" s="234">
        <f>SUM(AH20:AH25)</f>
        <v>-24.302999999999997</v>
      </c>
      <c r="AI19" s="234">
        <f>SUM(AI20:AI25)</f>
        <v>1.5249999999999968</v>
      </c>
      <c r="AJ19" s="234">
        <f>SUM(AJ20:AJ25)</f>
        <v>73.920999999999992</v>
      </c>
      <c r="AK19" s="234">
        <f>SUM(AK20:AK25)</f>
        <v>-31.645</v>
      </c>
      <c r="AL19" s="128"/>
      <c r="AM19" s="234">
        <f>SUM(AM20:AM25)</f>
        <v>-93.887</v>
      </c>
      <c r="AN19" s="234">
        <f>SUM(AN20:AN25)</f>
        <v>-25.207000000000008</v>
      </c>
      <c r="AO19" s="234">
        <f>SUM(AO20:AO25)</f>
        <v>39.643000000000001</v>
      </c>
      <c r="AP19" s="234">
        <f>SUM(AP20:AP25)</f>
        <v>7.1080000000000076</v>
      </c>
      <c r="AQ19" s="234">
        <f>SUM(AQ20:AQ25)</f>
        <v>-72.343000000000004</v>
      </c>
      <c r="AR19" s="128"/>
      <c r="AS19" s="234">
        <f>SUM(AS20:AS25)</f>
        <v>-34.281999999999996</v>
      </c>
      <c r="AT19" s="234">
        <f>SUM(AT20:AT25)</f>
        <v>14.199</v>
      </c>
      <c r="AU19" s="234">
        <f>SUM(AU20:AU25)</f>
        <v>8.5160000000000018</v>
      </c>
      <c r="AV19" s="234">
        <f>SUM(AV20:AV25)</f>
        <v>43.960000000000008</v>
      </c>
      <c r="AW19" s="234">
        <f>SUM(AW20:AW25)</f>
        <v>32.393000000000001</v>
      </c>
      <c r="AX19" s="128"/>
      <c r="AY19" s="234">
        <f>SUM(AY20:AY25)</f>
        <v>-58.811</v>
      </c>
      <c r="AZ19" s="234">
        <f>SUM(AZ20:AZ25)</f>
        <v>11.958000000000006</v>
      </c>
      <c r="BA19" s="234">
        <f>SUM(BA20:BA25)</f>
        <v>30.652999999999995</v>
      </c>
      <c r="BB19" s="237">
        <f>SUM(BB20:BB25)</f>
        <v>37.200000000000003</v>
      </c>
      <c r="BC19" s="237">
        <f>SUM(BC20:BC25)</f>
        <v>21.000000000000007</v>
      </c>
      <c r="BD19" s="239"/>
      <c r="BE19" s="237">
        <f>SUM(BE20:BE25)</f>
        <v>-90.799999999999983</v>
      </c>
      <c r="BF19" s="237">
        <f>SUM(BF20:BF25)</f>
        <v>5.5</v>
      </c>
      <c r="BG19" s="237">
        <f>SUM(BG20:BG25)</f>
        <v>2.9999999999999858</v>
      </c>
      <c r="BH19" s="237">
        <f>SUM(BH20:BH25)</f>
        <v>27.500000000000028</v>
      </c>
      <c r="BI19" s="237">
        <f>SUM(BI20:BI25)</f>
        <v>-54.799999999999983</v>
      </c>
      <c r="BJ19" s="239"/>
      <c r="BK19" s="237">
        <f>SUM(BK20:BK25)</f>
        <v>-45.3</v>
      </c>
      <c r="BL19" s="237">
        <f>SUM(BL20:BL25)</f>
        <v>-86.8</v>
      </c>
      <c r="BM19" s="237">
        <f>SUM(BM20:BM25)</f>
        <v>-21.200000000000003</v>
      </c>
      <c r="BN19" s="237">
        <f>SUM(BN20:BN25)</f>
        <v>4.0000000000000107</v>
      </c>
      <c r="BO19" s="237">
        <f>SUM(BO20:BO25)</f>
        <v>-149.30000000000001</v>
      </c>
      <c r="BP19" s="239"/>
      <c r="BQ19" s="237">
        <f>SUM(BQ20:BQ25)</f>
        <v>120.39519722679131</v>
      </c>
      <c r="BR19" s="237">
        <f>SUM(BR20:BR25)</f>
        <v>-95.82841480556101</v>
      </c>
      <c r="BS19" s="237">
        <f>SUM(BS20:BS25)</f>
        <v>-108.86302634737967</v>
      </c>
      <c r="BT19" s="237">
        <f>SUM(BT20:BT25)</f>
        <v>-73.49091277483717</v>
      </c>
      <c r="BU19" s="237">
        <f>SUM(BU20:BU25)</f>
        <v>-157.78715670098654</v>
      </c>
      <c r="BV19" s="239"/>
      <c r="BW19" s="237">
        <f>SUM(BW20:BW25)</f>
        <v>163.21806134318012</v>
      </c>
      <c r="BX19" s="237">
        <f>SUM(BX20:BX25)</f>
        <v>-86.78145037868012</v>
      </c>
      <c r="BY19" s="237">
        <f>SUM(BY20:BY25)</f>
        <v>-79.22056198508443</v>
      </c>
      <c r="BZ19" s="237">
        <f>SUM(BZ20:BZ25)</f>
        <v>-52.733359183503069</v>
      </c>
      <c r="CA19" s="237">
        <f>SUM(CA20:CA25)</f>
        <v>-55.517310204087494</v>
      </c>
      <c r="CB19" s="239"/>
      <c r="CC19" s="237">
        <f>SUM(CC20:CC25)</f>
        <v>165.91797887458836</v>
      </c>
      <c r="CD19" s="237">
        <f>SUM(CD20:CD25)</f>
        <v>-96.267336316119554</v>
      </c>
      <c r="CE19" s="237">
        <f>SUM(CE20:CE25)</f>
        <v>-84.518074024754981</v>
      </c>
      <c r="CF19" s="237">
        <f>SUM(CF20:CF25)</f>
        <v>-63.889478783839365</v>
      </c>
      <c r="CG19" s="237">
        <f>SUM(CG20:CG25)</f>
        <v>-78.756910250125543</v>
      </c>
      <c r="CQ19" s="556"/>
    </row>
    <row r="20" spans="1:95" ht="11.25" customHeight="1" outlineLevel="1" x14ac:dyDescent="0.2">
      <c r="A20" s="301"/>
      <c r="B20" s="171" t="s">
        <v>368</v>
      </c>
      <c r="C20" s="233"/>
      <c r="D20" s="233">
        <f>-25.988-C20</f>
        <v>-25.988</v>
      </c>
      <c r="E20" s="233">
        <f>-14.646-SUM(C20:D20)</f>
        <v>11.341999999999999</v>
      </c>
      <c r="F20" s="233">
        <f>9.029-SUM(C20:E20)</f>
        <v>23.675000000000001</v>
      </c>
      <c r="G20" s="234">
        <f t="shared" ref="G20:G26" si="19">SUM(C20:F20)</f>
        <v>9.0289999999999999</v>
      </c>
      <c r="H20" s="243"/>
      <c r="I20" s="233">
        <v>-32.753</v>
      </c>
      <c r="J20" s="233">
        <f>-49.711-I20</f>
        <v>-16.957999999999998</v>
      </c>
      <c r="K20" s="233">
        <f>-45.344-SUM(I20:J20)</f>
        <v>4.3669999999999973</v>
      </c>
      <c r="L20" s="233">
        <f>-3.69-SUM(I20:K20)</f>
        <v>41.654000000000003</v>
      </c>
      <c r="M20" s="234">
        <f t="shared" ref="M20:M26" si="20">SUM(I20:L20)</f>
        <v>-3.6899999999999977</v>
      </c>
      <c r="N20" s="243"/>
      <c r="O20" s="233">
        <v>-19.745000000000001</v>
      </c>
      <c r="P20" s="233">
        <f>-34.458-O20</f>
        <v>-14.712999999999997</v>
      </c>
      <c r="Q20" s="233">
        <f>-23.166-SUM(O20:P20)</f>
        <v>11.291999999999998</v>
      </c>
      <c r="R20" s="233">
        <f>-16.942-SUM(O20:Q20)</f>
        <v>6.2240000000000002</v>
      </c>
      <c r="S20" s="234">
        <f t="shared" ref="S20:S26" si="21">SUM(O20:R20)</f>
        <v>-16.942</v>
      </c>
      <c r="T20" s="243"/>
      <c r="U20" s="233">
        <v>-15.53</v>
      </c>
      <c r="V20" s="240">
        <f>-28.487-U20</f>
        <v>-12.956999999999999</v>
      </c>
      <c r="W20" s="240">
        <f>-16.768-SUM(U20:V20)</f>
        <v>11.718999999999998</v>
      </c>
      <c r="X20" s="233">
        <f>5.115-SUM(U20:W20)</f>
        <v>21.883000000000003</v>
      </c>
      <c r="Y20" s="234">
        <f t="shared" ref="Y20:Y26" si="22">SUM(U20:X20)</f>
        <v>5.115000000000002</v>
      </c>
      <c r="Z20" s="243"/>
      <c r="AA20" s="233">
        <v>-28.706</v>
      </c>
      <c r="AB20" s="233">
        <f>+-40.357-AA20</f>
        <v>-11.651</v>
      </c>
      <c r="AC20" s="240">
        <v>13.352</v>
      </c>
      <c r="AD20" s="240">
        <f>1.469-AC20-AB20-AA20</f>
        <v>28.473999999999997</v>
      </c>
      <c r="AE20" s="237">
        <f t="shared" ref="AE20:AE25" si="23">SUM(AA20:AD20)</f>
        <v>1.4689999999999976</v>
      </c>
      <c r="AF20" s="244"/>
      <c r="AG20" s="233">
        <v>-25.597000000000001</v>
      </c>
      <c r="AH20" s="233">
        <f>(-41.461)-AG20</f>
        <v>-15.863999999999997</v>
      </c>
      <c r="AI20" s="240">
        <f>-41.943-AH20-AG20</f>
        <v>-0.48199999999999932</v>
      </c>
      <c r="AJ20" s="240">
        <f>-12.591-AI20-AH20-AG20</f>
        <v>29.351999999999997</v>
      </c>
      <c r="AK20" s="237">
        <f t="shared" ref="AK20:AK25" si="24">SUM(AG20:AJ20)</f>
        <v>-12.591000000000001</v>
      </c>
      <c r="AL20" s="244"/>
      <c r="AM20" s="233">
        <v>-36.209000000000003</v>
      </c>
      <c r="AN20" s="233">
        <f>(-72.324)-AM20</f>
        <v>-36.114999999999995</v>
      </c>
      <c r="AO20" s="240">
        <f>-65.455-AN20-AM20</f>
        <v>6.8689999999999998</v>
      </c>
      <c r="AP20" s="240">
        <f>-32.532-AO20-AN20-AM20</f>
        <v>32.923000000000002</v>
      </c>
      <c r="AQ20" s="237">
        <f t="shared" ref="AQ20:AQ25" si="25">SUM(AM20:AP20)</f>
        <v>-32.531999999999996</v>
      </c>
      <c r="AR20" s="244"/>
      <c r="AS20" s="233">
        <v>-22.92</v>
      </c>
      <c r="AT20" s="233">
        <f>-31.505-AS20</f>
        <v>-8.5849999999999973</v>
      </c>
      <c r="AU20" s="240">
        <f>-30.916-AT20-AS20</f>
        <v>0.58899999999999864</v>
      </c>
      <c r="AV20" s="240">
        <f>7.196-SUM(AS20:AU20)</f>
        <v>38.112000000000002</v>
      </c>
      <c r="AW20" s="237">
        <f t="shared" ref="AW20:AW25" si="26">SUM(AS20:AV20)</f>
        <v>7.1960000000000015</v>
      </c>
      <c r="AX20" s="244"/>
      <c r="AY20" s="536">
        <v>-10.246</v>
      </c>
      <c r="AZ20" s="536">
        <v>-29.750999999999998</v>
      </c>
      <c r="BA20" s="536">
        <v>12.097</v>
      </c>
      <c r="BB20" s="252">
        <v>27</v>
      </c>
      <c r="BC20" s="237">
        <f t="shared" ref="BC20:BC26" si="27">SUM(AY20:BB20)</f>
        <v>-0.89999999999999858</v>
      </c>
      <c r="BD20" s="244"/>
      <c r="BE20" s="968">
        <v>-67.099999999999994</v>
      </c>
      <c r="BF20" s="968">
        <f>-82.8-BE20</f>
        <v>-15.700000000000003</v>
      </c>
      <c r="BG20" s="968">
        <f>-92.9-SUM(BE20:BF20)</f>
        <v>-10.100000000000009</v>
      </c>
      <c r="BH20" s="252">
        <f>-75.1-SUM(BE20:BG20)</f>
        <v>17.800000000000011</v>
      </c>
      <c r="BI20" s="237">
        <f t="shared" ref="BI20:BI26" si="28">SUM(BE20:BH20)</f>
        <v>-75.099999999999994</v>
      </c>
      <c r="BJ20" s="244"/>
      <c r="BK20" s="968">
        <v>46.2</v>
      </c>
      <c r="BL20" s="968">
        <f>1.9-BK20</f>
        <v>-44.300000000000004</v>
      </c>
      <c r="BM20" s="968">
        <f>-57.6-SUM(BK20:BL20)</f>
        <v>-59.5</v>
      </c>
      <c r="BN20" s="252">
        <f>-63.4-SUM(BK20:BM20)</f>
        <v>-5.7999999999999972</v>
      </c>
      <c r="BO20" s="237">
        <f t="shared" ref="BO20:BO26" si="29">SUM(BK20:BN20)</f>
        <v>-63.4</v>
      </c>
      <c r="BP20" s="244"/>
      <c r="BQ20" s="237">
        <f>'BalSht '!BO11-'BalSht '!BQ11</f>
        <v>115.36718181818185</v>
      </c>
      <c r="BR20" s="237">
        <f>'BalSht '!BQ11-'BalSht '!BR11</f>
        <v>-42.396320422084614</v>
      </c>
      <c r="BS20" s="237">
        <f>'BalSht '!BR11-'BalSht '!BS11</f>
        <v>-75.948077392929463</v>
      </c>
      <c r="BT20" s="237">
        <f>'BalSht '!BS11-'BalSht '!BT11</f>
        <v>-39.899800685110904</v>
      </c>
      <c r="BU20" s="237">
        <f t="shared" ref="BU20:BU26" si="30">SUM(BQ20:BT20)</f>
        <v>-42.877016681943132</v>
      </c>
      <c r="BV20" s="244"/>
      <c r="BW20" s="237">
        <f>'BalSht '!BU11-'BalSht '!BW11</f>
        <v>136.93121140921585</v>
      </c>
      <c r="BX20" s="237">
        <f>'BalSht '!BW11-'BalSht '!BX11</f>
        <v>-52.121120669739184</v>
      </c>
      <c r="BY20" s="237">
        <f>'BalSht '!BX11-'BalSht '!BY11</f>
        <v>-76.121027880538804</v>
      </c>
      <c r="BZ20" s="237">
        <f>'BalSht '!BY11-'BalSht '!BZ11</f>
        <v>-35.484665810358706</v>
      </c>
      <c r="CA20" s="237">
        <f t="shared" ref="CA20:CA26" si="31">SUM(BW20:BZ20)</f>
        <v>-26.795602951420847</v>
      </c>
      <c r="CB20" s="244"/>
      <c r="CC20" s="237">
        <f>'BalSht '!CA11-'BalSht '!CC11</f>
        <v>148.74932912177553</v>
      </c>
      <c r="CD20" s="237">
        <f>'BalSht '!CC11-'BalSht '!CD11</f>
        <v>-54.387694073344392</v>
      </c>
      <c r="CE20" s="237">
        <f>'BalSht '!CD11-'BalSht '!CE11</f>
        <v>-80.225253355831228</v>
      </c>
      <c r="CF20" s="237">
        <f>'BalSht '!CE11-'BalSht '!CF11</f>
        <v>-42.34290565379149</v>
      </c>
      <c r="CG20" s="237">
        <f t="shared" ref="CG20:CG26" si="32">SUM(CC20:CF20)</f>
        <v>-28.206523961191579</v>
      </c>
      <c r="CQ20" s="556"/>
    </row>
    <row r="21" spans="1:95" ht="11.25" customHeight="1" outlineLevel="1" x14ac:dyDescent="0.2">
      <c r="A21" s="301"/>
      <c r="B21" s="171" t="s">
        <v>259</v>
      </c>
      <c r="C21" s="233"/>
      <c r="D21" s="233">
        <f>-11.453-C21</f>
        <v>-11.452999999999999</v>
      </c>
      <c r="E21" s="233">
        <f>-22.82-SUM(C21:D21)</f>
        <v>-11.367000000000001</v>
      </c>
      <c r="F21" s="233">
        <f>-0.716-SUM(C21:E21)</f>
        <v>22.103999999999999</v>
      </c>
      <c r="G21" s="234">
        <f t="shared" si="19"/>
        <v>-0.71600000000000108</v>
      </c>
      <c r="H21" s="86"/>
      <c r="I21" s="233">
        <v>-6.2030000000000003</v>
      </c>
      <c r="J21" s="233">
        <f>-10.283-I21</f>
        <v>-4.0799999999999992</v>
      </c>
      <c r="K21" s="233">
        <f>-25.918-SUM(I21:J21)</f>
        <v>-15.635</v>
      </c>
      <c r="L21" s="233">
        <f>-32.824-SUM(I21:K21)</f>
        <v>-6.9059999999999988</v>
      </c>
      <c r="M21" s="234">
        <f t="shared" si="20"/>
        <v>-32.823999999999998</v>
      </c>
      <c r="N21" s="86"/>
      <c r="O21" s="233">
        <v>-18.675000000000001</v>
      </c>
      <c r="P21" s="233">
        <f>2.291-O21</f>
        <v>20.966000000000001</v>
      </c>
      <c r="Q21" s="233">
        <f>10.67-SUM(O21:P21)</f>
        <v>8.3789999999999996</v>
      </c>
      <c r="R21" s="233">
        <f>27.71-SUM(O21:Q21)</f>
        <v>17.04</v>
      </c>
      <c r="S21" s="234">
        <f t="shared" si="21"/>
        <v>27.71</v>
      </c>
      <c r="T21" s="86"/>
      <c r="U21" s="233">
        <v>-14.472</v>
      </c>
      <c r="V21" s="240">
        <f>-9.111-U21</f>
        <v>5.3609999999999989</v>
      </c>
      <c r="W21" s="240">
        <f>-20.799-SUM(U21:V21)</f>
        <v>-11.687999999999999</v>
      </c>
      <c r="X21" s="233">
        <f>-9.309-SUM(U21:W21)</f>
        <v>11.49</v>
      </c>
      <c r="Y21" s="234">
        <f t="shared" si="22"/>
        <v>-9.3089999999999993</v>
      </c>
      <c r="Z21" s="86"/>
      <c r="AA21" s="233">
        <v>-14.727</v>
      </c>
      <c r="AB21" s="233">
        <f>+-8.368-AA21</f>
        <v>6.359</v>
      </c>
      <c r="AC21" s="240">
        <v>5.7590000000000003</v>
      </c>
      <c r="AD21" s="240">
        <f>21.503-AC21-AB21-AA21</f>
        <v>24.112000000000002</v>
      </c>
      <c r="AE21" s="237">
        <f t="shared" si="23"/>
        <v>21.503</v>
      </c>
      <c r="AF21" s="50"/>
      <c r="AG21" s="233">
        <v>-34.006</v>
      </c>
      <c r="AH21" s="233">
        <f>(-47.034)-AG21</f>
        <v>-13.027999999999999</v>
      </c>
      <c r="AI21" s="240">
        <f>-54.329-AH21-AG21</f>
        <v>-7.2950000000000017</v>
      </c>
      <c r="AJ21" s="240">
        <f>-36.792-AI21-AH21-AG21</f>
        <v>17.536999999999999</v>
      </c>
      <c r="AK21" s="237">
        <f t="shared" si="24"/>
        <v>-36.792000000000002</v>
      </c>
      <c r="AL21" s="50"/>
      <c r="AM21" s="233">
        <v>-22.08</v>
      </c>
      <c r="AN21" s="233">
        <f>(-40.7)-AM21</f>
        <v>-18.620000000000005</v>
      </c>
      <c r="AO21" s="240">
        <f>-45.284-AN21-AM21</f>
        <v>-4.5839999999999961</v>
      </c>
      <c r="AP21" s="240">
        <f>-25.367-AO21-AN21-AM21</f>
        <v>19.916999999999998</v>
      </c>
      <c r="AQ21" s="237">
        <f t="shared" si="25"/>
        <v>-25.367000000000001</v>
      </c>
      <c r="AR21" s="50"/>
      <c r="AS21" s="233">
        <v>-15.18</v>
      </c>
      <c r="AT21" s="233">
        <f>-22.427-AS21</f>
        <v>-7.2469999999999999</v>
      </c>
      <c r="AU21" s="240">
        <f>-5.753-AT21-AS21</f>
        <v>16.673999999999999</v>
      </c>
      <c r="AV21" s="240">
        <f>21.032-SUM(AS21:AU21)</f>
        <v>26.785</v>
      </c>
      <c r="AW21" s="237">
        <f t="shared" si="26"/>
        <v>21.032</v>
      </c>
      <c r="AX21" s="50"/>
      <c r="AY21" s="536">
        <v>-7.431</v>
      </c>
      <c r="AZ21" s="536">
        <v>11.557</v>
      </c>
      <c r="BA21" s="536">
        <v>5.9739999999999993</v>
      </c>
      <c r="BB21" s="252">
        <v>22</v>
      </c>
      <c r="BC21" s="237">
        <f>SUM(AY21:BB21)</f>
        <v>32.1</v>
      </c>
      <c r="BD21" s="244"/>
      <c r="BE21" s="968">
        <v>8.6</v>
      </c>
      <c r="BF21" s="968">
        <f>44.7-BE21</f>
        <v>36.1</v>
      </c>
      <c r="BG21" s="968">
        <f>40.9-SUM(BE21:BF21)</f>
        <v>-3.8000000000000043</v>
      </c>
      <c r="BH21" s="252">
        <f>65.4-SUM(BE21:BG21)</f>
        <v>24.500000000000007</v>
      </c>
      <c r="BI21" s="237">
        <f>SUM(BE21:BH21)</f>
        <v>65.400000000000006</v>
      </c>
      <c r="BJ21" s="244"/>
      <c r="BK21" s="968">
        <v>-38.299999999999997</v>
      </c>
      <c r="BL21" s="968">
        <f>-49.6-BK21</f>
        <v>-11.300000000000004</v>
      </c>
      <c r="BM21" s="968">
        <f>-67.3-SUM(BK21:BL21)</f>
        <v>-17.699999999999996</v>
      </c>
      <c r="BN21" s="252">
        <f>-62.9-SUM(BK21:BM21)</f>
        <v>4.3999999999999986</v>
      </c>
      <c r="BO21" s="237">
        <f t="shared" si="29"/>
        <v>-62.9</v>
      </c>
      <c r="BP21" s="244"/>
      <c r="BQ21" s="237">
        <f>'BalSht '!BO12-'BalSht '!BQ12</f>
        <v>14.795085265469652</v>
      </c>
      <c r="BR21" s="237">
        <f>'BalSht '!BQ12-'BalSht '!BR12</f>
        <v>-42.119218165034908</v>
      </c>
      <c r="BS21" s="237">
        <f>'BalSht '!BR12-'BalSht '!BS12</f>
        <v>-1.4553846541626854</v>
      </c>
      <c r="BT21" s="237">
        <f>'BalSht '!BS12-'BalSht '!BT12</f>
        <v>-43.25875126950973</v>
      </c>
      <c r="BU21" s="237">
        <f t="shared" si="30"/>
        <v>-72.038268823237672</v>
      </c>
      <c r="BV21" s="244"/>
      <c r="BW21" s="237">
        <f>'BalSht '!BU12-'BalSht '!BW12</f>
        <v>73.000004151338658</v>
      </c>
      <c r="BX21" s="237">
        <f>'BalSht '!BW12-'BalSht '!BX12</f>
        <v>-53.412204311480082</v>
      </c>
      <c r="BY21" s="237">
        <f>'BalSht '!BX12-'BalSht '!BY12</f>
        <v>-1.1909917107775527</v>
      </c>
      <c r="BZ21" s="237">
        <f>'BalSht '!BY12-'BalSht '!BZ12</f>
        <v>-42.318427362609214</v>
      </c>
      <c r="CA21" s="237">
        <f t="shared" si="31"/>
        <v>-23.92161923352819</v>
      </c>
      <c r="CB21" s="244"/>
      <c r="CC21" s="237">
        <f>'BalSht '!CA12-'BalSht '!CC12</f>
        <v>89.472618774201578</v>
      </c>
      <c r="CD21" s="237">
        <f>'BalSht '!CC12-'BalSht '!CD12</f>
        <v>-54.940768662634582</v>
      </c>
      <c r="CE21" s="237">
        <f>'BalSht '!CD12-'BalSht '!CE12</f>
        <v>-3.1186236682863182</v>
      </c>
      <c r="CF21" s="237">
        <f>'BalSht '!CE12-'BalSht '!CF12</f>
        <v>-48.121912044833607</v>
      </c>
      <c r="CG21" s="237">
        <f t="shared" si="32"/>
        <v>-16.708685601552929</v>
      </c>
      <c r="CQ21" s="556"/>
    </row>
    <row r="22" spans="1:95" ht="11.25" customHeight="1" outlineLevel="1" x14ac:dyDescent="0.2">
      <c r="A22" s="301"/>
      <c r="B22" s="171" t="s">
        <v>252</v>
      </c>
      <c r="C22" s="233"/>
      <c r="D22" s="233">
        <f>-5.422-C22</f>
        <v>-5.4219999999999997</v>
      </c>
      <c r="E22" s="233">
        <f>2.333-SUM(C22:D22)</f>
        <v>7.7549999999999999</v>
      </c>
      <c r="F22" s="233">
        <f>0.644+1.253-SUM(C22:E22)</f>
        <v>-0.43600000000000039</v>
      </c>
      <c r="G22" s="234">
        <f t="shared" si="19"/>
        <v>1.8969999999999998</v>
      </c>
      <c r="H22" s="128"/>
      <c r="I22" s="233">
        <v>-5.48</v>
      </c>
      <c r="J22" s="233">
        <f>-5.314-I22</f>
        <v>0.16600000000000037</v>
      </c>
      <c r="K22" s="233">
        <f>-2.176-SUM(I22:J22)</f>
        <v>3.1379999999999999</v>
      </c>
      <c r="L22" s="233">
        <f>-1.22+0.39-SUM(I22:K22)</f>
        <v>1.3460000000000001</v>
      </c>
      <c r="M22" s="234">
        <f t="shared" si="20"/>
        <v>-0.83000000000000007</v>
      </c>
      <c r="N22" s="128"/>
      <c r="O22" s="233">
        <v>1.208</v>
      </c>
      <c r="P22" s="233">
        <f>4.124-O22</f>
        <v>2.9159999999999995</v>
      </c>
      <c r="Q22" s="233">
        <f>0.248-SUM(O22:P22)</f>
        <v>-3.8759999999999994</v>
      </c>
      <c r="R22" s="240">
        <f>-0.192+6.996-SUM(O22:Q22)</f>
        <v>6.556</v>
      </c>
      <c r="S22" s="234">
        <f t="shared" si="21"/>
        <v>6.8040000000000003</v>
      </c>
      <c r="T22" s="128"/>
      <c r="U22" s="233">
        <v>-5.7290000000000001</v>
      </c>
      <c r="V22" s="240">
        <f>-16.549-U22</f>
        <v>-10.82</v>
      </c>
      <c r="W22" s="240">
        <f>-6.305-SUM(U22:V22)</f>
        <v>10.244</v>
      </c>
      <c r="X22" s="233">
        <f>-3.705-1.154-SUM(U22:W22)</f>
        <v>1.4459999999999997</v>
      </c>
      <c r="Y22" s="234">
        <f t="shared" si="22"/>
        <v>-4.859</v>
      </c>
      <c r="Z22" s="128"/>
      <c r="AA22" s="233">
        <v>-5.7450000000000001</v>
      </c>
      <c r="AB22" s="233">
        <f>-1.927-AA22</f>
        <v>3.8180000000000001</v>
      </c>
      <c r="AC22" s="240">
        <v>-6.0889999999999995</v>
      </c>
      <c r="AD22" s="240">
        <f>-0.933-AC22-AB22-AA22</f>
        <v>7.0830000000000002</v>
      </c>
      <c r="AE22" s="237">
        <f t="shared" si="23"/>
        <v>-0.93299999999999983</v>
      </c>
      <c r="AF22" s="239"/>
      <c r="AG22" s="233">
        <v>-24.071999999999999</v>
      </c>
      <c r="AH22" s="233">
        <f>-19.455-AG22</f>
        <v>4.6170000000000009</v>
      </c>
      <c r="AI22" s="240">
        <f>-21.781-AH22-AG22</f>
        <v>-2.3260000000000005</v>
      </c>
      <c r="AJ22" s="240">
        <f>-15.126-AI22-AH22-AG22</f>
        <v>6.6549999999999976</v>
      </c>
      <c r="AK22" s="237">
        <f t="shared" si="24"/>
        <v>-15.126000000000001</v>
      </c>
      <c r="AL22" s="239"/>
      <c r="AM22" s="233">
        <v>4.085</v>
      </c>
      <c r="AN22" s="233">
        <f>26.364-AM22</f>
        <v>22.279</v>
      </c>
      <c r="AO22" s="240">
        <f>26.137-AN22-AM22</f>
        <v>-0.22699999999999942</v>
      </c>
      <c r="AP22" s="240">
        <f>26.929-AO22-AN22-AM22</f>
        <v>0.79199999999999893</v>
      </c>
      <c r="AQ22" s="237">
        <f t="shared" si="25"/>
        <v>26.928999999999998</v>
      </c>
      <c r="AR22" s="239"/>
      <c r="AS22" s="233">
        <v>-5.7510000000000003</v>
      </c>
      <c r="AT22" s="233">
        <f>-6.068-AS22</f>
        <v>-0.31699999999999928</v>
      </c>
      <c r="AU22" s="240">
        <f>-12.411-AT22-AS22</f>
        <v>-6.3430000000000009</v>
      </c>
      <c r="AV22" s="240">
        <f>-16.101-SUM(AS22:AU22)</f>
        <v>-3.6899999999999977</v>
      </c>
      <c r="AW22" s="237">
        <f t="shared" si="26"/>
        <v>-16.100999999999999</v>
      </c>
      <c r="AX22" s="239"/>
      <c r="AY22" s="536">
        <v>-5.6349999999999998</v>
      </c>
      <c r="AZ22" s="536">
        <v>7.4669999999999996</v>
      </c>
      <c r="BA22" s="536">
        <v>-8.831999999999999</v>
      </c>
      <c r="BB22" s="252">
        <v>0.79999999999999893</v>
      </c>
      <c r="BC22" s="237">
        <f>SUM(AY22:BB22)</f>
        <v>-6.2</v>
      </c>
      <c r="BD22" s="244"/>
      <c r="BE22" s="968">
        <v>-16.899999999999999</v>
      </c>
      <c r="BF22" s="968">
        <f>-8.5-BE22</f>
        <v>8.3999999999999986</v>
      </c>
      <c r="BG22" s="968">
        <f>-22.7-SUM(BE22:BF22)</f>
        <v>-14.2</v>
      </c>
      <c r="BH22" s="252">
        <f>-32.4-SUM(BE22:BG22)</f>
        <v>-9.6999999999999993</v>
      </c>
      <c r="BI22" s="237">
        <f>SUM(BE22:BH22)</f>
        <v>-32.4</v>
      </c>
      <c r="BJ22" s="244"/>
      <c r="BK22" s="968">
        <v>-9.1999999999999993</v>
      </c>
      <c r="BL22" s="968">
        <f>-59.3-BK22</f>
        <v>-50.099999999999994</v>
      </c>
      <c r="BM22" s="968">
        <f>-60.2-SUM(BK22:BL22)</f>
        <v>-0.90000000000000568</v>
      </c>
      <c r="BN22" s="252">
        <f>-75-SUM(BK22:BM22)</f>
        <v>-14.799999999999997</v>
      </c>
      <c r="BO22" s="237">
        <f t="shared" si="29"/>
        <v>-75</v>
      </c>
      <c r="BP22" s="244"/>
      <c r="BQ22" s="237">
        <f>'BalSht '!BO13-'BalSht '!BQ13</f>
        <v>46.440400000000011</v>
      </c>
      <c r="BR22" s="237">
        <f>'BalSht '!BQ13-'BalSht '!BR13</f>
        <v>-30.65832000000006</v>
      </c>
      <c r="BS22" s="237">
        <f>'BalSht '!BR13-'BalSht '!BS13</f>
        <v>-6.2126400000000217</v>
      </c>
      <c r="BT22" s="237">
        <f>'BalSht '!BS13-'BalSht '!BT13</f>
        <v>-22.576959999999929</v>
      </c>
      <c r="BU22" s="237">
        <f>SUM(BQ22:BT22)</f>
        <v>-13.00752</v>
      </c>
      <c r="BV22" s="244"/>
      <c r="BW22" s="237">
        <f>'BalSht '!BU13-'BalSht '!BW13</f>
        <v>30.801881999999921</v>
      </c>
      <c r="BX22" s="237">
        <f>'BalSht '!BW13-'BalSht '!BX13</f>
        <v>-37.875156000000004</v>
      </c>
      <c r="BY22" s="237">
        <f>'BalSht '!BX13-'BalSht '!BY13</f>
        <v>-5.5207980000000134</v>
      </c>
      <c r="BZ22" s="237">
        <f>'BalSht '!BY13-'BalSht '!BZ13</f>
        <v>-22.51042799999999</v>
      </c>
      <c r="CA22" s="237">
        <f t="shared" si="31"/>
        <v>-35.104500000000087</v>
      </c>
      <c r="CB22" s="244"/>
      <c r="CC22" s="237">
        <f>'BalSht '!CA13-'BalSht '!CC13</f>
        <v>35.45641510400003</v>
      </c>
      <c r="CD22" s="237">
        <f>'BalSht '!CC13-'BalSht '!CD13</f>
        <v>-38.292685696000035</v>
      </c>
      <c r="CE22" s="237">
        <f>'BalSht '!CD13-'BalSht '!CE13</f>
        <v>-7.0687024320000091</v>
      </c>
      <c r="CF22" s="237">
        <f>'BalSht '!CE13-'BalSht '!CF13</f>
        <v>-27.44448288000001</v>
      </c>
      <c r="CG22" s="237">
        <f t="shared" si="32"/>
        <v>-37.349455904000024</v>
      </c>
      <c r="CQ22" s="556"/>
    </row>
    <row r="23" spans="1:95" ht="11.25" customHeight="1" outlineLevel="1" x14ac:dyDescent="0.2">
      <c r="A23" s="301"/>
      <c r="B23" s="171" t="s">
        <v>136</v>
      </c>
      <c r="C23" s="233"/>
      <c r="D23" s="233">
        <f>5.573-C23</f>
        <v>5.5730000000000004</v>
      </c>
      <c r="E23" s="233">
        <f>-0.846-SUM(C23:D23)</f>
        <v>-6.4190000000000005</v>
      </c>
      <c r="F23" s="233">
        <f>-7.395-SUM(C23:E23)</f>
        <v>-6.5489999999999995</v>
      </c>
      <c r="G23" s="234">
        <f t="shared" si="19"/>
        <v>-7.3949999999999996</v>
      </c>
      <c r="H23" s="128"/>
      <c r="I23" s="233">
        <v>7.8120000000000003</v>
      </c>
      <c r="J23" s="233">
        <f>9.179-I23</f>
        <v>1.367</v>
      </c>
      <c r="K23" s="233">
        <f>6.838-SUM(I23:J23)</f>
        <v>-2.3410000000000002</v>
      </c>
      <c r="L23" s="233">
        <f>5.43-SUM(I23:K23)</f>
        <v>-1.4080000000000004</v>
      </c>
      <c r="M23" s="234">
        <f t="shared" si="20"/>
        <v>5.43</v>
      </c>
      <c r="N23" s="128"/>
      <c r="O23" s="233">
        <v>-2.633</v>
      </c>
      <c r="P23" s="233">
        <f>-11.257-O23</f>
        <v>-8.6239999999999988</v>
      </c>
      <c r="Q23" s="233">
        <f>-9.699-SUM(O23:P23)</f>
        <v>1.5579999999999981</v>
      </c>
      <c r="R23" s="233">
        <f>-4.947-SUM(O23:Q23)</f>
        <v>4.7519999999999998</v>
      </c>
      <c r="S23" s="234">
        <f t="shared" si="21"/>
        <v>-4.9470000000000001</v>
      </c>
      <c r="T23" s="128"/>
      <c r="U23" s="233">
        <v>9.1950000000000003</v>
      </c>
      <c r="V23" s="240">
        <f>12.603-U23</f>
        <v>3.4079999999999995</v>
      </c>
      <c r="W23" s="240">
        <f>-2.39-SUM(U23:V23)</f>
        <v>-14.993</v>
      </c>
      <c r="X23" s="233">
        <f>2.165-SUM(U23:W23)</f>
        <v>4.5550000000000006</v>
      </c>
      <c r="Y23" s="234">
        <f t="shared" si="22"/>
        <v>2.165</v>
      </c>
      <c r="Z23" s="128"/>
      <c r="AA23" s="233">
        <v>5.569</v>
      </c>
      <c r="AB23" s="233">
        <f>4.129-AA23</f>
        <v>-1.4400000000000004</v>
      </c>
      <c r="AC23" s="240">
        <v>0.53900000000000059</v>
      </c>
      <c r="AD23" s="240">
        <f>10.816-AC23-AB23-AA23</f>
        <v>6.1480000000000024</v>
      </c>
      <c r="AE23" s="237">
        <f t="shared" si="23"/>
        <v>10.816000000000003</v>
      </c>
      <c r="AF23" s="239"/>
      <c r="AG23" s="233">
        <v>11.528</v>
      </c>
      <c r="AH23" s="233">
        <f>-1.32-AG23</f>
        <v>-12.848000000000001</v>
      </c>
      <c r="AI23" s="240">
        <f>-11.557-AH23-AG23</f>
        <v>-10.237</v>
      </c>
      <c r="AJ23" s="240">
        <f>12.843-AI23-AH23-AG23</f>
        <v>24.4</v>
      </c>
      <c r="AK23" s="237">
        <f t="shared" si="24"/>
        <v>12.842999999999998</v>
      </c>
      <c r="AL23" s="239"/>
      <c r="AM23" s="233">
        <v>-10.928000000000001</v>
      </c>
      <c r="AN23" s="233">
        <f>-11.143-AM23</f>
        <v>-0.21499999999999986</v>
      </c>
      <c r="AO23" s="240">
        <f>-25.099-AN23-AM23</f>
        <v>-13.956</v>
      </c>
      <c r="AP23" s="240">
        <f>-36.728-AO23-AN23-AM23</f>
        <v>-11.629000000000001</v>
      </c>
      <c r="AQ23" s="237">
        <f t="shared" si="25"/>
        <v>-36.728000000000002</v>
      </c>
      <c r="AR23" s="239"/>
      <c r="AS23" s="233">
        <v>8.0470000000000006</v>
      </c>
      <c r="AT23" s="233">
        <f>10.613-AS23</f>
        <v>2.5659999999999989</v>
      </c>
      <c r="AU23" s="240">
        <f>1.947-AT23-AS23</f>
        <v>-8.6660000000000004</v>
      </c>
      <c r="AV23" s="240">
        <f>10.043-SUM(AS23:AU23)</f>
        <v>8.0960000000000001</v>
      </c>
      <c r="AW23" s="237">
        <f t="shared" si="26"/>
        <v>10.042999999999999</v>
      </c>
      <c r="AX23" s="239"/>
      <c r="AY23" s="536">
        <v>5.2469999999999999</v>
      </c>
      <c r="AZ23" s="536">
        <v>-0.30900000000000016</v>
      </c>
      <c r="BA23" s="536">
        <v>6.2620000000000005</v>
      </c>
      <c r="BB23" s="252">
        <v>-2.3999999999999995</v>
      </c>
      <c r="BC23" s="237">
        <f t="shared" si="27"/>
        <v>8.8000000000000007</v>
      </c>
      <c r="BD23" s="239"/>
      <c r="BE23" s="987">
        <v>1.2</v>
      </c>
      <c r="BF23" s="968">
        <f>13.9-BE23</f>
        <v>12.700000000000001</v>
      </c>
      <c r="BG23" s="968">
        <f>-1.4-SUM(BE23:BF23)</f>
        <v>-15.3</v>
      </c>
      <c r="BH23" s="252">
        <f>7.2-SUM(BE23:BG23)</f>
        <v>8.6000000000000014</v>
      </c>
      <c r="BI23" s="237">
        <f t="shared" si="28"/>
        <v>7.2000000000000011</v>
      </c>
      <c r="BJ23" s="239"/>
      <c r="BK23" s="987">
        <v>23.4</v>
      </c>
      <c r="BL23" s="968">
        <f>9.5-BK23</f>
        <v>-13.899999999999999</v>
      </c>
      <c r="BM23" s="968">
        <f>9.1-SUM(BK23:BL23)</f>
        <v>-0.40000000000000036</v>
      </c>
      <c r="BN23" s="252">
        <f>44.2-SUM(BK23:BM23)</f>
        <v>35.1</v>
      </c>
      <c r="BO23" s="237">
        <f t="shared" si="29"/>
        <v>44.2</v>
      </c>
      <c r="BP23" s="239"/>
      <c r="BQ23" s="237">
        <f>'BalSht '!BQ26-'BalSht '!BO26</f>
        <v>-1.896416388225532</v>
      </c>
      <c r="BR23" s="237">
        <f>'BalSht '!BR26-'BalSht '!BQ26</f>
        <v>-9.9629783660428188</v>
      </c>
      <c r="BS23" s="237">
        <f>'BalSht '!BS26-'BalSht '!BR26</f>
        <v>-1.8545799608041875</v>
      </c>
      <c r="BT23" s="237">
        <f>'BalSht '!BT26-'BalSht '!BS26</f>
        <v>13.245188803399799</v>
      </c>
      <c r="BU23" s="237">
        <f t="shared" si="30"/>
        <v>-0.46878591167273953</v>
      </c>
      <c r="BV23" s="239"/>
      <c r="BW23" s="237">
        <f>'BalSht '!BW26-'BalSht '!BU26</f>
        <v>8.4104909810905042</v>
      </c>
      <c r="BX23" s="237">
        <f>'BalSht '!BX26-'BalSht '!BW26</f>
        <v>-6.7318630510933986</v>
      </c>
      <c r="BY23" s="237">
        <f>'BalSht '!BY26-'BalSht '!BX26</f>
        <v>-3.1061591114062708</v>
      </c>
      <c r="BZ23" s="237">
        <f>'BalSht '!BZ26-'BalSht '!BY26</f>
        <v>11.697306647082428</v>
      </c>
      <c r="CA23" s="237">
        <f t="shared" si="31"/>
        <v>10.269775465673263</v>
      </c>
      <c r="CB23" s="239"/>
      <c r="CC23" s="237">
        <f>'BalSht '!CC26-'BalSht '!CA26</f>
        <v>5.121609639780047</v>
      </c>
      <c r="CD23" s="237">
        <f>'BalSht '!CD26-'BalSht '!CC26</f>
        <v>-6.2403353221399698</v>
      </c>
      <c r="CE23" s="237">
        <f>'BalSht '!CE26-'BalSht '!CD26</f>
        <v>-2.3325115737686133</v>
      </c>
      <c r="CF23" s="237">
        <f>'BalSht '!CF26-'BalSht '!CE26</f>
        <v>14.231559157768686</v>
      </c>
      <c r="CG23" s="237">
        <f t="shared" si="32"/>
        <v>10.78032190164015</v>
      </c>
      <c r="CQ23" s="556"/>
    </row>
    <row r="24" spans="1:95" ht="11.25" customHeight="1" outlineLevel="1" x14ac:dyDescent="0.2">
      <c r="A24" s="301"/>
      <c r="B24" s="337" t="s">
        <v>427</v>
      </c>
      <c r="C24" s="233"/>
      <c r="D24" s="233">
        <f>-8.851-C24</f>
        <v>-8.8510000000000009</v>
      </c>
      <c r="E24" s="233">
        <f>-0.999-SUM(C24:D24)</f>
        <v>7.8520000000000012</v>
      </c>
      <c r="F24" s="233">
        <f>-2.984-SUM(C24:E24)</f>
        <v>-1.9850000000000003</v>
      </c>
      <c r="G24" s="234">
        <f t="shared" si="19"/>
        <v>-2.984</v>
      </c>
      <c r="H24" s="128"/>
      <c r="I24" s="233">
        <v>-26.318999999999999</v>
      </c>
      <c r="J24" s="233">
        <f>-0.062-I24</f>
        <v>26.256999999999998</v>
      </c>
      <c r="K24" s="233">
        <f>9.026-SUM(I24:J24)</f>
        <v>9.088000000000001</v>
      </c>
      <c r="L24" s="233">
        <f>-1.773-SUM(I24:K24)</f>
        <v>-10.798999999999999</v>
      </c>
      <c r="M24" s="234">
        <f t="shared" si="20"/>
        <v>-1.7729999999999997</v>
      </c>
      <c r="N24" s="128"/>
      <c r="O24" s="233">
        <v>-26.863</v>
      </c>
      <c r="P24" s="233">
        <f>-10.261-O24</f>
        <v>16.602</v>
      </c>
      <c r="Q24" s="233">
        <f>1.621-SUM(O24:P24)</f>
        <v>11.882</v>
      </c>
      <c r="R24" s="233">
        <f>-1.708-SUM(O24:Q24)</f>
        <v>-3.3290000000000006</v>
      </c>
      <c r="S24" s="234">
        <f t="shared" si="21"/>
        <v>-1.7080000000000002</v>
      </c>
      <c r="T24" s="128"/>
      <c r="U24" s="233">
        <v>-12.519</v>
      </c>
      <c r="V24" s="240">
        <f>4.183-U24</f>
        <v>16.701999999999998</v>
      </c>
      <c r="W24" s="240">
        <f>13.71-SUM(U24:V24)</f>
        <v>9.5270000000000028</v>
      </c>
      <c r="X24" s="233">
        <f>9.004-SUM(U24:W24)</f>
        <v>-4.7060000000000013</v>
      </c>
      <c r="Y24" s="234">
        <f t="shared" si="22"/>
        <v>9.0039999999999996</v>
      </c>
      <c r="Z24" s="128"/>
      <c r="AA24" s="233">
        <v>-15.861000000000001</v>
      </c>
      <c r="AB24" s="233">
        <f>9.051-AA24</f>
        <v>24.911999999999999</v>
      </c>
      <c r="AC24" s="240">
        <v>25.908000000000005</v>
      </c>
      <c r="AD24" s="240">
        <f>38.365-AC24-AB24-AA24</f>
        <v>3.4059999999999988</v>
      </c>
      <c r="AE24" s="237">
        <f t="shared" si="23"/>
        <v>38.365000000000002</v>
      </c>
      <c r="AF24" s="239"/>
      <c r="AG24" s="233">
        <v>-21.186</v>
      </c>
      <c r="AH24" s="233">
        <f>-3.244-AG24</f>
        <v>17.942</v>
      </c>
      <c r="AI24" s="240">
        <f>6.242-AH24-AG24</f>
        <v>9.4860000000000007</v>
      </c>
      <c r="AJ24" s="240">
        <f>-2.084-AI24-AG24-AH24</f>
        <v>-8.3260000000000005</v>
      </c>
      <c r="AK24" s="237">
        <f t="shared" si="24"/>
        <v>-2.0839999999999996</v>
      </c>
      <c r="AL24" s="239"/>
      <c r="AM24" s="233">
        <v>-7.5590000000000002</v>
      </c>
      <c r="AN24" s="233">
        <f>-3.621-AM24</f>
        <v>3.9380000000000002</v>
      </c>
      <c r="AO24" s="240">
        <f>0.706-AN24-AM24</f>
        <v>4.327</v>
      </c>
      <c r="AP24" s="240">
        <f>-4.187-AO24-AM24-AN24</f>
        <v>-4.8929999999999989</v>
      </c>
      <c r="AQ24" s="237">
        <f t="shared" si="25"/>
        <v>-4.1869999999999994</v>
      </c>
      <c r="AR24" s="239"/>
      <c r="AS24" s="233">
        <v>-21.901</v>
      </c>
      <c r="AT24" s="233">
        <f>-6.228-AS24</f>
        <v>15.673</v>
      </c>
      <c r="AU24" s="240">
        <f>7.635-AT24-AS24</f>
        <v>13.863</v>
      </c>
      <c r="AV24" s="240">
        <f>-12.218-SUM(AS24:AU24)</f>
        <v>-19.853000000000002</v>
      </c>
      <c r="AW24" s="237">
        <f t="shared" si="26"/>
        <v>-12.218000000000002</v>
      </c>
      <c r="AX24" s="239"/>
      <c r="AY24" s="536">
        <v>-36.258000000000003</v>
      </c>
      <c r="AZ24" s="536">
        <v>18.580000000000002</v>
      </c>
      <c r="BA24" s="536">
        <v>22.277999999999999</v>
      </c>
      <c r="BB24" s="252">
        <v>-9.2999999999999972</v>
      </c>
      <c r="BC24" s="237">
        <f>SUM(AY24:BB24)</f>
        <v>-4.6999999999999993</v>
      </c>
      <c r="BD24" s="239"/>
      <c r="BE24" s="987">
        <v>-15.5</v>
      </c>
      <c r="BF24" s="968">
        <f>-11.1-BE24</f>
        <v>4.4000000000000004</v>
      </c>
      <c r="BG24" s="968">
        <f>2.5-SUM(BE24:BF24)</f>
        <v>13.6</v>
      </c>
      <c r="BH24" s="252">
        <f>-12.2-SUM(BE24:BG24)</f>
        <v>-14.7</v>
      </c>
      <c r="BI24" s="237">
        <f>SUM(BE24:BH24)</f>
        <v>-12.2</v>
      </c>
      <c r="BJ24" s="239"/>
      <c r="BK24" s="987">
        <v>-36</v>
      </c>
      <c r="BL24" s="968">
        <f>-19.2-BK24</f>
        <v>16.8</v>
      </c>
      <c r="BM24" s="968">
        <f>46.8-SUM(BK24:BL24)</f>
        <v>66</v>
      </c>
      <c r="BN24" s="252">
        <f>28.3-SUM(BK24:BM24)</f>
        <v>-18.499999999999996</v>
      </c>
      <c r="BO24" s="237">
        <f t="shared" si="29"/>
        <v>28.3</v>
      </c>
      <c r="BP24" s="239"/>
      <c r="BQ24" s="237">
        <f>'BalSht '!BQ27-'BalSht '!BO27</f>
        <v>-54.311053468634668</v>
      </c>
      <c r="BR24" s="237">
        <f>'BalSht '!BR27-'BalSht '!BQ27</f>
        <v>29.308422147601391</v>
      </c>
      <c r="BS24" s="237">
        <f>'BalSht '!BS27-'BalSht '!BR27</f>
        <v>-23.392344339483316</v>
      </c>
      <c r="BT24" s="237">
        <f>'BalSht '!BT27-'BalSht '!BS27</f>
        <v>18.999410376383594</v>
      </c>
      <c r="BU24" s="237">
        <f t="shared" si="30"/>
        <v>-29.395565284132999</v>
      </c>
      <c r="BV24" s="239"/>
      <c r="BW24" s="237">
        <f>'BalSht '!BW27-'BalSht '!BU27</f>
        <v>-85.925527198464806</v>
      </c>
      <c r="BX24" s="237">
        <f>'BalSht '!BX27-'BalSht '!BW27</f>
        <v>63.358893653632549</v>
      </c>
      <c r="BY24" s="237">
        <f>'BalSht '!BY27-'BalSht '!BX27</f>
        <v>6.7184147176382112</v>
      </c>
      <c r="BZ24" s="237">
        <f>'BalSht '!BZ27-'BalSht '!BY27</f>
        <v>35.882855342382413</v>
      </c>
      <c r="CA24" s="237">
        <f t="shared" si="31"/>
        <v>20.034636515188367</v>
      </c>
      <c r="CB24" s="239"/>
      <c r="CC24" s="237">
        <f>'BalSht '!CC27-'BalSht '!CA27</f>
        <v>-112.88199376516883</v>
      </c>
      <c r="CD24" s="237">
        <f>'BalSht '!CD27-'BalSht '!CC27</f>
        <v>57.594147437999425</v>
      </c>
      <c r="CE24" s="237">
        <f>'BalSht '!CE27-'BalSht '!CD27</f>
        <v>8.2270170051311879</v>
      </c>
      <c r="CF24" s="237">
        <f>'BalSht '!CF27-'BalSht '!CE27</f>
        <v>39.788262637017056</v>
      </c>
      <c r="CG24" s="237">
        <f t="shared" si="32"/>
        <v>-7.272566685021161</v>
      </c>
      <c r="CQ24" s="556"/>
    </row>
    <row r="25" spans="1:95" ht="11.25" customHeight="1" outlineLevel="1" x14ac:dyDescent="0.2">
      <c r="A25" s="301"/>
      <c r="B25" s="337" t="s">
        <v>492</v>
      </c>
      <c r="C25" s="233"/>
      <c r="D25" s="233">
        <f>25.132-C25</f>
        <v>25.132000000000001</v>
      </c>
      <c r="E25" s="233">
        <f>47.639-SUM(C25:D25)</f>
        <v>22.507000000000001</v>
      </c>
      <c r="F25" s="233">
        <f>46.91-SUM(C25:E25)</f>
        <v>-0.72900000000000631</v>
      </c>
      <c r="G25" s="234">
        <f t="shared" si="19"/>
        <v>46.91</v>
      </c>
      <c r="H25" s="128"/>
      <c r="I25" s="233">
        <v>-15.722</v>
      </c>
      <c r="J25" s="233">
        <f>-9.754-I25</f>
        <v>5.968</v>
      </c>
      <c r="K25" s="233">
        <f>-5.636-SUM(I25:J25)</f>
        <v>4.1179999999999994</v>
      </c>
      <c r="L25" s="233">
        <f>4.594-SUM(I25:K25)</f>
        <v>10.23</v>
      </c>
      <c r="M25" s="234">
        <f t="shared" si="20"/>
        <v>4.5940000000000003</v>
      </c>
      <c r="N25" s="128"/>
      <c r="O25" s="233">
        <v>-1.8240000000000001</v>
      </c>
      <c r="P25" s="233">
        <f>-9.878-O25</f>
        <v>-8.0540000000000003</v>
      </c>
      <c r="Q25" s="233">
        <f>-0.546-SUM(O25:P25)</f>
        <v>9.3320000000000007</v>
      </c>
      <c r="R25" s="233">
        <f>8.104-SUM(O25:Q25)</f>
        <v>8.6499999999999986</v>
      </c>
      <c r="S25" s="234">
        <f t="shared" si="21"/>
        <v>8.1039999999999992</v>
      </c>
      <c r="T25" s="128"/>
      <c r="U25" s="233">
        <v>-6.8010000000000002</v>
      </c>
      <c r="V25" s="240">
        <f>4.913-U25</f>
        <v>11.714</v>
      </c>
      <c r="W25" s="240">
        <f>10.395-SUM(U25:V25)</f>
        <v>5.4819999999999993</v>
      </c>
      <c r="X25" s="233">
        <f>3.017-SUM(U25:W25)</f>
        <v>-7.3780000000000001</v>
      </c>
      <c r="Y25" s="234">
        <f t="shared" si="22"/>
        <v>3.0169999999999995</v>
      </c>
      <c r="Z25" s="128"/>
      <c r="AA25" s="233">
        <v>11.516</v>
      </c>
      <c r="AB25" s="233">
        <f>12.942-AA25</f>
        <v>1.4260000000000002</v>
      </c>
      <c r="AC25" s="240">
        <v>-17.643000000000001</v>
      </c>
      <c r="AD25" s="240">
        <f>26.139-AC25-AB25-AA25</f>
        <v>30.839999999999996</v>
      </c>
      <c r="AE25" s="237">
        <f t="shared" si="23"/>
        <v>26.138999999999996</v>
      </c>
      <c r="AF25" s="239"/>
      <c r="AG25" s="233">
        <v>10.545</v>
      </c>
      <c r="AH25" s="233">
        <f>5.423-AG25</f>
        <v>-5.1219999999999999</v>
      </c>
      <c r="AI25" s="240">
        <f>17.802-AH25-AG25</f>
        <v>12.379</v>
      </c>
      <c r="AJ25" s="240">
        <f>22.105-AI25-AH25-AG25</f>
        <v>4.3030000000000008</v>
      </c>
      <c r="AK25" s="237">
        <f t="shared" si="24"/>
        <v>22.105</v>
      </c>
      <c r="AL25" s="239"/>
      <c r="AM25" s="233">
        <v>-21.196000000000002</v>
      </c>
      <c r="AN25" s="233">
        <f>-17.67-AM25</f>
        <v>3.5259999999999998</v>
      </c>
      <c r="AO25" s="240">
        <f>29.544-AN25-AM25</f>
        <v>47.213999999999999</v>
      </c>
      <c r="AP25" s="240">
        <f>-0.458-AO25-AN25-AM25</f>
        <v>-30.001999999999992</v>
      </c>
      <c r="AQ25" s="237">
        <f t="shared" si="25"/>
        <v>-0.45799999999999486</v>
      </c>
      <c r="AR25" s="239"/>
      <c r="AS25" s="233">
        <v>23.422999999999998</v>
      </c>
      <c r="AT25" s="233">
        <f>35.532-AS25</f>
        <v>12.108999999999998</v>
      </c>
      <c r="AU25" s="240">
        <f>27.931-AT25-AS25</f>
        <v>-7.6009999999999955</v>
      </c>
      <c r="AV25" s="240">
        <f>22.441-SUM(AS25:AU25)</f>
        <v>-5.490000000000002</v>
      </c>
      <c r="AW25" s="237">
        <f t="shared" si="26"/>
        <v>22.440999999999999</v>
      </c>
      <c r="AX25" s="239"/>
      <c r="AY25" s="536">
        <v>-4.4880000000000004</v>
      </c>
      <c r="AZ25" s="536">
        <v>4.4140000000000006</v>
      </c>
      <c r="BA25" s="536">
        <v>-7.1260000000000003</v>
      </c>
      <c r="BB25" s="252">
        <v>-0.89999999999999947</v>
      </c>
      <c r="BC25" s="237">
        <f>SUM(AY25:BB25)</f>
        <v>-8.1</v>
      </c>
      <c r="BD25" s="239"/>
      <c r="BE25" s="987">
        <v>-1.1000000000000001</v>
      </c>
      <c r="BF25" s="968">
        <f>-41.5-BE25</f>
        <v>-40.4</v>
      </c>
      <c r="BG25" s="968">
        <f>-8.7-SUM(BE25:BF25)</f>
        <v>32.799999999999997</v>
      </c>
      <c r="BH25" s="252">
        <f>-7.7-SUM(BE25:BG25)</f>
        <v>1.0000000000000027</v>
      </c>
      <c r="BI25" s="237">
        <f>SUM(BE25:BH25)</f>
        <v>-7.7</v>
      </c>
      <c r="BJ25" s="239"/>
      <c r="BK25" s="987">
        <v>-31.4</v>
      </c>
      <c r="BL25" s="968">
        <f>-15.4-BK25</f>
        <v>15.999999999999998</v>
      </c>
      <c r="BM25" s="968">
        <f>-24.1-SUM(BK25:BL25)</f>
        <v>-8.7000000000000011</v>
      </c>
      <c r="BN25" s="252">
        <f>-20.5-SUM(BK25:BM25)</f>
        <v>3.6000000000000014</v>
      </c>
      <c r="BO25" s="237">
        <f t="shared" si="29"/>
        <v>-20.5</v>
      </c>
      <c r="BP25" s="239"/>
      <c r="BQ25" s="237">
        <f>'BalSht '!BQ28-'BalSht '!BO28</f>
        <v>0</v>
      </c>
      <c r="BR25" s="237">
        <f>'BalSht '!BR28-'BalSht '!BQ28</f>
        <v>0</v>
      </c>
      <c r="BS25" s="237">
        <f>'BalSht '!BS28-'BalSht '!BR28</f>
        <v>0</v>
      </c>
      <c r="BT25" s="237">
        <f>'BalSht '!BT28-'BalSht '!BS28</f>
        <v>0</v>
      </c>
      <c r="BU25" s="237">
        <f t="shared" si="30"/>
        <v>0</v>
      </c>
      <c r="BV25" s="239"/>
      <c r="BW25" s="237">
        <f>'BalSht '!BW28-'BalSht '!BU28</f>
        <v>0</v>
      </c>
      <c r="BX25" s="237">
        <f>'BalSht '!BX28-'BalSht '!BW28</f>
        <v>0</v>
      </c>
      <c r="BY25" s="237">
        <f>'BalSht '!BY28-'BalSht '!BX28</f>
        <v>0</v>
      </c>
      <c r="BZ25" s="237">
        <f>'BalSht '!BZ28-'BalSht '!BY28</f>
        <v>0</v>
      </c>
      <c r="CA25" s="237">
        <f t="shared" si="31"/>
        <v>0</v>
      </c>
      <c r="CB25" s="239"/>
      <c r="CC25" s="237">
        <f>'BalSht '!CC28-'BalSht '!CA28</f>
        <v>0</v>
      </c>
      <c r="CD25" s="237">
        <f>'BalSht '!CD28-'BalSht '!CC28</f>
        <v>0</v>
      </c>
      <c r="CE25" s="237">
        <f>'BalSht '!CE28-'BalSht '!CD28</f>
        <v>0</v>
      </c>
      <c r="CF25" s="237">
        <f>'BalSht '!CF28-'BalSht '!CE28</f>
        <v>0</v>
      </c>
      <c r="CG25" s="237">
        <f t="shared" si="32"/>
        <v>0</v>
      </c>
      <c r="CQ25" s="556"/>
    </row>
    <row r="26" spans="1:95" ht="11.25" customHeight="1" outlineLevel="1" x14ac:dyDescent="0.2">
      <c r="A26" s="301"/>
      <c r="B26" s="337" t="s">
        <v>275</v>
      </c>
      <c r="C26" s="233">
        <f>-34.007</f>
        <v>-34.006999999999998</v>
      </c>
      <c r="D26" s="233">
        <f>1.818-C26</f>
        <v>35.824999999999996</v>
      </c>
      <c r="E26" s="233">
        <f>-7.844-SUM(C26:D26)</f>
        <v>-9.661999999999999</v>
      </c>
      <c r="F26" s="233">
        <f>0.005-SUM(C26:E26)</f>
        <v>7.8490000000000011</v>
      </c>
      <c r="G26" s="234">
        <f t="shared" si="19"/>
        <v>4.9999999999998934E-3</v>
      </c>
      <c r="H26" s="243"/>
      <c r="I26" s="233">
        <v>4.8639999999999999</v>
      </c>
      <c r="J26" s="233">
        <f>3.745-I26</f>
        <v>-1.1189999999999998</v>
      </c>
      <c r="K26" s="233">
        <f>-10.886-SUM(I26:J26)</f>
        <v>-14.631</v>
      </c>
      <c r="L26" s="233">
        <f>0.581-SUM(I26:K26)</f>
        <v>11.466999999999999</v>
      </c>
      <c r="M26" s="234">
        <f t="shared" si="20"/>
        <v>0.58099999999999952</v>
      </c>
      <c r="N26" s="243"/>
      <c r="O26" s="233">
        <v>9.5000000000000001E-2</v>
      </c>
      <c r="P26" s="233">
        <f>-1.085-O26</f>
        <v>-1.18</v>
      </c>
      <c r="Q26" s="233">
        <f>-3.311-SUM(O26:P26)</f>
        <v>-2.226</v>
      </c>
      <c r="R26" s="233">
        <f>1.193-SUM(O26:Q26)</f>
        <v>4.5039999999999996</v>
      </c>
      <c r="S26" s="234">
        <f t="shared" si="21"/>
        <v>1.1929999999999996</v>
      </c>
      <c r="T26" s="243"/>
      <c r="U26" s="233">
        <v>2.4769999999999999</v>
      </c>
      <c r="V26" s="240">
        <f>7.292-U26</f>
        <v>4.8149999999999995</v>
      </c>
      <c r="W26" s="240">
        <f>8.557-SUM(U26:V26)</f>
        <v>1.2650000000000006</v>
      </c>
      <c r="X26" s="233">
        <f>0.249-SUM(U26:W26)</f>
        <v>-8.3079999999999998</v>
      </c>
      <c r="Y26" s="234">
        <f t="shared" si="22"/>
        <v>0.24900000000000055</v>
      </c>
      <c r="Z26" s="243"/>
      <c r="AA26" s="233">
        <v>3.4009999999999998</v>
      </c>
      <c r="AB26" s="233">
        <f>+-2.66-AA26</f>
        <v>-6.0609999999999999</v>
      </c>
      <c r="AC26" s="240">
        <v>6.8410000000000011</v>
      </c>
      <c r="AD26" s="240">
        <f>3.853-2.351+20.938+0.57-1.56+0.19-AC26-AB26-AA26</f>
        <v>17.459</v>
      </c>
      <c r="AE26" s="237">
        <f>SUM(AA26:AD26)</f>
        <v>21.64</v>
      </c>
      <c r="AF26" s="244"/>
      <c r="AG26" s="233">
        <f>15.954-15.535+0.8+4.248+1.079</f>
        <v>6.5460000000000003</v>
      </c>
      <c r="AH26" s="233">
        <f>-3.497+3.596+1.135+2.919-4.237-AG26</f>
        <v>-6.63</v>
      </c>
      <c r="AI26" s="240">
        <f>1.391-AH26-AG26+1.229+5.448-8.354-2.743</f>
        <v>-2.9449999999999981</v>
      </c>
      <c r="AJ26" s="240">
        <f>-7.758+1.108+3.27-15.564+0.808-AI26-AH26-AG26+0.853</f>
        <v>-14.254</v>
      </c>
      <c r="AK26" s="237">
        <f>SUM(AG26:AJ26)</f>
        <v>-17.282999999999998</v>
      </c>
      <c r="AL26" s="244"/>
      <c r="AM26" s="233">
        <f>-0.598+33.447+1.779</f>
        <v>34.628</v>
      </c>
      <c r="AN26" s="233">
        <f>0.845+6.1-0.403+11.48-AM26</f>
        <v>-16.606000000000002</v>
      </c>
      <c r="AO26" s="240">
        <f>6.895-0.32+3.422+0.992-AN26-AM26</f>
        <v>-7.0329999999999977</v>
      </c>
      <c r="AP26" s="240">
        <f>13.192-0.976+19.76+0.685-1.065-AO26-AN26-AM26</f>
        <v>20.606999999999999</v>
      </c>
      <c r="AQ26" s="237">
        <f>SUM(AM26:AP26)</f>
        <v>31.596</v>
      </c>
      <c r="AR26" s="244"/>
      <c r="AS26" s="233">
        <f>1.465+0.29+-1.716</f>
        <v>3.9000000000000146E-2</v>
      </c>
      <c r="AT26" s="233">
        <f>7.532+1.096-AS26</f>
        <v>8.5890000000000004</v>
      </c>
      <c r="AU26" s="240">
        <f>8.523+0.245-AT26-AS26</f>
        <v>0.13999999999999835</v>
      </c>
      <c r="AV26" s="240">
        <f>9.21+4.882-SUM(AS26:AU26)</f>
        <v>5.3240000000000016</v>
      </c>
      <c r="AW26" s="237">
        <f>SUM(AS26:AV26)</f>
        <v>14.092000000000001</v>
      </c>
      <c r="AX26" s="244"/>
      <c r="AY26" s="536">
        <v>3.3019999999999996</v>
      </c>
      <c r="AZ26" s="536">
        <v>7.1559999999999997</v>
      </c>
      <c r="BA26" s="536">
        <v>7.7420000000000009</v>
      </c>
      <c r="BB26" s="252">
        <v>-1.0999999999999988</v>
      </c>
      <c r="BC26" s="237">
        <f t="shared" si="27"/>
        <v>17.100000000000001</v>
      </c>
      <c r="BD26" s="238"/>
      <c r="BE26" s="987">
        <f>7-2.4</f>
        <v>4.5999999999999996</v>
      </c>
      <c r="BF26" s="968">
        <f>1.6+7.4-BE26</f>
        <v>4.4000000000000004</v>
      </c>
      <c r="BG26" s="968">
        <f>4.9+13.7-SUM(BE26:BF26)</f>
        <v>9.6000000000000014</v>
      </c>
      <c r="BH26" s="252">
        <f>2.6+9-SUM(BE26:BG26)</f>
        <v>-7.0000000000000018</v>
      </c>
      <c r="BI26" s="237">
        <f t="shared" si="28"/>
        <v>11.6</v>
      </c>
      <c r="BJ26" s="238"/>
      <c r="BK26" s="987">
        <f>-14.4-1.4</f>
        <v>-15.8</v>
      </c>
      <c r="BL26" s="968">
        <f>1.2+7.7-BK26</f>
        <v>24.700000000000003</v>
      </c>
      <c r="BM26" s="968">
        <f>4.3+6.3-SUM(BK26:BL26)</f>
        <v>1.6999999999999975</v>
      </c>
      <c r="BN26" s="252">
        <f>-3.7+8.2-SUM(BK26:BM26)</f>
        <v>-6.1000000000000005</v>
      </c>
      <c r="BO26" s="237">
        <f t="shared" si="29"/>
        <v>4.4999999999999991</v>
      </c>
      <c r="BP26" s="238"/>
      <c r="BQ26" s="700">
        <v>0</v>
      </c>
      <c r="BR26" s="700">
        <v>0</v>
      </c>
      <c r="BS26" s="700">
        <v>0</v>
      </c>
      <c r="BT26" s="700">
        <v>0</v>
      </c>
      <c r="BU26" s="237">
        <f t="shared" si="30"/>
        <v>0</v>
      </c>
      <c r="BV26" s="238"/>
      <c r="BW26" s="700">
        <v>0</v>
      </c>
      <c r="BX26" s="700">
        <v>0</v>
      </c>
      <c r="BY26" s="700">
        <v>0</v>
      </c>
      <c r="BZ26" s="700">
        <v>0</v>
      </c>
      <c r="CA26" s="237">
        <f t="shared" si="31"/>
        <v>0</v>
      </c>
      <c r="CB26" s="238"/>
      <c r="CC26" s="700">
        <v>0</v>
      </c>
      <c r="CD26" s="700">
        <v>0</v>
      </c>
      <c r="CE26" s="700">
        <v>0</v>
      </c>
      <c r="CF26" s="700">
        <v>0</v>
      </c>
      <c r="CG26" s="237">
        <f t="shared" si="32"/>
        <v>0</v>
      </c>
      <c r="CQ26" s="301"/>
    </row>
    <row r="27" spans="1:95" ht="11.25" customHeight="1" outlineLevel="1" x14ac:dyDescent="0.2">
      <c r="A27" s="301"/>
      <c r="B27" s="339"/>
      <c r="C27" s="233"/>
      <c r="D27" s="233"/>
      <c r="E27" s="233"/>
      <c r="F27" s="233"/>
      <c r="G27" s="234"/>
      <c r="H27" s="243"/>
      <c r="I27" s="233"/>
      <c r="J27" s="233"/>
      <c r="K27" s="233"/>
      <c r="L27" s="233"/>
      <c r="M27" s="234"/>
      <c r="N27" s="243"/>
      <c r="O27" s="233"/>
      <c r="P27" s="233"/>
      <c r="Q27" s="233"/>
      <c r="R27" s="233"/>
      <c r="S27" s="234"/>
      <c r="T27" s="243"/>
      <c r="U27" s="233"/>
      <c r="V27" s="233"/>
      <c r="W27" s="240"/>
      <c r="X27" s="233"/>
      <c r="Y27" s="234"/>
      <c r="Z27" s="243"/>
      <c r="AA27" s="233"/>
      <c r="AB27" s="233"/>
      <c r="AC27" s="233"/>
      <c r="AD27" s="233"/>
      <c r="AE27" s="237"/>
      <c r="AF27" s="244"/>
      <c r="AG27" s="233"/>
      <c r="AH27" s="233"/>
      <c r="AI27" s="233"/>
      <c r="AJ27" s="233"/>
      <c r="AK27" s="237"/>
      <c r="AL27" s="244"/>
      <c r="AM27" s="233"/>
      <c r="AN27" s="233"/>
      <c r="AO27" s="233"/>
      <c r="AP27" s="233"/>
      <c r="AQ27" s="237"/>
      <c r="AR27" s="244"/>
      <c r="AS27" s="233"/>
      <c r="AT27" s="233"/>
      <c r="AU27" s="237"/>
      <c r="AV27" s="237"/>
      <c r="AW27" s="237"/>
      <c r="AX27" s="244"/>
      <c r="AY27" s="233"/>
      <c r="AZ27" s="233"/>
      <c r="BA27" s="233"/>
      <c r="BB27" s="240"/>
      <c r="BC27" s="237"/>
      <c r="BD27" s="244"/>
      <c r="BE27" s="240"/>
      <c r="BF27" s="240"/>
      <c r="BG27" s="240"/>
      <c r="BH27" s="240"/>
      <c r="BI27" s="237"/>
      <c r="BJ27" s="244"/>
      <c r="BK27" s="240"/>
      <c r="BL27" s="240"/>
      <c r="BM27" s="240"/>
      <c r="BN27" s="240"/>
      <c r="BO27" s="237"/>
      <c r="BP27" s="244"/>
      <c r="BQ27" s="240"/>
      <c r="BR27" s="240"/>
      <c r="BS27" s="240"/>
      <c r="BT27" s="240"/>
      <c r="BU27" s="237"/>
      <c r="BV27" s="244"/>
      <c r="BW27" s="240"/>
      <c r="BX27" s="240"/>
      <c r="BY27" s="240"/>
      <c r="BZ27" s="240"/>
      <c r="CA27" s="237"/>
      <c r="CB27" s="244"/>
      <c r="CC27" s="240"/>
      <c r="CD27" s="240"/>
      <c r="CE27" s="240"/>
      <c r="CF27" s="240"/>
      <c r="CG27" s="237"/>
      <c r="CQ27" s="556"/>
    </row>
    <row r="28" spans="1:95" ht="11.25" customHeight="1" x14ac:dyDescent="0.2">
      <c r="A28" s="301"/>
      <c r="B28" s="283" t="s">
        <v>131</v>
      </c>
      <c r="C28" s="247">
        <f t="shared" ref="C28:AK28" si="33">SUM(C26,C19,C9:C16)</f>
        <v>41.825000000000003</v>
      </c>
      <c r="D28" s="247">
        <f t="shared" si="33"/>
        <v>113.24899999999998</v>
      </c>
      <c r="E28" s="247">
        <f t="shared" si="33"/>
        <v>101.822</v>
      </c>
      <c r="F28" s="247">
        <f t="shared" si="33"/>
        <v>130.80099999999999</v>
      </c>
      <c r="G28" s="247">
        <f t="shared" si="33"/>
        <v>387.697</v>
      </c>
      <c r="H28" s="86"/>
      <c r="I28" s="247">
        <f t="shared" si="33"/>
        <v>30.171000000000003</v>
      </c>
      <c r="J28" s="247">
        <f t="shared" si="33"/>
        <v>108.85400000000001</v>
      </c>
      <c r="K28" s="247">
        <f t="shared" si="33"/>
        <v>97.818000000000012</v>
      </c>
      <c r="L28" s="247">
        <f t="shared" si="33"/>
        <v>99.138000000000019</v>
      </c>
      <c r="M28" s="247">
        <f t="shared" si="33"/>
        <v>335.98099999999999</v>
      </c>
      <c r="N28" s="86"/>
      <c r="O28" s="247">
        <f t="shared" si="33"/>
        <v>10.639000000000001</v>
      </c>
      <c r="P28" s="247">
        <f t="shared" si="33"/>
        <v>104.71999999999998</v>
      </c>
      <c r="Q28" s="247">
        <f t="shared" si="33"/>
        <v>130.00500000000002</v>
      </c>
      <c r="R28" s="247">
        <f t="shared" si="33"/>
        <v>117.12499999999997</v>
      </c>
      <c r="S28" s="247">
        <f t="shared" si="33"/>
        <v>362.48899999999998</v>
      </c>
      <c r="T28" s="86"/>
      <c r="U28" s="247">
        <f t="shared" si="33"/>
        <v>36.543999999999997</v>
      </c>
      <c r="V28" s="247">
        <f t="shared" si="33"/>
        <v>113.92400000000001</v>
      </c>
      <c r="W28" s="247">
        <f t="shared" si="33"/>
        <v>98.422000000000011</v>
      </c>
      <c r="X28" s="247">
        <f t="shared" si="33"/>
        <v>113.43399999999998</v>
      </c>
      <c r="Y28" s="247">
        <f t="shared" si="33"/>
        <v>362.32399999999996</v>
      </c>
      <c r="Z28" s="247"/>
      <c r="AA28" s="247">
        <f t="shared" si="33"/>
        <v>44.005999999999993</v>
      </c>
      <c r="AB28" s="247">
        <f t="shared" si="33"/>
        <v>120.95800000000001</v>
      </c>
      <c r="AC28" s="247">
        <f>SUM(AC26,AC19,AC9:AC16)</f>
        <v>87.180999999999997</v>
      </c>
      <c r="AD28" s="247">
        <f>SUM(AD26,AD19,AD9:AD16)</f>
        <v>141.32399999999998</v>
      </c>
      <c r="AE28" s="247">
        <f t="shared" si="33"/>
        <v>393.46899999999999</v>
      </c>
      <c r="AF28" s="86"/>
      <c r="AG28" s="529">
        <f>SUM(AG26,AG19,AG9:AG16)</f>
        <v>19.953000000000014</v>
      </c>
      <c r="AH28" s="529">
        <f>SUM(AH26,AH19,AH9:AH16)</f>
        <v>83.441999999999993</v>
      </c>
      <c r="AI28" s="247">
        <f>SUM(AI26,AI19,AI9:AI16)</f>
        <v>98.67000000000003</v>
      </c>
      <c r="AJ28" s="247">
        <f>SUM(AJ26,AJ19,AJ9:AJ16)</f>
        <v>167.61999999999992</v>
      </c>
      <c r="AK28" s="247">
        <f t="shared" si="33"/>
        <v>369.68499999999995</v>
      </c>
      <c r="AL28" s="86"/>
      <c r="AM28" s="247">
        <f>SUM(AM26,AM19,AM9:AM16)</f>
        <v>36.085999999999984</v>
      </c>
      <c r="AN28" s="247">
        <f>SUM(AN26,AN19,AN9:AN16)</f>
        <v>95.782000000000011</v>
      </c>
      <c r="AO28" s="247">
        <f>SUM(AO26,AO19,AO9:AO16)</f>
        <v>126.39799999999998</v>
      </c>
      <c r="AP28" s="247">
        <f>SUM(AP26,AP19,AP9:AP16)</f>
        <v>159.57999999999996</v>
      </c>
      <c r="AQ28" s="247">
        <f>SUM(AQ26,AQ19,AQ9:AQ16)</f>
        <v>417.84599999999995</v>
      </c>
      <c r="AR28" s="86"/>
      <c r="AS28" s="247">
        <f>SUM(AS26,AS19,AS9:AS16)</f>
        <v>64.564999999999998</v>
      </c>
      <c r="AT28" s="247">
        <f>SUM(AT26,AT19,AT9:AT16)</f>
        <v>155.68</v>
      </c>
      <c r="AU28" s="247">
        <f>SUM(AU26,AU19,AU9:AU16)</f>
        <v>147.535</v>
      </c>
      <c r="AV28" s="247">
        <f>SUM(AV26,AV19,AV9:AV16)</f>
        <v>192.62099999999998</v>
      </c>
      <c r="AW28" s="247">
        <f>SUM(AW26,AW19,AW9:AW16)</f>
        <v>560.40100000000007</v>
      </c>
      <c r="AX28" s="86"/>
      <c r="AY28" s="247">
        <f>SUM(AY26,AY19,AY9:AY17)</f>
        <v>65.631</v>
      </c>
      <c r="AZ28" s="247">
        <f>SUM(AZ26,AZ19,AZ9:AZ17)</f>
        <v>145.614</v>
      </c>
      <c r="BA28" s="247">
        <f>SUM(BA26,BA19,BA9:BA17)</f>
        <v>159.75499999999997</v>
      </c>
      <c r="BB28" s="482">
        <f>SUM(BB26,BB19,BB9:BB17)</f>
        <v>126.39999999999996</v>
      </c>
      <c r="BC28" s="482">
        <f>SUM(BC26,BC19,BC9:BC17)</f>
        <v>497.39999999999992</v>
      </c>
      <c r="BD28" s="50"/>
      <c r="BE28" s="482">
        <f>SUM(BE26,BE19,BE9:BE17)</f>
        <v>9.1000000000000014</v>
      </c>
      <c r="BF28" s="482">
        <f>SUM(BF26,BF19,BF9:BF17)</f>
        <v>187.79999999999998</v>
      </c>
      <c r="BG28" s="482">
        <f>SUM(BG26,BG19,BG9:BG17)</f>
        <v>155.40000000000003</v>
      </c>
      <c r="BH28" s="482">
        <f>SUM(BH26,BH19,BH9:BH17)</f>
        <v>223.8</v>
      </c>
      <c r="BI28" s="482">
        <f>SUM(BI26,BI19,BI9:BI17)</f>
        <v>576.09999999999991</v>
      </c>
      <c r="BJ28" s="50"/>
      <c r="BK28" s="482">
        <f>SUM(BK26,BK19,BK9:BK17)</f>
        <v>82.5</v>
      </c>
      <c r="BL28" s="482">
        <f>SUM(BL26,BL19,BL9:BL17)</f>
        <v>126.20000000000027</v>
      </c>
      <c r="BM28" s="482">
        <f>SUM(BM26,BM19,BM9:BM17)</f>
        <v>164.29999999999998</v>
      </c>
      <c r="BN28" s="482">
        <f>SUM(BN26,BN19,BN9:BN17)</f>
        <v>228.89999999999998</v>
      </c>
      <c r="BO28" s="482">
        <f>SUM(BO26,BO19,BO9:BO17)</f>
        <v>601.90000000000009</v>
      </c>
      <c r="BP28" s="50"/>
      <c r="BQ28" s="482">
        <f>SUM(BQ26,BQ19,BQ9:BQ17)</f>
        <v>269.28181639752131</v>
      </c>
      <c r="BR28" s="482">
        <f>SUM(BR26,BR19,BR9:BR17)</f>
        <v>83.498367223758947</v>
      </c>
      <c r="BS28" s="482">
        <f>SUM(BS26,BS19,BS9:BS17)</f>
        <v>75.446764483283573</v>
      </c>
      <c r="BT28" s="482">
        <f>SUM(BT26,BT19,BT9:BT17)</f>
        <v>164.81954936992594</v>
      </c>
      <c r="BU28" s="482">
        <f>SUM(BU26,BU19,BU9:BU17)</f>
        <v>593.04649747448991</v>
      </c>
      <c r="BV28" s="50"/>
      <c r="BW28" s="482">
        <f>SUM(BW26,BW19,BW9:BW17)</f>
        <v>355.05712496262322</v>
      </c>
      <c r="BX28" s="482">
        <f>SUM(BX26,BX19,BX9:BX17)</f>
        <v>123.15516426273922</v>
      </c>
      <c r="BY28" s="482">
        <f>SUM(BY26,BY19,BY9:BY17)</f>
        <v>113.81245077582081</v>
      </c>
      <c r="BZ28" s="482">
        <f>SUM(BZ26,BZ19,BZ9:BZ17)</f>
        <v>184.1337339221655</v>
      </c>
      <c r="CA28" s="482">
        <f>SUM(CA26,CA19,CA9:CA17)</f>
        <v>776.15847392334865</v>
      </c>
      <c r="CB28" s="50"/>
      <c r="CC28" s="482">
        <f>SUM(CC26,CC19,CC9:CC17)</f>
        <v>372.3997503820591</v>
      </c>
      <c r="CD28" s="482">
        <f>SUM(CD26,CD19,CD9:CD17)</f>
        <v>130.07961089479309</v>
      </c>
      <c r="CE28" s="482">
        <f>SUM(CE26,CE19,CE9:CE17)</f>
        <v>126.4554937832247</v>
      </c>
      <c r="CF28" s="482">
        <f>SUM(CF26,CF19,CF9:CF17)</f>
        <v>191.10811137279276</v>
      </c>
      <c r="CG28" s="482">
        <f>SUM(CG26,CG19,CG9:CG17)</f>
        <v>820.04296643286978</v>
      </c>
      <c r="CQ28" s="301"/>
    </row>
    <row r="29" spans="1:95" ht="11.25" customHeight="1" x14ac:dyDescent="0.2">
      <c r="A29" s="301"/>
      <c r="B29" s="283"/>
      <c r="C29" s="242"/>
      <c r="D29" s="242"/>
      <c r="E29" s="242"/>
      <c r="F29" s="242"/>
      <c r="G29" s="242"/>
      <c r="H29" s="86"/>
      <c r="I29" s="242"/>
      <c r="J29" s="242"/>
      <c r="K29" s="242"/>
      <c r="L29" s="242"/>
      <c r="M29" s="242"/>
      <c r="N29" s="86"/>
      <c r="O29" s="242"/>
      <c r="P29" s="242"/>
      <c r="Q29" s="242"/>
      <c r="R29" s="242"/>
      <c r="S29" s="242"/>
      <c r="T29" s="86"/>
      <c r="U29" s="242"/>
      <c r="V29" s="242"/>
      <c r="W29" s="242"/>
      <c r="X29" s="242"/>
      <c r="Y29" s="242"/>
      <c r="Z29" s="86"/>
      <c r="AA29" s="242"/>
      <c r="AB29" s="242"/>
      <c r="AC29" s="242">
        <f>SUM(AC9:AC16,AC20:AC26)</f>
        <v>87.180999999999983</v>
      </c>
      <c r="AD29" s="242"/>
      <c r="AE29" s="535">
        <f>+AE28/Y28-1</f>
        <v>8.5958975944182781E-2</v>
      </c>
      <c r="AF29" s="86"/>
      <c r="AG29" s="242"/>
      <c r="AH29" s="242"/>
      <c r="AI29" s="242"/>
      <c r="AJ29" s="242"/>
      <c r="AK29" s="535"/>
      <c r="AL29" s="86"/>
      <c r="AM29" s="237"/>
      <c r="AN29" s="242"/>
      <c r="AO29" s="242"/>
      <c r="AP29" s="242"/>
      <c r="AQ29" s="535"/>
      <c r="AR29" s="86"/>
      <c r="AS29" s="237"/>
      <c r="AT29" s="242"/>
      <c r="AU29" s="237"/>
      <c r="AV29" s="237"/>
      <c r="AW29" s="535"/>
      <c r="AX29" s="535"/>
      <c r="AY29" s="237"/>
      <c r="AZ29" s="237"/>
      <c r="BA29" s="237"/>
      <c r="BB29" s="237"/>
      <c r="BC29" s="701"/>
      <c r="BD29" s="50"/>
      <c r="BE29" s="237"/>
      <c r="BF29" s="237"/>
      <c r="BG29" s="237"/>
      <c r="BH29" s="237"/>
      <c r="BI29" s="701"/>
      <c r="BJ29" s="50"/>
      <c r="BK29" s="237"/>
      <c r="BL29" s="237"/>
      <c r="BM29" s="237"/>
      <c r="BN29" s="237"/>
      <c r="BO29" s="1711"/>
      <c r="BP29" s="50"/>
      <c r="BQ29" s="237"/>
      <c r="BR29" s="237"/>
      <c r="BS29" s="237"/>
      <c r="BT29" s="237"/>
      <c r="BU29" s="701"/>
      <c r="BV29" s="50"/>
      <c r="BW29" s="237"/>
      <c r="BX29" s="237"/>
      <c r="BY29" s="237"/>
      <c r="BZ29" s="237"/>
      <c r="CA29" s="701"/>
      <c r="CB29" s="50"/>
      <c r="CC29" s="237"/>
      <c r="CD29" s="237"/>
      <c r="CE29" s="237"/>
      <c r="CF29" s="237"/>
      <c r="CG29" s="701"/>
      <c r="CQ29" s="301"/>
    </row>
    <row r="30" spans="1:95" ht="11.25" customHeight="1" x14ac:dyDescent="0.2">
      <c r="A30" s="301"/>
      <c r="B30" s="340" t="s">
        <v>276</v>
      </c>
      <c r="C30" s="242"/>
      <c r="D30" s="242"/>
      <c r="E30" s="242"/>
      <c r="F30" s="242"/>
      <c r="G30" s="242"/>
      <c r="H30" s="128"/>
      <c r="I30" s="242"/>
      <c r="J30" s="242"/>
      <c r="K30" s="242"/>
      <c r="L30" s="242"/>
      <c r="M30" s="242"/>
      <c r="N30" s="128"/>
      <c r="O30" s="242"/>
      <c r="P30" s="242"/>
      <c r="Q30" s="242"/>
      <c r="R30" s="242"/>
      <c r="S30" s="242"/>
      <c r="T30" s="128"/>
      <c r="U30" s="242"/>
      <c r="V30" s="242"/>
      <c r="W30" s="242"/>
      <c r="X30" s="242"/>
      <c r="Y30" s="242"/>
      <c r="Z30" s="128"/>
      <c r="AA30" s="242"/>
      <c r="AB30" s="242"/>
      <c r="AC30" s="242"/>
      <c r="AD30" s="242"/>
      <c r="AE30" s="242"/>
      <c r="AF30" s="128"/>
      <c r="AG30" s="242"/>
      <c r="AH30" s="242"/>
      <c r="AI30" s="242"/>
      <c r="AJ30" s="242"/>
      <c r="AK30" s="242"/>
      <c r="AL30" s="128"/>
      <c r="AM30" s="237"/>
      <c r="AN30" s="242"/>
      <c r="AO30" s="242"/>
      <c r="AP30" s="242"/>
      <c r="AQ30" s="242"/>
      <c r="AR30" s="128"/>
      <c r="AS30" s="237"/>
      <c r="AT30" s="242"/>
      <c r="AU30" s="237"/>
      <c r="AV30" s="237"/>
      <c r="AW30" s="242"/>
      <c r="AX30" s="128"/>
      <c r="AY30" s="237"/>
      <c r="AZ30" s="242"/>
      <c r="BA30" s="242"/>
      <c r="BB30" s="504"/>
      <c r="BC30" s="701"/>
      <c r="BD30" s="239"/>
      <c r="BE30" s="237"/>
      <c r="BF30" s="504"/>
      <c r="BG30" s="504"/>
      <c r="BH30" s="504"/>
      <c r="BI30" s="701"/>
      <c r="BJ30" s="239"/>
      <c r="BK30" s="237"/>
      <c r="BL30" s="504"/>
      <c r="BM30" s="504"/>
      <c r="BN30" s="504"/>
      <c r="BO30" s="701"/>
      <c r="BP30" s="239"/>
      <c r="BQ30" s="237"/>
      <c r="BR30" s="504"/>
      <c r="BS30" s="504"/>
      <c r="BT30" s="504"/>
      <c r="BU30" s="701"/>
      <c r="BV30" s="239"/>
      <c r="BW30" s="237"/>
      <c r="BX30" s="504"/>
      <c r="BY30" s="504"/>
      <c r="BZ30" s="504"/>
      <c r="CA30" s="504"/>
      <c r="CB30" s="239"/>
      <c r="CC30" s="237"/>
      <c r="CD30" s="504"/>
      <c r="CE30" s="504"/>
      <c r="CF30" s="504"/>
      <c r="CG30" s="504"/>
      <c r="CQ30" s="301"/>
    </row>
    <row r="31" spans="1:95" ht="11.25" customHeight="1" x14ac:dyDescent="0.2">
      <c r="A31" s="301"/>
      <c r="B31" s="339" t="s">
        <v>270</v>
      </c>
      <c r="C31" s="233">
        <v>-10.708</v>
      </c>
      <c r="D31" s="233">
        <f>-21.159-C31</f>
        <v>-10.450999999999999</v>
      </c>
      <c r="E31" s="233">
        <f>-37.84-SUM(C31:D31)</f>
        <v>-16.681000000000004</v>
      </c>
      <c r="F31" s="233">
        <f>-64.163-SUM(C31:E31)</f>
        <v>-26.322999999999993</v>
      </c>
      <c r="G31" s="234">
        <f t="shared" ref="G31:G38" si="34">SUM(C31:F31)</f>
        <v>-64.162999999999997</v>
      </c>
      <c r="H31" s="484"/>
      <c r="I31" s="233">
        <v>-18.681999999999999</v>
      </c>
      <c r="J31" s="233">
        <f>-36.574-I31</f>
        <v>-17.891999999999999</v>
      </c>
      <c r="K31" s="233">
        <f>-55.286-SUM(I31:J31)</f>
        <v>-18.712000000000003</v>
      </c>
      <c r="L31" s="233">
        <f>-76.44-SUM(I31:K31)</f>
        <v>-21.153999999999996</v>
      </c>
      <c r="M31" s="234">
        <f t="shared" ref="M31:M38" si="35">SUM(I31:L31)</f>
        <v>-76.44</v>
      </c>
      <c r="N31" s="128"/>
      <c r="O31" s="233">
        <v>-14.183</v>
      </c>
      <c r="P31" s="233">
        <f>-24.957-O31</f>
        <v>-10.774000000000001</v>
      </c>
      <c r="Q31" s="233">
        <f>-43.282-SUM(O31:P31)</f>
        <v>-18.324999999999996</v>
      </c>
      <c r="R31" s="233">
        <f>-56.481-SUM(O31:Q31)</f>
        <v>-13.199000000000005</v>
      </c>
      <c r="S31" s="234">
        <f t="shared" ref="S31:S38" si="36">SUM(O31:R31)</f>
        <v>-56.481000000000002</v>
      </c>
      <c r="T31" s="128"/>
      <c r="U31" s="233">
        <v>-8.0299999999999994</v>
      </c>
      <c r="V31" s="240">
        <f>-18.897-U31</f>
        <v>-10.866999999999999</v>
      </c>
      <c r="W31" s="240">
        <f>-29.566-SUM(U31:V31)</f>
        <v>-10.669</v>
      </c>
      <c r="X31" s="233">
        <f>-44.236-SUM(U31:W31)</f>
        <v>-14.669999999999998</v>
      </c>
      <c r="Y31" s="234">
        <f t="shared" ref="Y31:Y38" si="37">SUM(U31:X31)</f>
        <v>-44.235999999999997</v>
      </c>
      <c r="Z31" s="128"/>
      <c r="AA31" s="233">
        <v>-11.773999999999999</v>
      </c>
      <c r="AB31" s="233">
        <f>-25.338-AA31</f>
        <v>-13.564000000000002</v>
      </c>
      <c r="AC31" s="240">
        <v>-20.12</v>
      </c>
      <c r="AD31" s="240">
        <f>-71.186-AC31-AB31-AA31</f>
        <v>-25.728000000000002</v>
      </c>
      <c r="AE31" s="234">
        <f t="shared" ref="AE31:AE38" si="38">SUM(AA31:AD31)</f>
        <v>-71.186000000000007</v>
      </c>
      <c r="AF31" s="128"/>
      <c r="AG31" s="233">
        <v>-18.641999999999999</v>
      </c>
      <c r="AH31" s="233">
        <f>-42.986-AG31</f>
        <v>-24.343999999999998</v>
      </c>
      <c r="AI31" s="240">
        <f>-64.859-AH31-AG31</f>
        <v>-21.873000000000001</v>
      </c>
      <c r="AJ31" s="240">
        <f>-92.072-AI31-AH31-AG31</f>
        <v>-27.213000000000005</v>
      </c>
      <c r="AK31" s="234">
        <f t="shared" ref="AK31:AK38" si="39">SUM(AG31:AJ31)</f>
        <v>-92.072000000000003</v>
      </c>
      <c r="AL31" s="128"/>
      <c r="AM31" s="233">
        <v>-24.032</v>
      </c>
      <c r="AN31" s="233">
        <f>-46.151-AM31</f>
        <v>-22.119000000000003</v>
      </c>
      <c r="AO31" s="240">
        <f>-73.5-AN31-AM31</f>
        <v>-27.349</v>
      </c>
      <c r="AP31" s="240">
        <f>-100.345-AO31-AN31-AM31</f>
        <v>-26.844999999999995</v>
      </c>
      <c r="AQ31" s="234">
        <f t="shared" ref="AQ31:AQ38" si="40">SUM(AM31:AP31)</f>
        <v>-100.345</v>
      </c>
      <c r="AR31" s="128"/>
      <c r="AS31" s="233">
        <v>-25.321999999999999</v>
      </c>
      <c r="AT31" s="233">
        <f>-48.831-AS31</f>
        <v>-23.509000000000004</v>
      </c>
      <c r="AU31" s="233">
        <f>-73.025-AT31-AS31</f>
        <v>-24.194000000000006</v>
      </c>
      <c r="AV31" s="240">
        <f>-99.578-SUM(AS31:AU31)</f>
        <v>-26.552999999999997</v>
      </c>
      <c r="AW31" s="234">
        <f t="shared" ref="AW31:AW38" si="41">SUM(AS31:AV31)</f>
        <v>-99.578000000000003</v>
      </c>
      <c r="AX31" s="479"/>
      <c r="AY31" s="536">
        <v>-16.242999999999999</v>
      </c>
      <c r="AZ31" s="536">
        <v>-17.190999999999999</v>
      </c>
      <c r="BA31" s="536">
        <v>-18.266000000000002</v>
      </c>
      <c r="BB31" s="252">
        <f>-72-BA31-AZ31-AY31</f>
        <v>-20.299999999999994</v>
      </c>
      <c r="BC31" s="237">
        <f t="shared" ref="BC31:BC38" si="42">SUM(AY31:BB31)</f>
        <v>-72</v>
      </c>
      <c r="BD31" s="239"/>
      <c r="BE31" s="536">
        <v>-20.8</v>
      </c>
      <c r="BF31" s="536">
        <f>-47.8-BE31</f>
        <v>-26.999999999999996</v>
      </c>
      <c r="BG31" s="968">
        <f>-79-SUM(BE31:BF31)</f>
        <v>-31.200000000000003</v>
      </c>
      <c r="BH31" s="252">
        <f>-125-SUM(BE31:BG31)</f>
        <v>-46</v>
      </c>
      <c r="BI31" s="237">
        <f t="shared" ref="BI31:BI38" si="43">SUM(BE31:BH31)</f>
        <v>-125</v>
      </c>
      <c r="BJ31" s="239"/>
      <c r="BK31" s="536">
        <v>-31.1</v>
      </c>
      <c r="BL31" s="968">
        <f>-64.8-BK31</f>
        <v>-33.699999999999996</v>
      </c>
      <c r="BM31" s="968">
        <f>-98.6-SUM(BK31:BL31)</f>
        <v>-33.799999999999997</v>
      </c>
      <c r="BN31" s="252">
        <f>-144.3-SUM(BK31:BM31)</f>
        <v>-45.700000000000017</v>
      </c>
      <c r="BO31" s="237">
        <f t="shared" ref="BO31:BO38" si="44">SUM(BK31:BN31)</f>
        <v>-144.30000000000001</v>
      </c>
      <c r="BP31" s="239"/>
      <c r="BQ31" s="237">
        <f>-'BalSht '!BQ121</f>
        <v>-32.319380000000002</v>
      </c>
      <c r="BR31" s="237">
        <f>-'BalSht '!BR121</f>
        <v>-36.042176000000005</v>
      </c>
      <c r="BS31" s="237">
        <f>-'BalSht '!BS121</f>
        <v>-36.796568000000008</v>
      </c>
      <c r="BT31" s="237">
        <f>-'BalSht '!BT121</f>
        <v>-39.538056000000005</v>
      </c>
      <c r="BU31" s="237">
        <f t="shared" ref="BU31:BU38" si="45">SUM(BQ31:BT31)</f>
        <v>-144.69618000000003</v>
      </c>
      <c r="BV31" s="239"/>
      <c r="BW31" s="237">
        <f>-'BalSht '!BW121</f>
        <v>-33.411305640000009</v>
      </c>
      <c r="BX31" s="237">
        <f>-'BalSht '!BX121</f>
        <v>-37.703823320000012</v>
      </c>
      <c r="BY31" s="237">
        <f>-'BalSht '!BY121</f>
        <v>-38.329513760000012</v>
      </c>
      <c r="BZ31" s="237">
        <f>-'BalSht '!BZ121</f>
        <v>-40.88069560000001</v>
      </c>
      <c r="CA31" s="237">
        <f t="shared" ref="CA31:CA38" si="46">SUM(BW31:BZ31)</f>
        <v>-150.32533832000004</v>
      </c>
      <c r="CB31" s="239"/>
      <c r="CC31" s="237">
        <f>-'BalSht '!CC121</f>
        <v>-34.558408020200005</v>
      </c>
      <c r="CD31" s="237">
        <f>-'BalSht '!CD121</f>
        <v>-38.627005875400009</v>
      </c>
      <c r="CE31" s="237">
        <f>-'BalSht '!CE121</f>
        <v>-39.37805550880001</v>
      </c>
      <c r="CF31" s="237">
        <f>-'BalSht '!CF121</f>
        <v>-42.294031814800007</v>
      </c>
      <c r="CG31" s="237">
        <f t="shared" ref="CG31:CG38" si="47">SUM(CC31:CF31)</f>
        <v>-154.85750121920003</v>
      </c>
      <c r="CQ31" s="301"/>
    </row>
    <row r="32" spans="1:95" ht="11.25" customHeight="1" x14ac:dyDescent="0.2">
      <c r="A32" s="301"/>
      <c r="B32" s="339" t="s">
        <v>217</v>
      </c>
      <c r="C32" s="233">
        <v>-7.15</v>
      </c>
      <c r="D32" s="233">
        <f>-26.223-C32</f>
        <v>-19.073</v>
      </c>
      <c r="E32" s="233">
        <f>-100.635-SUM(C32:D32)</f>
        <v>-74.412000000000006</v>
      </c>
      <c r="F32" s="233">
        <f>-101.492-SUM(C32:E32)</f>
        <v>-0.85699999999999932</v>
      </c>
      <c r="G32" s="234">
        <f t="shared" si="34"/>
        <v>-101.492</v>
      </c>
      <c r="H32" s="484"/>
      <c r="I32" s="233">
        <v>-2.415</v>
      </c>
      <c r="J32" s="233">
        <f>-2.415-I32</f>
        <v>0</v>
      </c>
      <c r="K32" s="233">
        <f>-43.937-SUM(I32:J32)</f>
        <v>-41.521999999999998</v>
      </c>
      <c r="L32" s="233">
        <f>-117.3-SUM(I32:K32)</f>
        <v>-73.363</v>
      </c>
      <c r="M32" s="234">
        <f t="shared" si="35"/>
        <v>-117.3</v>
      </c>
      <c r="N32" s="128"/>
      <c r="O32" s="233">
        <v>-0.57399999999999995</v>
      </c>
      <c r="P32" s="233">
        <f>-2.986-O32</f>
        <v>-2.4120000000000004</v>
      </c>
      <c r="Q32" s="233">
        <f>-2.986-SUM(O32:P32)</f>
        <v>0</v>
      </c>
      <c r="R32" s="233">
        <f>-2.986-SUM(O32:Q32)</f>
        <v>0</v>
      </c>
      <c r="S32" s="234">
        <f t="shared" si="36"/>
        <v>-2.9860000000000002</v>
      </c>
      <c r="T32" s="128"/>
      <c r="U32" s="233">
        <v>-7.6870000000000003</v>
      </c>
      <c r="V32" s="240">
        <f>-8.309-U32</f>
        <v>-0.621999999999999</v>
      </c>
      <c r="W32" s="233">
        <f>-21.997-SUM(U32:V32)</f>
        <v>-13.688000000000001</v>
      </c>
      <c r="X32" s="233">
        <f>-35.556-SUM(U32:W32)</f>
        <v>-13.558999999999997</v>
      </c>
      <c r="Y32" s="234">
        <f t="shared" si="37"/>
        <v>-35.555999999999997</v>
      </c>
      <c r="Z32" s="128"/>
      <c r="AA32" s="233">
        <v>-21.126999999999999</v>
      </c>
      <c r="AB32" s="233">
        <f>-20.087-AA32</f>
        <v>1.0399999999999991</v>
      </c>
      <c r="AC32" s="240">
        <v>-1777.8320000000001</v>
      </c>
      <c r="AD32" s="240">
        <f>-1787.516-AC32-AB32-AA32</f>
        <v>10.403000000000031</v>
      </c>
      <c r="AE32" s="234">
        <f t="shared" si="38"/>
        <v>-1787.5160000000001</v>
      </c>
      <c r="AF32" s="128"/>
      <c r="AG32" s="233">
        <v>0</v>
      </c>
      <c r="AH32" s="233">
        <f>0-AG32</f>
        <v>0</v>
      </c>
      <c r="AI32" s="240">
        <v>0</v>
      </c>
      <c r="AJ32" s="240">
        <v>-4.8609999999999998</v>
      </c>
      <c r="AK32" s="234">
        <f t="shared" si="39"/>
        <v>-4.8609999999999998</v>
      </c>
      <c r="AL32" s="128"/>
      <c r="AM32" s="233">
        <v>-3.9390000000000001</v>
      </c>
      <c r="AN32" s="233">
        <f>-3.939-AM32</f>
        <v>0</v>
      </c>
      <c r="AO32" s="240">
        <f>-3.939-AN32-AM32</f>
        <v>0</v>
      </c>
      <c r="AP32" s="240">
        <f>-66.247-AO32-AN32-AM32</f>
        <v>-62.308</v>
      </c>
      <c r="AQ32" s="234">
        <f t="shared" si="40"/>
        <v>-66.247</v>
      </c>
      <c r="AR32" s="128"/>
      <c r="AS32" s="233">
        <v>0</v>
      </c>
      <c r="AT32" s="233">
        <f>-2.009-AS32</f>
        <v>-2.0089999999999999</v>
      </c>
      <c r="AU32" s="233">
        <f>-2.009+1.371-AT32-AS32</f>
        <v>1.371</v>
      </c>
      <c r="AV32" s="240">
        <f>-8.566+6.525-SUM(AS32:AU32)</f>
        <v>-1.4030000000000005</v>
      </c>
      <c r="AW32" s="234">
        <f t="shared" si="41"/>
        <v>-2.0410000000000004</v>
      </c>
      <c r="AX32" s="128"/>
      <c r="AY32" s="536">
        <v>0</v>
      </c>
      <c r="AZ32" s="536">
        <v>-3.3050000000000002</v>
      </c>
      <c r="BA32" s="536">
        <v>5.0000000000003375E-3</v>
      </c>
      <c r="BB32" s="252">
        <f>-54-BA32-AZ32-AY32</f>
        <v>-50.7</v>
      </c>
      <c r="BC32" s="237">
        <f t="shared" si="42"/>
        <v>-54</v>
      </c>
      <c r="BD32" s="239"/>
      <c r="BE32" s="536">
        <v>-0.4</v>
      </c>
      <c r="BF32" s="536">
        <f>-0.4-BE32</f>
        <v>0</v>
      </c>
      <c r="BG32" s="968">
        <f>-341.8-SUM(BE32:BF32)</f>
        <v>-341.40000000000003</v>
      </c>
      <c r="BH32" s="252">
        <f>-341.8-SUM(BE32:BG32)</f>
        <v>0</v>
      </c>
      <c r="BI32" s="237">
        <f t="shared" si="43"/>
        <v>-341.8</v>
      </c>
      <c r="BJ32" s="239"/>
      <c r="BK32" s="536">
        <v>-9.1</v>
      </c>
      <c r="BL32" s="968">
        <f>-125.2-BK32</f>
        <v>-116.10000000000001</v>
      </c>
      <c r="BM32" s="968">
        <f>-135.9-SUM(BK32:BL32)</f>
        <v>-10.700000000000003</v>
      </c>
      <c r="BN32" s="252">
        <f>-145.9-SUM(BK32:BM32)</f>
        <v>-10</v>
      </c>
      <c r="BO32" s="237">
        <f t="shared" si="44"/>
        <v>-145.9</v>
      </c>
      <c r="BP32" s="239"/>
      <c r="BQ32" s="700">
        <v>0</v>
      </c>
      <c r="BR32" s="700">
        <v>0</v>
      </c>
      <c r="BS32" s="700">
        <v>0</v>
      </c>
      <c r="BT32" s="700">
        <v>0</v>
      </c>
      <c r="BU32" s="237">
        <f t="shared" si="45"/>
        <v>0</v>
      </c>
      <c r="BV32" s="239"/>
      <c r="BW32" s="700">
        <v>0</v>
      </c>
      <c r="BX32" s="700">
        <v>0</v>
      </c>
      <c r="BY32" s="700">
        <v>0</v>
      </c>
      <c r="BZ32" s="700">
        <v>0</v>
      </c>
      <c r="CA32" s="237">
        <f t="shared" si="46"/>
        <v>0</v>
      </c>
      <c r="CB32" s="239"/>
      <c r="CC32" s="700">
        <v>0</v>
      </c>
      <c r="CD32" s="700">
        <v>0</v>
      </c>
      <c r="CE32" s="700">
        <v>0</v>
      </c>
      <c r="CF32" s="700">
        <v>0</v>
      </c>
      <c r="CG32" s="237">
        <f t="shared" si="47"/>
        <v>0</v>
      </c>
      <c r="CQ32" s="301"/>
    </row>
    <row r="33" spans="1:95" ht="11.25" customHeight="1" x14ac:dyDescent="0.2">
      <c r="A33" s="301"/>
      <c r="B33" s="339" t="s">
        <v>493</v>
      </c>
      <c r="C33" s="233"/>
      <c r="D33" s="233"/>
      <c r="E33" s="233"/>
      <c r="F33" s="233"/>
      <c r="G33" s="234"/>
      <c r="H33" s="484"/>
      <c r="I33" s="233"/>
      <c r="J33" s="233"/>
      <c r="K33" s="233"/>
      <c r="L33" s="233"/>
      <c r="M33" s="234"/>
      <c r="N33" s="128"/>
      <c r="O33" s="233"/>
      <c r="P33" s="233"/>
      <c r="Q33" s="233"/>
      <c r="R33" s="233"/>
      <c r="S33" s="234"/>
      <c r="T33" s="128"/>
      <c r="U33" s="233"/>
      <c r="V33" s="240"/>
      <c r="W33" s="233"/>
      <c r="X33" s="233"/>
      <c r="Y33" s="234"/>
      <c r="Z33" s="128"/>
      <c r="AA33" s="233"/>
      <c r="AB33" s="233"/>
      <c r="AC33" s="240"/>
      <c r="AD33" s="240"/>
      <c r="AE33" s="234"/>
      <c r="AF33" s="128"/>
      <c r="AG33" s="233"/>
      <c r="AH33" s="233"/>
      <c r="AI33" s="240"/>
      <c r="AJ33" s="240"/>
      <c r="AK33" s="234"/>
      <c r="AL33" s="128"/>
      <c r="AM33" s="233"/>
      <c r="AN33" s="233"/>
      <c r="AO33" s="240"/>
      <c r="AP33" s="240"/>
      <c r="AQ33" s="234"/>
      <c r="AR33" s="128"/>
      <c r="AS33" s="233"/>
      <c r="AT33" s="233"/>
      <c r="AU33" s="233"/>
      <c r="AV33" s="240"/>
      <c r="AW33" s="234"/>
      <c r="AX33" s="128"/>
      <c r="AY33" s="987">
        <v>0</v>
      </c>
      <c r="AZ33" s="987">
        <v>0</v>
      </c>
      <c r="BA33" s="987">
        <v>0</v>
      </c>
      <c r="BB33" s="700">
        <v>0</v>
      </c>
      <c r="BC33" s="237">
        <f t="shared" si="42"/>
        <v>0</v>
      </c>
      <c r="BD33" s="239"/>
      <c r="BE33" s="987">
        <v>0</v>
      </c>
      <c r="BF33" s="987">
        <f t="shared" ref="BF33:BF36" si="48">0-BE33</f>
        <v>0</v>
      </c>
      <c r="BG33" s="968">
        <f t="shared" ref="BG33" si="49">0-SUM(BE33:BF33)</f>
        <v>0</v>
      </c>
      <c r="BH33" s="700">
        <f t="shared" ref="BH33" si="50">0-SUM(BE33:BG33)</f>
        <v>0</v>
      </c>
      <c r="BI33" s="237">
        <f t="shared" si="43"/>
        <v>0</v>
      </c>
      <c r="BJ33" s="239"/>
      <c r="BK33" s="987">
        <v>0</v>
      </c>
      <c r="BL33" s="968">
        <f t="shared" ref="BL33:BL37" si="51">0-BK33</f>
        <v>0</v>
      </c>
      <c r="BM33" s="968">
        <f t="shared" ref="BM33:BM37" si="52">0-SUM(BK33:BL33)</f>
        <v>0</v>
      </c>
      <c r="BN33" s="700">
        <f t="shared" ref="BN33" si="53">0-SUM(BK33:BM33)</f>
        <v>0</v>
      </c>
      <c r="BO33" s="237">
        <f t="shared" si="44"/>
        <v>0</v>
      </c>
      <c r="BP33" s="239"/>
      <c r="BQ33" s="700">
        <v>0</v>
      </c>
      <c r="BR33" s="700">
        <v>0</v>
      </c>
      <c r="BS33" s="700">
        <v>0</v>
      </c>
      <c r="BT33" s="700">
        <v>0</v>
      </c>
      <c r="BU33" s="237">
        <f t="shared" si="45"/>
        <v>0</v>
      </c>
      <c r="BV33" s="239"/>
      <c r="BW33" s="700">
        <v>0</v>
      </c>
      <c r="BX33" s="700">
        <v>0</v>
      </c>
      <c r="BY33" s="700">
        <v>0</v>
      </c>
      <c r="BZ33" s="700">
        <v>0</v>
      </c>
      <c r="CA33" s="237">
        <f t="shared" si="46"/>
        <v>0</v>
      </c>
      <c r="CB33" s="239"/>
      <c r="CC33" s="700">
        <v>0</v>
      </c>
      <c r="CD33" s="700">
        <v>0</v>
      </c>
      <c r="CE33" s="700">
        <v>0</v>
      </c>
      <c r="CF33" s="700">
        <v>0</v>
      </c>
      <c r="CG33" s="237">
        <f t="shared" si="47"/>
        <v>0</v>
      </c>
      <c r="CQ33" s="301"/>
    </row>
    <row r="34" spans="1:95" ht="11.25" customHeight="1" x14ac:dyDescent="0.2">
      <c r="A34" s="301"/>
      <c r="B34" s="339" t="s">
        <v>292</v>
      </c>
      <c r="C34" s="233">
        <f>-32.403+0.066</f>
        <v>-32.336999999999996</v>
      </c>
      <c r="D34" s="233">
        <f>-109.233+0.067-C34</f>
        <v>-76.829000000000008</v>
      </c>
      <c r="E34" s="233">
        <f>-112.771+0.069-D34-C34</f>
        <v>-3.5359999999999943</v>
      </c>
      <c r="F34" s="233">
        <f>-138.471+0.073-E34-D34-C34</f>
        <v>-25.695999999999991</v>
      </c>
      <c r="G34" s="234">
        <f t="shared" si="34"/>
        <v>-138.398</v>
      </c>
      <c r="H34" s="484"/>
      <c r="I34" s="233">
        <v>-90.641000000000005</v>
      </c>
      <c r="J34" s="233">
        <f>-147.434+0.012-I34</f>
        <v>-56.780999999999992</v>
      </c>
      <c r="K34" s="233">
        <f>-154.568+102.091-J34-I34</f>
        <v>94.944999999999979</v>
      </c>
      <c r="L34" s="233">
        <f>-166.208+314.025-K34-J34-I34</f>
        <v>200.29399999999998</v>
      </c>
      <c r="M34" s="234">
        <f t="shared" si="35"/>
        <v>147.81699999999995</v>
      </c>
      <c r="N34" s="128"/>
      <c r="O34" s="233">
        <v>5.8000000000000003E-2</v>
      </c>
      <c r="P34" s="233">
        <f>0.214-O34</f>
        <v>0.156</v>
      </c>
      <c r="Q34" s="233">
        <f>0.219-P34-O34</f>
        <v>4.9999999999999975E-3</v>
      </c>
      <c r="R34" s="233">
        <f>0.222-O34-P34-Q34</f>
        <v>3.0000000000000096E-3</v>
      </c>
      <c r="S34" s="234">
        <f t="shared" si="36"/>
        <v>0.222</v>
      </c>
      <c r="T34" s="128"/>
      <c r="U34" s="233">
        <v>0</v>
      </c>
      <c r="V34" s="240">
        <v>0</v>
      </c>
      <c r="W34" s="233">
        <v>0</v>
      </c>
      <c r="X34" s="233">
        <v>0</v>
      </c>
      <c r="Y34" s="234">
        <f t="shared" si="37"/>
        <v>0</v>
      </c>
      <c r="Z34" s="128"/>
      <c r="AA34" s="233">
        <v>0</v>
      </c>
      <c r="AB34" s="233">
        <f>0-AA34</f>
        <v>0</v>
      </c>
      <c r="AC34" s="240">
        <v>-2.4620000000000002</v>
      </c>
      <c r="AD34" s="240">
        <f>-25.575+0.006-AC34-AB34-AA34</f>
        <v>-23.106999999999999</v>
      </c>
      <c r="AE34" s="234">
        <f t="shared" si="38"/>
        <v>-25.568999999999999</v>
      </c>
      <c r="AF34" s="128"/>
      <c r="AG34" s="233">
        <v>0</v>
      </c>
      <c r="AH34" s="233">
        <f>0-AG34</f>
        <v>0</v>
      </c>
      <c r="AI34" s="240">
        <v>0</v>
      </c>
      <c r="AJ34" s="240">
        <v>0</v>
      </c>
      <c r="AK34" s="234">
        <f t="shared" si="39"/>
        <v>0</v>
      </c>
      <c r="AL34" s="128"/>
      <c r="AM34" s="233">
        <v>0</v>
      </c>
      <c r="AN34" s="233">
        <f>0-AM34</f>
        <v>0</v>
      </c>
      <c r="AO34" s="240">
        <f>0-AN34-AM34</f>
        <v>0</v>
      </c>
      <c r="AP34" s="240">
        <v>0</v>
      </c>
      <c r="AQ34" s="234">
        <f t="shared" si="40"/>
        <v>0</v>
      </c>
      <c r="AR34" s="128"/>
      <c r="AS34" s="233">
        <v>-1.1439999999999999</v>
      </c>
      <c r="AT34" s="233">
        <f>-1.135-AS34</f>
        <v>8.999999999999897E-3</v>
      </c>
      <c r="AU34" s="233">
        <f>1.136-2.271-AT34-AS34</f>
        <v>0</v>
      </c>
      <c r="AV34" s="240">
        <f>-2.271+1.136-SUM(AS34:AU34)</f>
        <v>0</v>
      </c>
      <c r="AW34" s="234">
        <f t="shared" si="41"/>
        <v>-1.135</v>
      </c>
      <c r="AX34" s="128"/>
      <c r="AY34" s="987">
        <v>0</v>
      </c>
      <c r="AZ34" s="987">
        <v>0</v>
      </c>
      <c r="BA34" s="987">
        <v>0</v>
      </c>
      <c r="BB34" s="700">
        <v>0</v>
      </c>
      <c r="BC34" s="237">
        <f t="shared" si="42"/>
        <v>0</v>
      </c>
      <c r="BD34" s="239"/>
      <c r="BE34" s="987">
        <v>522.29999999999995</v>
      </c>
      <c r="BF34" s="987">
        <f>522.3-BE34</f>
        <v>0</v>
      </c>
      <c r="BG34" s="968">
        <f>522.3-SUM(BE34:BF34)</f>
        <v>0</v>
      </c>
      <c r="BH34" s="700">
        <f>-6.8+522.3-SUM(BE34:BG34)</f>
        <v>-6.7999999999999545</v>
      </c>
      <c r="BI34" s="237">
        <f t="shared" si="43"/>
        <v>515.5</v>
      </c>
      <c r="BJ34" s="239"/>
      <c r="BK34" s="987">
        <v>-0.1</v>
      </c>
      <c r="BL34" s="968">
        <f>-2.3-BK34</f>
        <v>-2.1999999999999997</v>
      </c>
      <c r="BM34" s="968">
        <f>-2.3-SUM(BK34:BL34)</f>
        <v>0</v>
      </c>
      <c r="BN34" s="700">
        <f>-2.5-SUM(BK34:BM34)</f>
        <v>-0.20000000000000018</v>
      </c>
      <c r="BO34" s="237">
        <f t="shared" si="44"/>
        <v>-2.5</v>
      </c>
      <c r="BP34" s="239"/>
      <c r="BQ34" s="700">
        <v>0</v>
      </c>
      <c r="BR34" s="700">
        <v>0</v>
      </c>
      <c r="BS34" s="700">
        <v>0</v>
      </c>
      <c r="BT34" s="700">
        <v>0</v>
      </c>
      <c r="BU34" s="237">
        <f t="shared" si="45"/>
        <v>0</v>
      </c>
      <c r="BV34" s="239"/>
      <c r="BW34" s="700">
        <v>0</v>
      </c>
      <c r="BX34" s="700">
        <v>0</v>
      </c>
      <c r="BY34" s="700">
        <v>0</v>
      </c>
      <c r="BZ34" s="700">
        <v>0</v>
      </c>
      <c r="CA34" s="237">
        <f t="shared" si="46"/>
        <v>0</v>
      </c>
      <c r="CB34" s="239"/>
      <c r="CC34" s="700">
        <v>0</v>
      </c>
      <c r="CD34" s="700">
        <v>0</v>
      </c>
      <c r="CE34" s="700">
        <v>0</v>
      </c>
      <c r="CF34" s="700">
        <v>0</v>
      </c>
      <c r="CG34" s="237">
        <f t="shared" si="47"/>
        <v>0</v>
      </c>
      <c r="CQ34" s="301"/>
    </row>
    <row r="35" spans="1:95" ht="11.25" customHeight="1" x14ac:dyDescent="0.2">
      <c r="A35" s="301"/>
      <c r="B35" s="339" t="s">
        <v>271</v>
      </c>
      <c r="C35" s="233">
        <v>-0.33600000000000002</v>
      </c>
      <c r="D35" s="233">
        <f>-3.003-C35</f>
        <v>-2.6670000000000003</v>
      </c>
      <c r="E35" s="233">
        <f>-0.781-SUM(C35:D35)</f>
        <v>2.222</v>
      </c>
      <c r="F35" s="233">
        <f>-1.665-SUM(C35:E35)</f>
        <v>-0.8839999999999999</v>
      </c>
      <c r="G35" s="234">
        <f t="shared" si="34"/>
        <v>-1.665</v>
      </c>
      <c r="H35" s="382"/>
      <c r="I35" s="240">
        <v>0</v>
      </c>
      <c r="J35" s="233">
        <f>-2.191-I35</f>
        <v>-2.1909999999999998</v>
      </c>
      <c r="K35" s="233">
        <f>-2.201-SUM(I35:J35)</f>
        <v>-1.0000000000000231E-2</v>
      </c>
      <c r="L35" s="233">
        <f>-2.477-SUM(I35:K35)</f>
        <v>-0.2759999999999998</v>
      </c>
      <c r="M35" s="234">
        <f t="shared" si="35"/>
        <v>-2.4769999999999999</v>
      </c>
      <c r="N35" s="86"/>
      <c r="O35" s="240">
        <v>0</v>
      </c>
      <c r="P35" s="233">
        <f>-1.258-O35</f>
        <v>-1.258</v>
      </c>
      <c r="Q35" s="233">
        <f>-0.128-SUM(O35:P35)</f>
        <v>1.1299999999999999</v>
      </c>
      <c r="R35" s="233">
        <f>-0.014-SUM(O35:Q35)</f>
        <v>0.11400000000000012</v>
      </c>
      <c r="S35" s="234">
        <f t="shared" si="36"/>
        <v>-1.3999999999999999E-2</v>
      </c>
      <c r="T35" s="86"/>
      <c r="U35" s="233">
        <v>-0.107</v>
      </c>
      <c r="V35" s="240">
        <f>-0.255-U35</f>
        <v>-0.14800000000000002</v>
      </c>
      <c r="W35" s="240">
        <f>-0.291-SUM(U35:V35)</f>
        <v>-3.5999999999999976E-2</v>
      </c>
      <c r="X35" s="233">
        <f>-1.606-SUM(U35:W35)</f>
        <v>-1.3150000000000002</v>
      </c>
      <c r="Y35" s="234">
        <f t="shared" si="37"/>
        <v>-1.6060000000000001</v>
      </c>
      <c r="Z35" s="86"/>
      <c r="AA35" s="233">
        <v>-0.254</v>
      </c>
      <c r="AB35" s="233">
        <f>-0.332-AA35</f>
        <v>-7.8000000000000014E-2</v>
      </c>
      <c r="AC35" s="240">
        <v>-5.0000000000000001E-3</v>
      </c>
      <c r="AD35" s="240">
        <f>-3.068-AC35-AB35-AA35</f>
        <v>-2.7310000000000003</v>
      </c>
      <c r="AE35" s="234">
        <f t="shared" si="38"/>
        <v>-3.0680000000000005</v>
      </c>
      <c r="AF35" s="86"/>
      <c r="AG35" s="233">
        <v>-0.14599999999999999</v>
      </c>
      <c r="AH35" s="233">
        <f>-0.188-AG35</f>
        <v>-4.200000000000001E-2</v>
      </c>
      <c r="AI35" s="240">
        <f>-0.196-AH35-AG35</f>
        <v>-8.0000000000000071E-3</v>
      </c>
      <c r="AJ35" s="240">
        <f>-3.329-AI35-AH35-AG35</f>
        <v>-3.1330000000000005</v>
      </c>
      <c r="AK35" s="234">
        <f t="shared" si="39"/>
        <v>-3.3290000000000006</v>
      </c>
      <c r="AL35" s="86"/>
      <c r="AM35" s="233">
        <v>-0.20499999999999999</v>
      </c>
      <c r="AN35" s="233">
        <f>-0.963-AM35</f>
        <v>-0.75800000000000001</v>
      </c>
      <c r="AO35" s="240">
        <f>-1.049-AN35-AM35</f>
        <v>-8.5999999999999938E-2</v>
      </c>
      <c r="AP35" s="240">
        <f>-1.076-AO35-AN35-AM35</f>
        <v>-2.7000000000000107E-2</v>
      </c>
      <c r="AQ35" s="234">
        <f t="shared" si="40"/>
        <v>-1.0760000000000001</v>
      </c>
      <c r="AR35" s="86"/>
      <c r="AS35" s="233">
        <v>-1.3049999999999999</v>
      </c>
      <c r="AT35" s="233">
        <f>-1.316-AS35</f>
        <v>-1.1000000000000121E-2</v>
      </c>
      <c r="AU35" s="240">
        <f>-1.314-AT35-AS35</f>
        <v>2.0000000000000018E-3</v>
      </c>
      <c r="AV35" s="240">
        <f>-6.189-SUM(AS35:AU35)</f>
        <v>-4.875</v>
      </c>
      <c r="AW35" s="234">
        <f t="shared" si="41"/>
        <v>-6.1890000000000001</v>
      </c>
      <c r="AX35" s="86"/>
      <c r="AY35" s="536">
        <v>-0.17799999999999999</v>
      </c>
      <c r="AZ35" s="536">
        <v>0.17799999999999999</v>
      </c>
      <c r="BA35" s="536">
        <v>0</v>
      </c>
      <c r="BB35" s="252">
        <f>0-BA35-AZ35-AY35</f>
        <v>0</v>
      </c>
      <c r="BC35" s="237">
        <f t="shared" si="42"/>
        <v>0</v>
      </c>
      <c r="BD35" s="50"/>
      <c r="BE35" s="536">
        <v>-1.7</v>
      </c>
      <c r="BF35" s="536">
        <f t="shared" si="48"/>
        <v>1.7</v>
      </c>
      <c r="BG35" s="968">
        <f>-1.1-SUM(BE35:BF35)</f>
        <v>-1.1000000000000001</v>
      </c>
      <c r="BH35" s="252">
        <f>-1.1-SUM(BE35:BG35)</f>
        <v>0</v>
      </c>
      <c r="BI35" s="237">
        <f t="shared" si="43"/>
        <v>-1.1000000000000001</v>
      </c>
      <c r="BJ35" s="50"/>
      <c r="BK35" s="536">
        <v>-4.8</v>
      </c>
      <c r="BL35" s="968">
        <f>-5.9-BK35</f>
        <v>-1.1000000000000005</v>
      </c>
      <c r="BM35" s="968">
        <f>-6.7-SUM(BK35:BL35)</f>
        <v>-0.79999999999999982</v>
      </c>
      <c r="BN35" s="252">
        <f>-6.7-SUM(BK35:BM35)</f>
        <v>0</v>
      </c>
      <c r="BO35" s="237">
        <f t="shared" si="44"/>
        <v>-6.7</v>
      </c>
      <c r="BP35" s="50"/>
      <c r="BQ35" s="700">
        <v>0</v>
      </c>
      <c r="BR35" s="700">
        <v>0</v>
      </c>
      <c r="BS35" s="700">
        <v>0</v>
      </c>
      <c r="BT35" s="700">
        <v>0</v>
      </c>
      <c r="BU35" s="237">
        <f t="shared" si="45"/>
        <v>0</v>
      </c>
      <c r="BV35" s="50"/>
      <c r="BW35" s="700">
        <v>0</v>
      </c>
      <c r="BX35" s="700">
        <v>0</v>
      </c>
      <c r="BY35" s="700">
        <v>0</v>
      </c>
      <c r="BZ35" s="700">
        <v>0</v>
      </c>
      <c r="CA35" s="237">
        <f t="shared" si="46"/>
        <v>0</v>
      </c>
      <c r="CB35" s="50"/>
      <c r="CC35" s="700">
        <v>0</v>
      </c>
      <c r="CD35" s="700">
        <v>0</v>
      </c>
      <c r="CE35" s="700">
        <v>0</v>
      </c>
      <c r="CF35" s="700">
        <v>0</v>
      </c>
      <c r="CG35" s="237">
        <f t="shared" si="47"/>
        <v>0</v>
      </c>
      <c r="CQ35" s="301"/>
    </row>
    <row r="36" spans="1:95" ht="11.25" customHeight="1" x14ac:dyDescent="0.2">
      <c r="A36" s="301"/>
      <c r="B36" s="339" t="s">
        <v>272</v>
      </c>
      <c r="C36" s="233">
        <v>5.5E-2</v>
      </c>
      <c r="D36" s="233">
        <f>0.236-C36</f>
        <v>0.18099999999999999</v>
      </c>
      <c r="E36" s="233">
        <f>2.881-SUM(C36:D36)</f>
        <v>2.6449999999999996</v>
      </c>
      <c r="F36" s="233">
        <f>6.327-SUM(C36:E36)</f>
        <v>3.4460000000000006</v>
      </c>
      <c r="G36" s="234">
        <f t="shared" si="34"/>
        <v>6.327</v>
      </c>
      <c r="H36" s="382"/>
      <c r="I36" s="233">
        <v>0.48599999999999999</v>
      </c>
      <c r="J36" s="233">
        <f>0.799-I36</f>
        <v>0.31300000000000006</v>
      </c>
      <c r="K36" s="233">
        <f>0.702-SUM(I36:J36)</f>
        <v>-9.7000000000000086E-2</v>
      </c>
      <c r="L36" s="233">
        <f>0.596-SUM(I36:K36)</f>
        <v>-0.10599999999999998</v>
      </c>
      <c r="M36" s="234">
        <f t="shared" si="35"/>
        <v>0.59599999999999997</v>
      </c>
      <c r="N36" s="86"/>
      <c r="O36" s="233">
        <v>1.7000000000000001E-2</v>
      </c>
      <c r="P36" s="233">
        <f>0.998-O36</f>
        <v>0.98099999999999998</v>
      </c>
      <c r="Q36" s="233">
        <f>2.143-SUM(O36:P36)</f>
        <v>1.1449999999999998</v>
      </c>
      <c r="R36" s="233">
        <f>5.86-SUM(O36:Q36)</f>
        <v>3.7170000000000005</v>
      </c>
      <c r="S36" s="234">
        <f t="shared" si="36"/>
        <v>5.86</v>
      </c>
      <c r="T36" s="86"/>
      <c r="U36" s="233">
        <v>0.113</v>
      </c>
      <c r="V36" s="240">
        <f>0.279-U36</f>
        <v>0.16600000000000004</v>
      </c>
      <c r="W36" s="240">
        <f>0.509-SUM(U36:V36)</f>
        <v>0.22999999999999998</v>
      </c>
      <c r="X36" s="240">
        <f>3.562-SUM(U36:W36)</f>
        <v>3.0529999999999999</v>
      </c>
      <c r="Y36" s="234">
        <f t="shared" si="37"/>
        <v>3.5619999999999998</v>
      </c>
      <c r="Z36" s="86"/>
      <c r="AA36" s="233">
        <v>5.1999999999999998E-2</v>
      </c>
      <c r="AB36" s="233">
        <f>0.175-AA36</f>
        <v>0.123</v>
      </c>
      <c r="AC36" s="240">
        <v>0.41799999999999998</v>
      </c>
      <c r="AD36" s="240">
        <f>0.497-AC36-AB36-AA36</f>
        <v>-9.5999999999999974E-2</v>
      </c>
      <c r="AE36" s="234">
        <f t="shared" si="38"/>
        <v>0.497</v>
      </c>
      <c r="AF36" s="86"/>
      <c r="AG36" s="233">
        <v>0.16600000000000001</v>
      </c>
      <c r="AH36" s="233">
        <f>0.465-AG36</f>
        <v>0.29900000000000004</v>
      </c>
      <c r="AI36" s="240">
        <f>0.553-AH36-AG36</f>
        <v>8.7999999999999995E-2</v>
      </c>
      <c r="AJ36" s="240">
        <f>1.039-AI36-AH36-AG36</f>
        <v>0.48599999999999988</v>
      </c>
      <c r="AK36" s="234">
        <f t="shared" si="39"/>
        <v>1.0389999999999999</v>
      </c>
      <c r="AL36" s="86"/>
      <c r="AM36" s="233">
        <v>1.218</v>
      </c>
      <c r="AN36" s="233">
        <f>2.209-AM36</f>
        <v>0.9910000000000001</v>
      </c>
      <c r="AO36" s="240">
        <f>3.092-AN36-AM36</f>
        <v>0.88300000000000001</v>
      </c>
      <c r="AP36" s="240">
        <f>3.033-AO36-AN36-AM36</f>
        <v>-5.9000000000000163E-2</v>
      </c>
      <c r="AQ36" s="234">
        <f t="shared" si="40"/>
        <v>3.0329999999999999</v>
      </c>
      <c r="AR36" s="86"/>
      <c r="AS36" s="233">
        <v>0.16800000000000001</v>
      </c>
      <c r="AT36" s="233">
        <f>0.277-AS36</f>
        <v>0.10900000000000001</v>
      </c>
      <c r="AU36" s="240">
        <f>0.601-AT36-AS36</f>
        <v>0.32399999999999995</v>
      </c>
      <c r="AV36" s="240">
        <f>0.415-SUM(AS36:AU36)</f>
        <v>-0.186</v>
      </c>
      <c r="AW36" s="234">
        <f t="shared" si="41"/>
        <v>0.41499999999999998</v>
      </c>
      <c r="AX36" s="86"/>
      <c r="AY36" s="536">
        <v>9.0999999999999998E-2</v>
      </c>
      <c r="AZ36" s="536">
        <v>0.21199999999999999</v>
      </c>
      <c r="BA36" s="536">
        <v>-3.0000000000000027E-3</v>
      </c>
      <c r="BB36" s="252">
        <f>0.4-BA36-AZ36-AY36</f>
        <v>0.10000000000000003</v>
      </c>
      <c r="BC36" s="237">
        <f t="shared" si="42"/>
        <v>0.4</v>
      </c>
      <c r="BD36" s="50"/>
      <c r="BE36" s="536">
        <v>0</v>
      </c>
      <c r="BF36" s="536">
        <f t="shared" si="48"/>
        <v>0</v>
      </c>
      <c r="BG36" s="968">
        <f>4.9-SUM(BE36:BF36)</f>
        <v>4.9000000000000004</v>
      </c>
      <c r="BH36" s="252">
        <f>5-SUM(BE36:BG36)</f>
        <v>9.9999999999999645E-2</v>
      </c>
      <c r="BI36" s="237">
        <f t="shared" si="43"/>
        <v>5</v>
      </c>
      <c r="BJ36" s="50"/>
      <c r="BK36" s="536">
        <v>1.6</v>
      </c>
      <c r="BL36" s="968">
        <f>1.9-BK36</f>
        <v>0.29999999999999982</v>
      </c>
      <c r="BM36" s="968">
        <f>2.1-SUM(BK36:BL36)</f>
        <v>0.20000000000000018</v>
      </c>
      <c r="BN36" s="252">
        <f>7.4-SUM(BK36:BM36)</f>
        <v>5.3000000000000007</v>
      </c>
      <c r="BO36" s="237">
        <f t="shared" si="44"/>
        <v>7.4</v>
      </c>
      <c r="BP36" s="50"/>
      <c r="BQ36" s="700">
        <v>0</v>
      </c>
      <c r="BR36" s="700">
        <v>0</v>
      </c>
      <c r="BS36" s="700">
        <v>0</v>
      </c>
      <c r="BT36" s="700">
        <v>0</v>
      </c>
      <c r="BU36" s="237">
        <f t="shared" si="45"/>
        <v>0</v>
      </c>
      <c r="BV36" s="50"/>
      <c r="BW36" s="700">
        <v>0</v>
      </c>
      <c r="BX36" s="700">
        <v>0</v>
      </c>
      <c r="BY36" s="700">
        <v>0</v>
      </c>
      <c r="BZ36" s="700">
        <v>0</v>
      </c>
      <c r="CA36" s="237">
        <f t="shared" si="46"/>
        <v>0</v>
      </c>
      <c r="CB36" s="50"/>
      <c r="CC36" s="700">
        <v>0</v>
      </c>
      <c r="CD36" s="700">
        <v>0</v>
      </c>
      <c r="CE36" s="700">
        <v>0</v>
      </c>
      <c r="CF36" s="700">
        <v>0</v>
      </c>
      <c r="CG36" s="237">
        <f t="shared" si="47"/>
        <v>0</v>
      </c>
      <c r="CQ36" s="517"/>
    </row>
    <row r="37" spans="1:95" ht="11.25" customHeight="1" x14ac:dyDescent="0.2">
      <c r="A37" s="301"/>
      <c r="B37" s="339" t="s">
        <v>426</v>
      </c>
      <c r="C37" s="233"/>
      <c r="D37" s="233"/>
      <c r="E37" s="233"/>
      <c r="F37" s="233"/>
      <c r="G37" s="234"/>
      <c r="H37" s="382"/>
      <c r="I37" s="233"/>
      <c r="J37" s="233"/>
      <c r="K37" s="233"/>
      <c r="L37" s="233"/>
      <c r="M37" s="234"/>
      <c r="N37" s="86"/>
      <c r="O37" s="233"/>
      <c r="P37" s="233"/>
      <c r="Q37" s="233"/>
      <c r="R37" s="233"/>
      <c r="S37" s="234"/>
      <c r="T37" s="86"/>
      <c r="U37" s="233"/>
      <c r="V37" s="240"/>
      <c r="W37" s="240"/>
      <c r="X37" s="240"/>
      <c r="Y37" s="234"/>
      <c r="Z37" s="86"/>
      <c r="AA37" s="233"/>
      <c r="AB37" s="233"/>
      <c r="AC37" s="240"/>
      <c r="AD37" s="240"/>
      <c r="AE37" s="234"/>
      <c r="AF37" s="86"/>
      <c r="AG37" s="233"/>
      <c r="AH37" s="233"/>
      <c r="AI37" s="240"/>
      <c r="AJ37" s="240"/>
      <c r="AK37" s="234"/>
      <c r="AL37" s="86"/>
      <c r="AM37" s="233"/>
      <c r="AN37" s="233"/>
      <c r="AO37" s="240"/>
      <c r="AP37" s="240"/>
      <c r="AQ37" s="234"/>
      <c r="AR37" s="86"/>
      <c r="AS37" s="233"/>
      <c r="AT37" s="233"/>
      <c r="AU37" s="240"/>
      <c r="AV37" s="240"/>
      <c r="AW37" s="234"/>
      <c r="AX37" s="86"/>
      <c r="AY37" s="987">
        <v>0</v>
      </c>
      <c r="AZ37" s="987">
        <v>0</v>
      </c>
      <c r="BA37" s="987">
        <v>0</v>
      </c>
      <c r="BB37" s="700">
        <v>0</v>
      </c>
      <c r="BC37" s="237">
        <f t="shared" si="42"/>
        <v>0</v>
      </c>
      <c r="BD37" s="50"/>
      <c r="BE37" s="987">
        <v>0.4</v>
      </c>
      <c r="BF37" s="987">
        <f>2.4-BE37</f>
        <v>2</v>
      </c>
      <c r="BG37" s="968">
        <f>6-SUM(BE37:BF37)</f>
        <v>3.6</v>
      </c>
      <c r="BH37" s="700">
        <f>6.1-SUM(BE37:BG37)</f>
        <v>9.9999999999999645E-2</v>
      </c>
      <c r="BI37" s="237">
        <f t="shared" si="43"/>
        <v>6.1</v>
      </c>
      <c r="BJ37" s="50"/>
      <c r="BK37" s="987">
        <v>0</v>
      </c>
      <c r="BL37" s="968">
        <f t="shared" si="51"/>
        <v>0</v>
      </c>
      <c r="BM37" s="968">
        <f t="shared" si="52"/>
        <v>0</v>
      </c>
      <c r="BN37" s="700">
        <f>-SUM(BK37:BM37)</f>
        <v>0</v>
      </c>
      <c r="BO37" s="237">
        <f t="shared" si="44"/>
        <v>0</v>
      </c>
      <c r="BP37" s="50"/>
      <c r="BQ37" s="700">
        <v>0</v>
      </c>
      <c r="BR37" s="700">
        <v>0</v>
      </c>
      <c r="BS37" s="700">
        <v>0</v>
      </c>
      <c r="BT37" s="700">
        <v>0</v>
      </c>
      <c r="BU37" s="237">
        <f t="shared" si="45"/>
        <v>0</v>
      </c>
      <c r="BV37" s="50"/>
      <c r="BW37" s="700">
        <v>0</v>
      </c>
      <c r="BX37" s="700">
        <v>0</v>
      </c>
      <c r="BY37" s="700">
        <v>0</v>
      </c>
      <c r="BZ37" s="700">
        <v>0</v>
      </c>
      <c r="CA37" s="237">
        <f t="shared" si="46"/>
        <v>0</v>
      </c>
      <c r="CB37" s="50"/>
      <c r="CC37" s="700">
        <v>0</v>
      </c>
      <c r="CD37" s="700">
        <v>0</v>
      </c>
      <c r="CE37" s="700">
        <v>0</v>
      </c>
      <c r="CF37" s="700">
        <v>0</v>
      </c>
      <c r="CG37" s="237">
        <f t="shared" si="47"/>
        <v>0</v>
      </c>
      <c r="CQ37" s="301"/>
    </row>
    <row r="38" spans="1:95" ht="11.25" customHeight="1" x14ac:dyDescent="0.2">
      <c r="A38" s="301"/>
      <c r="B38" s="339" t="s">
        <v>190</v>
      </c>
      <c r="C38" s="233">
        <v>0</v>
      </c>
      <c r="D38" s="233">
        <v>0</v>
      </c>
      <c r="E38" s="233">
        <v>0</v>
      </c>
      <c r="F38" s="233">
        <v>0</v>
      </c>
      <c r="G38" s="234">
        <f t="shared" si="34"/>
        <v>0</v>
      </c>
      <c r="H38" s="382"/>
      <c r="I38" s="233">
        <v>0</v>
      </c>
      <c r="J38" s="233">
        <v>0</v>
      </c>
      <c r="K38" s="233">
        <v>0</v>
      </c>
      <c r="L38" s="233">
        <v>0</v>
      </c>
      <c r="M38" s="234">
        <f t="shared" si="35"/>
        <v>0</v>
      </c>
      <c r="N38" s="86"/>
      <c r="O38" s="233">
        <v>0</v>
      </c>
      <c r="P38" s="233">
        <v>0</v>
      </c>
      <c r="Q38" s="233">
        <v>0</v>
      </c>
      <c r="R38" s="233">
        <v>0</v>
      </c>
      <c r="S38" s="234">
        <f t="shared" si="36"/>
        <v>0</v>
      </c>
      <c r="T38" s="86"/>
      <c r="U38" s="233">
        <v>0</v>
      </c>
      <c r="V38" s="240">
        <v>0</v>
      </c>
      <c r="W38" s="240">
        <v>0</v>
      </c>
      <c r="X38" s="240">
        <f>-49.654-2-SUM(U38:W38)</f>
        <v>-51.654000000000003</v>
      </c>
      <c r="Y38" s="234">
        <f t="shared" si="37"/>
        <v>-51.654000000000003</v>
      </c>
      <c r="Z38" s="86"/>
      <c r="AA38" s="233">
        <v>0</v>
      </c>
      <c r="AB38" s="233">
        <f>0-AA38</f>
        <v>0</v>
      </c>
      <c r="AC38" s="240">
        <v>0</v>
      </c>
      <c r="AD38" s="240">
        <v>0</v>
      </c>
      <c r="AE38" s="234">
        <f t="shared" si="38"/>
        <v>0</v>
      </c>
      <c r="AF38" s="86"/>
      <c r="AG38" s="233">
        <v>-1.577</v>
      </c>
      <c r="AH38" s="233">
        <f>-14.221-1.577-AG38</f>
        <v>-14.221</v>
      </c>
      <c r="AI38" s="240">
        <f>-14.221+-1.577-AH38-AG38</f>
        <v>0</v>
      </c>
      <c r="AJ38" s="240">
        <f>-1.577-14.221-AI38-AH38-AG38</f>
        <v>0</v>
      </c>
      <c r="AK38" s="234">
        <f t="shared" si="39"/>
        <v>-15.798</v>
      </c>
      <c r="AL38" s="86"/>
      <c r="AM38" s="233">
        <v>-45.765000000000001</v>
      </c>
      <c r="AN38" s="233">
        <f>7.499-94.843-AM38</f>
        <v>-41.579000000000008</v>
      </c>
      <c r="AO38" s="240">
        <f>-95.667+9.172-AN38-AM38</f>
        <v>0.84900000000000375</v>
      </c>
      <c r="AP38" s="240">
        <f>-1.5-104.88+10.784-AO38-AN38-AM38</f>
        <v>-9.1009999999999849</v>
      </c>
      <c r="AQ38" s="234">
        <f t="shared" si="40"/>
        <v>-95.595999999999989</v>
      </c>
      <c r="AR38" s="86"/>
      <c r="AS38" s="233">
        <f>-2.103+0.864</f>
        <v>-1.2390000000000003</v>
      </c>
      <c r="AT38" s="233">
        <f>1.674-4.006-AS38</f>
        <v>-1.093</v>
      </c>
      <c r="AU38" s="240">
        <f>-0.9+4.871-4.865-AT38-AS38</f>
        <v>1.4380000000000006</v>
      </c>
      <c r="AV38" s="240">
        <f>-0.9+67.207-96.472-SUM(AS38:AU38)</f>
        <v>-29.271000000000008</v>
      </c>
      <c r="AW38" s="234">
        <f t="shared" si="41"/>
        <v>-30.165000000000006</v>
      </c>
      <c r="AX38" s="86"/>
      <c r="AY38" s="987">
        <v>7.7829999999999995</v>
      </c>
      <c r="AZ38" s="987">
        <v>5.6739999999999995</v>
      </c>
      <c r="BA38" s="987">
        <v>54.442999999999991</v>
      </c>
      <c r="BB38" s="252">
        <f>47.7-1.4+30.7-6.3-BA38-AZ38-AY38</f>
        <v>2.8000000000000131</v>
      </c>
      <c r="BC38" s="237">
        <f t="shared" si="42"/>
        <v>70.7</v>
      </c>
      <c r="BD38" s="50"/>
      <c r="BE38" s="987">
        <f>2.4+5.7-3.5</f>
        <v>4.5999999999999996</v>
      </c>
      <c r="BF38" s="987">
        <f>10.7-3.6-1.7+4.4-BE38</f>
        <v>5.2000000000000011</v>
      </c>
      <c r="BG38" s="968">
        <f>12.7-15.7-1.7-SUM(BE38:BF38)</f>
        <v>-14.5</v>
      </c>
      <c r="BH38" s="252">
        <f>-1.7+20.1-17.1-SUM(BE38:BG38)</f>
        <v>6</v>
      </c>
      <c r="BI38" s="237">
        <f t="shared" si="43"/>
        <v>1.3000000000000007</v>
      </c>
      <c r="BJ38" s="50"/>
      <c r="BK38" s="987">
        <v>2.4</v>
      </c>
      <c r="BL38" s="968">
        <f>5.3-0.9-BK38</f>
        <v>1.9999999999999996</v>
      </c>
      <c r="BM38" s="968">
        <f>6.5-0.9-SUM(BK38:BL38)</f>
        <v>1.2000000000000002</v>
      </c>
      <c r="BN38" s="252">
        <f>-0.9+6.5-SUM(BK38:BM38)</f>
        <v>0</v>
      </c>
      <c r="BO38" s="237">
        <f t="shared" si="44"/>
        <v>5.6</v>
      </c>
      <c r="BP38" s="50"/>
      <c r="BQ38" s="700">
        <v>0</v>
      </c>
      <c r="BR38" s="700">
        <v>0</v>
      </c>
      <c r="BS38" s="700">
        <v>0</v>
      </c>
      <c r="BT38" s="700">
        <v>0</v>
      </c>
      <c r="BU38" s="237">
        <f t="shared" si="45"/>
        <v>0</v>
      </c>
      <c r="BV38" s="50"/>
      <c r="BW38" s="700">
        <v>0</v>
      </c>
      <c r="BX38" s="700">
        <v>0</v>
      </c>
      <c r="BY38" s="700">
        <v>0</v>
      </c>
      <c r="BZ38" s="700">
        <v>0</v>
      </c>
      <c r="CA38" s="237">
        <f t="shared" si="46"/>
        <v>0</v>
      </c>
      <c r="CB38" s="50"/>
      <c r="CC38" s="700">
        <v>0</v>
      </c>
      <c r="CD38" s="700">
        <v>0</v>
      </c>
      <c r="CE38" s="700">
        <v>0</v>
      </c>
      <c r="CF38" s="700">
        <v>0</v>
      </c>
      <c r="CG38" s="237">
        <f t="shared" si="47"/>
        <v>0</v>
      </c>
      <c r="CQ38" s="301"/>
    </row>
    <row r="39" spans="1:95" ht="5.25" customHeight="1" x14ac:dyDescent="0.2">
      <c r="A39" s="301"/>
      <c r="B39" s="338"/>
      <c r="C39" s="233"/>
      <c r="D39" s="233"/>
      <c r="E39" s="233"/>
      <c r="F39" s="233"/>
      <c r="G39" s="234"/>
      <c r="H39" s="382"/>
      <c r="I39" s="233"/>
      <c r="J39" s="233"/>
      <c r="K39" s="233"/>
      <c r="L39" s="233"/>
      <c r="M39" s="234"/>
      <c r="N39" s="86"/>
      <c r="O39" s="233"/>
      <c r="P39" s="233"/>
      <c r="Q39" s="233"/>
      <c r="R39" s="233"/>
      <c r="S39" s="234"/>
      <c r="T39" s="86"/>
      <c r="U39" s="233"/>
      <c r="V39" s="233"/>
      <c r="W39" s="240"/>
      <c r="X39" s="233"/>
      <c r="Y39" s="234"/>
      <c r="Z39" s="86"/>
      <c r="AA39" s="233"/>
      <c r="AB39" s="233"/>
      <c r="AC39" s="233"/>
      <c r="AD39" s="233"/>
      <c r="AE39" s="234"/>
      <c r="AF39" s="86"/>
      <c r="AG39" s="233"/>
      <c r="AH39" s="233"/>
      <c r="AI39" s="233"/>
      <c r="AJ39" s="233"/>
      <c r="AK39" s="234"/>
      <c r="AL39" s="86"/>
      <c r="AM39" s="233"/>
      <c r="AN39" s="233"/>
      <c r="AO39" s="233"/>
      <c r="AP39" s="233"/>
      <c r="AQ39" s="234"/>
      <c r="AR39" s="86"/>
      <c r="AS39" s="233"/>
      <c r="AT39" s="233"/>
      <c r="AU39" s="240"/>
      <c r="AV39" s="240"/>
      <c r="AW39" s="234"/>
      <c r="AX39" s="86"/>
      <c r="AY39" s="233"/>
      <c r="AZ39" s="233"/>
      <c r="BA39" s="233"/>
      <c r="BB39" s="240"/>
      <c r="BC39" s="237"/>
      <c r="BD39" s="50"/>
      <c r="BE39" s="240"/>
      <c r="BF39" s="240"/>
      <c r="BG39" s="240"/>
      <c r="BH39" s="240"/>
      <c r="BI39" s="237"/>
      <c r="BJ39" s="50"/>
      <c r="BK39" s="240"/>
      <c r="BL39" s="240"/>
      <c r="BM39" s="240"/>
      <c r="BN39" s="240"/>
      <c r="BO39" s="237"/>
      <c r="BP39" s="50"/>
      <c r="BQ39" s="240"/>
      <c r="BR39" s="240"/>
      <c r="BS39" s="240"/>
      <c r="BT39" s="240"/>
      <c r="BU39" s="237"/>
      <c r="BV39" s="50"/>
      <c r="BW39" s="240"/>
      <c r="BX39" s="240"/>
      <c r="BY39" s="240"/>
      <c r="BZ39" s="240"/>
      <c r="CA39" s="237"/>
      <c r="CB39" s="50"/>
      <c r="CC39" s="240"/>
      <c r="CD39" s="240"/>
      <c r="CE39" s="240"/>
      <c r="CF39" s="240"/>
      <c r="CG39" s="237"/>
      <c r="CQ39" s="301"/>
    </row>
    <row r="40" spans="1:95" ht="11.25" customHeight="1" x14ac:dyDescent="0.2">
      <c r="A40" s="301"/>
      <c r="B40" s="283" t="s">
        <v>132</v>
      </c>
      <c r="C40" s="247">
        <f>SUM(C31:C38)</f>
        <v>-50.475999999999992</v>
      </c>
      <c r="D40" s="247">
        <f>SUM(D31:D38)</f>
        <v>-108.83900000000001</v>
      </c>
      <c r="E40" s="247">
        <f>SUM(E31:E38)</f>
        <v>-89.762000000000029</v>
      </c>
      <c r="F40" s="247">
        <f>SUM(F31:F38)</f>
        <v>-50.313999999999986</v>
      </c>
      <c r="G40" s="247">
        <f>SUM(G31:G38)</f>
        <v>-299.39100000000002</v>
      </c>
      <c r="H40" s="179"/>
      <c r="I40" s="247">
        <f>SUM(I31:I38)</f>
        <v>-111.252</v>
      </c>
      <c r="J40" s="247">
        <f>SUM(J31:J38)</f>
        <v>-76.550999999999988</v>
      </c>
      <c r="K40" s="247">
        <f>SUM(K31:K38)</f>
        <v>34.603999999999978</v>
      </c>
      <c r="L40" s="247">
        <f>SUM(L31:L38)</f>
        <v>105.395</v>
      </c>
      <c r="M40" s="247">
        <f>SUM(M31:M38)</f>
        <v>-47.804000000000059</v>
      </c>
      <c r="N40" s="179"/>
      <c r="O40" s="247">
        <f>SUM(O31:O38)</f>
        <v>-14.682</v>
      </c>
      <c r="P40" s="247">
        <f>SUM(P31:P38)</f>
        <v>-13.307</v>
      </c>
      <c r="Q40" s="247">
        <f>SUM(Q31:Q38)</f>
        <v>-16.044999999999998</v>
      </c>
      <c r="R40" s="247">
        <f>SUM(R31:R38)</f>
        <v>-9.3650000000000038</v>
      </c>
      <c r="S40" s="247">
        <f>SUM(S31:S38)</f>
        <v>-53.399000000000001</v>
      </c>
      <c r="T40" s="179"/>
      <c r="U40" s="247">
        <f>SUM(U31:U38)</f>
        <v>-15.710999999999999</v>
      </c>
      <c r="V40" s="247">
        <f>SUM(V31:V38)</f>
        <v>-11.470999999999997</v>
      </c>
      <c r="W40" s="247">
        <f>SUM(W31:W38)</f>
        <v>-24.163</v>
      </c>
      <c r="X40" s="247">
        <f>SUM(X31:X38)</f>
        <v>-78.144999999999996</v>
      </c>
      <c r="Y40" s="247">
        <f>SUM(Y31:Y38)</f>
        <v>-129.49</v>
      </c>
      <c r="Z40" s="245"/>
      <c r="AA40" s="247">
        <f>SUM(AA31:AA38)</f>
        <v>-33.102999999999994</v>
      </c>
      <c r="AB40" s="247">
        <f>SUM(AB31:AB38)</f>
        <v>-12.479000000000003</v>
      </c>
      <c r="AC40" s="247">
        <f>SUM(AC31:AC38)</f>
        <v>-1800.0010000000002</v>
      </c>
      <c r="AD40" s="247">
        <f>SUM(AD31:AD38)</f>
        <v>-41.258999999999972</v>
      </c>
      <c r="AE40" s="247">
        <f>SUM(AE31:AE38)</f>
        <v>-1886.8419999999999</v>
      </c>
      <c r="AF40" s="245"/>
      <c r="AG40" s="529">
        <f>SUM(AG31:AG38)</f>
        <v>-20.198999999999998</v>
      </c>
      <c r="AH40" s="529">
        <f>SUM(AH31:AH38)</f>
        <v>-38.308</v>
      </c>
      <c r="AI40" s="247">
        <f>SUM(AI31:AI38)</f>
        <v>-21.792999999999999</v>
      </c>
      <c r="AJ40" s="247">
        <f>SUM(AJ31:AJ38)</f>
        <v>-34.721000000000011</v>
      </c>
      <c r="AK40" s="247">
        <f>SUM(AK31:AK38)</f>
        <v>-115.021</v>
      </c>
      <c r="AL40" s="245"/>
      <c r="AM40" s="247">
        <f>SUM(AM31:AM38)</f>
        <v>-72.722999999999999</v>
      </c>
      <c r="AN40" s="247">
        <f>SUM(AN31:AN38)</f>
        <v>-63.465000000000011</v>
      </c>
      <c r="AO40" s="247">
        <f>SUM(AO31:AO38)</f>
        <v>-25.702999999999996</v>
      </c>
      <c r="AP40" s="247">
        <f>SUM(AP31:AP38)</f>
        <v>-98.339999999999975</v>
      </c>
      <c r="AQ40" s="247">
        <f>SUM(AQ31:AQ38)</f>
        <v>-260.23099999999999</v>
      </c>
      <c r="AR40" s="245"/>
      <c r="AS40" s="247">
        <f>SUM(AS31:AS38)</f>
        <v>-28.841999999999999</v>
      </c>
      <c r="AT40" s="247">
        <f>SUM(AT31:AT38)</f>
        <v>-26.504000000000001</v>
      </c>
      <c r="AU40" s="247">
        <f>SUM(AU31:AU38)</f>
        <v>-21.059000000000005</v>
      </c>
      <c r="AV40" s="247">
        <f>SUM(AV31:AV38)</f>
        <v>-62.288000000000004</v>
      </c>
      <c r="AW40" s="247">
        <f>SUM(AW31:AW38)</f>
        <v>-138.69300000000001</v>
      </c>
      <c r="AX40" s="245"/>
      <c r="AY40" s="247">
        <f>SUM(AY31:AY38)</f>
        <v>-8.5469999999999988</v>
      </c>
      <c r="AZ40" s="247">
        <f>SUM(AZ31:AZ38)</f>
        <v>-14.431999999999999</v>
      </c>
      <c r="BA40" s="247">
        <f>SUM(BA31:BA38)</f>
        <v>36.178999999999988</v>
      </c>
      <c r="BB40" s="482">
        <f>SUM(BB31:BB38)</f>
        <v>-68.099999999999994</v>
      </c>
      <c r="BC40" s="482">
        <f>SUM(BC31:BC38)</f>
        <v>-54.899999999999991</v>
      </c>
      <c r="BD40" s="480"/>
      <c r="BE40" s="482">
        <f>SUM(BE31:BE38)</f>
        <v>504.4</v>
      </c>
      <c r="BF40" s="482">
        <f>SUM(BF31:BF38)</f>
        <v>-18.099999999999994</v>
      </c>
      <c r="BG40" s="482">
        <f>SUM(BG31:BG38)</f>
        <v>-379.70000000000005</v>
      </c>
      <c r="BH40" s="482">
        <f>SUM(BH31:BH38)</f>
        <v>-46.599999999999952</v>
      </c>
      <c r="BI40" s="482">
        <f>SUM(BI31:BI38)</f>
        <v>59.999999999999986</v>
      </c>
      <c r="BJ40" s="480"/>
      <c r="BK40" s="482">
        <f>SUM(BK31:BK38)</f>
        <v>-41.1</v>
      </c>
      <c r="BL40" s="482">
        <f>SUM(BL31:BL38)</f>
        <v>-150.79999999999998</v>
      </c>
      <c r="BM40" s="482">
        <f>SUM(BM31:BM38)</f>
        <v>-43.899999999999991</v>
      </c>
      <c r="BN40" s="482">
        <f>SUM(BN31:BN38)</f>
        <v>-50.600000000000023</v>
      </c>
      <c r="BO40" s="482">
        <f>SUM(BO31:BO38)</f>
        <v>-286.40000000000003</v>
      </c>
      <c r="BP40" s="480"/>
      <c r="BQ40" s="482">
        <f>SUM(BQ31:BQ38)</f>
        <v>-32.319380000000002</v>
      </c>
      <c r="BR40" s="482">
        <f>SUM(BR31:BR38)</f>
        <v>-36.042176000000005</v>
      </c>
      <c r="BS40" s="482">
        <f>SUM(BS31:BS38)</f>
        <v>-36.796568000000008</v>
      </c>
      <c r="BT40" s="482">
        <f>SUM(BT31:BT38)</f>
        <v>-39.538056000000005</v>
      </c>
      <c r="BU40" s="482">
        <f>SUM(BU31:BU38)</f>
        <v>-144.69618000000003</v>
      </c>
      <c r="BV40" s="480"/>
      <c r="BW40" s="482">
        <f>SUM(BW31:BW38)</f>
        <v>-33.411305640000009</v>
      </c>
      <c r="BX40" s="482">
        <f>SUM(BX31:BX38)</f>
        <v>-37.703823320000012</v>
      </c>
      <c r="BY40" s="482">
        <f>SUM(BY31:BY38)</f>
        <v>-38.329513760000012</v>
      </c>
      <c r="BZ40" s="482">
        <f>SUM(BZ31:BZ38)</f>
        <v>-40.88069560000001</v>
      </c>
      <c r="CA40" s="482">
        <f>SUM(CA31:CA38)</f>
        <v>-150.32533832000004</v>
      </c>
      <c r="CB40" s="480"/>
      <c r="CC40" s="482">
        <f>SUM(CC31:CC38)</f>
        <v>-34.558408020200005</v>
      </c>
      <c r="CD40" s="482">
        <f>SUM(CD31:CD38)</f>
        <v>-38.627005875400009</v>
      </c>
      <c r="CE40" s="482">
        <f>SUM(CE31:CE38)</f>
        <v>-39.37805550880001</v>
      </c>
      <c r="CF40" s="482">
        <f>SUM(CF31:CF38)</f>
        <v>-42.294031814800007</v>
      </c>
      <c r="CG40" s="482">
        <f>SUM(CG31:CG38)</f>
        <v>-154.85750121920003</v>
      </c>
      <c r="CQ40" s="301"/>
    </row>
    <row r="41" spans="1:95" ht="11.25" customHeight="1" x14ac:dyDescent="0.2">
      <c r="A41" s="301"/>
      <c r="B41" s="339"/>
      <c r="C41" s="242"/>
      <c r="D41" s="242"/>
      <c r="E41" s="242"/>
      <c r="F41" s="242"/>
      <c r="G41" s="242"/>
      <c r="H41" s="128"/>
      <c r="I41" s="242"/>
      <c r="J41" s="242"/>
      <c r="K41" s="242"/>
      <c r="L41" s="242"/>
      <c r="M41" s="242"/>
      <c r="N41" s="128"/>
      <c r="O41" s="242"/>
      <c r="P41" s="242"/>
      <c r="Q41" s="242"/>
      <c r="R41" s="242"/>
      <c r="S41" s="242"/>
      <c r="T41" s="128"/>
      <c r="U41" s="242"/>
      <c r="V41" s="242"/>
      <c r="W41" s="242"/>
      <c r="X41" s="242"/>
      <c r="Y41" s="242"/>
      <c r="Z41" s="245"/>
      <c r="AA41" s="242"/>
      <c r="AB41" s="242"/>
      <c r="AC41" s="242"/>
      <c r="AD41" s="242"/>
      <c r="AE41" s="242"/>
      <c r="AF41" s="245"/>
      <c r="AG41" s="242"/>
      <c r="AH41" s="242"/>
      <c r="AI41" s="242"/>
      <c r="AJ41" s="242"/>
      <c r="AK41" s="242"/>
      <c r="AL41" s="245"/>
      <c r="AM41" s="237"/>
      <c r="AN41" s="242"/>
      <c r="AO41" s="242"/>
      <c r="AP41" s="242"/>
      <c r="AQ41" s="242"/>
      <c r="AR41" s="245"/>
      <c r="AS41" s="237"/>
      <c r="AT41" s="242"/>
      <c r="AU41" s="237"/>
      <c r="AV41" s="237"/>
      <c r="AW41" s="242"/>
      <c r="AX41" s="86"/>
      <c r="AY41" s="234"/>
      <c r="AZ41" s="234"/>
      <c r="BA41" s="234"/>
      <c r="BB41" s="237"/>
      <c r="BC41" s="237"/>
      <c r="BD41" s="50"/>
      <c r="BE41" s="237"/>
      <c r="BF41" s="237"/>
      <c r="BG41" s="237"/>
      <c r="BH41" s="237"/>
      <c r="BI41" s="237"/>
      <c r="BJ41" s="50"/>
      <c r="BK41" s="237"/>
      <c r="BL41" s="237"/>
      <c r="BM41" s="237"/>
      <c r="BN41" s="237"/>
      <c r="BO41" s="237"/>
      <c r="BP41" s="50"/>
      <c r="BQ41" s="237"/>
      <c r="BR41" s="237"/>
      <c r="BS41" s="237"/>
      <c r="BT41" s="237"/>
      <c r="BU41" s="237"/>
      <c r="BV41" s="50"/>
      <c r="BW41" s="237"/>
      <c r="BX41" s="237"/>
      <c r="BY41" s="237"/>
      <c r="BZ41" s="237"/>
      <c r="CA41" s="237"/>
      <c r="CB41" s="50"/>
      <c r="CC41" s="237"/>
      <c r="CD41" s="237"/>
      <c r="CE41" s="237"/>
      <c r="CF41" s="237"/>
      <c r="CG41" s="237"/>
      <c r="CQ41" s="301"/>
    </row>
    <row r="42" spans="1:95" ht="11.25" customHeight="1" x14ac:dyDescent="0.2">
      <c r="A42" s="301"/>
      <c r="B42" s="340" t="s">
        <v>277</v>
      </c>
      <c r="C42" s="242"/>
      <c r="D42" s="242"/>
      <c r="E42" s="242"/>
      <c r="F42" s="242"/>
      <c r="G42" s="242"/>
      <c r="H42" s="128"/>
      <c r="I42" s="242"/>
      <c r="J42" s="242"/>
      <c r="K42" s="242"/>
      <c r="L42" s="242"/>
      <c r="M42" s="242"/>
      <c r="N42" s="128"/>
      <c r="O42" s="242"/>
      <c r="P42" s="242"/>
      <c r="Q42" s="242"/>
      <c r="R42" s="242"/>
      <c r="S42" s="242"/>
      <c r="T42" s="128"/>
      <c r="U42" s="242"/>
      <c r="V42" s="242"/>
      <c r="W42" s="242"/>
      <c r="X42" s="242"/>
      <c r="Y42" s="242"/>
      <c r="Z42" s="128"/>
      <c r="AA42" s="242"/>
      <c r="AB42" s="242"/>
      <c r="AC42" s="242"/>
      <c r="AD42" s="242"/>
      <c r="AE42" s="242"/>
      <c r="AF42" s="128"/>
      <c r="AG42" s="242"/>
      <c r="AH42" s="242"/>
      <c r="AI42" s="242"/>
      <c r="AJ42" s="242"/>
      <c r="AK42" s="242"/>
      <c r="AL42" s="128"/>
      <c r="AM42" s="237"/>
      <c r="AN42" s="242"/>
      <c r="AO42" s="242"/>
      <c r="AP42" s="242"/>
      <c r="AQ42" s="242"/>
      <c r="AR42" s="128"/>
      <c r="AS42" s="237"/>
      <c r="AT42" s="242"/>
      <c r="AU42" s="237"/>
      <c r="AV42" s="237"/>
      <c r="AW42" s="242"/>
      <c r="AX42" s="128"/>
      <c r="AY42" s="237"/>
      <c r="AZ42" s="242"/>
      <c r="BA42" s="242"/>
      <c r="BB42" s="504"/>
      <c r="BC42" s="504"/>
      <c r="BD42" s="239"/>
      <c r="BE42" s="237"/>
      <c r="BF42" s="504"/>
      <c r="BG42" s="504"/>
      <c r="BH42" s="504"/>
      <c r="BI42" s="504"/>
      <c r="BJ42" s="239"/>
      <c r="BK42" s="237"/>
      <c r="BL42" s="504"/>
      <c r="BM42" s="504"/>
      <c r="BN42" s="504"/>
      <c r="BO42" s="504"/>
      <c r="BP42" s="239"/>
      <c r="BQ42" s="237"/>
      <c r="BR42" s="504"/>
      <c r="BS42" s="504"/>
      <c r="BT42" s="504"/>
      <c r="BU42" s="504"/>
      <c r="BV42" s="239"/>
      <c r="BW42" s="237"/>
      <c r="BX42" s="504"/>
      <c r="BY42" s="504"/>
      <c r="BZ42" s="504"/>
      <c r="CA42" s="504"/>
      <c r="CB42" s="239"/>
      <c r="CC42" s="237"/>
      <c r="CD42" s="504"/>
      <c r="CE42" s="504"/>
      <c r="CF42" s="504"/>
      <c r="CG42" s="504"/>
      <c r="CQ42" s="301"/>
    </row>
    <row r="43" spans="1:95" ht="11.25" customHeight="1" x14ac:dyDescent="0.2">
      <c r="A43" s="301"/>
      <c r="B43" s="283" t="s">
        <v>174</v>
      </c>
      <c r="C43" s="233">
        <v>6.57</v>
      </c>
      <c r="D43" s="233">
        <f>1.636-C43</f>
        <v>-4.9340000000000002</v>
      </c>
      <c r="E43" s="233">
        <f>3.356-SUM(C43:D43)</f>
        <v>1.7199999999999998</v>
      </c>
      <c r="F43" s="233">
        <f>-2.166-SUM(C43:E43)</f>
        <v>-5.5220000000000002</v>
      </c>
      <c r="G43" s="234">
        <f t="shared" ref="G43:G51" si="54">SUM(C43:F43)</f>
        <v>-2.1660000000000004</v>
      </c>
      <c r="H43" s="128"/>
      <c r="I43" s="233">
        <v>4.4370000000000003</v>
      </c>
      <c r="J43" s="233">
        <f>3.488-I43</f>
        <v>-0.94900000000000029</v>
      </c>
      <c r="K43" s="233">
        <f>1.033-SUM(I43:J43)</f>
        <v>-2.4550000000000001</v>
      </c>
      <c r="L43" s="233">
        <f>2.111-SUM(I43:K43)</f>
        <v>1.0780000000000003</v>
      </c>
      <c r="M43" s="234">
        <f t="shared" ref="M43:M51" si="55">SUM(I43:L43)</f>
        <v>2.1110000000000002</v>
      </c>
      <c r="N43" s="128"/>
      <c r="O43" s="233">
        <v>1.0449999999999999</v>
      </c>
      <c r="P43" s="233">
        <f>36.342-O43</f>
        <v>35.296999999999997</v>
      </c>
      <c r="Q43" s="233">
        <f>-1.482-SUM(O43:P43)</f>
        <v>-37.823999999999998</v>
      </c>
      <c r="R43" s="233">
        <f>-7.465-SUM(O43:Q43)</f>
        <v>-5.9830000000000005</v>
      </c>
      <c r="S43" s="234">
        <f t="shared" ref="S43:S51" si="56">SUM(O43:R43)</f>
        <v>-7.4649999999999999</v>
      </c>
      <c r="T43" s="128"/>
      <c r="U43" s="233">
        <v>-2.1240000000000001</v>
      </c>
      <c r="V43" s="240">
        <f>-5.237-U43</f>
        <v>-3.113</v>
      </c>
      <c r="W43" s="240">
        <f>-10.367-SUM(U43:V43)</f>
        <v>-5.1300000000000008</v>
      </c>
      <c r="X43" s="233">
        <f>-9.657-SUM(U43:W43)</f>
        <v>0.71000000000000085</v>
      </c>
      <c r="Y43" s="234">
        <f t="shared" ref="Y43:Y51" si="57">SUM(U43:X43)</f>
        <v>-9.657</v>
      </c>
      <c r="Z43" s="128"/>
      <c r="AA43" s="233">
        <v>3.403</v>
      </c>
      <c r="AB43" s="240">
        <f>-0.177-AA43</f>
        <v>-3.58</v>
      </c>
      <c r="AC43" s="240">
        <v>0.59</v>
      </c>
      <c r="AD43" s="240">
        <f>270.209-AC43-AB43-AA43</f>
        <v>269.79599999999999</v>
      </c>
      <c r="AE43" s="237">
        <f>SUM(AA43:AD43)</f>
        <v>270.209</v>
      </c>
      <c r="AF43" s="128"/>
      <c r="AG43" s="233">
        <v>11.154999999999999</v>
      </c>
      <c r="AH43" s="240">
        <f>-35.181-AG43</f>
        <v>-46.335999999999999</v>
      </c>
      <c r="AI43" s="240">
        <f>-115.468-AH43-AG43</f>
        <v>-80.287000000000006</v>
      </c>
      <c r="AJ43" s="240">
        <f>-228.912-AI43-AH43-AG43</f>
        <v>-113.444</v>
      </c>
      <c r="AK43" s="234">
        <f t="shared" ref="AK43:AK52" si="58">SUM(AG43:AJ43)</f>
        <v>-228.91200000000001</v>
      </c>
      <c r="AL43" s="128"/>
      <c r="AM43" s="233">
        <v>16.132999999999999</v>
      </c>
      <c r="AN43" s="240">
        <f>40.45-AM43</f>
        <v>24.317000000000004</v>
      </c>
      <c r="AO43" s="240">
        <f>8.789-AN43-AM43</f>
        <v>-31.661000000000001</v>
      </c>
      <c r="AP43" s="240">
        <f>57.261-AO43-AN43-AM43</f>
        <v>48.471999999999994</v>
      </c>
      <c r="AQ43" s="234">
        <f t="shared" ref="AQ43:AQ52" si="59">SUM(AM43:AP43)</f>
        <v>57.260999999999996</v>
      </c>
      <c r="AR43" s="128"/>
      <c r="AS43" s="233">
        <v>64.885999999999996</v>
      </c>
      <c r="AT43" s="240">
        <f>-38.087-AS43</f>
        <v>-102.973</v>
      </c>
      <c r="AU43" s="240">
        <f>-99.831-AT43-AS43</f>
        <v>-61.744</v>
      </c>
      <c r="AV43" s="240">
        <f>-101.85-SUM(AS43:AU43)</f>
        <v>-2.0189999999999912</v>
      </c>
      <c r="AW43" s="234">
        <f t="shared" ref="AW43:AW52" si="60">SUM(AS43:AV43)</f>
        <v>-101.85</v>
      </c>
      <c r="AX43" s="128"/>
      <c r="AY43" s="536">
        <v>160.11699999999999</v>
      </c>
      <c r="AZ43" s="536">
        <v>-126.74699999999999</v>
      </c>
      <c r="BA43" s="536">
        <v>-32.47</v>
      </c>
      <c r="BB43" s="252">
        <v>-3.0999999999999943</v>
      </c>
      <c r="BC43" s="237">
        <f t="shared" ref="BC43:BC50" si="61">SUM(AY43:BB43)</f>
        <v>-2.1999999999999886</v>
      </c>
      <c r="BD43" s="239"/>
      <c r="BE43" s="700">
        <v>-2.1</v>
      </c>
      <c r="BF43" s="700">
        <f>-3.6-BE43</f>
        <v>-1.5</v>
      </c>
      <c r="BG43" s="968">
        <f>-47.7-SUM(BE43:BF43)</f>
        <v>-44.1</v>
      </c>
      <c r="BH43" s="252">
        <f>-44.1-SUM(BE43:BG43)</f>
        <v>3.6000000000000014</v>
      </c>
      <c r="BI43" s="237">
        <f t="shared" ref="BI43:BI52" si="62">SUM(BE43:BH43)</f>
        <v>-44.1</v>
      </c>
      <c r="BJ43" s="239"/>
      <c r="BK43" s="700">
        <v>1.3</v>
      </c>
      <c r="BL43" s="968">
        <f>1.4-BK43</f>
        <v>9.9999999999999867E-2</v>
      </c>
      <c r="BM43" s="968">
        <f>1.4-SUM(BK43:BL43)</f>
        <v>0</v>
      </c>
      <c r="BN43" s="252">
        <f>10.2-SUM(BK43:BM43)</f>
        <v>8.7999999999999989</v>
      </c>
      <c r="BO43" s="237">
        <f>SUM(BK43:BN43)</f>
        <v>10.199999999999999</v>
      </c>
      <c r="BP43" s="239"/>
      <c r="BQ43" s="237">
        <f>'BalSht '!BQ29-'BalSht '!BO29</f>
        <v>0</v>
      </c>
      <c r="BR43" s="237">
        <f>'BalSht '!BR29-'BalSht '!BQ29</f>
        <v>0</v>
      </c>
      <c r="BS43" s="237">
        <f>'BalSht '!BS29-'BalSht '!BR29</f>
        <v>0</v>
      </c>
      <c r="BT43" s="237">
        <f>'BalSht '!BT29-'BalSht '!BS29</f>
        <v>0</v>
      </c>
      <c r="BU43" s="237">
        <f>SUM(BQ43:BT43)</f>
        <v>0</v>
      </c>
      <c r="BV43" s="239"/>
      <c r="BW43" s="237">
        <f>'BalSht '!BW29-'BalSht '!BU29</f>
        <v>0</v>
      </c>
      <c r="BX43" s="237">
        <f>'BalSht '!BX29-'BalSht '!BW29</f>
        <v>0</v>
      </c>
      <c r="BY43" s="237">
        <f>'BalSht '!BY29-'BalSht '!BX29</f>
        <v>0</v>
      </c>
      <c r="BZ43" s="237">
        <f>'BalSht '!BZ29-'BalSht '!BY29</f>
        <v>0</v>
      </c>
      <c r="CA43" s="237">
        <f>SUM(BW43:BZ43)</f>
        <v>0</v>
      </c>
      <c r="CB43" s="239"/>
      <c r="CC43" s="237">
        <f>'BalSht '!CC29-'BalSht '!CA29</f>
        <v>0</v>
      </c>
      <c r="CD43" s="237">
        <f>'BalSht '!CD29-'BalSht '!CC29</f>
        <v>0</v>
      </c>
      <c r="CE43" s="237">
        <f>'BalSht '!CE29-'BalSht '!CD29</f>
        <v>0</v>
      </c>
      <c r="CF43" s="237">
        <f>'BalSht '!CF29-'BalSht '!CE29</f>
        <v>0</v>
      </c>
      <c r="CG43" s="237">
        <f>SUM(CC43:CF43)</f>
        <v>0</v>
      </c>
      <c r="CQ43" s="301"/>
    </row>
    <row r="44" spans="1:95" ht="11.25" customHeight="1" x14ac:dyDescent="0.2">
      <c r="A44" s="301"/>
      <c r="B44" s="283" t="s">
        <v>280</v>
      </c>
      <c r="C44" s="233">
        <v>-11.526999999999999</v>
      </c>
      <c r="D44" s="233">
        <f>-44.222-C44</f>
        <v>-32.695</v>
      </c>
      <c r="E44" s="233">
        <f>-88.142-SUM(C44:D44)</f>
        <v>-43.919999999999995</v>
      </c>
      <c r="F44" s="233">
        <f>-125.422-SUM(C44:E44)</f>
        <v>-37.28</v>
      </c>
      <c r="G44" s="234">
        <f t="shared" si="54"/>
        <v>-125.422</v>
      </c>
      <c r="H44" s="86"/>
      <c r="I44" s="233">
        <v>-87.823999999999998</v>
      </c>
      <c r="J44" s="233">
        <f>-95.467-I44</f>
        <v>-7.6430000000000007</v>
      </c>
      <c r="K44" s="233">
        <f>-99.771-SUM(I44:J44)</f>
        <v>-4.304000000000002</v>
      </c>
      <c r="L44" s="233">
        <f>-112.634-SUM(I44:K44)</f>
        <v>-12.863</v>
      </c>
      <c r="M44" s="234">
        <f t="shared" si="55"/>
        <v>-112.634</v>
      </c>
      <c r="N44" s="86"/>
      <c r="O44" s="233">
        <v>-4.6639999999999997</v>
      </c>
      <c r="P44" s="233">
        <f>-9.778-O44</f>
        <v>-5.1140000000000008</v>
      </c>
      <c r="Q44" s="233">
        <f>-21.253-SUM(O44:P44)</f>
        <v>-11.475</v>
      </c>
      <c r="R44" s="233">
        <f>-78.718-SUM(O44:Q44)</f>
        <v>-57.465000000000003</v>
      </c>
      <c r="S44" s="234">
        <f t="shared" si="56"/>
        <v>-78.718000000000004</v>
      </c>
      <c r="T44" s="86"/>
      <c r="U44" s="233">
        <v>-41.423000000000002</v>
      </c>
      <c r="V44" s="240">
        <f>-176.63-U44</f>
        <v>-135.20699999999999</v>
      </c>
      <c r="W44" s="240">
        <f>-208.535-SUM(U44:V44)</f>
        <v>-31.905000000000001</v>
      </c>
      <c r="X44" s="233">
        <f>-223.993-SUM(U44:W44)</f>
        <v>-15.457999999999998</v>
      </c>
      <c r="Y44" s="234">
        <f t="shared" si="57"/>
        <v>-223.99299999999999</v>
      </c>
      <c r="Z44" s="86"/>
      <c r="AA44" s="233">
        <v>-73.679000000000002</v>
      </c>
      <c r="AB44" s="233">
        <f>-79.5-AA44</f>
        <v>-5.820999999999998</v>
      </c>
      <c r="AC44" s="240">
        <v>0</v>
      </c>
      <c r="AD44" s="240">
        <f>-79.5-AC44-AB44-AA44</f>
        <v>0</v>
      </c>
      <c r="AE44" s="234">
        <f t="shared" ref="AE44:AE52" si="63">SUM(AA44:AD44)</f>
        <v>-79.5</v>
      </c>
      <c r="AF44" s="86"/>
      <c r="AG44" s="233">
        <v>-30.869</v>
      </c>
      <c r="AH44" s="233">
        <f>-38.84-AG44</f>
        <v>-7.9710000000000036</v>
      </c>
      <c r="AI44" s="240">
        <f>-38.839-AH44-AG44</f>
        <v>1.0000000000047748E-3</v>
      </c>
      <c r="AJ44" s="240">
        <f>-38.837-AI44-AH44-AG44</f>
        <v>1.9999999999953388E-3</v>
      </c>
      <c r="AK44" s="234">
        <f t="shared" si="58"/>
        <v>-38.837000000000003</v>
      </c>
      <c r="AL44" s="86"/>
      <c r="AM44" s="233">
        <v>0</v>
      </c>
      <c r="AN44" s="233">
        <f>-62.278-AM44</f>
        <v>-62.277999999999999</v>
      </c>
      <c r="AO44" s="240">
        <f>-72.381-AN44-AM44</f>
        <v>-10.103000000000002</v>
      </c>
      <c r="AP44" s="240">
        <f>-118.024-AO44-AN44-AM44</f>
        <v>-45.642999999999994</v>
      </c>
      <c r="AQ44" s="234">
        <f t="shared" si="59"/>
        <v>-118.024</v>
      </c>
      <c r="AR44" s="86"/>
      <c r="AS44" s="233">
        <v>-40.395000000000003</v>
      </c>
      <c r="AT44" s="233">
        <f>-54.586-AS44</f>
        <v>-14.190999999999995</v>
      </c>
      <c r="AU44" s="233">
        <f>-70.757-AT44-AS44</f>
        <v>-16.171000000000006</v>
      </c>
      <c r="AV44" s="240">
        <f>-163.192-SUM(AS44:AU44)</f>
        <v>-92.435000000000002</v>
      </c>
      <c r="AW44" s="234">
        <f t="shared" si="60"/>
        <v>-163.19200000000001</v>
      </c>
      <c r="AX44" s="86"/>
      <c r="AY44" s="536">
        <f>-85.009+0.045</f>
        <v>-84.963999999999999</v>
      </c>
      <c r="AZ44" s="536">
        <v>-13.965999999999994</v>
      </c>
      <c r="BA44" s="536">
        <v>-13.725000000000009</v>
      </c>
      <c r="BB44" s="252">
        <v>0</v>
      </c>
      <c r="BC44" s="237">
        <f t="shared" si="61"/>
        <v>-112.655</v>
      </c>
      <c r="BD44" s="50"/>
      <c r="BE44" s="700">
        <v>-428.8</v>
      </c>
      <c r="BF44" s="700">
        <f>-600-BE44</f>
        <v>-171.2</v>
      </c>
      <c r="BG44" s="968">
        <f>-694.7-SUM(BE44:BF44)</f>
        <v>-94.700000000000045</v>
      </c>
      <c r="BH44" s="252">
        <f>-813.9-SUM(BE44:BG44)</f>
        <v>-119.19999999999993</v>
      </c>
      <c r="BI44" s="237">
        <f t="shared" si="62"/>
        <v>-813.9</v>
      </c>
      <c r="BJ44" s="50"/>
      <c r="BK44" s="700">
        <v>-77.900000000000006</v>
      </c>
      <c r="BL44" s="968">
        <f>-151.5-BK44</f>
        <v>-73.599999999999994</v>
      </c>
      <c r="BM44" s="968">
        <f>-151.4-SUM(BK44:BL44)</f>
        <v>9.9999999999994316E-2</v>
      </c>
      <c r="BN44" s="252">
        <f>-401.4-SUM(BK44:BM44)</f>
        <v>-249.99999999999997</v>
      </c>
      <c r="BO44" s="237">
        <f t="shared" ref="BO44:BO52" si="64">SUM(BK44:BN44)</f>
        <v>-401.4</v>
      </c>
      <c r="BP44" s="50"/>
      <c r="BQ44" s="237">
        <f>BQ144</f>
        <v>-125</v>
      </c>
      <c r="BR44" s="237">
        <f>BR144</f>
        <v>-125</v>
      </c>
      <c r="BS44" s="237">
        <f>BS144</f>
        <v>-125</v>
      </c>
      <c r="BT44" s="237">
        <f>BT144</f>
        <v>-125</v>
      </c>
      <c r="BU44" s="237">
        <f t="shared" ref="BU44:BU52" si="65">SUM(BQ44:BT44)</f>
        <v>-500</v>
      </c>
      <c r="BV44" s="50"/>
      <c r="BW44" s="237">
        <f>BW144</f>
        <v>-150</v>
      </c>
      <c r="BX44" s="237">
        <f>BX144</f>
        <v>-150</v>
      </c>
      <c r="BY44" s="237">
        <f>BY144</f>
        <v>-150</v>
      </c>
      <c r="BZ44" s="237">
        <f>BZ144</f>
        <v>-150</v>
      </c>
      <c r="CA44" s="237">
        <f t="shared" ref="CA44:CA52" si="66">SUM(BW44:BZ44)</f>
        <v>-600</v>
      </c>
      <c r="CB44" s="50"/>
      <c r="CC44" s="237">
        <f>CC144</f>
        <v>-150</v>
      </c>
      <c r="CD44" s="237">
        <f>CD144</f>
        <v>-150</v>
      </c>
      <c r="CE44" s="237">
        <f>CE144</f>
        <v>-150</v>
      </c>
      <c r="CF44" s="237">
        <f>CF144</f>
        <v>-150</v>
      </c>
      <c r="CG44" s="237">
        <f t="shared" ref="CG44:CG52" si="67">SUM(CC44:CF44)</f>
        <v>-600</v>
      </c>
      <c r="CQ44" s="301"/>
    </row>
    <row r="45" spans="1:95" ht="11.25" customHeight="1" x14ac:dyDescent="0.2">
      <c r="A45" s="301"/>
      <c r="B45" s="283" t="s">
        <v>279</v>
      </c>
      <c r="C45" s="233">
        <v>-6.9020000000000001</v>
      </c>
      <c r="D45" s="233">
        <f>-12.976-C45</f>
        <v>-6.0740000000000007</v>
      </c>
      <c r="E45" s="233">
        <f>-19.071-SUM(C45:D45)</f>
        <v>-6.0950000000000006</v>
      </c>
      <c r="F45" s="233">
        <f>-25.134-SUM(C45:E45)</f>
        <v>-6.0629999999999988</v>
      </c>
      <c r="G45" s="234">
        <f t="shared" si="54"/>
        <v>-25.134</v>
      </c>
      <c r="H45" s="86"/>
      <c r="I45" s="233">
        <v>-6.8029999999999999</v>
      </c>
      <c r="J45" s="233">
        <f>-13.517-I45</f>
        <v>-6.7139999999999995</v>
      </c>
      <c r="K45" s="233">
        <f>-20.231-SUM(I45:J45)</f>
        <v>-6.7140000000000022</v>
      </c>
      <c r="L45" s="233">
        <f>-26.952-SUM(I45:K45)</f>
        <v>-6.7210000000000001</v>
      </c>
      <c r="M45" s="234">
        <f t="shared" si="55"/>
        <v>-26.952000000000002</v>
      </c>
      <c r="N45" s="86"/>
      <c r="O45" s="233">
        <v>-7.46</v>
      </c>
      <c r="P45" s="233">
        <f>-14.919-O45</f>
        <v>-7.4590000000000005</v>
      </c>
      <c r="Q45" s="233">
        <f>-22.383-SUM(O45:P45)</f>
        <v>-7.4639999999999986</v>
      </c>
      <c r="R45" s="233">
        <f>-29.836-SUM(O45:Q45)</f>
        <v>-7.4529999999999994</v>
      </c>
      <c r="S45" s="234">
        <f t="shared" si="56"/>
        <v>-29.835999999999999</v>
      </c>
      <c r="T45" s="86"/>
      <c r="U45" s="233">
        <v>-7.4089999999999998</v>
      </c>
      <c r="V45" s="240">
        <f>-15.741-U45</f>
        <v>-8.3320000000000007</v>
      </c>
      <c r="W45" s="233">
        <f>-23.052-SUM(U45:V45)</f>
        <v>-7.3109999999999999</v>
      </c>
      <c r="X45" s="233">
        <f>-29.077-SUM(U45:W45)</f>
        <v>-6.0250000000000021</v>
      </c>
      <c r="Y45" s="234">
        <f t="shared" si="57"/>
        <v>-29.077000000000002</v>
      </c>
      <c r="Z45" s="86"/>
      <c r="AA45" s="233">
        <v>-7.1310000000000002</v>
      </c>
      <c r="AB45" s="233">
        <f>-14.312-AA45</f>
        <v>-7.1809999999999992</v>
      </c>
      <c r="AC45" s="240">
        <v>-7.2</v>
      </c>
      <c r="AD45" s="240">
        <f>-28.632-AC45-AB45-AA45</f>
        <v>-7.1200000000000028</v>
      </c>
      <c r="AE45" s="234">
        <f t="shared" si="63"/>
        <v>-28.632000000000005</v>
      </c>
      <c r="AF45" s="86"/>
      <c r="AG45" s="233">
        <v>-7.8470000000000004</v>
      </c>
      <c r="AH45" s="233">
        <f>-15.706-AG45</f>
        <v>-7.8589999999999991</v>
      </c>
      <c r="AI45" s="240">
        <f>-23.561-AH45-AG45</f>
        <v>-7.8550000000000013</v>
      </c>
      <c r="AJ45" s="240">
        <f>-31.425-AI45-AH45-AG45</f>
        <v>-7.8640000000000017</v>
      </c>
      <c r="AK45" s="234">
        <f t="shared" si="58"/>
        <v>-31.425000000000001</v>
      </c>
      <c r="AL45" s="86"/>
      <c r="AM45" s="233">
        <v>-7.9089999999999998</v>
      </c>
      <c r="AN45" s="233">
        <f>-16.928-AM45</f>
        <v>-9.0190000000000019</v>
      </c>
      <c r="AO45" s="240">
        <f>-25.895-AN45-AM45</f>
        <v>-8.9669999999999987</v>
      </c>
      <c r="AP45" s="240">
        <f>-34.874-AO45-AN45-AM45</f>
        <v>-8.9790000000000028</v>
      </c>
      <c r="AQ45" s="234">
        <f t="shared" si="59"/>
        <v>-34.874000000000002</v>
      </c>
      <c r="AR45" s="86"/>
      <c r="AS45" s="233">
        <v>-8.9789999999999992</v>
      </c>
      <c r="AT45" s="233">
        <f>-18.453-AS45</f>
        <v>-9.4740000000000002</v>
      </c>
      <c r="AU45" s="233">
        <f>-27.927-AT45-AS45</f>
        <v>-9.4740000000000002</v>
      </c>
      <c r="AV45" s="240">
        <f>-37.387-SUM(AS45:AU45)</f>
        <v>-9.4600000000000009</v>
      </c>
      <c r="AW45" s="234">
        <f t="shared" si="60"/>
        <v>-37.387</v>
      </c>
      <c r="AX45" s="86"/>
      <c r="AY45" s="536">
        <v>-9.4160000000000004</v>
      </c>
      <c r="AZ45" s="536">
        <v>-10.224</v>
      </c>
      <c r="BA45" s="536">
        <v>-10.259999999999998</v>
      </c>
      <c r="BB45" s="252">
        <v>-10.100000000000001</v>
      </c>
      <c r="BC45" s="237">
        <f t="shared" si="61"/>
        <v>-40</v>
      </c>
      <c r="BD45" s="50"/>
      <c r="BE45" s="700">
        <v>-10.1</v>
      </c>
      <c r="BF45" s="700">
        <f>-28.6-BE45</f>
        <v>-18.5</v>
      </c>
      <c r="BG45" s="968">
        <f>-46.7-SUM(BE45:BF45)</f>
        <v>-18.100000000000001</v>
      </c>
      <c r="BH45" s="252">
        <f>-64.6-SUM(BE45:BG45)</f>
        <v>-17.899999999999991</v>
      </c>
      <c r="BI45" s="237">
        <f t="shared" si="62"/>
        <v>-64.599999999999994</v>
      </c>
      <c r="BJ45" s="50"/>
      <c r="BK45" s="700">
        <v>-18</v>
      </c>
      <c r="BL45" s="968">
        <f>-38.1-BK45</f>
        <v>-20.100000000000001</v>
      </c>
      <c r="BM45" s="968">
        <f>-58.2-SUM(BK45:BL45)</f>
        <v>-20.100000000000001</v>
      </c>
      <c r="BN45" s="252">
        <f>-78.3-SUM(BK45:BM45)</f>
        <v>-20.099999999999994</v>
      </c>
      <c r="BO45" s="237">
        <f t="shared" si="64"/>
        <v>-78.3</v>
      </c>
      <c r="BP45" s="50"/>
      <c r="BQ45" s="237">
        <f>-'P&amp;L'!BQ34*CashFlow!BQ74</f>
        <v>-17.789918152974916</v>
      </c>
      <c r="BR45" s="237">
        <f>-'P&amp;L'!BR34*CashFlow!BR74</f>
        <v>-19.759375740870393</v>
      </c>
      <c r="BS45" s="237">
        <f>-'P&amp;L'!BS34*CashFlow!BS74</f>
        <v>-19.597877501336868</v>
      </c>
      <c r="BT45" s="237">
        <f>-'P&amp;L'!BT34*CashFlow!BT74</f>
        <v>-17.223065624005056</v>
      </c>
      <c r="BU45" s="237">
        <f t="shared" si="65"/>
        <v>-74.370237019187229</v>
      </c>
      <c r="BV45" s="50"/>
      <c r="BW45" s="237">
        <f>-'P&amp;L'!BW34*CashFlow!BW74</f>
        <v>-17.195990825304058</v>
      </c>
      <c r="BX45" s="237">
        <f>-'P&amp;L'!BX34*CashFlow!BX74</f>
        <v>-19.103054553087798</v>
      </c>
      <c r="BY45" s="237">
        <f>-'P&amp;L'!BY34*CashFlow!BY74</f>
        <v>-18.923815265401604</v>
      </c>
      <c r="BZ45" s="237">
        <f>-'P&amp;L'!BZ34*CashFlow!BZ74</f>
        <v>-16.607892232617949</v>
      </c>
      <c r="CA45" s="237">
        <f t="shared" si="66"/>
        <v>-71.830752876411395</v>
      </c>
      <c r="CB45" s="50"/>
      <c r="CC45" s="237">
        <f>-'P&amp;L'!CC34*CashFlow!CC74</f>
        <v>-17.086076698543614</v>
      </c>
      <c r="CD45" s="237">
        <f>-'P&amp;L'!CD34*CashFlow!CD74</f>
        <v>-18.989453061061692</v>
      </c>
      <c r="CE45" s="237">
        <f>-'P&amp;L'!CE34*CashFlow!CE74</f>
        <v>-18.819491735510837</v>
      </c>
      <c r="CF45" s="237">
        <f>-'P&amp;L'!CF34*CashFlow!CF74</f>
        <v>-16.523552430696675</v>
      </c>
      <c r="CG45" s="237">
        <f t="shared" si="67"/>
        <v>-71.418573925812808</v>
      </c>
      <c r="CQ45" s="301"/>
    </row>
    <row r="46" spans="1:95" ht="11.25" customHeight="1" x14ac:dyDescent="0.2">
      <c r="A46" s="301"/>
      <c r="B46" s="283" t="s">
        <v>6</v>
      </c>
      <c r="C46" s="233"/>
      <c r="D46" s="233"/>
      <c r="E46" s="233"/>
      <c r="F46" s="233"/>
      <c r="G46" s="233">
        <v>0</v>
      </c>
      <c r="H46" s="86"/>
      <c r="I46" s="233"/>
      <c r="J46" s="233"/>
      <c r="K46" s="233"/>
      <c r="L46" s="233"/>
      <c r="M46" s="233">
        <v>0</v>
      </c>
      <c r="N46" s="86"/>
      <c r="O46" s="233"/>
      <c r="P46" s="233"/>
      <c r="Q46" s="233"/>
      <c r="R46" s="233"/>
      <c r="S46" s="233">
        <v>0</v>
      </c>
      <c r="T46" s="86"/>
      <c r="U46" s="233"/>
      <c r="V46" s="240"/>
      <c r="W46" s="233"/>
      <c r="X46" s="233"/>
      <c r="Y46" s="233">
        <v>0</v>
      </c>
      <c r="Z46" s="86"/>
      <c r="AA46" s="233">
        <v>0</v>
      </c>
      <c r="AB46" s="233">
        <f>-1.78-AA46</f>
        <v>-1.78</v>
      </c>
      <c r="AC46" s="240">
        <v>0</v>
      </c>
      <c r="AD46" s="240">
        <f>-3.023-AC46-AB46-AA46</f>
        <v>-1.2430000000000001</v>
      </c>
      <c r="AE46" s="234">
        <f t="shared" si="63"/>
        <v>-3.0230000000000001</v>
      </c>
      <c r="AF46" s="86"/>
      <c r="AG46" s="233">
        <v>-1.7809999999999999</v>
      </c>
      <c r="AH46" s="233">
        <f>-1.781-AG46</f>
        <v>0</v>
      </c>
      <c r="AI46" s="240">
        <f>-2.519-AH46-AG46</f>
        <v>-0.73800000000000021</v>
      </c>
      <c r="AJ46" s="240">
        <f>-2.519-AI46-AH46-AG46</f>
        <v>0</v>
      </c>
      <c r="AK46" s="234">
        <f t="shared" si="58"/>
        <v>-2.5190000000000001</v>
      </c>
      <c r="AL46" s="86"/>
      <c r="AM46" s="233">
        <v>0</v>
      </c>
      <c r="AN46" s="233">
        <f>0-AM46</f>
        <v>0</v>
      </c>
      <c r="AO46" s="240">
        <f>0-AN46-AM46</f>
        <v>0</v>
      </c>
      <c r="AP46" s="240">
        <f>0-AO46-AN46-AM46</f>
        <v>0</v>
      </c>
      <c r="AQ46" s="234">
        <f t="shared" si="59"/>
        <v>0</v>
      </c>
      <c r="AR46" s="86"/>
      <c r="AS46" s="233">
        <v>0</v>
      </c>
      <c r="AT46" s="233">
        <f>0-AS46</f>
        <v>0</v>
      </c>
      <c r="AU46" s="233">
        <f>0-AT46-AS46</f>
        <v>0</v>
      </c>
      <c r="AV46" s="240">
        <f>0-SUM(AS46:AU46)</f>
        <v>0</v>
      </c>
      <c r="AW46" s="234">
        <f t="shared" si="60"/>
        <v>0</v>
      </c>
      <c r="AX46" s="50"/>
      <c r="AY46" s="987">
        <v>0</v>
      </c>
      <c r="AZ46" s="987">
        <v>0</v>
      </c>
      <c r="BA46" s="987">
        <v>0</v>
      </c>
      <c r="BB46" s="700">
        <v>0</v>
      </c>
      <c r="BC46" s="237">
        <f t="shared" si="61"/>
        <v>0</v>
      </c>
      <c r="BD46" s="50"/>
      <c r="BE46" s="700">
        <v>0</v>
      </c>
      <c r="BF46" s="700">
        <f t="shared" ref="BF46:BF52" si="68">0-BE46</f>
        <v>0</v>
      </c>
      <c r="BG46" s="968">
        <f t="shared" ref="BG46:BG52" si="69">0-SUM(BE46:BF46)</f>
        <v>0</v>
      </c>
      <c r="BH46" s="700">
        <f t="shared" ref="BH46" si="70">0-SUM(BE46:BG46)</f>
        <v>0</v>
      </c>
      <c r="BI46" s="237">
        <f t="shared" si="62"/>
        <v>0</v>
      </c>
      <c r="BJ46" s="50"/>
      <c r="BK46" s="700">
        <v>0</v>
      </c>
      <c r="BL46" s="968">
        <f t="shared" ref="BL46:BL52" si="71">0-BK46</f>
        <v>0</v>
      </c>
      <c r="BM46" s="968">
        <f t="shared" ref="BM46:BM52" si="72">0-SUM(BK46:BL46)</f>
        <v>0</v>
      </c>
      <c r="BN46" s="700">
        <f t="shared" ref="BN46" si="73">0-SUM(BK46:BM46)</f>
        <v>0</v>
      </c>
      <c r="BO46" s="237">
        <f t="shared" si="64"/>
        <v>0</v>
      </c>
      <c r="BP46" s="50"/>
      <c r="BQ46" s="700">
        <v>0</v>
      </c>
      <c r="BR46" s="700">
        <v>0</v>
      </c>
      <c r="BS46" s="700">
        <v>0</v>
      </c>
      <c r="BT46" s="700">
        <v>0</v>
      </c>
      <c r="BU46" s="237">
        <f t="shared" si="65"/>
        <v>0</v>
      </c>
      <c r="BV46" s="50"/>
      <c r="BW46" s="700">
        <v>0</v>
      </c>
      <c r="BX46" s="700">
        <v>0</v>
      </c>
      <c r="BY46" s="700">
        <v>0</v>
      </c>
      <c r="BZ46" s="700">
        <v>0</v>
      </c>
      <c r="CA46" s="237">
        <f t="shared" si="66"/>
        <v>0</v>
      </c>
      <c r="CB46" s="50"/>
      <c r="CC46" s="700">
        <v>0</v>
      </c>
      <c r="CD46" s="700">
        <v>0</v>
      </c>
      <c r="CE46" s="700">
        <v>0</v>
      </c>
      <c r="CF46" s="700">
        <v>0</v>
      </c>
      <c r="CG46" s="237">
        <f t="shared" si="67"/>
        <v>0</v>
      </c>
      <c r="CQ46" s="301"/>
    </row>
    <row r="47" spans="1:95" ht="11.25" customHeight="1" x14ac:dyDescent="0.2">
      <c r="A47" s="301"/>
      <c r="B47" s="283" t="s">
        <v>494</v>
      </c>
      <c r="C47" s="233"/>
      <c r="D47" s="233"/>
      <c r="E47" s="233"/>
      <c r="F47" s="233"/>
      <c r="G47" s="233">
        <v>0</v>
      </c>
      <c r="H47" s="86"/>
      <c r="I47" s="233"/>
      <c r="J47" s="233"/>
      <c r="K47" s="233"/>
      <c r="L47" s="233"/>
      <c r="M47" s="233">
        <v>0</v>
      </c>
      <c r="N47" s="86"/>
      <c r="O47" s="233"/>
      <c r="P47" s="233"/>
      <c r="Q47" s="233"/>
      <c r="R47" s="233"/>
      <c r="S47" s="233">
        <v>0</v>
      </c>
      <c r="T47" s="86"/>
      <c r="U47" s="233"/>
      <c r="V47" s="240"/>
      <c r="W47" s="233"/>
      <c r="X47" s="233"/>
      <c r="Y47" s="233">
        <v>0</v>
      </c>
      <c r="Z47" s="86"/>
      <c r="AA47" s="233">
        <v>0</v>
      </c>
      <c r="AB47" s="233">
        <v>-16.431000000000001</v>
      </c>
      <c r="AC47" s="240">
        <v>0</v>
      </c>
      <c r="AD47" s="240">
        <f>-16.088-AC47-AB47-AA47</f>
        <v>0.34299999999999997</v>
      </c>
      <c r="AE47" s="234">
        <f t="shared" si="63"/>
        <v>-16.088000000000001</v>
      </c>
      <c r="AF47" s="86"/>
      <c r="AG47" s="233">
        <v>0</v>
      </c>
      <c r="AH47" s="233">
        <v>0</v>
      </c>
      <c r="AI47" s="240">
        <v>0</v>
      </c>
      <c r="AJ47" s="240">
        <v>0</v>
      </c>
      <c r="AK47" s="234">
        <f t="shared" si="58"/>
        <v>0</v>
      </c>
      <c r="AL47" s="86"/>
      <c r="AM47" s="233">
        <v>-8.9600000000000009</v>
      </c>
      <c r="AN47" s="233">
        <f>-8.96-AM47</f>
        <v>0</v>
      </c>
      <c r="AO47" s="240">
        <f>-8.96-AN47-AM47</f>
        <v>0</v>
      </c>
      <c r="AP47" s="240">
        <f>-8.96-AO47-AN47-AM47</f>
        <v>0</v>
      </c>
      <c r="AQ47" s="234">
        <f t="shared" si="59"/>
        <v>-8.9600000000000009</v>
      </c>
      <c r="AR47" s="86"/>
      <c r="AS47" s="233">
        <v>-3.3000000000000002E-2</v>
      </c>
      <c r="AT47" s="233">
        <f>-0.033-AS47</f>
        <v>0</v>
      </c>
      <c r="AU47" s="233">
        <f>-0.033-AT47-AS47</f>
        <v>0</v>
      </c>
      <c r="AV47" s="240">
        <f>0-SUM(AS47:AU47)</f>
        <v>3.3000000000000002E-2</v>
      </c>
      <c r="AW47" s="234">
        <f t="shared" si="60"/>
        <v>0</v>
      </c>
      <c r="AX47" s="50"/>
      <c r="AY47" s="536">
        <v>-80.451999999999998</v>
      </c>
      <c r="AZ47" s="536">
        <v>0</v>
      </c>
      <c r="BA47" s="536">
        <v>5.1999999999992497E-2</v>
      </c>
      <c r="BB47" s="252">
        <v>-9.9999999999994316E-2</v>
      </c>
      <c r="BC47" s="237">
        <f>SUM(AY47:BB47)</f>
        <v>-80.5</v>
      </c>
      <c r="BD47" s="50"/>
      <c r="BE47" s="700">
        <v>0</v>
      </c>
      <c r="BF47" s="700">
        <f t="shared" si="68"/>
        <v>0</v>
      </c>
      <c r="BG47" s="968">
        <f t="shared" si="69"/>
        <v>0</v>
      </c>
      <c r="BH47" s="252">
        <f>-0.4-SUM(BE47:BG47)</f>
        <v>-0.4</v>
      </c>
      <c r="BI47" s="237">
        <f t="shared" si="62"/>
        <v>-0.4</v>
      </c>
      <c r="BJ47" s="50"/>
      <c r="BK47" s="700">
        <v>0</v>
      </c>
      <c r="BL47" s="968">
        <f t="shared" si="71"/>
        <v>0</v>
      </c>
      <c r="BM47" s="968">
        <f t="shared" si="72"/>
        <v>0</v>
      </c>
      <c r="BN47" s="252">
        <f>0-SUM(BK47:BM47)</f>
        <v>0</v>
      </c>
      <c r="BO47" s="237">
        <f t="shared" si="64"/>
        <v>0</v>
      </c>
      <c r="BP47" s="50"/>
      <c r="BQ47" s="700">
        <v>0</v>
      </c>
      <c r="BR47" s="700">
        <v>0</v>
      </c>
      <c r="BS47" s="700">
        <v>0</v>
      </c>
      <c r="BT47" s="700">
        <v>0</v>
      </c>
      <c r="BU47" s="237">
        <f t="shared" si="65"/>
        <v>0</v>
      </c>
      <c r="BV47" s="50"/>
      <c r="BW47" s="700">
        <v>0</v>
      </c>
      <c r="BX47" s="700">
        <v>0</v>
      </c>
      <c r="BY47" s="700">
        <v>0</v>
      </c>
      <c r="BZ47" s="700">
        <v>0</v>
      </c>
      <c r="CA47" s="237">
        <f t="shared" si="66"/>
        <v>0</v>
      </c>
      <c r="CB47" s="50"/>
      <c r="CC47" s="700">
        <v>0</v>
      </c>
      <c r="CD47" s="700">
        <v>0</v>
      </c>
      <c r="CE47" s="700">
        <v>0</v>
      </c>
      <c r="CF47" s="700">
        <v>0</v>
      </c>
      <c r="CG47" s="237">
        <f t="shared" si="67"/>
        <v>0</v>
      </c>
      <c r="CQ47" s="301"/>
    </row>
    <row r="48" spans="1:95" ht="11.25" customHeight="1" x14ac:dyDescent="0.2">
      <c r="A48" s="301"/>
      <c r="B48" s="283" t="s">
        <v>175</v>
      </c>
      <c r="C48" s="233">
        <v>149.548</v>
      </c>
      <c r="D48" s="233">
        <f>149.548-C48</f>
        <v>0</v>
      </c>
      <c r="E48" s="233">
        <f>170.255-SUM(C48:D48)</f>
        <v>20.706999999999994</v>
      </c>
      <c r="F48" s="233">
        <f>149.5-SUM(C48:E48)</f>
        <v>-20.754999999999995</v>
      </c>
      <c r="G48" s="234">
        <f t="shared" si="54"/>
        <v>149.5</v>
      </c>
      <c r="H48" s="86"/>
      <c r="I48" s="233">
        <v>78.254000000000005</v>
      </c>
      <c r="J48" s="233">
        <f>77.799-I48</f>
        <v>-0.45499999999999829</v>
      </c>
      <c r="K48" s="233">
        <f>117.9-SUM(I48:J48)</f>
        <v>40.100999999999999</v>
      </c>
      <c r="L48" s="233">
        <f>117.9-SUM(I48:K48)</f>
        <v>0</v>
      </c>
      <c r="M48" s="234">
        <f t="shared" si="55"/>
        <v>117.9</v>
      </c>
      <c r="N48" s="86"/>
      <c r="O48" s="233">
        <v>108.9</v>
      </c>
      <c r="P48" s="233">
        <f>0-O48</f>
        <v>-108.9</v>
      </c>
      <c r="Q48" s="233">
        <f>0-SUM(O48:P48)</f>
        <v>0</v>
      </c>
      <c r="R48" s="233">
        <f>86.091-SUM(O48:Q48)</f>
        <v>86.090999999999994</v>
      </c>
      <c r="S48" s="234">
        <f t="shared" si="56"/>
        <v>86.090999999999994</v>
      </c>
      <c r="T48" s="86"/>
      <c r="U48" s="233">
        <v>311.834</v>
      </c>
      <c r="V48" s="240">
        <f>250-U48</f>
        <v>-61.834000000000003</v>
      </c>
      <c r="W48" s="233">
        <f>363.7-SUM(U48:V48)</f>
        <v>113.69999999999999</v>
      </c>
      <c r="X48" s="233">
        <f>368.611-SUM(U48:W48)</f>
        <v>4.9110000000000014</v>
      </c>
      <c r="Y48" s="234">
        <f t="shared" si="57"/>
        <v>368.61099999999999</v>
      </c>
      <c r="Z48" s="86"/>
      <c r="AA48" s="233">
        <v>51.1</v>
      </c>
      <c r="AB48" s="233">
        <f>38.254-AA48</f>
        <v>-12.846000000000004</v>
      </c>
      <c r="AC48" s="240">
        <v>1408.16</v>
      </c>
      <c r="AD48" s="240">
        <f>1106.514-AC48-AB48-AA48</f>
        <v>-339.9000000000002</v>
      </c>
      <c r="AE48" s="234">
        <f t="shared" si="63"/>
        <v>1106.5139999999997</v>
      </c>
      <c r="AF48" s="86"/>
      <c r="AG48" s="233">
        <v>4.5709999999999997</v>
      </c>
      <c r="AH48" s="233">
        <f>0-AG48</f>
        <v>-4.5709999999999997</v>
      </c>
      <c r="AI48" s="240">
        <f>0-AH48-AG48</f>
        <v>0</v>
      </c>
      <c r="AJ48" s="240">
        <v>0</v>
      </c>
      <c r="AK48" s="234">
        <f t="shared" si="58"/>
        <v>0</v>
      </c>
      <c r="AL48" s="86"/>
      <c r="AM48" s="233">
        <v>0</v>
      </c>
      <c r="AN48" s="233">
        <f>0-AM48</f>
        <v>0</v>
      </c>
      <c r="AO48" s="240">
        <f>174.628-AN48-AM48</f>
        <v>174.62799999999999</v>
      </c>
      <c r="AP48" s="240">
        <f>174.628-AO48-AN48-AM48</f>
        <v>0</v>
      </c>
      <c r="AQ48" s="234">
        <f t="shared" si="59"/>
        <v>174.62799999999999</v>
      </c>
      <c r="AR48" s="86"/>
      <c r="AS48" s="233">
        <v>0</v>
      </c>
      <c r="AT48" s="233">
        <f>0-AS48</f>
        <v>0</v>
      </c>
      <c r="AU48" s="233">
        <f>114.07-AT48-AS48</f>
        <v>114.07</v>
      </c>
      <c r="AV48" s="240">
        <f>114.342-SUM(AS48:AU48)</f>
        <v>0.27200000000000557</v>
      </c>
      <c r="AW48" s="234">
        <f t="shared" si="60"/>
        <v>114.342</v>
      </c>
      <c r="AX48" s="86"/>
      <c r="AY48" s="536">
        <v>0</v>
      </c>
      <c r="AZ48" s="536">
        <v>0</v>
      </c>
      <c r="BA48" s="536">
        <v>0</v>
      </c>
      <c r="BB48" s="252">
        <v>152.9</v>
      </c>
      <c r="BC48" s="237">
        <f t="shared" si="61"/>
        <v>152.9</v>
      </c>
      <c r="BD48" s="50"/>
      <c r="BE48" s="700">
        <v>79.900000000000006</v>
      </c>
      <c r="BF48" s="700">
        <f>79.9-BE48</f>
        <v>0</v>
      </c>
      <c r="BG48" s="968">
        <f>840.7-SUM(BE48:BF48)</f>
        <v>760.80000000000007</v>
      </c>
      <c r="BH48" s="252">
        <f>1220.6-SUM(BE48:BG48)</f>
        <v>379.89999999999986</v>
      </c>
      <c r="BI48" s="237">
        <f t="shared" si="62"/>
        <v>1220.5999999999999</v>
      </c>
      <c r="BJ48" s="50"/>
      <c r="BK48" s="700">
        <v>3</v>
      </c>
      <c r="BL48" s="968">
        <f>2.9-BK48</f>
        <v>-0.10000000000000009</v>
      </c>
      <c r="BM48" s="968">
        <f>2.9-SUM(BK48:BL48)</f>
        <v>0</v>
      </c>
      <c r="BN48" s="252">
        <f>3.1-SUM(BK48:BM48)</f>
        <v>0.20000000000000018</v>
      </c>
      <c r="BO48" s="237">
        <f t="shared" si="64"/>
        <v>3.1</v>
      </c>
      <c r="BP48" s="50"/>
      <c r="BQ48" s="237">
        <f>IF(('BalSht '!BQ33-'BalSht '!BO33)&lt;0,0,'BalSht '!BQ33-'BalSht '!BO33)</f>
        <v>0</v>
      </c>
      <c r="BR48" s="237">
        <f>IF(('BalSht '!BR33-'BalSht '!BQ33)&lt;0,0,'BalSht '!BR33-'BalSht '!BQ33)</f>
        <v>0</v>
      </c>
      <c r="BS48" s="237">
        <f>IF(('BalSht '!BS33-'BalSht '!BR33)&lt;0,0,'BalSht '!BS33-'BalSht '!BR33)</f>
        <v>0</v>
      </c>
      <c r="BT48" s="237">
        <f>IF(('BalSht '!BT33-'BalSht '!BS33)&lt;0,0,'BalSht '!BT33-'BalSht '!BS33)</f>
        <v>0</v>
      </c>
      <c r="BU48" s="237">
        <f t="shared" si="65"/>
        <v>0</v>
      </c>
      <c r="BV48" s="50"/>
      <c r="BW48" s="237">
        <f>IF(('BalSht '!BW33-'BalSht '!BU33)&lt;0,0,'BalSht '!BW33-'BalSht '!BU33)</f>
        <v>0</v>
      </c>
      <c r="BX48" s="237">
        <f>IF(('BalSht '!BX33-'BalSht '!BW33)&lt;0,0,'BalSht '!BX33-'BalSht '!BW33)</f>
        <v>0</v>
      </c>
      <c r="BY48" s="237">
        <f>IF(('BalSht '!BY33-'BalSht '!BX33)&lt;0,0,'BalSht '!BY33-'BalSht '!BX33)</f>
        <v>0</v>
      </c>
      <c r="BZ48" s="237">
        <f>IF(('BalSht '!BZ33-'BalSht '!BY33)&lt;0,0,'BalSht '!BZ33-'BalSht '!BY33)</f>
        <v>0</v>
      </c>
      <c r="CA48" s="237">
        <f t="shared" si="66"/>
        <v>0</v>
      </c>
      <c r="CB48" s="50"/>
      <c r="CC48" s="237">
        <f>IF(('BalSht '!CC33-'BalSht '!CA33)&lt;0,0,'BalSht '!CC33-'BalSht '!CA33)</f>
        <v>0</v>
      </c>
      <c r="CD48" s="237">
        <f>IF(('BalSht '!CD33-'BalSht '!CC33)&lt;0,0,'BalSht '!CD33-'BalSht '!CC33)</f>
        <v>0</v>
      </c>
      <c r="CE48" s="237">
        <f>IF(('BalSht '!CE33-'BalSht '!CD33)&lt;0,0,'BalSht '!CE33-'BalSht '!CD33)</f>
        <v>0</v>
      </c>
      <c r="CF48" s="237">
        <f>IF(('BalSht '!CF33-'BalSht '!CE33)&lt;0,0,'BalSht '!CF33-'BalSht '!CE33)</f>
        <v>0</v>
      </c>
      <c r="CG48" s="237">
        <f t="shared" si="67"/>
        <v>0</v>
      </c>
      <c r="CQ48" s="301"/>
    </row>
    <row r="49" spans="1:95" ht="11.25" customHeight="1" x14ac:dyDescent="0.2">
      <c r="A49" s="301"/>
      <c r="B49" s="283" t="s">
        <v>176</v>
      </c>
      <c r="C49" s="233">
        <v>-105.36199999999999</v>
      </c>
      <c r="D49" s="233">
        <f>-117.161-C49</f>
        <v>-11.799000000000007</v>
      </c>
      <c r="E49" s="233">
        <f>-49.562-SUM(C49:D49)</f>
        <v>67.599000000000004</v>
      </c>
      <c r="F49" s="233">
        <f>-50.543-SUM(C49:E49)</f>
        <v>-0.98100000000000165</v>
      </c>
      <c r="G49" s="234">
        <f t="shared" si="54"/>
        <v>-50.542999999999999</v>
      </c>
      <c r="H49" s="86"/>
      <c r="I49" s="233">
        <v>0</v>
      </c>
      <c r="J49" s="233">
        <f>0-I49</f>
        <v>0</v>
      </c>
      <c r="K49" s="233">
        <f>-205.613-SUM(I49:J49)</f>
        <v>-205.613</v>
      </c>
      <c r="L49" s="233">
        <f>-226.147-SUM(I49:K49)</f>
        <v>-20.533999999999992</v>
      </c>
      <c r="M49" s="234">
        <f t="shared" si="55"/>
        <v>-226.14699999999999</v>
      </c>
      <c r="N49" s="86"/>
      <c r="O49" s="233">
        <v>-53.506999999999998</v>
      </c>
      <c r="P49" s="233">
        <f>-55.14-O49</f>
        <v>-1.6330000000000027</v>
      </c>
      <c r="Q49" s="233">
        <f>-57.15-SUM(O49:P49)</f>
        <v>-2.009999999999998</v>
      </c>
      <c r="R49" s="233">
        <f>-58.403-SUM(O49:Q49)</f>
        <v>-1.2530000000000001</v>
      </c>
      <c r="S49" s="234">
        <f t="shared" si="56"/>
        <v>-58.402999999999999</v>
      </c>
      <c r="T49" s="86"/>
      <c r="U49" s="233">
        <v>-299.21499999999997</v>
      </c>
      <c r="V49" s="240">
        <f>-240.108-U49</f>
        <v>59.106999999999971</v>
      </c>
      <c r="W49" s="233">
        <f>-240.385-SUM(U49:V49)</f>
        <v>-0.27699999999998681</v>
      </c>
      <c r="X49" s="233">
        <f>-242.137-SUM(U49:W49)</f>
        <v>-1.7520000000000095</v>
      </c>
      <c r="Y49" s="234">
        <f t="shared" si="57"/>
        <v>-242.137</v>
      </c>
      <c r="Z49" s="86"/>
      <c r="AA49" s="233">
        <v>-1.9510000000000001</v>
      </c>
      <c r="AB49" s="233">
        <f>-2.403-AA49</f>
        <v>-0.45199999999999996</v>
      </c>
      <c r="AC49" s="240">
        <v>-248.93300000000002</v>
      </c>
      <c r="AD49" s="240">
        <f>-251.932-AC49-AB49-AA49</f>
        <v>-0.59599999999996678</v>
      </c>
      <c r="AE49" s="234">
        <f t="shared" si="63"/>
        <v>-251.93199999999999</v>
      </c>
      <c r="AF49" s="86"/>
      <c r="AG49" s="233">
        <v>-5.1710000000000003</v>
      </c>
      <c r="AH49" s="233">
        <f>0-AG49</f>
        <v>5.1710000000000003</v>
      </c>
      <c r="AI49" s="240">
        <v>0</v>
      </c>
      <c r="AJ49" s="240">
        <v>0</v>
      </c>
      <c r="AK49" s="234">
        <f t="shared" si="58"/>
        <v>0</v>
      </c>
      <c r="AL49" s="86"/>
      <c r="AM49" s="233">
        <v>0</v>
      </c>
      <c r="AN49" s="233">
        <f>0-AM49</f>
        <v>0</v>
      </c>
      <c r="AO49" s="240">
        <f>-251.335-AN49-AM49</f>
        <v>-251.33500000000001</v>
      </c>
      <c r="AP49" s="240">
        <f>-251.383-AO49-AN49-AM49</f>
        <v>-4.8000000000001819E-2</v>
      </c>
      <c r="AQ49" s="234">
        <f t="shared" si="59"/>
        <v>-251.38300000000001</v>
      </c>
      <c r="AR49" s="86"/>
      <c r="AS49" s="233">
        <v>-75.174000000000007</v>
      </c>
      <c r="AT49" s="233">
        <f>-75.371-AS49</f>
        <v>-0.19699999999998852</v>
      </c>
      <c r="AU49" s="233">
        <f>-198.991-AT49-AS49</f>
        <v>-123.62000000000003</v>
      </c>
      <c r="AV49" s="240">
        <f>-199.18-SUM(AS49:AU49)</f>
        <v>-0.18899999999996453</v>
      </c>
      <c r="AW49" s="234">
        <f t="shared" si="60"/>
        <v>-199.18</v>
      </c>
      <c r="AX49" s="86"/>
      <c r="AY49" s="536">
        <v>-100.143</v>
      </c>
      <c r="AZ49" s="536">
        <v>-8.8999999999998636E-2</v>
      </c>
      <c r="BA49" s="536">
        <v>-8.867999999999995</v>
      </c>
      <c r="BB49" s="252">
        <v>-158.4</v>
      </c>
      <c r="BC49" s="237">
        <f t="shared" si="61"/>
        <v>-267.5</v>
      </c>
      <c r="BD49" s="50"/>
      <c r="BE49" s="700">
        <v>-127.5</v>
      </c>
      <c r="BF49" s="700">
        <f>-127.5-BE49</f>
        <v>0</v>
      </c>
      <c r="BG49" s="968">
        <f>-503.2-SUM(BE49:BF49)</f>
        <v>-375.7</v>
      </c>
      <c r="BH49" s="252">
        <f>-877.5-SUM(BE49:BG49)</f>
        <v>-374.3</v>
      </c>
      <c r="BI49" s="237">
        <f t="shared" si="62"/>
        <v>-877.5</v>
      </c>
      <c r="BJ49" s="50"/>
      <c r="BK49" s="700">
        <v>-5.4</v>
      </c>
      <c r="BL49" s="968">
        <f>-6.6-BK49</f>
        <v>-1.1999999999999993</v>
      </c>
      <c r="BM49" s="968">
        <f>-16.2-SUM(BK49:BL49)</f>
        <v>-9.6</v>
      </c>
      <c r="BN49" s="252">
        <f>-16.7-SUM(BK49:BM49)</f>
        <v>-0.5</v>
      </c>
      <c r="BO49" s="237">
        <f t="shared" si="64"/>
        <v>-16.7</v>
      </c>
      <c r="BP49" s="50"/>
      <c r="BQ49" s="237">
        <f>IF(('BalSht '!BQ33-'BalSht '!BO33)&gt;0,0,'BalSht '!BQ33-'BalSht '!BO33)</f>
        <v>-10.899999999999864</v>
      </c>
      <c r="BR49" s="237">
        <f>IF(('BalSht '!BR33-'BalSht '!BQ33)&gt;0,0,'BalSht '!BR33-'BalSht '!BQ33)</f>
        <v>0</v>
      </c>
      <c r="BS49" s="237">
        <f>IF(('BalSht '!BS33-'BalSht '!BR33)&gt;0,0,'BalSht '!BS33-'BalSht '!BR33)</f>
        <v>0</v>
      </c>
      <c r="BT49" s="237">
        <f>IF(('BalSht '!BT33-'BalSht '!BS33)&gt;0,0,'BalSht '!BT33-'BalSht '!BS33)</f>
        <v>0</v>
      </c>
      <c r="BU49" s="237">
        <f t="shared" si="65"/>
        <v>-10.899999999999864</v>
      </c>
      <c r="BV49" s="50"/>
      <c r="BW49" s="237">
        <f>IF(('BalSht '!BW33-'BalSht '!BU33)&gt;0,0,'BalSht '!BW33-'BalSht '!BU33)</f>
        <v>0</v>
      </c>
      <c r="BX49" s="237">
        <f>IF(('BalSht '!BX33-'BalSht '!BW33)&gt;0,0,'BalSht '!BX33-'BalSht '!BW33)</f>
        <v>0</v>
      </c>
      <c r="BY49" s="237">
        <f>IF(('BalSht '!BY33-'BalSht '!BX33)&gt;0,0,'BalSht '!BY33-'BalSht '!BX33)</f>
        <v>0</v>
      </c>
      <c r="BZ49" s="237">
        <f>IF(('BalSht '!BZ33-'BalSht '!BY33)&gt;0,0,'BalSht '!BZ33-'BalSht '!BY33)</f>
        <v>0</v>
      </c>
      <c r="CA49" s="237">
        <f t="shared" si="66"/>
        <v>0</v>
      </c>
      <c r="CB49" s="50"/>
      <c r="CC49" s="237">
        <f>IF(('BalSht '!CC33-'BalSht '!CA33)&gt;0,0,'BalSht '!CC33-'BalSht '!CA33)</f>
        <v>0</v>
      </c>
      <c r="CD49" s="237">
        <f>IF(('BalSht '!CD33-'BalSht '!CC33)&gt;0,0,'BalSht '!CD33-'BalSht '!CC33)</f>
        <v>0</v>
      </c>
      <c r="CE49" s="237">
        <f>IF(('BalSht '!CE33-'BalSht '!CD33)&gt;0,0,'BalSht '!CE33-'BalSht '!CD33)</f>
        <v>0</v>
      </c>
      <c r="CF49" s="237">
        <f>IF(('BalSht '!CF33-'BalSht '!CE33)&gt;0,0,'BalSht '!CF33-'BalSht '!CE33)</f>
        <v>0</v>
      </c>
      <c r="CG49" s="237">
        <f t="shared" si="67"/>
        <v>0</v>
      </c>
      <c r="CQ49" s="301"/>
    </row>
    <row r="50" spans="1:95" ht="11.25" customHeight="1" x14ac:dyDescent="0.2">
      <c r="A50" s="301"/>
      <c r="B50" s="283" t="s">
        <v>278</v>
      </c>
      <c r="C50" s="233">
        <v>13.262</v>
      </c>
      <c r="D50" s="233">
        <f>26.312-C50</f>
        <v>13.05</v>
      </c>
      <c r="E50" s="233">
        <f>38.696-SUM(C50:D50)</f>
        <v>12.383999999999997</v>
      </c>
      <c r="F50" s="233">
        <f>45.594-SUM(C50:E50)</f>
        <v>6.8980000000000032</v>
      </c>
      <c r="G50" s="234">
        <f t="shared" si="54"/>
        <v>45.594000000000001</v>
      </c>
      <c r="H50" s="86"/>
      <c r="I50" s="233">
        <v>3.016</v>
      </c>
      <c r="J50" s="233">
        <f>5.741-I50</f>
        <v>2.7249999999999996</v>
      </c>
      <c r="K50" s="233">
        <f>11.99-SUM(I50:J50)</f>
        <v>6.2490000000000006</v>
      </c>
      <c r="L50" s="233">
        <f>12.726-SUM(I50:K50)</f>
        <v>0.73600000000000065</v>
      </c>
      <c r="M50" s="234">
        <f t="shared" si="55"/>
        <v>12.726000000000001</v>
      </c>
      <c r="N50" s="86"/>
      <c r="O50" s="233">
        <v>1.36</v>
      </c>
      <c r="P50" s="233">
        <f>5.85-O50</f>
        <v>4.4899999999999993</v>
      </c>
      <c r="Q50" s="233">
        <f>9.451-SUM(O50:P50)</f>
        <v>3.6010000000000009</v>
      </c>
      <c r="R50" s="233">
        <f>13.406-SUM(O50:Q50)</f>
        <v>3.9550000000000001</v>
      </c>
      <c r="S50" s="234">
        <f t="shared" si="56"/>
        <v>13.406000000000001</v>
      </c>
      <c r="T50" s="86"/>
      <c r="U50" s="233">
        <v>7.4029999999999996</v>
      </c>
      <c r="V50" s="240">
        <f>25.845-U50</f>
        <v>18.442</v>
      </c>
      <c r="W50" s="240">
        <f>26.932-SUM(U50:V50)</f>
        <v>1.0869999999999997</v>
      </c>
      <c r="X50" s="233">
        <f>30.189-SUM(U50:W50)</f>
        <v>3.2570000000000014</v>
      </c>
      <c r="Y50" s="234">
        <f t="shared" si="57"/>
        <v>30.189</v>
      </c>
      <c r="Z50" s="86"/>
      <c r="AA50" s="233">
        <v>22.170999999999999</v>
      </c>
      <c r="AB50" s="233">
        <f>33.993-AA50</f>
        <v>11.822000000000003</v>
      </c>
      <c r="AC50" s="240">
        <v>2.2999999999999998</v>
      </c>
      <c r="AD50" s="240">
        <f>42.275-AC50-AB50-AA50</f>
        <v>5.9819999999999993</v>
      </c>
      <c r="AE50" s="234">
        <f t="shared" si="63"/>
        <v>42.274999999999999</v>
      </c>
      <c r="AF50" s="86"/>
      <c r="AG50" s="233">
        <v>14.483000000000001</v>
      </c>
      <c r="AH50" s="233">
        <f>20.066-AG50</f>
        <v>5.5829999999999984</v>
      </c>
      <c r="AI50" s="240">
        <f>24.83-AH50-AG50</f>
        <v>4.7639999999999993</v>
      </c>
      <c r="AJ50" s="240">
        <f>34.183-AI50-AH50-AG50</f>
        <v>9.3530000000000015</v>
      </c>
      <c r="AK50" s="234">
        <f t="shared" si="58"/>
        <v>34.183</v>
      </c>
      <c r="AL50" s="86"/>
      <c r="AM50" s="233">
        <v>13.577999999999999</v>
      </c>
      <c r="AN50" s="233">
        <f>31.213-AM50</f>
        <v>17.635000000000002</v>
      </c>
      <c r="AO50" s="240">
        <f>48.35-AN50-AM50</f>
        <v>17.137</v>
      </c>
      <c r="AP50" s="240">
        <f>66.913-AO50-AN50-AM50</f>
        <v>18.562999999999992</v>
      </c>
      <c r="AQ50" s="234">
        <f t="shared" si="59"/>
        <v>66.912999999999997</v>
      </c>
      <c r="AR50" s="86"/>
      <c r="AS50" s="233">
        <v>4.149</v>
      </c>
      <c r="AT50" s="233">
        <f>12.736-AS50</f>
        <v>8.5869999999999997</v>
      </c>
      <c r="AU50" s="233">
        <f>18.733-AT50-AS50</f>
        <v>5.9970000000000008</v>
      </c>
      <c r="AV50" s="240">
        <f>49.024-SUM(AS50:AU50)</f>
        <v>30.291</v>
      </c>
      <c r="AW50" s="234">
        <f t="shared" si="60"/>
        <v>49.024000000000001</v>
      </c>
      <c r="AX50" s="86"/>
      <c r="AY50" s="536">
        <v>14.065</v>
      </c>
      <c r="AZ50" s="536">
        <v>4.5320000000000018</v>
      </c>
      <c r="BA50" s="536">
        <v>8.6029999999999998</v>
      </c>
      <c r="BB50" s="252">
        <v>8.2999999999999954</v>
      </c>
      <c r="BC50" s="237">
        <f t="shared" si="61"/>
        <v>35.5</v>
      </c>
      <c r="BD50" s="50"/>
      <c r="BE50" s="700">
        <v>7.4</v>
      </c>
      <c r="BF50" s="700">
        <f>20.4-BE50</f>
        <v>12.999999999999998</v>
      </c>
      <c r="BG50" s="968">
        <f>26.8-SUM(BE50:BF50)</f>
        <v>6.4000000000000021</v>
      </c>
      <c r="BH50" s="252">
        <f>41-SUM(BE50:BG50)</f>
        <v>14.2</v>
      </c>
      <c r="BI50" s="237">
        <f t="shared" si="62"/>
        <v>41</v>
      </c>
      <c r="BJ50" s="50"/>
      <c r="BK50" s="700">
        <v>29.4</v>
      </c>
      <c r="BL50" s="968">
        <f>45.4-BK50</f>
        <v>16</v>
      </c>
      <c r="BM50" s="968">
        <f>52.9-SUM(BK50:BL50)</f>
        <v>7.5</v>
      </c>
      <c r="BN50" s="252">
        <f>82.3-SUM(BK50:BM50)</f>
        <v>29.4</v>
      </c>
      <c r="BO50" s="237">
        <f t="shared" si="64"/>
        <v>82.3</v>
      </c>
      <c r="BP50" s="50"/>
      <c r="BQ50" s="237">
        <f>BQ140</f>
        <v>8.1751736423175707</v>
      </c>
      <c r="BR50" s="237">
        <f>BR140</f>
        <v>10.881418326950199</v>
      </c>
      <c r="BS50" s="237">
        <f>BS140</f>
        <v>10.309672547018934</v>
      </c>
      <c r="BT50" s="237">
        <f>BT140</f>
        <v>9.6388607152597121</v>
      </c>
      <c r="BU50" s="237">
        <f t="shared" si="65"/>
        <v>39.005125231546415</v>
      </c>
      <c r="BV50" s="50"/>
      <c r="BW50" s="237">
        <f>BW140</f>
        <v>11.320684442977617</v>
      </c>
      <c r="BX50" s="237">
        <f>BX140</f>
        <v>14.988253248470169</v>
      </c>
      <c r="BY50" s="237">
        <f>BY140</f>
        <v>14.093771888331023</v>
      </c>
      <c r="BZ50" s="237">
        <f>BZ140</f>
        <v>13.173673793035233</v>
      </c>
      <c r="CA50" s="237">
        <f t="shared" si="66"/>
        <v>53.57638337281405</v>
      </c>
      <c r="CB50" s="50"/>
      <c r="CC50" s="237">
        <f>CC140</f>
        <v>15.326966205046235</v>
      </c>
      <c r="CD50" s="237">
        <f>CD140</f>
        <v>20.254834425964869</v>
      </c>
      <c r="CE50" s="237">
        <f>CE140</f>
        <v>18.93546533483633</v>
      </c>
      <c r="CF50" s="237">
        <f>CF140</f>
        <v>17.697102986903403</v>
      </c>
      <c r="CG50" s="237">
        <f t="shared" si="67"/>
        <v>72.214368952750846</v>
      </c>
      <c r="CQ50" s="301"/>
    </row>
    <row r="51" spans="1:95" ht="11.25" customHeight="1" x14ac:dyDescent="0.2">
      <c r="A51" s="301"/>
      <c r="B51" s="283" t="s">
        <v>253</v>
      </c>
      <c r="C51" s="233">
        <v>1.0960000000000001</v>
      </c>
      <c r="D51" s="233">
        <f>3.659-C51</f>
        <v>2.5629999999999997</v>
      </c>
      <c r="E51" s="233">
        <f>5.412-SUM(C51:D51)</f>
        <v>1.7530000000000001</v>
      </c>
      <c r="F51" s="233">
        <f>11.414-SUM(C51:E51)</f>
        <v>6.0019999999999998</v>
      </c>
      <c r="G51" s="234">
        <f t="shared" si="54"/>
        <v>11.414</v>
      </c>
      <c r="H51" s="86"/>
      <c r="I51" s="233">
        <v>1.139</v>
      </c>
      <c r="J51" s="233">
        <f>2.008-I51</f>
        <v>0.86899999999999999</v>
      </c>
      <c r="K51" s="233">
        <f>3.575-SUM(I51:J51)</f>
        <v>1.5670000000000002</v>
      </c>
      <c r="L51" s="233">
        <f>3.91-SUM(I51:K51)</f>
        <v>0.33499999999999996</v>
      </c>
      <c r="M51" s="234">
        <f t="shared" si="55"/>
        <v>3.91</v>
      </c>
      <c r="N51" s="86"/>
      <c r="O51" s="233">
        <v>0.59199999999999997</v>
      </c>
      <c r="P51" s="233">
        <f>2.003-O51</f>
        <v>1.411</v>
      </c>
      <c r="Q51" s="233">
        <f>2.921-SUM(O51:P51)</f>
        <v>0.91799999999999971</v>
      </c>
      <c r="R51" s="233">
        <f>3.505-SUM(O51:Q51)</f>
        <v>0.58400000000000007</v>
      </c>
      <c r="S51" s="234">
        <f t="shared" si="56"/>
        <v>3.5049999999999999</v>
      </c>
      <c r="T51" s="86"/>
      <c r="U51" s="233">
        <v>1.8979999999999999</v>
      </c>
      <c r="V51" s="240">
        <f>4.666-U51</f>
        <v>2.7680000000000007</v>
      </c>
      <c r="W51" s="240">
        <f>4.784-SUM(U51:V51)</f>
        <v>0.11799999999999944</v>
      </c>
      <c r="X51" s="233">
        <f>4.663-SUM(U51:W51)</f>
        <v>-0.12099999999999955</v>
      </c>
      <c r="Y51" s="234">
        <f t="shared" si="57"/>
        <v>4.6630000000000003</v>
      </c>
      <c r="Z51" s="86"/>
      <c r="AA51" s="233">
        <v>4.3710000000000004</v>
      </c>
      <c r="AB51" s="233">
        <f>6.217-AA51</f>
        <v>1.8459999999999992</v>
      </c>
      <c r="AC51" s="240">
        <v>0.4870000000000001</v>
      </c>
      <c r="AD51" s="240">
        <f>1.039-AC51-AB51-AA51</f>
        <v>-5.665</v>
      </c>
      <c r="AE51" s="234">
        <f t="shared" si="63"/>
        <v>1.0389999999999997</v>
      </c>
      <c r="AF51" s="86"/>
      <c r="AG51" s="233">
        <v>3.879</v>
      </c>
      <c r="AH51" s="233">
        <f>5.163-AG51</f>
        <v>1.2840000000000003</v>
      </c>
      <c r="AI51" s="240">
        <f>11.201-AH51-AG51</f>
        <v>6.0380000000000003</v>
      </c>
      <c r="AJ51" s="240">
        <f>13.009-AI51-AH51-AG51</f>
        <v>1.8079999999999994</v>
      </c>
      <c r="AK51" s="234">
        <f t="shared" si="58"/>
        <v>13.009</v>
      </c>
      <c r="AL51" s="86"/>
      <c r="AM51" s="233">
        <v>0.60299999999999998</v>
      </c>
      <c r="AN51" s="233">
        <f>1.122-AM51</f>
        <v>0.51900000000000013</v>
      </c>
      <c r="AO51" s="240">
        <f>2.262-AN51-AM51</f>
        <v>1.1399999999999999</v>
      </c>
      <c r="AP51" s="240">
        <f>2.406-AO51-AN51-AM51</f>
        <v>0.14400000000000013</v>
      </c>
      <c r="AQ51" s="234">
        <f t="shared" si="59"/>
        <v>2.4060000000000001</v>
      </c>
      <c r="AR51" s="86"/>
      <c r="AS51" s="233">
        <v>6.9000000000000006E-2</v>
      </c>
      <c r="AT51" s="233">
        <f>0.349-AS51</f>
        <v>0.27999999999999997</v>
      </c>
      <c r="AU51" s="536">
        <f>0.365-AT51-AS51</f>
        <v>1.6000000000000014E-2</v>
      </c>
      <c r="AV51" s="240">
        <f>2.093-SUM(AS51:AU51)</f>
        <v>1.728</v>
      </c>
      <c r="AW51" s="234">
        <f t="shared" si="60"/>
        <v>2.093</v>
      </c>
      <c r="AX51" s="86"/>
      <c r="AY51" s="536">
        <v>0.38100000000000001</v>
      </c>
      <c r="AZ51" s="536">
        <v>8.4409999999999989</v>
      </c>
      <c r="BA51" s="536">
        <v>1.178000000000001</v>
      </c>
      <c r="BB51" s="252">
        <v>1.5999999999999999</v>
      </c>
      <c r="BC51" s="237">
        <f>SUM(AY51:BB51)</f>
        <v>11.6</v>
      </c>
      <c r="BD51" s="50"/>
      <c r="BE51" s="700">
        <v>0</v>
      </c>
      <c r="BF51" s="700">
        <v>0</v>
      </c>
      <c r="BG51" s="968">
        <v>0</v>
      </c>
      <c r="BH51" s="252">
        <v>0</v>
      </c>
      <c r="BI51" s="237">
        <f t="shared" si="62"/>
        <v>0</v>
      </c>
      <c r="BJ51" s="50"/>
      <c r="BK51" s="700">
        <v>0</v>
      </c>
      <c r="BL51" s="968">
        <f t="shared" si="71"/>
        <v>0</v>
      </c>
      <c r="BM51" s="968">
        <f t="shared" si="72"/>
        <v>0</v>
      </c>
      <c r="BN51" s="252">
        <v>0</v>
      </c>
      <c r="BO51" s="237">
        <f t="shared" si="64"/>
        <v>0</v>
      </c>
      <c r="BP51" s="50"/>
      <c r="BQ51" s="700">
        <v>0</v>
      </c>
      <c r="BR51" s="700">
        <v>0</v>
      </c>
      <c r="BS51" s="700">
        <v>0</v>
      </c>
      <c r="BT51" s="700">
        <v>0</v>
      </c>
      <c r="BU51" s="237">
        <f t="shared" si="65"/>
        <v>0</v>
      </c>
      <c r="BV51" s="50"/>
      <c r="BW51" s="700">
        <v>0</v>
      </c>
      <c r="BX51" s="700">
        <v>0</v>
      </c>
      <c r="BY51" s="700">
        <v>0</v>
      </c>
      <c r="BZ51" s="700">
        <v>0</v>
      </c>
      <c r="CA51" s="237">
        <f t="shared" si="66"/>
        <v>0</v>
      </c>
      <c r="CB51" s="50"/>
      <c r="CC51" s="700">
        <v>0</v>
      </c>
      <c r="CD51" s="700">
        <v>0</v>
      </c>
      <c r="CE51" s="700">
        <v>0</v>
      </c>
      <c r="CF51" s="700">
        <v>0</v>
      </c>
      <c r="CG51" s="237">
        <f t="shared" si="67"/>
        <v>0</v>
      </c>
      <c r="CQ51" s="301"/>
    </row>
    <row r="52" spans="1:95" ht="11.25" customHeight="1" x14ac:dyDescent="0.2">
      <c r="A52" s="301"/>
      <c r="B52" s="416" t="s">
        <v>190</v>
      </c>
      <c r="C52" s="233"/>
      <c r="D52" s="233"/>
      <c r="E52" s="233"/>
      <c r="F52" s="233"/>
      <c r="G52" s="233">
        <v>0</v>
      </c>
      <c r="H52" s="233"/>
      <c r="I52" s="233">
        <v>0</v>
      </c>
      <c r="J52" s="233">
        <v>0</v>
      </c>
      <c r="K52" s="233">
        <v>0</v>
      </c>
      <c r="L52" s="233">
        <v>0</v>
      </c>
      <c r="M52" s="233">
        <v>0</v>
      </c>
      <c r="N52" s="233"/>
      <c r="O52" s="233">
        <v>0</v>
      </c>
      <c r="P52" s="233">
        <v>0</v>
      </c>
      <c r="Q52" s="233">
        <v>0</v>
      </c>
      <c r="R52" s="233">
        <v>0</v>
      </c>
      <c r="S52" s="233">
        <v>0</v>
      </c>
      <c r="T52" s="233"/>
      <c r="U52" s="233">
        <v>0</v>
      </c>
      <c r="V52" s="233">
        <v>0</v>
      </c>
      <c r="W52" s="233">
        <v>0</v>
      </c>
      <c r="X52" s="233">
        <v>0</v>
      </c>
      <c r="Y52" s="233">
        <v>0</v>
      </c>
      <c r="Z52" s="86"/>
      <c r="AA52" s="233">
        <v>0</v>
      </c>
      <c r="AB52" s="233">
        <v>0</v>
      </c>
      <c r="AC52" s="233">
        <v>-34.628</v>
      </c>
      <c r="AD52" s="240">
        <f>-34.628-3.853-AC52-AB52-AA52</f>
        <v>-3.8530000000000015</v>
      </c>
      <c r="AE52" s="234">
        <f t="shared" si="63"/>
        <v>-38.481000000000002</v>
      </c>
      <c r="AF52" s="485"/>
      <c r="AG52" s="233">
        <v>-0.8</v>
      </c>
      <c r="AH52" s="233">
        <f>-1.135-AG52</f>
        <v>-0.33499999999999996</v>
      </c>
      <c r="AI52" s="233">
        <f>-1.229-AH52-AG52</f>
        <v>-9.4000000000000083E-2</v>
      </c>
      <c r="AJ52" s="240">
        <f>-1.108-AI52-AH52-AG52</f>
        <v>0.121</v>
      </c>
      <c r="AK52" s="234">
        <f t="shared" si="58"/>
        <v>-1.1080000000000001</v>
      </c>
      <c r="AL52" s="485"/>
      <c r="AM52" s="233">
        <f>-0.306+0.464</f>
        <v>0.15800000000000003</v>
      </c>
      <c r="AN52" s="233">
        <f>-0.08+0.025-AM52</f>
        <v>-0.21300000000000002</v>
      </c>
      <c r="AO52" s="233">
        <f>-0.129+0.021-AN52-AM52</f>
        <v>-5.3000000000000005E-2</v>
      </c>
      <c r="AP52" s="240">
        <f>-49.659+0.007-AO52-AN52-AM52</f>
        <v>-49.544000000000004</v>
      </c>
      <c r="AQ52" s="234">
        <f t="shared" si="59"/>
        <v>-49.652000000000001</v>
      </c>
      <c r="AR52" s="485"/>
      <c r="AS52" s="233">
        <v>0</v>
      </c>
      <c r="AT52" s="233">
        <f>0-AS52</f>
        <v>0</v>
      </c>
      <c r="AU52" s="233">
        <f>0-AT52-AS52</f>
        <v>0</v>
      </c>
      <c r="AV52" s="240">
        <f>-0.033-SUM(AS52:AU52)</f>
        <v>-3.3000000000000002E-2</v>
      </c>
      <c r="AW52" s="234">
        <f t="shared" si="60"/>
        <v>-3.3000000000000002E-2</v>
      </c>
      <c r="AX52" s="485"/>
      <c r="AY52" s="536">
        <v>0</v>
      </c>
      <c r="AZ52" s="536">
        <v>0</v>
      </c>
      <c r="BA52" s="536">
        <v>0</v>
      </c>
      <c r="BB52" s="252">
        <v>0</v>
      </c>
      <c r="BC52" s="237">
        <f>SUM(AY52:BB52)</f>
        <v>0</v>
      </c>
      <c r="BD52" s="50"/>
      <c r="BE52" s="700">
        <v>0</v>
      </c>
      <c r="BF52" s="700">
        <f t="shared" si="68"/>
        <v>0</v>
      </c>
      <c r="BG52" s="968">
        <f t="shared" si="69"/>
        <v>0</v>
      </c>
      <c r="BH52" s="252">
        <f>0-SUM(BE52:BG52)</f>
        <v>0</v>
      </c>
      <c r="BI52" s="237">
        <f t="shared" si="62"/>
        <v>0</v>
      </c>
      <c r="BJ52" s="50"/>
      <c r="BK52" s="700">
        <v>0</v>
      </c>
      <c r="BL52" s="968">
        <f t="shared" si="71"/>
        <v>0</v>
      </c>
      <c r="BM52" s="968">
        <f t="shared" si="72"/>
        <v>0</v>
      </c>
      <c r="BN52" s="252">
        <f>0-SUM(BK52:BM52)</f>
        <v>0</v>
      </c>
      <c r="BO52" s="237">
        <f t="shared" si="64"/>
        <v>0</v>
      </c>
      <c r="BP52" s="50"/>
      <c r="BQ52" s="700">
        <v>0</v>
      </c>
      <c r="BR52" s="700">
        <v>0</v>
      </c>
      <c r="BS52" s="700">
        <v>0</v>
      </c>
      <c r="BT52" s="700">
        <v>0</v>
      </c>
      <c r="BU52" s="237">
        <f t="shared" si="65"/>
        <v>0</v>
      </c>
      <c r="BV52" s="50"/>
      <c r="BW52" s="700">
        <v>0</v>
      </c>
      <c r="BX52" s="700">
        <v>0</v>
      </c>
      <c r="BY52" s="700">
        <v>0</v>
      </c>
      <c r="BZ52" s="700">
        <v>0</v>
      </c>
      <c r="CA52" s="237">
        <f t="shared" si="66"/>
        <v>0</v>
      </c>
      <c r="CB52" s="50"/>
      <c r="CC52" s="700">
        <v>0</v>
      </c>
      <c r="CD52" s="700">
        <v>0</v>
      </c>
      <c r="CE52" s="700">
        <v>0</v>
      </c>
      <c r="CF52" s="700">
        <v>0</v>
      </c>
      <c r="CG52" s="237">
        <f t="shared" si="67"/>
        <v>0</v>
      </c>
      <c r="CQ52" s="301"/>
    </row>
    <row r="53" spans="1:95" ht="4.5" customHeight="1" x14ac:dyDescent="0.2">
      <c r="A53" s="301"/>
      <c r="B53" s="283"/>
      <c r="C53" s="233"/>
      <c r="D53" s="233"/>
      <c r="E53" s="233"/>
      <c r="F53" s="233"/>
      <c r="G53" s="234"/>
      <c r="H53" s="86"/>
      <c r="I53" s="233"/>
      <c r="J53" s="233"/>
      <c r="K53" s="233"/>
      <c r="L53" s="233"/>
      <c r="M53" s="234"/>
      <c r="N53" s="86"/>
      <c r="O53" s="233"/>
      <c r="P53" s="233"/>
      <c r="Q53" s="233"/>
      <c r="R53" s="233"/>
      <c r="S53" s="234"/>
      <c r="T53" s="86"/>
      <c r="U53" s="233"/>
      <c r="V53" s="233"/>
      <c r="W53" s="240"/>
      <c r="X53" s="233"/>
      <c r="Y53" s="234"/>
      <c r="Z53" s="86"/>
      <c r="AA53" s="233"/>
      <c r="AB53" s="233"/>
      <c r="AC53" s="233"/>
      <c r="AD53" s="233"/>
      <c r="AE53" s="234"/>
      <c r="AF53" s="86"/>
      <c r="AG53" s="233"/>
      <c r="AH53" s="233"/>
      <c r="AI53" s="233"/>
      <c r="AJ53" s="233"/>
      <c r="AK53" s="234"/>
      <c r="AL53" s="86"/>
      <c r="AM53" s="233"/>
      <c r="AN53" s="233"/>
      <c r="AO53" s="233"/>
      <c r="AP53" s="233"/>
      <c r="AQ53" s="234"/>
      <c r="AR53" s="86"/>
      <c r="AS53" s="233"/>
      <c r="AT53" s="233"/>
      <c r="AU53" s="240"/>
      <c r="AV53" s="240"/>
      <c r="AW53" s="234"/>
      <c r="AX53" s="86"/>
      <c r="AY53" s="233"/>
      <c r="AZ53" s="233"/>
      <c r="BA53" s="233"/>
      <c r="BB53" s="240"/>
      <c r="BC53" s="237"/>
      <c r="BD53" s="50"/>
      <c r="BE53" s="240"/>
      <c r="BF53" s="240"/>
      <c r="BG53" s="240"/>
      <c r="BH53" s="240"/>
      <c r="BI53" s="237"/>
      <c r="BJ53" s="50"/>
      <c r="BK53" s="240"/>
      <c r="BL53" s="240"/>
      <c r="BM53" s="240"/>
      <c r="BN53" s="240"/>
      <c r="BO53" s="237"/>
      <c r="BP53" s="50"/>
      <c r="BQ53" s="240"/>
      <c r="BR53" s="240"/>
      <c r="BS53" s="240"/>
      <c r="BT53" s="240"/>
      <c r="BU53" s="237"/>
      <c r="BV53" s="50"/>
      <c r="BW53" s="240"/>
      <c r="BX53" s="240"/>
      <c r="BY53" s="240"/>
      <c r="BZ53" s="240"/>
      <c r="CA53" s="237"/>
      <c r="CB53" s="50"/>
      <c r="CC53" s="240"/>
      <c r="CD53" s="240"/>
      <c r="CE53" s="240"/>
      <c r="CF53" s="240"/>
      <c r="CG53" s="237"/>
      <c r="CQ53" s="301"/>
    </row>
    <row r="54" spans="1:95" ht="11.25" customHeight="1" x14ac:dyDescent="0.2">
      <c r="A54" s="301"/>
      <c r="B54" s="283" t="s">
        <v>281</v>
      </c>
      <c r="C54" s="247">
        <f>SUM(C43:C51)</f>
        <v>46.685000000000002</v>
      </c>
      <c r="D54" s="247">
        <f>SUM(D43:D51)</f>
        <v>-39.888999999999996</v>
      </c>
      <c r="E54" s="247">
        <f>SUM(E43:E51)</f>
        <v>54.147999999999996</v>
      </c>
      <c r="F54" s="247">
        <f>SUM(F43:F51)</f>
        <v>-57.700999999999993</v>
      </c>
      <c r="G54" s="247">
        <f>SUM(G43:G51)</f>
        <v>3.2430000000000216</v>
      </c>
      <c r="H54" s="86"/>
      <c r="I54" s="247">
        <f>SUM(I43:I51)</f>
        <v>-7.7809999999999926</v>
      </c>
      <c r="J54" s="247">
        <f>SUM(J43:J51)</f>
        <v>-12.167</v>
      </c>
      <c r="K54" s="247">
        <f>SUM(K43:K51)</f>
        <v>-171.16900000000001</v>
      </c>
      <c r="L54" s="247">
        <f>SUM(L43:L51)</f>
        <v>-37.968999999999987</v>
      </c>
      <c r="M54" s="247">
        <f>SUM(M43:M51)</f>
        <v>-229.08599999999998</v>
      </c>
      <c r="N54" s="86"/>
      <c r="O54" s="247">
        <f>SUM(O43:O51)</f>
        <v>46.265999999999998</v>
      </c>
      <c r="P54" s="247">
        <f>SUM(P43:P51)</f>
        <v>-81.90800000000003</v>
      </c>
      <c r="Q54" s="247">
        <f>SUM(Q43:Q51)</f>
        <v>-54.253999999999998</v>
      </c>
      <c r="R54" s="247">
        <f>SUM(R43:R51)</f>
        <v>18.475999999999981</v>
      </c>
      <c r="S54" s="247">
        <f>SUM(S43:S51)</f>
        <v>-71.420000000000016</v>
      </c>
      <c r="T54" s="86"/>
      <c r="U54" s="247">
        <f>SUM(U43:U51)</f>
        <v>-29.035999999999991</v>
      </c>
      <c r="V54" s="247">
        <f>SUM(V43:V51)</f>
        <v>-128.16900000000001</v>
      </c>
      <c r="W54" s="247">
        <f>SUM(W43:W51)</f>
        <v>70.281999999999996</v>
      </c>
      <c r="X54" s="247">
        <f>SUM(X43:X51)</f>
        <v>-14.478000000000005</v>
      </c>
      <c r="Y54" s="247">
        <f>SUM(Y43:Y51)</f>
        <v>-101.40100000000005</v>
      </c>
      <c r="Z54" s="86"/>
      <c r="AA54" s="247">
        <f>SUM(AA43:AA52)</f>
        <v>-1.7159999999999958</v>
      </c>
      <c r="AB54" s="247">
        <f>SUM(AB43:AB52)</f>
        <v>-34.423000000000002</v>
      </c>
      <c r="AC54" s="247">
        <f>SUM(AC43:AC52)</f>
        <v>1120.7760000000003</v>
      </c>
      <c r="AD54" s="247">
        <f>SUM(AD43:AD52)</f>
        <v>-82.256000000000171</v>
      </c>
      <c r="AE54" s="247">
        <f>SUM(AE43:AE52)</f>
        <v>1002.3809999999996</v>
      </c>
      <c r="AF54" s="86"/>
      <c r="AG54" s="247">
        <f>SUM(AG43:AG52)</f>
        <v>-12.38</v>
      </c>
      <c r="AH54" s="247">
        <f>SUM(AH43:AH52)</f>
        <v>-55.034000000000013</v>
      </c>
      <c r="AI54" s="247">
        <f>SUM(AI43:AI52)</f>
        <v>-78.171000000000006</v>
      </c>
      <c r="AJ54" s="247">
        <f>SUM(AJ43:AJ52)</f>
        <v>-110.02400000000002</v>
      </c>
      <c r="AK54" s="247">
        <f>SUM(AK43:AK52)</f>
        <v>-255.60900000000004</v>
      </c>
      <c r="AL54" s="86"/>
      <c r="AM54" s="247">
        <f>SUM(AM43:AM52)</f>
        <v>13.602999999999998</v>
      </c>
      <c r="AN54" s="247">
        <f>SUM(AN43:AN52)</f>
        <v>-29.039000000000001</v>
      </c>
      <c r="AO54" s="247">
        <f>SUM(AO43:AO52)</f>
        <v>-109.21400000000001</v>
      </c>
      <c r="AP54" s="247">
        <f>SUM(AP43:AP52)</f>
        <v>-37.035000000000018</v>
      </c>
      <c r="AQ54" s="247">
        <f>SUM(AQ43:AQ52)</f>
        <v>-161.68500000000003</v>
      </c>
      <c r="AR54" s="86"/>
      <c r="AS54" s="247">
        <f>SUM(AS43:AS52)</f>
        <v>-55.477000000000011</v>
      </c>
      <c r="AT54" s="247">
        <f>SUM(AT43:AT52)</f>
        <v>-117.96799999999998</v>
      </c>
      <c r="AU54" s="247">
        <f>SUM(AU43:AU52)</f>
        <v>-90.926000000000045</v>
      </c>
      <c r="AV54" s="247">
        <f>SUM(AV43:AV52)</f>
        <v>-71.811999999999955</v>
      </c>
      <c r="AW54" s="247">
        <f>SUM(AW43:AW52)</f>
        <v>-336.18300000000005</v>
      </c>
      <c r="AX54" s="86"/>
      <c r="AY54" s="247">
        <f>SUM(AY43:AY52)</f>
        <v>-100.41200000000001</v>
      </c>
      <c r="AZ54" s="247">
        <f>SUM(AZ43:AZ52)</f>
        <v>-138.05299999999994</v>
      </c>
      <c r="BA54" s="247">
        <f>SUM(BA43:BA52)</f>
        <v>-55.490000000000009</v>
      </c>
      <c r="BB54" s="482">
        <f>SUM(BB43:BB52)</f>
        <v>-8.8999999999999879</v>
      </c>
      <c r="BC54" s="482">
        <f>SUM(BC43:BC52)</f>
        <v>-302.85499999999996</v>
      </c>
      <c r="BD54" s="50"/>
      <c r="BE54" s="247">
        <f>SUM(BE43:BE52)</f>
        <v>-481.20000000000005</v>
      </c>
      <c r="BF54" s="247">
        <f>SUM(BF43:BF52)</f>
        <v>-178.2</v>
      </c>
      <c r="BG54" s="247">
        <f>SUM(BG43:BG52)</f>
        <v>234.60000000000011</v>
      </c>
      <c r="BH54" s="482">
        <f>SUM(BH43:BH52)</f>
        <v>-114.10000000000009</v>
      </c>
      <c r="BI54" s="482">
        <f>SUM(BI43:BI52)</f>
        <v>-538.90000000000009</v>
      </c>
      <c r="BJ54" s="50"/>
      <c r="BK54" s="247">
        <f>SUM(BK43:BK52)</f>
        <v>-67.600000000000023</v>
      </c>
      <c r="BL54" s="247">
        <f>SUM(BL43:BL52)</f>
        <v>-78.899999999999991</v>
      </c>
      <c r="BM54" s="247">
        <f>SUM(BM43:BM52)</f>
        <v>-22.100000000000009</v>
      </c>
      <c r="BN54" s="482">
        <f>SUM(BN43:BN52)</f>
        <v>-232.19999999999996</v>
      </c>
      <c r="BO54" s="482">
        <f>SUM(BO43:BO52)</f>
        <v>-400.79999999999995</v>
      </c>
      <c r="BP54" s="50"/>
      <c r="BQ54" s="247">
        <f>SUM(BQ43:BQ52)</f>
        <v>-145.51474451065721</v>
      </c>
      <c r="BR54" s="247">
        <f>SUM(BR43:BR52)</f>
        <v>-133.87795741392017</v>
      </c>
      <c r="BS54" s="247">
        <f>SUM(BS43:BS52)</f>
        <v>-134.28820495431796</v>
      </c>
      <c r="BT54" s="482">
        <f>SUM(BT43:BT52)</f>
        <v>-132.58420490874533</v>
      </c>
      <c r="BU54" s="482">
        <f>SUM(BU43:BU52)</f>
        <v>-546.26511178764065</v>
      </c>
      <c r="BV54" s="50"/>
      <c r="BW54" s="247">
        <f>SUM(BW43:BW52)</f>
        <v>-155.87530638232644</v>
      </c>
      <c r="BX54" s="247">
        <f>SUM(BX43:BX52)</f>
        <v>-154.11480130461763</v>
      </c>
      <c r="BY54" s="247">
        <f>SUM(BY43:BY52)</f>
        <v>-154.83004337707058</v>
      </c>
      <c r="BZ54" s="482">
        <f>SUM(BZ43:BZ52)</f>
        <v>-153.43421843958274</v>
      </c>
      <c r="CA54" s="482">
        <f>SUM(CA43:CA52)</f>
        <v>-618.25436950359745</v>
      </c>
      <c r="CB54" s="50"/>
      <c r="CC54" s="247">
        <f>SUM(CC43:CC52)</f>
        <v>-151.75911049349739</v>
      </c>
      <c r="CD54" s="247">
        <f>SUM(CD43:CD52)</f>
        <v>-148.73461863509681</v>
      </c>
      <c r="CE54" s="247">
        <f>SUM(CE43:CE52)</f>
        <v>-149.88402640067451</v>
      </c>
      <c r="CF54" s="482">
        <f>SUM(CF43:CF52)</f>
        <v>-148.82644944379325</v>
      </c>
      <c r="CG54" s="482">
        <f>SUM(CG43:CG52)</f>
        <v>-599.20420497306191</v>
      </c>
      <c r="CQ54" s="301"/>
    </row>
    <row r="55" spans="1:95" ht="4.5" customHeight="1" x14ac:dyDescent="0.2">
      <c r="A55" s="301"/>
      <c r="B55" s="283"/>
      <c r="C55" s="234"/>
      <c r="D55" s="234"/>
      <c r="E55" s="234"/>
      <c r="F55" s="234"/>
      <c r="G55" s="234"/>
      <c r="H55" s="86"/>
      <c r="I55" s="234"/>
      <c r="J55" s="234"/>
      <c r="K55" s="234"/>
      <c r="L55" s="234"/>
      <c r="M55" s="234"/>
      <c r="N55" s="86"/>
      <c r="O55" s="234"/>
      <c r="P55" s="234"/>
      <c r="Q55" s="234"/>
      <c r="R55" s="234"/>
      <c r="S55" s="234"/>
      <c r="T55" s="86"/>
      <c r="U55" s="234"/>
      <c r="V55" s="234"/>
      <c r="W55" s="234"/>
      <c r="X55" s="234"/>
      <c r="Y55" s="234"/>
      <c r="Z55" s="86"/>
      <c r="AA55" s="234"/>
      <c r="AB55" s="234"/>
      <c r="AC55" s="234"/>
      <c r="AD55" s="234"/>
      <c r="AE55" s="242"/>
      <c r="AF55" s="86"/>
      <c r="AG55" s="234"/>
      <c r="AH55" s="234"/>
      <c r="AI55" s="234"/>
      <c r="AJ55" s="234"/>
      <c r="AK55" s="242"/>
      <c r="AL55" s="86"/>
      <c r="AM55" s="234"/>
      <c r="AN55" s="234"/>
      <c r="AO55" s="234"/>
      <c r="AP55" s="234"/>
      <c r="AQ55" s="242"/>
      <c r="AR55" s="86"/>
      <c r="AS55" s="234"/>
      <c r="AT55" s="234"/>
      <c r="AU55" s="237"/>
      <c r="AV55" s="237"/>
      <c r="AW55" s="242"/>
      <c r="AX55" s="86"/>
      <c r="AY55" s="234"/>
      <c r="AZ55" s="234"/>
      <c r="BA55" s="234"/>
      <c r="BB55" s="237"/>
      <c r="BC55" s="504"/>
      <c r="BD55" s="50"/>
      <c r="BE55" s="234"/>
      <c r="BF55" s="234"/>
      <c r="BG55" s="234"/>
      <c r="BH55" s="237"/>
      <c r="BI55" s="504"/>
      <c r="BJ55" s="50"/>
      <c r="BK55" s="234"/>
      <c r="BL55" s="234"/>
      <c r="BM55" s="234"/>
      <c r="BN55" s="237"/>
      <c r="BO55" s="504"/>
      <c r="BP55" s="50"/>
      <c r="BQ55" s="234"/>
      <c r="BR55" s="234"/>
      <c r="BS55" s="234"/>
      <c r="BT55" s="237"/>
      <c r="BU55" s="504"/>
      <c r="BV55" s="50"/>
      <c r="BW55" s="234"/>
      <c r="BX55" s="234"/>
      <c r="BY55" s="234"/>
      <c r="BZ55" s="237"/>
      <c r="CA55" s="504"/>
      <c r="CB55" s="50"/>
      <c r="CC55" s="234"/>
      <c r="CD55" s="234"/>
      <c r="CE55" s="234"/>
      <c r="CF55" s="237"/>
      <c r="CG55" s="504"/>
      <c r="CQ55" s="301"/>
    </row>
    <row r="56" spans="1:95" ht="11.25" customHeight="1" x14ac:dyDescent="0.2">
      <c r="A56" s="301"/>
      <c r="B56" s="283" t="s">
        <v>133</v>
      </c>
      <c r="C56" s="233">
        <v>0.98</v>
      </c>
      <c r="D56" s="233">
        <f>1.814-C56</f>
        <v>0.83400000000000007</v>
      </c>
      <c r="E56" s="233">
        <f>7.994-SUM(C56:D56)</f>
        <v>6.18</v>
      </c>
      <c r="F56" s="233">
        <f>12.771-SUM(C56:E56)</f>
        <v>4.777000000000001</v>
      </c>
      <c r="G56" s="234">
        <f>SUM(C56:F56)</f>
        <v>12.771000000000001</v>
      </c>
      <c r="H56" s="35"/>
      <c r="I56" s="233">
        <v>10.138</v>
      </c>
      <c r="J56" s="233">
        <f>12.796-I56</f>
        <v>2.6579999999999995</v>
      </c>
      <c r="K56" s="233">
        <f>-7.706-SUM(I56:J56)</f>
        <v>-20.501999999999999</v>
      </c>
      <c r="L56" s="233">
        <f>-24.484-SUM(I56:K56)</f>
        <v>-16.778000000000002</v>
      </c>
      <c r="M56" s="234">
        <f>SUM(I56:L56)</f>
        <v>-24.484000000000002</v>
      </c>
      <c r="N56" s="35"/>
      <c r="O56" s="233">
        <v>-19.914999999999999</v>
      </c>
      <c r="P56" s="233">
        <f>-3.848-O56</f>
        <v>16.067</v>
      </c>
      <c r="Q56" s="233">
        <f>17.943-SUM(O56:P56)</f>
        <v>21.791</v>
      </c>
      <c r="R56" s="233">
        <f>8.687-SUM(O56:Q56)</f>
        <v>-9.256000000000002</v>
      </c>
      <c r="S56" s="234">
        <f>SUM(O56:R56)</f>
        <v>8.6869999999999994</v>
      </c>
      <c r="T56" s="35"/>
      <c r="U56" s="233">
        <v>-37.128</v>
      </c>
      <c r="V56" s="240">
        <f>-76.082-U56</f>
        <v>-38.953999999999994</v>
      </c>
      <c r="W56" s="240">
        <f>-26.727-SUM(U56:V56)</f>
        <v>49.35499999999999</v>
      </c>
      <c r="X56" s="233">
        <f>-41.743-SUM(U56:W56)</f>
        <v>-15.015999999999998</v>
      </c>
      <c r="Y56" s="234">
        <f>SUM(U56:X56)</f>
        <v>-41.743000000000002</v>
      </c>
      <c r="Z56" s="50"/>
      <c r="AA56" s="233">
        <v>26.039000000000001</v>
      </c>
      <c r="AB56" s="233">
        <f>48.429-AA56</f>
        <v>22.39</v>
      </c>
      <c r="AC56" s="240">
        <f>50.629-AB56-AA56</f>
        <v>2.1999999999999957</v>
      </c>
      <c r="AD56" s="240">
        <f>28.082-AC56-AB56-AA56</f>
        <v>-22.546999999999997</v>
      </c>
      <c r="AE56" s="234">
        <f>SUM(AA56:AD56)</f>
        <v>28.082000000000001</v>
      </c>
      <c r="AF56" s="50"/>
      <c r="AG56" s="233">
        <v>2.8439999999999999</v>
      </c>
      <c r="AH56" s="233">
        <f>-1.392-AG56</f>
        <v>-4.2359999999999998</v>
      </c>
      <c r="AI56" s="240">
        <f>2.767-AH56-AG56</f>
        <v>4.1590000000000007</v>
      </c>
      <c r="AJ56" s="240">
        <f>3.949-AI56-AH56-AG56</f>
        <v>1.1819999999999991</v>
      </c>
      <c r="AK56" s="234">
        <f>SUM(AG56:AJ56)</f>
        <v>3.9489999999999998</v>
      </c>
      <c r="AL56" s="50"/>
      <c r="AM56" s="233">
        <v>-0.89500000000000002</v>
      </c>
      <c r="AN56" s="233">
        <f>-3.349-AM56</f>
        <v>-2.4540000000000002</v>
      </c>
      <c r="AO56" s="240">
        <f>-1.199-AN56-AM56</f>
        <v>2.1500000000000004</v>
      </c>
      <c r="AP56" s="240">
        <f>-1.108-AO56-AN56-AM56</f>
        <v>9.0999999999999748E-2</v>
      </c>
      <c r="AQ56" s="234">
        <f>SUM(AM56:AP56)</f>
        <v>-1.1080000000000001</v>
      </c>
      <c r="AR56" s="50"/>
      <c r="AS56" s="233">
        <v>0.623</v>
      </c>
      <c r="AT56" s="233">
        <f>0.521-AS56</f>
        <v>-0.10199999999999998</v>
      </c>
      <c r="AU56" s="233">
        <f>-4.306-AT56-AS56</f>
        <v>-4.827</v>
      </c>
      <c r="AV56" s="240">
        <f>-8.84-SUM(AS56:AU56)</f>
        <v>-4.5339999999999998</v>
      </c>
      <c r="AW56" s="234">
        <f>SUM(AS56:AV56)</f>
        <v>-8.84</v>
      </c>
      <c r="AX56" s="50"/>
      <c r="AY56" s="987">
        <v>-7.6470000000000002</v>
      </c>
      <c r="AZ56" s="987">
        <v>2.7240000000000002</v>
      </c>
      <c r="BA56" s="987">
        <v>-0.51600000000000035</v>
      </c>
      <c r="BB56" s="700">
        <v>-1.2</v>
      </c>
      <c r="BC56" s="237">
        <f>SUM(AY56:BB56)</f>
        <v>-6.6390000000000002</v>
      </c>
      <c r="BD56" s="50"/>
      <c r="BE56" s="987">
        <v>6.2</v>
      </c>
      <c r="BF56" s="968">
        <f>3.2-BE56</f>
        <v>-3</v>
      </c>
      <c r="BG56" s="968">
        <f>12-SUM(BE56:BF56)</f>
        <v>8.8000000000000007</v>
      </c>
      <c r="BH56" s="700">
        <f>2.1-SUM(BE56:BG56)</f>
        <v>-9.9</v>
      </c>
      <c r="BI56" s="237">
        <f>SUM(BE56:BH56)</f>
        <v>2.0999999999999996</v>
      </c>
      <c r="BJ56" s="50"/>
      <c r="BK56" s="987">
        <v>5.6</v>
      </c>
      <c r="BL56" s="968">
        <f>14.2-BK56</f>
        <v>8.6</v>
      </c>
      <c r="BM56" s="968">
        <f>17.5-SUM(BK56:BL56)</f>
        <v>3.3000000000000007</v>
      </c>
      <c r="BN56" s="700">
        <f>22-SUM(BK56:BM56)</f>
        <v>4.5</v>
      </c>
      <c r="BO56" s="237">
        <f>SUM(BK56:BN56)</f>
        <v>22</v>
      </c>
      <c r="BP56" s="50"/>
      <c r="BQ56" s="987">
        <v>0</v>
      </c>
      <c r="BR56" s="987">
        <v>0</v>
      </c>
      <c r="BS56" s="987">
        <v>0</v>
      </c>
      <c r="BT56" s="700">
        <v>0</v>
      </c>
      <c r="BU56" s="237">
        <f>SUM(BQ56:BT56)</f>
        <v>0</v>
      </c>
      <c r="BV56" s="50"/>
      <c r="BW56" s="987">
        <v>0</v>
      </c>
      <c r="BX56" s="987">
        <v>0</v>
      </c>
      <c r="BY56" s="987">
        <v>0</v>
      </c>
      <c r="BZ56" s="700">
        <v>0</v>
      </c>
      <c r="CA56" s="237">
        <f>SUM(BW56:BZ56)</f>
        <v>0</v>
      </c>
      <c r="CB56" s="50"/>
      <c r="CC56" s="987">
        <v>0</v>
      </c>
      <c r="CD56" s="987">
        <v>0</v>
      </c>
      <c r="CE56" s="987">
        <v>0</v>
      </c>
      <c r="CF56" s="700">
        <v>0</v>
      </c>
      <c r="CG56" s="237">
        <f>SUM(CC56:CF56)</f>
        <v>0</v>
      </c>
      <c r="CQ56" s="301"/>
    </row>
    <row r="57" spans="1:95" ht="4.5" customHeight="1" x14ac:dyDescent="0.2">
      <c r="A57" s="301"/>
      <c r="B57" s="281"/>
      <c r="C57" s="242"/>
      <c r="D57" s="242"/>
      <c r="E57" s="242"/>
      <c r="F57" s="242"/>
      <c r="G57" s="242"/>
      <c r="H57" s="86"/>
      <c r="I57" s="242"/>
      <c r="J57" s="242"/>
      <c r="K57" s="242"/>
      <c r="L57" s="242"/>
      <c r="M57" s="242"/>
      <c r="N57" s="86"/>
      <c r="O57" s="242"/>
      <c r="P57" s="242"/>
      <c r="Q57" s="242"/>
      <c r="R57" s="242"/>
      <c r="S57" s="242"/>
      <c r="T57" s="86"/>
      <c r="U57" s="242"/>
      <c r="V57" s="242"/>
      <c r="W57" s="242"/>
      <c r="X57" s="242"/>
      <c r="Y57" s="242"/>
      <c r="Z57" s="50"/>
      <c r="AA57" s="242"/>
      <c r="AB57" s="242"/>
      <c r="AC57" s="242"/>
      <c r="AD57" s="242"/>
      <c r="AE57" s="242"/>
      <c r="AF57" s="50"/>
      <c r="AG57" s="242"/>
      <c r="AH57" s="242"/>
      <c r="AI57" s="242"/>
      <c r="AJ57" s="242"/>
      <c r="AK57" s="242"/>
      <c r="AL57" s="50"/>
      <c r="AM57" s="242"/>
      <c r="AN57" s="242"/>
      <c r="AO57" s="242"/>
      <c r="AP57" s="242"/>
      <c r="AQ57" s="242"/>
      <c r="AR57" s="50"/>
      <c r="AS57" s="242"/>
      <c r="AT57" s="242"/>
      <c r="AU57" s="242"/>
      <c r="AV57" s="242"/>
      <c r="AW57" s="242"/>
      <c r="AX57" s="50"/>
      <c r="AY57" s="242"/>
      <c r="AZ57" s="242"/>
      <c r="BA57" s="242"/>
      <c r="BB57" s="504"/>
      <c r="BC57" s="504"/>
      <c r="BD57" s="50"/>
      <c r="BE57" s="242"/>
      <c r="BF57" s="242"/>
      <c r="BG57" s="242"/>
      <c r="BH57" s="504"/>
      <c r="BI57" s="504"/>
      <c r="BJ57" s="50"/>
      <c r="BK57" s="242"/>
      <c r="BL57" s="242"/>
      <c r="BM57" s="242"/>
      <c r="BN57" s="504"/>
      <c r="BO57" s="504"/>
      <c r="BP57" s="50"/>
      <c r="BQ57" s="242"/>
      <c r="BR57" s="242"/>
      <c r="BS57" s="242"/>
      <c r="BT57" s="504"/>
      <c r="BU57" s="504"/>
      <c r="BV57" s="50"/>
      <c r="BW57" s="242"/>
      <c r="BX57" s="242"/>
      <c r="BY57" s="242"/>
      <c r="BZ57" s="504"/>
      <c r="CA57" s="504"/>
      <c r="CB57" s="50"/>
      <c r="CC57" s="242"/>
      <c r="CD57" s="242"/>
      <c r="CE57" s="242"/>
      <c r="CF57" s="504"/>
      <c r="CG57" s="504"/>
      <c r="CQ57" s="301"/>
    </row>
    <row r="58" spans="1:95" ht="11.25" customHeight="1" thickBot="1" x14ac:dyDescent="0.25">
      <c r="A58" s="301"/>
      <c r="B58" s="281" t="s">
        <v>288</v>
      </c>
      <c r="C58" s="341">
        <f>C56+C54+C40+C28</f>
        <v>39.01400000000001</v>
      </c>
      <c r="D58" s="341">
        <f>D56+D54+D40+D28</f>
        <v>-34.645000000000024</v>
      </c>
      <c r="E58" s="341">
        <f>E56+E54+E40+E28</f>
        <v>72.387999999999977</v>
      </c>
      <c r="F58" s="341">
        <f>F56+F54+F40+F28</f>
        <v>27.563000000000017</v>
      </c>
      <c r="G58" s="341">
        <f>G56+G54+G40+G28</f>
        <v>104.32</v>
      </c>
      <c r="H58" s="86"/>
      <c r="I58" s="341">
        <f>I56+I54+I40+I28</f>
        <v>-78.723999999999975</v>
      </c>
      <c r="J58" s="341">
        <f>J56+J54+J40+J28</f>
        <v>22.794000000000025</v>
      </c>
      <c r="K58" s="341">
        <f>K56+K54+K40+K28</f>
        <v>-59.249000000000024</v>
      </c>
      <c r="L58" s="341">
        <f>L56+L54+L40+L28</f>
        <v>149.78600000000003</v>
      </c>
      <c r="M58" s="341">
        <f>M56+M54+M40+M28</f>
        <v>34.606999999999971</v>
      </c>
      <c r="N58" s="86"/>
      <c r="O58" s="341">
        <f>O56+O54+O40+O28</f>
        <v>22.308</v>
      </c>
      <c r="P58" s="341">
        <f>P56+P54+P40+P28</f>
        <v>25.571999999999946</v>
      </c>
      <c r="Q58" s="341">
        <f>Q56+Q54+Q40+Q28</f>
        <v>81.497000000000028</v>
      </c>
      <c r="R58" s="341">
        <f>R56+R54+R40+R28</f>
        <v>116.97999999999995</v>
      </c>
      <c r="S58" s="341">
        <f>S56+S54+S40+S28</f>
        <v>246.35699999999997</v>
      </c>
      <c r="T58" s="86"/>
      <c r="U58" s="341">
        <f>U56+U54+U40+U28</f>
        <v>-45.330999999999989</v>
      </c>
      <c r="V58" s="341">
        <f>V56+V54+V40+V28</f>
        <v>-64.669999999999987</v>
      </c>
      <c r="W58" s="341">
        <f>W56+W54+W40+W28</f>
        <v>193.89600000000002</v>
      </c>
      <c r="X58" s="341">
        <f>X56+X54+X40+X28</f>
        <v>5.7949999999999875</v>
      </c>
      <c r="Y58" s="341">
        <f>Y56+Y54+Y40+Y28</f>
        <v>89.689999999999884</v>
      </c>
      <c r="Z58" s="50"/>
      <c r="AA58" s="341">
        <f>AA56+AA54+AA40+AA28</f>
        <v>35.226000000000006</v>
      </c>
      <c r="AB58" s="341">
        <f>AB56+AB54+AB40+AB28</f>
        <v>96.446000000000012</v>
      </c>
      <c r="AC58" s="341">
        <f>AC56+AC54+AC40+AC28</f>
        <v>-589.84399999999982</v>
      </c>
      <c r="AD58" s="341">
        <f>AD56+AD54+AD40+AD28</f>
        <v>-4.7380000000001417</v>
      </c>
      <c r="AE58" s="341">
        <f>AE56+AE54+AE40+AE28</f>
        <v>-462.91000000000014</v>
      </c>
      <c r="AF58" s="50"/>
      <c r="AG58" s="341">
        <f>AG56+AG54+AG40+AG28</f>
        <v>-9.7819999999999858</v>
      </c>
      <c r="AH58" s="341">
        <f>AH56+AH54+AH40+AH28</f>
        <v>-14.13600000000001</v>
      </c>
      <c r="AI58" s="341">
        <f>AI56+AI54+AI40+AI28</f>
        <v>2.8650000000000233</v>
      </c>
      <c r="AJ58" s="341">
        <f>AJ56+AJ54+AJ40+AJ28</f>
        <v>24.056999999999903</v>
      </c>
      <c r="AK58" s="341">
        <f>AK56+AK54+AK40+AK28</f>
        <v>3.0039999999999054</v>
      </c>
      <c r="AL58" s="50"/>
      <c r="AM58" s="341">
        <f>AM56+AM54+AM40+AM28</f>
        <v>-23.929000000000016</v>
      </c>
      <c r="AN58" s="341">
        <f>AN56+AN54+AN40+AN28</f>
        <v>0.82399999999999807</v>
      </c>
      <c r="AO58" s="486">
        <f>AO56+AO54+AO40+AO28</f>
        <v>-6.369000000000014</v>
      </c>
      <c r="AP58" s="341">
        <f>AP56+AP54+AP40+AP28</f>
        <v>24.295999999999964</v>
      </c>
      <c r="AQ58" s="341">
        <f>AQ56+AQ54+AQ40+AQ28</f>
        <v>-5.1780000000000541</v>
      </c>
      <c r="AR58" s="50"/>
      <c r="AS58" s="486">
        <f>AS56+AS54+AS40+AS28</f>
        <v>-19.131000000000014</v>
      </c>
      <c r="AT58" s="486">
        <f>AT56+AT54+AT40+AT28</f>
        <v>11.106000000000023</v>
      </c>
      <c r="AU58" s="486">
        <f>AU56+AU54+AU40+AU28</f>
        <v>30.722999999999956</v>
      </c>
      <c r="AV58" s="486">
        <f>AV56+AV54+AV40+AV28</f>
        <v>53.987000000000023</v>
      </c>
      <c r="AW58" s="341">
        <f>AW56+AW54+AW40+AW28</f>
        <v>76.685000000000059</v>
      </c>
      <c r="AX58" s="56"/>
      <c r="AY58" s="341">
        <f>AY56+AY54+AY40+AY28</f>
        <v>-50.975000000000009</v>
      </c>
      <c r="AZ58" s="341">
        <f>AZ56+AZ54+AZ40+AZ28</f>
        <v>-4.1469999999999345</v>
      </c>
      <c r="BA58" s="341">
        <f>BA56+BA54+BA40+BA28</f>
        <v>139.92799999999994</v>
      </c>
      <c r="BB58" s="486">
        <f>BB56+BB54+BB40+BB28</f>
        <v>48.199999999999974</v>
      </c>
      <c r="BC58" s="486">
        <f>BC56+BC54+BC40+BC28</f>
        <v>133.00599999999997</v>
      </c>
      <c r="BD58" s="56"/>
      <c r="BE58" s="341">
        <f>BE56+BE54+BE40+BE28</f>
        <v>38.499999999999922</v>
      </c>
      <c r="BF58" s="341">
        <f>BF56+BF54+BF40+BF28</f>
        <v>-11.5</v>
      </c>
      <c r="BG58" s="341">
        <f>BG56+BG54+BG40+BG28</f>
        <v>19.100000000000108</v>
      </c>
      <c r="BH58" s="486">
        <f>BH56+BH54+BH40+BH28</f>
        <v>53.19999999999996</v>
      </c>
      <c r="BI58" s="486">
        <f>BI56+BI54+BI40+BI28</f>
        <v>99.299999999999841</v>
      </c>
      <c r="BJ58" s="56"/>
      <c r="BK58" s="341">
        <f>BK56+BK54+BK40+BK28</f>
        <v>-20.600000000000023</v>
      </c>
      <c r="BL58" s="341">
        <f>BL56+BL54+BL40+BL28</f>
        <v>-94.899999999999693</v>
      </c>
      <c r="BM58" s="341">
        <f>BM56+BM54+BM40+BM28</f>
        <v>101.59999999999998</v>
      </c>
      <c r="BN58" s="486">
        <f>BN56+BN54+BN40+BN28</f>
        <v>-49.399999999999977</v>
      </c>
      <c r="BO58" s="486">
        <f>BO56+BO54+BO40+BO28</f>
        <v>-63.299999999999955</v>
      </c>
      <c r="BP58" s="56"/>
      <c r="BQ58" s="341">
        <f>BQ56+BQ54+BQ40+BQ28</f>
        <v>91.447691886864106</v>
      </c>
      <c r="BR58" s="341">
        <f>BR56+BR54+BR40+BR28</f>
        <v>-86.421766190161236</v>
      </c>
      <c r="BS58" s="341">
        <f>BS56+BS54+BS40+BS28</f>
        <v>-95.638008471034397</v>
      </c>
      <c r="BT58" s="486">
        <f>BT56+BT54+BT40+BT28</f>
        <v>-7.302711538819409</v>
      </c>
      <c r="BU58" s="486">
        <f>BU56+BU54+BU40+BU28</f>
        <v>-97.914794313150765</v>
      </c>
      <c r="BV58" s="56"/>
      <c r="BW58" s="341">
        <f>BW56+BW54+BW40+BW28</f>
        <v>165.77051294029678</v>
      </c>
      <c r="BX58" s="341">
        <f>BX56+BX54+BX40+BX28</f>
        <v>-68.663460361878435</v>
      </c>
      <c r="BY58" s="341">
        <f>BY56+BY54+BY40+BY28</f>
        <v>-79.347106361249772</v>
      </c>
      <c r="BZ58" s="486">
        <f>BZ56+BZ54+BZ40+BZ28</f>
        <v>-10.181180117417227</v>
      </c>
      <c r="CA58" s="486">
        <f>CA56+CA54+CA40+CA28</f>
        <v>7.5787660997511921</v>
      </c>
      <c r="CB58" s="56"/>
      <c r="CC58" s="341">
        <f>CC56+CC54+CC40+CC28</f>
        <v>186.0822318683617</v>
      </c>
      <c r="CD58" s="341">
        <f>CD56+CD54+CD40+CD28</f>
        <v>-57.282013615703733</v>
      </c>
      <c r="CE58" s="341">
        <f>CE56+CE54+CE40+CE28</f>
        <v>-62.806588126249821</v>
      </c>
      <c r="CF58" s="486">
        <f>CF56+CF54+CF40+CF28</f>
        <v>-1.2369885800495695E-2</v>
      </c>
      <c r="CG58" s="486">
        <f>CG56+CG54+CG40+CG28</f>
        <v>65.981260240607867</v>
      </c>
      <c r="CQ58" s="301"/>
    </row>
    <row r="59" spans="1:95" ht="4.5" customHeight="1" thickTop="1" x14ac:dyDescent="0.2">
      <c r="A59" s="301"/>
      <c r="B59" s="281"/>
      <c r="C59" s="244"/>
      <c r="D59" s="244"/>
      <c r="E59" s="244"/>
      <c r="F59" s="244"/>
      <c r="G59" s="243"/>
      <c r="H59" s="50"/>
      <c r="I59" s="244"/>
      <c r="J59" s="244"/>
      <c r="K59" s="244"/>
      <c r="L59" s="244"/>
      <c r="M59" s="243"/>
      <c r="N59" s="50"/>
      <c r="O59" s="244"/>
      <c r="P59" s="244"/>
      <c r="Q59" s="244"/>
      <c r="R59" s="244"/>
      <c r="S59" s="243"/>
      <c r="T59" s="50"/>
      <c r="U59" s="244"/>
      <c r="V59" s="244"/>
      <c r="W59" s="244"/>
      <c r="X59" s="244"/>
      <c r="Y59" s="243"/>
      <c r="Z59" s="50"/>
      <c r="AA59" s="244"/>
      <c r="AB59" s="244"/>
      <c r="AC59" s="244"/>
      <c r="AD59" s="244"/>
      <c r="AE59" s="243"/>
      <c r="AF59" s="50"/>
      <c r="AG59" s="244"/>
      <c r="AH59" s="244"/>
      <c r="AI59" s="244"/>
      <c r="AJ59" s="244"/>
      <c r="AK59" s="243"/>
      <c r="AL59" s="50"/>
      <c r="AM59" s="244"/>
      <c r="AN59" s="244"/>
      <c r="AO59" s="244"/>
      <c r="AP59" s="244"/>
      <c r="AQ59" s="243"/>
      <c r="AR59" s="50"/>
      <c r="AS59" s="244"/>
      <c r="AT59" s="244"/>
      <c r="AU59" s="244"/>
      <c r="AV59" s="244"/>
      <c r="AW59" s="243"/>
      <c r="AX59" s="50"/>
      <c r="AY59" s="244"/>
      <c r="AZ59" s="244"/>
      <c r="BA59" s="244"/>
      <c r="BB59" s="244"/>
      <c r="BC59" s="244"/>
      <c r="BD59" s="50"/>
      <c r="BE59" s="244"/>
      <c r="BF59" s="244"/>
      <c r="BG59" s="244"/>
      <c r="BH59" s="244"/>
      <c r="BI59" s="244"/>
      <c r="BJ59" s="50"/>
      <c r="BK59" s="244"/>
      <c r="BL59" s="244"/>
      <c r="BM59" s="244"/>
      <c r="BN59" s="244"/>
      <c r="BO59" s="244"/>
      <c r="BP59" s="50"/>
      <c r="BQ59" s="244"/>
      <c r="BR59" s="244"/>
      <c r="BS59" s="244"/>
      <c r="BT59" s="244"/>
      <c r="BU59" s="244"/>
      <c r="BV59" s="50"/>
      <c r="BW59" s="244"/>
      <c r="BX59" s="244"/>
      <c r="BY59" s="244"/>
      <c r="BZ59" s="244"/>
      <c r="CA59" s="244"/>
      <c r="CB59" s="50"/>
      <c r="CC59" s="244"/>
      <c r="CD59" s="244"/>
      <c r="CE59" s="244"/>
      <c r="CF59" s="244"/>
      <c r="CG59" s="244"/>
      <c r="CQ59" s="301"/>
    </row>
    <row r="60" spans="1:95" ht="11.25" customHeight="1" x14ac:dyDescent="0.2">
      <c r="A60" s="301"/>
      <c r="B60" s="281" t="s">
        <v>134</v>
      </c>
      <c r="C60" s="252">
        <v>65.063999999999993</v>
      </c>
      <c r="D60" s="242">
        <f>C62</f>
        <v>104.078</v>
      </c>
      <c r="E60" s="242">
        <f>D62</f>
        <v>69.433999999999983</v>
      </c>
      <c r="F60" s="242">
        <f>E62</f>
        <v>141.82099999999994</v>
      </c>
      <c r="G60" s="504">
        <f>C60</f>
        <v>65.063999999999993</v>
      </c>
      <c r="H60" s="50"/>
      <c r="I60" s="242">
        <f>G62</f>
        <v>169.38399999999999</v>
      </c>
      <c r="J60" s="242">
        <f>I62</f>
        <v>90.660000000000011</v>
      </c>
      <c r="K60" s="242">
        <f>J62</f>
        <v>113.45400000000004</v>
      </c>
      <c r="L60" s="242">
        <f>K62</f>
        <v>54.205000000000013</v>
      </c>
      <c r="M60" s="504">
        <f>I60</f>
        <v>169.38399999999999</v>
      </c>
      <c r="N60" s="50"/>
      <c r="O60" s="242">
        <f>M62</f>
        <v>203.99099999999996</v>
      </c>
      <c r="P60" s="242">
        <f>O62</f>
        <v>226.29899999999995</v>
      </c>
      <c r="Q60" s="242">
        <f>P62</f>
        <v>251.8709999999999</v>
      </c>
      <c r="R60" s="242">
        <f>Q62</f>
        <v>333.36799999999994</v>
      </c>
      <c r="S60" s="504">
        <f>O60</f>
        <v>203.99099999999996</v>
      </c>
      <c r="T60" s="50"/>
      <c r="U60" s="242">
        <f>S62</f>
        <v>450.34799999999996</v>
      </c>
      <c r="V60" s="242">
        <f>U62</f>
        <v>405.01699999999994</v>
      </c>
      <c r="W60" s="242">
        <f>V62</f>
        <v>340.34699999999998</v>
      </c>
      <c r="X60" s="242">
        <f>W62</f>
        <v>534.24299999999994</v>
      </c>
      <c r="Y60" s="504">
        <f>U60</f>
        <v>450.34799999999996</v>
      </c>
      <c r="Z60" s="50"/>
      <c r="AA60" s="242">
        <f>Y62</f>
        <v>540.03799999999978</v>
      </c>
      <c r="AB60" s="242">
        <f>AA62</f>
        <v>575.26399999999978</v>
      </c>
      <c r="AC60" s="242">
        <f>AB62</f>
        <v>671.70999999999981</v>
      </c>
      <c r="AD60" s="242">
        <f>AC62</f>
        <v>81.865999999999985</v>
      </c>
      <c r="AE60" s="504">
        <f>AA60</f>
        <v>540.03799999999978</v>
      </c>
      <c r="AF60" s="50"/>
      <c r="AG60" s="242">
        <f>AE62</f>
        <v>77.127999999999645</v>
      </c>
      <c r="AH60" s="242">
        <f>AG62</f>
        <v>67.345999999999663</v>
      </c>
      <c r="AI60" s="242">
        <f>AH62</f>
        <v>53.209999999999653</v>
      </c>
      <c r="AJ60" s="242">
        <f>AI62</f>
        <v>56.074999999999676</v>
      </c>
      <c r="AK60" s="504">
        <f>AG60</f>
        <v>77.127999999999645</v>
      </c>
      <c r="AL60" s="50"/>
      <c r="AM60" s="242">
        <f>AK62</f>
        <v>80.13199999999955</v>
      </c>
      <c r="AN60" s="242">
        <f>AM62</f>
        <v>56.202999999999534</v>
      </c>
      <c r="AO60" s="242">
        <f>AN62</f>
        <v>57.026000000000067</v>
      </c>
      <c r="AP60" s="242">
        <f>AO62</f>
        <v>50.657999999999518</v>
      </c>
      <c r="AQ60" s="504">
        <f>AM60</f>
        <v>80.13199999999955</v>
      </c>
      <c r="AR60" s="50"/>
      <c r="AS60" s="242">
        <f>AQ62</f>
        <v>74.953999999999496</v>
      </c>
      <c r="AT60" s="242">
        <f>AS62</f>
        <v>55.77799999999948</v>
      </c>
      <c r="AU60" s="242">
        <f>AT62</f>
        <v>66.883999999999503</v>
      </c>
      <c r="AV60" s="242">
        <f>AU62</f>
        <v>97.606999999999459</v>
      </c>
      <c r="AW60" s="504">
        <f>AS60</f>
        <v>74.953999999999496</v>
      </c>
      <c r="AX60" s="50"/>
      <c r="AY60" s="242">
        <f>AW62</f>
        <v>151.59399999999957</v>
      </c>
      <c r="AZ60" s="242">
        <f>AY62</f>
        <v>100.61899999999956</v>
      </c>
      <c r="BA60" s="242">
        <f>AZ62</f>
        <v>96.471999999999625</v>
      </c>
      <c r="BB60" s="504">
        <f>BA62</f>
        <v>236.39999999999958</v>
      </c>
      <c r="BC60" s="504">
        <f>AY60</f>
        <v>151.59399999999957</v>
      </c>
      <c r="BD60" s="50"/>
      <c r="BE60" s="242">
        <f>BC62</f>
        <v>284.59999999999957</v>
      </c>
      <c r="BF60" s="242">
        <f>BE62</f>
        <v>323.09999999999951</v>
      </c>
      <c r="BG60" s="242">
        <f>BF62</f>
        <v>311.59999999999951</v>
      </c>
      <c r="BH60" s="504">
        <f>BG62</f>
        <v>330.69999999999959</v>
      </c>
      <c r="BI60" s="504">
        <f>BE60</f>
        <v>284.59999999999957</v>
      </c>
      <c r="BJ60" s="50"/>
      <c r="BK60" s="242">
        <f>BI62</f>
        <v>383.89999999999941</v>
      </c>
      <c r="BL60" s="242">
        <f>BK62</f>
        <v>363.29999999999939</v>
      </c>
      <c r="BM60" s="242">
        <f>BL62</f>
        <v>268.39999999999969</v>
      </c>
      <c r="BN60" s="504">
        <f>BM62</f>
        <v>369.99999999999966</v>
      </c>
      <c r="BO60" s="504">
        <f>BK60</f>
        <v>383.89999999999941</v>
      </c>
      <c r="BP60" s="50"/>
      <c r="BQ60" s="242">
        <f>BO62</f>
        <v>320.59999999999945</v>
      </c>
      <c r="BR60" s="242">
        <f>BQ62</f>
        <v>412.04769188686356</v>
      </c>
      <c r="BS60" s="242">
        <f>BR62</f>
        <v>325.62592569670232</v>
      </c>
      <c r="BT60" s="504">
        <f>BS62</f>
        <v>229.98791722566793</v>
      </c>
      <c r="BU60" s="504">
        <f>BQ60</f>
        <v>320.59999999999945</v>
      </c>
      <c r="BV60" s="50"/>
      <c r="BW60" s="242">
        <f>BU62</f>
        <v>222.68520568684869</v>
      </c>
      <c r="BX60" s="242">
        <f>BW62</f>
        <v>388.45571862714547</v>
      </c>
      <c r="BY60" s="242">
        <f>BX62</f>
        <v>319.79225826526704</v>
      </c>
      <c r="BZ60" s="504">
        <f>BY62</f>
        <v>240.44515190401728</v>
      </c>
      <c r="CA60" s="504">
        <f>BW60</f>
        <v>222.68520568684869</v>
      </c>
      <c r="CB60" s="50"/>
      <c r="CC60" s="242">
        <f>CA62</f>
        <v>230.26397178659988</v>
      </c>
      <c r="CD60" s="242">
        <f>CC62</f>
        <v>416.34620365496158</v>
      </c>
      <c r="CE60" s="242">
        <f>CD62</f>
        <v>359.06419003925782</v>
      </c>
      <c r="CF60" s="504">
        <f>CE62</f>
        <v>296.25760191300799</v>
      </c>
      <c r="CG60" s="504">
        <f>CC60</f>
        <v>230.26397178659988</v>
      </c>
      <c r="CQ60" s="345"/>
    </row>
    <row r="61" spans="1:95" ht="11.25" customHeight="1" x14ac:dyDescent="0.2">
      <c r="A61" s="301"/>
      <c r="B61" s="37" t="s">
        <v>425</v>
      </c>
      <c r="C61" s="988">
        <v>0</v>
      </c>
      <c r="D61" s="988">
        <v>1.0000000000047748E-3</v>
      </c>
      <c r="E61" s="988">
        <v>-1.0000000000047748E-3</v>
      </c>
      <c r="F61" s="988">
        <v>0</v>
      </c>
      <c r="G61" s="237">
        <f>SUM(C61:F61)</f>
        <v>0</v>
      </c>
      <c r="H61" s="999"/>
      <c r="I61" s="988">
        <v>0</v>
      </c>
      <c r="J61" s="988">
        <v>0</v>
      </c>
      <c r="K61" s="988">
        <v>0</v>
      </c>
      <c r="L61" s="988">
        <v>0</v>
      </c>
      <c r="M61" s="237">
        <f>SUM(I61:L61)</f>
        <v>0</v>
      </c>
      <c r="N61" s="999"/>
      <c r="O61" s="988">
        <v>0</v>
      </c>
      <c r="P61" s="988">
        <v>0</v>
      </c>
      <c r="Q61" s="988">
        <v>0</v>
      </c>
      <c r="R61" s="988">
        <v>0</v>
      </c>
      <c r="S61" s="237">
        <f>SUM(O61:R61)</f>
        <v>0</v>
      </c>
      <c r="T61" s="999"/>
      <c r="U61" s="988">
        <v>0</v>
      </c>
      <c r="V61" s="988">
        <v>0</v>
      </c>
      <c r="W61" s="988">
        <v>0</v>
      </c>
      <c r="X61" s="988">
        <v>0</v>
      </c>
      <c r="Y61" s="237">
        <f>SUM(U61:X61)</f>
        <v>0</v>
      </c>
      <c r="Z61" s="999"/>
      <c r="AA61" s="988">
        <v>0</v>
      </c>
      <c r="AB61" s="988">
        <v>0</v>
      </c>
      <c r="AC61" s="988">
        <v>0</v>
      </c>
      <c r="AD61" s="988">
        <v>0</v>
      </c>
      <c r="AE61" s="237">
        <f>SUM(AA61:AD61)</f>
        <v>0</v>
      </c>
      <c r="AF61" s="999"/>
      <c r="AG61" s="988">
        <v>0</v>
      </c>
      <c r="AH61" s="988">
        <v>0</v>
      </c>
      <c r="AI61" s="988">
        <v>0</v>
      </c>
      <c r="AJ61" s="988">
        <v>0</v>
      </c>
      <c r="AK61" s="237">
        <f>SUM(AG61:AJ61)</f>
        <v>0</v>
      </c>
      <c r="AL61" s="999"/>
      <c r="AM61" s="988">
        <v>0</v>
      </c>
      <c r="AN61" s="988">
        <v>-9.9999999946476193E-4</v>
      </c>
      <c r="AO61" s="988">
        <v>9.9999999946476193E-4</v>
      </c>
      <c r="AP61" s="988">
        <v>0</v>
      </c>
      <c r="AQ61" s="237">
        <f>SUM(AM61:AP61)</f>
        <v>0</v>
      </c>
      <c r="AR61" s="999"/>
      <c r="AS61" s="988">
        <v>-4.4999999999999998E-2</v>
      </c>
      <c r="AT61" s="988">
        <v>0</v>
      </c>
      <c r="AU61" s="988">
        <v>0</v>
      </c>
      <c r="AV61" s="988">
        <v>0</v>
      </c>
      <c r="AW61" s="237">
        <f>SUM(AS61:AV61)</f>
        <v>-4.4999999999999998E-2</v>
      </c>
      <c r="AX61" s="999"/>
      <c r="AY61" s="988">
        <v>0</v>
      </c>
      <c r="AZ61" s="988">
        <v>0</v>
      </c>
      <c r="BA61" s="988">
        <v>0</v>
      </c>
      <c r="BB61" s="700">
        <v>0</v>
      </c>
      <c r="BC61" s="504">
        <f>SUM(AY61:BB61)</f>
        <v>0</v>
      </c>
      <c r="BD61" s="50"/>
      <c r="BE61" s="988">
        <v>0</v>
      </c>
      <c r="BF61" s="968">
        <f t="shared" ref="BF61" si="74">0-BE61</f>
        <v>0</v>
      </c>
      <c r="BG61" s="968">
        <f t="shared" ref="BG61" si="75">0-SUM(BE61:BF61)</f>
        <v>0</v>
      </c>
      <c r="BH61" s="700">
        <f>0-SUM(BE61:BG61)</f>
        <v>0</v>
      </c>
      <c r="BI61" s="504">
        <f>SUM(BE61:BH61)</f>
        <v>0</v>
      </c>
      <c r="BJ61" s="50"/>
      <c r="BK61" s="988">
        <v>0</v>
      </c>
      <c r="BL61" s="968">
        <f t="shared" ref="BL61" si="76">0-BK61</f>
        <v>0</v>
      </c>
      <c r="BM61" s="968">
        <f t="shared" ref="BM61" si="77">0-SUM(BK61:BL61)</f>
        <v>0</v>
      </c>
      <c r="BN61" s="700">
        <v>0</v>
      </c>
      <c r="BO61" s="504">
        <f>SUM(BK61:BN61)</f>
        <v>0</v>
      </c>
      <c r="BP61" s="50"/>
      <c r="BQ61" s="988">
        <v>0</v>
      </c>
      <c r="BR61" s="988">
        <v>0</v>
      </c>
      <c r="BS61" s="988">
        <v>0</v>
      </c>
      <c r="BT61" s="700">
        <v>0</v>
      </c>
      <c r="BU61" s="504">
        <f>SUM(BQ61:BT61)</f>
        <v>0</v>
      </c>
      <c r="BV61" s="50"/>
      <c r="BW61" s="988">
        <v>0</v>
      </c>
      <c r="BX61" s="988">
        <v>0</v>
      </c>
      <c r="BY61" s="988">
        <v>0</v>
      </c>
      <c r="BZ61" s="700">
        <v>0</v>
      </c>
      <c r="CA61" s="504">
        <f>SUM(BW61:BZ61)</f>
        <v>0</v>
      </c>
      <c r="CB61" s="50"/>
      <c r="CC61" s="988">
        <v>0</v>
      </c>
      <c r="CD61" s="988">
        <v>0</v>
      </c>
      <c r="CE61" s="988">
        <v>0</v>
      </c>
      <c r="CF61" s="700">
        <v>0</v>
      </c>
      <c r="CG61" s="504">
        <f>SUM(CC61:CF61)</f>
        <v>0</v>
      </c>
      <c r="CQ61" s="301"/>
    </row>
    <row r="62" spans="1:95" ht="11.25" customHeight="1" x14ac:dyDescent="0.2">
      <c r="A62" s="301"/>
      <c r="B62" s="281" t="s">
        <v>135</v>
      </c>
      <c r="C62" s="242">
        <f>C58+C60+C61</f>
        <v>104.078</v>
      </c>
      <c r="D62" s="242">
        <f>D58+D60+D61</f>
        <v>69.433999999999983</v>
      </c>
      <c r="E62" s="242">
        <f>E58+E60+E61</f>
        <v>141.82099999999994</v>
      </c>
      <c r="F62" s="242">
        <f>F58+F60+F61</f>
        <v>169.38399999999996</v>
      </c>
      <c r="G62" s="242">
        <f>G58+G60+G61</f>
        <v>169.38399999999999</v>
      </c>
      <c r="H62" s="50"/>
      <c r="I62" s="242">
        <f>I58+I60+I61</f>
        <v>90.660000000000011</v>
      </c>
      <c r="J62" s="242">
        <f>J58+J60+J61</f>
        <v>113.45400000000004</v>
      </c>
      <c r="K62" s="242">
        <f>K58+K60+K61</f>
        <v>54.205000000000013</v>
      </c>
      <c r="L62" s="242">
        <f>L58+L60+L61</f>
        <v>203.99100000000004</v>
      </c>
      <c r="M62" s="242">
        <f>M58+M60+M61</f>
        <v>203.99099999999996</v>
      </c>
      <c r="N62" s="50"/>
      <c r="O62" s="242">
        <f>O58+O60+O61</f>
        <v>226.29899999999995</v>
      </c>
      <c r="P62" s="242">
        <f>P58+P60+P61</f>
        <v>251.8709999999999</v>
      </c>
      <c r="Q62" s="242">
        <f>Q58+Q60+Q61</f>
        <v>333.36799999999994</v>
      </c>
      <c r="R62" s="242">
        <f>R58+R60+R61</f>
        <v>450.3479999999999</v>
      </c>
      <c r="S62" s="242">
        <f>S58+S60+S61</f>
        <v>450.34799999999996</v>
      </c>
      <c r="T62" s="50"/>
      <c r="U62" s="242">
        <f>U58+U60+U61</f>
        <v>405.01699999999994</v>
      </c>
      <c r="V62" s="242">
        <f>V58+V60+V61</f>
        <v>340.34699999999998</v>
      </c>
      <c r="W62" s="242">
        <f>W58+W60+W61</f>
        <v>534.24299999999994</v>
      </c>
      <c r="X62" s="242">
        <f>X58+X60+X61</f>
        <v>540.0379999999999</v>
      </c>
      <c r="Y62" s="242">
        <f>Y58+Y60+Y61</f>
        <v>540.03799999999978</v>
      </c>
      <c r="Z62" s="50"/>
      <c r="AA62" s="242">
        <f>AA58+AA60+AA61</f>
        <v>575.26399999999978</v>
      </c>
      <c r="AB62" s="242">
        <f>AB58+AB60+AB61</f>
        <v>671.70999999999981</v>
      </c>
      <c r="AC62" s="242">
        <f>AC58+AC60+AC61</f>
        <v>81.865999999999985</v>
      </c>
      <c r="AD62" s="242">
        <f>AD58+AD60+AD61</f>
        <v>77.127999999999844</v>
      </c>
      <c r="AE62" s="242">
        <f>AE58+AE60+AE61</f>
        <v>77.127999999999645</v>
      </c>
      <c r="AF62" s="50"/>
      <c r="AG62" s="242">
        <f>AG58+AG60+AG61</f>
        <v>67.345999999999663</v>
      </c>
      <c r="AH62" s="242">
        <f>AH58+AH60+AH61</f>
        <v>53.209999999999653</v>
      </c>
      <c r="AI62" s="242">
        <f>AI58+AI60+AI61</f>
        <v>56.074999999999676</v>
      </c>
      <c r="AJ62" s="242">
        <f>AJ58+AJ60+AJ61</f>
        <v>80.131999999999579</v>
      </c>
      <c r="AK62" s="242">
        <f>AK58+AK60+AK61</f>
        <v>80.13199999999955</v>
      </c>
      <c r="AL62" s="50"/>
      <c r="AM62" s="242">
        <f>AM58+AM60+AM61</f>
        <v>56.202999999999534</v>
      </c>
      <c r="AN62" s="242">
        <f>AN58+AN60+AN61</f>
        <v>57.026000000000067</v>
      </c>
      <c r="AO62" s="242">
        <f>AO58+AO60+AO61</f>
        <v>50.657999999999518</v>
      </c>
      <c r="AP62" s="242">
        <f>AP58+AP60+AP61</f>
        <v>74.953999999999482</v>
      </c>
      <c r="AQ62" s="242">
        <f>AQ58+AQ60+AQ61</f>
        <v>74.953999999999496</v>
      </c>
      <c r="AR62" s="50"/>
      <c r="AS62" s="242">
        <f>AS58+AS60+AS61</f>
        <v>55.77799999999948</v>
      </c>
      <c r="AT62" s="242">
        <f>AT58+AT60+AT61</f>
        <v>66.883999999999503</v>
      </c>
      <c r="AU62" s="242">
        <f>AU58+AU60+AU61</f>
        <v>97.606999999999459</v>
      </c>
      <c r="AV62" s="242">
        <f>AV58+AV60+AV61</f>
        <v>151.59399999999948</v>
      </c>
      <c r="AW62" s="242">
        <f>AW58+AW60+AW61</f>
        <v>151.59399999999957</v>
      </c>
      <c r="AX62" s="50"/>
      <c r="AY62" s="242">
        <f>AY58+AY60+AY61</f>
        <v>100.61899999999956</v>
      </c>
      <c r="AZ62" s="242">
        <f>AZ58+AZ60+AZ61</f>
        <v>96.471999999999625</v>
      </c>
      <c r="BA62" s="242">
        <f>BA58+BA60+BA61</f>
        <v>236.39999999999958</v>
      </c>
      <c r="BB62" s="242">
        <f>BB58+BB60+BB61</f>
        <v>284.59999999999957</v>
      </c>
      <c r="BC62" s="242">
        <f>BC58+BC60+BC61</f>
        <v>284.59999999999957</v>
      </c>
      <c r="BD62" s="50"/>
      <c r="BE62" s="242">
        <f>BE58+BE60+BE61</f>
        <v>323.09999999999951</v>
      </c>
      <c r="BF62" s="242">
        <f>BF58+BF60+BF61</f>
        <v>311.59999999999951</v>
      </c>
      <c r="BG62" s="242">
        <f>BG58+BG60+BG61</f>
        <v>330.69999999999959</v>
      </c>
      <c r="BH62" s="242">
        <f>BH58+BH60+BH61</f>
        <v>383.89999999999952</v>
      </c>
      <c r="BI62" s="242">
        <f>BI58+BI60+BI61</f>
        <v>383.89999999999941</v>
      </c>
      <c r="BJ62" s="50"/>
      <c r="BK62" s="242">
        <f>BK58+BK60+BK61</f>
        <v>363.29999999999939</v>
      </c>
      <c r="BL62" s="242">
        <f>BL58+BL60+BL61</f>
        <v>268.39999999999969</v>
      </c>
      <c r="BM62" s="242">
        <f>BM58+BM60+BM61</f>
        <v>369.99999999999966</v>
      </c>
      <c r="BN62" s="242">
        <f>BN58+BN60+BN61</f>
        <v>320.59999999999968</v>
      </c>
      <c r="BO62" s="242">
        <f>BO58+BO60+BO61</f>
        <v>320.59999999999945</v>
      </c>
      <c r="BP62" s="50"/>
      <c r="BQ62" s="242">
        <f>BQ58+BQ60+BQ61</f>
        <v>412.04769188686356</v>
      </c>
      <c r="BR62" s="242">
        <f>BR58+BR60+BR61</f>
        <v>325.62592569670232</v>
      </c>
      <c r="BS62" s="242">
        <f>BS58+BS60+BS61</f>
        <v>229.98791722566793</v>
      </c>
      <c r="BT62" s="242">
        <f>BT58+BT60+BT61</f>
        <v>222.68520568684852</v>
      </c>
      <c r="BU62" s="242">
        <f>BU58+BU60+BU61</f>
        <v>222.68520568684869</v>
      </c>
      <c r="BV62" s="50"/>
      <c r="BW62" s="242">
        <f>BW58+BW60+BW61</f>
        <v>388.45571862714547</v>
      </c>
      <c r="BX62" s="242">
        <f>BX58+BX60+BX61</f>
        <v>319.79225826526704</v>
      </c>
      <c r="BY62" s="242">
        <f>BY58+BY60+BY61</f>
        <v>240.44515190401728</v>
      </c>
      <c r="BZ62" s="242">
        <f>BZ58+BZ60+BZ61</f>
        <v>230.26397178660005</v>
      </c>
      <c r="CA62" s="242">
        <f>CA58+CA60+CA61</f>
        <v>230.26397178659988</v>
      </c>
      <c r="CB62" s="50"/>
      <c r="CC62" s="242">
        <f>CC58+CC60+CC61</f>
        <v>416.34620365496158</v>
      </c>
      <c r="CD62" s="242">
        <f>CD58+CD60+CD61</f>
        <v>359.06419003925782</v>
      </c>
      <c r="CE62" s="242">
        <f>CE58+CE60+CE61</f>
        <v>296.25760191300799</v>
      </c>
      <c r="CF62" s="242">
        <f>CF58+CF60+CF61</f>
        <v>296.24523202720752</v>
      </c>
      <c r="CG62" s="242">
        <f>CG58+CG60+CG61</f>
        <v>296.24523202720775</v>
      </c>
      <c r="CQ62" s="379"/>
    </row>
    <row r="63" spans="1:95" s="659" customFormat="1" ht="11.25" customHeight="1" outlineLevel="1" x14ac:dyDescent="0.2">
      <c r="A63" s="345"/>
      <c r="B63" s="344" t="s">
        <v>81</v>
      </c>
      <c r="C63" s="657">
        <f>ROUND(C62-'BalSht '!C9,3)</f>
        <v>0</v>
      </c>
      <c r="D63" s="657">
        <f>ROUND(D62-'BalSht '!D9,3)</f>
        <v>0</v>
      </c>
      <c r="E63" s="657">
        <f>ROUND(E62-'BalSht '!E9,3)</f>
        <v>0</v>
      </c>
      <c r="F63" s="657">
        <f>ROUND(F62-'BalSht '!F9,3)</f>
        <v>0</v>
      </c>
      <c r="G63" s="657">
        <f>ROUND(G62-'BalSht '!G9,3)</f>
        <v>0</v>
      </c>
      <c r="H63" s="658"/>
      <c r="I63" s="657">
        <f>ROUND(I62-'BalSht '!I9,3)</f>
        <v>0</v>
      </c>
      <c r="J63" s="657">
        <f>ROUND(J62-'BalSht '!J9,3)</f>
        <v>0</v>
      </c>
      <c r="K63" s="657">
        <f>ROUND(K62-'BalSht '!K9,3)</f>
        <v>0</v>
      </c>
      <c r="L63" s="657">
        <f>ROUND(L62-'BalSht '!L9,3)</f>
        <v>0</v>
      </c>
      <c r="M63" s="657">
        <f>ROUND(M62-'BalSht '!M9,3)</f>
        <v>0</v>
      </c>
      <c r="N63" s="658"/>
      <c r="O63" s="657">
        <f>ROUND(O62-'BalSht '!O9,3)</f>
        <v>0</v>
      </c>
      <c r="P63" s="657">
        <f>ROUND(P62-'BalSht '!P9,3)</f>
        <v>0</v>
      </c>
      <c r="Q63" s="657">
        <f>ROUND(Q62-'BalSht '!Q9,3)</f>
        <v>0</v>
      </c>
      <c r="R63" s="657">
        <f>ROUND(R62-'BalSht '!R9,3)</f>
        <v>0</v>
      </c>
      <c r="S63" s="657">
        <f>ROUND(S62-'BalSht '!S9,3)</f>
        <v>0</v>
      </c>
      <c r="T63" s="658"/>
      <c r="U63" s="657">
        <f>ROUND(U62-'BalSht '!U9,3)</f>
        <v>0</v>
      </c>
      <c r="V63" s="657">
        <f>ROUND(V62-'BalSht '!V9,3)</f>
        <v>0</v>
      </c>
      <c r="W63" s="657">
        <f>ROUND(W62-'BalSht '!W9,3)</f>
        <v>0</v>
      </c>
      <c r="X63" s="657">
        <f>ROUND(X62-'BalSht '!X9,3)</f>
        <v>0</v>
      </c>
      <c r="Y63" s="657">
        <f>ROUND(Y62-'BalSht '!Y9,3)</f>
        <v>0</v>
      </c>
      <c r="Z63" s="658"/>
      <c r="AA63" s="657">
        <f>ROUND(AA62-'BalSht '!AA9,3)</f>
        <v>0</v>
      </c>
      <c r="AB63" s="657">
        <f>ROUND(AB62-'BalSht '!AB9,3)</f>
        <v>0</v>
      </c>
      <c r="AC63" s="657">
        <f>ROUND(AC62-'BalSht '!AC9,3)</f>
        <v>0</v>
      </c>
      <c r="AD63" s="657">
        <f>ROUND(AD62-'BalSht '!AD9,3)</f>
        <v>0</v>
      </c>
      <c r="AE63" s="657">
        <f>ROUND(AE62-'BalSht '!AE9,3)</f>
        <v>0</v>
      </c>
      <c r="AF63" s="658"/>
      <c r="AG63" s="657">
        <f>ROUND(AG62-'BalSht '!AG9,3)</f>
        <v>0</v>
      </c>
      <c r="AH63" s="657">
        <f>ROUND(AH62-'BalSht '!AH9,3)</f>
        <v>0</v>
      </c>
      <c r="AI63" s="657">
        <f>ROUND(AI62-'BalSht '!AI9,3)</f>
        <v>0</v>
      </c>
      <c r="AJ63" s="657">
        <f>ROUND(AJ62-'BalSht '!AJ9,3)</f>
        <v>0</v>
      </c>
      <c r="AK63" s="657">
        <f>ROUND(AK62-'BalSht '!AK9,3)</f>
        <v>0</v>
      </c>
      <c r="AL63" s="658"/>
      <c r="AM63" s="657">
        <f>ROUND(AM62-'BalSht '!AM9,3)</f>
        <v>0</v>
      </c>
      <c r="AN63" s="657">
        <f>ROUND(AN62-'BalSht '!AN9,3)</f>
        <v>0</v>
      </c>
      <c r="AO63" s="657">
        <f>ROUND(AO62-'BalSht '!AO9,3)</f>
        <v>0</v>
      </c>
      <c r="AP63" s="657">
        <f>ROUND(AP62-'BalSht '!AP9,3)</f>
        <v>0</v>
      </c>
      <c r="AQ63" s="657">
        <f>ROUND(AQ62-'BalSht '!AQ9,3)</f>
        <v>0</v>
      </c>
      <c r="AR63" s="662"/>
      <c r="AS63" s="657">
        <f>ROUND(AS62-'BalSht '!AS9,3)</f>
        <v>0</v>
      </c>
      <c r="AT63" s="657">
        <f>ROUND(AT62-'BalSht '!AT9,3)</f>
        <v>0</v>
      </c>
      <c r="AU63" s="657">
        <f>ROUND(AU62-'BalSht '!AU9,3)</f>
        <v>0</v>
      </c>
      <c r="AV63" s="657">
        <f>ROUND(AV62-'BalSht '!AV9,3)</f>
        <v>0</v>
      </c>
      <c r="AW63" s="657">
        <f>ROUND(AW62-'BalSht '!AW9,3)</f>
        <v>0</v>
      </c>
      <c r="AX63" s="657"/>
      <c r="AY63" s="657">
        <f>ROUND(AY62-'BalSht '!AY9,3)</f>
        <v>0</v>
      </c>
      <c r="AZ63" s="657">
        <f>ROUND(AZ62-'BalSht '!AZ9,3)</f>
        <v>0</v>
      </c>
      <c r="BA63" s="657">
        <f>ROUND(BA62-'BalSht '!BA9,3)</f>
        <v>0</v>
      </c>
      <c r="BB63" s="657">
        <f>ROUND(BB62-'BalSht '!BB9,3)</f>
        <v>0</v>
      </c>
      <c r="BC63" s="657">
        <f>ROUND(BC62-'BalSht '!BC9,3)</f>
        <v>0</v>
      </c>
      <c r="BD63" s="657"/>
      <c r="BE63" s="657">
        <f>ROUND(BE62-'BalSht '!BE9,3)</f>
        <v>0</v>
      </c>
      <c r="BF63" s="657">
        <f>ROUND(BF62-'BalSht '!BF9,3)</f>
        <v>0</v>
      </c>
      <c r="BG63" s="657">
        <f>ROUND(BG62-'BalSht '!BG9,3)</f>
        <v>0</v>
      </c>
      <c r="BH63" s="657">
        <f>BH62-'BalSht '!BH9</f>
        <v>-4.5474735088646412E-13</v>
      </c>
      <c r="BI63" s="657">
        <f>BI62-'BalSht '!BI9</f>
        <v>-5.6843418860808015E-13</v>
      </c>
      <c r="BJ63" s="657"/>
      <c r="BK63" s="657">
        <f>ROUND(BK62-'BalSht '!BK9,3)</f>
        <v>0</v>
      </c>
      <c r="BL63" s="657">
        <f>ROUND(BL62-'BalSht '!BL9,3)</f>
        <v>0</v>
      </c>
      <c r="BM63" s="657">
        <f>ROUND(BM62-'BalSht '!BM9,3)</f>
        <v>0</v>
      </c>
      <c r="BN63" s="657">
        <f>BN62-'BalSht '!BN9</f>
        <v>0</v>
      </c>
      <c r="BO63" s="657">
        <f>BO62-'BalSht '!BO9</f>
        <v>-5.6843418860808015E-13</v>
      </c>
      <c r="BP63" s="657"/>
      <c r="BQ63" s="657">
        <f>ROUND(BQ62-'BalSht '!BQ9,3)</f>
        <v>0</v>
      </c>
      <c r="BR63" s="657">
        <f>ROUND(BR62-'BalSht '!BR9,3)</f>
        <v>0</v>
      </c>
      <c r="BS63" s="657">
        <f>ROUND(BS62-'BalSht '!BS9,3)</f>
        <v>0</v>
      </c>
      <c r="BT63" s="657">
        <f>BT62-'BalSht '!BT9</f>
        <v>0</v>
      </c>
      <c r="BU63" s="657">
        <f>BU62-'BalSht '!BU9</f>
        <v>0</v>
      </c>
      <c r="BV63" s="657"/>
      <c r="BW63" s="657">
        <f>ROUND(BW62-'BalSht '!BW9,3)</f>
        <v>0</v>
      </c>
      <c r="BX63" s="657">
        <f>ROUND(BX62-'BalSht '!BX9,3)</f>
        <v>0</v>
      </c>
      <c r="BY63" s="657">
        <f>ROUND(BY62-'BalSht '!BY9,3)</f>
        <v>0</v>
      </c>
      <c r="BZ63" s="657">
        <f>BZ62-'BalSht '!BZ9</f>
        <v>0</v>
      </c>
      <c r="CA63" s="657">
        <f>CA62-'BalSht '!CA9</f>
        <v>0</v>
      </c>
      <c r="CB63" s="657"/>
      <c r="CC63" s="657">
        <f>ROUND(CC62-'BalSht '!CC9,3)</f>
        <v>0</v>
      </c>
      <c r="CD63" s="657">
        <f>ROUND(CD62-'BalSht '!CD9,3)</f>
        <v>0</v>
      </c>
      <c r="CE63" s="657">
        <f>ROUND(CE62-'BalSht '!CE9,3)</f>
        <v>0</v>
      </c>
      <c r="CF63" s="657">
        <f>CF62-'BalSht '!CF9</f>
        <v>0</v>
      </c>
      <c r="CG63" s="657">
        <f>CG62-'BalSht '!CG9</f>
        <v>0</v>
      </c>
      <c r="CK63"/>
      <c r="CL63"/>
      <c r="CM63"/>
      <c r="CN63"/>
      <c r="CO63"/>
      <c r="CP63"/>
      <c r="CQ63" s="556"/>
    </row>
    <row r="64" spans="1:95" ht="11.25" customHeight="1" x14ac:dyDescent="0.2">
      <c r="A64" s="301"/>
      <c r="B64" s="385"/>
      <c r="C64" s="135"/>
      <c r="D64" s="505"/>
      <c r="E64" s="135"/>
      <c r="F64" s="135"/>
      <c r="G64" s="382"/>
      <c r="H64" s="313"/>
      <c r="I64" s="135"/>
      <c r="J64" s="505"/>
      <c r="K64" s="135"/>
      <c r="L64" s="135"/>
      <c r="M64" s="382"/>
      <c r="N64" s="313"/>
      <c r="O64" s="135"/>
      <c r="P64" s="505"/>
      <c r="Q64" s="135"/>
      <c r="R64" s="135"/>
      <c r="S64" s="382"/>
      <c r="T64" s="313"/>
      <c r="U64" s="135"/>
      <c r="V64" s="505"/>
      <c r="W64" s="135"/>
      <c r="X64" s="135"/>
      <c r="Y64" s="382"/>
      <c r="Z64" s="313"/>
      <c r="AA64" s="135"/>
      <c r="AB64" s="505"/>
      <c r="AC64" s="135"/>
      <c r="AD64" s="135"/>
      <c r="AE64" s="382"/>
      <c r="AF64" s="313"/>
      <c r="AG64" s="135"/>
      <c r="AH64" s="505"/>
      <c r="AI64" s="135"/>
      <c r="AJ64" s="135"/>
      <c r="AK64" s="382"/>
      <c r="AL64" s="313"/>
      <c r="AM64" s="135"/>
      <c r="AN64" s="505"/>
      <c r="AO64" s="135"/>
      <c r="AP64" s="135"/>
      <c r="AQ64" s="382"/>
      <c r="AR64" s="313"/>
      <c r="AS64" s="135"/>
      <c r="AT64" s="135"/>
      <c r="AU64" s="135"/>
      <c r="AV64" s="135"/>
      <c r="AW64" s="382"/>
      <c r="AX64" s="313"/>
      <c r="AY64" s="135"/>
      <c r="AZ64" s="135"/>
      <c r="BA64" s="135"/>
      <c r="BB64" s="135"/>
      <c r="BC64" s="550"/>
      <c r="BD64" s="313"/>
      <c r="BE64" s="135"/>
      <c r="BF64" s="135"/>
      <c r="BG64" s="135"/>
      <c r="BH64" s="135"/>
      <c r="BI64" s="382"/>
      <c r="BJ64" s="313"/>
      <c r="BK64" s="135"/>
      <c r="BL64" s="135"/>
      <c r="BM64" s="135"/>
      <c r="BN64" s="135"/>
      <c r="BO64" s="382"/>
      <c r="BP64" s="313"/>
      <c r="BQ64" s="135"/>
      <c r="BR64" s="135"/>
      <c r="BS64" s="135"/>
      <c r="BT64" s="135"/>
      <c r="BU64" s="382"/>
      <c r="BV64" s="313"/>
      <c r="BW64" s="135"/>
      <c r="BX64" s="135"/>
      <c r="BY64" s="135"/>
      <c r="BZ64" s="135"/>
      <c r="CA64" s="382"/>
      <c r="CB64" s="313"/>
      <c r="CC64" s="135"/>
      <c r="CD64" s="135"/>
      <c r="CE64" s="135"/>
      <c r="CF64" s="135"/>
      <c r="CG64" s="382"/>
      <c r="CQ64" s="556"/>
    </row>
    <row r="65" spans="1:95" ht="11.25" customHeight="1" x14ac:dyDescent="0.2">
      <c r="A65" s="343"/>
      <c r="B65" s="342" t="s">
        <v>82</v>
      </c>
      <c r="C65" s="35"/>
      <c r="D65" s="68"/>
      <c r="E65" s="35"/>
      <c r="F65" s="35"/>
      <c r="G65" s="549"/>
      <c r="H65" s="50"/>
      <c r="I65" s="35"/>
      <c r="J65" s="68"/>
      <c r="K65" s="35"/>
      <c r="L65" s="35"/>
      <c r="M65" s="549"/>
      <c r="N65" s="50"/>
      <c r="O65" s="35"/>
      <c r="P65" s="68"/>
      <c r="Q65" s="35"/>
      <c r="R65" s="35"/>
      <c r="S65" s="549"/>
      <c r="T65" s="50"/>
      <c r="U65" s="35"/>
      <c r="V65" s="68"/>
      <c r="W65" s="35"/>
      <c r="X65" s="35"/>
      <c r="Y65" s="549"/>
      <c r="Z65" s="50"/>
      <c r="AA65" s="35"/>
      <c r="AB65" s="68"/>
      <c r="AC65" s="35"/>
      <c r="AD65" s="35"/>
      <c r="AE65" s="549"/>
      <c r="AF65" s="50"/>
      <c r="AG65" s="35"/>
      <c r="AH65" s="68"/>
      <c r="AI65" s="35"/>
      <c r="AJ65" s="35"/>
      <c r="AK65" s="549"/>
      <c r="AL65" s="50"/>
      <c r="AM65" s="35"/>
      <c r="AN65" s="68"/>
      <c r="AO65" s="35"/>
      <c r="AP65" s="35"/>
      <c r="AQ65" s="549"/>
      <c r="AR65" s="50"/>
      <c r="AS65" s="35"/>
      <c r="AT65" s="35"/>
      <c r="AU65" s="35"/>
      <c r="AV65" s="35"/>
      <c r="AW65" s="549"/>
      <c r="AX65" s="50"/>
      <c r="AY65" s="35"/>
      <c r="AZ65" s="35"/>
      <c r="BA65" s="35"/>
      <c r="BB65" s="35"/>
      <c r="BC65" s="270"/>
      <c r="BD65" s="270"/>
      <c r="BE65" s="35"/>
      <c r="BF65" s="35"/>
      <c r="BG65" s="35"/>
      <c r="BH65" s="35"/>
      <c r="BI65" s="270"/>
      <c r="BJ65" s="50"/>
      <c r="BK65" s="35"/>
      <c r="BL65" s="35"/>
      <c r="BM65" s="35"/>
      <c r="BN65" s="35"/>
      <c r="BO65" s="270"/>
      <c r="BP65" s="50"/>
      <c r="BQ65" s="35"/>
      <c r="BR65" s="35"/>
      <c r="BS65" s="35"/>
      <c r="BT65" s="35"/>
      <c r="BU65" s="270"/>
      <c r="BV65" s="50"/>
      <c r="BW65" s="35"/>
      <c r="BX65" s="35"/>
      <c r="BY65" s="35"/>
      <c r="BZ65" s="35"/>
      <c r="CA65" s="270"/>
      <c r="CB65" s="50"/>
      <c r="CC65" s="35"/>
      <c r="CD65" s="35"/>
      <c r="CE65" s="35"/>
      <c r="CF65" s="35"/>
      <c r="CG65" s="270"/>
    </row>
    <row r="66" spans="1:95" ht="11.25" customHeight="1" x14ac:dyDescent="0.2">
      <c r="A66" s="343"/>
      <c r="B66" s="281" t="s">
        <v>168</v>
      </c>
      <c r="C66" s="237">
        <f>+C28+C31</f>
        <v>31.117000000000004</v>
      </c>
      <c r="D66" s="237">
        <f>+D28+D31</f>
        <v>102.79799999999999</v>
      </c>
      <c r="E66" s="237">
        <f>+E28+E31</f>
        <v>85.140999999999991</v>
      </c>
      <c r="F66" s="237">
        <f>+F28+F31</f>
        <v>104.47799999999999</v>
      </c>
      <c r="G66" s="237">
        <f>+G28+G31</f>
        <v>323.53399999999999</v>
      </c>
      <c r="H66" s="238"/>
      <c r="I66" s="237">
        <f>+I28+I31</f>
        <v>11.489000000000004</v>
      </c>
      <c r="J66" s="237">
        <f>+J28+J31</f>
        <v>90.962000000000018</v>
      </c>
      <c r="K66" s="237">
        <f>+K28+K31</f>
        <v>79.106000000000009</v>
      </c>
      <c r="L66" s="237">
        <f>+L28+L31</f>
        <v>77.984000000000023</v>
      </c>
      <c r="M66" s="237">
        <f>+M28+M31</f>
        <v>259.541</v>
      </c>
      <c r="N66" s="238"/>
      <c r="O66" s="237">
        <f>+O28+O31</f>
        <v>-3.5439999999999987</v>
      </c>
      <c r="P66" s="237">
        <f>+P28+P31</f>
        <v>93.945999999999984</v>
      </c>
      <c r="Q66" s="237">
        <f>+Q28+Q31</f>
        <v>111.68000000000004</v>
      </c>
      <c r="R66" s="237">
        <f>+R28+R31</f>
        <v>103.92599999999996</v>
      </c>
      <c r="S66" s="237">
        <f>+S28+S31</f>
        <v>306.00799999999998</v>
      </c>
      <c r="T66" s="238"/>
      <c r="U66" s="237">
        <f>+U28+U31</f>
        <v>28.513999999999996</v>
      </c>
      <c r="V66" s="237">
        <f>+V28+V31</f>
        <v>103.057</v>
      </c>
      <c r="W66" s="237">
        <f>+W28+W31</f>
        <v>87.753000000000014</v>
      </c>
      <c r="X66" s="237">
        <f>+X28+X31</f>
        <v>98.763999999999982</v>
      </c>
      <c r="Y66" s="237">
        <f>+Y28+Y31</f>
        <v>318.08799999999997</v>
      </c>
      <c r="Z66" s="238"/>
      <c r="AA66" s="237">
        <f>+AA28+AA31</f>
        <v>32.231999999999992</v>
      </c>
      <c r="AB66" s="237">
        <f>+AB28+AB31</f>
        <v>107.39400000000001</v>
      </c>
      <c r="AC66" s="237">
        <f>+AC28+AC31</f>
        <v>67.060999999999993</v>
      </c>
      <c r="AD66" s="237">
        <f>+AD28+AD31</f>
        <v>115.59599999999998</v>
      </c>
      <c r="AE66" s="237">
        <f>+AE28+AE31</f>
        <v>322.28300000000002</v>
      </c>
      <c r="AF66" s="238"/>
      <c r="AG66" s="237">
        <f>+AG28+AG31</f>
        <v>1.3110000000000142</v>
      </c>
      <c r="AH66" s="237">
        <f>+AH28+AH31</f>
        <v>59.097999999999999</v>
      </c>
      <c r="AI66" s="237">
        <f>+AI28+AI31</f>
        <v>76.797000000000025</v>
      </c>
      <c r="AJ66" s="237">
        <f>+AJ28+AJ31</f>
        <v>140.40699999999993</v>
      </c>
      <c r="AK66" s="237">
        <f>+AK28+AK31</f>
        <v>277.61299999999994</v>
      </c>
      <c r="AL66" s="238"/>
      <c r="AM66" s="237">
        <f>+AM28+AM31</f>
        <v>12.053999999999984</v>
      </c>
      <c r="AN66" s="237">
        <f>+AN28+AN31</f>
        <v>73.663000000000011</v>
      </c>
      <c r="AO66" s="237">
        <f>+AO28+AO31</f>
        <v>99.048999999999978</v>
      </c>
      <c r="AP66" s="237">
        <f>+AP28+AP31</f>
        <v>132.73499999999996</v>
      </c>
      <c r="AQ66" s="237">
        <f>+AQ28+AQ31</f>
        <v>317.50099999999998</v>
      </c>
      <c r="AR66" s="238"/>
      <c r="AS66" s="237">
        <f>+AS28+AS31</f>
        <v>39.242999999999995</v>
      </c>
      <c r="AT66" s="237">
        <f>+AT28+AT31</f>
        <v>132.17099999999999</v>
      </c>
      <c r="AU66" s="237">
        <f>+AU28+AU31</f>
        <v>123.34099999999999</v>
      </c>
      <c r="AV66" s="237">
        <f>+AV28+AV31</f>
        <v>166.06799999999998</v>
      </c>
      <c r="AW66" s="237">
        <f>+AW28+AW31</f>
        <v>460.82300000000009</v>
      </c>
      <c r="AX66" s="238"/>
      <c r="AY66" s="237">
        <f>+AY28+AY31</f>
        <v>49.388000000000005</v>
      </c>
      <c r="AZ66" s="237">
        <f>+AZ28+AZ31</f>
        <v>128.423</v>
      </c>
      <c r="BA66" s="237">
        <f>+BA28+BA31</f>
        <v>141.48899999999998</v>
      </c>
      <c r="BB66" s="237">
        <f>+BB28+BB31</f>
        <v>106.09999999999997</v>
      </c>
      <c r="BC66" s="237">
        <f>+BC28+BC31</f>
        <v>425.39999999999992</v>
      </c>
      <c r="BD66" s="238"/>
      <c r="BE66" s="237">
        <f>+BE28+BE31</f>
        <v>-11.7</v>
      </c>
      <c r="BF66" s="237">
        <f>+BF28+BF31</f>
        <v>160.79999999999998</v>
      </c>
      <c r="BG66" s="237">
        <f>+BG28+BG31</f>
        <v>124.20000000000003</v>
      </c>
      <c r="BH66" s="237">
        <f>+BH28+BH31</f>
        <v>177.8</v>
      </c>
      <c r="BI66" s="237">
        <f>+BI28+BI31</f>
        <v>451.09999999999991</v>
      </c>
      <c r="BJ66" s="238"/>
      <c r="BK66" s="237">
        <f>+BK28+BK31</f>
        <v>51.4</v>
      </c>
      <c r="BL66" s="237">
        <f>+BL28+BL31</f>
        <v>92.500000000000284</v>
      </c>
      <c r="BM66" s="237">
        <f>+BM28+BM31</f>
        <v>130.5</v>
      </c>
      <c r="BN66" s="237">
        <f>+BN28+BN31</f>
        <v>183.19999999999996</v>
      </c>
      <c r="BO66" s="237">
        <f>+BO28+BO31</f>
        <v>457.60000000000008</v>
      </c>
      <c r="BP66" s="238"/>
      <c r="BQ66" s="237">
        <f>+BQ28+BQ31</f>
        <v>236.96243639752132</v>
      </c>
      <c r="BR66" s="237">
        <f>+BR28+BR31</f>
        <v>47.456191223758942</v>
      </c>
      <c r="BS66" s="237">
        <f>+BS28+BS31</f>
        <v>38.650196483283565</v>
      </c>
      <c r="BT66" s="237">
        <f>+BT28+BT31</f>
        <v>125.28149336992593</v>
      </c>
      <c r="BU66" s="237">
        <f>+BU28+BU31</f>
        <v>448.35031747448988</v>
      </c>
      <c r="BV66" s="238"/>
      <c r="BW66" s="237">
        <f>+BW28+BW31</f>
        <v>321.6458193226232</v>
      </c>
      <c r="BX66" s="237">
        <f>+BX28+BX31</f>
        <v>85.451340942739208</v>
      </c>
      <c r="BY66" s="237">
        <f>+BY28+BY31</f>
        <v>75.482937015820795</v>
      </c>
      <c r="BZ66" s="237">
        <f>+BZ28+BZ31</f>
        <v>143.25303832216548</v>
      </c>
      <c r="CA66" s="237">
        <f>+CA28+CA31</f>
        <v>625.83313560334864</v>
      </c>
      <c r="CB66" s="238"/>
      <c r="CC66" s="237">
        <f>+CC28+CC31</f>
        <v>337.84134236185912</v>
      </c>
      <c r="CD66" s="237">
        <f>+CD28+CD31</f>
        <v>91.452605019393076</v>
      </c>
      <c r="CE66" s="237">
        <f>+CE28+CE31</f>
        <v>87.077438274424679</v>
      </c>
      <c r="CF66" s="237">
        <f>+CF28+CF31</f>
        <v>148.81407955799276</v>
      </c>
      <c r="CG66" s="237">
        <f>+CG28+CG31</f>
        <v>665.18546521366977</v>
      </c>
    </row>
    <row r="67" spans="1:95" ht="11.25" customHeight="1" x14ac:dyDescent="0.2">
      <c r="A67" s="19"/>
      <c r="B67" s="1" t="s">
        <v>169</v>
      </c>
      <c r="C67" s="272">
        <f>C66/'P&amp;L'!C34</f>
        <v>0.20340168515455967</v>
      </c>
      <c r="D67" s="272">
        <f>D66/'P&amp;L'!D34</f>
        <v>0.66375675553518043</v>
      </c>
      <c r="E67" s="272">
        <f>E66/'P&amp;L'!E34</f>
        <v>0.55023394685141136</v>
      </c>
      <c r="F67" s="272">
        <f>F66/'P&amp;L'!F34</f>
        <v>0.67606672792452338</v>
      </c>
      <c r="G67" s="272">
        <f>G66/'P&amp;L'!G34</f>
        <v>2.0910800731639529</v>
      </c>
      <c r="H67" s="273"/>
      <c r="I67" s="272">
        <f>I66/'P&amp;L'!I34</f>
        <v>7.5099847695495603E-2</v>
      </c>
      <c r="J67" s="272">
        <f>J66/'P&amp;L'!J34</f>
        <v>0.59926213848079601</v>
      </c>
      <c r="K67" s="272">
        <f>K66/'P&amp;L'!K34</f>
        <v>0.52147372723257546</v>
      </c>
      <c r="L67" s="272">
        <f>L66/'P&amp;L'!L34</f>
        <v>0.51908356297509228</v>
      </c>
      <c r="M67" s="272">
        <f>M66/'P&amp;L'!M34</f>
        <v>1.7111201946215362</v>
      </c>
      <c r="N67" s="273"/>
      <c r="O67" s="272">
        <f>O66/'P&amp;L'!O34</f>
        <v>-2.3673224007214177E-2</v>
      </c>
      <c r="P67" s="272">
        <f>P66/'P&amp;L'!P34</f>
        <v>0.62606876053766225</v>
      </c>
      <c r="Q67" s="272">
        <f>Q66/'P&amp;L'!Q34</f>
        <v>0.74137999707909052</v>
      </c>
      <c r="R67" s="272">
        <f>R66/'P&amp;L'!R34</f>
        <v>0.69183453381086135</v>
      </c>
      <c r="S67" s="272">
        <f>S66/'P&amp;L'!S34</f>
        <v>2.0386670397463056</v>
      </c>
      <c r="T67" s="273"/>
      <c r="U67" s="272">
        <f>U66/'P&amp;L'!U34</f>
        <v>0.19099227028547694</v>
      </c>
      <c r="V67" s="272">
        <f>V66/'P&amp;L'!V34</f>
        <v>0.70135906736809162</v>
      </c>
      <c r="W67" s="272">
        <f>W66/'P&amp;L'!W34</f>
        <v>0.60912933924741275</v>
      </c>
      <c r="X67" s="272">
        <f>X66/'P&amp;L'!X34</f>
        <v>0.68616130668278463</v>
      </c>
      <c r="Y67" s="272">
        <f>Y66/'P&amp;L'!Y34</f>
        <v>2.1789087919991776</v>
      </c>
      <c r="Z67" s="273"/>
      <c r="AA67" s="272">
        <f>AA66/'P&amp;L'!AA34</f>
        <v>0.22376496070645074</v>
      </c>
      <c r="AB67" s="272">
        <f>AB66/'P&amp;L'!AB34</f>
        <v>0.74905316900671681</v>
      </c>
      <c r="AC67" s="272">
        <f>AC66/'P&amp;L'!AC34</f>
        <v>0.46766623661912887</v>
      </c>
      <c r="AD67" s="272">
        <f>AD66/'P&amp;L'!AD34</f>
        <v>0.80510941787739054</v>
      </c>
      <c r="AE67" s="272">
        <f>AE66/'P&amp;L'!AE34</f>
        <v>2.2443496578979443</v>
      </c>
      <c r="AF67" s="273"/>
      <c r="AG67" s="272">
        <f>AG66/'P&amp;L'!AG34</f>
        <v>9.1051783531504484E-3</v>
      </c>
      <c r="AH67" s="272">
        <f>AH66/'P&amp;L'!AH34</f>
        <v>0.41079360224658179</v>
      </c>
      <c r="AI67" s="272">
        <f>AI66/'P&amp;L'!AI34</f>
        <v>0.53374245920324725</v>
      </c>
      <c r="AJ67" s="272">
        <f>AJ66/'P&amp;L'!AJ34</f>
        <v>0.97304171257891658</v>
      </c>
      <c r="AK67" s="272">
        <f>AK66/'P&amp;L'!AK34</f>
        <v>1.9277743443027071</v>
      </c>
      <c r="AL67" s="273"/>
      <c r="AM67" s="272">
        <f>AM66/'P&amp;L'!AM34</f>
        <v>8.3074314778185832E-2</v>
      </c>
      <c r="AN67" s="272">
        <f>AN66/'P&amp;L'!AN34</f>
        <v>0.50755513907932726</v>
      </c>
      <c r="AO67" s="272">
        <f>AO66/'P&amp;L'!AO34</f>
        <v>0.68452224633374315</v>
      </c>
      <c r="AP67" s="272">
        <f>AP66/'P&amp;L'!AP34</f>
        <v>0.91442369296692505</v>
      </c>
      <c r="AQ67" s="272">
        <f>AQ66/'P&amp;L'!AQ34</f>
        <v>2.1893336689151797</v>
      </c>
      <c r="AR67" s="273"/>
      <c r="AS67" s="272">
        <f>AS66/'P&amp;L'!AS34</f>
        <v>0.27166621669331892</v>
      </c>
      <c r="AT67" s="272">
        <f>AT66/'P&amp;L'!AT34</f>
        <v>0.91681002191948058</v>
      </c>
      <c r="AU67" s="272">
        <f>AU66/'P&amp;L'!AU34</f>
        <v>0.85483692111500764</v>
      </c>
      <c r="AV67" s="272">
        <f>AV66/'P&amp;L'!AV34</f>
        <v>1.1532820356121001</v>
      </c>
      <c r="AW67" s="272">
        <f>AW66/'P&amp;L'!AW34</f>
        <v>3.1951728118786829</v>
      </c>
      <c r="AX67" s="273"/>
      <c r="AY67" s="272">
        <f>AY66/'P&amp;L'!AY34</f>
        <v>0.34584465421136668</v>
      </c>
      <c r="AZ67" s="272">
        <f>AZ66/'P&amp;L'!AZ34</f>
        <v>0.90272173876368955</v>
      </c>
      <c r="BA67" s="272">
        <f>BA66/'P&amp;L'!BA34</f>
        <v>0.99360252808988747</v>
      </c>
      <c r="BB67" s="272">
        <f>BB66/'P&amp;L'!BB34</f>
        <v>0.74247725682295285</v>
      </c>
      <c r="BC67" s="272">
        <f>BC66/'P&amp;L'!BC34</f>
        <v>2.9852631578947362</v>
      </c>
      <c r="BD67" s="273"/>
      <c r="BE67" s="272">
        <f>BE66/'P&amp;L'!BE34</f>
        <v>-6.55829596412556E-2</v>
      </c>
      <c r="BF67" s="272">
        <f>BF66/'P&amp;L'!BF34</f>
        <v>0.67733782645324336</v>
      </c>
      <c r="BG67" s="272">
        <f>BG66/'P&amp;L'!BG34</f>
        <v>0.52560304697418547</v>
      </c>
      <c r="BH67" s="272">
        <f>BH66/'P&amp;L'!BH34</f>
        <v>0.75918018787361241</v>
      </c>
      <c r="BI67" s="272">
        <f>BI66/'P&amp;L'!BI34</f>
        <v>2.0356498194945845</v>
      </c>
      <c r="BJ67" s="273"/>
      <c r="BK67" s="272">
        <f>BK66/'P&amp;L'!BK34</f>
        <v>0.21965811965811965</v>
      </c>
      <c r="BL67" s="272">
        <f>BL66/'P&amp;L'!BL34</f>
        <v>0.39654470237712597</v>
      </c>
      <c r="BM67" s="272">
        <f>BM66/'P&amp;L'!BM34</f>
        <v>0.55984555984555984</v>
      </c>
      <c r="BN67" s="272">
        <f>BN66/'P&amp;L'!BN34</f>
        <v>0.79003997636779966</v>
      </c>
      <c r="BO67" s="272">
        <f>BO66/'P&amp;L'!BO34</f>
        <v>1.9670890864384343</v>
      </c>
      <c r="BP67" s="273"/>
      <c r="BQ67" s="272">
        <f>BQ66/'P&amp;L'!BQ34</f>
        <v>1.0419849421136131</v>
      </c>
      <c r="BR67" s="272">
        <f>BR66/'P&amp;L'!BR34</f>
        <v>0.21043709766797372</v>
      </c>
      <c r="BS67" s="272">
        <f>BS66/'P&amp;L'!BS34</f>
        <v>0.17272533149814409</v>
      </c>
      <c r="BT67" s="272">
        <f>BT66/'P&amp;L'!BT34</f>
        <v>0.56439336777433136</v>
      </c>
      <c r="BU67" s="272">
        <f>BU66/'P&amp;L'!BU34</f>
        <v>1.9956188671344406</v>
      </c>
      <c r="BV67" s="273"/>
      <c r="BW67" s="272">
        <f>BW66/'P&amp;L'!BW34</f>
        <v>1.4632097710447001</v>
      </c>
      <c r="BX67" s="272">
        <f>BX66/'P&amp;L'!BX34</f>
        <v>0.39193920755526473</v>
      </c>
      <c r="BY67" s="272">
        <f>BY66/'P&amp;L'!BY34</f>
        <v>0.34934413609448017</v>
      </c>
      <c r="BZ67" s="272">
        <f>BZ66/'P&amp;L'!BZ34</f>
        <v>0.6692598323370661</v>
      </c>
      <c r="CA67" s="272">
        <f>CA66/'P&amp;L'!CA34</f>
        <v>2.8841519066421455</v>
      </c>
      <c r="CB67" s="273"/>
      <c r="CC67" s="272">
        <f>CC66/'P&amp;L'!CC34</f>
        <v>1.5931752594928945</v>
      </c>
      <c r="CD67" s="272">
        <f>CD66/'P&amp;L'!CD34</f>
        <v>0.43463379621620468</v>
      </c>
      <c r="CE67" s="272">
        <f>CE66/'P&amp;L'!CE34</f>
        <v>0.41739606094397935</v>
      </c>
      <c r="CF67" s="272">
        <f>CF66/'P&amp;L'!CF34</f>
        <v>0.71975263058551819</v>
      </c>
      <c r="CG67" s="272">
        <f>CG66/'P&amp;L'!CG34</f>
        <v>3.1756921911573919</v>
      </c>
      <c r="CQ67" s="517"/>
    </row>
    <row r="68" spans="1:95" ht="11.25" customHeight="1" thickBot="1" x14ac:dyDescent="0.25">
      <c r="A68" s="19"/>
      <c r="B68" s="38" t="s">
        <v>170</v>
      </c>
      <c r="C68" s="274">
        <f>C67/$BM$69</f>
        <v>3.0277118957213406E-3</v>
      </c>
      <c r="D68" s="274">
        <f>D67/$BM$69</f>
        <v>9.8802732291631487E-3</v>
      </c>
      <c r="E68" s="274">
        <f>E67/$BM$69</f>
        <v>8.1904427932630447E-3</v>
      </c>
      <c r="F68" s="274">
        <f>F67/$BM$69</f>
        <v>1.0063511877411779E-2</v>
      </c>
      <c r="G68" s="274">
        <f>G67/$BM$69</f>
        <v>3.1126526840785245E-2</v>
      </c>
      <c r="H68" s="274"/>
      <c r="I68" s="274">
        <f>I67/$BM$69</f>
        <v>1.1178899627194939E-3</v>
      </c>
      <c r="J68" s="274">
        <f>J67/$BM$69</f>
        <v>8.9202461816135156E-3</v>
      </c>
      <c r="K68" s="274">
        <f>K67/$BM$69</f>
        <v>7.7623359218900777E-3</v>
      </c>
      <c r="L68" s="274">
        <f>L67/$BM$69</f>
        <v>7.7267574125497503E-3</v>
      </c>
      <c r="M68" s="274">
        <f>M67/$BM$69</f>
        <v>2.5470678693383982E-2</v>
      </c>
      <c r="N68" s="274"/>
      <c r="O68" s="274">
        <f>O67/$BM$69</f>
        <v>-3.5238499564177098E-4</v>
      </c>
      <c r="P68" s="274">
        <f>P67/$BM$69</f>
        <v>9.319273005919353E-3</v>
      </c>
      <c r="Q68" s="274">
        <f>Q67/$BM$69</f>
        <v>1.1035724874651541E-2</v>
      </c>
      <c r="R68" s="274">
        <f>R67/$BM$69</f>
        <v>1.0298221700072363E-2</v>
      </c>
      <c r="S68" s="274">
        <f>S67/$BM$69</f>
        <v>3.0346338787530597E-2</v>
      </c>
      <c r="T68" s="274"/>
      <c r="U68" s="274">
        <f>U67/$BM$69</f>
        <v>2.8429930081196328E-3</v>
      </c>
      <c r="V68" s="274">
        <f>V67/$BM$69</f>
        <v>1.0439998025723304E-2</v>
      </c>
      <c r="W68" s="274">
        <f>W67/$BM$69</f>
        <v>9.0671232397649994E-3</v>
      </c>
      <c r="X68" s="274">
        <f>X67/$BM$69</f>
        <v>1.0213773543953327E-2</v>
      </c>
      <c r="Y68" s="274">
        <f>Y67/$BM$69</f>
        <v>3.2433890919904396E-2</v>
      </c>
      <c r="Z68" s="274"/>
      <c r="AA68" s="274">
        <f>AA67/$BM$69</f>
        <v>3.3308270423705079E-3</v>
      </c>
      <c r="AB68" s="274">
        <f>AB67/$BM$69</f>
        <v>1.1149942974199415E-2</v>
      </c>
      <c r="AC68" s="274">
        <f>AC67/$BM$69</f>
        <v>6.9613908398203162E-3</v>
      </c>
      <c r="AD68" s="274">
        <f>AD67/$BM$69</f>
        <v>1.1984361683200216E-2</v>
      </c>
      <c r="AE68" s="274">
        <f>AE67/$BM$69</f>
        <v>3.3408003243494258E-2</v>
      </c>
      <c r="AF68" s="274"/>
      <c r="AG68" s="274">
        <f>AG67/$BM$69</f>
        <v>1.3553406301206381E-4</v>
      </c>
      <c r="AH68" s="274">
        <f>AH67/$BM$69</f>
        <v>6.1148199203123216E-3</v>
      </c>
      <c r="AI68" s="274">
        <f>AI67/$BM$69</f>
        <v>7.9449606907300869E-3</v>
      </c>
      <c r="AJ68" s="274">
        <f>AJ67/$BM$69</f>
        <v>1.4484098133059191E-2</v>
      </c>
      <c r="AK68" s="274">
        <f>AK67/$BM$69</f>
        <v>2.8695658593371642E-2</v>
      </c>
      <c r="AL68" s="274"/>
      <c r="AM68" s="274">
        <f>AM67/$BM$69</f>
        <v>1.2365929559122629E-3</v>
      </c>
      <c r="AN68" s="274">
        <f>AN67/$BM$69</f>
        <v>7.5551524126127893E-3</v>
      </c>
      <c r="AO68" s="274">
        <f>AO67/$BM$69</f>
        <v>1.0189375503628209E-2</v>
      </c>
      <c r="AP68" s="274">
        <f>AP67/$BM$69</f>
        <v>1.3611546486557383E-2</v>
      </c>
      <c r="AQ68" s="274">
        <f>AQ67/$BM$69</f>
        <v>3.2589069200880907E-2</v>
      </c>
      <c r="AR68" s="274"/>
      <c r="AS68" s="274">
        <f>AS67/$BM$69</f>
        <v>4.0438555625680094E-3</v>
      </c>
      <c r="AT68" s="274">
        <f>AT67/$BM$69</f>
        <v>1.364706790591665E-2</v>
      </c>
      <c r="AU68" s="274">
        <f>AU67/$BM$69</f>
        <v>1.2724574592363912E-2</v>
      </c>
      <c r="AV68" s="274">
        <f>AV67/$BM$69</f>
        <v>1.7167044293124441E-2</v>
      </c>
      <c r="AW68" s="274">
        <f>AW67/$BM$69</f>
        <v>4.7561369632013732E-2</v>
      </c>
      <c r="AX68" s="274"/>
      <c r="AY68" s="274">
        <f>AY67/$BM$69</f>
        <v>5.1480299823067378E-3</v>
      </c>
      <c r="AZ68" s="274">
        <f>AZ67/$BM$69</f>
        <v>1.3437358421608953E-2</v>
      </c>
      <c r="BA68" s="274">
        <f>BA67/$BM$69</f>
        <v>1.4790153737569029E-2</v>
      </c>
      <c r="BB68" s="274">
        <f>BB67/$BM$69</f>
        <v>1.1052058005700399E-2</v>
      </c>
      <c r="BC68" s="274">
        <f>BC67/$BM$69</f>
        <v>4.4436784130615303E-2</v>
      </c>
      <c r="BD68" s="274"/>
      <c r="BE68" s="274">
        <f>BE67/$BM$69</f>
        <v>-9.762274433053825E-4</v>
      </c>
      <c r="BF68" s="274">
        <f>BF67/$BM$69</f>
        <v>1.0082432665276024E-2</v>
      </c>
      <c r="BG68" s="274">
        <f>BG67/$BM$69</f>
        <v>7.8238024259330973E-3</v>
      </c>
      <c r="BH68" s="274">
        <f>BH67/$BM$69</f>
        <v>1.1300687524168091E-2</v>
      </c>
      <c r="BI68" s="274">
        <f>BI67/$BM$69</f>
        <v>3.0301426309833051E-2</v>
      </c>
      <c r="BJ68" s="274"/>
      <c r="BK68" s="274">
        <f>BK67/$BM$69</f>
        <v>3.2696951422762671E-3</v>
      </c>
      <c r="BL68" s="274">
        <f>BL67/$BM$69</f>
        <v>5.902719594777105E-3</v>
      </c>
      <c r="BM68" s="274">
        <f>BM67/$BM$69</f>
        <v>8.3335153296451286E-3</v>
      </c>
      <c r="BN68" s="274">
        <f>BN67/$BM$69</f>
        <v>1.176004728144983E-2</v>
      </c>
      <c r="BO68" s="274">
        <f>BO67/$BM$69</f>
        <v>2.9280873570086841E-2</v>
      </c>
      <c r="BP68" s="274"/>
      <c r="BQ68" s="274">
        <f>BQ67/$BM$69</f>
        <v>1.5510344479214245E-2</v>
      </c>
      <c r="BR68" s="274">
        <f>BR67/$BM$69</f>
        <v>3.1324367024110405E-3</v>
      </c>
      <c r="BS68" s="274">
        <f>BS67/$BM$69</f>
        <v>2.5710826361736243E-3</v>
      </c>
      <c r="BT68" s="274">
        <f>BT67/$BM$69</f>
        <v>8.4012111904485168E-3</v>
      </c>
      <c r="BU68" s="274">
        <f>BU67/$BM$69</f>
        <v>2.9705550269938083E-2</v>
      </c>
      <c r="BV68" s="274"/>
      <c r="BW68" s="274">
        <f>BW67/$BM$69</f>
        <v>2.1780437199236377E-2</v>
      </c>
      <c r="BX68" s="274">
        <f>BX67/$BM$69</f>
        <v>5.8341650425017075E-3</v>
      </c>
      <c r="BY68" s="274">
        <f>BY67/$BM$69</f>
        <v>5.200121108878835E-3</v>
      </c>
      <c r="BZ68" s="274">
        <f>BZ67/$BM$69</f>
        <v>9.9621886325850853E-3</v>
      </c>
      <c r="CA68" s="274">
        <f>CA67/$BM$69</f>
        <v>4.2931704475173346E-2</v>
      </c>
      <c r="CB68" s="274"/>
      <c r="CC68" s="274">
        <f>CC67/$BM$69</f>
        <v>2.3715023213648323E-2</v>
      </c>
      <c r="CD68" s="274">
        <f>CD67/$BM$69</f>
        <v>6.4696903277196285E-3</v>
      </c>
      <c r="CE68" s="274">
        <f>CE67/$BM$69</f>
        <v>6.2131000438222584E-3</v>
      </c>
      <c r="CF68" s="274">
        <f>CF67/$BM$69</f>
        <v>1.0713793250751981E-2</v>
      </c>
      <c r="CG68" s="274">
        <f>CG67/$BM$69</f>
        <v>4.7271393140181479E-2</v>
      </c>
    </row>
    <row r="69" spans="1:95" ht="11.25" customHeight="1" outlineLevel="1" thickBot="1" x14ac:dyDescent="0.25">
      <c r="B69" s="39" t="s">
        <v>171</v>
      </c>
      <c r="C69" s="166"/>
      <c r="D69" s="166"/>
      <c r="E69" s="166"/>
      <c r="G69" s="166"/>
      <c r="H69" s="50"/>
      <c r="I69" s="166"/>
      <c r="J69" s="166"/>
      <c r="K69" s="166"/>
      <c r="M69" s="166"/>
      <c r="N69" s="50"/>
      <c r="O69" s="166"/>
      <c r="P69" s="166"/>
      <c r="Q69" s="166"/>
      <c r="S69" s="166"/>
      <c r="T69" s="50"/>
      <c r="U69" s="166"/>
      <c r="V69" s="166"/>
      <c r="W69" s="166"/>
      <c r="Y69" s="166"/>
      <c r="Z69" s="50"/>
      <c r="AA69" s="166"/>
      <c r="AB69" s="166"/>
      <c r="AC69" s="166"/>
      <c r="AE69" s="166"/>
      <c r="AF69" s="50"/>
      <c r="AG69" s="166"/>
      <c r="AH69" s="166"/>
      <c r="AI69" s="166"/>
      <c r="AK69" s="166"/>
      <c r="AL69" s="50"/>
      <c r="AM69" s="166"/>
      <c r="AN69" s="166"/>
      <c r="AO69" s="166"/>
      <c r="AQ69" s="166"/>
      <c r="AR69" s="50"/>
      <c r="AS69" s="166"/>
      <c r="AT69" s="166"/>
      <c r="AU69" s="166"/>
      <c r="AV69" s="166"/>
      <c r="AW69" s="166"/>
      <c r="AX69" s="50"/>
      <c r="AY69" s="166"/>
      <c r="AZ69" s="166"/>
      <c r="BC69" s="166"/>
      <c r="BD69" s="50"/>
      <c r="BE69" s="166"/>
      <c r="BI69" s="406">
        <f>+BM68+BN68+BK68+BL68</f>
        <v>2.9265977348148328E-2</v>
      </c>
      <c r="BJ69" s="50"/>
      <c r="BM69" s="1289">
        <v>67.180000000000007</v>
      </c>
      <c r="BN69" s="166"/>
      <c r="BO69" s="166"/>
      <c r="BP69" s="50"/>
      <c r="BQ69" s="166"/>
      <c r="BR69" s="166"/>
      <c r="BS69" s="166"/>
      <c r="BT69" s="166"/>
      <c r="BU69" s="1291"/>
      <c r="BV69" s="50"/>
      <c r="BW69" s="166"/>
      <c r="BX69" s="166"/>
      <c r="BY69" s="166"/>
      <c r="BZ69" s="166"/>
      <c r="CA69" s="166"/>
      <c r="CB69" s="50"/>
      <c r="CC69" s="166"/>
      <c r="CD69" s="166"/>
      <c r="CE69" s="166"/>
      <c r="CF69" s="166"/>
      <c r="CG69" s="166"/>
    </row>
    <row r="70" spans="1:95" ht="11.25" customHeight="1" x14ac:dyDescent="0.2">
      <c r="B70" s="39"/>
      <c r="C70" s="166"/>
      <c r="D70" s="166"/>
      <c r="E70" s="166"/>
      <c r="F70" s="166"/>
      <c r="G70" s="166"/>
      <c r="H70" s="49"/>
      <c r="I70" s="166"/>
      <c r="J70" s="166"/>
      <c r="K70" s="166"/>
      <c r="L70" s="166"/>
      <c r="M70" s="166"/>
      <c r="N70" s="49"/>
      <c r="O70" s="166"/>
      <c r="P70" s="166"/>
      <c r="Q70" s="166"/>
      <c r="R70" s="166"/>
      <c r="S70" s="166"/>
      <c r="T70" s="49"/>
      <c r="U70" s="166"/>
      <c r="V70" s="166"/>
      <c r="W70" s="166"/>
      <c r="X70" s="166"/>
      <c r="Y70" s="166"/>
      <c r="Z70" s="49"/>
      <c r="AA70" s="166"/>
      <c r="AB70" s="166"/>
      <c r="AC70" s="166"/>
      <c r="AD70" s="166"/>
      <c r="AE70" s="166"/>
      <c r="AF70" s="49"/>
      <c r="AG70" s="166"/>
      <c r="AH70" s="166"/>
      <c r="AI70" s="166"/>
      <c r="AJ70" s="166"/>
      <c r="AK70" s="166"/>
      <c r="AL70" s="49"/>
      <c r="AM70" s="166"/>
      <c r="AN70" s="166"/>
      <c r="AO70" s="166"/>
      <c r="AP70" s="166"/>
      <c r="AQ70" s="166"/>
      <c r="AR70" s="49"/>
      <c r="AS70" s="505"/>
      <c r="AT70" s="505"/>
      <c r="AU70" s="166"/>
      <c r="AV70" s="166"/>
      <c r="AW70" s="166"/>
      <c r="AX70" s="49"/>
      <c r="AY70" s="505"/>
      <c r="AZ70" s="505"/>
      <c r="BA70" s="166"/>
      <c r="BB70" s="166"/>
      <c r="BC70" s="166"/>
      <c r="BD70" s="49"/>
      <c r="BE70" s="166"/>
      <c r="BF70" s="166"/>
      <c r="BG70" s="166"/>
      <c r="BH70" s="166"/>
      <c r="BI70" s="1291"/>
      <c r="BJ70" s="49"/>
      <c r="BK70" s="166"/>
      <c r="BL70" s="166"/>
      <c r="BM70" s="166"/>
      <c r="BN70" s="166"/>
      <c r="BO70" s="1291">
        <f>+(BO67/BC67)^(0.5)-1</f>
        <v>-0.18825297837227728</v>
      </c>
      <c r="BP70" s="96"/>
      <c r="BQ70" s="166"/>
      <c r="BR70" s="166"/>
      <c r="BS70" s="166"/>
      <c r="BT70" s="166"/>
      <c r="BU70" s="1291">
        <f>+(BU67/BI67)^(0.5)-1</f>
        <v>-9.8812951051092668E-3</v>
      </c>
      <c r="BV70" s="49"/>
      <c r="BW70" s="166"/>
      <c r="BX70" s="166"/>
      <c r="BY70" s="166"/>
      <c r="BZ70" s="166"/>
      <c r="CA70" s="1291">
        <f>+(CA67/BO67)^(0.5)-1</f>
        <v>0.21086869366968464</v>
      </c>
      <c r="CB70" s="49"/>
      <c r="CC70" s="166"/>
      <c r="CD70" s="166"/>
      <c r="CE70" s="166"/>
      <c r="CF70" s="166"/>
      <c r="CG70" s="1291">
        <f>+(CG67/BU67)^(0.5)-1</f>
        <v>0.26148008865464467</v>
      </c>
    </row>
    <row r="71" spans="1:95" ht="11.25" customHeight="1" x14ac:dyDescent="0.2">
      <c r="B71" s="12" t="s">
        <v>147</v>
      </c>
      <c r="C71" s="166"/>
      <c r="D71" s="166"/>
      <c r="E71" s="166"/>
      <c r="F71" s="166"/>
      <c r="G71" s="166"/>
      <c r="H71" s="50"/>
      <c r="I71" s="166"/>
      <c r="J71" s="166"/>
      <c r="K71" s="166"/>
      <c r="L71" s="166"/>
      <c r="M71" s="166"/>
      <c r="N71" s="50"/>
      <c r="O71" s="166"/>
      <c r="P71" s="166"/>
      <c r="Q71" s="166"/>
      <c r="R71" s="166"/>
      <c r="S71" s="166"/>
      <c r="T71" s="50"/>
      <c r="U71" s="166"/>
      <c r="V71" s="166"/>
      <c r="W71" s="166"/>
      <c r="X71" s="166"/>
      <c r="Y71" s="166"/>
      <c r="Z71" s="50"/>
      <c r="AA71" s="166"/>
      <c r="AB71" s="166"/>
      <c r="AC71" s="166"/>
      <c r="AD71" s="166"/>
      <c r="AE71" s="166"/>
      <c r="AF71" s="50"/>
      <c r="AG71" s="166"/>
      <c r="AH71" s="166"/>
      <c r="AI71" s="166"/>
      <c r="AJ71" s="166"/>
      <c r="AK71" s="166"/>
      <c r="AL71" s="50"/>
      <c r="AM71" s="166"/>
      <c r="AN71" s="166"/>
      <c r="AO71" s="166"/>
      <c r="AP71" s="166"/>
      <c r="AQ71" s="1451"/>
      <c r="AR71" s="50"/>
      <c r="AS71" s="166"/>
      <c r="AT71" s="166"/>
      <c r="AU71" s="166"/>
      <c r="AV71" s="166"/>
      <c r="AW71" s="1451"/>
      <c r="AX71" s="50"/>
      <c r="AY71" s="166"/>
      <c r="AZ71" s="166"/>
      <c r="BA71" s="166"/>
      <c r="BB71" s="166"/>
      <c r="BC71" s="1451"/>
      <c r="BD71" s="50"/>
      <c r="BE71" s="166"/>
      <c r="BF71" s="166"/>
      <c r="BG71" s="166"/>
      <c r="BH71" s="166"/>
      <c r="BI71" s="1451">
        <f>+BI66/'P&amp;L'!BI31</f>
        <v>0.73111831442463537</v>
      </c>
      <c r="BJ71" s="561"/>
      <c r="BK71" s="560"/>
      <c r="BL71" s="560"/>
      <c r="BM71" s="560"/>
      <c r="BN71" s="560"/>
      <c r="BO71" s="1451">
        <f>+BO66/'P&amp;L'!BO31</f>
        <v>0.74021352313167255</v>
      </c>
      <c r="BP71" s="561"/>
      <c r="BQ71" s="560"/>
      <c r="BR71" s="560"/>
      <c r="BS71" s="560"/>
      <c r="BT71" s="560"/>
      <c r="BU71" s="1451">
        <f>+BU66/'P&amp;L'!BU31</f>
        <v>0.73931386611731942</v>
      </c>
      <c r="BV71" s="561"/>
      <c r="BW71" s="560"/>
      <c r="BX71" s="560"/>
      <c r="BY71" s="560"/>
      <c r="BZ71" s="560"/>
      <c r="CA71" s="1451">
        <f>+CA66/'P&amp;L'!CA31</f>
        <v>0.90520939780243592</v>
      </c>
      <c r="CB71" s="561"/>
      <c r="CC71" s="560"/>
      <c r="CD71" s="560"/>
      <c r="CE71" s="560"/>
      <c r="CF71" s="560"/>
      <c r="CG71" s="1451">
        <f>+CG66/'P&amp;L'!CG31</f>
        <v>0.87793742582162404</v>
      </c>
    </row>
    <row r="72" spans="1:95" ht="11.25" customHeight="1" x14ac:dyDescent="0.2">
      <c r="B72" s="1"/>
      <c r="C72" s="166"/>
      <c r="D72" s="166"/>
      <c r="E72" s="166"/>
      <c r="F72" s="166"/>
      <c r="G72" s="166"/>
      <c r="H72" s="50"/>
      <c r="I72" s="166"/>
      <c r="J72" s="166"/>
      <c r="K72" s="166"/>
      <c r="L72" s="166"/>
      <c r="M72" s="166"/>
      <c r="N72" s="50"/>
      <c r="O72" s="166"/>
      <c r="P72" s="166"/>
      <c r="Q72" s="166"/>
      <c r="R72" s="166"/>
      <c r="S72" s="166"/>
      <c r="T72" s="50"/>
      <c r="U72" s="166"/>
      <c r="V72" s="166"/>
      <c r="W72" s="166"/>
      <c r="X72" s="166"/>
      <c r="Y72" s="166"/>
      <c r="Z72" s="50"/>
      <c r="AA72" s="166"/>
      <c r="AB72" s="166"/>
      <c r="AC72" s="166"/>
      <c r="AD72" s="166"/>
      <c r="AE72" s="166"/>
      <c r="AF72" s="50"/>
      <c r="AG72" s="166"/>
      <c r="AH72" s="166"/>
      <c r="AI72" s="166"/>
      <c r="AJ72" s="166"/>
      <c r="AK72" s="166"/>
      <c r="AL72" s="50"/>
      <c r="AM72" s="166"/>
      <c r="AN72" s="166"/>
      <c r="AO72" s="166"/>
      <c r="AP72" s="166"/>
      <c r="AQ72" s="166"/>
      <c r="AR72" s="50"/>
      <c r="AS72" s="166"/>
      <c r="AT72" s="166"/>
      <c r="AU72" s="166"/>
      <c r="AV72" s="166"/>
      <c r="AW72" s="166"/>
      <c r="AX72" s="50"/>
      <c r="AY72" s="166"/>
      <c r="AZ72" s="166"/>
      <c r="BA72" s="166"/>
      <c r="BB72" s="166"/>
      <c r="BC72" s="166"/>
      <c r="BD72" s="50"/>
      <c r="BE72" s="166"/>
      <c r="BF72" s="166"/>
      <c r="BG72" s="166"/>
      <c r="BH72" s="166"/>
      <c r="BI72" s="534"/>
      <c r="BJ72" s="50"/>
      <c r="BK72" s="166"/>
      <c r="BL72" s="166"/>
      <c r="BM72" s="166"/>
      <c r="BN72" s="166"/>
      <c r="BO72" s="534"/>
      <c r="BP72" s="50"/>
      <c r="BQ72" s="166"/>
      <c r="BR72" s="166"/>
      <c r="BS72" s="166"/>
      <c r="BT72" s="166"/>
      <c r="BU72" s="534"/>
      <c r="BV72" s="50"/>
      <c r="BW72" s="166"/>
      <c r="BX72" s="166"/>
      <c r="BY72" s="166"/>
      <c r="BZ72" s="166"/>
      <c r="CA72" s="534"/>
      <c r="CB72" s="50"/>
      <c r="CC72" s="166"/>
      <c r="CD72" s="166"/>
      <c r="CE72" s="166"/>
      <c r="CF72" s="166"/>
      <c r="CG72" s="534"/>
    </row>
    <row r="73" spans="1:95" ht="11.25" customHeight="1" x14ac:dyDescent="0.2">
      <c r="A73" s="24"/>
      <c r="B73" s="15" t="s">
        <v>148</v>
      </c>
      <c r="C73" s="166"/>
      <c r="D73" s="166"/>
      <c r="E73" s="166"/>
      <c r="F73" s="166"/>
      <c r="G73" s="166"/>
      <c r="H73" s="50"/>
      <c r="I73" s="166"/>
      <c r="J73" s="166"/>
      <c r="K73" s="166"/>
      <c r="L73" s="166"/>
      <c r="M73" s="166"/>
      <c r="N73" s="50"/>
      <c r="O73" s="166"/>
      <c r="P73" s="166"/>
      <c r="Q73" s="166"/>
      <c r="R73" s="166"/>
      <c r="S73" s="166"/>
      <c r="T73" s="50"/>
      <c r="U73" s="166"/>
      <c r="V73" s="166"/>
      <c r="W73" s="166"/>
      <c r="X73" s="166"/>
      <c r="Y73" s="166"/>
      <c r="Z73" s="50"/>
      <c r="AA73" s="166"/>
      <c r="AB73" s="166"/>
      <c r="AC73" s="166"/>
      <c r="AD73" s="166"/>
      <c r="AE73" s="166"/>
      <c r="AF73" s="50"/>
      <c r="AG73" s="166"/>
      <c r="AH73" s="166"/>
      <c r="AI73" s="166"/>
      <c r="AJ73" s="166"/>
      <c r="AK73" s="166"/>
      <c r="AL73" s="50"/>
      <c r="AM73" s="166"/>
      <c r="AN73" s="166"/>
      <c r="AO73" s="166"/>
      <c r="AP73" s="166"/>
      <c r="AQ73" s="166"/>
      <c r="AR73" s="50"/>
      <c r="AS73" s="166"/>
      <c r="AT73" s="166"/>
      <c r="AU73" s="166"/>
      <c r="AV73" s="166"/>
      <c r="AW73" s="166"/>
      <c r="AX73" s="50"/>
      <c r="AY73" s="166"/>
      <c r="AZ73" s="166"/>
      <c r="BA73" s="166"/>
      <c r="BB73" s="166"/>
      <c r="BC73" s="166"/>
      <c r="BD73" s="50"/>
      <c r="BE73" s="166"/>
      <c r="BF73" s="166"/>
      <c r="BG73" s="166"/>
      <c r="BH73" s="166"/>
      <c r="BI73" s="166"/>
      <c r="BJ73" s="50"/>
      <c r="BK73" s="166"/>
      <c r="BL73" s="166"/>
      <c r="BM73" s="166"/>
      <c r="BN73" s="166"/>
      <c r="BO73" s="166"/>
      <c r="BP73" s="50"/>
      <c r="BQ73" s="166"/>
      <c r="BR73" s="166"/>
      <c r="BS73" s="166"/>
      <c r="BT73" s="166"/>
      <c r="BU73" s="166"/>
      <c r="BV73" s="50"/>
      <c r="BW73" s="166"/>
      <c r="BX73" s="166"/>
      <c r="BY73" s="166"/>
      <c r="BZ73" s="166"/>
      <c r="CA73" s="166"/>
      <c r="CB73" s="50"/>
      <c r="CC73" s="166"/>
      <c r="CD73" s="166"/>
      <c r="CE73" s="166"/>
      <c r="CF73" s="166"/>
      <c r="CG73" s="166"/>
    </row>
    <row r="74" spans="1:95" ht="11.25" customHeight="1" x14ac:dyDescent="0.2">
      <c r="A74" s="52"/>
      <c r="B74" s="37" t="s">
        <v>149</v>
      </c>
      <c r="C74" s="982">
        <v>0.04</v>
      </c>
      <c r="D74" s="982">
        <v>0.04</v>
      </c>
      <c r="E74" s="982">
        <v>0.04</v>
      </c>
      <c r="F74" s="982">
        <v>4.4999999999999998E-2</v>
      </c>
      <c r="G74" s="982">
        <f>+SUM(C74:F74)</f>
        <v>0.16499999999999998</v>
      </c>
      <c r="H74" s="50"/>
      <c r="I74" s="982">
        <v>4.4999999999999998E-2</v>
      </c>
      <c r="J74" s="982">
        <v>4.4999999999999998E-2</v>
      </c>
      <c r="K74" s="982">
        <v>4.4999999999999998E-2</v>
      </c>
      <c r="L74" s="982">
        <v>0.05</v>
      </c>
      <c r="M74" s="982">
        <f>+SUM(I74:L74)</f>
        <v>0.185</v>
      </c>
      <c r="N74" s="50"/>
      <c r="O74" s="982">
        <v>0.05</v>
      </c>
      <c r="P74" s="982">
        <v>0.05</v>
      </c>
      <c r="Q74" s="982">
        <v>0.05</v>
      </c>
      <c r="R74" s="982">
        <v>0.05</v>
      </c>
      <c r="S74" s="982">
        <f>+SUM(O74:R74)</f>
        <v>0.2</v>
      </c>
      <c r="T74" s="50"/>
      <c r="U74" s="982">
        <v>0.05</v>
      </c>
      <c r="V74" s="982">
        <v>0.05</v>
      </c>
      <c r="W74" s="982">
        <v>0.05</v>
      </c>
      <c r="X74" s="982">
        <v>4.9999999999999989E-2</v>
      </c>
      <c r="Y74" s="982">
        <f>+SUM(U74:X74)</f>
        <v>0.2</v>
      </c>
      <c r="Z74" s="50"/>
      <c r="AA74" s="982">
        <v>0.05</v>
      </c>
      <c r="AB74" s="982">
        <v>0.05</v>
      </c>
      <c r="AC74" s="982">
        <v>0.05</v>
      </c>
      <c r="AD74" s="982">
        <v>0.05</v>
      </c>
      <c r="AE74" s="982">
        <f>+SUM(AA74:AD74)</f>
        <v>0.2</v>
      </c>
      <c r="AF74" s="50"/>
      <c r="AG74" s="982">
        <v>0.05</v>
      </c>
      <c r="AH74" s="982">
        <v>0.05</v>
      </c>
      <c r="AI74" s="982">
        <v>0.05</v>
      </c>
      <c r="AJ74" s="982">
        <v>0.05</v>
      </c>
      <c r="AK74" s="982">
        <f>+SUM(AG74:AJ74)</f>
        <v>0.2</v>
      </c>
      <c r="AL74" s="50"/>
      <c r="AM74" s="982">
        <v>5.5E-2</v>
      </c>
      <c r="AN74" s="982">
        <v>0.11</v>
      </c>
      <c r="AO74" s="982">
        <v>0.16500000000000001</v>
      </c>
      <c r="AP74" s="982">
        <v>0.05</v>
      </c>
      <c r="AQ74" s="982">
        <f>+SUM(AM74:AP74)</f>
        <v>0.38</v>
      </c>
      <c r="AR74" s="50"/>
      <c r="AS74" s="982">
        <v>6.6250000000000003E-2</v>
      </c>
      <c r="AT74" s="982">
        <v>0.13250000000000001</v>
      </c>
      <c r="AU74" s="982">
        <v>0.19875000000000001</v>
      </c>
      <c r="AV74" s="982">
        <v>0.26500000000000001</v>
      </c>
      <c r="AW74" s="982">
        <f>+SUM(AS74:AV74)</f>
        <v>0.66250000000000009</v>
      </c>
      <c r="AX74" s="50"/>
      <c r="AY74" s="982">
        <v>7.2499999999999995E-2</v>
      </c>
      <c r="AZ74" s="982">
        <v>0.14499999999999999</v>
      </c>
      <c r="BA74" s="982">
        <v>0.2175</v>
      </c>
      <c r="BB74" s="982">
        <f>+AV74*(1+BB75)</f>
        <v>0.26765</v>
      </c>
      <c r="BC74" s="982">
        <f>+SUM(AY74:BB74)</f>
        <v>0.70265</v>
      </c>
      <c r="BD74" s="50"/>
      <c r="BE74" s="982">
        <f>-BE45/'P&amp;L'!BE35</f>
        <v>5.7780320366132717E-2</v>
      </c>
      <c r="BF74" s="982">
        <f>-BF45/'P&amp;L'!BF35</f>
        <v>7.9161317928968772E-2</v>
      </c>
      <c r="BG74" s="982">
        <f>-BG45/'P&amp;L'!BG35</f>
        <v>7.7815993121238186E-2</v>
      </c>
      <c r="BH74" s="982">
        <f>-BH45/'P&amp;L'!BH35</f>
        <v>7.7589943649761559E-2</v>
      </c>
      <c r="BI74" s="682">
        <f>SUM(BE74:BH74)</f>
        <v>0.29234757506610121</v>
      </c>
      <c r="BJ74" s="50"/>
      <c r="BK74" s="982">
        <f>-BK45/'P&amp;L'!BK35</f>
        <v>7.822685788787484E-2</v>
      </c>
      <c r="BL74" s="982">
        <f>-BL45/'P&amp;L'!BL35</f>
        <v>8.7619877942458596E-2</v>
      </c>
      <c r="BM74" s="982">
        <f>-BM45/'P&amp;L'!BM35</f>
        <v>8.7581699346405237E-2</v>
      </c>
      <c r="BN74" s="682">
        <f>BH74*(1+BN75)</f>
        <v>7.7589943649761559E-2</v>
      </c>
      <c r="BO74" s="682">
        <f>SUM(BK74:BN74)</f>
        <v>0.33101837882650026</v>
      </c>
      <c r="BP74" s="50"/>
      <c r="BQ74" s="682">
        <f>BK74*(1+BQ75)</f>
        <v>7.822685788787484E-2</v>
      </c>
      <c r="BR74" s="682">
        <f>BL74*(1+BR75)</f>
        <v>8.7619877942458596E-2</v>
      </c>
      <c r="BS74" s="682">
        <f>BM74*(1+BS75)</f>
        <v>8.7581699346405237E-2</v>
      </c>
      <c r="BT74" s="682">
        <f>BN74*(1+BT75)</f>
        <v>7.7589943649761559E-2</v>
      </c>
      <c r="BU74" s="682">
        <f>SUM(BQ74:BT74)</f>
        <v>0.33101837882650026</v>
      </c>
      <c r="BV74" s="50"/>
      <c r="BW74" s="682">
        <f>BQ74*(1+BW75)</f>
        <v>7.822685788787484E-2</v>
      </c>
      <c r="BX74" s="682">
        <f>BR74*(1+BX75)</f>
        <v>8.7619877942458596E-2</v>
      </c>
      <c r="BY74" s="682">
        <f>BS74*(1+BY75)</f>
        <v>8.7581699346405237E-2</v>
      </c>
      <c r="BZ74" s="682">
        <f>BT74*(1+BZ75)</f>
        <v>7.7589943649761559E-2</v>
      </c>
      <c r="CA74" s="682">
        <f>SUM(BW74:BZ74)</f>
        <v>0.33101837882650026</v>
      </c>
      <c r="CB74" s="50"/>
      <c r="CC74" s="682">
        <f>BW74*(1+CC75)</f>
        <v>8.0573663624511085E-2</v>
      </c>
      <c r="CD74" s="682">
        <f>BX74*(1+CD75)</f>
        <v>9.0248474280732363E-2</v>
      </c>
      <c r="CE74" s="682">
        <f>BY74*(1+CE75)</f>
        <v>9.0209150326797397E-2</v>
      </c>
      <c r="CF74" s="682">
        <f>BZ74*(1+CF75)</f>
        <v>7.991764195925441E-2</v>
      </c>
      <c r="CG74" s="682">
        <f>SUM(CC74:CF74)</f>
        <v>0.34094893019129524</v>
      </c>
    </row>
    <row r="75" spans="1:95" ht="11.25" customHeight="1" x14ac:dyDescent="0.2">
      <c r="A75" s="24"/>
      <c r="B75" s="92" t="s">
        <v>140</v>
      </c>
      <c r="C75" s="40"/>
      <c r="D75" s="40"/>
      <c r="E75" s="40"/>
      <c r="F75" s="40"/>
      <c r="G75" s="40"/>
      <c r="H75" s="275"/>
      <c r="I75" s="40">
        <f>I74/C74-1</f>
        <v>0.125</v>
      </c>
      <c r="J75" s="40">
        <f>J74/D74-1</f>
        <v>0.125</v>
      </c>
      <c r="K75" s="40">
        <f>K74/E74-1</f>
        <v>0.125</v>
      </c>
      <c r="L75" s="40">
        <f>L74/F74-1</f>
        <v>0.11111111111111116</v>
      </c>
      <c r="M75" s="40">
        <f>M74/G74-1</f>
        <v>0.12121212121212133</v>
      </c>
      <c r="N75" s="275"/>
      <c r="O75" s="40">
        <f>O74/I74-1</f>
        <v>0.11111111111111116</v>
      </c>
      <c r="P75" s="40">
        <f>P74/J74-1</f>
        <v>0.11111111111111116</v>
      </c>
      <c r="Q75" s="40">
        <f>Q74/K74-1</f>
        <v>0.11111111111111116</v>
      </c>
      <c r="R75" s="40">
        <f>R74/L74-1</f>
        <v>0</v>
      </c>
      <c r="S75" s="40">
        <f>S74/M74-1</f>
        <v>8.1081081081081141E-2</v>
      </c>
      <c r="T75" s="275"/>
      <c r="U75" s="40">
        <f>U74/O74-1</f>
        <v>0</v>
      </c>
      <c r="V75" s="40">
        <f>V74/P74-1</f>
        <v>0</v>
      </c>
      <c r="W75" s="40">
        <f>W74/Q74-1</f>
        <v>0</v>
      </c>
      <c r="X75" s="40">
        <f>X74/R74-1</f>
        <v>0</v>
      </c>
      <c r="Y75" s="40">
        <f>Y74/S74-1</f>
        <v>0</v>
      </c>
      <c r="Z75" s="275"/>
      <c r="AA75" s="40">
        <f>AA74/U74-1</f>
        <v>0</v>
      </c>
      <c r="AB75" s="40">
        <f>AB74/V74-1</f>
        <v>0</v>
      </c>
      <c r="AC75" s="40">
        <f>AC74/W74-1</f>
        <v>0</v>
      </c>
      <c r="AD75" s="40">
        <f>AD74/X74-1</f>
        <v>0</v>
      </c>
      <c r="AE75" s="40">
        <f>AE74/Y74-1</f>
        <v>0</v>
      </c>
      <c r="AF75" s="275"/>
      <c r="AG75" s="40">
        <f>AG74/AA74-1</f>
        <v>0</v>
      </c>
      <c r="AH75" s="40">
        <f>AH74/AB74-1</f>
        <v>0</v>
      </c>
      <c r="AI75" s="40">
        <f>AI74/AC74-1</f>
        <v>0</v>
      </c>
      <c r="AJ75" s="40">
        <f>AJ74/AD74-1</f>
        <v>0</v>
      </c>
      <c r="AK75" s="40">
        <f>AK74/AE74-1</f>
        <v>0</v>
      </c>
      <c r="AL75" s="275"/>
      <c r="AM75" s="40">
        <f>AM74/AG74-1</f>
        <v>9.9999999999999867E-2</v>
      </c>
      <c r="AN75" s="40">
        <f>AN74/AH74-1</f>
        <v>1.1999999999999997</v>
      </c>
      <c r="AO75" s="40">
        <f>AO74/AI74-1</f>
        <v>2.2999999999999998</v>
      </c>
      <c r="AP75" s="40">
        <f>AP74/AJ74-1</f>
        <v>0</v>
      </c>
      <c r="AQ75" s="40">
        <f>AQ74/AK74-1</f>
        <v>0.89999999999999991</v>
      </c>
      <c r="AR75" s="275"/>
      <c r="AS75" s="40">
        <f>AS74/AM74-1</f>
        <v>0.20454545454545459</v>
      </c>
      <c r="AT75" s="40">
        <f>AT74/AN74-1</f>
        <v>0.20454545454545459</v>
      </c>
      <c r="AU75" s="40">
        <f>AU74/AO74-1</f>
        <v>0.20454545454545459</v>
      </c>
      <c r="AV75" s="40">
        <f>AV74/AP74-1</f>
        <v>4.3</v>
      </c>
      <c r="AW75" s="40">
        <f>AW74/AQ74-1</f>
        <v>0.7434210526315792</v>
      </c>
      <c r="AX75" s="275"/>
      <c r="AY75" s="40">
        <f>AY74/AS74-1</f>
        <v>9.4339622641509413E-2</v>
      </c>
      <c r="AZ75" s="40">
        <f>AZ74/AT74-1</f>
        <v>9.4339622641509413E-2</v>
      </c>
      <c r="BA75" s="40">
        <f>BA74/AU74-1</f>
        <v>9.4339622641509413E-2</v>
      </c>
      <c r="BB75" s="704">
        <v>0.01</v>
      </c>
      <c r="BC75" s="40">
        <f>BC74/AW74-1</f>
        <v>6.0603773584905429E-2</v>
      </c>
      <c r="BD75" s="275"/>
      <c r="BE75" s="40">
        <f t="shared" ref="BE75:BI75" si="78">BE74/AY74-1</f>
        <v>-0.20303006391541079</v>
      </c>
      <c r="BF75" s="40">
        <f t="shared" si="78"/>
        <v>-0.45405987635193945</v>
      </c>
      <c r="BG75" s="40">
        <f t="shared" si="78"/>
        <v>-0.64222531898281288</v>
      </c>
      <c r="BH75" s="40">
        <f t="shared" si="78"/>
        <v>-0.71010669288338668</v>
      </c>
      <c r="BI75" s="40">
        <f t="shared" si="78"/>
        <v>-0.58393570758400171</v>
      </c>
      <c r="BJ75" s="275"/>
      <c r="BK75" s="40">
        <f t="shared" ref="BK75" si="79">BK74/BE74-1</f>
        <v>0.35386680780203195</v>
      </c>
      <c r="BL75" s="40">
        <f t="shared" ref="BL75:BM75" si="80">BL74/BF74-1</f>
        <v>0.10685218784608486</v>
      </c>
      <c r="BM75" s="40">
        <f t="shared" si="80"/>
        <v>0.12549741812010251</v>
      </c>
      <c r="BN75" s="704">
        <v>0</v>
      </c>
      <c r="BO75" s="40">
        <f>BO74/BI74-1</f>
        <v>0.13227680698789923</v>
      </c>
      <c r="BP75" s="275"/>
      <c r="BQ75" s="704">
        <v>0</v>
      </c>
      <c r="BR75" s="704">
        <v>0</v>
      </c>
      <c r="BS75" s="704">
        <v>0</v>
      </c>
      <c r="BT75" s="704">
        <v>0</v>
      </c>
      <c r="BU75" s="40">
        <f>BU74/BO74-1</f>
        <v>0</v>
      </c>
      <c r="BV75" s="275"/>
      <c r="BW75" s="704">
        <v>0</v>
      </c>
      <c r="BX75" s="704">
        <v>0</v>
      </c>
      <c r="BY75" s="704">
        <v>0</v>
      </c>
      <c r="BZ75" s="704">
        <v>0</v>
      </c>
      <c r="CA75" s="40">
        <f>CA74/BU74-1</f>
        <v>0</v>
      </c>
      <c r="CB75" s="275"/>
      <c r="CC75" s="704">
        <v>0.03</v>
      </c>
      <c r="CD75" s="704">
        <v>0.03</v>
      </c>
      <c r="CE75" s="704">
        <v>0.03</v>
      </c>
      <c r="CF75" s="704">
        <v>0.03</v>
      </c>
      <c r="CG75" s="40">
        <f>CG74/CA74-1</f>
        <v>3.0000000000000027E-2</v>
      </c>
    </row>
    <row r="76" spans="1:95" ht="11.25" customHeight="1" x14ac:dyDescent="0.2">
      <c r="A76" s="74"/>
      <c r="B76" s="92" t="s">
        <v>150</v>
      </c>
      <c r="C76" s="99">
        <f>C74/'P&amp;L'!C37</f>
        <v>0.10390043466449342</v>
      </c>
      <c r="D76" s="99">
        <f>D74/'P&amp;L'!D37</f>
        <v>9.10441926428876E-2</v>
      </c>
      <c r="E76" s="99">
        <f>E74/'P&amp;L'!E37</f>
        <v>0.10147454709402398</v>
      </c>
      <c r="F76" s="99">
        <f>F74/'P&amp;L'!F37</f>
        <v>0.10151834982920192</v>
      </c>
      <c r="G76" s="99">
        <f>G74/'P&amp;L'!G37</f>
        <v>9.9552968381974319E-2</v>
      </c>
      <c r="H76" s="168"/>
      <c r="I76" s="99">
        <f>I74/'P&amp;L'!I37</f>
        <v>9.984966495518241E-2</v>
      </c>
      <c r="J76" s="99">
        <f>J74/'P&amp;L'!J37</f>
        <v>8.5981596636539731E-2</v>
      </c>
      <c r="K76" s="99">
        <f>K74/'P&amp;L'!K37</f>
        <v>9.8538671401351002E-2</v>
      </c>
      <c r="L76" s="99">
        <f>L74/'P&amp;L'!L37</f>
        <v>0.11080510974746294</v>
      </c>
      <c r="M76" s="99">
        <f>M74/'P&amp;L'!M37</f>
        <v>9.8301016619023615E-2</v>
      </c>
      <c r="N76" s="168"/>
      <c r="O76" s="99">
        <f>O74/'P&amp;L'!O37</f>
        <v>0.11670174618023081</v>
      </c>
      <c r="P76" s="99">
        <f>P74/'P&amp;L'!P37</f>
        <v>0.1026171100321413</v>
      </c>
      <c r="Q76" s="99">
        <f>Q74/'P&amp;L'!Q37</f>
        <v>0.11431541882313669</v>
      </c>
      <c r="R76" s="99">
        <f>R74/'P&amp;L'!R37</f>
        <v>0.10346019807981061</v>
      </c>
      <c r="S76" s="99">
        <f>S74/'P&amp;L'!S37</f>
        <v>0.10887252075332128</v>
      </c>
      <c r="T76" s="168"/>
      <c r="U76" s="99">
        <f>U74/'P&amp;L'!U37</f>
        <v>0.11403800910507485</v>
      </c>
      <c r="V76" s="99">
        <f>V74/'P&amp;L'!V37</f>
        <v>9.9406694809763496E-2</v>
      </c>
      <c r="W76" s="99">
        <f>W74/'P&amp;L'!W37</f>
        <v>0.11106374121129872</v>
      </c>
      <c r="X76" s="99">
        <f>X74/'P&amp;L'!X37</f>
        <v>9.7608229805240629E-2</v>
      </c>
      <c r="Y76" s="99">
        <f>Y74/'P&amp;L'!Y37</f>
        <v>0.10504256099930198</v>
      </c>
      <c r="Z76" s="168"/>
      <c r="AA76" s="99">
        <f>AA74/'P&amp;L'!AA37</f>
        <v>9.8381302334476117E-2</v>
      </c>
      <c r="AB76" s="99">
        <f>AB74/'P&amp;L'!AB37</f>
        <v>8.9564462324616748E-2</v>
      </c>
      <c r="AC76" s="99">
        <f>AC74/'P&amp;L'!AC37</f>
        <v>0.10929496951219508</v>
      </c>
      <c r="AD76" s="99">
        <f>AD74/'P&amp;L'!AD37</f>
        <v>9.8866578526965107E-2</v>
      </c>
      <c r="AE76" s="99">
        <f>AE74/'P&amp;L'!AE37</f>
        <v>9.8537353580961912E-2</v>
      </c>
      <c r="AF76" s="168"/>
      <c r="AG76" s="99">
        <f>AG74/'P&amp;L'!AG37</f>
        <v>9.5662804294674206E-2</v>
      </c>
      <c r="AH76" s="99">
        <f>AH74/'P&amp;L'!AH37</f>
        <v>8.1253741796288151E-2</v>
      </c>
      <c r="AI76" s="99">
        <f>AI74/'P&amp;L'!AI37</f>
        <v>9.7128353292200473E-2</v>
      </c>
      <c r="AJ76" s="99">
        <f>AJ74/'P&amp;L'!AJ37</f>
        <v>8.8680277292952164E-2</v>
      </c>
      <c r="AK76" s="99">
        <f>AK74/'P&amp;L'!AK37</f>
        <v>9.0227123210425794E-2</v>
      </c>
      <c r="AL76" s="168"/>
      <c r="AM76" s="99">
        <f>AM74/'P&amp;L'!AM37</f>
        <v>0.1061638796876455</v>
      </c>
      <c r="AN76" s="99">
        <f>AN74/'P&amp;L'!AN37</f>
        <v>0.16659149961912115</v>
      </c>
      <c r="AO76" s="99">
        <f>AO74/'P&amp;L'!AO37</f>
        <v>0.29042392467886347</v>
      </c>
      <c r="AP76" s="99">
        <f>AP74/'P&amp;L'!AP37</f>
        <v>8.2538409925738923E-2</v>
      </c>
      <c r="AQ76" s="99">
        <f>AQ74/'P&amp;L'!AQ37</f>
        <v>0.16154007263816056</v>
      </c>
      <c r="AR76" s="99"/>
      <c r="AS76" s="99">
        <f>AS74/'P&amp;L'!AS37</f>
        <v>0.11197186373847523</v>
      </c>
      <c r="AT76" s="99">
        <f>AT74/'P&amp;L'!AT37</f>
        <v>0.19164782133218289</v>
      </c>
      <c r="AU76" s="99">
        <f>AU74/'P&amp;L'!AU37</f>
        <v>0.32126236514569323</v>
      </c>
      <c r="AV76" s="99">
        <f>AV74/'P&amp;L'!AV37</f>
        <v>0.44084821738025382</v>
      </c>
      <c r="AW76" s="99">
        <f>AW74/'P&amp;L'!AW37</f>
        <v>0.26470771519004893</v>
      </c>
      <c r="AX76" s="168"/>
      <c r="AY76" s="99">
        <f>AY74/'P&amp;L'!AY37</f>
        <v>0.12379727612966483</v>
      </c>
      <c r="AZ76" s="99">
        <f>AZ74/'P&amp;L'!AZ37</f>
        <v>0.19965533595307686</v>
      </c>
      <c r="BA76" s="99">
        <f>BA74/'P&amp;L'!BA37</f>
        <v>0.32948936170212767</v>
      </c>
      <c r="BB76" s="99">
        <f>BB74/'P&amp;L'!BB37</f>
        <v>0.41304993682300722</v>
      </c>
      <c r="BC76" s="99">
        <f>BC74/'P&amp;L'!BC37</f>
        <v>0.26840557196699599</v>
      </c>
      <c r="BD76" s="168"/>
      <c r="BE76" s="99">
        <f>BE74/'P&amp;L'!BE37</f>
        <v>8.4215761056520219E-2</v>
      </c>
      <c r="BF76" s="99">
        <f>BF74/'P&amp;L'!BF37</f>
        <v>0.1038855548719579</v>
      </c>
      <c r="BG76" s="99">
        <f>BG74/'P&amp;L'!BG37</f>
        <v>0.11817428775416829</v>
      </c>
      <c r="BH76" s="99">
        <f>BH74/'P&amp;L'!BH37</f>
        <v>0.11580588604442023</v>
      </c>
      <c r="BI76" s="99">
        <f>BI74/'P&amp;L'!BI37</f>
        <v>0.1052901989120143</v>
      </c>
      <c r="BJ76" s="168"/>
      <c r="BK76" s="99">
        <f>BK74/'P&amp;L'!BK37</f>
        <v>0.16099458879298781</v>
      </c>
      <c r="BL76" s="99">
        <f>BL74/'P&amp;L'!BL37</f>
        <v>0.13562475665725016</v>
      </c>
      <c r="BM76" s="99">
        <f>BM74/'P&amp;L'!BM37</f>
        <v>0.12425620278543555</v>
      </c>
      <c r="BN76" s="99">
        <f>BN74/'P&amp;L'!BN37</f>
        <v>9.4945114844919562E-2</v>
      </c>
      <c r="BO76" s="99">
        <f>BO74/'P&amp;L'!BO37</f>
        <v>0.12472433900510814</v>
      </c>
      <c r="BP76" s="168"/>
      <c r="BQ76" s="99">
        <f>BQ74/'P&amp;L'!BQ37</f>
        <v>0.17159442105318418</v>
      </c>
      <c r="BR76" s="99">
        <f>BR74/'P&amp;L'!BR37</f>
        <v>0.13773441481390039</v>
      </c>
      <c r="BS76" s="99">
        <f>BS74/'P&amp;L'!BS37</f>
        <v>0.11725465737963595</v>
      </c>
      <c r="BT76" s="99">
        <f>BT74/'P&amp;L'!BT37</f>
        <v>8.9625292452464145E-2</v>
      </c>
      <c r="BU76" s="99">
        <f>BU74/'P&amp;L'!BU37</f>
        <v>0.12263187196536994</v>
      </c>
      <c r="BV76" s="168"/>
      <c r="BW76" s="99">
        <f>BW74/'P&amp;L'!BW37</f>
        <v>0.11646765752808153</v>
      </c>
      <c r="BX76" s="99">
        <f>BX74/'P&amp;L'!BX37</f>
        <v>0.10945195815716176</v>
      </c>
      <c r="BY76" s="99">
        <f>BY74/'P&amp;L'!BY37</f>
        <v>0.10595690260077156</v>
      </c>
      <c r="BZ76" s="99">
        <f>BZ74/'P&amp;L'!BZ37</f>
        <v>8.7139628883238007E-2</v>
      </c>
      <c r="CA76" s="99">
        <f>CA74/'P&amp;L'!CA37</f>
        <v>0.10389222102657202</v>
      </c>
      <c r="CB76" s="168"/>
      <c r="CC76" s="99">
        <f>CC74/'P&amp;L'!CC37</f>
        <v>0.10516781771760102</v>
      </c>
      <c r="CD76" s="99">
        <f>CD74/'P&amp;L'!CD37</f>
        <v>9.9333617231193008E-2</v>
      </c>
      <c r="CE76" s="99">
        <f>CE74/'P&amp;L'!CE37</f>
        <v>9.6337078613830354E-2</v>
      </c>
      <c r="CF76" s="99">
        <f>CF74/'P&amp;L'!CF37</f>
        <v>7.9179529590089379E-2</v>
      </c>
      <c r="CG76" s="99">
        <f>CG74/'P&amp;L'!CG37</f>
        <v>9.4257191217165734E-2</v>
      </c>
    </row>
    <row r="77" spans="1:95" ht="11.25" customHeight="1" x14ac:dyDescent="0.2">
      <c r="A77" s="24"/>
      <c r="B77" s="37"/>
      <c r="C77" s="166"/>
      <c r="D77" s="166"/>
      <c r="E77" s="166"/>
      <c r="F77" s="166"/>
      <c r="G77" s="166"/>
      <c r="H77" s="255"/>
      <c r="I77" s="166"/>
      <c r="J77" s="166"/>
      <c r="K77" s="166"/>
      <c r="L77" s="166"/>
      <c r="M77" s="166"/>
      <c r="N77" s="255"/>
      <c r="O77" s="166"/>
      <c r="P77" s="166"/>
      <c r="Q77" s="166"/>
      <c r="R77" s="166"/>
      <c r="S77" s="166"/>
      <c r="T77" s="255"/>
      <c r="U77" s="166"/>
      <c r="V77" s="166"/>
      <c r="W77" s="166"/>
      <c r="X77" s="166"/>
      <c r="Y77" s="166"/>
      <c r="Z77" s="255"/>
      <c r="AA77" s="166"/>
      <c r="AB77" s="166"/>
      <c r="AC77" s="166"/>
      <c r="AD77" s="166"/>
      <c r="AE77" s="166"/>
      <c r="AF77" s="255"/>
      <c r="AG77" s="166"/>
      <c r="AH77" s="166"/>
      <c r="AI77" s="166"/>
      <c r="AJ77" s="166"/>
      <c r="AK77" s="166"/>
      <c r="AL77" s="255"/>
      <c r="AM77" s="166"/>
      <c r="AN77" s="166"/>
      <c r="AO77" s="166"/>
      <c r="AP77" s="166"/>
      <c r="AQ77" s="166"/>
      <c r="AR77" s="255"/>
      <c r="AS77" s="166"/>
      <c r="AT77" s="166"/>
      <c r="AU77" s="166"/>
      <c r="AV77" s="166"/>
      <c r="AW77" s="166"/>
      <c r="AX77" s="255"/>
      <c r="AY77" s="166"/>
      <c r="AZ77" s="166"/>
      <c r="BA77" s="166"/>
      <c r="BB77" s="166"/>
      <c r="BC77" s="166"/>
      <c r="BD77" s="255"/>
      <c r="BE77" s="166"/>
      <c r="BF77" s="166"/>
      <c r="BG77" s="166"/>
      <c r="BH77" s="166"/>
      <c r="BI77" s="166"/>
      <c r="BJ77" s="255"/>
      <c r="BK77" s="166"/>
      <c r="BL77" s="166"/>
      <c r="BM77" s="166"/>
      <c r="BN77" s="166"/>
      <c r="BO77" s="166"/>
      <c r="BP77" s="255"/>
      <c r="BQ77" s="166"/>
      <c r="BR77" s="166"/>
      <c r="BS77" s="166"/>
      <c r="BT77" s="166"/>
      <c r="BU77" s="166"/>
      <c r="BV77" s="255"/>
      <c r="BW77" s="166"/>
      <c r="BX77" s="166"/>
      <c r="BY77" s="166"/>
      <c r="BZ77" s="166"/>
      <c r="CA77" s="166"/>
      <c r="CB77" s="255"/>
      <c r="CC77" s="166"/>
      <c r="CD77" s="166"/>
      <c r="CE77" s="166"/>
      <c r="CF77" s="166"/>
      <c r="CG77" s="166"/>
    </row>
    <row r="78" spans="1:95" ht="11.25" customHeight="1" x14ac:dyDescent="0.2">
      <c r="A78" s="24"/>
      <c r="B78" s="37"/>
      <c r="C78" s="166"/>
      <c r="D78" s="166"/>
      <c r="E78" s="166"/>
      <c r="F78" s="166"/>
      <c r="G78" s="166"/>
      <c r="H78" s="255"/>
      <c r="I78" s="166"/>
      <c r="J78" s="166"/>
      <c r="K78" s="166"/>
      <c r="L78" s="166"/>
      <c r="M78" s="166"/>
      <c r="N78" s="255"/>
      <c r="O78" s="166"/>
      <c r="P78" s="166"/>
      <c r="Q78" s="166"/>
      <c r="R78" s="166"/>
      <c r="S78" s="166"/>
      <c r="T78" s="255"/>
      <c r="U78" s="166"/>
      <c r="V78" s="166"/>
      <c r="W78" s="166"/>
      <c r="X78" s="166"/>
      <c r="Y78" s="166"/>
      <c r="Z78" s="255"/>
      <c r="AA78" s="166"/>
      <c r="AB78" s="166"/>
      <c r="AC78" s="166"/>
      <c r="AD78" s="166"/>
      <c r="AE78" s="166"/>
      <c r="AF78" s="255"/>
      <c r="AG78" s="166"/>
      <c r="AH78" s="166"/>
      <c r="AI78" s="166"/>
      <c r="AJ78" s="166"/>
      <c r="AK78" s="166"/>
      <c r="AL78" s="255"/>
      <c r="AM78" s="166"/>
      <c r="AN78" s="166"/>
      <c r="AO78" s="166"/>
      <c r="AP78" s="166"/>
      <c r="AQ78" s="166"/>
      <c r="AR78" s="255"/>
      <c r="AS78" s="166"/>
      <c r="AT78" s="166"/>
      <c r="AU78" s="166"/>
      <c r="AV78" s="166"/>
      <c r="AW78" s="166"/>
      <c r="AX78" s="255"/>
      <c r="AY78" s="166"/>
      <c r="AZ78" s="166"/>
      <c r="BA78" s="166"/>
      <c r="BB78" s="166"/>
      <c r="BC78" s="166"/>
      <c r="BD78" s="255"/>
      <c r="BE78" s="166"/>
      <c r="BF78" s="166"/>
      <c r="BG78" s="166"/>
      <c r="BH78" s="166"/>
      <c r="BI78" s="166"/>
      <c r="BJ78" s="255"/>
      <c r="BK78" s="166"/>
      <c r="BL78" s="166"/>
      <c r="BM78" s="166"/>
      <c r="BN78" s="166"/>
      <c r="BO78" s="166"/>
      <c r="BP78" s="255"/>
      <c r="BQ78" s="166"/>
      <c r="BR78" s="166"/>
      <c r="BS78" s="166"/>
      <c r="BT78" s="166"/>
      <c r="BU78" s="166"/>
      <c r="BV78" s="255"/>
      <c r="BW78" s="166"/>
      <c r="BX78" s="166"/>
      <c r="BY78" s="166"/>
      <c r="BZ78" s="166"/>
      <c r="CA78" s="166"/>
      <c r="CB78" s="255"/>
      <c r="CC78" s="166"/>
      <c r="CD78" s="166"/>
      <c r="CE78" s="166"/>
      <c r="CF78" s="166"/>
      <c r="CG78" s="166"/>
    </row>
    <row r="79" spans="1:95" ht="11.25" customHeight="1" x14ac:dyDescent="0.2">
      <c r="A79" s="24"/>
      <c r="B79" s="12" t="s">
        <v>151</v>
      </c>
      <c r="C79" s="166"/>
      <c r="D79" s="166"/>
      <c r="E79" s="166"/>
      <c r="F79" s="166"/>
      <c r="G79" s="166"/>
      <c r="H79" s="255"/>
      <c r="I79" s="166"/>
      <c r="J79" s="166"/>
      <c r="K79" s="166"/>
      <c r="L79" s="166"/>
      <c r="M79" s="166"/>
      <c r="N79" s="255"/>
      <c r="O79" s="166"/>
      <c r="P79" s="166"/>
      <c r="Q79" s="166"/>
      <c r="R79" s="166"/>
      <c r="S79" s="166"/>
      <c r="T79" s="255"/>
      <c r="U79" s="166"/>
      <c r="V79" s="166"/>
      <c r="W79" s="166"/>
      <c r="X79" s="166"/>
      <c r="Y79" s="166"/>
      <c r="Z79" s="255"/>
      <c r="AA79" s="166"/>
      <c r="AB79" s="166"/>
      <c r="AC79" s="166"/>
      <c r="AD79" s="166"/>
      <c r="AE79" s="166"/>
      <c r="AF79" s="255"/>
      <c r="AG79" s="166"/>
      <c r="AH79" s="166"/>
      <c r="AI79" s="166"/>
      <c r="AJ79" s="166"/>
      <c r="AK79" s="166"/>
      <c r="AL79" s="255"/>
      <c r="AM79" s="166"/>
      <c r="AN79" s="166"/>
      <c r="AO79" s="166"/>
      <c r="AP79" s="166"/>
      <c r="AQ79" s="166"/>
      <c r="AR79" s="255"/>
      <c r="AS79" s="166"/>
      <c r="AT79" s="166"/>
      <c r="AU79" s="166"/>
      <c r="AV79" s="166"/>
      <c r="AW79" s="166"/>
      <c r="AX79" s="255"/>
      <c r="AY79" s="166"/>
      <c r="AZ79" s="166"/>
      <c r="BA79" s="166"/>
      <c r="BB79" s="166"/>
      <c r="BC79" s="166"/>
      <c r="BD79" s="255"/>
      <c r="BE79" s="166"/>
      <c r="BF79" s="166"/>
      <c r="BG79" s="166"/>
      <c r="BH79" s="166"/>
      <c r="BI79" s="166"/>
      <c r="BJ79" s="255"/>
      <c r="BK79" s="166"/>
      <c r="BL79" s="166"/>
      <c r="BM79" s="166"/>
      <c r="BN79" s="166"/>
      <c r="BO79" s="166"/>
      <c r="BP79" s="255"/>
      <c r="BQ79" s="166"/>
      <c r="BR79" s="166"/>
      <c r="BS79" s="166"/>
      <c r="BT79" s="166"/>
      <c r="BU79" s="166"/>
      <c r="BV79" s="255"/>
      <c r="BW79" s="166"/>
      <c r="BX79" s="166"/>
      <c r="BY79" s="166"/>
      <c r="BZ79" s="166"/>
      <c r="CA79" s="166"/>
      <c r="CB79" s="255"/>
      <c r="CC79" s="166"/>
      <c r="CD79" s="166"/>
      <c r="CE79" s="166"/>
      <c r="CF79" s="166"/>
      <c r="CG79" s="166"/>
    </row>
    <row r="80" spans="1:95" ht="11.25" customHeight="1" outlineLevel="1" x14ac:dyDescent="0.2">
      <c r="A80" s="24"/>
      <c r="B80" s="708" t="s">
        <v>392</v>
      </c>
      <c r="C80" s="166"/>
      <c r="D80" s="166"/>
      <c r="E80" s="166"/>
      <c r="F80" s="166"/>
      <c r="G80" s="166"/>
      <c r="H80" s="255"/>
      <c r="I80" s="166"/>
      <c r="J80" s="166"/>
      <c r="K80" s="166"/>
      <c r="L80" s="166"/>
      <c r="M80" s="166"/>
      <c r="N80" s="255"/>
      <c r="O80" s="166"/>
      <c r="P80" s="166"/>
      <c r="Q80" s="166"/>
      <c r="R80" s="166"/>
      <c r="S80" s="166"/>
      <c r="T80" s="255"/>
      <c r="U80" s="166"/>
      <c r="V80" s="166"/>
      <c r="W80" s="166"/>
      <c r="X80" s="166"/>
      <c r="Y80" s="166"/>
      <c r="Z80" s="255"/>
      <c r="AA80" s="166"/>
      <c r="AB80" s="166"/>
      <c r="AC80" s="166"/>
      <c r="AD80" s="166"/>
      <c r="AE80" s="166"/>
      <c r="AF80" s="255"/>
      <c r="AG80" s="166"/>
      <c r="AH80" s="166"/>
      <c r="AI80" s="166"/>
      <c r="AJ80" s="166"/>
      <c r="AK80" s="166"/>
      <c r="AL80" s="255"/>
      <c r="AM80" s="166"/>
      <c r="AN80" s="166"/>
      <c r="AO80" s="166"/>
      <c r="AP80" s="166"/>
      <c r="AQ80" s="166"/>
      <c r="AR80" s="255"/>
      <c r="AS80" s="166"/>
      <c r="AT80" s="166"/>
      <c r="AU80" s="166"/>
      <c r="AV80" s="166"/>
      <c r="AW80" s="166"/>
      <c r="AX80" s="255"/>
      <c r="AY80" s="166"/>
      <c r="AZ80" s="166"/>
      <c r="BA80" s="166"/>
      <c r="BB80" s="166"/>
      <c r="BC80" s="166"/>
      <c r="BD80" s="255"/>
      <c r="BE80" s="166"/>
      <c r="BF80" s="166"/>
      <c r="BG80" s="166"/>
      <c r="BH80" s="166"/>
      <c r="BI80" s="166"/>
      <c r="BJ80" s="255"/>
      <c r="BK80" s="166"/>
      <c r="BL80" s="166"/>
      <c r="BM80" s="166"/>
      <c r="BN80" s="166"/>
      <c r="BO80" s="166"/>
      <c r="BP80" s="255"/>
      <c r="BQ80" s="166"/>
      <c r="BR80" s="166"/>
      <c r="BS80" s="166"/>
      <c r="BT80" s="166"/>
      <c r="BU80" s="166"/>
      <c r="BV80" s="255"/>
      <c r="BW80" s="166"/>
      <c r="BX80" s="166"/>
      <c r="BY80" s="166"/>
      <c r="BZ80" s="166"/>
      <c r="CA80" s="166"/>
      <c r="CB80" s="255"/>
      <c r="CC80" s="166"/>
      <c r="CD80" s="166"/>
      <c r="CE80" s="166"/>
      <c r="CF80" s="166"/>
      <c r="CG80" s="166"/>
    </row>
    <row r="81" spans="1:231" ht="11.25" customHeight="1" outlineLevel="1" x14ac:dyDescent="0.2">
      <c r="A81" s="24"/>
      <c r="B81" s="705" t="s">
        <v>424</v>
      </c>
      <c r="C81" s="166"/>
      <c r="D81" s="166"/>
      <c r="E81" s="607">
        <v>2.8596780000000002</v>
      </c>
      <c r="F81" s="166"/>
      <c r="G81" s="166"/>
      <c r="H81" s="255"/>
      <c r="I81" s="166"/>
      <c r="J81" s="166"/>
      <c r="K81" s="607">
        <v>3.3544909999999999</v>
      </c>
      <c r="L81" s="166"/>
      <c r="M81" s="166"/>
      <c r="N81" s="255"/>
      <c r="O81" s="166"/>
      <c r="P81" s="166"/>
      <c r="Q81" s="607">
        <v>3.7372990000000001</v>
      </c>
      <c r="R81" s="166"/>
      <c r="S81" s="166"/>
      <c r="T81" s="255"/>
      <c r="U81" s="166"/>
      <c r="V81" s="166"/>
      <c r="W81" s="607">
        <v>3.553058</v>
      </c>
      <c r="X81" s="262">
        <f>W88</f>
        <v>3.173403</v>
      </c>
      <c r="Y81" s="166"/>
      <c r="Z81" s="255"/>
      <c r="AA81" s="605">
        <f>X88</f>
        <v>3.3479401649999998</v>
      </c>
      <c r="AB81" s="605">
        <f>AA88</f>
        <v>3.5320768740749995</v>
      </c>
      <c r="AC81" s="605">
        <f>AB88</f>
        <v>3.7263411021491248</v>
      </c>
      <c r="AD81" s="605">
        <f>AC88</f>
        <v>3.9312898627673269</v>
      </c>
      <c r="AE81" s="605">
        <f>AA81</f>
        <v>3.3479401649999998</v>
      </c>
      <c r="AF81" s="255"/>
      <c r="AG81" s="605">
        <f>AD88</f>
        <v>4.1475108052195298</v>
      </c>
      <c r="AH81" s="605">
        <f>AG88</f>
        <v>4.3756238995066035</v>
      </c>
      <c r="AI81" s="605">
        <f>AH88</f>
        <v>4.6162832139794672</v>
      </c>
      <c r="AJ81" s="605">
        <f>AI88</f>
        <v>4.870178790748338</v>
      </c>
      <c r="AK81" s="605">
        <f>AG81</f>
        <v>4.1475108052195298</v>
      </c>
      <c r="AL81" s="255"/>
      <c r="AM81" s="605">
        <f>AJ88</f>
        <v>5.1380386242394973</v>
      </c>
      <c r="AN81" s="605">
        <f>AM88</f>
        <v>5.4206307485726697</v>
      </c>
      <c r="AO81" s="605">
        <f>AN88</f>
        <v>5.7187654397441667</v>
      </c>
      <c r="AP81" s="605">
        <f>AO88</f>
        <v>6.0332975389300953</v>
      </c>
      <c r="AQ81" s="605">
        <f>AM81</f>
        <v>5.1380386242394973</v>
      </c>
      <c r="AR81" s="255"/>
      <c r="AS81" s="605">
        <f>AP88</f>
        <v>6.3651289035712511</v>
      </c>
      <c r="AT81" s="605">
        <f>AS88</f>
        <v>6.7152109932676698</v>
      </c>
      <c r="AU81" s="605">
        <f>AT88</f>
        <v>7.0845475978973917</v>
      </c>
      <c r="AV81" s="605">
        <f>AU88</f>
        <v>1.560592</v>
      </c>
      <c r="AW81" s="605">
        <f>AS81</f>
        <v>6.3651289035712511</v>
      </c>
      <c r="AX81" s="255"/>
      <c r="AY81" s="605">
        <f>AW88</f>
        <v>1.6269699999999991</v>
      </c>
      <c r="AZ81" s="605">
        <f>AY88</f>
        <v>1.5827279999999992</v>
      </c>
      <c r="BA81" s="605">
        <f>AZ88</f>
        <v>1.0062019999999992</v>
      </c>
      <c r="BB81" s="166"/>
      <c r="BC81" s="166"/>
      <c r="BD81" s="255"/>
      <c r="BE81" s="166"/>
      <c r="BF81" s="166"/>
      <c r="BG81" s="166"/>
      <c r="BH81" s="166"/>
      <c r="BI81" s="166"/>
      <c r="BJ81" s="255"/>
      <c r="BK81" s="166"/>
      <c r="BL81" s="166"/>
      <c r="BM81" s="166"/>
      <c r="BN81" s="166"/>
      <c r="BO81" s="166"/>
      <c r="BP81" s="255"/>
      <c r="BQ81" s="166"/>
      <c r="BR81" s="166"/>
      <c r="BS81" s="166"/>
      <c r="BT81" s="166"/>
      <c r="BU81" s="166"/>
      <c r="BV81" s="255"/>
      <c r="BW81" s="166"/>
      <c r="BX81" s="166"/>
      <c r="BY81" s="166"/>
      <c r="BZ81" s="166"/>
      <c r="CA81" s="166"/>
      <c r="CB81" s="255"/>
      <c r="CC81" s="166"/>
      <c r="CD81" s="166"/>
      <c r="CE81" s="166"/>
      <c r="CF81" s="166"/>
      <c r="CG81" s="166"/>
    </row>
    <row r="82" spans="1:231" ht="11.25" customHeight="1" outlineLevel="1" x14ac:dyDescent="0.2">
      <c r="A82" s="24"/>
      <c r="B82" s="706" t="s">
        <v>152</v>
      </c>
      <c r="C82" s="166"/>
      <c r="D82" s="166"/>
      <c r="E82" s="607">
        <v>0.68</v>
      </c>
      <c r="F82" s="166"/>
      <c r="G82" s="166"/>
      <c r="H82" s="255"/>
      <c r="I82" s="166"/>
      <c r="J82" s="166"/>
      <c r="K82" s="607">
        <v>0.56000000000000005</v>
      </c>
      <c r="L82" s="166"/>
      <c r="M82" s="166"/>
      <c r="N82" s="255"/>
      <c r="O82" s="166"/>
      <c r="P82" s="166"/>
      <c r="Q82" s="607">
        <v>1.2477</v>
      </c>
      <c r="R82" s="166"/>
      <c r="S82" s="166"/>
      <c r="T82" s="255"/>
      <c r="U82" s="166"/>
      <c r="V82" s="166"/>
      <c r="W82" s="607">
        <v>0</v>
      </c>
      <c r="X82" s="605">
        <f>X81*(X94/4)</f>
        <v>0.1983376875</v>
      </c>
      <c r="Y82" s="166"/>
      <c r="Z82" s="255"/>
      <c r="AA82" s="605">
        <f>AA81*(AA94/4)</f>
        <v>0.20924626031249999</v>
      </c>
      <c r="AB82" s="605">
        <f>AB81*(AB94/4)</f>
        <v>0.22075480462968747</v>
      </c>
      <c r="AC82" s="605">
        <f>AC81*(AC94/4)</f>
        <v>0.2328963188843203</v>
      </c>
      <c r="AD82" s="605">
        <f>AD81*(AD94/4)</f>
        <v>0.24570561642295793</v>
      </c>
      <c r="AE82" s="605">
        <f t="shared" ref="AE82:AE87" si="81">SUM(AA82:AD82)</f>
        <v>0.90860300024946572</v>
      </c>
      <c r="AF82" s="255"/>
      <c r="AG82" s="605">
        <f>AG81*(AG94/4)</f>
        <v>0.25921942532622061</v>
      </c>
      <c r="AH82" s="605">
        <f>AH81*(AH94/4)</f>
        <v>0.27347649371916272</v>
      </c>
      <c r="AI82" s="605">
        <f>AI81*(AI94/4)</f>
        <v>0.2885177008737167</v>
      </c>
      <c r="AJ82" s="605">
        <f>AJ81*(AJ94/4)</f>
        <v>0.30438617442177113</v>
      </c>
      <c r="AK82" s="605">
        <f t="shared" ref="AK82:AK87" si="82">SUM(AG82:AJ82)</f>
        <v>1.1255997943408711</v>
      </c>
      <c r="AL82" s="255"/>
      <c r="AM82" s="605">
        <f>AM81*(AM94/4)</f>
        <v>0.32112741401496858</v>
      </c>
      <c r="AN82" s="605">
        <f>AN81*(AN94/4)</f>
        <v>0.33878942178579186</v>
      </c>
      <c r="AO82" s="605">
        <f>AO81*(AO94/4)</f>
        <v>0.35742283998401042</v>
      </c>
      <c r="AP82" s="605">
        <f>AP81*(AP94/4)</f>
        <v>0.37708109618313096</v>
      </c>
      <c r="AQ82" s="605">
        <f t="shared" ref="AQ82:AQ87" si="83">SUM(AM82:AP82)</f>
        <v>1.3944207719679018</v>
      </c>
      <c r="AR82" s="255"/>
      <c r="AS82" s="605">
        <f>AS81*(AS94/4)</f>
        <v>0.39782055647320319</v>
      </c>
      <c r="AT82" s="605">
        <f>AT81*(AT94/4)</f>
        <v>0.41970068707922936</v>
      </c>
      <c r="AU82" s="605">
        <f>AU81*(AU94/4)</f>
        <v>0.44278422486858698</v>
      </c>
      <c r="AV82" s="606">
        <v>0.16026199999999999</v>
      </c>
      <c r="AW82" s="605">
        <f t="shared" ref="AW82:AW87" si="84">SUM(AS82:AV82)</f>
        <v>1.4205674684210194</v>
      </c>
      <c r="AX82" s="255"/>
      <c r="AY82" s="606">
        <v>0</v>
      </c>
      <c r="AZ82" s="606">
        <v>0</v>
      </c>
      <c r="BA82" s="605">
        <f>BA81*(BA94/4)</f>
        <v>6.2887624999999947E-2</v>
      </c>
      <c r="BB82" s="166"/>
      <c r="BC82" s="166"/>
      <c r="BD82" s="255"/>
      <c r="BE82" s="166"/>
      <c r="BF82" s="166"/>
      <c r="BG82" s="166"/>
      <c r="BH82" s="166"/>
      <c r="BI82" s="166"/>
      <c r="BJ82" s="255"/>
      <c r="BK82" s="166"/>
      <c r="BL82" s="166"/>
      <c r="BM82" s="166"/>
      <c r="BN82" s="166"/>
      <c r="BO82" s="166"/>
      <c r="BP82" s="255"/>
      <c r="BQ82" s="166"/>
      <c r="BR82" s="166"/>
      <c r="BS82" s="166"/>
      <c r="BT82" s="166"/>
      <c r="BU82" s="166"/>
      <c r="BV82" s="255"/>
      <c r="BW82" s="166"/>
      <c r="BX82" s="166"/>
      <c r="BY82" s="166"/>
      <c r="BZ82" s="166"/>
      <c r="CA82" s="166"/>
      <c r="CB82" s="255"/>
      <c r="CC82" s="166"/>
      <c r="CD82" s="166"/>
      <c r="CE82" s="166"/>
      <c r="CF82" s="166"/>
      <c r="CG82" s="166"/>
    </row>
    <row r="83" spans="1:231" ht="11.25" customHeight="1" outlineLevel="1" x14ac:dyDescent="0.2">
      <c r="A83" s="24"/>
      <c r="B83" s="706" t="s">
        <v>423</v>
      </c>
      <c r="C83" s="166"/>
      <c r="D83" s="166"/>
      <c r="E83" s="607">
        <v>0</v>
      </c>
      <c r="F83" s="166"/>
      <c r="G83" s="166"/>
      <c r="H83" s="255"/>
      <c r="I83" s="166"/>
      <c r="J83" s="166"/>
      <c r="K83" s="607">
        <v>0</v>
      </c>
      <c r="L83" s="166"/>
      <c r="M83" s="166"/>
      <c r="N83" s="255"/>
      <c r="O83" s="166"/>
      <c r="P83" s="166"/>
      <c r="Q83" s="607">
        <v>1.409753</v>
      </c>
      <c r="R83" s="166"/>
      <c r="S83" s="166"/>
      <c r="T83" s="255"/>
      <c r="U83" s="166"/>
      <c r="V83" s="166"/>
      <c r="W83" s="607">
        <v>0</v>
      </c>
      <c r="X83" s="607">
        <v>0</v>
      </c>
      <c r="Y83" s="166"/>
      <c r="Z83" s="255"/>
      <c r="AA83" s="607">
        <v>0</v>
      </c>
      <c r="AB83" s="607">
        <v>0</v>
      </c>
      <c r="AC83" s="607">
        <v>0</v>
      </c>
      <c r="AD83" s="607">
        <v>0</v>
      </c>
      <c r="AE83" s="605">
        <f t="shared" si="81"/>
        <v>0</v>
      </c>
      <c r="AF83" s="255"/>
      <c r="AG83" s="607">
        <v>0</v>
      </c>
      <c r="AH83" s="607">
        <v>0</v>
      </c>
      <c r="AI83" s="607">
        <v>0</v>
      </c>
      <c r="AJ83" s="607">
        <v>0</v>
      </c>
      <c r="AK83" s="605">
        <f t="shared" si="82"/>
        <v>0</v>
      </c>
      <c r="AL83" s="255"/>
      <c r="AM83" s="607">
        <v>0</v>
      </c>
      <c r="AN83" s="607">
        <v>0</v>
      </c>
      <c r="AO83" s="607">
        <v>0</v>
      </c>
      <c r="AP83" s="607">
        <v>0</v>
      </c>
      <c r="AQ83" s="605">
        <f t="shared" si="83"/>
        <v>0</v>
      </c>
      <c r="AR83" s="255"/>
      <c r="AS83" s="607">
        <v>0</v>
      </c>
      <c r="AT83" s="607">
        <v>0</v>
      </c>
      <c r="AU83" s="607">
        <v>0</v>
      </c>
      <c r="AV83" s="606">
        <v>0</v>
      </c>
      <c r="AW83" s="605">
        <f t="shared" si="84"/>
        <v>0</v>
      </c>
      <c r="AX83" s="255"/>
      <c r="AY83" s="606">
        <v>0</v>
      </c>
      <c r="AZ83" s="606">
        <v>0</v>
      </c>
      <c r="BA83" s="607">
        <v>0</v>
      </c>
      <c r="BB83" s="166"/>
      <c r="BC83" s="166"/>
      <c r="BD83" s="255"/>
      <c r="BE83" s="166"/>
      <c r="BF83" s="166"/>
      <c r="BG83" s="166"/>
      <c r="BH83" s="166"/>
      <c r="BI83" s="166"/>
      <c r="BJ83" s="255"/>
      <c r="BK83" s="166"/>
      <c r="BL83" s="166"/>
      <c r="BM83" s="166"/>
      <c r="BN83" s="166"/>
      <c r="BO83" s="166"/>
      <c r="BP83" s="255"/>
      <c r="BQ83" s="166"/>
      <c r="BR83" s="166"/>
      <c r="BS83" s="166"/>
      <c r="BT83" s="166"/>
      <c r="BU83" s="166"/>
      <c r="BV83" s="255"/>
      <c r="BW83" s="166"/>
      <c r="BX83" s="166"/>
      <c r="BY83" s="166"/>
      <c r="BZ83" s="166"/>
      <c r="CA83" s="166"/>
      <c r="CB83" s="255"/>
      <c r="CC83" s="166"/>
      <c r="CD83" s="166"/>
      <c r="CE83" s="166"/>
      <c r="CF83" s="166"/>
      <c r="CG83" s="166"/>
    </row>
    <row r="84" spans="1:231" ht="11.25" customHeight="1" outlineLevel="1" x14ac:dyDescent="0.2">
      <c r="A84" s="24"/>
      <c r="B84" s="706" t="s">
        <v>249</v>
      </c>
      <c r="C84" s="166"/>
      <c r="D84" s="166"/>
      <c r="E84" s="607">
        <v>-0.159384</v>
      </c>
      <c r="F84" s="166"/>
      <c r="G84" s="166"/>
      <c r="H84" s="255"/>
      <c r="I84" s="166"/>
      <c r="J84" s="166"/>
      <c r="K84" s="607">
        <v>-0.10045999999999999</v>
      </c>
      <c r="L84" s="166"/>
      <c r="M84" s="166"/>
      <c r="N84" s="255"/>
      <c r="O84" s="166"/>
      <c r="P84" s="166"/>
      <c r="Q84" s="607">
        <v>-0.10650900000000001</v>
      </c>
      <c r="R84" s="166"/>
      <c r="S84" s="166"/>
      <c r="T84" s="255"/>
      <c r="U84" s="166"/>
      <c r="V84" s="166"/>
      <c r="W84" s="607">
        <v>-0.360402</v>
      </c>
      <c r="X84" s="605">
        <f>-X81*(X92/4)</f>
        <v>-7.9335075000000008E-3</v>
      </c>
      <c r="Y84" s="166"/>
      <c r="Z84" s="255"/>
      <c r="AA84" s="605">
        <f>-AA81*(AA92/4)</f>
        <v>-8.3698504124999993E-3</v>
      </c>
      <c r="AB84" s="605">
        <f>-AB81*(AB92/4)</f>
        <v>-8.8301921851874996E-3</v>
      </c>
      <c r="AC84" s="605">
        <f>-AC81*(AC92/4)</f>
        <v>-9.3158527553728124E-3</v>
      </c>
      <c r="AD84" s="605">
        <f>-AD81*(AD92/4)</f>
        <v>-9.8282246569183183E-3</v>
      </c>
      <c r="AE84" s="605">
        <f t="shared" si="81"/>
        <v>-3.634412000997863E-2</v>
      </c>
      <c r="AF84" s="255"/>
      <c r="AG84" s="605">
        <f>-AG81*(AG92/4)</f>
        <v>-1.0368777013048825E-2</v>
      </c>
      <c r="AH84" s="605">
        <f>-AH81*(AH92/4)</f>
        <v>-1.0939059748766508E-2</v>
      </c>
      <c r="AI84" s="605">
        <f>-AI81*(AI92/4)</f>
        <v>-1.1540708034948667E-2</v>
      </c>
      <c r="AJ84" s="605">
        <f>-AJ81*(AJ92/4)</f>
        <v>-1.2175446976870846E-2</v>
      </c>
      <c r="AK84" s="605">
        <f t="shared" si="82"/>
        <v>-4.502399177363485E-2</v>
      </c>
      <c r="AL84" s="255"/>
      <c r="AM84" s="605">
        <f>-AM81*(AM92/4)</f>
        <v>-1.2845096560598743E-2</v>
      </c>
      <c r="AN84" s="605">
        <f>-AN81*(AN92/4)</f>
        <v>-1.3551576871431674E-2</v>
      </c>
      <c r="AO84" s="605">
        <f>-AO81*(AO92/4)</f>
        <v>-1.4296913599360417E-2</v>
      </c>
      <c r="AP84" s="605">
        <f>-AP81*(AP92/4)</f>
        <v>-1.5083243847325239E-2</v>
      </c>
      <c r="AQ84" s="605">
        <f t="shared" si="83"/>
        <v>-5.5776830878716079E-2</v>
      </c>
      <c r="AR84" s="255"/>
      <c r="AS84" s="605">
        <f>-AS81*(AS92/4)</f>
        <v>-1.5912822258928129E-2</v>
      </c>
      <c r="AT84" s="605">
        <f>-AT81*(AT92/4)</f>
        <v>-1.6788027483169175E-2</v>
      </c>
      <c r="AU84" s="605">
        <f>-AU81*(AU92/4)</f>
        <v>-1.771136899474348E-2</v>
      </c>
      <c r="AV84" s="606">
        <v>-9.2383999999999994E-2</v>
      </c>
      <c r="AW84" s="605">
        <f t="shared" si="84"/>
        <v>-0.14279621873684079</v>
      </c>
      <c r="AX84" s="255"/>
      <c r="AY84" s="606">
        <v>-4.3642000000000014E-2</v>
      </c>
      <c r="AZ84" s="606">
        <v>-0.57546300000000006</v>
      </c>
      <c r="BA84" s="605">
        <f>-BA81*(BA92/4)</f>
        <v>-2.5155049999999977E-3</v>
      </c>
      <c r="BB84" s="166"/>
      <c r="BC84" s="166"/>
      <c r="BD84" s="255"/>
      <c r="BE84" s="166"/>
      <c r="BF84" s="166"/>
      <c r="BG84" s="166"/>
      <c r="BH84" s="166"/>
      <c r="BI84" s="166"/>
      <c r="BJ84" s="255"/>
      <c r="BK84" s="166"/>
      <c r="BL84" s="166"/>
      <c r="BM84" s="166"/>
      <c r="BN84" s="166"/>
      <c r="BO84" s="166"/>
      <c r="BP84" s="255"/>
      <c r="BQ84" s="166"/>
      <c r="BR84" s="166"/>
      <c r="BS84" s="166"/>
      <c r="BT84" s="166"/>
      <c r="BU84" s="166"/>
      <c r="BV84" s="255"/>
      <c r="BW84" s="166"/>
      <c r="BX84" s="166"/>
      <c r="BY84" s="166"/>
      <c r="BZ84" s="166"/>
      <c r="CA84" s="166"/>
      <c r="CB84" s="255"/>
      <c r="CC84" s="166"/>
      <c r="CD84" s="166"/>
      <c r="CE84" s="166"/>
      <c r="CF84" s="166"/>
      <c r="CG84" s="166"/>
    </row>
    <row r="85" spans="1:231" ht="11.25" customHeight="1" outlineLevel="1" x14ac:dyDescent="0.2">
      <c r="A85" s="24"/>
      <c r="B85" s="706" t="s">
        <v>422</v>
      </c>
      <c r="C85" s="166"/>
      <c r="D85" s="166"/>
      <c r="E85" s="607">
        <v>-8.03E-4</v>
      </c>
      <c r="F85" s="166"/>
      <c r="G85" s="166"/>
      <c r="H85" s="255"/>
      <c r="I85" s="166"/>
      <c r="J85" s="166"/>
      <c r="K85" s="607">
        <v>-1.0344000000000001E-2</v>
      </c>
      <c r="L85" s="166"/>
      <c r="M85" s="166"/>
      <c r="N85" s="255"/>
      <c r="O85" s="166"/>
      <c r="P85" s="166"/>
      <c r="Q85" s="607">
        <v>-1.8492000000000001E-2</v>
      </c>
      <c r="R85" s="166"/>
      <c r="S85" s="166"/>
      <c r="T85" s="255"/>
      <c r="U85" s="166"/>
      <c r="V85" s="166"/>
      <c r="W85" s="607">
        <v>-2.5000000000000001E-4</v>
      </c>
      <c r="X85" s="605">
        <f>-X81*(X93/4)</f>
        <v>-1.5867015000000002E-2</v>
      </c>
      <c r="Y85" s="166"/>
      <c r="Z85" s="255"/>
      <c r="AA85" s="605">
        <f>-AA81*(AA93/4)</f>
        <v>-1.6739700824999999E-2</v>
      </c>
      <c r="AB85" s="605">
        <f>-AB81*(AB93/4)</f>
        <v>-1.7660384370374999E-2</v>
      </c>
      <c r="AC85" s="605">
        <f>-AC81*(AC93/4)</f>
        <v>-1.8631705510745625E-2</v>
      </c>
      <c r="AD85" s="605">
        <f>-AD81*(AD93/4)</f>
        <v>-1.9656449313836637E-2</v>
      </c>
      <c r="AE85" s="605">
        <f t="shared" si="81"/>
        <v>-7.2688240019957259E-2</v>
      </c>
      <c r="AF85" s="255"/>
      <c r="AG85" s="605">
        <f>-AG81*(AG93/4)</f>
        <v>-2.073755402609765E-2</v>
      </c>
      <c r="AH85" s="605">
        <f>-AH81*(AH93/4)</f>
        <v>-2.1878119497533016E-2</v>
      </c>
      <c r="AI85" s="605">
        <f>-AI81*(AI93/4)</f>
        <v>-2.3081416069897335E-2</v>
      </c>
      <c r="AJ85" s="605">
        <f>-AJ81*(AJ93/4)</f>
        <v>-2.4350893953741692E-2</v>
      </c>
      <c r="AK85" s="605">
        <f t="shared" si="82"/>
        <v>-9.00479835472697E-2</v>
      </c>
      <c r="AL85" s="255"/>
      <c r="AM85" s="605">
        <f>-AM81*(AM93/4)</f>
        <v>-2.5690193121197486E-2</v>
      </c>
      <c r="AN85" s="605">
        <f>-AN81*(AN93/4)</f>
        <v>-2.7103153742863349E-2</v>
      </c>
      <c r="AO85" s="605">
        <f>-AO81*(AO93/4)</f>
        <v>-2.8593827198720834E-2</v>
      </c>
      <c r="AP85" s="605">
        <f>-AP81*(AP93/4)</f>
        <v>-3.0166487694650478E-2</v>
      </c>
      <c r="AQ85" s="605">
        <f t="shared" si="83"/>
        <v>-0.11155366175743216</v>
      </c>
      <c r="AR85" s="255"/>
      <c r="AS85" s="605">
        <f>-AS81*(AS93/4)</f>
        <v>-3.1825644517856258E-2</v>
      </c>
      <c r="AT85" s="605">
        <f>-AT81*(AT93/4)</f>
        <v>-3.3576054966338351E-2</v>
      </c>
      <c r="AU85" s="605">
        <f>AU88-SUM(AU81:AU84,AU86:AU87)</f>
        <v>-5.9490284537712359</v>
      </c>
      <c r="AV85" s="606">
        <v>-1.5E-3</v>
      </c>
      <c r="AW85" s="605">
        <f t="shared" si="84"/>
        <v>-6.0159301532554306</v>
      </c>
      <c r="AX85" s="255"/>
      <c r="AY85" s="606">
        <v>-5.9999999999999984E-4</v>
      </c>
      <c r="AZ85" s="606">
        <v>-1.0629999999999999E-3</v>
      </c>
      <c r="BA85" s="605">
        <f>BA88-SUM(BA81:BA84,BA86:BA87)</f>
        <v>0.56039588000000107</v>
      </c>
      <c r="BB85" s="166"/>
      <c r="BC85" s="166"/>
      <c r="BD85" s="255"/>
      <c r="BE85" s="166"/>
      <c r="BF85" s="166"/>
      <c r="BG85" s="166"/>
      <c r="BH85" s="166"/>
      <c r="BI85" s="166"/>
      <c r="BJ85" s="255"/>
      <c r="BK85" s="166"/>
      <c r="BL85" s="166"/>
      <c r="BM85" s="166"/>
      <c r="BN85" s="166"/>
      <c r="BO85" s="166"/>
      <c r="BP85" s="255"/>
      <c r="BQ85" s="166"/>
      <c r="BR85" s="166"/>
      <c r="BS85" s="166"/>
      <c r="BT85" s="166"/>
      <c r="BU85" s="166"/>
      <c r="BV85" s="255"/>
      <c r="BW85" s="166"/>
      <c r="BX85" s="166"/>
      <c r="BY85" s="166"/>
      <c r="BZ85" s="166"/>
      <c r="CA85" s="166"/>
      <c r="CB85" s="255"/>
      <c r="CC85" s="166"/>
      <c r="CD85" s="166"/>
      <c r="CE85" s="166"/>
      <c r="CF85" s="166"/>
      <c r="CG85" s="166"/>
    </row>
    <row r="86" spans="1:231" ht="11.25" customHeight="1" outlineLevel="1" x14ac:dyDescent="0.2">
      <c r="A86" s="24"/>
      <c r="B86" s="706" t="s">
        <v>421</v>
      </c>
      <c r="C86" s="166"/>
      <c r="D86" s="166"/>
      <c r="E86" s="607">
        <v>0</v>
      </c>
      <c r="F86" s="166"/>
      <c r="G86" s="166"/>
      <c r="H86" s="255"/>
      <c r="I86" s="166"/>
      <c r="J86" s="166"/>
      <c r="K86" s="607">
        <v>0</v>
      </c>
      <c r="L86" s="166"/>
      <c r="M86" s="166"/>
      <c r="N86" s="255"/>
      <c r="O86" s="166"/>
      <c r="P86" s="166"/>
      <c r="Q86" s="607">
        <v>-2.62025</v>
      </c>
      <c r="R86" s="166"/>
      <c r="S86" s="166"/>
      <c r="T86" s="255"/>
      <c r="U86" s="166"/>
      <c r="V86" s="166"/>
      <c r="W86" s="607">
        <v>0</v>
      </c>
      <c r="X86" s="607">
        <v>0</v>
      </c>
      <c r="Y86" s="166"/>
      <c r="Z86" s="255"/>
      <c r="AA86" s="607">
        <v>0</v>
      </c>
      <c r="AB86" s="607">
        <v>0</v>
      </c>
      <c r="AC86" s="607">
        <v>0</v>
      </c>
      <c r="AD86" s="607">
        <v>0</v>
      </c>
      <c r="AE86" s="605">
        <f t="shared" si="81"/>
        <v>0</v>
      </c>
      <c r="AF86" s="255"/>
      <c r="AG86" s="607">
        <v>0</v>
      </c>
      <c r="AH86" s="607">
        <v>0</v>
      </c>
      <c r="AI86" s="607">
        <v>0</v>
      </c>
      <c r="AJ86" s="607">
        <v>0</v>
      </c>
      <c r="AK86" s="605">
        <f t="shared" si="82"/>
        <v>0</v>
      </c>
      <c r="AL86" s="255"/>
      <c r="AM86" s="607">
        <v>0</v>
      </c>
      <c r="AN86" s="607">
        <v>0</v>
      </c>
      <c r="AO86" s="607">
        <v>0</v>
      </c>
      <c r="AP86" s="607">
        <v>0</v>
      </c>
      <c r="AQ86" s="605">
        <f t="shared" si="83"/>
        <v>0</v>
      </c>
      <c r="AR86" s="255"/>
      <c r="AS86" s="607">
        <v>0</v>
      </c>
      <c r="AT86" s="607">
        <v>0</v>
      </c>
      <c r="AU86" s="607">
        <v>0</v>
      </c>
      <c r="AV86" s="606">
        <v>0</v>
      </c>
      <c r="AW86" s="605">
        <f t="shared" si="84"/>
        <v>0</v>
      </c>
      <c r="AX86" s="255"/>
      <c r="AY86" s="606">
        <v>0</v>
      </c>
      <c r="AZ86" s="606">
        <v>0</v>
      </c>
      <c r="BA86" s="607">
        <v>0</v>
      </c>
      <c r="BB86" s="166"/>
      <c r="BC86" s="166"/>
      <c r="BD86" s="255"/>
      <c r="BE86" s="166"/>
      <c r="BF86" s="166"/>
      <c r="BG86" s="166"/>
      <c r="BH86" s="166"/>
      <c r="BI86" s="166"/>
      <c r="BJ86" s="255"/>
      <c r="BK86" s="166"/>
      <c r="BL86" s="166"/>
      <c r="BM86" s="166"/>
      <c r="BN86" s="166"/>
      <c r="BO86" s="166"/>
      <c r="BP86" s="255"/>
      <c r="BQ86" s="166"/>
      <c r="BR86" s="166"/>
      <c r="BS86" s="166"/>
      <c r="BT86" s="166"/>
      <c r="BU86" s="166"/>
      <c r="BV86" s="255"/>
      <c r="BW86" s="166"/>
      <c r="BX86" s="166"/>
      <c r="BY86" s="166"/>
      <c r="BZ86" s="166"/>
      <c r="CA86" s="166"/>
      <c r="CB86" s="255"/>
      <c r="CC86" s="166"/>
      <c r="CD86" s="166"/>
      <c r="CE86" s="166"/>
      <c r="CF86" s="166"/>
      <c r="CG86" s="166"/>
    </row>
    <row r="87" spans="1:231" ht="11.25" customHeight="1" outlineLevel="1" x14ac:dyDescent="0.2">
      <c r="A87" s="24"/>
      <c r="B87" s="706" t="s">
        <v>420</v>
      </c>
      <c r="C87" s="166"/>
      <c r="D87" s="166"/>
      <c r="E87" s="607">
        <v>-2.5000000000000001E-2</v>
      </c>
      <c r="F87" s="166"/>
      <c r="G87" s="166"/>
      <c r="H87" s="255"/>
      <c r="I87" s="166"/>
      <c r="J87" s="166"/>
      <c r="K87" s="607">
        <v>-6.6388000000000003E-2</v>
      </c>
      <c r="L87" s="166"/>
      <c r="M87" s="166"/>
      <c r="N87" s="255"/>
      <c r="O87" s="166"/>
      <c r="P87" s="166"/>
      <c r="Q87" s="607">
        <v>-9.6443000000000001E-2</v>
      </c>
      <c r="R87" s="166"/>
      <c r="S87" s="166"/>
      <c r="T87" s="255"/>
      <c r="U87" s="166"/>
      <c r="V87" s="166"/>
      <c r="W87" s="607">
        <v>-1.9002999999999999E-2</v>
      </c>
      <c r="X87" s="607">
        <v>0</v>
      </c>
      <c r="Y87" s="166"/>
      <c r="Z87" s="255"/>
      <c r="AA87" s="607">
        <v>0</v>
      </c>
      <c r="AB87" s="607">
        <v>0</v>
      </c>
      <c r="AC87" s="607">
        <v>0</v>
      </c>
      <c r="AD87" s="607">
        <v>0</v>
      </c>
      <c r="AE87" s="605">
        <f t="shared" si="81"/>
        <v>0</v>
      </c>
      <c r="AF87" s="255"/>
      <c r="AG87" s="607">
        <v>0</v>
      </c>
      <c r="AH87" s="607">
        <v>0</v>
      </c>
      <c r="AI87" s="607">
        <v>0</v>
      </c>
      <c r="AJ87" s="607">
        <v>0</v>
      </c>
      <c r="AK87" s="605">
        <f t="shared" si="82"/>
        <v>0</v>
      </c>
      <c r="AL87" s="255"/>
      <c r="AM87" s="607">
        <v>0</v>
      </c>
      <c r="AN87" s="607">
        <v>0</v>
      </c>
      <c r="AO87" s="607">
        <v>0</v>
      </c>
      <c r="AP87" s="607">
        <v>0</v>
      </c>
      <c r="AQ87" s="605">
        <f t="shared" si="83"/>
        <v>0</v>
      </c>
      <c r="AR87" s="255"/>
      <c r="AS87" s="607">
        <v>0</v>
      </c>
      <c r="AT87" s="607">
        <v>0</v>
      </c>
      <c r="AU87" s="607">
        <v>0</v>
      </c>
      <c r="AV87" s="606">
        <v>0</v>
      </c>
      <c r="AW87" s="605">
        <f t="shared" si="84"/>
        <v>0</v>
      </c>
      <c r="AX87" s="255"/>
      <c r="AY87" s="606">
        <v>0</v>
      </c>
      <c r="AZ87" s="606">
        <v>0</v>
      </c>
      <c r="BA87" s="607">
        <v>0</v>
      </c>
      <c r="BB87" s="166"/>
      <c r="BC87" s="166"/>
      <c r="BD87" s="255"/>
      <c r="BE87" s="166"/>
      <c r="BF87" s="166"/>
      <c r="BG87" s="166"/>
      <c r="BH87" s="166"/>
      <c r="BI87" s="166"/>
      <c r="BJ87" s="255"/>
      <c r="BK87" s="166"/>
      <c r="BL87" s="166"/>
      <c r="BM87" s="166"/>
      <c r="BN87" s="166"/>
      <c r="BO87" s="166"/>
      <c r="BP87" s="255"/>
      <c r="BQ87" s="166"/>
      <c r="BR87" s="166"/>
      <c r="BS87" s="166"/>
      <c r="BT87" s="166"/>
      <c r="BU87" s="166"/>
      <c r="BV87" s="255"/>
      <c r="BW87" s="166"/>
      <c r="BX87" s="166"/>
      <c r="BY87" s="166"/>
      <c r="BZ87" s="166"/>
      <c r="CA87" s="166"/>
      <c r="CB87" s="255"/>
      <c r="CC87" s="166"/>
      <c r="CD87" s="166"/>
      <c r="CE87" s="166"/>
      <c r="CF87" s="166"/>
      <c r="CG87" s="166"/>
    </row>
    <row r="88" spans="1:231" ht="11.25" customHeight="1" outlineLevel="1" x14ac:dyDescent="0.2">
      <c r="A88" s="24"/>
      <c r="B88" s="705" t="s">
        <v>419</v>
      </c>
      <c r="C88" s="166"/>
      <c r="D88" s="166"/>
      <c r="E88" s="605">
        <f>+SUM(E81:E87)</f>
        <v>3.3544910000000003</v>
      </c>
      <c r="F88" s="166"/>
      <c r="G88" s="166"/>
      <c r="H88" s="255"/>
      <c r="I88" s="166"/>
      <c r="J88" s="166"/>
      <c r="K88" s="605">
        <f>+SUM(K81:K87)</f>
        <v>3.7372990000000001</v>
      </c>
      <c r="L88" s="166"/>
      <c r="M88" s="166"/>
      <c r="N88" s="255"/>
      <c r="O88" s="166"/>
      <c r="P88" s="166"/>
      <c r="Q88" s="605">
        <f>SUM(Q81:Q87)</f>
        <v>3.5530580000000005</v>
      </c>
      <c r="R88" s="166"/>
      <c r="S88" s="166"/>
      <c r="T88" s="255"/>
      <c r="U88" s="166"/>
      <c r="V88" s="166"/>
      <c r="W88" s="605">
        <f>+SUM(W81:W87)</f>
        <v>3.173403</v>
      </c>
      <c r="X88" s="605">
        <f>+SUM(X81:X87)</f>
        <v>3.3479401649999998</v>
      </c>
      <c r="Y88" s="166"/>
      <c r="Z88" s="255"/>
      <c r="AA88" s="605">
        <f>+SUM(AA81:AA87)</f>
        <v>3.5320768740749995</v>
      </c>
      <c r="AB88" s="605">
        <f>+SUM(AB81:AB87)</f>
        <v>3.7263411021491248</v>
      </c>
      <c r="AC88" s="605">
        <f>+SUM(AC81:AC87)</f>
        <v>3.9312898627673269</v>
      </c>
      <c r="AD88" s="605">
        <f>+SUM(AD81:AD87)</f>
        <v>4.1475108052195298</v>
      </c>
      <c r="AE88" s="605">
        <f>+SUM(AE81:AE87)</f>
        <v>4.1475108052195298</v>
      </c>
      <c r="AF88" s="255"/>
      <c r="AG88" s="605">
        <f>+SUM(AG81:AG87)</f>
        <v>4.3756238995066035</v>
      </c>
      <c r="AH88" s="605">
        <f>+SUM(AH81:AH87)</f>
        <v>4.6162832139794672</v>
      </c>
      <c r="AI88" s="605">
        <f>+SUM(AI81:AI87)</f>
        <v>4.870178790748338</v>
      </c>
      <c r="AJ88" s="605">
        <f>+SUM(AJ81:AJ87)</f>
        <v>5.1380386242394973</v>
      </c>
      <c r="AK88" s="605">
        <f>+SUM(AK81:AK87)</f>
        <v>5.1380386242394955</v>
      </c>
      <c r="AL88" s="255"/>
      <c r="AM88" s="605">
        <f>+SUM(AM81:AM87)</f>
        <v>5.4206307485726697</v>
      </c>
      <c r="AN88" s="605">
        <f>+SUM(AN81:AN87)</f>
        <v>5.7187654397441667</v>
      </c>
      <c r="AO88" s="605">
        <f>+SUM(AO81:AO87)</f>
        <v>6.0332975389300953</v>
      </c>
      <c r="AP88" s="605">
        <f>+SUM(AP81:AP87)</f>
        <v>6.3651289035712511</v>
      </c>
      <c r="AQ88" s="605">
        <f>+SUM(AQ81:AQ87)</f>
        <v>6.3651289035712511</v>
      </c>
      <c r="AR88" s="255"/>
      <c r="AS88" s="605">
        <f>+SUM(AS81:AS87)</f>
        <v>6.7152109932676698</v>
      </c>
      <c r="AT88" s="605">
        <f>+SUM(AT81:AT87)</f>
        <v>7.0845475978973917</v>
      </c>
      <c r="AU88" s="606">
        <v>1.560592</v>
      </c>
      <c r="AV88" s="605">
        <f>+SUM(AV81:AV87)</f>
        <v>1.6269699999999998</v>
      </c>
      <c r="AW88" s="605">
        <f>+SUM(AW81:AW87)</f>
        <v>1.6269699999999991</v>
      </c>
      <c r="AX88" s="255"/>
      <c r="AY88" s="605">
        <f>+SUM(AY81:AY87)</f>
        <v>1.5827279999999992</v>
      </c>
      <c r="AZ88" s="605">
        <f>+SUM(AZ81:AZ87)</f>
        <v>1.0062019999999992</v>
      </c>
      <c r="BA88" s="605">
        <v>1.62697</v>
      </c>
      <c r="BB88" s="166"/>
      <c r="BC88" s="166"/>
      <c r="BD88" s="255"/>
      <c r="BE88" s="166"/>
      <c r="BF88" s="166"/>
      <c r="BG88" s="166"/>
      <c r="BH88" s="166"/>
      <c r="BI88" s="166"/>
      <c r="BJ88" s="255"/>
      <c r="BK88" s="166"/>
      <c r="BL88" s="166"/>
      <c r="BM88" s="166"/>
      <c r="BN88" s="166"/>
      <c r="BO88" s="166"/>
      <c r="BP88" s="255"/>
      <c r="BQ88" s="166"/>
      <c r="BR88" s="166"/>
      <c r="BS88" s="166"/>
      <c r="BT88" s="166"/>
      <c r="BU88" s="166"/>
      <c r="BV88" s="255"/>
      <c r="BW88" s="166"/>
      <c r="BX88" s="166"/>
      <c r="BY88" s="166"/>
      <c r="BZ88" s="166"/>
      <c r="CA88" s="166"/>
      <c r="CB88" s="255"/>
      <c r="CC88" s="166"/>
      <c r="CD88" s="166"/>
      <c r="CE88" s="166"/>
      <c r="CF88" s="166"/>
      <c r="CG88" s="166"/>
    </row>
    <row r="89" spans="1:231" ht="11.25" customHeight="1" outlineLevel="1" x14ac:dyDescent="0.2">
      <c r="A89" s="24"/>
      <c r="B89" s="705" t="s">
        <v>418</v>
      </c>
      <c r="C89" s="166"/>
      <c r="D89" s="166"/>
      <c r="E89" s="604">
        <v>9.3000000000000007</v>
      </c>
      <c r="F89" s="166"/>
      <c r="G89" s="166"/>
      <c r="H89" s="255"/>
      <c r="I89" s="166"/>
      <c r="J89" s="166"/>
      <c r="K89" s="604">
        <v>10.08</v>
      </c>
      <c r="L89" s="166"/>
      <c r="M89" s="166"/>
      <c r="N89" s="255"/>
      <c r="O89" s="166"/>
      <c r="P89" s="166"/>
      <c r="Q89" s="604">
        <v>4.99</v>
      </c>
      <c r="R89" s="166"/>
      <c r="S89" s="166"/>
      <c r="T89" s="255"/>
      <c r="U89" s="166"/>
      <c r="V89" s="166"/>
      <c r="W89" s="604">
        <v>11.37</v>
      </c>
      <c r="X89" s="98">
        <f>W89*(1+X90)</f>
        <v>11.938499999999999</v>
      </c>
      <c r="Y89" s="98">
        <f>X89</f>
        <v>11.938499999999999</v>
      </c>
      <c r="Z89" s="98"/>
      <c r="AA89" s="98">
        <f>Y89*(1+AA90)</f>
        <v>12.535425</v>
      </c>
      <c r="AB89" s="98">
        <f>AA89*(1+AB90)</f>
        <v>13.162196250000001</v>
      </c>
      <c r="AC89" s="98">
        <f>AB89*(1+AC90)</f>
        <v>13.820306062500002</v>
      </c>
      <c r="AD89" s="98">
        <f>AC89*(1+AD90)</f>
        <v>14.511321365625003</v>
      </c>
      <c r="AE89" s="98">
        <f>AVERAGE(AA89:AD89)</f>
        <v>13.507312169531252</v>
      </c>
      <c r="AF89" s="255"/>
      <c r="AG89" s="98">
        <f>AE89*(1+AG90)</f>
        <v>14.182677778007815</v>
      </c>
      <c r="AH89" s="98">
        <f>AG89*(1+AH90)</f>
        <v>14.891811666908206</v>
      </c>
      <c r="AI89" s="98">
        <f>AH89*(1+AI90)</f>
        <v>15.636402250253617</v>
      </c>
      <c r="AJ89" s="98">
        <f>AI89*(1+AJ90)</f>
        <v>16.418222362766297</v>
      </c>
      <c r="AK89" s="98">
        <f>AVERAGE(AG89:AJ89)</f>
        <v>15.282278514483984</v>
      </c>
      <c r="AL89" s="255"/>
      <c r="AM89" s="98">
        <f>AK89*(1+AM90)</f>
        <v>16.046392440208184</v>
      </c>
      <c r="AN89" s="98">
        <f>AM89*(1+AN90)</f>
        <v>16.848712062218592</v>
      </c>
      <c r="AO89" s="98">
        <f>AN89*(1+AO90)</f>
        <v>17.691147665329524</v>
      </c>
      <c r="AP89" s="98">
        <f>AO89*(1+AP90)</f>
        <v>18.575705048595999</v>
      </c>
      <c r="AQ89" s="98">
        <f>AVERAGE(AM89:AP89)</f>
        <v>17.290489304088076</v>
      </c>
      <c r="AR89" s="255"/>
      <c r="AS89" s="98">
        <f>AQ89*(1+AS90)</f>
        <v>18.155013769292481</v>
      </c>
      <c r="AT89" s="98">
        <f>AS89*(1+AT90)</f>
        <v>19.062764457757105</v>
      </c>
      <c r="AU89" s="603">
        <v>29.13</v>
      </c>
      <c r="AV89" s="603">
        <v>34.06</v>
      </c>
      <c r="AW89" s="98">
        <f>AVERAGE(AS89:AV89)</f>
        <v>25.101944556762398</v>
      </c>
      <c r="AX89" s="255"/>
      <c r="AY89" s="166"/>
      <c r="AZ89" s="166"/>
      <c r="BA89" s="166"/>
      <c r="BB89" s="166"/>
      <c r="BC89" s="166"/>
      <c r="BD89" s="255"/>
      <c r="BE89" s="166"/>
      <c r="BF89" s="166"/>
      <c r="BG89" s="166"/>
      <c r="BH89" s="166"/>
      <c r="BI89" s="166"/>
      <c r="BJ89" s="255"/>
      <c r="BK89" s="166"/>
      <c r="BL89" s="166"/>
      <c r="BM89" s="166"/>
      <c r="BN89" s="166"/>
      <c r="BO89" s="166"/>
      <c r="BP89" s="255"/>
      <c r="BQ89" s="166"/>
      <c r="BR89" s="166"/>
      <c r="BS89" s="166"/>
      <c r="BT89" s="166"/>
      <c r="BU89" s="166"/>
      <c r="BV89" s="255"/>
      <c r="BW89" s="166"/>
      <c r="BX89" s="166"/>
      <c r="BY89" s="166"/>
      <c r="BZ89" s="166"/>
      <c r="CA89" s="166"/>
      <c r="CB89" s="255"/>
      <c r="CC89" s="166"/>
      <c r="CD89" s="166"/>
      <c r="CE89" s="166"/>
      <c r="CF89" s="166"/>
      <c r="CG89" s="166"/>
    </row>
    <row r="90" spans="1:231" ht="11.25" customHeight="1" outlineLevel="1" x14ac:dyDescent="0.2">
      <c r="A90" s="24"/>
      <c r="B90" s="707" t="s">
        <v>417</v>
      </c>
      <c r="C90" s="166"/>
      <c r="D90" s="166"/>
      <c r="E90" s="166"/>
      <c r="F90" s="166"/>
      <c r="G90" s="166"/>
      <c r="H90" s="255"/>
      <c r="I90" s="166"/>
      <c r="J90" s="166"/>
      <c r="K90" s="166"/>
      <c r="L90" s="166"/>
      <c r="M90" s="166"/>
      <c r="N90" s="255"/>
      <c r="O90" s="166"/>
      <c r="P90" s="166"/>
      <c r="Q90" s="166"/>
      <c r="R90" s="166"/>
      <c r="S90" s="166"/>
      <c r="T90" s="255"/>
      <c r="U90" s="166"/>
      <c r="V90" s="166"/>
      <c r="W90" s="166"/>
      <c r="X90" s="601">
        <v>0.05</v>
      </c>
      <c r="Y90" s="166"/>
      <c r="Z90" s="255"/>
      <c r="AA90" s="601">
        <v>0.05</v>
      </c>
      <c r="AB90" s="601">
        <v>0.05</v>
      </c>
      <c r="AC90" s="601">
        <v>0.05</v>
      </c>
      <c r="AD90" s="601">
        <v>0.05</v>
      </c>
      <c r="AE90" s="595">
        <f>+AE89/Y89-1</f>
        <v>0.13140781250000022</v>
      </c>
      <c r="AF90" s="255"/>
      <c r="AG90" s="601">
        <v>0.05</v>
      </c>
      <c r="AH90" s="601">
        <v>0.05</v>
      </c>
      <c r="AI90" s="601">
        <v>0.05</v>
      </c>
      <c r="AJ90" s="601">
        <v>0.05</v>
      </c>
      <c r="AK90" s="595">
        <f>+AK89/AE89-1</f>
        <v>0.1314078125</v>
      </c>
      <c r="AL90" s="255"/>
      <c r="AM90" s="601">
        <v>0.05</v>
      </c>
      <c r="AN90" s="601">
        <v>0.05</v>
      </c>
      <c r="AO90" s="601">
        <v>0.05</v>
      </c>
      <c r="AP90" s="601">
        <v>0.05</v>
      </c>
      <c r="AQ90" s="595">
        <f>+AQ89/AK89-1</f>
        <v>0.13140781250000022</v>
      </c>
      <c r="AR90" s="255"/>
      <c r="AS90" s="601">
        <v>0.05</v>
      </c>
      <c r="AT90" s="601">
        <v>0.05</v>
      </c>
      <c r="AU90" s="595">
        <f>+AU89/AO89-1</f>
        <v>0.64658622216397688</v>
      </c>
      <c r="AV90" s="595">
        <f>+AV89/AP89-1</f>
        <v>0.83357777865741611</v>
      </c>
      <c r="AW90" s="595">
        <f>+AW89/AQ89-1</f>
        <v>0.45177757062244739</v>
      </c>
      <c r="AX90" s="255"/>
      <c r="AY90" s="166"/>
      <c r="AZ90" s="166"/>
      <c r="BA90" s="166"/>
      <c r="BB90" s="166"/>
      <c r="BC90" s="166"/>
      <c r="BD90" s="255"/>
      <c r="BE90" s="166"/>
      <c r="BF90" s="166"/>
      <c r="BG90" s="166"/>
      <c r="BH90" s="166"/>
      <c r="BI90" s="166"/>
      <c r="BJ90" s="255"/>
      <c r="BK90" s="166"/>
      <c r="BL90" s="166"/>
      <c r="BM90" s="166"/>
      <c r="BN90" s="166"/>
      <c r="BO90" s="166"/>
      <c r="BP90" s="255"/>
      <c r="BQ90" s="166"/>
      <c r="BR90" s="166"/>
      <c r="BS90" s="166"/>
      <c r="BT90" s="166"/>
      <c r="BU90" s="166"/>
      <c r="BV90" s="255"/>
      <c r="BW90" s="166"/>
      <c r="BX90" s="166"/>
      <c r="BY90" s="166"/>
      <c r="BZ90" s="166"/>
      <c r="CA90" s="166"/>
      <c r="CB90" s="255"/>
      <c r="CC90" s="166"/>
      <c r="CD90" s="166"/>
      <c r="CE90" s="166"/>
      <c r="CF90" s="166"/>
      <c r="CG90" s="166"/>
    </row>
    <row r="91" spans="1:231" ht="11.25" customHeight="1" outlineLevel="1" x14ac:dyDescent="0.2">
      <c r="A91" s="24"/>
      <c r="B91" s="37"/>
      <c r="C91" s="166"/>
      <c r="D91" s="166"/>
      <c r="E91" s="166"/>
      <c r="F91" s="166"/>
      <c r="G91" s="166"/>
      <c r="H91" s="255"/>
      <c r="I91" s="166"/>
      <c r="J91" s="166"/>
      <c r="K91" s="166"/>
      <c r="L91" s="166"/>
      <c r="M91" s="166"/>
      <c r="N91" s="255"/>
      <c r="O91" s="166"/>
      <c r="P91" s="166"/>
      <c r="Q91" s="166"/>
      <c r="R91" s="166"/>
      <c r="S91" s="166"/>
      <c r="T91" s="255"/>
      <c r="U91" s="166"/>
      <c r="V91" s="166"/>
      <c r="W91" s="166"/>
      <c r="X91" s="166"/>
      <c r="Y91" s="166"/>
      <c r="Z91" s="255"/>
      <c r="AA91" s="166"/>
      <c r="AB91" s="166"/>
      <c r="AC91" s="166"/>
      <c r="AD91" s="166"/>
      <c r="AE91" s="166"/>
      <c r="AF91" s="255"/>
      <c r="AG91" s="166"/>
      <c r="AH91" s="166"/>
      <c r="AI91" s="166"/>
      <c r="AJ91" s="166"/>
      <c r="AK91" s="166"/>
      <c r="AL91" s="255"/>
      <c r="AM91" s="166"/>
      <c r="AN91" s="166"/>
      <c r="AO91" s="166"/>
      <c r="AP91" s="166"/>
      <c r="AQ91" s="166"/>
      <c r="AR91" s="255"/>
      <c r="AS91" s="166"/>
      <c r="AT91" s="166"/>
      <c r="AU91" s="166"/>
      <c r="AV91" s="166"/>
      <c r="AW91" s="166"/>
      <c r="AX91" s="255"/>
      <c r="AY91" s="166"/>
      <c r="AZ91" s="166"/>
      <c r="BA91" s="166"/>
      <c r="BB91" s="166"/>
      <c r="BC91" s="166"/>
      <c r="BD91" s="255"/>
      <c r="BE91" s="166"/>
      <c r="BF91" s="166"/>
      <c r="BG91" s="166"/>
      <c r="BH91" s="166"/>
      <c r="BI91" s="166"/>
      <c r="BJ91" s="255"/>
      <c r="BK91" s="166"/>
      <c r="BL91" s="166"/>
      <c r="BM91" s="166"/>
      <c r="BN91" s="166"/>
      <c r="BO91" s="166"/>
      <c r="BP91" s="255"/>
      <c r="BQ91" s="166"/>
      <c r="BR91" s="166"/>
      <c r="BS91" s="166"/>
      <c r="BT91" s="166"/>
      <c r="BU91" s="166"/>
      <c r="BV91" s="255"/>
      <c r="BW91" s="166"/>
      <c r="BX91" s="166"/>
      <c r="BY91" s="166"/>
      <c r="BZ91" s="166"/>
      <c r="CA91" s="166"/>
      <c r="CB91" s="255"/>
      <c r="CC91" s="166"/>
      <c r="CD91" s="166"/>
      <c r="CE91" s="166"/>
      <c r="CF91" s="166"/>
      <c r="CG91" s="166"/>
    </row>
    <row r="92" spans="1:231" ht="11.25" customHeight="1" outlineLevel="1" x14ac:dyDescent="0.2">
      <c r="A92" s="24"/>
      <c r="B92" s="707" t="s">
        <v>159</v>
      </c>
      <c r="C92" s="166"/>
      <c r="D92" s="166"/>
      <c r="E92" s="166"/>
      <c r="F92" s="166"/>
      <c r="G92" s="166"/>
      <c r="H92" s="255"/>
      <c r="I92" s="166"/>
      <c r="J92" s="166"/>
      <c r="K92" s="166"/>
      <c r="L92" s="166"/>
      <c r="M92" s="166"/>
      <c r="N92" s="255"/>
      <c r="O92" s="166"/>
      <c r="P92" s="166"/>
      <c r="Q92" s="166"/>
      <c r="R92" s="166"/>
      <c r="S92" s="166"/>
      <c r="T92" s="255"/>
      <c r="U92" s="166"/>
      <c r="V92" s="166"/>
      <c r="W92" s="166"/>
      <c r="X92" s="601">
        <v>0.01</v>
      </c>
      <c r="Y92" s="166"/>
      <c r="Z92" s="255"/>
      <c r="AA92" s="601">
        <v>0.01</v>
      </c>
      <c r="AB92" s="601">
        <v>0.01</v>
      </c>
      <c r="AC92" s="601">
        <v>0.01</v>
      </c>
      <c r="AD92" s="601">
        <v>0.01</v>
      </c>
      <c r="AE92" s="595">
        <f>-AE84/AE81</f>
        <v>1.08556659375E-2</v>
      </c>
      <c r="AF92" s="255"/>
      <c r="AG92" s="601">
        <v>0.01</v>
      </c>
      <c r="AH92" s="601">
        <v>0.01</v>
      </c>
      <c r="AI92" s="601">
        <v>0.01</v>
      </c>
      <c r="AJ92" s="601">
        <v>0.01</v>
      </c>
      <c r="AK92" s="595">
        <f>-AK84/AK81</f>
        <v>1.0855665937500002E-2</v>
      </c>
      <c r="AL92" s="255"/>
      <c r="AM92" s="601">
        <v>0.01</v>
      </c>
      <c r="AN92" s="601">
        <v>0.01</v>
      </c>
      <c r="AO92" s="601">
        <v>0.01</v>
      </c>
      <c r="AP92" s="601">
        <v>0.01</v>
      </c>
      <c r="AQ92" s="595">
        <f>-AQ84/AQ81</f>
        <v>1.0855665937500002E-2</v>
      </c>
      <c r="AR92" s="255"/>
      <c r="AS92" s="601">
        <v>0.01</v>
      </c>
      <c r="AT92" s="601">
        <v>0.01</v>
      </c>
      <c r="AU92" s="601">
        <v>0.01</v>
      </c>
      <c r="AV92" s="595">
        <f>-AV84/AV81</f>
        <v>5.9198047920276407E-2</v>
      </c>
      <c r="AW92" s="595">
        <f>-AW84/AW81</f>
        <v>2.2434144052718683E-2</v>
      </c>
      <c r="AX92" s="255"/>
      <c r="AY92" s="595">
        <f>-AY84/AY81</f>
        <v>2.6824096326299833E-2</v>
      </c>
      <c r="AZ92" s="595">
        <f>-AZ84/AZ81</f>
        <v>0.36358932172805458</v>
      </c>
      <c r="BA92" s="601">
        <v>0.01</v>
      </c>
      <c r="BB92" s="166"/>
      <c r="BC92" s="166"/>
      <c r="BD92" s="255"/>
      <c r="BE92" s="166"/>
      <c r="BF92" s="166"/>
      <c r="BG92" s="166"/>
      <c r="BH92" s="166"/>
      <c r="BI92" s="166"/>
      <c r="BJ92" s="255"/>
      <c r="BK92" s="166"/>
      <c r="BL92" s="166"/>
      <c r="BM92" s="166"/>
      <c r="BN92" s="166"/>
      <c r="BO92" s="166"/>
      <c r="BP92" s="255"/>
      <c r="BQ92" s="166"/>
      <c r="BR92" s="166"/>
      <c r="BS92" s="166"/>
      <c r="BT92" s="166"/>
      <c r="BU92" s="166"/>
      <c r="BV92" s="255"/>
      <c r="BW92" s="166"/>
      <c r="BX92" s="166"/>
      <c r="BY92" s="166"/>
      <c r="BZ92" s="166"/>
      <c r="CA92" s="166"/>
      <c r="CB92" s="255"/>
      <c r="CC92" s="166"/>
      <c r="CD92" s="166"/>
      <c r="CE92" s="166"/>
      <c r="CF92" s="166"/>
      <c r="CG92" s="166"/>
    </row>
    <row r="93" spans="1:231" ht="11.25" customHeight="1" outlineLevel="1" x14ac:dyDescent="0.2">
      <c r="A93" s="24"/>
      <c r="B93" s="707" t="s">
        <v>160</v>
      </c>
      <c r="C93" s="166"/>
      <c r="D93" s="166"/>
      <c r="E93" s="166"/>
      <c r="F93" s="166"/>
      <c r="G93" s="166"/>
      <c r="H93" s="255"/>
      <c r="I93" s="166"/>
      <c r="J93" s="166"/>
      <c r="K93" s="166"/>
      <c r="L93" s="166"/>
      <c r="M93" s="166"/>
      <c r="N93" s="255"/>
      <c r="O93" s="166"/>
      <c r="P93" s="166"/>
      <c r="Q93" s="166"/>
      <c r="R93" s="166"/>
      <c r="S93" s="166"/>
      <c r="T93" s="255"/>
      <c r="U93" s="166"/>
      <c r="V93" s="166"/>
      <c r="W93" s="166"/>
      <c r="X93" s="601">
        <v>0.02</v>
      </c>
      <c r="Y93" s="166"/>
      <c r="Z93" s="255"/>
      <c r="AA93" s="601">
        <v>0.02</v>
      </c>
      <c r="AB93" s="601">
        <v>0.02</v>
      </c>
      <c r="AC93" s="601">
        <v>0.02</v>
      </c>
      <c r="AD93" s="601">
        <v>0.02</v>
      </c>
      <c r="AE93" s="595">
        <f>-AE85/AE81</f>
        <v>2.1711331875E-2</v>
      </c>
      <c r="AF93" s="255"/>
      <c r="AG93" s="601">
        <v>0.02</v>
      </c>
      <c r="AH93" s="601">
        <v>0.02</v>
      </c>
      <c r="AI93" s="601">
        <v>0.02</v>
      </c>
      <c r="AJ93" s="601">
        <v>0.02</v>
      </c>
      <c r="AK93" s="595">
        <f>-AK85/AK81</f>
        <v>2.1711331875000003E-2</v>
      </c>
      <c r="AL93" s="255"/>
      <c r="AM93" s="601">
        <v>0.02</v>
      </c>
      <c r="AN93" s="601">
        <v>0.02</v>
      </c>
      <c r="AO93" s="601">
        <v>0.02</v>
      </c>
      <c r="AP93" s="601">
        <v>0.02</v>
      </c>
      <c r="AQ93" s="595">
        <f>-AQ85/AQ81</f>
        <v>2.1711331875000003E-2</v>
      </c>
      <c r="AR93" s="255"/>
      <c r="AS93" s="601">
        <v>0.02</v>
      </c>
      <c r="AT93" s="601">
        <v>0.02</v>
      </c>
      <c r="AU93" s="601">
        <v>0.02</v>
      </c>
      <c r="AV93" s="595">
        <f>-AV85/AV81</f>
        <v>9.6117370843884888E-4</v>
      </c>
      <c r="AW93" s="595">
        <f>-AW85/AW81</f>
        <v>0.94513877792484335</v>
      </c>
      <c r="AX93" s="255"/>
      <c r="AY93" s="595">
        <f>-AY85/AY81</f>
        <v>3.6878368992667359E-4</v>
      </c>
      <c r="AZ93" s="595">
        <f>-AZ85/AZ81</f>
        <v>6.7162519396889446E-4</v>
      </c>
      <c r="BA93" s="601">
        <v>0.02</v>
      </c>
      <c r="BB93" s="166"/>
      <c r="BC93" s="166"/>
      <c r="BD93" s="255"/>
      <c r="BE93" s="166"/>
      <c r="BF93" s="166"/>
      <c r="BG93" s="166"/>
      <c r="BH93" s="166"/>
      <c r="BI93" s="166"/>
      <c r="BJ93" s="255"/>
      <c r="BK93" s="166"/>
      <c r="BL93" s="166"/>
      <c r="BM93" s="166"/>
      <c r="BN93" s="166"/>
      <c r="BO93" s="166"/>
      <c r="BP93" s="255"/>
      <c r="BQ93" s="166"/>
      <c r="BR93" s="166"/>
      <c r="BS93" s="166"/>
      <c r="BT93" s="166"/>
      <c r="BU93" s="166"/>
      <c r="BV93" s="255"/>
      <c r="BW93" s="166"/>
      <c r="BX93" s="166"/>
      <c r="BY93" s="166"/>
      <c r="BZ93" s="166"/>
      <c r="CA93" s="166"/>
      <c r="CB93" s="255"/>
      <c r="CC93" s="166"/>
      <c r="CD93" s="166"/>
      <c r="CE93" s="166"/>
      <c r="CF93" s="166"/>
      <c r="CG93" s="166"/>
    </row>
    <row r="94" spans="1:231" ht="11.25" customHeight="1" outlineLevel="1" x14ac:dyDescent="0.2">
      <c r="A94" s="24"/>
      <c r="B94" s="707" t="s">
        <v>416</v>
      </c>
      <c r="C94" s="166"/>
      <c r="D94" s="166"/>
      <c r="E94" s="166"/>
      <c r="F94" s="166"/>
      <c r="G94" s="166"/>
      <c r="H94" s="255"/>
      <c r="I94" s="166"/>
      <c r="J94" s="166"/>
      <c r="K94" s="166"/>
      <c r="L94" s="166"/>
      <c r="M94" s="166"/>
      <c r="N94" s="255"/>
      <c r="O94" s="166"/>
      <c r="P94" s="166"/>
      <c r="Q94" s="166"/>
      <c r="R94" s="166"/>
      <c r="S94" s="166"/>
      <c r="T94" s="255"/>
      <c r="U94" s="166"/>
      <c r="V94" s="166"/>
      <c r="W94" s="166"/>
      <c r="X94" s="90">
        <v>0.25</v>
      </c>
      <c r="Y94" s="166"/>
      <c r="Z94" s="255"/>
      <c r="AA94" s="90">
        <v>0.25</v>
      </c>
      <c r="AB94" s="90">
        <v>0.25</v>
      </c>
      <c r="AC94" s="90">
        <v>0.25</v>
      </c>
      <c r="AD94" s="90">
        <v>0.25</v>
      </c>
      <c r="AE94" s="89">
        <f>AE82/AE81</f>
        <v>0.27139164843750002</v>
      </c>
      <c r="AF94" s="255"/>
      <c r="AG94" s="90">
        <v>0.25</v>
      </c>
      <c r="AH94" s="90">
        <v>0.25</v>
      </c>
      <c r="AI94" s="90">
        <v>0.25</v>
      </c>
      <c r="AJ94" s="90">
        <v>0.25</v>
      </c>
      <c r="AK94" s="89">
        <f>AK82/AK81</f>
        <v>0.27139164843749997</v>
      </c>
      <c r="AL94" s="255"/>
      <c r="AM94" s="90">
        <v>0.25</v>
      </c>
      <c r="AN94" s="90">
        <v>0.25</v>
      </c>
      <c r="AO94" s="90">
        <v>0.25</v>
      </c>
      <c r="AP94" s="90">
        <v>0.25</v>
      </c>
      <c r="AQ94" s="89">
        <f>AQ82/AQ81</f>
        <v>0.27139164843750002</v>
      </c>
      <c r="AR94" s="255"/>
      <c r="AS94" s="90">
        <v>0.25</v>
      </c>
      <c r="AT94" s="90">
        <v>0.25</v>
      </c>
      <c r="AU94" s="90">
        <v>0.25</v>
      </c>
      <c r="AV94" s="89">
        <f>AV82/AV81</f>
        <v>0.10269308057455119</v>
      </c>
      <c r="AW94" s="89">
        <f>AW82/AW81</f>
        <v>0.22317968574430422</v>
      </c>
      <c r="AX94" s="255"/>
      <c r="AY94" s="89">
        <f>AY82/AY81</f>
        <v>0</v>
      </c>
      <c r="AZ94" s="89">
        <f>AZ82/AZ81</f>
        <v>0</v>
      </c>
      <c r="BA94" s="90">
        <v>0.25</v>
      </c>
      <c r="BB94" s="166"/>
      <c r="BC94" s="166"/>
      <c r="BD94" s="255"/>
      <c r="BE94" s="166"/>
      <c r="BF94" s="166"/>
      <c r="BG94" s="166"/>
      <c r="BH94" s="166"/>
      <c r="BI94" s="166"/>
      <c r="BJ94" s="255"/>
      <c r="BK94" s="166"/>
      <c r="BL94" s="166"/>
      <c r="BM94" s="166"/>
      <c r="BN94" s="166"/>
      <c r="BO94" s="166"/>
      <c r="BP94" s="255"/>
      <c r="BQ94" s="166"/>
      <c r="BR94" s="166"/>
      <c r="BS94" s="166"/>
      <c r="BT94" s="166"/>
      <c r="BU94" s="166"/>
      <c r="BV94" s="255"/>
      <c r="BW94" s="166"/>
      <c r="BX94" s="166"/>
      <c r="BY94" s="166"/>
      <c r="BZ94" s="166"/>
      <c r="CA94" s="166"/>
      <c r="CB94" s="255"/>
      <c r="CC94" s="166"/>
      <c r="CD94" s="166"/>
      <c r="CE94" s="166"/>
      <c r="CF94" s="166"/>
      <c r="CG94" s="166"/>
    </row>
    <row r="95" spans="1:231" ht="11.25" customHeight="1" outlineLevel="1" x14ac:dyDescent="0.2">
      <c r="A95" s="24"/>
      <c r="B95" s="37"/>
      <c r="C95" s="166"/>
      <c r="D95" s="166"/>
      <c r="E95" s="166"/>
      <c r="F95" s="166"/>
      <c r="G95" s="166"/>
      <c r="H95" s="255"/>
      <c r="I95" s="166"/>
      <c r="J95" s="166"/>
      <c r="K95" s="166"/>
      <c r="L95" s="166"/>
      <c r="M95" s="166"/>
      <c r="N95" s="255"/>
      <c r="O95" s="166"/>
      <c r="P95" s="166"/>
      <c r="Q95" s="166"/>
      <c r="R95" s="166"/>
      <c r="S95" s="166"/>
      <c r="T95" s="255"/>
      <c r="U95" s="166"/>
      <c r="V95" s="166"/>
      <c r="W95" s="166"/>
      <c r="X95" s="166"/>
      <c r="Y95" s="166"/>
      <c r="Z95" s="255"/>
      <c r="AA95" s="166"/>
      <c r="AB95" s="166"/>
      <c r="AC95" s="166"/>
      <c r="AD95" s="166"/>
      <c r="AE95" s="166"/>
      <c r="AF95" s="255"/>
      <c r="AG95" s="166"/>
      <c r="AH95" s="166"/>
      <c r="AI95" s="166"/>
      <c r="AJ95" s="166"/>
      <c r="AK95" s="166"/>
      <c r="AL95" s="255"/>
      <c r="AM95" s="166"/>
      <c r="AN95" s="166"/>
      <c r="AO95" s="166"/>
      <c r="AP95" s="166"/>
      <c r="AQ95" s="166"/>
      <c r="AR95" s="255"/>
      <c r="AS95" s="166"/>
      <c r="AT95" s="166"/>
      <c r="AU95" s="166"/>
      <c r="AV95" s="166"/>
      <c r="AW95" s="166"/>
      <c r="AX95" s="255"/>
      <c r="AY95" s="166"/>
      <c r="AZ95" s="166"/>
      <c r="BA95" s="166"/>
      <c r="BB95" s="166"/>
      <c r="BC95" s="166"/>
      <c r="BD95" s="255"/>
      <c r="BE95" s="166"/>
      <c r="BF95" s="166"/>
      <c r="BG95" s="166"/>
      <c r="BH95" s="166"/>
      <c r="BI95" s="166"/>
      <c r="BJ95" s="255"/>
      <c r="BK95" s="166"/>
      <c r="BL95" s="166"/>
      <c r="BM95" s="166"/>
      <c r="BN95" s="166"/>
      <c r="BO95" s="166"/>
      <c r="BP95" s="255"/>
      <c r="BQ95" s="166"/>
      <c r="BR95" s="166"/>
      <c r="BS95" s="166"/>
      <c r="BT95" s="166"/>
      <c r="BU95" s="166"/>
      <c r="BV95" s="255"/>
      <c r="BW95" s="166"/>
      <c r="BX95" s="166"/>
      <c r="BY95" s="166"/>
      <c r="BZ95" s="166"/>
      <c r="CA95" s="166"/>
      <c r="CB95" s="255"/>
      <c r="CC95" s="166"/>
      <c r="CD95" s="166"/>
      <c r="CE95" s="166"/>
      <c r="CF95" s="166"/>
      <c r="CG95" s="166"/>
    </row>
    <row r="96" spans="1:231" ht="11.25" customHeight="1" outlineLevel="1" x14ac:dyDescent="0.2">
      <c r="A96" s="24"/>
      <c r="B96" s="58" t="s">
        <v>173</v>
      </c>
      <c r="C96" s="983">
        <v>0.55200000000000005</v>
      </c>
      <c r="D96" s="983">
        <v>0.21599999999999997</v>
      </c>
      <c r="E96" s="983">
        <v>8.5999999999999854E-2</v>
      </c>
      <c r="F96" s="983">
        <v>0</v>
      </c>
      <c r="G96" s="262">
        <f>SUM(C96:F96)</f>
        <v>0.85399999999999987</v>
      </c>
      <c r="H96" s="983"/>
      <c r="I96" s="983">
        <v>0</v>
      </c>
      <c r="J96" s="983">
        <v>0</v>
      </c>
      <c r="K96" s="983">
        <v>0</v>
      </c>
      <c r="L96" s="983">
        <v>0</v>
      </c>
      <c r="M96" s="262">
        <f>SUM(I96:L96)</f>
        <v>0</v>
      </c>
      <c r="N96" s="983"/>
      <c r="O96" s="983">
        <v>0</v>
      </c>
      <c r="P96" s="983">
        <v>0</v>
      </c>
      <c r="Q96" s="983">
        <v>0</v>
      </c>
      <c r="R96" s="983">
        <v>0</v>
      </c>
      <c r="S96" s="262">
        <f>SUM(O96:R96)</f>
        <v>0</v>
      </c>
      <c r="T96" s="983"/>
      <c r="U96" s="983">
        <v>0</v>
      </c>
      <c r="V96" s="983">
        <v>0</v>
      </c>
      <c r="W96" s="983">
        <v>0</v>
      </c>
      <c r="X96" s="983">
        <v>-9.4714179288750006E-2</v>
      </c>
      <c r="Y96" s="262">
        <f>SUM(U96:X96)</f>
        <v>-9.4714179288750006E-2</v>
      </c>
      <c r="Z96" s="983"/>
      <c r="AA96" s="983">
        <v>-0.1049196321071128</v>
      </c>
      <c r="AB96" s="983">
        <v>-0.11622472246665422</v>
      </c>
      <c r="AC96" s="983">
        <v>-0.12874793631243622</v>
      </c>
      <c r="AD96" s="983">
        <v>-0.1426205264501012</v>
      </c>
      <c r="AE96" s="262">
        <f>SUM(AA96:AD96)</f>
        <v>-0.49251281733630442</v>
      </c>
      <c r="AF96" s="984"/>
      <c r="AG96" s="983">
        <v>-0.15798788817509962</v>
      </c>
      <c r="AH96" s="983">
        <v>-0.17501108312596658</v>
      </c>
      <c r="AI96" s="983">
        <v>-0.1938685273327895</v>
      </c>
      <c r="AJ96" s="983">
        <v>-0.21475786115289758</v>
      </c>
      <c r="AK96" s="262">
        <f>SUM(AG96:AJ96)</f>
        <v>-0.74162535978675326</v>
      </c>
      <c r="AL96" s="984"/>
      <c r="AM96" s="983">
        <v>-0.23789802069212235</v>
      </c>
      <c r="AN96" s="983">
        <v>-0.26353153242169858</v>
      </c>
      <c r="AO96" s="983">
        <v>-0.29192705504013655</v>
      </c>
      <c r="AP96" s="983">
        <v>-0.32338219522071121</v>
      </c>
      <c r="AQ96" s="262">
        <f>SUM(AM96:AP96)</f>
        <v>-1.1167388033746686</v>
      </c>
      <c r="AR96" s="984"/>
      <c r="AS96" s="983">
        <v>-0.35822662675574291</v>
      </c>
      <c r="AT96" s="983">
        <v>-0.39682554578867429</v>
      </c>
      <c r="AU96" s="983">
        <v>-0.4395834983474039</v>
      </c>
      <c r="AV96" s="983">
        <v>-3.1465990399999999</v>
      </c>
      <c r="AW96" s="262">
        <f>SUM(AS96:AV96)</f>
        <v>-4.341234710891821</v>
      </c>
      <c r="AX96" s="984"/>
      <c r="AY96" s="983">
        <v>-1.5379440800000006</v>
      </c>
      <c r="AZ96" s="983">
        <v>-27.081288780000005</v>
      </c>
      <c r="BA96" s="983">
        <v>-0.12429864856499999</v>
      </c>
      <c r="BB96" s="166"/>
      <c r="BC96" s="166"/>
      <c r="BD96" s="255"/>
      <c r="BE96" s="166"/>
      <c r="BF96" s="166"/>
      <c r="BG96" s="166"/>
      <c r="BH96" s="166"/>
      <c r="BI96" s="166"/>
      <c r="BJ96" s="255"/>
      <c r="BK96" s="166"/>
      <c r="BL96" s="166"/>
      <c r="BM96" s="166"/>
      <c r="BN96" s="166"/>
      <c r="BO96" s="166"/>
      <c r="BP96" s="255"/>
      <c r="BQ96" s="166"/>
      <c r="BR96" s="166"/>
      <c r="BS96" s="166"/>
      <c r="BT96" s="166"/>
      <c r="BU96" s="166"/>
      <c r="BV96" s="255"/>
      <c r="BW96" s="166"/>
      <c r="BX96" s="166"/>
      <c r="BY96" s="166"/>
      <c r="BZ96" s="166"/>
      <c r="CA96" s="166"/>
      <c r="CB96" s="255"/>
      <c r="CC96" s="166"/>
      <c r="CD96" s="166"/>
      <c r="CE96" s="166"/>
      <c r="CF96" s="166"/>
      <c r="CG96" s="166"/>
      <c r="HW96" s="262"/>
    </row>
    <row r="97" spans="1:231" ht="11.25" customHeight="1" outlineLevel="1" x14ac:dyDescent="0.2">
      <c r="A97" s="24"/>
      <c r="B97" s="37"/>
      <c r="C97" s="166"/>
      <c r="D97" s="166"/>
      <c r="E97" s="166"/>
      <c r="F97" s="166"/>
      <c r="G97" s="166"/>
      <c r="H97" s="255"/>
      <c r="I97" s="166"/>
      <c r="J97" s="166"/>
      <c r="K97" s="166"/>
      <c r="L97" s="166"/>
      <c r="M97" s="166"/>
      <c r="N97" s="255"/>
      <c r="O97" s="166"/>
      <c r="P97" s="166"/>
      <c r="Q97" s="166"/>
      <c r="R97" s="166"/>
      <c r="S97" s="166"/>
      <c r="T97" s="255"/>
      <c r="U97" s="166"/>
      <c r="V97" s="166"/>
      <c r="W97" s="166"/>
      <c r="X97" s="166"/>
      <c r="Y97" s="166"/>
      <c r="Z97" s="255"/>
      <c r="AA97" s="166"/>
      <c r="AB97" s="166"/>
      <c r="AC97" s="166"/>
      <c r="AD97" s="166"/>
      <c r="AE97" s="166"/>
      <c r="AF97" s="255"/>
      <c r="AG97" s="166"/>
      <c r="AH97" s="166"/>
      <c r="AI97" s="166"/>
      <c r="AJ97" s="166"/>
      <c r="AK97" s="166"/>
      <c r="AL97" s="255"/>
      <c r="AM97" s="166"/>
      <c r="AN97" s="166"/>
      <c r="AO97" s="166"/>
      <c r="AP97" s="166"/>
      <c r="AQ97" s="166"/>
      <c r="AR97" s="255"/>
      <c r="AS97" s="166"/>
      <c r="AT97" s="166"/>
      <c r="AU97" s="166"/>
      <c r="AV97" s="166"/>
      <c r="AW97" s="166"/>
      <c r="AX97" s="255"/>
      <c r="AY97" s="166"/>
      <c r="AZ97" s="166"/>
      <c r="BA97" s="166"/>
      <c r="BB97" s="166"/>
      <c r="BC97" s="166"/>
      <c r="BD97" s="255"/>
      <c r="BE97" s="166"/>
      <c r="BF97" s="166"/>
      <c r="BG97" s="166"/>
      <c r="BH97" s="166"/>
      <c r="BI97" s="166"/>
      <c r="BJ97" s="255"/>
      <c r="BK97" s="166"/>
      <c r="BL97" s="166"/>
      <c r="BM97" s="166"/>
      <c r="BN97" s="166"/>
      <c r="BO97" s="166"/>
      <c r="BP97" s="255"/>
      <c r="BQ97" s="166"/>
      <c r="BR97" s="166"/>
      <c r="BS97" s="166"/>
      <c r="BT97" s="166"/>
      <c r="BU97" s="166"/>
      <c r="BV97" s="255"/>
      <c r="BW97" s="166"/>
      <c r="BX97" s="166"/>
      <c r="BY97" s="166"/>
      <c r="BZ97" s="166"/>
      <c r="CA97" s="166"/>
      <c r="CB97" s="255"/>
      <c r="CC97" s="166"/>
      <c r="CD97" s="166"/>
      <c r="CE97" s="166"/>
      <c r="CF97" s="166"/>
      <c r="CG97" s="166"/>
    </row>
    <row r="98" spans="1:231" ht="11.25" customHeight="1" outlineLevel="1" x14ac:dyDescent="0.2">
      <c r="A98" s="24"/>
      <c r="B98" s="709" t="s">
        <v>163</v>
      </c>
      <c r="C98" s="166"/>
      <c r="D98" s="166"/>
      <c r="E98" s="166"/>
      <c r="F98" s="166"/>
      <c r="G98" s="166"/>
      <c r="H98" s="255"/>
      <c r="I98" s="166"/>
      <c r="J98" s="166"/>
      <c r="K98" s="166"/>
      <c r="L98" s="166"/>
      <c r="M98" s="166"/>
      <c r="N98" s="255"/>
      <c r="O98" s="166"/>
      <c r="P98" s="166"/>
      <c r="Q98" s="166"/>
      <c r="R98" s="166"/>
      <c r="S98" s="166"/>
      <c r="T98" s="255"/>
      <c r="U98" s="166"/>
      <c r="V98" s="166"/>
      <c r="W98" s="166"/>
      <c r="X98" s="166"/>
      <c r="Y98" s="166"/>
      <c r="Z98" s="255"/>
      <c r="AA98" s="166"/>
      <c r="AB98" s="166"/>
      <c r="AC98" s="166"/>
      <c r="AD98" s="166"/>
      <c r="AE98" s="166"/>
      <c r="AF98" s="255"/>
      <c r="AG98" s="166"/>
      <c r="AH98" s="166"/>
      <c r="AI98" s="166"/>
      <c r="AJ98" s="166"/>
      <c r="AK98" s="166"/>
      <c r="AL98" s="255"/>
      <c r="AM98" s="166"/>
      <c r="AN98" s="166"/>
      <c r="AO98" s="166"/>
      <c r="AP98" s="166"/>
      <c r="AQ98" s="166"/>
      <c r="AR98" s="255"/>
      <c r="AS98" s="166"/>
      <c r="AT98" s="166"/>
      <c r="AU98" s="166"/>
      <c r="AV98" s="166"/>
      <c r="AW98" s="166"/>
      <c r="AX98" s="255"/>
      <c r="AY98" s="166"/>
      <c r="AZ98" s="166"/>
      <c r="BA98" s="166"/>
      <c r="BB98" s="166"/>
      <c r="BC98" s="166"/>
      <c r="BD98" s="255"/>
      <c r="BE98" s="166"/>
      <c r="BF98" s="166"/>
      <c r="BG98" s="166"/>
      <c r="BH98" s="166"/>
      <c r="BI98" s="166"/>
      <c r="BJ98" s="255"/>
      <c r="BK98" s="166"/>
      <c r="BL98" s="166"/>
      <c r="BM98" s="166"/>
      <c r="BN98" s="166"/>
      <c r="BO98" s="166"/>
      <c r="BP98" s="255"/>
      <c r="BQ98" s="166"/>
      <c r="BR98" s="166"/>
      <c r="BS98" s="166"/>
      <c r="BT98" s="166"/>
      <c r="BU98" s="166"/>
      <c r="BV98" s="255"/>
      <c r="BW98" s="166"/>
      <c r="BX98" s="166"/>
      <c r="BY98" s="166"/>
      <c r="BZ98" s="166"/>
      <c r="CA98" s="166"/>
      <c r="CB98" s="255"/>
      <c r="CC98" s="166"/>
      <c r="CD98" s="166"/>
      <c r="CE98" s="166"/>
      <c r="CF98" s="166"/>
      <c r="CG98" s="166"/>
    </row>
    <row r="99" spans="1:231" ht="11.25" customHeight="1" outlineLevel="1" x14ac:dyDescent="0.2">
      <c r="A99" s="24"/>
      <c r="B99" s="58" t="s">
        <v>164</v>
      </c>
      <c r="C99" s="985">
        <v>0</v>
      </c>
      <c r="D99" s="985">
        <v>0</v>
      </c>
      <c r="E99" s="985">
        <v>0</v>
      </c>
      <c r="F99" s="985">
        <v>0</v>
      </c>
      <c r="G99" s="262">
        <f>SUM(C99:F99)</f>
        <v>0</v>
      </c>
      <c r="H99" s="262"/>
      <c r="I99" s="262"/>
      <c r="J99" s="262"/>
      <c r="K99" s="262"/>
      <c r="L99" s="262"/>
      <c r="M99" s="262"/>
      <c r="N99" s="262"/>
      <c r="O99" s="262"/>
      <c r="P99" s="262"/>
      <c r="Q99" s="262"/>
      <c r="R99" s="262"/>
      <c r="S99" s="262"/>
      <c r="T99" s="262"/>
      <c r="U99" s="262"/>
      <c r="V99" s="262"/>
      <c r="W99" s="262"/>
      <c r="X99" s="262"/>
      <c r="Y99" s="262"/>
      <c r="Z99" s="262"/>
      <c r="AA99" s="262"/>
      <c r="AB99" s="262"/>
      <c r="AC99" s="262"/>
      <c r="AD99" s="262"/>
      <c r="AE99" s="262"/>
      <c r="AF99" s="157"/>
      <c r="AG99" s="262"/>
      <c r="AH99" s="262"/>
      <c r="AI99" s="262"/>
      <c r="AJ99" s="262"/>
      <c r="AK99" s="262"/>
      <c r="AL99" s="157"/>
      <c r="AM99" s="262"/>
      <c r="AN99" s="262"/>
      <c r="AO99" s="262"/>
      <c r="AP99" s="262"/>
      <c r="AQ99" s="262"/>
      <c r="AR99" s="157"/>
      <c r="AS99" s="262"/>
      <c r="AT99" s="262"/>
      <c r="AU99" s="262"/>
      <c r="AV99" s="262"/>
      <c r="AW99" s="262"/>
      <c r="AX99" s="157"/>
      <c r="AY99" s="262"/>
      <c r="AZ99" s="262"/>
      <c r="BA99" s="262"/>
      <c r="BB99" s="166"/>
      <c r="BC99" s="166"/>
      <c r="BD99" s="255"/>
      <c r="BE99" s="166"/>
      <c r="BF99" s="166"/>
      <c r="BG99" s="166"/>
      <c r="BH99" s="166"/>
      <c r="BI99" s="166"/>
      <c r="BJ99" s="255"/>
      <c r="BK99" s="166"/>
      <c r="BL99" s="166"/>
      <c r="BM99" s="166"/>
      <c r="BN99" s="166"/>
      <c r="BO99" s="166"/>
      <c r="BP99" s="255"/>
      <c r="BQ99" s="166"/>
      <c r="BR99" s="166"/>
      <c r="BS99" s="166"/>
      <c r="BT99" s="166"/>
      <c r="BU99" s="166"/>
      <c r="BV99" s="255"/>
      <c r="BW99" s="166"/>
      <c r="BX99" s="166"/>
      <c r="BY99" s="166"/>
      <c r="BZ99" s="166"/>
      <c r="CA99" s="166"/>
      <c r="CB99" s="255"/>
      <c r="CC99" s="166"/>
      <c r="CD99" s="166"/>
      <c r="CE99" s="166"/>
      <c r="CF99" s="166"/>
      <c r="CG99" s="166"/>
      <c r="HW99" s="262"/>
    </row>
    <row r="100" spans="1:231" ht="11.25" customHeight="1" outlineLevel="1" x14ac:dyDescent="0.2">
      <c r="A100" s="24"/>
      <c r="B100" s="705" t="s">
        <v>165</v>
      </c>
      <c r="C100" s="985">
        <v>0</v>
      </c>
      <c r="D100" s="985">
        <v>0</v>
      </c>
      <c r="E100" s="985">
        <v>0</v>
      </c>
      <c r="F100" s="985">
        <v>0</v>
      </c>
      <c r="G100" s="262">
        <f>SUM(C100:F100)</f>
        <v>0</v>
      </c>
      <c r="H100" s="255"/>
      <c r="I100" s="166"/>
      <c r="J100" s="166"/>
      <c r="K100" s="166"/>
      <c r="L100" s="166"/>
      <c r="M100" s="166"/>
      <c r="N100" s="255"/>
      <c r="O100" s="166"/>
      <c r="P100" s="166"/>
      <c r="Q100" s="166"/>
      <c r="R100" s="166"/>
      <c r="S100" s="166"/>
      <c r="T100" s="255"/>
      <c r="U100" s="166"/>
      <c r="V100" s="166"/>
      <c r="W100" s="166"/>
      <c r="X100" s="166"/>
      <c r="Y100" s="166"/>
      <c r="Z100" s="255"/>
      <c r="AA100" s="166"/>
      <c r="AB100" s="166"/>
      <c r="AC100" s="166"/>
      <c r="AD100" s="166"/>
      <c r="AE100" s="166"/>
      <c r="AF100" s="255"/>
      <c r="AG100" s="166"/>
      <c r="AH100" s="166"/>
      <c r="AI100" s="166"/>
      <c r="AJ100" s="166"/>
      <c r="AK100" s="166"/>
      <c r="AL100" s="255"/>
      <c r="AM100" s="166"/>
      <c r="AN100" s="166"/>
      <c r="AO100" s="166"/>
      <c r="AP100" s="166"/>
      <c r="AQ100" s="166"/>
      <c r="AR100" s="255"/>
      <c r="AS100" s="166"/>
      <c r="AT100" s="166"/>
      <c r="AU100" s="166"/>
      <c r="AV100" s="166"/>
      <c r="AW100" s="166"/>
      <c r="AX100" s="255"/>
      <c r="AY100" s="166"/>
      <c r="AZ100" s="166"/>
      <c r="BA100" s="166"/>
      <c r="BB100" s="166"/>
      <c r="BC100" s="166"/>
      <c r="BD100" s="255"/>
      <c r="BE100" s="166"/>
      <c r="BF100" s="166"/>
      <c r="BG100" s="166"/>
      <c r="BH100" s="166"/>
      <c r="BI100" s="166"/>
      <c r="BJ100" s="255"/>
      <c r="BK100" s="166"/>
      <c r="BL100" s="166"/>
      <c r="BM100" s="166"/>
      <c r="BN100" s="166"/>
      <c r="BO100" s="166"/>
      <c r="BP100" s="255"/>
      <c r="BQ100" s="166"/>
      <c r="BR100" s="166"/>
      <c r="BS100" s="166"/>
      <c r="BT100" s="166"/>
      <c r="BU100" s="166"/>
      <c r="BV100" s="255"/>
      <c r="BW100" s="166"/>
      <c r="BX100" s="166"/>
      <c r="BY100" s="166"/>
      <c r="BZ100" s="166"/>
      <c r="CA100" s="166"/>
      <c r="CB100" s="255"/>
      <c r="CC100" s="166"/>
      <c r="CD100" s="166"/>
      <c r="CE100" s="166"/>
      <c r="CF100" s="166"/>
      <c r="CG100" s="166"/>
    </row>
    <row r="101" spans="1:231" ht="11.25" customHeight="1" outlineLevel="1" x14ac:dyDescent="0.2">
      <c r="A101" s="24"/>
      <c r="B101" s="705" t="s">
        <v>166</v>
      </c>
      <c r="C101" s="986">
        <v>38.33831</v>
      </c>
      <c r="D101" s="986">
        <v>34.976060000000004</v>
      </c>
      <c r="E101" s="986">
        <v>33.979089999999999</v>
      </c>
      <c r="F101" s="986">
        <v>32.236360000000005</v>
      </c>
      <c r="G101" s="986">
        <v>32.236360000000005</v>
      </c>
      <c r="H101" s="255"/>
      <c r="I101" s="166"/>
      <c r="J101" s="166"/>
      <c r="K101" s="166"/>
      <c r="L101" s="166"/>
      <c r="M101" s="166"/>
      <c r="N101" s="255"/>
      <c r="O101" s="166"/>
      <c r="P101" s="166"/>
      <c r="Q101" s="166"/>
      <c r="R101" s="166"/>
      <c r="S101" s="166"/>
      <c r="T101" s="255"/>
      <c r="U101" s="166"/>
      <c r="V101" s="166"/>
      <c r="W101" s="166"/>
      <c r="X101" s="166"/>
      <c r="Y101" s="166"/>
      <c r="Z101" s="255"/>
      <c r="AA101" s="166"/>
      <c r="AB101" s="166"/>
      <c r="AC101" s="166"/>
      <c r="AD101" s="166"/>
      <c r="AE101" s="166"/>
      <c r="AF101" s="255"/>
      <c r="AG101" s="166"/>
      <c r="AH101" s="166"/>
      <c r="AI101" s="166"/>
      <c r="AJ101" s="166"/>
      <c r="AK101" s="166"/>
      <c r="AL101" s="255"/>
      <c r="AM101" s="166"/>
      <c r="AN101" s="166"/>
      <c r="AO101" s="166"/>
      <c r="AP101" s="166"/>
      <c r="AQ101" s="166"/>
      <c r="AR101" s="255"/>
      <c r="AS101" s="166"/>
      <c r="AT101" s="166"/>
      <c r="AU101" s="166"/>
      <c r="AV101" s="166"/>
      <c r="AW101" s="166"/>
      <c r="AX101" s="255"/>
      <c r="AY101" s="166"/>
      <c r="AZ101" s="166"/>
      <c r="BA101" s="166"/>
      <c r="BB101" s="166"/>
      <c r="BC101" s="166"/>
      <c r="BD101" s="255"/>
      <c r="BE101" s="166"/>
      <c r="BF101" s="166"/>
      <c r="BG101" s="166"/>
      <c r="BH101" s="166"/>
      <c r="BI101" s="166"/>
      <c r="BJ101" s="255"/>
      <c r="BK101" s="166"/>
      <c r="BL101" s="166"/>
      <c r="BM101" s="166"/>
      <c r="BN101" s="166"/>
      <c r="BO101" s="166"/>
      <c r="BP101" s="255"/>
      <c r="BQ101" s="166"/>
      <c r="BR101" s="166"/>
      <c r="BS101" s="166"/>
      <c r="BT101" s="166"/>
      <c r="BU101" s="166"/>
      <c r="BV101" s="255"/>
      <c r="BW101" s="166"/>
      <c r="BX101" s="166"/>
      <c r="BY101" s="166"/>
      <c r="BZ101" s="166"/>
      <c r="CA101" s="166"/>
      <c r="CB101" s="255"/>
      <c r="CC101" s="166"/>
      <c r="CD101" s="166"/>
      <c r="CE101" s="166"/>
      <c r="CF101" s="166"/>
      <c r="CG101" s="166"/>
    </row>
    <row r="102" spans="1:231" ht="11.25" customHeight="1" outlineLevel="1" x14ac:dyDescent="0.2">
      <c r="A102" s="24"/>
      <c r="B102" s="710" t="s">
        <v>167</v>
      </c>
      <c r="C102" s="166"/>
      <c r="D102" s="166"/>
      <c r="E102" s="166"/>
      <c r="F102" s="166"/>
      <c r="G102" s="166"/>
      <c r="H102" s="255"/>
      <c r="I102" s="166"/>
      <c r="J102" s="166"/>
      <c r="K102" s="166"/>
      <c r="L102" s="166"/>
      <c r="M102" s="166"/>
      <c r="N102" s="255"/>
      <c r="O102" s="166"/>
      <c r="P102" s="166"/>
      <c r="Q102" s="166"/>
      <c r="R102" s="166"/>
      <c r="S102" s="166"/>
      <c r="T102" s="255"/>
      <c r="U102" s="166"/>
      <c r="V102" s="166"/>
      <c r="W102" s="166"/>
      <c r="X102" s="166"/>
      <c r="Y102" s="166"/>
      <c r="Z102" s="255"/>
      <c r="AA102" s="166"/>
      <c r="AB102" s="166"/>
      <c r="AC102" s="166"/>
      <c r="AD102" s="166"/>
      <c r="AE102" s="166"/>
      <c r="AF102" s="255"/>
      <c r="AG102" s="166"/>
      <c r="AH102" s="166"/>
      <c r="AI102" s="166"/>
      <c r="AJ102" s="166"/>
      <c r="AK102" s="166"/>
      <c r="AL102" s="255"/>
      <c r="AM102" s="166"/>
      <c r="AN102" s="166"/>
      <c r="AO102" s="166"/>
      <c r="AP102" s="166"/>
      <c r="AQ102" s="166"/>
      <c r="AR102" s="255"/>
      <c r="AS102" s="166"/>
      <c r="AT102" s="166"/>
      <c r="AU102" s="166"/>
      <c r="AV102" s="166"/>
      <c r="AW102" s="166"/>
      <c r="AX102" s="255"/>
      <c r="AY102" s="166"/>
      <c r="AZ102" s="166"/>
      <c r="BA102" s="166"/>
      <c r="BB102" s="166"/>
      <c r="BC102" s="166"/>
      <c r="BD102" s="255"/>
      <c r="BE102" s="166"/>
      <c r="BF102" s="166"/>
      <c r="BG102" s="166"/>
      <c r="BH102" s="166"/>
      <c r="BI102" s="166"/>
      <c r="BJ102" s="255"/>
      <c r="BK102" s="166"/>
      <c r="BL102" s="166"/>
      <c r="BM102" s="166"/>
      <c r="BN102" s="166"/>
      <c r="BO102" s="166"/>
      <c r="BP102" s="255"/>
      <c r="BQ102" s="166"/>
      <c r="BR102" s="166"/>
      <c r="BS102" s="166"/>
      <c r="BT102" s="166"/>
      <c r="BU102" s="166"/>
      <c r="BV102" s="255"/>
      <c r="BW102" s="166"/>
      <c r="BX102" s="166"/>
      <c r="BY102" s="166"/>
      <c r="BZ102" s="166"/>
      <c r="CA102" s="166"/>
      <c r="CB102" s="255"/>
      <c r="CC102" s="166"/>
      <c r="CD102" s="166"/>
      <c r="CE102" s="166"/>
      <c r="CF102" s="166"/>
      <c r="CG102" s="166"/>
    </row>
    <row r="103" spans="1:231" ht="11.25" customHeight="1" outlineLevel="1" x14ac:dyDescent="0.2">
      <c r="A103" s="24"/>
      <c r="B103" s="37"/>
      <c r="C103" s="166"/>
      <c r="D103" s="166"/>
      <c r="E103" s="166"/>
      <c r="F103" s="166"/>
      <c r="G103" s="166"/>
      <c r="H103" s="255"/>
      <c r="I103" s="166"/>
      <c r="J103" s="166"/>
      <c r="K103" s="166"/>
      <c r="L103" s="166"/>
      <c r="M103" s="166"/>
      <c r="N103" s="255"/>
      <c r="O103" s="166"/>
      <c r="P103" s="166"/>
      <c r="Q103" s="166"/>
      <c r="R103" s="166"/>
      <c r="S103" s="166"/>
      <c r="T103" s="255"/>
      <c r="U103" s="166"/>
      <c r="V103" s="166"/>
      <c r="W103" s="166"/>
      <c r="X103" s="166"/>
      <c r="Y103" s="166"/>
      <c r="Z103" s="255"/>
      <c r="AA103" s="166"/>
      <c r="AB103" s="166"/>
      <c r="AC103" s="166"/>
      <c r="AD103" s="166"/>
      <c r="AE103" s="166"/>
      <c r="AF103" s="255"/>
      <c r="AG103" s="166"/>
      <c r="AH103" s="166"/>
      <c r="AI103" s="166"/>
      <c r="AJ103" s="166"/>
      <c r="AK103" s="166"/>
      <c r="AL103" s="255"/>
      <c r="AM103" s="166"/>
      <c r="AN103" s="166"/>
      <c r="AO103" s="166"/>
      <c r="AP103" s="166"/>
      <c r="AQ103" s="166"/>
      <c r="AR103" s="255"/>
      <c r="AS103" s="166"/>
      <c r="AT103" s="166"/>
      <c r="AU103" s="166"/>
      <c r="AV103" s="166"/>
      <c r="AW103" s="166"/>
      <c r="AX103" s="255"/>
      <c r="AY103" s="166"/>
      <c r="AZ103" s="166"/>
      <c r="BA103" s="166"/>
      <c r="BB103" s="166"/>
      <c r="BC103" s="166"/>
      <c r="BD103" s="255"/>
      <c r="BE103" s="166"/>
      <c r="BF103" s="166"/>
      <c r="BG103" s="166"/>
      <c r="BH103" s="166"/>
      <c r="BI103" s="166"/>
      <c r="BJ103" s="255"/>
      <c r="BK103" s="166"/>
      <c r="BL103" s="166"/>
      <c r="BM103" s="166"/>
      <c r="BN103" s="166"/>
      <c r="BO103" s="166"/>
      <c r="BP103" s="255"/>
      <c r="BQ103" s="166"/>
      <c r="BR103" s="166"/>
      <c r="BS103" s="166"/>
      <c r="BT103" s="166"/>
      <c r="BU103" s="166"/>
      <c r="BV103" s="255"/>
      <c r="BW103" s="166"/>
      <c r="BX103" s="166"/>
      <c r="BY103" s="166"/>
      <c r="BZ103" s="166"/>
      <c r="CA103" s="166"/>
      <c r="CB103" s="255"/>
      <c r="CC103" s="166"/>
      <c r="CD103" s="166"/>
      <c r="CE103" s="166"/>
      <c r="CF103" s="166"/>
      <c r="CG103" s="166"/>
    </row>
    <row r="104" spans="1:231" ht="11.25" customHeight="1" outlineLevel="1" x14ac:dyDescent="0.2">
      <c r="A104" s="24"/>
      <c r="B104" s="708" t="s">
        <v>381</v>
      </c>
      <c r="C104" s="166"/>
      <c r="D104" s="166"/>
      <c r="E104" s="166"/>
      <c r="F104" s="166"/>
      <c r="G104" s="166"/>
      <c r="H104" s="255"/>
      <c r="I104" s="166"/>
      <c r="J104" s="166"/>
      <c r="K104" s="166"/>
      <c r="L104" s="166"/>
      <c r="M104" s="166"/>
      <c r="N104" s="255"/>
      <c r="O104" s="166"/>
      <c r="P104" s="166"/>
      <c r="Q104" s="166"/>
      <c r="R104" s="166"/>
      <c r="S104" s="166"/>
      <c r="T104" s="255"/>
      <c r="U104" s="166"/>
      <c r="V104" s="166"/>
      <c r="W104" s="166"/>
      <c r="X104" s="166"/>
      <c r="Y104" s="166"/>
      <c r="Z104" s="255"/>
      <c r="AA104" s="166"/>
      <c r="AB104" s="166"/>
      <c r="AC104" s="166"/>
      <c r="AD104" s="166"/>
      <c r="AE104" s="166"/>
      <c r="AF104" s="255"/>
      <c r="AG104" s="166"/>
      <c r="AH104" s="166"/>
      <c r="AI104" s="166"/>
      <c r="AJ104" s="166"/>
      <c r="AK104" s="166"/>
      <c r="AL104" s="255"/>
      <c r="AM104" s="166"/>
      <c r="AN104" s="166"/>
      <c r="AO104" s="166"/>
      <c r="AP104" s="166"/>
      <c r="AQ104" s="166"/>
      <c r="AR104" s="255"/>
      <c r="AS104" s="166"/>
      <c r="AT104" s="166"/>
      <c r="AU104" s="166"/>
      <c r="AV104" s="166"/>
      <c r="AW104" s="166"/>
      <c r="AX104" s="255"/>
      <c r="AY104" s="166"/>
      <c r="AZ104" s="166"/>
      <c r="BA104" s="166"/>
      <c r="BB104" s="166"/>
      <c r="BC104" s="166"/>
      <c r="BD104" s="255"/>
      <c r="BE104" s="166"/>
      <c r="BF104" s="166"/>
      <c r="BG104" s="166"/>
      <c r="BH104" s="166"/>
      <c r="BI104" s="166"/>
      <c r="BJ104" s="255"/>
      <c r="BK104" s="166"/>
      <c r="BL104" s="166"/>
      <c r="BM104" s="166"/>
      <c r="BN104" s="166"/>
      <c r="BO104" s="166"/>
      <c r="BP104" s="255"/>
      <c r="BQ104" s="166"/>
      <c r="BR104" s="166"/>
      <c r="BS104" s="166"/>
      <c r="BT104" s="166"/>
      <c r="BU104" s="166"/>
      <c r="BV104" s="255"/>
      <c r="BW104" s="166"/>
      <c r="BX104" s="166"/>
      <c r="BY104" s="166"/>
      <c r="BZ104" s="166"/>
      <c r="CA104" s="166"/>
      <c r="CB104" s="255"/>
      <c r="CC104" s="166"/>
      <c r="CD104" s="166"/>
      <c r="CE104" s="166"/>
      <c r="CF104" s="166"/>
      <c r="CG104" s="166"/>
    </row>
    <row r="105" spans="1:231" ht="11.25" customHeight="1" outlineLevel="1" x14ac:dyDescent="0.2">
      <c r="A105" s="24"/>
      <c r="B105" s="37"/>
      <c r="C105" s="166"/>
      <c r="D105" s="166"/>
      <c r="E105" s="166"/>
      <c r="F105" s="166"/>
      <c r="G105" s="166"/>
      <c r="H105" s="255"/>
      <c r="I105" s="166"/>
      <c r="J105" s="166"/>
      <c r="K105" s="166"/>
      <c r="L105" s="166"/>
      <c r="M105" s="166"/>
      <c r="N105" s="255"/>
      <c r="O105" s="166"/>
      <c r="P105" s="166"/>
      <c r="Q105" s="166"/>
      <c r="R105" s="166"/>
      <c r="S105" s="166"/>
      <c r="T105" s="255"/>
      <c r="U105" s="166"/>
      <c r="V105" s="166"/>
      <c r="W105" s="166"/>
      <c r="X105" s="166"/>
      <c r="Y105" s="166"/>
      <c r="Z105" s="255"/>
      <c r="AA105" s="166"/>
      <c r="AB105" s="166"/>
      <c r="AC105" s="166"/>
      <c r="AD105" s="166"/>
      <c r="AE105" s="166"/>
      <c r="AF105" s="255"/>
      <c r="AG105" s="166"/>
      <c r="AH105" s="166"/>
      <c r="AI105" s="166"/>
      <c r="AJ105" s="166"/>
      <c r="AK105" s="166"/>
      <c r="AL105" s="255"/>
      <c r="AM105" s="166"/>
      <c r="AN105" s="166"/>
      <c r="AO105" s="166"/>
      <c r="AP105" s="166"/>
      <c r="AQ105" s="166"/>
      <c r="AR105" s="255"/>
      <c r="AS105" s="166"/>
      <c r="AT105" s="166"/>
      <c r="AU105" s="166"/>
      <c r="AV105" s="166"/>
      <c r="AW105" s="166"/>
      <c r="AX105" s="255"/>
      <c r="AY105" s="166"/>
      <c r="AZ105" s="166"/>
      <c r="BA105" s="166"/>
      <c r="BB105" s="166"/>
      <c r="BC105" s="166"/>
      <c r="BD105" s="255"/>
      <c r="BE105" s="166"/>
      <c r="BF105" s="166"/>
      <c r="BG105" s="166"/>
      <c r="BH105" s="166"/>
      <c r="BI105" s="166"/>
      <c r="BJ105" s="255"/>
      <c r="BK105" s="166"/>
      <c r="BL105" s="166"/>
      <c r="BM105" s="166"/>
      <c r="BN105" s="166"/>
      <c r="BO105" s="166"/>
      <c r="BP105" s="255"/>
      <c r="BQ105" s="166"/>
      <c r="BR105" s="166"/>
      <c r="BS105" s="166"/>
      <c r="BT105" s="166"/>
      <c r="BU105" s="166"/>
      <c r="BV105" s="255"/>
      <c r="BW105" s="166"/>
      <c r="BX105" s="166"/>
      <c r="BY105" s="166"/>
      <c r="BZ105" s="166"/>
      <c r="CA105" s="166"/>
      <c r="CB105" s="255"/>
      <c r="CC105" s="166"/>
      <c r="CD105" s="166"/>
      <c r="CE105" s="166"/>
      <c r="CF105" s="166"/>
      <c r="CG105" s="166"/>
    </row>
    <row r="106" spans="1:231" ht="11.25" customHeight="1" outlineLevel="1" x14ac:dyDescent="0.2">
      <c r="A106" s="24"/>
      <c r="B106" s="37" t="s">
        <v>248</v>
      </c>
      <c r="C106" s="189">
        <v>11.563791</v>
      </c>
      <c r="D106" s="184">
        <f>C110</f>
        <v>10.891700000000002</v>
      </c>
      <c r="E106" s="184">
        <f t="shared" ref="E106:X106" si="85">D110</f>
        <v>10.160775000000001</v>
      </c>
      <c r="F106" s="184">
        <f t="shared" si="85"/>
        <v>9.6319550000000014</v>
      </c>
      <c r="G106" s="184">
        <f>C106</f>
        <v>11.563791</v>
      </c>
      <c r="H106" s="184"/>
      <c r="I106" s="184">
        <f>F110</f>
        <v>10.313964</v>
      </c>
      <c r="J106" s="184">
        <f t="shared" si="85"/>
        <v>10.134964000000002</v>
      </c>
      <c r="K106" s="184">
        <f t="shared" si="85"/>
        <v>10.006964000000002</v>
      </c>
      <c r="L106" s="184">
        <f t="shared" si="85"/>
        <v>9.7289640000000031</v>
      </c>
      <c r="M106" s="184">
        <f>I106</f>
        <v>10.313964</v>
      </c>
      <c r="N106" s="184"/>
      <c r="O106" s="184">
        <f>L110</f>
        <v>11.284964000000004</v>
      </c>
      <c r="P106" s="184">
        <f t="shared" si="85"/>
        <v>11.151964000000003</v>
      </c>
      <c r="Q106" s="184">
        <f t="shared" si="85"/>
        <v>10.912964000000004</v>
      </c>
      <c r="R106" s="184">
        <f t="shared" si="85"/>
        <v>10.682964000000004</v>
      </c>
      <c r="S106" s="184">
        <f>O106</f>
        <v>11.284964000000004</v>
      </c>
      <c r="T106" s="184"/>
      <c r="U106" s="184">
        <f>R110</f>
        <v>12.037964000000004</v>
      </c>
      <c r="V106" s="184">
        <f t="shared" si="85"/>
        <v>11.637964000000004</v>
      </c>
      <c r="W106" s="184">
        <f t="shared" si="85"/>
        <v>10.958964000000003</v>
      </c>
      <c r="X106" s="184">
        <f t="shared" si="85"/>
        <v>10.837964000000003</v>
      </c>
      <c r="Y106" s="184">
        <f>U106</f>
        <v>12.037964000000004</v>
      </c>
      <c r="Z106" s="184"/>
      <c r="AA106" s="184">
        <f>Y110</f>
        <v>10.635964000000005</v>
      </c>
      <c r="AB106" s="184">
        <f>+AA110</f>
        <v>11.011964000000006</v>
      </c>
      <c r="AC106" s="184">
        <f>+AB110</f>
        <v>10.518964000000006</v>
      </c>
      <c r="AD106" s="184">
        <f>+AC110</f>
        <v>10.408964000000006</v>
      </c>
      <c r="AE106" s="184">
        <f>+AA106</f>
        <v>10.635964000000005</v>
      </c>
      <c r="AF106" s="255"/>
      <c r="AG106" s="184">
        <f>AE110</f>
        <v>10.147964000000007</v>
      </c>
      <c r="AH106" s="184">
        <f>+AG110</f>
        <v>10.523964000000008</v>
      </c>
      <c r="AI106" s="184">
        <f>+AH110</f>
        <v>10.529964000000007</v>
      </c>
      <c r="AJ106" s="184">
        <f>+AI110</f>
        <v>9.9209640000000086</v>
      </c>
      <c r="AK106" s="184">
        <f>+AG106</f>
        <v>10.147964000000007</v>
      </c>
      <c r="AL106" s="255"/>
      <c r="AM106" s="184">
        <f>AK110</f>
        <v>9.9059640000000062</v>
      </c>
      <c r="AN106" s="184">
        <f>+AM110</f>
        <v>10.281964000000007</v>
      </c>
      <c r="AO106" s="184">
        <f>+AN110</f>
        <v>9.5779640000000086</v>
      </c>
      <c r="AP106" s="184">
        <f>+AO110</f>
        <v>8.953964000000008</v>
      </c>
      <c r="AQ106" s="184">
        <f>+AM106</f>
        <v>9.9059640000000062</v>
      </c>
      <c r="AR106" s="255"/>
      <c r="AS106" s="184">
        <f>AQ110</f>
        <v>8.2949640000000056</v>
      </c>
      <c r="AT106" s="184">
        <f>+AS110</f>
        <v>9.0099640000000072</v>
      </c>
      <c r="AU106" s="184">
        <f>+AT110</f>
        <v>8.7959640000000068</v>
      </c>
      <c r="AV106" s="184">
        <f>+AU110</f>
        <v>8.6099640000000068</v>
      </c>
      <c r="AW106" s="184">
        <f>+AS106</f>
        <v>8.2949640000000056</v>
      </c>
      <c r="AX106" s="255"/>
      <c r="AY106" s="184">
        <f>+AW110</f>
        <v>7.6229640000000058</v>
      </c>
      <c r="AZ106" s="184">
        <f>+AY110</f>
        <v>8.3201880300000042</v>
      </c>
      <c r="BA106" s="184">
        <f>+AZ110</f>
        <v>8.0701805088000054</v>
      </c>
      <c r="BB106" s="184">
        <f>+BA110</f>
        <v>7.7545732884480048</v>
      </c>
      <c r="BC106" s="184">
        <f>+AY106</f>
        <v>7.6229640000000058</v>
      </c>
      <c r="BD106" s="255"/>
      <c r="BE106" s="166"/>
      <c r="BF106" s="166"/>
      <c r="BG106" s="166"/>
      <c r="BH106" s="166"/>
      <c r="BI106" s="166"/>
      <c r="BJ106" s="255"/>
      <c r="BK106" s="166"/>
      <c r="BL106" s="166"/>
      <c r="BM106" s="166"/>
      <c r="BN106" s="166"/>
      <c r="BO106" s="166"/>
      <c r="BP106" s="255"/>
      <c r="BQ106" s="166"/>
      <c r="BR106" s="166"/>
      <c r="BS106" s="166"/>
      <c r="BT106" s="166"/>
      <c r="BU106" s="166"/>
      <c r="BV106" s="255"/>
      <c r="BW106" s="166"/>
      <c r="BX106" s="166"/>
      <c r="BY106" s="166"/>
      <c r="BZ106" s="166"/>
      <c r="CA106" s="166"/>
      <c r="CB106" s="255"/>
      <c r="CC106" s="166"/>
      <c r="CD106" s="166"/>
      <c r="CE106" s="166"/>
      <c r="CF106" s="166"/>
      <c r="CG106" s="166"/>
    </row>
    <row r="107" spans="1:231" ht="11.25" customHeight="1" outlineLevel="1" x14ac:dyDescent="0.2">
      <c r="A107" s="24"/>
      <c r="B107" s="59" t="s">
        <v>152</v>
      </c>
      <c r="C107" s="189">
        <v>0.1079</v>
      </c>
      <c r="D107" s="189">
        <f>0.1456-C107</f>
        <v>3.7700000000000011E-2</v>
      </c>
      <c r="E107" s="189">
        <f>0.159164-SUM(C107:D107)</f>
        <v>1.3563999999999993E-2</v>
      </c>
      <c r="F107" s="189">
        <f>1.357524-SUM(C107:E107)</f>
        <v>1.1983599999999999</v>
      </c>
      <c r="G107" s="184">
        <f>SUM(C107:F107)</f>
        <v>1.357524</v>
      </c>
      <c r="H107" s="50"/>
      <c r="I107" s="189">
        <v>3.4000000000000002E-2</v>
      </c>
      <c r="J107" s="189">
        <f>0.092-I107</f>
        <v>5.7999999999999996E-2</v>
      </c>
      <c r="K107" s="189">
        <f>0.123-SUM(I107:J107)</f>
        <v>3.1E-2</v>
      </c>
      <c r="L107" s="189">
        <f>1.786-SUM(I107:K107)</f>
        <v>1.663</v>
      </c>
      <c r="M107" s="184">
        <f>SUM(I107:L107)</f>
        <v>1.786</v>
      </c>
      <c r="N107" s="50"/>
      <c r="O107" s="189">
        <v>3.5000000000000003E-2</v>
      </c>
      <c r="P107" s="189">
        <f>0.152-O107</f>
        <v>0.11699999999999999</v>
      </c>
      <c r="Q107" s="189">
        <f>0.169-SUM(O107:P107)</f>
        <v>1.7000000000000015E-2</v>
      </c>
      <c r="R107" s="189">
        <f>1.805-SUM(O107:Q107)</f>
        <v>1.6359999999999999</v>
      </c>
      <c r="S107" s="184">
        <f>SUM(O107:R107)</f>
        <v>1.8049999999999999</v>
      </c>
      <c r="T107" s="50"/>
      <c r="U107" s="189">
        <v>1.7999999999999999E-2</v>
      </c>
      <c r="V107" s="189">
        <f>0.12-U107</f>
        <v>0.10199999999999999</v>
      </c>
      <c r="W107" s="189">
        <f>0.145-SUM(U107:V107)</f>
        <v>2.4999999999999994E-2</v>
      </c>
      <c r="X107" s="189">
        <f>0.15-SUM(U107:W107)</f>
        <v>5.0000000000000044E-3</v>
      </c>
      <c r="Y107" s="184">
        <f>SUM(U107:X107)</f>
        <v>0.15</v>
      </c>
      <c r="Z107" s="255"/>
      <c r="AA107" s="189">
        <v>1.371</v>
      </c>
      <c r="AB107" s="189">
        <f>1.474-AA107</f>
        <v>0.10299999999999998</v>
      </c>
      <c r="AC107" s="189">
        <f>1.492-AB107-AA107</f>
        <v>1.8000000000000016E-2</v>
      </c>
      <c r="AD107" s="189">
        <f>1.496-AC107-AB107-AA107</f>
        <v>4.0000000000000036E-3</v>
      </c>
      <c r="AE107" s="184">
        <f>+SUM(AA107:AD107)</f>
        <v>1.496</v>
      </c>
      <c r="AF107" s="255"/>
      <c r="AG107" s="189">
        <v>1.371</v>
      </c>
      <c r="AH107" s="189">
        <f>1.307-AG107</f>
        <v>-6.4000000000000057E-2</v>
      </c>
      <c r="AI107" s="189">
        <f>1.492-AH107-AG107</f>
        <v>0.18500000000000005</v>
      </c>
      <c r="AJ107" s="189">
        <f>1.346-AI107-AH107-AG107</f>
        <v>-0.14599999999999991</v>
      </c>
      <c r="AK107" s="184">
        <f>+SUM(AG107:AJ107)</f>
        <v>1.3460000000000001</v>
      </c>
      <c r="AL107" s="255"/>
      <c r="AM107" s="189">
        <v>1.371</v>
      </c>
      <c r="AN107" s="189">
        <f>0.911-AM107</f>
        <v>-0.45999999999999996</v>
      </c>
      <c r="AO107" s="189">
        <f>0.922-AN107-AM107</f>
        <v>1.1000000000000121E-2</v>
      </c>
      <c r="AP107" s="189">
        <f>0.923-AO107-AN107-AM107</f>
        <v>9.9999999999988987E-4</v>
      </c>
      <c r="AQ107" s="184">
        <f>+SUM(AM107:AP107)</f>
        <v>0.92300000000000004</v>
      </c>
      <c r="AR107" s="255"/>
      <c r="AS107" s="189">
        <v>0.85099999999999998</v>
      </c>
      <c r="AT107" s="189">
        <f>0.92-AS107</f>
        <v>6.9000000000000061E-2</v>
      </c>
      <c r="AU107" s="189">
        <f>0.926-AT107-AS107</f>
        <v>6.0000000000000053E-3</v>
      </c>
      <c r="AV107" s="189">
        <f>0.929-AU107-AT107-AS107</f>
        <v>3.0000000000000027E-3</v>
      </c>
      <c r="AW107" s="184">
        <f>+SUM(AS107:AV107)</f>
        <v>0.92900000000000005</v>
      </c>
      <c r="AX107" s="255"/>
      <c r="AY107" s="184">
        <f>+AS107*(1+AY116)</f>
        <v>1.0211999999999999</v>
      </c>
      <c r="AZ107" s="184">
        <f>+AT107*(1+AZ116)</f>
        <v>8.2800000000000068E-2</v>
      </c>
      <c r="BA107" s="184">
        <f>+AU107*(1+BA116)</f>
        <v>7.2000000000000059E-3</v>
      </c>
      <c r="BB107" s="184">
        <f>+AV107*(1+BB116)</f>
        <v>3.6000000000000029E-3</v>
      </c>
      <c r="BC107" s="184">
        <f>+SUM(AY107:BB107)</f>
        <v>1.1148</v>
      </c>
      <c r="BD107" s="255"/>
      <c r="BE107" s="166"/>
      <c r="BF107" s="166"/>
      <c r="BG107" s="166"/>
      <c r="BH107" s="166"/>
      <c r="BI107" s="166"/>
      <c r="BJ107" s="255"/>
      <c r="BK107" s="166"/>
      <c r="BL107" s="166"/>
      <c r="BM107" s="166"/>
      <c r="BN107" s="166"/>
      <c r="BO107" s="166"/>
      <c r="BP107" s="255"/>
      <c r="BQ107" s="166"/>
      <c r="BR107" s="166"/>
      <c r="BS107" s="166"/>
      <c r="BT107" s="166"/>
      <c r="BU107" s="166"/>
      <c r="BV107" s="255"/>
      <c r="BW107" s="166"/>
      <c r="BX107" s="166"/>
      <c r="BY107" s="166"/>
      <c r="BZ107" s="166"/>
      <c r="CA107" s="166"/>
      <c r="CB107" s="255"/>
      <c r="CC107" s="166"/>
      <c r="CD107" s="166"/>
      <c r="CE107" s="166"/>
      <c r="CF107" s="166"/>
      <c r="CG107" s="166"/>
    </row>
    <row r="108" spans="1:231" ht="11.25" customHeight="1" outlineLevel="1" x14ac:dyDescent="0.2">
      <c r="A108" s="24"/>
      <c r="B108" s="59" t="s">
        <v>249</v>
      </c>
      <c r="C108" s="189">
        <v>-0.67802300000000004</v>
      </c>
      <c r="D108" s="189">
        <f>-1.400447-C108</f>
        <v>-0.72242399999999996</v>
      </c>
      <c r="E108" s="189">
        <f>-1.962831-SUM(C108:D108)</f>
        <v>-0.562384</v>
      </c>
      <c r="F108" s="189">
        <f>-2.342965-SUM(C108:E108)</f>
        <v>-0.38013399999999997</v>
      </c>
      <c r="G108" s="184">
        <f>SUM(C108:F108)</f>
        <v>-2.342965</v>
      </c>
      <c r="H108" s="238"/>
      <c r="I108" s="189">
        <v>-0.17</v>
      </c>
      <c r="J108" s="189">
        <f>-0.298-I108</f>
        <v>-0.12799999999999997</v>
      </c>
      <c r="K108" s="189">
        <f>-0.597-SUM(I108:J108)</f>
        <v>-0.29899999999999999</v>
      </c>
      <c r="L108" s="189">
        <f>-0.662-SUM(I108:K108)</f>
        <v>-6.5000000000000058E-2</v>
      </c>
      <c r="M108" s="184">
        <f>SUM(I108:L108)</f>
        <v>-0.66200000000000003</v>
      </c>
      <c r="N108" s="238"/>
      <c r="O108" s="189">
        <v>-0.11799999999999999</v>
      </c>
      <c r="P108" s="189">
        <f>-0.399-O108</f>
        <v>-0.28100000000000003</v>
      </c>
      <c r="Q108" s="189">
        <f>-0.599-SUM(O108:P108)</f>
        <v>-0.19999999999999996</v>
      </c>
      <c r="R108" s="189">
        <f>-0.824-SUM(O108:Q108)</f>
        <v>-0.22499999999999998</v>
      </c>
      <c r="S108" s="184">
        <f>SUM(O108:R108)</f>
        <v>-0.82399999999999995</v>
      </c>
      <c r="T108" s="238"/>
      <c r="U108" s="189">
        <v>-0.39300000000000002</v>
      </c>
      <c r="V108" s="189">
        <f>-1.135-U108</f>
        <v>-0.74199999999999999</v>
      </c>
      <c r="W108" s="189">
        <f>-1.183-SUM(U108:V108)</f>
        <v>-4.8000000000000043E-2</v>
      </c>
      <c r="X108" s="189">
        <f>-1.344-SUM(U108:W108)</f>
        <v>-0.16100000000000003</v>
      </c>
      <c r="Y108" s="184">
        <f>SUM(U108:X108)</f>
        <v>-1.3440000000000001</v>
      </c>
      <c r="Z108" s="255"/>
      <c r="AA108" s="189">
        <v>-0.94699999999999995</v>
      </c>
      <c r="AB108" s="189">
        <f>-1.502-AA108</f>
        <v>-0.55500000000000005</v>
      </c>
      <c r="AC108" s="189">
        <f>-1.61-AB108-AA108</f>
        <v>-0.10800000000000021</v>
      </c>
      <c r="AD108" s="189">
        <f>-1.864-AC108-AB108-AA108</f>
        <v>-0.25399999999999967</v>
      </c>
      <c r="AE108" s="184">
        <f>+SUM(AA108:AD108)</f>
        <v>-1.8639999999999999</v>
      </c>
      <c r="AF108" s="255"/>
      <c r="AG108" s="189">
        <v>-0.94699999999999995</v>
      </c>
      <c r="AH108" s="189">
        <f>-0.862-AG108</f>
        <v>8.4999999999999964E-2</v>
      </c>
      <c r="AI108" s="189">
        <f>-1.61-AH108-AG108</f>
        <v>-0.74800000000000011</v>
      </c>
      <c r="AJ108" s="189">
        <f>-1.409-AI108-AH108-AG108</f>
        <v>0.20100000000000007</v>
      </c>
      <c r="AK108" s="184">
        <f>+SUM(AG108:AJ108)</f>
        <v>-1.409</v>
      </c>
      <c r="AL108" s="255"/>
      <c r="AM108" s="189">
        <v>-0.94699999999999995</v>
      </c>
      <c r="AN108" s="189">
        <f>-1.11-AM108</f>
        <v>-0.16300000000000014</v>
      </c>
      <c r="AO108" s="189">
        <f>-1.707-AN108-AM108</f>
        <v>-0.59700000000000009</v>
      </c>
      <c r="AP108" s="189">
        <f>-2.309-AO108-AN108-AM108</f>
        <v>-0.60199999999999998</v>
      </c>
      <c r="AQ108" s="184">
        <f>+SUM(AM108:AP108)</f>
        <v>-2.3090000000000002</v>
      </c>
      <c r="AR108" s="255"/>
      <c r="AS108" s="189">
        <v>-0.125</v>
      </c>
      <c r="AT108" s="189">
        <f>-0.39-AS108</f>
        <v>-0.26500000000000001</v>
      </c>
      <c r="AU108" s="189">
        <f>-0.581-AT108-AS108</f>
        <v>-0.19099999999999995</v>
      </c>
      <c r="AV108" s="189">
        <f>-1.539-AU108-AT108-AS108</f>
        <v>-0.95799999999999974</v>
      </c>
      <c r="AW108" s="184">
        <f>+SUM(AS108:AV108)</f>
        <v>-1.5389999999999997</v>
      </c>
      <c r="AX108" s="255"/>
      <c r="AY108" s="184">
        <f>-AY106*AY114/4</f>
        <v>-0.28586115000000023</v>
      </c>
      <c r="AZ108" s="184">
        <f>-AZ106*AZ114/4</f>
        <v>-0.29120658105000019</v>
      </c>
      <c r="BA108" s="184">
        <f>-BA106*BA114/4</f>
        <v>-0.28245631780800023</v>
      </c>
      <c r="BB108" s="184">
        <f>-BB106*BB114/4</f>
        <v>-0.27141006509568022</v>
      </c>
      <c r="BC108" s="184">
        <f>+SUM(AY108:BB108)</f>
        <v>-1.130934113953681</v>
      </c>
      <c r="BD108" s="255"/>
      <c r="BE108" s="166"/>
      <c r="BF108" s="166"/>
      <c r="BG108" s="166"/>
      <c r="BH108" s="166"/>
      <c r="BI108" s="166"/>
      <c r="BJ108" s="255"/>
      <c r="BK108" s="166"/>
      <c r="BL108" s="166"/>
      <c r="BM108" s="166"/>
      <c r="BN108" s="166"/>
      <c r="BO108" s="166"/>
      <c r="BP108" s="255"/>
      <c r="BQ108" s="166"/>
      <c r="BR108" s="166"/>
      <c r="BS108" s="166"/>
      <c r="BT108" s="166"/>
      <c r="BU108" s="166"/>
      <c r="BV108" s="255"/>
      <c r="BW108" s="166"/>
      <c r="BX108" s="166"/>
      <c r="BY108" s="166"/>
      <c r="BZ108" s="166"/>
      <c r="CA108" s="166"/>
      <c r="CB108" s="255"/>
      <c r="CC108" s="166"/>
      <c r="CD108" s="166"/>
      <c r="CE108" s="166"/>
      <c r="CF108" s="166"/>
      <c r="CG108" s="166"/>
    </row>
    <row r="109" spans="1:231" ht="11.25" customHeight="1" outlineLevel="1" x14ac:dyDescent="0.2">
      <c r="A109" s="24"/>
      <c r="B109" s="59" t="s">
        <v>153</v>
      </c>
      <c r="C109" s="189">
        <v>-0.101968</v>
      </c>
      <c r="D109" s="189">
        <f>-0.148169-C109</f>
        <v>-4.6200999999999992E-2</v>
      </c>
      <c r="E109" s="189">
        <f>-0.128169-SUM(C109:D109)</f>
        <v>1.999999999999999E-2</v>
      </c>
      <c r="F109" s="189">
        <f>-0.264386-SUM(C109:E109)</f>
        <v>-0.136217</v>
      </c>
      <c r="G109" s="184">
        <f>SUM(C109:F109)</f>
        <v>-0.26438600000000001</v>
      </c>
      <c r="H109" s="238"/>
      <c r="I109" s="189">
        <v>-4.2999999999999997E-2</v>
      </c>
      <c r="J109" s="189">
        <f>-0.101-I109</f>
        <v>-5.800000000000001E-2</v>
      </c>
      <c r="K109" s="189">
        <f>-0.111-SUM(I109:J109)</f>
        <v>-9.999999999999995E-3</v>
      </c>
      <c r="L109" s="189">
        <f>-0.153-SUM(I109:K109)</f>
        <v>-4.1999999999999996E-2</v>
      </c>
      <c r="M109" s="184">
        <f>SUM(I109:L109)</f>
        <v>-0.153</v>
      </c>
      <c r="N109" s="238"/>
      <c r="O109" s="189">
        <v>-0.05</v>
      </c>
      <c r="P109" s="189">
        <f>-0.125-O109</f>
        <v>-7.4999999999999997E-2</v>
      </c>
      <c r="Q109" s="189">
        <f>-0.172-SUM(O109:P109)</f>
        <v>-4.6999999999999986E-2</v>
      </c>
      <c r="R109" s="189">
        <f>-0.228-SUM(O109:Q109)</f>
        <v>-5.6000000000000022E-2</v>
      </c>
      <c r="S109" s="184">
        <f>SUM(O109:R109)</f>
        <v>-0.22800000000000001</v>
      </c>
      <c r="T109" s="238"/>
      <c r="U109" s="189">
        <v>-2.5000000000000001E-2</v>
      </c>
      <c r="V109" s="189">
        <f>-0.064-U109</f>
        <v>-3.9E-2</v>
      </c>
      <c r="W109" s="189">
        <f>-0.162-SUM(U109:V109)</f>
        <v>-9.8000000000000004E-2</v>
      </c>
      <c r="X109" s="189">
        <f>-0.208-SUM(U109:W109)</f>
        <v>-4.5999999999999985E-2</v>
      </c>
      <c r="Y109" s="184">
        <f>SUM(U109:X109)</f>
        <v>-0.20799999999999999</v>
      </c>
      <c r="Z109" s="255"/>
      <c r="AA109" s="189">
        <f>-0.009-0.039</f>
        <v>-4.8000000000000001E-2</v>
      </c>
      <c r="AB109" s="189">
        <f>-0.036-0.053-AA109</f>
        <v>-4.0999999999999995E-2</v>
      </c>
      <c r="AC109" s="189">
        <f>-0.05-0.059-AB109-AA109</f>
        <v>-2.0000000000000004E-2</v>
      </c>
      <c r="AD109" s="189">
        <f>-0.032-0.088-AC109-AB109-AA109</f>
        <v>-1.0999999999999996E-2</v>
      </c>
      <c r="AE109" s="184">
        <f>+SUM(AA109:AD109)</f>
        <v>-0.12</v>
      </c>
      <c r="AF109" s="255"/>
      <c r="AG109" s="189">
        <f>-0.009-0.039</f>
        <v>-4.8000000000000001E-2</v>
      </c>
      <c r="AH109" s="189">
        <f>-0.025-0.038-AG109</f>
        <v>-1.4999999999999999E-2</v>
      </c>
      <c r="AI109" s="189">
        <f>-0.05-0.059-AH109-AG109</f>
        <v>-4.5999999999999999E-2</v>
      </c>
      <c r="AJ109" s="189">
        <f>-0.085-0.094-AI109-AH109-AG109</f>
        <v>-7.0000000000000007E-2</v>
      </c>
      <c r="AK109" s="184">
        <f>+SUM(AG109:AJ109)</f>
        <v>-0.17899999999999999</v>
      </c>
      <c r="AL109" s="255"/>
      <c r="AM109" s="189">
        <f>-0.009-0.039</f>
        <v>-4.8000000000000001E-2</v>
      </c>
      <c r="AN109" s="189">
        <f>-0.013-0.116-AM109</f>
        <v>-8.1000000000000003E-2</v>
      </c>
      <c r="AO109" s="189">
        <f>-0.034-0.133-AN109-AM109</f>
        <v>-3.8000000000000006E-2</v>
      </c>
      <c r="AP109" s="189">
        <f>-0.031-0.194-AO109-AN109-AM109</f>
        <v>-5.7999999999999996E-2</v>
      </c>
      <c r="AQ109" s="184">
        <f>+SUM(AM109:AP109)</f>
        <v>-0.22500000000000001</v>
      </c>
      <c r="AR109" s="255"/>
      <c r="AS109" s="189">
        <f>-0.004-0.007</f>
        <v>-1.0999999999999999E-2</v>
      </c>
      <c r="AT109" s="189">
        <f>-0.005-0.024-AS109</f>
        <v>-1.8000000000000002E-2</v>
      </c>
      <c r="AU109" s="189">
        <f>-0.005-0.025-AT109-AS109</f>
        <v>-1.0000000000000009E-3</v>
      </c>
      <c r="AV109" s="189">
        <f>-0.004-0.058-AU109-AT109-AS109</f>
        <v>-3.2000000000000001E-2</v>
      </c>
      <c r="AW109" s="184">
        <f>+SUM(AS109:AV109)</f>
        <v>-6.2E-2</v>
      </c>
      <c r="AX109" s="255"/>
      <c r="AY109" s="184">
        <f>-AY106*AY115/4</f>
        <v>-3.8114820000000028E-2</v>
      </c>
      <c r="AZ109" s="184">
        <f>-AZ106*AZ115/4</f>
        <v>-4.1600940150000022E-2</v>
      </c>
      <c r="BA109" s="184">
        <f>-BA106*BA115/4</f>
        <v>-4.0350902544000027E-2</v>
      </c>
      <c r="BB109" s="184">
        <f>-BB106*BB115/4</f>
        <v>-3.8772866442240025E-2</v>
      </c>
      <c r="BC109" s="184">
        <f>+SUM(AY109:BB109)</f>
        <v>-0.15883952913624011</v>
      </c>
      <c r="BD109" s="255"/>
      <c r="BE109" s="166"/>
      <c r="BF109" s="166"/>
      <c r="BG109" s="166"/>
      <c r="BH109" s="166"/>
      <c r="BI109" s="166"/>
      <c r="BJ109" s="255"/>
      <c r="BK109" s="166"/>
      <c r="BL109" s="166"/>
      <c r="BM109" s="166"/>
      <c r="BN109" s="166"/>
      <c r="BO109" s="166"/>
      <c r="BP109" s="255"/>
      <c r="BQ109" s="166"/>
      <c r="BR109" s="166"/>
      <c r="BS109" s="166"/>
      <c r="BT109" s="166"/>
      <c r="BU109" s="166"/>
      <c r="BV109" s="255"/>
      <c r="BW109" s="166"/>
      <c r="BX109" s="166"/>
      <c r="BY109" s="166"/>
      <c r="BZ109" s="166"/>
      <c r="CA109" s="166"/>
      <c r="CB109" s="255"/>
      <c r="CC109" s="166"/>
      <c r="CD109" s="166"/>
      <c r="CE109" s="166"/>
      <c r="CF109" s="166"/>
      <c r="CG109" s="166"/>
    </row>
    <row r="110" spans="1:231" ht="11.25" customHeight="1" outlineLevel="1" x14ac:dyDescent="0.2">
      <c r="A110" s="24"/>
      <c r="B110" s="58" t="s">
        <v>250</v>
      </c>
      <c r="C110" s="262">
        <f>SUM(C106:C109)</f>
        <v>10.891700000000002</v>
      </c>
      <c r="D110" s="262">
        <f t="shared" ref="D110:AC110" si="86">SUM(D106:D109)</f>
        <v>10.160775000000001</v>
      </c>
      <c r="E110" s="262">
        <f t="shared" si="86"/>
        <v>9.6319550000000014</v>
      </c>
      <c r="F110" s="262">
        <f t="shared" si="86"/>
        <v>10.313964</v>
      </c>
      <c r="G110" s="262">
        <f t="shared" si="86"/>
        <v>10.313964</v>
      </c>
      <c r="H110" s="262"/>
      <c r="I110" s="262">
        <f t="shared" si="86"/>
        <v>10.134964000000002</v>
      </c>
      <c r="J110" s="262">
        <f t="shared" si="86"/>
        <v>10.006964000000002</v>
      </c>
      <c r="K110" s="262">
        <f t="shared" si="86"/>
        <v>9.7289640000000031</v>
      </c>
      <c r="L110" s="262">
        <f t="shared" si="86"/>
        <v>11.284964000000004</v>
      </c>
      <c r="M110" s="262">
        <f t="shared" si="86"/>
        <v>11.284963999999999</v>
      </c>
      <c r="N110" s="262"/>
      <c r="O110" s="262">
        <f t="shared" si="86"/>
        <v>11.151964000000003</v>
      </c>
      <c r="P110" s="262">
        <f t="shared" si="86"/>
        <v>10.912964000000004</v>
      </c>
      <c r="Q110" s="262">
        <f t="shared" si="86"/>
        <v>10.682964000000004</v>
      </c>
      <c r="R110" s="262">
        <f t="shared" si="86"/>
        <v>12.037964000000004</v>
      </c>
      <c r="S110" s="262">
        <f t="shared" si="86"/>
        <v>12.037964000000004</v>
      </c>
      <c r="T110" s="262"/>
      <c r="U110" s="262">
        <f t="shared" si="86"/>
        <v>11.637964000000004</v>
      </c>
      <c r="V110" s="262">
        <f t="shared" si="86"/>
        <v>10.958964000000003</v>
      </c>
      <c r="W110" s="262">
        <f t="shared" si="86"/>
        <v>10.837964000000003</v>
      </c>
      <c r="X110" s="262">
        <f t="shared" si="86"/>
        <v>10.635964000000005</v>
      </c>
      <c r="Y110" s="262">
        <f t="shared" si="86"/>
        <v>10.635964000000005</v>
      </c>
      <c r="Z110" s="262"/>
      <c r="AA110" s="262">
        <f t="shared" si="86"/>
        <v>11.011964000000006</v>
      </c>
      <c r="AB110" s="262">
        <f t="shared" si="86"/>
        <v>10.518964000000006</v>
      </c>
      <c r="AC110" s="262">
        <f t="shared" si="86"/>
        <v>10.408964000000006</v>
      </c>
      <c r="AD110" s="262">
        <f>SUM(AD106:AD109)</f>
        <v>10.147964000000007</v>
      </c>
      <c r="AE110" s="262">
        <f>+SUM(AE106:AE109)</f>
        <v>10.147964000000007</v>
      </c>
      <c r="AF110" s="157"/>
      <c r="AG110" s="262">
        <f>SUM(AG106:AG109)</f>
        <v>10.523964000000008</v>
      </c>
      <c r="AH110" s="262">
        <f>SUM(AH106:AH109)</f>
        <v>10.529964000000007</v>
      </c>
      <c r="AI110" s="262">
        <f>SUM(AI106:AI109)</f>
        <v>9.9209640000000086</v>
      </c>
      <c r="AJ110" s="262">
        <f>SUM(AJ106:AJ109)</f>
        <v>9.905964000000008</v>
      </c>
      <c r="AK110" s="262">
        <f>+SUM(AK106:AK109)</f>
        <v>9.9059640000000062</v>
      </c>
      <c r="AL110" s="157"/>
      <c r="AM110" s="262">
        <f>SUM(AM106:AM109)</f>
        <v>10.281964000000007</v>
      </c>
      <c r="AN110" s="262">
        <f>SUM(AN106:AN109)</f>
        <v>9.5779640000000086</v>
      </c>
      <c r="AO110" s="262">
        <f>SUM(AO106:AO109)</f>
        <v>8.953964000000008</v>
      </c>
      <c r="AP110" s="262">
        <f>SUM(AP106:AP109)</f>
        <v>8.2949640000000073</v>
      </c>
      <c r="AQ110" s="262">
        <f>+SUM(AQ106:AQ109)</f>
        <v>8.2949640000000056</v>
      </c>
      <c r="AR110" s="157"/>
      <c r="AS110" s="262">
        <f>SUM(AS106:AS109)</f>
        <v>9.0099640000000072</v>
      </c>
      <c r="AT110" s="262">
        <f>+SUM(AT106:AT109)</f>
        <v>8.7959640000000068</v>
      </c>
      <c r="AU110" s="262">
        <f>+SUM(AU106:AU109)</f>
        <v>8.6099640000000068</v>
      </c>
      <c r="AV110" s="262">
        <f>+SUM(AV106:AV109)</f>
        <v>7.6229640000000067</v>
      </c>
      <c r="AW110" s="262">
        <f>+SUM(AW106:AW109)</f>
        <v>7.6229640000000058</v>
      </c>
      <c r="AX110" s="157"/>
      <c r="AY110" s="262">
        <f>+SUM(AY106:AY109)</f>
        <v>8.3201880300000042</v>
      </c>
      <c r="AZ110" s="262">
        <f>+SUM(AZ106:AZ109)</f>
        <v>8.0701805088000054</v>
      </c>
      <c r="BA110" s="262">
        <f>+SUM(BA106:BA109)</f>
        <v>7.7545732884480048</v>
      </c>
      <c r="BB110" s="262">
        <f>+SUM(BB106:BB109)</f>
        <v>7.4479903569100836</v>
      </c>
      <c r="BC110" s="262">
        <f>+SUM(BC106:BC109)</f>
        <v>7.4479903569100845</v>
      </c>
      <c r="BD110" s="255"/>
      <c r="BE110" s="166"/>
      <c r="BF110" s="166"/>
      <c r="BG110" s="166"/>
      <c r="BH110" s="166"/>
      <c r="BI110" s="166"/>
      <c r="BJ110" s="255"/>
      <c r="BK110" s="166"/>
      <c r="BL110" s="166"/>
      <c r="BM110" s="166"/>
      <c r="BN110" s="166"/>
      <c r="BO110" s="166"/>
      <c r="BP110" s="255"/>
      <c r="BQ110" s="166"/>
      <c r="BR110" s="166"/>
      <c r="BS110" s="166"/>
      <c r="BT110" s="166"/>
      <c r="BU110" s="166"/>
      <c r="BV110" s="255"/>
      <c r="BW110" s="166"/>
      <c r="BX110" s="166"/>
      <c r="BY110" s="166"/>
      <c r="BZ110" s="166"/>
      <c r="CA110" s="166"/>
      <c r="CB110" s="255"/>
      <c r="CC110" s="166"/>
      <c r="CD110" s="166"/>
      <c r="CE110" s="166"/>
      <c r="CF110" s="166"/>
      <c r="CG110" s="166"/>
    </row>
    <row r="111" spans="1:231" ht="11.25" customHeight="1" outlineLevel="1" x14ac:dyDescent="0.2">
      <c r="A111" s="24"/>
      <c r="B111" s="37" t="s">
        <v>251</v>
      </c>
      <c r="C111" s="97">
        <v>20.65</v>
      </c>
      <c r="D111" s="97">
        <v>20.95</v>
      </c>
      <c r="E111" s="97">
        <v>20.93</v>
      </c>
      <c r="F111" s="97">
        <v>22.46</v>
      </c>
      <c r="G111" s="97">
        <v>22.46</v>
      </c>
      <c r="H111" s="50"/>
      <c r="I111" s="97">
        <v>22.68</v>
      </c>
      <c r="J111" s="97">
        <v>22.76</v>
      </c>
      <c r="K111" s="97">
        <v>22.91</v>
      </c>
      <c r="L111" s="97">
        <v>24.71</v>
      </c>
      <c r="M111" s="97">
        <v>24.71</v>
      </c>
      <c r="N111" s="50"/>
      <c r="O111" s="97">
        <v>24.95</v>
      </c>
      <c r="P111" s="97">
        <v>25.29</v>
      </c>
      <c r="Q111" s="97">
        <v>25.5</v>
      </c>
      <c r="R111" s="97">
        <v>26.78</v>
      </c>
      <c r="S111" s="97">
        <v>26.78</v>
      </c>
      <c r="T111" s="97"/>
      <c r="U111" s="97">
        <v>27.17</v>
      </c>
      <c r="V111" s="97">
        <v>27.43</v>
      </c>
      <c r="W111" s="97">
        <v>27.47</v>
      </c>
      <c r="X111" s="97">
        <v>28.58</v>
      </c>
      <c r="Y111" s="97">
        <v>28.58</v>
      </c>
      <c r="Z111" s="97"/>
      <c r="AA111" s="97">
        <v>29.18</v>
      </c>
      <c r="AB111" s="97">
        <v>32.5</v>
      </c>
      <c r="AC111" s="97">
        <v>31.5</v>
      </c>
      <c r="AD111" s="97">
        <v>22.68</v>
      </c>
      <c r="AE111" s="98">
        <f>+AVERAGE(AA111:AD111)</f>
        <v>28.965000000000003</v>
      </c>
      <c r="AF111" s="255"/>
      <c r="AG111" s="97">
        <v>29.18</v>
      </c>
      <c r="AH111" s="97">
        <v>23.29</v>
      </c>
      <c r="AI111" s="97">
        <v>31.5</v>
      </c>
      <c r="AJ111" s="97">
        <v>24.26</v>
      </c>
      <c r="AK111" s="98">
        <f>+AVERAGE(AG111:AJ111)</f>
        <v>27.057500000000001</v>
      </c>
      <c r="AL111" s="255"/>
      <c r="AM111" s="97">
        <v>29.18</v>
      </c>
      <c r="AN111" s="97">
        <v>28.11</v>
      </c>
      <c r="AO111" s="97">
        <v>28.32</v>
      </c>
      <c r="AP111" s="97">
        <v>28.98</v>
      </c>
      <c r="AQ111" s="98">
        <f>+AVERAGE(AM111:AP111)</f>
        <v>28.647500000000001</v>
      </c>
      <c r="AR111" s="255"/>
      <c r="AS111" s="97">
        <v>33.1</v>
      </c>
      <c r="AT111" s="97">
        <v>32.630000000000003</v>
      </c>
      <c r="AU111" s="97">
        <v>32.25</v>
      </c>
      <c r="AV111" s="97">
        <v>31.89</v>
      </c>
      <c r="AW111" s="98">
        <f>+AVERAGE(AS111:AV111)</f>
        <v>32.467500000000001</v>
      </c>
      <c r="AX111" s="255"/>
      <c r="AY111" s="98">
        <f>+AS111*(1+AY112)</f>
        <v>35.417000000000002</v>
      </c>
      <c r="AZ111" s="98">
        <f>+AT111*(1+AZ112)</f>
        <v>34.914100000000005</v>
      </c>
      <c r="BA111" s="98">
        <f>+AU111*(1+BA112)</f>
        <v>34.5075</v>
      </c>
      <c r="BB111" s="98">
        <f>+AV111*(1+BB112)</f>
        <v>34.122300000000003</v>
      </c>
      <c r="BC111" s="98">
        <f>+AVERAGE(AY111:BB111)</f>
        <v>34.740225000000002</v>
      </c>
      <c r="BD111" s="255"/>
      <c r="BE111" s="166"/>
      <c r="BF111" s="166"/>
      <c r="BG111" s="166"/>
      <c r="BH111" s="166"/>
      <c r="BI111" s="166"/>
      <c r="BJ111" s="255"/>
      <c r="BK111" s="166"/>
      <c r="BL111" s="166"/>
      <c r="BM111" s="166"/>
      <c r="BN111" s="166"/>
      <c r="BO111" s="166"/>
      <c r="BP111" s="255"/>
      <c r="BQ111" s="166"/>
      <c r="BR111" s="166"/>
      <c r="BS111" s="166"/>
      <c r="BT111" s="166"/>
      <c r="BU111" s="166"/>
      <c r="BV111" s="255"/>
      <c r="BW111" s="166"/>
      <c r="BX111" s="166"/>
      <c r="BY111" s="166"/>
      <c r="BZ111" s="166"/>
      <c r="CA111" s="166"/>
      <c r="CB111" s="255"/>
      <c r="CC111" s="166"/>
      <c r="CD111" s="166"/>
      <c r="CE111" s="166"/>
      <c r="CF111" s="166"/>
      <c r="CG111" s="166"/>
    </row>
    <row r="112" spans="1:231" ht="11.25" customHeight="1" outlineLevel="1" x14ac:dyDescent="0.2">
      <c r="A112" s="24"/>
      <c r="B112" s="41" t="s">
        <v>154</v>
      </c>
      <c r="C112" s="166"/>
      <c r="D112" s="166"/>
      <c r="E112" s="166"/>
      <c r="F112" s="166"/>
      <c r="G112" s="166"/>
      <c r="H112" s="50"/>
      <c r="I112" s="99">
        <f>IF(ISERROR(+I111/C111-1),"NM",+I111/C111-1)</f>
        <v>9.8305084745762716E-2</v>
      </c>
      <c r="J112" s="99">
        <f>IF(ISERROR(+J111/D111-1),"NM",+J111/D111-1)</f>
        <v>8.6396181384248427E-2</v>
      </c>
      <c r="K112" s="99">
        <f>IF(ISERROR(+K111/E111-1),"NM",+K111/E111-1)</f>
        <v>9.4601051122790381E-2</v>
      </c>
      <c r="L112" s="99">
        <f>IF(ISERROR(+L111/F111-1),"NM",+L111/F111-1)</f>
        <v>0.10017809439002678</v>
      </c>
      <c r="M112" s="99">
        <f>IF(ISERROR(+M111/G111-1),"NM",+M111/G111-1)</f>
        <v>0.10017809439002678</v>
      </c>
      <c r="N112" s="50"/>
      <c r="O112" s="99">
        <f>IF(ISERROR(+O111/I111-1),"NM",+O111/I111-1)</f>
        <v>0.10008818342151682</v>
      </c>
      <c r="P112" s="99">
        <f>IF(ISERROR(+P111/J111-1),"NM",+P111/J111-1)</f>
        <v>0.11115992970123001</v>
      </c>
      <c r="Q112" s="99">
        <f>IF(ISERROR(+Q111/K111-1),"NM",+Q111/K111-1)</f>
        <v>0.11305106940200793</v>
      </c>
      <c r="R112" s="99">
        <f>IF(ISERROR(+R111/L111-1),"NM",+R111/L111-1)</f>
        <v>8.3771752326993187E-2</v>
      </c>
      <c r="S112" s="99">
        <f>IF(ISERROR(+S111/M111-1),"NM",+S111/M111-1)</f>
        <v>8.3771752326993187E-2</v>
      </c>
      <c r="T112" s="50"/>
      <c r="U112" s="99">
        <f>+U111/O111-1</f>
        <v>8.8977955911823781E-2</v>
      </c>
      <c r="V112" s="99">
        <f>+V111/P111-1</f>
        <v>8.4618426255437029E-2</v>
      </c>
      <c r="W112" s="99">
        <f>+W111/Q111-1</f>
        <v>7.7254901960784217E-2</v>
      </c>
      <c r="X112" s="99">
        <f>+X111/R111-1</f>
        <v>6.7214339058999206E-2</v>
      </c>
      <c r="Y112" s="99">
        <f>+Y111/S111-1</f>
        <v>6.7214339058999206E-2</v>
      </c>
      <c r="Z112" s="255"/>
      <c r="AA112" s="99">
        <f>+AA111/U111-1</f>
        <v>7.3978652926021349E-2</v>
      </c>
      <c r="AB112" s="99">
        <f>+AB111/V111-1</f>
        <v>0.18483412322274884</v>
      </c>
      <c r="AC112" s="99">
        <f>+AC111/W111-1</f>
        <v>0.14670549690571533</v>
      </c>
      <c r="AD112" s="99">
        <f>+AD111/X111-1</f>
        <v>-0.20643806857942615</v>
      </c>
      <c r="AE112" s="99">
        <f>+AE111/Y111-1</f>
        <v>1.347095871238646E-2</v>
      </c>
      <c r="AF112" s="255"/>
      <c r="AG112" s="99">
        <f>+AG111/AA111-1</f>
        <v>0</v>
      </c>
      <c r="AH112" s="99">
        <f>+AH111/AB111-1</f>
        <v>-0.28338461538461546</v>
      </c>
      <c r="AI112" s="99">
        <f>+AI111/AC111-1</f>
        <v>0</v>
      </c>
      <c r="AJ112" s="99">
        <f>+AJ111/AD111-1</f>
        <v>6.9664902998236355E-2</v>
      </c>
      <c r="AK112" s="99">
        <f>+AK111/AE111-1</f>
        <v>-6.5855342654928428E-2</v>
      </c>
      <c r="AL112" s="255"/>
      <c r="AM112" s="99">
        <f>+AM111/AG111-1</f>
        <v>0</v>
      </c>
      <c r="AN112" s="99">
        <f>+AN111/AH111-1</f>
        <v>0.20695577501073426</v>
      </c>
      <c r="AO112" s="99">
        <f>+AO111/AI111-1</f>
        <v>-0.1009523809523809</v>
      </c>
      <c r="AP112" s="99">
        <f>+AP111/AJ111-1</f>
        <v>0.19455894476504532</v>
      </c>
      <c r="AQ112" s="99">
        <f>+AQ111/AK111-1</f>
        <v>5.8763743878776697E-2</v>
      </c>
      <c r="AR112" s="255"/>
      <c r="AS112" s="99">
        <f>+AS111/AM111-1</f>
        <v>0.13433858807402332</v>
      </c>
      <c r="AT112" s="99">
        <f>+AT111/AN111-1</f>
        <v>0.16079686944148008</v>
      </c>
      <c r="AU112" s="99">
        <f>+AU111/AO111-1</f>
        <v>0.13877118644067798</v>
      </c>
      <c r="AV112" s="99">
        <f>+AV111/AP111-1</f>
        <v>0.10041407867494834</v>
      </c>
      <c r="AW112" s="99">
        <f>+AW111/AQ111-1</f>
        <v>0.13334496901998438</v>
      </c>
      <c r="AX112" s="255"/>
      <c r="AY112" s="264">
        <v>7.0000000000000007E-2</v>
      </c>
      <c r="AZ112" s="264">
        <v>7.0000000000000007E-2</v>
      </c>
      <c r="BA112" s="264">
        <v>7.0000000000000007E-2</v>
      </c>
      <c r="BB112" s="264">
        <v>7.0000000000000007E-2</v>
      </c>
      <c r="BC112" s="99">
        <f>+BC111/AW111-1</f>
        <v>7.0000000000000062E-2</v>
      </c>
      <c r="BD112" s="255"/>
      <c r="BE112" s="166"/>
      <c r="BF112" s="166"/>
      <c r="BG112" s="166"/>
      <c r="BH112" s="166"/>
      <c r="BI112" s="166"/>
      <c r="BJ112" s="255"/>
      <c r="BK112" s="166"/>
      <c r="BL112" s="166"/>
      <c r="BM112" s="166"/>
      <c r="BN112" s="166"/>
      <c r="BO112" s="166"/>
      <c r="BP112" s="255"/>
      <c r="BQ112" s="166"/>
      <c r="BR112" s="166"/>
      <c r="BS112" s="166"/>
      <c r="BT112" s="166"/>
      <c r="BU112" s="166"/>
      <c r="BV112" s="255"/>
      <c r="BW112" s="166"/>
      <c r="BX112" s="166"/>
      <c r="BY112" s="166"/>
      <c r="BZ112" s="166"/>
      <c r="CA112" s="166"/>
      <c r="CB112" s="255"/>
      <c r="CC112" s="166"/>
      <c r="CD112" s="166"/>
      <c r="CE112" s="166"/>
      <c r="CF112" s="166"/>
      <c r="CG112" s="166"/>
    </row>
    <row r="113" spans="1:231" ht="11.25" customHeight="1" outlineLevel="1" x14ac:dyDescent="0.2">
      <c r="A113" s="24"/>
      <c r="B113" s="37"/>
      <c r="C113" s="166"/>
      <c r="D113" s="166"/>
      <c r="E113" s="166"/>
      <c r="F113" s="166"/>
      <c r="G113" s="166"/>
      <c r="H113" s="255"/>
      <c r="I113" s="166"/>
      <c r="J113" s="166"/>
      <c r="K113" s="166"/>
      <c r="L113" s="166"/>
      <c r="M113" s="166"/>
      <c r="N113" s="255"/>
      <c r="O113" s="166"/>
      <c r="P113" s="166"/>
      <c r="Q113" s="166"/>
      <c r="R113" s="166"/>
      <c r="S113" s="166"/>
      <c r="T113" s="255"/>
      <c r="U113" s="166"/>
      <c r="V113" s="166"/>
      <c r="W113" s="166"/>
      <c r="X113" s="166"/>
      <c r="Y113" s="166"/>
      <c r="Z113" s="255"/>
      <c r="AA113" s="166"/>
      <c r="AB113" s="166"/>
      <c r="AC113" s="166"/>
      <c r="AD113" s="166"/>
      <c r="AE113" s="166"/>
      <c r="AF113" s="255"/>
      <c r="AG113" s="166"/>
      <c r="AH113" s="166"/>
      <c r="AI113" s="166"/>
      <c r="AJ113" s="166"/>
      <c r="AK113" s="166"/>
      <c r="AL113" s="255"/>
      <c r="AM113" s="166"/>
      <c r="AN113" s="166"/>
      <c r="AO113" s="166"/>
      <c r="AP113" s="166"/>
      <c r="AQ113" s="166"/>
      <c r="AR113" s="255"/>
      <c r="AS113" s="166"/>
      <c r="AT113" s="166"/>
      <c r="AU113" s="166"/>
      <c r="AV113" s="166"/>
      <c r="AW113" s="166"/>
      <c r="AX113" s="255"/>
      <c r="AY113" s="166"/>
      <c r="AZ113" s="166"/>
      <c r="BA113" s="166"/>
      <c r="BB113" s="166"/>
      <c r="BC113" s="166"/>
      <c r="BD113" s="255"/>
      <c r="BE113" s="166"/>
      <c r="BF113" s="166"/>
      <c r="BG113" s="166"/>
      <c r="BH113" s="166"/>
      <c r="BI113" s="166"/>
      <c r="BJ113" s="255"/>
      <c r="BK113" s="166"/>
      <c r="BL113" s="166"/>
      <c r="BM113" s="166"/>
      <c r="BN113" s="166"/>
      <c r="BO113" s="166"/>
      <c r="BP113" s="255"/>
      <c r="BQ113" s="166"/>
      <c r="BR113" s="166"/>
      <c r="BS113" s="166"/>
      <c r="BT113" s="166"/>
      <c r="BU113" s="166"/>
      <c r="BV113" s="255"/>
      <c r="BW113" s="166"/>
      <c r="BX113" s="166"/>
      <c r="BY113" s="166"/>
      <c r="BZ113" s="166"/>
      <c r="CA113" s="166"/>
      <c r="CB113" s="255"/>
      <c r="CC113" s="166"/>
      <c r="CD113" s="166"/>
      <c r="CE113" s="166"/>
      <c r="CF113" s="166"/>
      <c r="CG113" s="166"/>
    </row>
    <row r="114" spans="1:231" ht="11.25" customHeight="1" outlineLevel="1" x14ac:dyDescent="0.2">
      <c r="A114" s="24"/>
      <c r="B114" s="41" t="s">
        <v>159</v>
      </c>
      <c r="C114" s="99">
        <f>-C108*4/C106</f>
        <v>0.23453312153427885</v>
      </c>
      <c r="D114" s="99">
        <f>-D108*4/D106</f>
        <v>0.26531175114995814</v>
      </c>
      <c r="E114" s="99">
        <f>-E108*4/E106</f>
        <v>0.22139413578196543</v>
      </c>
      <c r="F114" s="99">
        <f>-F108*4/F106</f>
        <v>0.15786369433827294</v>
      </c>
      <c r="G114" s="99">
        <f>-G108/G106</f>
        <v>0.20261218833858205</v>
      </c>
      <c r="H114" s="99"/>
      <c r="I114" s="99">
        <f>-I108*4/I106</f>
        <v>6.5930034271983115E-2</v>
      </c>
      <c r="J114" s="99">
        <f>-J108*4/J106</f>
        <v>5.0518186349749222E-2</v>
      </c>
      <c r="K114" s="99">
        <f>-K108*4/K106</f>
        <v>0.11951676852240098</v>
      </c>
      <c r="L114" s="99">
        <f>-L108*4/L106</f>
        <v>2.6724325426633312E-2</v>
      </c>
      <c r="M114" s="99">
        <f>-M108/M106</f>
        <v>6.4184827482430623E-2</v>
      </c>
      <c r="N114" s="99"/>
      <c r="O114" s="99">
        <f>-O108*4/O106</f>
        <v>4.182556541607043E-2</v>
      </c>
      <c r="P114" s="99">
        <f>-P108*4/P106</f>
        <v>0.10078942148665471</v>
      </c>
      <c r="Q114" s="99">
        <f>-Q108*4/Q106</f>
        <v>7.3307306795843866E-2</v>
      </c>
      <c r="R114" s="99">
        <f>-R108*4/R106</f>
        <v>8.4246282211565965E-2</v>
      </c>
      <c r="S114" s="99">
        <f>-S108/S106</f>
        <v>7.3017512506021259E-2</v>
      </c>
      <c r="T114" s="99"/>
      <c r="U114" s="99">
        <f>-U108*4/U106</f>
        <v>0.13058686668277122</v>
      </c>
      <c r="V114" s="99">
        <f>-V108*4/V106</f>
        <v>0.25502742575935095</v>
      </c>
      <c r="W114" s="99">
        <f>-W108*4/W106</f>
        <v>1.7519904253723264E-2</v>
      </c>
      <c r="X114" s="99">
        <f>-X108*4/X106</f>
        <v>5.9420754673110185E-2</v>
      </c>
      <c r="Y114" s="99">
        <f>-Y108/Y106</f>
        <v>0.11164678678221662</v>
      </c>
      <c r="Z114" s="99"/>
      <c r="AA114" s="99">
        <f>-AA108*4/AA106</f>
        <v>0.35615013364091852</v>
      </c>
      <c r="AB114" s="99">
        <f>-AB108*4/AB106</f>
        <v>0.20159891550680686</v>
      </c>
      <c r="AC114" s="99">
        <f>-AC108*4/AC106</f>
        <v>4.1068683189713413E-2</v>
      </c>
      <c r="AD114" s="99">
        <f>-AD108*4/AD106</f>
        <v>9.7608176952096101E-2</v>
      </c>
      <c r="AE114" s="99">
        <f>+AE108/AE106</f>
        <v>-0.17525444802182472</v>
      </c>
      <c r="AF114" s="276"/>
      <c r="AG114" s="99">
        <f>-AG108*4/AG106</f>
        <v>0.37327684646890719</v>
      </c>
      <c r="AH114" s="99">
        <f>-AH108*4/AH106</f>
        <v>-3.2307218078663096E-2</v>
      </c>
      <c r="AI114" s="99">
        <f>-AI108*4/AI106</f>
        <v>0.28414152223122496</v>
      </c>
      <c r="AJ114" s="99">
        <f>-AJ108*4/AJ106</f>
        <v>-8.1040511788975297E-2</v>
      </c>
      <c r="AK114" s="99">
        <f>+AK108/AK106</f>
        <v>-0.13884558518339235</v>
      </c>
      <c r="AL114" s="276"/>
      <c r="AM114" s="99">
        <f>-AM108*4/AM106</f>
        <v>0.3823958980670632</v>
      </c>
      <c r="AN114" s="99">
        <f>-AN108*4/AN106</f>
        <v>6.3412009612171388E-2</v>
      </c>
      <c r="AO114" s="99">
        <f>-AO108*4/AO106</f>
        <v>0.2493222985594849</v>
      </c>
      <c r="AP114" s="99">
        <f>-AP108*4/AP106</f>
        <v>0.26893116836297282</v>
      </c>
      <c r="AQ114" s="99">
        <f>+AQ108/AQ106</f>
        <v>-0.23309190301923152</v>
      </c>
      <c r="AR114" s="276"/>
      <c r="AS114" s="99">
        <f>-AS108*4/AS106</f>
        <v>6.0277537069479706E-2</v>
      </c>
      <c r="AT114" s="99">
        <f>-AT108*4/AT106</f>
        <v>0.11764752889134732</v>
      </c>
      <c r="AU114" s="99">
        <f>-AU108*4/AU106</f>
        <v>8.6858018063739148E-2</v>
      </c>
      <c r="AV114" s="99">
        <f>-AV108*4/AV106</f>
        <v>0.44506574011226946</v>
      </c>
      <c r="AW114" s="99">
        <f>+AW108/AW106</f>
        <v>-0.18553425909985849</v>
      </c>
      <c r="AX114" s="255"/>
      <c r="AY114" s="264">
        <v>0.15</v>
      </c>
      <c r="AZ114" s="264">
        <v>0.14000000000000001</v>
      </c>
      <c r="BA114" s="264">
        <v>0.14000000000000001</v>
      </c>
      <c r="BB114" s="264">
        <v>0.14000000000000001</v>
      </c>
      <c r="BC114" s="99">
        <f>+BC108/BC106</f>
        <v>-0.14835884230250598</v>
      </c>
      <c r="BD114" s="255"/>
      <c r="BE114" s="166"/>
      <c r="BF114" s="166"/>
      <c r="BG114" s="166"/>
      <c r="BH114" s="166"/>
      <c r="BI114" s="166"/>
      <c r="BJ114" s="255"/>
      <c r="BK114" s="166"/>
      <c r="BL114" s="166"/>
      <c r="BM114" s="166"/>
      <c r="BN114" s="166"/>
      <c r="BO114" s="166"/>
      <c r="BP114" s="255"/>
      <c r="BQ114" s="166"/>
      <c r="BR114" s="166"/>
      <c r="BS114" s="166"/>
      <c r="BT114" s="166"/>
      <c r="BU114" s="166"/>
      <c r="BV114" s="255"/>
      <c r="BW114" s="166"/>
      <c r="BX114" s="166"/>
      <c r="BY114" s="166"/>
      <c r="BZ114" s="166"/>
      <c r="CA114" s="166"/>
      <c r="CB114" s="255"/>
      <c r="CC114" s="166"/>
      <c r="CD114" s="166"/>
      <c r="CE114" s="166"/>
      <c r="CF114" s="166"/>
      <c r="CG114" s="166"/>
    </row>
    <row r="115" spans="1:231" ht="11.25" customHeight="1" outlineLevel="1" x14ac:dyDescent="0.2">
      <c r="A115" s="24"/>
      <c r="B115" s="41" t="s">
        <v>160</v>
      </c>
      <c r="C115" s="99">
        <f>-C109*4/C106</f>
        <v>3.5271478012703618E-2</v>
      </c>
      <c r="D115" s="99">
        <f>-D109*4/D106</f>
        <v>1.6967415554963866E-2</v>
      </c>
      <c r="E115" s="99">
        <f>-E109*4/E106</f>
        <v>-7.8734151676422282E-3</v>
      </c>
      <c r="F115" s="99">
        <f>-F109*4/F106</f>
        <v>5.6568785879917413E-2</v>
      </c>
      <c r="G115" s="99">
        <f>-G109/G106</f>
        <v>2.2863263440164216E-2</v>
      </c>
      <c r="H115" s="99"/>
      <c r="I115" s="99">
        <f>-I109*4/I106</f>
        <v>1.6676420433501607E-2</v>
      </c>
      <c r="J115" s="99">
        <f>-J109*4/J106</f>
        <v>2.2891053189730125E-2</v>
      </c>
      <c r="K115" s="99">
        <f>-K109*4/K106</f>
        <v>3.9972163385418365E-3</v>
      </c>
      <c r="L115" s="99">
        <f>-L109*4/L106</f>
        <v>1.7268025660286124E-2</v>
      </c>
      <c r="M115" s="99">
        <f>-M109/M106</f>
        <v>1.4834257711196199E-2</v>
      </c>
      <c r="N115" s="99"/>
      <c r="O115" s="99">
        <f>-O109*4/O106</f>
        <v>1.7722697210199336E-2</v>
      </c>
      <c r="P115" s="99">
        <f>-P109*4/P106</f>
        <v>2.6901091144124919E-2</v>
      </c>
      <c r="Q115" s="99">
        <f>-Q109*4/Q106</f>
        <v>1.7227217097023309E-2</v>
      </c>
      <c r="R115" s="99">
        <f>-R109*4/R106</f>
        <v>2.0967963572656428E-2</v>
      </c>
      <c r="S115" s="99">
        <f>-S109/S106</f>
        <v>2.0203874819627241E-2</v>
      </c>
      <c r="T115" s="99"/>
      <c r="U115" s="99">
        <f>-U109*4/U106</f>
        <v>8.3070525879625472E-3</v>
      </c>
      <c r="V115" s="99">
        <f>-V109*4/V106</f>
        <v>1.3404406475221951E-2</v>
      </c>
      <c r="W115" s="99">
        <f>-W109*4/W106</f>
        <v>3.5769804518018297E-2</v>
      </c>
      <c r="X115" s="99">
        <f>-X109*4/X106</f>
        <v>1.6977358478031473E-2</v>
      </c>
      <c r="Y115" s="99">
        <f>-Y109/Y106</f>
        <v>1.7278669382962096E-2</v>
      </c>
      <c r="Z115" s="99"/>
      <c r="AA115" s="99">
        <f>-AA109*4/AA106</f>
        <v>1.8051960311260919E-2</v>
      </c>
      <c r="AB115" s="99">
        <f>-AB109*4/AB106</f>
        <v>1.4892892857259603E-2</v>
      </c>
      <c r="AC115" s="99">
        <f>-AC109*4/AC106</f>
        <v>7.6053117017987676E-3</v>
      </c>
      <c r="AD115" s="99">
        <f>-AD109*4/AD106</f>
        <v>4.2271257735159769E-3</v>
      </c>
      <c r="AE115" s="99">
        <f>+AE109/AE106</f>
        <v>-1.1282475194538073E-2</v>
      </c>
      <c r="AF115" s="277"/>
      <c r="AG115" s="99">
        <f>-AG109*4/AG106</f>
        <v>1.8920051352172697E-2</v>
      </c>
      <c r="AH115" s="99">
        <f>-AH109*4/AH106</f>
        <v>5.7012737785876073E-3</v>
      </c>
      <c r="AI115" s="99">
        <f>-AI109*4/AI106</f>
        <v>1.7473943880529873E-2</v>
      </c>
      <c r="AJ115" s="99">
        <f>-AJ109*4/AJ106</f>
        <v>2.8223063807105819E-2</v>
      </c>
      <c r="AK115" s="99">
        <f>+AK109/AK106</f>
        <v>-1.7639006208536003E-2</v>
      </c>
      <c r="AL115" s="277"/>
      <c r="AM115" s="99">
        <f>-AM109*4/AM106</f>
        <v>1.9382263048805737E-2</v>
      </c>
      <c r="AN115" s="99">
        <f>-AN109*4/AN106</f>
        <v>3.1511489439177164E-2</v>
      </c>
      <c r="AO115" s="99">
        <f>-AO109*4/AO106</f>
        <v>1.5869761047337397E-2</v>
      </c>
      <c r="AP115" s="99">
        <f>-AP109*4/AP106</f>
        <v>2.591031190208044E-2</v>
      </c>
      <c r="AQ115" s="99">
        <f>+AQ109/AQ106</f>
        <v>-2.2713589510319224E-2</v>
      </c>
      <c r="AR115" s="277"/>
      <c r="AS115" s="99">
        <f>-AS109*4/AS106</f>
        <v>5.304423262114214E-3</v>
      </c>
      <c r="AT115" s="99">
        <f>-AT109*4/AT106</f>
        <v>7.9911529058273659E-3</v>
      </c>
      <c r="AU115" s="99">
        <f>-AU109*4/AU106</f>
        <v>4.5475402127612168E-4</v>
      </c>
      <c r="AV115" s="99">
        <f>-AV109*4/AV106</f>
        <v>1.4866496538196897E-2</v>
      </c>
      <c r="AW115" s="99">
        <f>+AW109/AW106</f>
        <v>-7.474414596615484E-3</v>
      </c>
      <c r="AX115" s="255"/>
      <c r="AY115" s="264">
        <v>0.02</v>
      </c>
      <c r="AZ115" s="264">
        <v>0.02</v>
      </c>
      <c r="BA115" s="264">
        <v>0.02</v>
      </c>
      <c r="BB115" s="264">
        <v>0.02</v>
      </c>
      <c r="BC115" s="99">
        <f>+BC109/BC106</f>
        <v>-2.0836977471786564E-2</v>
      </c>
      <c r="BD115" s="255"/>
      <c r="BE115" s="166"/>
      <c r="BF115" s="166"/>
      <c r="BG115" s="166"/>
      <c r="BH115" s="166"/>
      <c r="BI115" s="166"/>
      <c r="BJ115" s="255"/>
      <c r="BK115" s="166"/>
      <c r="BL115" s="166"/>
      <c r="BM115" s="166"/>
      <c r="BN115" s="166"/>
      <c r="BO115" s="166"/>
      <c r="BP115" s="255"/>
      <c r="BQ115" s="166"/>
      <c r="BR115" s="166"/>
      <c r="BS115" s="166"/>
      <c r="BT115" s="166"/>
      <c r="BU115" s="166"/>
      <c r="BV115" s="255"/>
      <c r="BW115" s="166"/>
      <c r="BX115" s="166"/>
      <c r="BY115" s="166"/>
      <c r="BZ115" s="166"/>
      <c r="CA115" s="166"/>
      <c r="CB115" s="255"/>
      <c r="CC115" s="166"/>
      <c r="CD115" s="166"/>
      <c r="CE115" s="166"/>
      <c r="CF115" s="166"/>
      <c r="CG115" s="166"/>
    </row>
    <row r="116" spans="1:231" ht="11.25" customHeight="1" outlineLevel="1" x14ac:dyDescent="0.2">
      <c r="A116" s="24"/>
      <c r="B116" s="41" t="s">
        <v>161</v>
      </c>
      <c r="C116" s="89"/>
      <c r="D116" s="89"/>
      <c r="E116" s="89"/>
      <c r="F116" s="89"/>
      <c r="G116" s="89"/>
      <c r="H116" s="89"/>
      <c r="I116" s="89">
        <f>IF(ISERROR(I107/C107-1),"NM",I107/C107-1)</f>
        <v>-0.68489341983317886</v>
      </c>
      <c r="J116" s="89">
        <f>IF(ISERROR(J107/D107-1),"NM",J107/D107-1)</f>
        <v>0.53846153846153788</v>
      </c>
      <c r="K116" s="89">
        <f>IF(ISERROR(K107/E107-1),"NM",K107/E107-1)</f>
        <v>1.2854615157770581</v>
      </c>
      <c r="L116" s="89">
        <f>IF(ISERROR(L107/F107-1),"NM",L107/F107-1)</f>
        <v>0.3877298975266199</v>
      </c>
      <c r="M116" s="89">
        <f>IF(ISERROR(M107/G107-1),"NM",M107/G107-1)</f>
        <v>0.31563051555626287</v>
      </c>
      <c r="N116" s="89"/>
      <c r="O116" s="89">
        <f>IF(ISERROR(O107/I107-1),"NM",O107/I107-1)</f>
        <v>2.941176470588247E-2</v>
      </c>
      <c r="P116" s="89">
        <f>IF(ISERROR(P107/J107-1),"NM",P107/J107-1)</f>
        <v>1.0172413793103448</v>
      </c>
      <c r="Q116" s="89">
        <f>IF(ISERROR(Q107/K107-1),"NM",Q107/K107-1)</f>
        <v>-0.45161290322580594</v>
      </c>
      <c r="R116" s="89">
        <f>IF(ISERROR(R107/L107-1),"NM",R107/L107-1)</f>
        <v>-1.6235718580878022E-2</v>
      </c>
      <c r="S116" s="89">
        <f>IF(ISERROR(S107/M107-1),"NM",S107/M107-1)</f>
        <v>1.0638297872340274E-2</v>
      </c>
      <c r="T116" s="89"/>
      <c r="U116" s="89">
        <f>IF(ISERROR(U107/O107-1),"NM",U107/O107-1)</f>
        <v>-0.48571428571428577</v>
      </c>
      <c r="V116" s="89">
        <f>IF(ISERROR(V107/P107-1),"NM",V107/P107-1)</f>
        <v>-0.12820512820512819</v>
      </c>
      <c r="W116" s="89">
        <f>IF(ISERROR(W107/Q107-1),"NM",W107/Q107-1)</f>
        <v>0.47058823529411598</v>
      </c>
      <c r="X116" s="89">
        <f>IF(ISERROR(X107/R107-1),"NM",X107/R107-1)</f>
        <v>-0.99694376528117357</v>
      </c>
      <c r="Y116" s="89">
        <f>IF(ISERROR(Y107/S107-1),"NM",Y107/S107-1)</f>
        <v>-0.91689750692520777</v>
      </c>
      <c r="Z116" s="89"/>
      <c r="AA116" s="89">
        <f>IF(ISERROR(AA107/U107-1),"NM",AA107/U107-1)</f>
        <v>75.166666666666671</v>
      </c>
      <c r="AB116" s="89">
        <f>IF(ISERROR(AB107/V107-1),"NM",AB107/V107-1)</f>
        <v>9.8039215686274161E-3</v>
      </c>
      <c r="AC116" s="89">
        <f>IF(ISERROR(AC107/W107-1),"NM",AC107/W107-1)</f>
        <v>-0.27999999999999925</v>
      </c>
      <c r="AD116" s="89">
        <f>IF(ISERROR(AD107/X107-1),"NM",AD107/X107-1)</f>
        <v>-0.19999999999999996</v>
      </c>
      <c r="AE116" s="89">
        <f>IF(ISERROR(AE107/Y107-1),"NM",AE107/Y107-1)</f>
        <v>8.9733333333333345</v>
      </c>
      <c r="AF116" s="277"/>
      <c r="AG116" s="89">
        <f>IF(ISERROR(AG107/AA107-1),"NM",AG107/AA107-1)</f>
        <v>0</v>
      </c>
      <c r="AH116" s="89">
        <f>IF(ISERROR(AH107/AB107-1),"NM",AH107/AB107-1)</f>
        <v>-1.6213592233009715</v>
      </c>
      <c r="AI116" s="89">
        <f>IF(ISERROR(AI107/AC107-1),"NM",AI107/AC107-1)</f>
        <v>9.2777777777777715</v>
      </c>
      <c r="AJ116" s="89">
        <f>IF(ISERROR(AJ107/AD107-1),"NM",AJ107/AD107-1)</f>
        <v>-37.499999999999943</v>
      </c>
      <c r="AK116" s="89">
        <f>IF(ISERROR(AK107/AE107-1),"NM",AK107/AE107-1)</f>
        <v>-0.10026737967914434</v>
      </c>
      <c r="AL116" s="277"/>
      <c r="AM116" s="89">
        <f>IF(ISERROR(AM107/AG107-1),"NM",AM107/AG107-1)</f>
        <v>0</v>
      </c>
      <c r="AN116" s="89">
        <f>IF(ISERROR(AN107/AH107-1),"NM",AN107/AH107-1)</f>
        <v>6.1874999999999929</v>
      </c>
      <c r="AO116" s="89">
        <f>IF(ISERROR(AO107/AI107-1),"NM",AO107/AI107-1)</f>
        <v>-0.94054054054053993</v>
      </c>
      <c r="AP116" s="89">
        <f>IF(ISERROR(AP107/AJ107-1),"NM",AP107/AJ107-1)</f>
        <v>-1.0068493150684925</v>
      </c>
      <c r="AQ116" s="89">
        <f>IF(ISERROR(AQ107/AK107-1),"NM",AQ107/AK107-1)</f>
        <v>-0.31426448736998513</v>
      </c>
      <c r="AR116" s="277"/>
      <c r="AS116" s="89">
        <f>IF(ISERROR(AS107/AM107-1),"NM",AS107/AM107-1)</f>
        <v>-0.37928519328956967</v>
      </c>
      <c r="AT116" s="89">
        <f>IF(ISERROR(AT107/AN107-1),"NM",AT107/AN107-1)</f>
        <v>-1.1500000000000001</v>
      </c>
      <c r="AU116" s="89">
        <f>IF(ISERROR(AU107/AO107-1),"NM",AU107/AO107-1)</f>
        <v>-0.45454545454546003</v>
      </c>
      <c r="AV116" s="89">
        <f>IF(ISERROR(AV107/AP107-1),"NM",AV107/AP107-1)</f>
        <v>2.0000000000003331</v>
      </c>
      <c r="AW116" s="89">
        <f>IF(ISERROR(AW107/AQ107-1),"NM",AW107/AQ107-1)</f>
        <v>6.50054171180936E-3</v>
      </c>
      <c r="AX116" s="255"/>
      <c r="AY116" s="90">
        <v>0.2</v>
      </c>
      <c r="AZ116" s="90">
        <v>0.2</v>
      </c>
      <c r="BA116" s="90">
        <v>0.2</v>
      </c>
      <c r="BB116" s="90">
        <v>0.2</v>
      </c>
      <c r="BC116" s="89">
        <f>IF(ISERROR(BC107/AW107-1),"NM",BC107/AW107-1)</f>
        <v>0.19999999999999996</v>
      </c>
      <c r="BD116" s="255"/>
      <c r="BE116" s="166"/>
      <c r="BF116" s="166"/>
      <c r="BG116" s="166"/>
      <c r="BH116" s="166"/>
      <c r="BI116" s="166"/>
      <c r="BJ116" s="255"/>
      <c r="BK116" s="166"/>
      <c r="BL116" s="166"/>
      <c r="BM116" s="166"/>
      <c r="BN116" s="166"/>
      <c r="BO116" s="166"/>
      <c r="BP116" s="255"/>
      <c r="BQ116" s="166"/>
      <c r="BR116" s="166"/>
      <c r="BS116" s="166"/>
      <c r="BT116" s="166"/>
      <c r="BU116" s="166"/>
      <c r="BV116" s="255"/>
      <c r="BW116" s="166"/>
      <c r="BX116" s="166"/>
      <c r="BY116" s="166"/>
      <c r="BZ116" s="166"/>
      <c r="CA116" s="166"/>
      <c r="CB116" s="255"/>
      <c r="CC116" s="166"/>
      <c r="CD116" s="166"/>
      <c r="CE116" s="166"/>
      <c r="CF116" s="166"/>
      <c r="CG116" s="166"/>
    </row>
    <row r="117" spans="1:231" ht="11.25" customHeight="1" outlineLevel="1" x14ac:dyDescent="0.2">
      <c r="A117" s="24"/>
      <c r="B117" s="24"/>
      <c r="C117" s="166"/>
      <c r="D117" s="166"/>
      <c r="E117" s="166"/>
      <c r="F117" s="166"/>
      <c r="G117" s="166"/>
      <c r="H117" s="255"/>
      <c r="I117" s="166"/>
      <c r="J117" s="166"/>
      <c r="K117" s="166"/>
      <c r="L117" s="166"/>
      <c r="M117" s="166"/>
      <c r="N117" s="255"/>
      <c r="O117" s="166"/>
      <c r="P117" s="166"/>
      <c r="Q117" s="166"/>
      <c r="R117" s="166"/>
      <c r="S117" s="166"/>
      <c r="T117" s="255"/>
      <c r="U117" s="166"/>
      <c r="V117" s="166"/>
      <c r="W117" s="166"/>
      <c r="X117" s="166"/>
      <c r="Y117" s="166"/>
      <c r="Z117" s="255"/>
      <c r="AA117" s="166"/>
      <c r="AB117" s="166"/>
      <c r="AC117" s="166"/>
      <c r="AD117" s="166"/>
      <c r="AE117" s="166"/>
      <c r="AF117" s="255"/>
      <c r="AG117" s="166"/>
      <c r="AH117" s="166"/>
      <c r="AI117" s="166"/>
      <c r="AJ117" s="166"/>
      <c r="AK117" s="166"/>
      <c r="AL117" s="255"/>
      <c r="AM117" s="166"/>
      <c r="AN117" s="166"/>
      <c r="AO117" s="166"/>
      <c r="AP117" s="166"/>
      <c r="AQ117" s="166"/>
      <c r="AR117" s="255"/>
      <c r="AS117" s="166"/>
      <c r="AT117" s="166"/>
      <c r="AU117" s="166"/>
      <c r="AV117" s="166"/>
      <c r="AW117" s="166"/>
      <c r="AX117" s="255"/>
      <c r="AY117" s="166"/>
      <c r="AZ117" s="166"/>
      <c r="BA117" s="166"/>
      <c r="BB117" s="166"/>
      <c r="BC117" s="166"/>
      <c r="BD117" s="255"/>
      <c r="BE117" s="166"/>
      <c r="BF117" s="166"/>
      <c r="BG117" s="166"/>
      <c r="BH117" s="166"/>
      <c r="BI117" s="166"/>
      <c r="BJ117" s="255"/>
      <c r="BK117" s="166"/>
      <c r="BL117" s="166"/>
      <c r="BM117" s="166"/>
      <c r="BN117" s="166"/>
      <c r="BO117" s="166"/>
      <c r="BP117" s="255"/>
      <c r="BQ117" s="166"/>
      <c r="BR117" s="166"/>
      <c r="BS117" s="166"/>
      <c r="BT117" s="166"/>
      <c r="BU117" s="166"/>
      <c r="BV117" s="255"/>
      <c r="BW117" s="166"/>
      <c r="BX117" s="166"/>
      <c r="BY117" s="166"/>
      <c r="BZ117" s="166"/>
      <c r="CA117" s="166"/>
      <c r="CB117" s="255"/>
      <c r="CC117" s="166"/>
      <c r="CD117" s="166"/>
      <c r="CE117" s="166"/>
      <c r="CF117" s="166"/>
      <c r="CG117" s="166"/>
    </row>
    <row r="118" spans="1:231" ht="11.25" customHeight="1" outlineLevel="1" x14ac:dyDescent="0.2">
      <c r="A118" s="24"/>
      <c r="B118" s="58" t="s">
        <v>173</v>
      </c>
      <c r="C118" s="983">
        <v>13.262</v>
      </c>
      <c r="D118" s="983">
        <v>13.05</v>
      </c>
      <c r="E118" s="983">
        <v>12.383999999999997</v>
      </c>
      <c r="F118" s="983">
        <v>6.8980000000000032</v>
      </c>
      <c r="G118" s="262">
        <f>SUM(C118:F118)</f>
        <v>45.594000000000001</v>
      </c>
      <c r="H118" s="983"/>
      <c r="I118" s="983">
        <v>3.016</v>
      </c>
      <c r="J118" s="983">
        <v>2.7249999999999996</v>
      </c>
      <c r="K118" s="983">
        <v>6.2490000000000006</v>
      </c>
      <c r="L118" s="983">
        <v>0.73600000000000065</v>
      </c>
      <c r="M118" s="262">
        <f>SUM(I118:L118)</f>
        <v>12.726000000000001</v>
      </c>
      <c r="N118" s="983"/>
      <c r="O118" s="983">
        <v>1.36</v>
      </c>
      <c r="P118" s="983">
        <v>4.4899999999999993</v>
      </c>
      <c r="Q118" s="983">
        <v>3.6010000000000009</v>
      </c>
      <c r="R118" s="983">
        <v>3.9550000000000001</v>
      </c>
      <c r="S118" s="262">
        <f>SUM(O118:R118)</f>
        <v>13.406000000000001</v>
      </c>
      <c r="T118" s="983"/>
      <c r="U118" s="983">
        <v>7.4029999999999996</v>
      </c>
      <c r="V118" s="983">
        <v>18.442</v>
      </c>
      <c r="W118" s="983">
        <v>1.0869999999999997</v>
      </c>
      <c r="X118" s="983">
        <v>3.2570000000000014</v>
      </c>
      <c r="Y118" s="262">
        <f>SUM(U118:X118)</f>
        <v>30.189</v>
      </c>
      <c r="Z118" s="983"/>
      <c r="AA118" s="983">
        <v>22.170999999999999</v>
      </c>
      <c r="AB118" s="983">
        <v>11.822000000000003</v>
      </c>
      <c r="AC118" s="983">
        <v>2.2999999999999998</v>
      </c>
      <c r="AD118" s="983">
        <v>5.9819999999999993</v>
      </c>
      <c r="AE118" s="262">
        <f>SUM(AA118:AD118)</f>
        <v>42.274999999999999</v>
      </c>
      <c r="AF118" s="984"/>
      <c r="AG118" s="983">
        <v>14.483000000000001</v>
      </c>
      <c r="AH118" s="983">
        <v>5.5829999999999984</v>
      </c>
      <c r="AI118" s="983">
        <v>4.7639999999999993</v>
      </c>
      <c r="AJ118" s="983">
        <v>9.3530000000000015</v>
      </c>
      <c r="AK118" s="262">
        <f>SUM(AG118:AJ118)</f>
        <v>34.183</v>
      </c>
      <c r="AL118" s="984"/>
      <c r="AM118" s="983">
        <v>13.577999999999999</v>
      </c>
      <c r="AN118" s="983">
        <v>17.635000000000002</v>
      </c>
      <c r="AO118" s="983">
        <v>17.137</v>
      </c>
      <c r="AP118" s="983">
        <v>18.562999999999992</v>
      </c>
      <c r="AQ118" s="262">
        <f>SUM(AM118:AP118)</f>
        <v>66.912999999999997</v>
      </c>
      <c r="AR118" s="984"/>
      <c r="AS118" s="983">
        <v>4.149</v>
      </c>
      <c r="AT118" s="983">
        <v>8.6469500000000004</v>
      </c>
      <c r="AU118" s="983">
        <v>6.1597499999999981</v>
      </c>
      <c r="AV118" s="983">
        <v>30.550619999999991</v>
      </c>
      <c r="AW118" s="262">
        <f>SUM(AS118:AV118)</f>
        <v>49.506319999999988</v>
      </c>
      <c r="AX118" s="984"/>
      <c r="AY118" s="184">
        <f>-AY108*AY111</f>
        <v>10.124344349550009</v>
      </c>
      <c r="AZ118" s="184">
        <f>-AZ108*AZ111</f>
        <v>10.167215691437812</v>
      </c>
      <c r="BA118" s="184">
        <f>-BA108*BA111</f>
        <v>9.7468613867595675</v>
      </c>
      <c r="BB118" s="184">
        <f>-BB108*BB111</f>
        <v>9.2611356642143292</v>
      </c>
      <c r="BC118" s="262">
        <f>SUM(AY118:BB118)</f>
        <v>39.299557091961717</v>
      </c>
      <c r="BD118" s="255"/>
      <c r="BE118" s="166"/>
      <c r="BF118" s="166"/>
      <c r="BG118" s="166"/>
      <c r="BH118" s="166"/>
      <c r="BI118" s="166"/>
      <c r="BJ118" s="255"/>
      <c r="BK118" s="166"/>
      <c r="BL118" s="166"/>
      <c r="BM118" s="166"/>
      <c r="BN118" s="166"/>
      <c r="BO118" s="166"/>
      <c r="BP118" s="255"/>
      <c r="BQ118" s="166"/>
      <c r="BR118" s="166"/>
      <c r="BS118" s="166"/>
      <c r="BT118" s="166"/>
      <c r="BU118" s="166"/>
      <c r="BV118" s="255"/>
      <c r="BW118" s="166"/>
      <c r="BX118" s="166"/>
      <c r="BY118" s="166"/>
      <c r="BZ118" s="166"/>
      <c r="CA118" s="166"/>
      <c r="CB118" s="255"/>
      <c r="CC118" s="166"/>
      <c r="CD118" s="166"/>
      <c r="CE118" s="166"/>
      <c r="CF118" s="166"/>
      <c r="CG118" s="166"/>
      <c r="HW118" s="262"/>
    </row>
    <row r="119" spans="1:231" ht="11.25" customHeight="1" outlineLevel="1" x14ac:dyDescent="0.2">
      <c r="A119" s="24"/>
      <c r="B119" s="24"/>
      <c r="C119" s="166"/>
      <c r="D119" s="166"/>
      <c r="E119" s="166"/>
      <c r="F119" s="166"/>
      <c r="G119" s="166"/>
      <c r="H119" s="255"/>
      <c r="I119" s="166"/>
      <c r="J119" s="166"/>
      <c r="K119" s="166"/>
      <c r="L119" s="166"/>
      <c r="M119" s="166"/>
      <c r="N119" s="255"/>
      <c r="O119" s="166"/>
      <c r="P119" s="166"/>
      <c r="Q119" s="166"/>
      <c r="R119" s="166"/>
      <c r="S119" s="166"/>
      <c r="T119" s="255"/>
      <c r="U119" s="166"/>
      <c r="V119" s="166"/>
      <c r="W119" s="166"/>
      <c r="X119" s="166"/>
      <c r="Y119" s="166"/>
      <c r="Z119" s="255"/>
      <c r="AA119" s="166"/>
      <c r="AB119" s="166"/>
      <c r="AC119" s="166"/>
      <c r="AD119" s="166"/>
      <c r="AE119" s="166"/>
      <c r="AF119" s="255"/>
      <c r="AG119" s="166"/>
      <c r="AH119" s="166"/>
      <c r="AI119" s="166"/>
      <c r="AJ119" s="166"/>
      <c r="AK119" s="166"/>
      <c r="AL119" s="255"/>
      <c r="AM119" s="166"/>
      <c r="AN119" s="166"/>
      <c r="AO119" s="166"/>
      <c r="AP119" s="166"/>
      <c r="AQ119" s="166"/>
      <c r="AR119" s="255"/>
      <c r="AS119" s="166"/>
      <c r="AT119" s="166"/>
      <c r="AU119" s="166"/>
      <c r="AV119" s="166"/>
      <c r="AW119" s="166"/>
      <c r="AX119" s="255"/>
      <c r="AY119" s="166"/>
      <c r="AZ119" s="166"/>
      <c r="BA119" s="166"/>
      <c r="BB119" s="166"/>
      <c r="BC119" s="166"/>
      <c r="BD119" s="255"/>
      <c r="BE119" s="166"/>
      <c r="BF119" s="166"/>
      <c r="BG119" s="166"/>
      <c r="BH119" s="166"/>
      <c r="BI119" s="166"/>
      <c r="BJ119" s="255"/>
      <c r="BK119" s="166"/>
      <c r="BL119" s="166"/>
      <c r="BM119" s="166"/>
      <c r="BN119" s="166"/>
      <c r="BO119" s="166"/>
      <c r="BP119" s="255"/>
      <c r="BQ119" s="166"/>
      <c r="BR119" s="166"/>
      <c r="BS119" s="166"/>
      <c r="BT119" s="166"/>
      <c r="BU119" s="166"/>
      <c r="BV119" s="255"/>
      <c r="BW119" s="166"/>
      <c r="BX119" s="166"/>
      <c r="BY119" s="166"/>
      <c r="BZ119" s="166"/>
      <c r="CA119" s="166"/>
      <c r="CB119" s="255"/>
      <c r="CC119" s="166"/>
      <c r="CD119" s="166"/>
      <c r="CE119" s="166"/>
      <c r="CF119" s="166"/>
      <c r="CG119" s="166"/>
    </row>
    <row r="120" spans="1:231" ht="11.25" customHeight="1" outlineLevel="1" x14ac:dyDescent="0.2">
      <c r="A120" s="24"/>
      <c r="B120" s="15" t="s">
        <v>163</v>
      </c>
      <c r="C120" s="166"/>
      <c r="D120" s="166"/>
      <c r="E120" s="166"/>
      <c r="F120" s="166"/>
      <c r="G120" s="166"/>
      <c r="H120" s="255"/>
      <c r="I120" s="166"/>
      <c r="J120" s="166"/>
      <c r="K120" s="166"/>
      <c r="L120" s="166"/>
      <c r="M120" s="166"/>
      <c r="N120" s="255"/>
      <c r="O120" s="166"/>
      <c r="P120" s="166"/>
      <c r="Q120" s="166"/>
      <c r="R120" s="166"/>
      <c r="S120" s="166"/>
      <c r="T120" s="255"/>
      <c r="U120" s="166"/>
      <c r="V120" s="166"/>
      <c r="W120" s="166"/>
      <c r="X120" s="166"/>
      <c r="Y120" s="166"/>
      <c r="Z120" s="255"/>
      <c r="AA120" s="166"/>
      <c r="AB120" s="166"/>
      <c r="AC120" s="166"/>
      <c r="AD120" s="166"/>
      <c r="AE120" s="166"/>
      <c r="AF120" s="255"/>
      <c r="AG120" s="166"/>
      <c r="AH120" s="166"/>
      <c r="AI120" s="166"/>
      <c r="AJ120" s="166"/>
      <c r="AK120" s="166"/>
      <c r="AL120" s="255"/>
      <c r="AM120" s="166"/>
      <c r="AN120" s="166"/>
      <c r="AO120" s="166"/>
      <c r="AP120" s="166"/>
      <c r="AQ120" s="166"/>
      <c r="AR120" s="255"/>
      <c r="AS120" s="166"/>
      <c r="AT120" s="166"/>
      <c r="AU120" s="166"/>
      <c r="AV120" s="166"/>
      <c r="AW120" s="166"/>
      <c r="AX120" s="255"/>
      <c r="AY120" s="166"/>
      <c r="AZ120" s="166"/>
      <c r="BA120" s="166"/>
      <c r="BB120" s="166"/>
      <c r="BC120" s="166"/>
      <c r="BD120" s="255"/>
      <c r="BE120" s="166"/>
      <c r="BF120" s="166"/>
      <c r="BG120" s="166"/>
      <c r="BH120" s="166"/>
      <c r="BI120" s="166"/>
      <c r="BJ120" s="255"/>
      <c r="BK120" s="166"/>
      <c r="BL120" s="166"/>
      <c r="BM120" s="166"/>
      <c r="BN120" s="166"/>
      <c r="BO120" s="166"/>
      <c r="BP120" s="255"/>
      <c r="BQ120" s="166"/>
      <c r="BR120" s="166"/>
      <c r="BS120" s="166"/>
      <c r="BT120" s="166"/>
      <c r="BU120" s="166"/>
      <c r="BV120" s="255"/>
      <c r="BW120" s="166"/>
      <c r="BX120" s="166"/>
      <c r="BY120" s="166"/>
      <c r="BZ120" s="166"/>
      <c r="CA120" s="166"/>
      <c r="CB120" s="255"/>
      <c r="CC120" s="166"/>
      <c r="CD120" s="166"/>
      <c r="CE120" s="166"/>
      <c r="CF120" s="166"/>
      <c r="CG120" s="166"/>
    </row>
    <row r="121" spans="1:231" ht="11.25" customHeight="1" outlineLevel="1" x14ac:dyDescent="0.2">
      <c r="A121" s="24"/>
      <c r="B121" s="37" t="s">
        <v>164</v>
      </c>
      <c r="C121" s="278"/>
      <c r="D121" s="278"/>
      <c r="E121" s="278"/>
      <c r="F121" s="278"/>
      <c r="G121" s="278"/>
      <c r="H121" s="134"/>
      <c r="I121" s="278"/>
      <c r="J121" s="278"/>
      <c r="K121" s="278"/>
      <c r="L121" s="278"/>
      <c r="M121" s="278"/>
      <c r="N121" s="134"/>
      <c r="O121" s="278"/>
      <c r="P121" s="278"/>
      <c r="Q121" s="278"/>
      <c r="R121" s="278"/>
      <c r="S121" s="278"/>
      <c r="T121" s="134"/>
      <c r="U121" s="278"/>
      <c r="V121" s="278"/>
      <c r="W121" s="278"/>
      <c r="X121" s="278"/>
      <c r="Y121" s="278"/>
      <c r="Z121" s="168"/>
      <c r="AA121" s="278"/>
      <c r="AB121" s="278"/>
      <c r="AC121" s="278"/>
      <c r="AD121" s="278"/>
      <c r="AE121" s="278"/>
      <c r="AF121" s="168"/>
      <c r="AG121" s="278"/>
      <c r="AH121" s="278"/>
      <c r="AI121" s="278"/>
      <c r="AJ121" s="278"/>
      <c r="AK121" s="278"/>
      <c r="AL121" s="168"/>
      <c r="AM121" s="278"/>
      <c r="AN121" s="278"/>
      <c r="AO121" s="278"/>
      <c r="AP121" s="278"/>
      <c r="AQ121" s="278"/>
      <c r="AR121" s="168"/>
      <c r="AS121" s="552"/>
      <c r="AT121" s="552"/>
      <c r="AU121" s="552"/>
      <c r="AV121" s="551"/>
      <c r="AW121" s="278"/>
      <c r="AX121" s="168"/>
      <c r="AY121" s="552"/>
      <c r="AZ121" s="278"/>
      <c r="BA121" s="166"/>
      <c r="BB121" s="166"/>
      <c r="BC121" s="166"/>
      <c r="BD121" s="255"/>
      <c r="BE121" s="166"/>
      <c r="BF121" s="166"/>
      <c r="BG121" s="166"/>
      <c r="BH121" s="166"/>
      <c r="BI121" s="166"/>
      <c r="BJ121" s="255"/>
      <c r="BK121" s="166"/>
      <c r="BL121" s="166"/>
      <c r="BM121" s="166"/>
      <c r="BN121" s="166"/>
      <c r="BO121" s="166"/>
      <c r="BP121" s="255"/>
      <c r="BQ121" s="166"/>
      <c r="BR121" s="166"/>
      <c r="BS121" s="166"/>
      <c r="BT121" s="166"/>
      <c r="BU121" s="166"/>
      <c r="BV121" s="255"/>
      <c r="BW121" s="166"/>
      <c r="BX121" s="166"/>
      <c r="BY121" s="166"/>
      <c r="BZ121" s="166"/>
      <c r="CA121" s="166"/>
      <c r="CB121" s="255"/>
      <c r="CC121" s="166"/>
      <c r="CD121" s="166"/>
      <c r="CE121" s="166"/>
      <c r="CF121" s="166"/>
      <c r="CG121" s="166"/>
    </row>
    <row r="122" spans="1:231" ht="11.25" customHeight="1" outlineLevel="1" x14ac:dyDescent="0.2">
      <c r="A122" s="24"/>
      <c r="B122" s="37" t="s">
        <v>165</v>
      </c>
      <c r="C122" s="166"/>
      <c r="D122" s="166"/>
      <c r="E122" s="166"/>
      <c r="F122" s="166"/>
      <c r="G122" s="166"/>
      <c r="H122" s="255"/>
      <c r="I122" s="166"/>
      <c r="J122" s="166"/>
      <c r="K122" s="166"/>
      <c r="L122" s="166"/>
      <c r="M122" s="166"/>
      <c r="N122" s="255"/>
      <c r="O122" s="166"/>
      <c r="P122" s="166"/>
      <c r="Q122" s="166"/>
      <c r="R122" s="166"/>
      <c r="S122" s="166"/>
      <c r="T122" s="255"/>
      <c r="U122" s="166"/>
      <c r="V122" s="166"/>
      <c r="W122" s="166"/>
      <c r="X122" s="166"/>
      <c r="Y122" s="166"/>
      <c r="Z122" s="255"/>
      <c r="AA122" s="166"/>
      <c r="AB122" s="166"/>
      <c r="AC122" s="166"/>
      <c r="AD122" s="166"/>
      <c r="AE122" s="166"/>
      <c r="AF122" s="255"/>
      <c r="AG122" s="166"/>
      <c r="AH122" s="166"/>
      <c r="AI122" s="166"/>
      <c r="AJ122" s="166"/>
      <c r="AK122" s="166"/>
      <c r="AL122" s="255"/>
      <c r="AM122" s="166"/>
      <c r="AN122" s="166"/>
      <c r="AO122" s="166"/>
      <c r="AP122" s="166"/>
      <c r="AQ122" s="166"/>
      <c r="AR122" s="255"/>
      <c r="AS122" s="166"/>
      <c r="AT122" s="166"/>
      <c r="AU122" s="166"/>
      <c r="AV122" s="166"/>
      <c r="AW122" s="166"/>
      <c r="AX122" s="255"/>
      <c r="AY122" s="166"/>
      <c r="AZ122" s="166"/>
      <c r="BA122" s="166"/>
      <c r="BB122" s="166"/>
      <c r="BC122" s="166"/>
      <c r="BD122" s="255"/>
      <c r="BE122" s="166"/>
      <c r="BF122" s="166"/>
      <c r="BG122" s="166"/>
      <c r="BH122" s="166"/>
      <c r="BI122" s="166"/>
      <c r="BJ122" s="255"/>
      <c r="BK122" s="166"/>
      <c r="BL122" s="166"/>
      <c r="BM122" s="166"/>
      <c r="BN122" s="166"/>
      <c r="BO122" s="166"/>
      <c r="BP122" s="255"/>
      <c r="BQ122" s="166"/>
      <c r="BR122" s="166"/>
      <c r="BS122" s="166"/>
      <c r="BT122" s="166"/>
      <c r="BU122" s="166"/>
      <c r="BV122" s="255"/>
      <c r="BW122" s="166"/>
      <c r="BX122" s="166"/>
      <c r="BY122" s="166"/>
      <c r="BZ122" s="166"/>
      <c r="CA122" s="166"/>
      <c r="CB122" s="255"/>
      <c r="CC122" s="166"/>
      <c r="CD122" s="166"/>
      <c r="CE122" s="166"/>
      <c r="CF122" s="166"/>
      <c r="CG122" s="166"/>
    </row>
    <row r="123" spans="1:231" ht="11.25" customHeight="1" outlineLevel="1" x14ac:dyDescent="0.2">
      <c r="A123" s="24"/>
      <c r="B123" s="37" t="s">
        <v>166</v>
      </c>
      <c r="C123" s="166"/>
      <c r="D123" s="166"/>
      <c r="E123" s="166"/>
      <c r="F123" s="166"/>
      <c r="G123" s="166"/>
      <c r="H123" s="255"/>
      <c r="I123" s="166"/>
      <c r="J123" s="166"/>
      <c r="K123" s="166"/>
      <c r="L123" s="166"/>
      <c r="M123" s="166"/>
      <c r="N123" s="255"/>
      <c r="O123" s="166"/>
      <c r="P123" s="166"/>
      <c r="Q123" s="166"/>
      <c r="R123" s="166"/>
      <c r="S123" s="166"/>
      <c r="T123" s="255"/>
      <c r="U123" s="166"/>
      <c r="V123" s="166"/>
      <c r="W123" s="166"/>
      <c r="X123" s="166"/>
      <c r="Y123" s="166"/>
      <c r="Z123" s="255"/>
      <c r="AA123" s="166"/>
      <c r="AB123" s="166"/>
      <c r="AC123" s="166"/>
      <c r="AD123" s="166"/>
      <c r="AE123" s="166"/>
      <c r="AF123" s="255"/>
      <c r="AG123" s="166"/>
      <c r="AH123" s="166"/>
      <c r="AI123" s="166"/>
      <c r="AJ123" s="166"/>
      <c r="AK123" s="166"/>
      <c r="AL123" s="255"/>
      <c r="AM123" s="166"/>
      <c r="AN123" s="166"/>
      <c r="AO123" s="166"/>
      <c r="AP123" s="166"/>
      <c r="AQ123" s="166"/>
      <c r="AR123" s="255"/>
      <c r="AS123" s="166"/>
      <c r="AT123" s="166"/>
      <c r="AU123" s="166"/>
      <c r="AV123" s="166"/>
      <c r="AW123" s="166"/>
      <c r="AX123" s="255"/>
      <c r="AY123" s="166"/>
      <c r="AZ123" s="166"/>
      <c r="BA123" s="166"/>
      <c r="BB123" s="166"/>
      <c r="BC123" s="166"/>
      <c r="BD123" s="255"/>
      <c r="BE123" s="166"/>
      <c r="BF123" s="166"/>
      <c r="BG123" s="166"/>
      <c r="BH123" s="166"/>
      <c r="BI123" s="166"/>
      <c r="BJ123" s="255"/>
      <c r="BK123" s="166"/>
      <c r="BL123" s="166"/>
      <c r="BM123" s="166"/>
      <c r="BN123" s="166"/>
      <c r="BO123" s="166"/>
      <c r="BP123" s="255"/>
      <c r="BQ123" s="166"/>
      <c r="BR123" s="166"/>
      <c r="BS123" s="166"/>
      <c r="BT123" s="166"/>
      <c r="BU123" s="166"/>
      <c r="BV123" s="255"/>
      <c r="BW123" s="166"/>
      <c r="BX123" s="166"/>
      <c r="BY123" s="166"/>
      <c r="BZ123" s="166"/>
      <c r="CA123" s="166"/>
      <c r="CB123" s="255"/>
      <c r="CC123" s="166"/>
      <c r="CD123" s="166"/>
      <c r="CE123" s="166"/>
      <c r="CF123" s="166"/>
      <c r="CG123" s="166"/>
    </row>
    <row r="124" spans="1:231" ht="11.25" customHeight="1" outlineLevel="1" x14ac:dyDescent="0.2">
      <c r="A124" s="24"/>
      <c r="B124" s="92" t="s">
        <v>167</v>
      </c>
      <c r="C124" s="166"/>
      <c r="D124" s="166"/>
      <c r="E124" s="166"/>
      <c r="F124" s="166"/>
      <c r="G124" s="166"/>
      <c r="H124" s="255"/>
      <c r="I124" s="166"/>
      <c r="J124" s="166"/>
      <c r="K124" s="166"/>
      <c r="L124" s="166"/>
      <c r="M124" s="166"/>
      <c r="N124" s="255"/>
      <c r="O124" s="166"/>
      <c r="P124" s="166"/>
      <c r="Q124" s="166"/>
      <c r="R124" s="166"/>
      <c r="S124" s="166"/>
      <c r="T124" s="255"/>
      <c r="U124" s="166"/>
      <c r="V124" s="166"/>
      <c r="W124" s="166"/>
      <c r="X124" s="166"/>
      <c r="Y124" s="166"/>
      <c r="Z124" s="255"/>
      <c r="AA124" s="166"/>
      <c r="AB124" s="166"/>
      <c r="AC124" s="166"/>
      <c r="AD124" s="166"/>
      <c r="AE124" s="166"/>
      <c r="AF124" s="255"/>
      <c r="AG124" s="166"/>
      <c r="AH124" s="166"/>
      <c r="AI124" s="166"/>
      <c r="AJ124" s="166"/>
      <c r="AK124" s="166"/>
      <c r="AL124" s="255"/>
      <c r="AM124" s="166"/>
      <c r="AN124" s="166"/>
      <c r="AO124" s="166"/>
      <c r="AP124" s="166"/>
      <c r="AQ124" s="166"/>
      <c r="AR124" s="255"/>
      <c r="AS124" s="166"/>
      <c r="AT124" s="166"/>
      <c r="AU124" s="166"/>
      <c r="AV124" s="166"/>
      <c r="AW124" s="166"/>
      <c r="AX124" s="255"/>
      <c r="AY124" s="166"/>
      <c r="AZ124" s="166"/>
      <c r="BA124" s="166"/>
      <c r="BB124" s="166"/>
      <c r="BC124" s="166"/>
      <c r="BD124" s="255"/>
    </row>
    <row r="125" spans="1:231" ht="11.25" customHeight="1" x14ac:dyDescent="0.2">
      <c r="A125" s="24"/>
      <c r="B125" s="37"/>
      <c r="C125" s="166"/>
      <c r="D125" s="166"/>
      <c r="E125" s="166"/>
      <c r="F125" s="166"/>
      <c r="G125" s="166"/>
      <c r="H125" s="255"/>
      <c r="I125" s="166"/>
      <c r="J125" s="166"/>
      <c r="K125" s="166"/>
      <c r="L125" s="166"/>
      <c r="M125" s="166"/>
      <c r="N125" s="255"/>
      <c r="O125" s="166"/>
      <c r="P125" s="166"/>
      <c r="Q125" s="166"/>
      <c r="R125" s="166"/>
      <c r="S125" s="166"/>
      <c r="T125" s="255"/>
      <c r="U125" s="166"/>
      <c r="V125" s="166"/>
      <c r="W125" s="166"/>
      <c r="X125" s="166"/>
      <c r="Y125" s="166"/>
      <c r="Z125" s="255"/>
      <c r="AA125" s="166"/>
      <c r="AB125" s="166"/>
      <c r="AC125" s="166"/>
      <c r="AD125" s="166"/>
      <c r="AE125" s="166"/>
      <c r="AF125" s="255"/>
      <c r="AG125" s="166"/>
      <c r="AH125" s="166"/>
      <c r="AI125" s="166"/>
      <c r="AJ125" s="166"/>
      <c r="AK125" s="166"/>
      <c r="AL125" s="255"/>
      <c r="AM125" s="166"/>
      <c r="AN125" s="166"/>
      <c r="AO125" s="166"/>
      <c r="AP125" s="166"/>
      <c r="AQ125" s="166"/>
      <c r="AR125" s="255"/>
      <c r="AS125" s="166"/>
      <c r="AT125" s="166"/>
      <c r="AU125" s="166"/>
      <c r="AV125" s="166"/>
      <c r="AW125" s="166"/>
      <c r="AX125" s="255"/>
      <c r="AY125" s="166"/>
      <c r="AZ125" s="166"/>
      <c r="BA125" s="166"/>
      <c r="BB125" s="166"/>
      <c r="BC125" s="166"/>
      <c r="BD125" s="255"/>
      <c r="BE125" s="166"/>
      <c r="BF125" s="166"/>
      <c r="BG125" s="166"/>
      <c r="BH125" s="166"/>
      <c r="BI125" s="166"/>
      <c r="BJ125" s="255"/>
      <c r="BK125" s="166"/>
      <c r="BL125" s="166"/>
      <c r="BM125" s="166"/>
      <c r="BN125" s="166"/>
      <c r="BO125" s="166"/>
      <c r="BP125" s="255"/>
      <c r="BQ125" s="166"/>
      <c r="BR125" s="166"/>
      <c r="BS125" s="166"/>
      <c r="BT125" s="166"/>
      <c r="BU125" s="166"/>
      <c r="BV125" s="255"/>
      <c r="BW125" s="166"/>
      <c r="BX125" s="166"/>
      <c r="BY125" s="166"/>
      <c r="BZ125" s="166"/>
      <c r="CA125" s="166"/>
      <c r="CB125" s="255"/>
      <c r="CC125" s="166"/>
      <c r="CD125" s="166"/>
      <c r="CE125" s="166"/>
      <c r="CF125" s="166"/>
      <c r="CG125" s="166"/>
    </row>
    <row r="126" spans="1:231" ht="11.25" customHeight="1" x14ac:dyDescent="0.2">
      <c r="A126" s="24"/>
      <c r="B126" s="37"/>
      <c r="C126" s="166"/>
      <c r="D126" s="166"/>
      <c r="E126" s="166"/>
      <c r="F126" s="166"/>
      <c r="G126" s="166"/>
      <c r="H126" s="255"/>
      <c r="I126" s="166"/>
      <c r="J126" s="166"/>
      <c r="K126" s="166"/>
      <c r="L126" s="166"/>
      <c r="M126" s="166"/>
      <c r="N126" s="255"/>
      <c r="O126" s="166"/>
      <c r="P126" s="166"/>
      <c r="Q126" s="166"/>
      <c r="R126" s="166"/>
      <c r="S126" s="166"/>
      <c r="T126" s="255"/>
      <c r="U126" s="166"/>
      <c r="V126" s="166"/>
      <c r="W126" s="166"/>
      <c r="X126" s="166"/>
      <c r="Y126" s="166"/>
      <c r="Z126" s="255"/>
      <c r="AA126" s="166"/>
      <c r="AB126" s="166"/>
      <c r="AC126" s="166"/>
      <c r="AD126" s="166"/>
      <c r="AE126" s="166"/>
      <c r="AF126" s="255"/>
      <c r="AG126" s="166"/>
      <c r="AH126" s="166"/>
      <c r="AI126" s="166"/>
      <c r="AJ126" s="166"/>
      <c r="AK126" s="166"/>
      <c r="AL126" s="255"/>
      <c r="AM126" s="166"/>
      <c r="AN126" s="166"/>
      <c r="AO126" s="166"/>
      <c r="AP126" s="166"/>
      <c r="AQ126" s="166"/>
      <c r="AR126" s="255"/>
      <c r="AS126" s="166"/>
      <c r="AT126" s="166"/>
      <c r="AU126" s="166"/>
      <c r="AV126" s="166"/>
      <c r="AW126" s="166"/>
      <c r="AX126" s="255"/>
      <c r="AY126" s="166"/>
      <c r="AZ126" s="166"/>
      <c r="BA126" s="166"/>
      <c r="BB126" s="166"/>
      <c r="BC126" s="166"/>
      <c r="BD126" s="255"/>
      <c r="BE126" s="166"/>
      <c r="BF126" s="166"/>
      <c r="BG126" s="166"/>
      <c r="BH126" s="166"/>
      <c r="BI126" s="166"/>
      <c r="BJ126" s="255"/>
      <c r="BK126" s="166"/>
      <c r="BL126" s="166"/>
      <c r="BM126" s="166"/>
      <c r="BN126" s="166"/>
      <c r="BO126" s="166"/>
      <c r="BP126" s="255"/>
      <c r="BQ126" s="166"/>
      <c r="BR126" s="166"/>
      <c r="BS126" s="166"/>
      <c r="BT126" s="166"/>
      <c r="BU126" s="166"/>
      <c r="BV126" s="255"/>
      <c r="BW126" s="166"/>
      <c r="BX126" s="166"/>
      <c r="BY126" s="166"/>
      <c r="BZ126" s="166"/>
      <c r="CA126" s="166"/>
      <c r="CB126" s="255"/>
      <c r="CC126" s="166"/>
      <c r="CD126" s="166"/>
      <c r="CE126" s="166"/>
      <c r="CF126" s="166"/>
      <c r="CG126" s="166"/>
    </row>
    <row r="127" spans="1:231" ht="11.25" customHeight="1" x14ac:dyDescent="0.2">
      <c r="A127" s="24"/>
      <c r="B127" s="15" t="s">
        <v>502</v>
      </c>
      <c r="C127" s="166"/>
      <c r="D127" s="166"/>
      <c r="E127" s="166"/>
      <c r="F127" s="166"/>
      <c r="G127" s="166"/>
      <c r="H127" s="255"/>
      <c r="I127" s="166"/>
      <c r="J127" s="166"/>
      <c r="K127" s="166"/>
      <c r="L127" s="166"/>
      <c r="M127" s="166"/>
      <c r="N127" s="255"/>
      <c r="O127" s="166"/>
      <c r="P127" s="166"/>
      <c r="Q127" s="166"/>
      <c r="R127" s="166"/>
      <c r="S127" s="166"/>
      <c r="T127" s="255"/>
      <c r="U127" s="166"/>
      <c r="V127" s="166"/>
      <c r="W127" s="166"/>
      <c r="X127" s="166"/>
      <c r="Y127" s="166"/>
      <c r="Z127" s="255"/>
      <c r="AA127" s="166"/>
      <c r="AB127" s="166"/>
      <c r="AC127" s="166"/>
      <c r="AD127" s="166"/>
      <c r="AE127" s="166"/>
      <c r="AF127" s="255"/>
      <c r="AG127" s="166"/>
      <c r="AH127" s="166"/>
      <c r="AI127" s="166"/>
      <c r="AJ127" s="166"/>
      <c r="AK127" s="166"/>
      <c r="AL127" s="255"/>
      <c r="AM127" s="166"/>
      <c r="AN127" s="166"/>
      <c r="AO127" s="166"/>
      <c r="AP127" s="166"/>
      <c r="AQ127" s="166"/>
      <c r="AR127" s="255"/>
      <c r="AS127" s="166"/>
      <c r="AT127" s="166"/>
      <c r="AU127" s="166"/>
      <c r="AV127" s="166"/>
      <c r="AW127" s="166"/>
      <c r="AX127" s="255"/>
      <c r="AY127" s="166"/>
      <c r="AZ127" s="166"/>
      <c r="BA127" s="166"/>
      <c r="BB127" s="166"/>
      <c r="BC127" s="166"/>
      <c r="BD127" s="255"/>
      <c r="BE127" s="166"/>
      <c r="BF127" s="166"/>
      <c r="BG127" s="166"/>
      <c r="BH127" s="166"/>
      <c r="BI127" s="166"/>
      <c r="BJ127" s="255"/>
      <c r="BK127" s="166"/>
      <c r="BL127" s="166"/>
      <c r="BM127" s="166"/>
      <c r="BN127" s="166"/>
      <c r="BO127" s="166"/>
      <c r="BP127" s="255"/>
      <c r="BQ127" s="166"/>
      <c r="BR127" s="166"/>
      <c r="BS127" s="166"/>
      <c r="BT127" s="166"/>
      <c r="BU127" s="166"/>
      <c r="BV127" s="255"/>
      <c r="BW127" s="166"/>
      <c r="BX127" s="166"/>
      <c r="BY127" s="166"/>
      <c r="BZ127" s="166"/>
      <c r="CA127" s="166"/>
      <c r="CB127" s="255"/>
      <c r="CC127" s="166"/>
      <c r="CD127" s="166"/>
      <c r="CE127" s="166"/>
      <c r="CF127" s="166"/>
      <c r="CG127" s="166"/>
    </row>
    <row r="128" spans="1:231" ht="11.25" customHeight="1" x14ac:dyDescent="0.2">
      <c r="A128" s="24"/>
      <c r="B128" s="37" t="s">
        <v>248</v>
      </c>
      <c r="C128" s="166"/>
      <c r="D128" s="166"/>
      <c r="E128" s="166"/>
      <c r="F128" s="166"/>
      <c r="G128" s="166"/>
      <c r="H128" s="255"/>
      <c r="I128" s="166"/>
      <c r="J128" s="166"/>
      <c r="K128" s="166"/>
      <c r="L128" s="166"/>
      <c r="M128" s="166"/>
      <c r="N128" s="255"/>
      <c r="O128" s="166"/>
      <c r="P128" s="166"/>
      <c r="Q128" s="166"/>
      <c r="R128" s="166"/>
      <c r="S128" s="166"/>
      <c r="T128" s="255"/>
      <c r="U128" s="166"/>
      <c r="V128" s="166"/>
      <c r="W128" s="166"/>
      <c r="X128" s="166"/>
      <c r="Y128" s="166"/>
      <c r="Z128" s="255"/>
      <c r="AA128" s="166"/>
      <c r="AB128" s="166"/>
      <c r="AC128" s="166"/>
      <c r="AD128" s="166"/>
      <c r="AE128" s="166"/>
      <c r="AF128" s="255"/>
      <c r="AG128" s="166"/>
      <c r="AH128" s="166"/>
      <c r="AI128" s="166"/>
      <c r="AJ128" s="166"/>
      <c r="AK128" s="166"/>
      <c r="AL128" s="255"/>
      <c r="AM128" s="166"/>
      <c r="AN128" s="166"/>
      <c r="AO128" s="166"/>
      <c r="AP128" s="166"/>
      <c r="AQ128" s="166"/>
      <c r="AR128" s="255"/>
      <c r="AS128" s="184">
        <f>AS81+AS106</f>
        <v>14.660092903571257</v>
      </c>
      <c r="AT128" s="184">
        <f>AS132</f>
        <v>15.725174993267677</v>
      </c>
      <c r="AU128" s="184">
        <f>AT132</f>
        <v>15.880511597897399</v>
      </c>
      <c r="AV128" s="184">
        <f>AU132</f>
        <v>10.170556000000005</v>
      </c>
      <c r="AW128" s="184">
        <f>AS128</f>
        <v>14.660092903571257</v>
      </c>
      <c r="AX128" s="255"/>
      <c r="AY128" s="184">
        <f>AY81+AY106</f>
        <v>9.249934000000005</v>
      </c>
      <c r="AZ128" s="184">
        <f>AY132</f>
        <v>9.9029160300000054</v>
      </c>
      <c r="BA128" s="184">
        <f>AZ132</f>
        <v>9.0763825088000054</v>
      </c>
      <c r="BB128" s="184">
        <f>BA132</f>
        <v>9.3815432884480057</v>
      </c>
      <c r="BC128" s="184">
        <f>AY128</f>
        <v>9.249934000000005</v>
      </c>
      <c r="BD128" s="255"/>
      <c r="BE128" s="184">
        <f>BC132</f>
        <v>7.3</v>
      </c>
      <c r="BF128" s="184">
        <f>BE132</f>
        <v>8.3212327679389162</v>
      </c>
      <c r="BG128" s="184">
        <f>BF132</f>
        <v>8.1325218920785947</v>
      </c>
      <c r="BH128" s="184">
        <f>BG132</f>
        <v>7.9019430946343219</v>
      </c>
      <c r="BI128" s="184">
        <f>BE128</f>
        <v>7.3</v>
      </c>
      <c r="BJ128" s="255"/>
      <c r="BK128" s="184">
        <f>BI132</f>
        <v>8.3999999999999986</v>
      </c>
      <c r="BL128" s="184">
        <f>BK132</f>
        <v>9.6386719234988529</v>
      </c>
      <c r="BM128" s="184">
        <f>BL132</f>
        <v>9.4247355372870043</v>
      </c>
      <c r="BN128" s="990">
        <v>8.4</v>
      </c>
      <c r="BO128" s="184">
        <f>BK128</f>
        <v>8.3999999999999986</v>
      </c>
      <c r="BP128" s="255"/>
      <c r="BQ128" s="184">
        <f>BO132</f>
        <v>7.0000000000000009</v>
      </c>
      <c r="BR128" s="184">
        <f>BQ132</f>
        <v>8.5732952633097774</v>
      </c>
      <c r="BS128" s="184">
        <f>BR132</f>
        <v>8.4197220819117824</v>
      </c>
      <c r="BT128" s="184">
        <f>BS132</f>
        <v>8.2199652078898655</v>
      </c>
      <c r="BU128" s="184">
        <f>BQ128</f>
        <v>7.0000000000000009</v>
      </c>
      <c r="BV128" s="255"/>
      <c r="BW128" s="184">
        <f>BU132</f>
        <v>9.1265325795451275</v>
      </c>
      <c r="BX128" s="184">
        <f>BW132</f>
        <v>10.996131575194365</v>
      </c>
      <c r="BY128" s="184">
        <f>BX132</f>
        <v>10.786145950455147</v>
      </c>
      <c r="BZ128" s="184">
        <f>BY132</f>
        <v>10.521389754679314</v>
      </c>
      <c r="CA128" s="184">
        <f>BW128</f>
        <v>9.1265325795451275</v>
      </c>
      <c r="CB128" s="255"/>
      <c r="CC128" s="184">
        <f>CA132</f>
        <v>11.58647476992623</v>
      </c>
      <c r="CD128" s="184">
        <f>CC132</f>
        <v>13.813604652738853</v>
      </c>
      <c r="CE128" s="184">
        <f>CD132</f>
        <v>13.537957610805359</v>
      </c>
      <c r="CF128" s="184">
        <f>CE132</f>
        <v>13.197460748489137</v>
      </c>
      <c r="CG128" s="184">
        <f>CC128</f>
        <v>11.58647476992623</v>
      </c>
    </row>
    <row r="129" spans="1:86" ht="11.25" customHeight="1" x14ac:dyDescent="0.2">
      <c r="A129" s="24"/>
      <c r="B129" s="59" t="s">
        <v>152</v>
      </c>
      <c r="C129" s="166"/>
      <c r="D129" s="166"/>
      <c r="E129" s="166"/>
      <c r="F129" s="166"/>
      <c r="G129" s="166"/>
      <c r="H129" s="255"/>
      <c r="I129" s="166"/>
      <c r="J129" s="166"/>
      <c r="K129" s="166"/>
      <c r="L129" s="166"/>
      <c r="M129" s="166"/>
      <c r="N129" s="255"/>
      <c r="O129" s="166"/>
      <c r="P129" s="166"/>
      <c r="Q129" s="166"/>
      <c r="R129" s="166"/>
      <c r="S129" s="166"/>
      <c r="T129" s="255"/>
      <c r="U129" s="166"/>
      <c r="V129" s="166"/>
      <c r="W129" s="166"/>
      <c r="X129" s="166"/>
      <c r="Y129" s="166"/>
      <c r="Z129" s="255"/>
      <c r="AA129" s="166"/>
      <c r="AB129" s="166"/>
      <c r="AC129" s="166"/>
      <c r="AD129" s="166"/>
      <c r="AE129" s="166"/>
      <c r="AF129" s="255"/>
      <c r="AG129" s="166"/>
      <c r="AH129" s="166"/>
      <c r="AI129" s="166"/>
      <c r="AJ129" s="166"/>
      <c r="AK129" s="166"/>
      <c r="AL129" s="255"/>
      <c r="AM129" s="166"/>
      <c r="AN129" s="166"/>
      <c r="AO129" s="166"/>
      <c r="AP129" s="166"/>
      <c r="AQ129" s="166"/>
      <c r="AR129" s="255"/>
      <c r="AS129" s="184">
        <f>AS82+AS83+AS107</f>
        <v>1.2488205564732031</v>
      </c>
      <c r="AT129" s="184">
        <f>AT82+AT83+AT107</f>
        <v>0.48870068707922942</v>
      </c>
      <c r="AU129" s="184">
        <f>AU82+AU83+AU107</f>
        <v>0.44878422486858699</v>
      </c>
      <c r="AV129" s="184">
        <f>AV82+AV83+AV107</f>
        <v>0.16326199999999999</v>
      </c>
      <c r="AW129" s="184">
        <f>SUM(AS129:AV129)</f>
        <v>2.3495674684210197</v>
      </c>
      <c r="AX129" s="255"/>
      <c r="AY129" s="184">
        <f>AY82+AY83+AY107</f>
        <v>1.0211999999999999</v>
      </c>
      <c r="AZ129" s="184">
        <f>AZ82+AZ83+AZ107</f>
        <v>8.2800000000000068E-2</v>
      </c>
      <c r="BA129" s="184">
        <f>BA82+BA83+BA107</f>
        <v>7.0087624999999959E-2</v>
      </c>
      <c r="BB129" s="189">
        <f>BA129</f>
        <v>7.0087624999999959E-2</v>
      </c>
      <c r="BC129" s="184">
        <f>SUM(AY129:BB129)</f>
        <v>1.2441752499999998</v>
      </c>
      <c r="BD129" s="255"/>
      <c r="BE129" s="184">
        <f>+AY129*(1+BE138)</f>
        <v>1.2254399999999999</v>
      </c>
      <c r="BF129" s="184">
        <f>+AZ129*(1+BF138)</f>
        <v>9.9360000000000073E-2</v>
      </c>
      <c r="BG129" s="184">
        <f>+BA129*(1+BG138)</f>
        <v>8.4105149999999948E-2</v>
      </c>
      <c r="BH129" s="990">
        <f>0.7+1.7-SUM(BE129:BG129)</f>
        <v>0.99109485000000008</v>
      </c>
      <c r="BI129" s="184">
        <f>SUM(BE129:BH129)</f>
        <v>2.4</v>
      </c>
      <c r="BJ129" s="255"/>
      <c r="BK129" s="184">
        <f>+BE129*(1+BK138)</f>
        <v>1.4705279999999998</v>
      </c>
      <c r="BL129" s="184">
        <f>+BF129*(1+BL138)</f>
        <v>0.11923200000000009</v>
      </c>
      <c r="BM129" s="184">
        <f>+BG129*(1+BM138)</f>
        <v>0.10092617999999993</v>
      </c>
      <c r="BN129" s="990">
        <v>1</v>
      </c>
      <c r="BO129" s="184">
        <f>SUM(BK129:BN129)</f>
        <v>2.6906861799999997</v>
      </c>
      <c r="BP129" s="255"/>
      <c r="BQ129" s="184">
        <f>+BK129*(1+BQ138)</f>
        <v>1.7646335999999998</v>
      </c>
      <c r="BR129" s="184">
        <f>+BL129*(1+BR138)</f>
        <v>0.14307840000000011</v>
      </c>
      <c r="BS129" s="184">
        <f>+BM129*(1+BS138)</f>
        <v>0.12111141599999992</v>
      </c>
      <c r="BT129" s="184">
        <f>+BN129*(1+BT138)</f>
        <v>1.2</v>
      </c>
      <c r="BU129" s="184">
        <f>SUM(BQ129:BT129)</f>
        <v>3.228823416</v>
      </c>
      <c r="BV129" s="255"/>
      <c r="BW129" s="184">
        <f>+BQ129*(1+BW138)</f>
        <v>2.1175603199999995</v>
      </c>
      <c r="BX129" s="184">
        <f>+BR129*(1+BX138)</f>
        <v>0.17169408000000011</v>
      </c>
      <c r="BY129" s="184">
        <f>+BS129*(1+BY138)</f>
        <v>0.14533369919999989</v>
      </c>
      <c r="BZ129" s="184">
        <f>+BT129*(1+BZ138)</f>
        <v>1.44</v>
      </c>
      <c r="CA129" s="184">
        <f>SUM(BW129:BZ129)</f>
        <v>3.8745880991999995</v>
      </c>
      <c r="CB129" s="255"/>
      <c r="CC129" s="184">
        <f>+BW129*(1+CC138)</f>
        <v>2.5410723839999991</v>
      </c>
      <c r="CD129" s="184">
        <f>+BX129*(1+CD138)</f>
        <v>0.20603289600000013</v>
      </c>
      <c r="CE129" s="184">
        <f>+BY129*(1+CE138)</f>
        <v>0.17440043903999985</v>
      </c>
      <c r="CF129" s="184">
        <f>+BZ129*(1+CF138)</f>
        <v>1.728</v>
      </c>
      <c r="CG129" s="184">
        <f>SUM(CC129:CF129)</f>
        <v>4.6495057190399987</v>
      </c>
    </row>
    <row r="130" spans="1:86" ht="11.25" customHeight="1" x14ac:dyDescent="0.2">
      <c r="A130" s="24"/>
      <c r="B130" s="59" t="s">
        <v>249</v>
      </c>
      <c r="C130" s="166"/>
      <c r="D130" s="166"/>
      <c r="E130" s="166"/>
      <c r="F130" s="166"/>
      <c r="G130" s="166"/>
      <c r="H130" s="255"/>
      <c r="I130" s="166"/>
      <c r="J130" s="166"/>
      <c r="K130" s="166"/>
      <c r="L130" s="166"/>
      <c r="M130" s="166"/>
      <c r="N130" s="255"/>
      <c r="O130" s="166"/>
      <c r="P130" s="166"/>
      <c r="Q130" s="166"/>
      <c r="R130" s="166"/>
      <c r="S130" s="166"/>
      <c r="T130" s="255"/>
      <c r="U130" s="166"/>
      <c r="V130" s="166"/>
      <c r="W130" s="166"/>
      <c r="X130" s="166"/>
      <c r="Y130" s="166"/>
      <c r="Z130" s="255"/>
      <c r="AA130" s="166"/>
      <c r="AB130" s="166"/>
      <c r="AC130" s="166"/>
      <c r="AD130" s="166"/>
      <c r="AE130" s="166"/>
      <c r="AF130" s="255"/>
      <c r="AG130" s="166"/>
      <c r="AH130" s="166"/>
      <c r="AI130" s="166"/>
      <c r="AJ130" s="166"/>
      <c r="AK130" s="166"/>
      <c r="AL130" s="255"/>
      <c r="AM130" s="166"/>
      <c r="AN130" s="166"/>
      <c r="AO130" s="166"/>
      <c r="AP130" s="166"/>
      <c r="AQ130" s="166"/>
      <c r="AR130" s="255"/>
      <c r="AS130" s="184">
        <f>AS84+AS108</f>
        <v>-0.14091282225892812</v>
      </c>
      <c r="AT130" s="184">
        <f>AT84+AT108</f>
        <v>-0.28178802748316917</v>
      </c>
      <c r="AU130" s="184">
        <f>AU84+AU108</f>
        <v>-0.20871136899474343</v>
      </c>
      <c r="AV130" s="184">
        <f>AV84+AV108</f>
        <v>-1.0503839999999998</v>
      </c>
      <c r="AW130" s="184">
        <f>SUM(AS130:AV130)</f>
        <v>-1.6817962187368405</v>
      </c>
      <c r="AX130" s="255"/>
      <c r="AY130" s="184">
        <f>AY84+AY108</f>
        <v>-0.32950315000000024</v>
      </c>
      <c r="AZ130" s="184">
        <f>AZ84+AZ108</f>
        <v>-0.86666958105000025</v>
      </c>
      <c r="BA130" s="184">
        <f>BA84+BA108</f>
        <v>-0.28497182280800021</v>
      </c>
      <c r="BB130" s="184">
        <f>-BB128*BB136/4</f>
        <v>-0.27670102603508812</v>
      </c>
      <c r="BC130" s="184">
        <f>SUM(AY130:BB130)</f>
        <v>-1.757845579893089</v>
      </c>
      <c r="BD130" s="255"/>
      <c r="BE130" s="184">
        <f>-BE128*BE136/4</f>
        <v>-0.16770723206108257</v>
      </c>
      <c r="BF130" s="184">
        <f>-BF128*BF136/4</f>
        <v>-0.24646471202062628</v>
      </c>
      <c r="BG130" s="184">
        <f>-BG128*BG136/4</f>
        <v>-0.27402133798387956</v>
      </c>
      <c r="BH130" s="990">
        <f>-1.3-SUM(BE130:BG130)</f>
        <v>-0.61180671793441155</v>
      </c>
      <c r="BI130" s="184">
        <f>SUM(BE130:BH130)</f>
        <v>-1.3</v>
      </c>
      <c r="BJ130" s="255"/>
      <c r="BK130" s="184">
        <f>-BK128*BK136/4</f>
        <v>-0.1898560765011448</v>
      </c>
      <c r="BL130" s="184">
        <f>-BL128*BL136/4</f>
        <v>-0.28497502659435514</v>
      </c>
      <c r="BM130" s="184">
        <f>-BM128*BM136/4</f>
        <v>-0.31410897574878405</v>
      </c>
      <c r="BN130" s="990">
        <v>-2.2999999999999998</v>
      </c>
      <c r="BO130" s="184">
        <f>SUM(BK130:BN130)</f>
        <v>-3.088940078844284</v>
      </c>
      <c r="BP130" s="255"/>
      <c r="BQ130" s="184">
        <f>-BQ128*BQ136/4</f>
        <v>-0.15633833669022254</v>
      </c>
      <c r="BR130" s="184">
        <f>-BR128*BR136/4</f>
        <v>-0.25378510508144719</v>
      </c>
      <c r="BS130" s="184">
        <f>-BS128*BS136/4</f>
        <v>-0.27876967961235866</v>
      </c>
      <c r="BT130" s="184">
        <f>-BT128*BT136/4</f>
        <v>-0.25233280230528837</v>
      </c>
      <c r="BU130" s="184">
        <f>SUM(BQ130:BT130)</f>
        <v>-0.94122592368931679</v>
      </c>
      <c r="BV130" s="255"/>
      <c r="BW130" s="184">
        <f>-BW128*BW136/4</f>
        <v>-0.20232866145303674</v>
      </c>
      <c r="BX130" s="184">
        <f>-BX128*BX136/4</f>
        <v>-0.3266990468632473</v>
      </c>
      <c r="BY130" s="184">
        <f>-BY128*BY136/4</f>
        <v>-0.35615916522355756</v>
      </c>
      <c r="BZ130" s="184">
        <f>-BZ128*BZ136/4</f>
        <v>-0.32230803597968705</v>
      </c>
      <c r="CA130" s="184">
        <f>SUM(BW130:BZ130)</f>
        <v>-1.2074949095195286</v>
      </c>
      <c r="CB130" s="255"/>
      <c r="CC130" s="184">
        <f>-CC128*CC136/4</f>
        <v>-0.25601012733774559</v>
      </c>
      <c r="CD130" s="184">
        <f>-CD128*CD136/4</f>
        <v>-0.41261191466979913</v>
      </c>
      <c r="CE130" s="184">
        <f>-CE128*CE136/4</f>
        <v>-0.44720751330219488</v>
      </c>
      <c r="CF130" s="184">
        <f>-CF128*CF136/4</f>
        <v>-0.4046528738187114</v>
      </c>
      <c r="CG130" s="184">
        <f>SUM(CC130:CF130)</f>
        <v>-1.5204824291284511</v>
      </c>
    </row>
    <row r="131" spans="1:86" ht="11.25" customHeight="1" x14ac:dyDescent="0.2">
      <c r="A131" s="24"/>
      <c r="B131" s="59" t="s">
        <v>153</v>
      </c>
      <c r="C131" s="166"/>
      <c r="D131" s="166"/>
      <c r="E131" s="166"/>
      <c r="F131" s="166"/>
      <c r="G131" s="166"/>
      <c r="H131" s="255"/>
      <c r="I131" s="166"/>
      <c r="J131" s="166"/>
      <c r="K131" s="166"/>
      <c r="L131" s="166"/>
      <c r="M131" s="166"/>
      <c r="N131" s="255"/>
      <c r="O131" s="166"/>
      <c r="P131" s="166"/>
      <c r="Q131" s="166"/>
      <c r="R131" s="166"/>
      <c r="S131" s="166"/>
      <c r="T131" s="255"/>
      <c r="U131" s="166"/>
      <c r="V131" s="166"/>
      <c r="W131" s="166"/>
      <c r="X131" s="166"/>
      <c r="Y131" s="166"/>
      <c r="Z131" s="255"/>
      <c r="AA131" s="166"/>
      <c r="AB131" s="166"/>
      <c r="AC131" s="166"/>
      <c r="AD131" s="166"/>
      <c r="AE131" s="166"/>
      <c r="AF131" s="255"/>
      <c r="AG131" s="166"/>
      <c r="AH131" s="166"/>
      <c r="AI131" s="166"/>
      <c r="AJ131" s="166"/>
      <c r="AK131" s="166"/>
      <c r="AL131" s="255"/>
      <c r="AM131" s="166"/>
      <c r="AN131" s="166"/>
      <c r="AO131" s="166"/>
      <c r="AP131" s="166"/>
      <c r="AQ131" s="166"/>
      <c r="AR131" s="255"/>
      <c r="AS131" s="184">
        <f>AS85+AS86+AS87+AS109</f>
        <v>-4.2825644517856254E-2</v>
      </c>
      <c r="AT131" s="184">
        <f>AT85+AT86+AT87+AT109</f>
        <v>-5.1576054966338353E-2</v>
      </c>
      <c r="AU131" s="184">
        <f>AU85+AU86+AU87+AU109</f>
        <v>-5.9500284537712362</v>
      </c>
      <c r="AV131" s="184">
        <f>AV85+AV86+AV87+AV109</f>
        <v>-3.3500000000000002E-2</v>
      </c>
      <c r="AW131" s="184">
        <f>SUM(AS131:AV131)</f>
        <v>-6.0779301532554308</v>
      </c>
      <c r="AX131" s="255"/>
      <c r="AY131" s="184">
        <f>AY85+AY86+AY87+AY109</f>
        <v>-3.8714820000000025E-2</v>
      </c>
      <c r="AZ131" s="184">
        <f>AZ85+AZ86+AZ87+AZ109</f>
        <v>-4.2663940150000024E-2</v>
      </c>
      <c r="BA131" s="184">
        <f>BA85+BA86+BA87+BA109</f>
        <v>0.52004497745600109</v>
      </c>
      <c r="BB131" s="184">
        <f>-BB128*BB137/4</f>
        <v>-4.6907716442240031E-2</v>
      </c>
      <c r="BC131" s="184">
        <f>SUM(AY131:BB131)</f>
        <v>0.39175850086376102</v>
      </c>
      <c r="BD131" s="255"/>
      <c r="BE131" s="184">
        <f>-BE128*BE137/4</f>
        <v>-3.6499999999999998E-2</v>
      </c>
      <c r="BF131" s="184">
        <f>-BF128*BF137/4</f>
        <v>-4.1606163839694579E-2</v>
      </c>
      <c r="BG131" s="184">
        <f>-BG128*BG137/4</f>
        <v>-4.0662609460392976E-2</v>
      </c>
      <c r="BH131" s="990">
        <f>0-SUM(BE131:BG131)</f>
        <v>0.11876877330008755</v>
      </c>
      <c r="BI131" s="184">
        <f>SUM(BE131:BH131)</f>
        <v>0</v>
      </c>
      <c r="BJ131" s="255"/>
      <c r="BK131" s="184">
        <f>-BK128*BK137/4</f>
        <v>-4.1999999999999996E-2</v>
      </c>
      <c r="BL131" s="184">
        <f>-BL128*BL137/4</f>
        <v>-4.8193359617494269E-2</v>
      </c>
      <c r="BM131" s="184">
        <f>-BM128*BM137/4</f>
        <v>-4.7123677686435023E-2</v>
      </c>
      <c r="BN131" s="990">
        <v>-0.1</v>
      </c>
      <c r="BO131" s="184">
        <f>SUM(BK131:BN131)</f>
        <v>-0.23731703730392931</v>
      </c>
      <c r="BP131" s="255"/>
      <c r="BQ131" s="184">
        <f>-BQ128*BQ137/4</f>
        <v>-3.5000000000000003E-2</v>
      </c>
      <c r="BR131" s="184">
        <f>-BR128*BR137/4</f>
        <v>-4.2866476316548885E-2</v>
      </c>
      <c r="BS131" s="184">
        <f>-BS128*BS137/4</f>
        <v>-4.2098610409558916E-2</v>
      </c>
      <c r="BT131" s="184">
        <f>-BT128*BT137/4</f>
        <v>-4.1099826039449332E-2</v>
      </c>
      <c r="BU131" s="184">
        <f>SUM(BQ131:BT131)</f>
        <v>-0.16106491276555715</v>
      </c>
      <c r="BV131" s="255"/>
      <c r="BW131" s="184">
        <f>-BW128*BW137/4</f>
        <v>-4.5632662897725641E-2</v>
      </c>
      <c r="BX131" s="184">
        <f>-BX128*BX137/4</f>
        <v>-5.4980657875971825E-2</v>
      </c>
      <c r="BY131" s="184">
        <f>-BY128*BY137/4</f>
        <v>-5.3930729752275738E-2</v>
      </c>
      <c r="BZ131" s="184">
        <f>-BZ128*BZ137/4</f>
        <v>-5.260694877339657E-2</v>
      </c>
      <c r="CA131" s="184">
        <f>SUM(BW131:BZ131)</f>
        <v>-0.20715099929936975</v>
      </c>
      <c r="CB131" s="255"/>
      <c r="CC131" s="184">
        <f>-CC128*CC137/4</f>
        <v>-5.7932373849631152E-2</v>
      </c>
      <c r="CD131" s="184">
        <f>-CD128*CD137/4</f>
        <v>-6.9068023263694267E-2</v>
      </c>
      <c r="CE131" s="184">
        <f>-CE128*CE137/4</f>
        <v>-6.7689788054026798E-2</v>
      </c>
      <c r="CF131" s="184">
        <f>-CF128*CF137/4</f>
        <v>-6.5987303742445685E-2</v>
      </c>
      <c r="CG131" s="184">
        <f>SUM(CC131:CF131)</f>
        <v>-0.26067748890979792</v>
      </c>
    </row>
    <row r="132" spans="1:86" ht="11.25" customHeight="1" x14ac:dyDescent="0.2">
      <c r="A132" s="24"/>
      <c r="B132" s="58" t="s">
        <v>250</v>
      </c>
      <c r="C132" s="166"/>
      <c r="D132" s="166"/>
      <c r="E132" s="166"/>
      <c r="F132" s="166"/>
      <c r="G132" s="166"/>
      <c r="H132" s="255"/>
      <c r="I132" s="166"/>
      <c r="J132" s="166"/>
      <c r="K132" s="166"/>
      <c r="L132" s="166"/>
      <c r="M132" s="166"/>
      <c r="N132" s="255"/>
      <c r="O132" s="166"/>
      <c r="P132" s="166"/>
      <c r="Q132" s="166"/>
      <c r="R132" s="166"/>
      <c r="S132" s="166"/>
      <c r="T132" s="255"/>
      <c r="U132" s="166"/>
      <c r="V132" s="166"/>
      <c r="W132" s="166"/>
      <c r="X132" s="166"/>
      <c r="Y132" s="166"/>
      <c r="Z132" s="255"/>
      <c r="AA132" s="166"/>
      <c r="AB132" s="166"/>
      <c r="AC132" s="166"/>
      <c r="AD132" s="166"/>
      <c r="AE132" s="166"/>
      <c r="AF132" s="255"/>
      <c r="AG132" s="166"/>
      <c r="AH132" s="166"/>
      <c r="AI132" s="166"/>
      <c r="AJ132" s="166"/>
      <c r="AK132" s="166"/>
      <c r="AL132" s="255"/>
      <c r="AM132" s="166"/>
      <c r="AN132" s="166"/>
      <c r="AO132" s="166"/>
      <c r="AP132" s="166"/>
      <c r="AQ132" s="166"/>
      <c r="AR132" s="255"/>
      <c r="AS132" s="262">
        <f>+SUM(AS128:AS131)</f>
        <v>15.725174993267677</v>
      </c>
      <c r="AT132" s="262">
        <f>+SUM(AT128:AT131)</f>
        <v>15.880511597897399</v>
      </c>
      <c r="AU132" s="262">
        <f>+SUM(AU128:AU131)</f>
        <v>10.170556000000005</v>
      </c>
      <c r="AV132" s="262">
        <f>+SUM(AV128:AV131)</f>
        <v>9.249934000000005</v>
      </c>
      <c r="AW132" s="262">
        <f>+SUM(AW128:AW131)</f>
        <v>9.2499340000000032</v>
      </c>
      <c r="AX132" s="255"/>
      <c r="AY132" s="262">
        <f>+SUM(AY128:AY131)</f>
        <v>9.9029160300000054</v>
      </c>
      <c r="AZ132" s="262">
        <f>+SUM(AZ128:AZ131)</f>
        <v>9.0763825088000054</v>
      </c>
      <c r="BA132" s="262">
        <f>+SUM(BA128:BA131)</f>
        <v>9.3815432884480057</v>
      </c>
      <c r="BB132" s="262">
        <f>+SUM(BB128:BB131)</f>
        <v>9.1280221709706773</v>
      </c>
      <c r="BC132" s="1547">
        <v>7.3</v>
      </c>
      <c r="BD132" s="255"/>
      <c r="BE132" s="262">
        <f>+SUM(BE128:BE131)</f>
        <v>8.3212327679389162</v>
      </c>
      <c r="BF132" s="262">
        <f>+SUM(BF128:BF131)</f>
        <v>8.1325218920785947</v>
      </c>
      <c r="BG132" s="262">
        <f>+SUM(BG128:BG131)</f>
        <v>7.9019430946343219</v>
      </c>
      <c r="BH132" s="262">
        <f>+SUM(BH128:BH131)</f>
        <v>8.3999999999999986</v>
      </c>
      <c r="BI132" s="262">
        <f>+SUM(BI128:BI131)</f>
        <v>8.3999999999999986</v>
      </c>
      <c r="BJ132" s="255"/>
      <c r="BK132" s="262">
        <f>+SUM(BK128:BK131)</f>
        <v>9.6386719234988529</v>
      </c>
      <c r="BL132" s="262">
        <f>+SUM(BL128:BL131)</f>
        <v>9.4247355372870043</v>
      </c>
      <c r="BM132" s="262">
        <f>+SUM(BM128:BM131)</f>
        <v>9.1644290638517845</v>
      </c>
      <c r="BN132" s="262">
        <f>+SUM(BN128:BN131)</f>
        <v>7.0000000000000009</v>
      </c>
      <c r="BO132" s="262">
        <f>+BN132</f>
        <v>7.0000000000000009</v>
      </c>
      <c r="BP132" s="255"/>
      <c r="BQ132" s="262">
        <f>+SUM(BQ128:BQ131)</f>
        <v>8.5732952633097774</v>
      </c>
      <c r="BR132" s="262">
        <f>+SUM(BR128:BR131)</f>
        <v>8.4197220819117824</v>
      </c>
      <c r="BS132" s="262">
        <f>+SUM(BS128:BS131)</f>
        <v>8.2199652078898655</v>
      </c>
      <c r="BT132" s="262">
        <f>+SUM(BT128:BT131)</f>
        <v>9.1265325795451275</v>
      </c>
      <c r="BU132" s="262">
        <f>+SUM(BU128:BU131)</f>
        <v>9.1265325795451275</v>
      </c>
      <c r="BV132" s="255"/>
      <c r="BW132" s="262">
        <f>+SUM(BW128:BW131)</f>
        <v>10.996131575194365</v>
      </c>
      <c r="BX132" s="262">
        <f>+SUM(BX128:BX131)</f>
        <v>10.786145950455147</v>
      </c>
      <c r="BY132" s="262">
        <f>+SUM(BY128:BY131)</f>
        <v>10.521389754679314</v>
      </c>
      <c r="BZ132" s="262">
        <f>+SUM(BZ128:BZ131)</f>
        <v>11.58647476992623</v>
      </c>
      <c r="CA132" s="262">
        <f>+SUM(CA128:CA131)</f>
        <v>11.58647476992623</v>
      </c>
      <c r="CB132" s="255"/>
      <c r="CC132" s="262">
        <f>+SUM(CC128:CC131)</f>
        <v>13.813604652738853</v>
      </c>
      <c r="CD132" s="262">
        <f>+SUM(CD128:CD131)</f>
        <v>13.537957610805359</v>
      </c>
      <c r="CE132" s="262">
        <f>+SUM(CE128:CE131)</f>
        <v>13.197460748489137</v>
      </c>
      <c r="CF132" s="262">
        <f>+SUM(CF128:CF131)</f>
        <v>14.454820570927978</v>
      </c>
      <c r="CG132" s="262">
        <f>+SUM(CG128:CG131)</f>
        <v>14.454820570927978</v>
      </c>
    </row>
    <row r="133" spans="1:86" ht="11.25" customHeight="1" x14ac:dyDescent="0.2">
      <c r="A133" s="24"/>
      <c r="B133" s="37" t="s">
        <v>251</v>
      </c>
      <c r="C133" s="166"/>
      <c r="D133" s="166"/>
      <c r="E133" s="166"/>
      <c r="F133" s="166"/>
      <c r="G133" s="166"/>
      <c r="H133" s="255"/>
      <c r="I133" s="166"/>
      <c r="J133" s="166"/>
      <c r="K133" s="166"/>
      <c r="L133" s="166"/>
      <c r="M133" s="166"/>
      <c r="N133" s="255"/>
      <c r="O133" s="166"/>
      <c r="P133" s="166"/>
      <c r="Q133" s="166"/>
      <c r="R133" s="166"/>
      <c r="S133" s="166"/>
      <c r="T133" s="255"/>
      <c r="U133" s="166"/>
      <c r="V133" s="166"/>
      <c r="W133" s="166"/>
      <c r="X133" s="166"/>
      <c r="Y133" s="166"/>
      <c r="Z133" s="255"/>
      <c r="AA133" s="166"/>
      <c r="AB133" s="166"/>
      <c r="AC133" s="166"/>
      <c r="AD133" s="166"/>
      <c r="AE133" s="166"/>
      <c r="AF133" s="255"/>
      <c r="AG133" s="166"/>
      <c r="AH133" s="166"/>
      <c r="AI133" s="166"/>
      <c r="AJ133" s="166"/>
      <c r="AK133" s="166"/>
      <c r="AL133" s="255"/>
      <c r="AM133" s="166"/>
      <c r="AN133" s="166"/>
      <c r="AO133" s="166"/>
      <c r="AP133" s="166"/>
      <c r="AQ133" s="166"/>
      <c r="AR133" s="255"/>
      <c r="AS133" s="98">
        <f>AS140/-AS130</f>
        <v>29.443736442778704</v>
      </c>
      <c r="AT133" s="98">
        <f>AT140/-AT130</f>
        <v>30.473260616130649</v>
      </c>
      <c r="AU133" s="98">
        <f>AU140/-AU130</f>
        <v>28.733461089755203</v>
      </c>
      <c r="AV133" s="98">
        <f>AV140/-AV130</f>
        <v>28.838024950875116</v>
      </c>
      <c r="AW133" s="98">
        <f>AW140/-AW130</f>
        <v>29.149786076235106</v>
      </c>
      <c r="AX133" s="255"/>
      <c r="AY133" s="98">
        <f>AY140/-AY130</f>
        <v>42.685479638055021</v>
      </c>
      <c r="AZ133" s="98">
        <v>35</v>
      </c>
      <c r="BA133" s="98">
        <f>BA140/-BA130</f>
        <v>30.188949613436947</v>
      </c>
      <c r="BB133" s="98">
        <f>+AV133*(1+BB134)</f>
        <v>30.856686697436377</v>
      </c>
      <c r="BC133" s="98">
        <f>+AVERAGE(AY133:BB133)</f>
        <v>34.682778987232091</v>
      </c>
      <c r="BD133" s="255"/>
      <c r="BE133" s="98">
        <f>+AY133*(1+BE134)</f>
        <v>45.673463212718879</v>
      </c>
      <c r="BF133" s="98">
        <f>+AZ133*(1+BF134)</f>
        <v>37.450000000000003</v>
      </c>
      <c r="BG133" s="98">
        <f>+BA133*(1+BG134)</f>
        <v>32.302176086377536</v>
      </c>
      <c r="BH133" s="1449">
        <v>30.73</v>
      </c>
      <c r="BI133" s="98">
        <f>+AVERAGE(BE133:BH133)</f>
        <v>36.538909824774102</v>
      </c>
      <c r="BJ133" s="255"/>
      <c r="BK133" s="98">
        <f>+BE133*(1+BK134)</f>
        <v>48.870605637609202</v>
      </c>
      <c r="BL133" s="98">
        <f>+BF133*(1+BL134)</f>
        <v>40.071500000000007</v>
      </c>
      <c r="BM133" s="98">
        <f>+BG133*(1+BM134)</f>
        <v>34.563328412423964</v>
      </c>
      <c r="BN133" s="1449">
        <v>35.700000000000003</v>
      </c>
      <c r="BO133" s="98">
        <f>+AVERAGE(BK133:BN133)</f>
        <v>39.801358512508301</v>
      </c>
      <c r="BP133" s="255"/>
      <c r="BQ133" s="98">
        <f>+BK133*(1+BQ134)</f>
        <v>52.291548032241849</v>
      </c>
      <c r="BR133" s="98">
        <f>+BL133*(1+BR134)</f>
        <v>42.876505000000009</v>
      </c>
      <c r="BS133" s="98">
        <f>+BM133*(1+BS134)</f>
        <v>36.982761401293644</v>
      </c>
      <c r="BT133" s="98">
        <f>+BN133*(1+BT134)</f>
        <v>38.199000000000005</v>
      </c>
      <c r="BU133" s="98">
        <f>+AVERAGE(BQ133:BT133)</f>
        <v>42.587453608383882</v>
      </c>
      <c r="BV133" s="255"/>
      <c r="BW133" s="98">
        <f>+BQ133*(1+BW134)</f>
        <v>55.951956394498779</v>
      </c>
      <c r="BX133" s="98">
        <f>+BR133*(1+BX134)</f>
        <v>45.877860350000013</v>
      </c>
      <c r="BY133" s="98">
        <f>+BS133*(1+BY134)</f>
        <v>39.571554699384201</v>
      </c>
      <c r="BZ133" s="98">
        <f>+BT133*(1+BZ134)</f>
        <v>40.872930000000011</v>
      </c>
      <c r="CA133" s="98">
        <f>+AVERAGE(BW133:BZ133)</f>
        <v>45.568575360970755</v>
      </c>
      <c r="CB133" s="255"/>
      <c r="CC133" s="98">
        <f>+BW133*(1+CC134)</f>
        <v>59.868593342113698</v>
      </c>
      <c r="CD133" s="98">
        <f>+BX133*(1+CD134)</f>
        <v>49.089310574500018</v>
      </c>
      <c r="CE133" s="98">
        <f>+BY133*(1+CE134)</f>
        <v>42.341563528341098</v>
      </c>
      <c r="CF133" s="98">
        <f>+BZ133*(1+CF134)</f>
        <v>43.734035100000014</v>
      </c>
      <c r="CG133" s="98">
        <f>+AVERAGE(CC133:CF133)</f>
        <v>48.758375636238711</v>
      </c>
    </row>
    <row r="134" spans="1:86" ht="11.25" customHeight="1" x14ac:dyDescent="0.2">
      <c r="A134" s="24"/>
      <c r="B134" s="41" t="s">
        <v>154</v>
      </c>
      <c r="C134" s="166"/>
      <c r="D134" s="166"/>
      <c r="E134" s="166"/>
      <c r="F134" s="166"/>
      <c r="G134" s="166"/>
      <c r="H134" s="255"/>
      <c r="I134" s="166"/>
      <c r="J134" s="166"/>
      <c r="K134" s="166"/>
      <c r="L134" s="166"/>
      <c r="M134" s="166"/>
      <c r="N134" s="255"/>
      <c r="O134" s="166"/>
      <c r="P134" s="166"/>
      <c r="Q134" s="166"/>
      <c r="R134" s="166"/>
      <c r="S134" s="166"/>
      <c r="T134" s="255"/>
      <c r="U134" s="166"/>
      <c r="V134" s="166"/>
      <c r="W134" s="166"/>
      <c r="X134" s="166"/>
      <c r="Y134" s="166"/>
      <c r="Z134" s="255"/>
      <c r="AA134" s="166"/>
      <c r="AB134" s="166"/>
      <c r="AC134" s="166"/>
      <c r="AD134" s="166"/>
      <c r="AE134" s="166"/>
      <c r="AF134" s="255"/>
      <c r="AG134" s="166"/>
      <c r="AH134" s="166"/>
      <c r="AI134" s="166"/>
      <c r="AJ134" s="166"/>
      <c r="AK134" s="166"/>
      <c r="AL134" s="255"/>
      <c r="AM134" s="166"/>
      <c r="AN134" s="166"/>
      <c r="AO134" s="166"/>
      <c r="AP134" s="166"/>
      <c r="AQ134" s="166"/>
      <c r="AR134" s="255"/>
      <c r="AS134" s="166"/>
      <c r="AT134" s="166"/>
      <c r="AU134" s="166"/>
      <c r="AV134" s="166"/>
      <c r="AW134" s="166"/>
      <c r="AX134" s="255"/>
      <c r="AY134" s="166"/>
      <c r="AZ134" s="166"/>
      <c r="BA134" s="166"/>
      <c r="BB134" s="264">
        <v>7.0000000000000007E-2</v>
      </c>
      <c r="BC134" s="99">
        <f>+BC133/AW133-1</f>
        <v>0.18981247054529349</v>
      </c>
      <c r="BD134" s="255"/>
      <c r="BE134" s="264">
        <v>7.0000000000000007E-2</v>
      </c>
      <c r="BF134" s="264">
        <v>7.0000000000000007E-2</v>
      </c>
      <c r="BG134" s="264">
        <v>7.0000000000000007E-2</v>
      </c>
      <c r="BH134" s="99">
        <f>BH133/BB133-1</f>
        <v>-4.1056481105244957E-3</v>
      </c>
      <c r="BI134" s="99">
        <f>+BI133/BC133-1</f>
        <v>5.3517361980287559E-2</v>
      </c>
      <c r="BJ134" s="255"/>
      <c r="BK134" s="264">
        <v>7.0000000000000007E-2</v>
      </c>
      <c r="BL134" s="264">
        <v>7.0000000000000007E-2</v>
      </c>
      <c r="BM134" s="264">
        <v>7.0000000000000007E-2</v>
      </c>
      <c r="BN134" s="264">
        <v>7.0000000000000007E-2</v>
      </c>
      <c r="BO134" s="99">
        <f>+BO133/BI133-1</f>
        <v>8.9286973896582911E-2</v>
      </c>
      <c r="BP134" s="255"/>
      <c r="BQ134" s="264">
        <v>7.0000000000000007E-2</v>
      </c>
      <c r="BR134" s="264">
        <v>7.0000000000000007E-2</v>
      </c>
      <c r="BS134" s="264">
        <v>7.0000000000000007E-2</v>
      </c>
      <c r="BT134" s="264">
        <v>7.0000000000000007E-2</v>
      </c>
      <c r="BU134" s="99">
        <f>+BU133/BO133-1</f>
        <v>7.0000000000000062E-2</v>
      </c>
      <c r="BV134" s="255"/>
      <c r="BW134" s="264">
        <v>7.0000000000000007E-2</v>
      </c>
      <c r="BX134" s="264">
        <v>7.0000000000000007E-2</v>
      </c>
      <c r="BY134" s="264">
        <v>7.0000000000000007E-2</v>
      </c>
      <c r="BZ134" s="264">
        <v>7.0000000000000007E-2</v>
      </c>
      <c r="CA134" s="99">
        <f>+CA133/BU133-1</f>
        <v>7.0000000000000062E-2</v>
      </c>
      <c r="CB134" s="255"/>
      <c r="CC134" s="264">
        <v>7.0000000000000007E-2</v>
      </c>
      <c r="CD134" s="264">
        <v>7.0000000000000007E-2</v>
      </c>
      <c r="CE134" s="264">
        <v>7.0000000000000007E-2</v>
      </c>
      <c r="CF134" s="264">
        <v>7.0000000000000007E-2</v>
      </c>
      <c r="CG134" s="99">
        <f>+CG133/CA133-1</f>
        <v>7.0000000000000062E-2</v>
      </c>
    </row>
    <row r="135" spans="1:86" ht="11.25" customHeight="1" x14ac:dyDescent="0.2">
      <c r="A135" s="24"/>
      <c r="B135" s="37"/>
      <c r="C135" s="166"/>
      <c r="D135" s="166"/>
      <c r="E135" s="166"/>
      <c r="F135" s="166"/>
      <c r="G135" s="166"/>
      <c r="H135" s="255"/>
      <c r="I135" s="166"/>
      <c r="J135" s="166"/>
      <c r="K135" s="166"/>
      <c r="L135" s="166"/>
      <c r="M135" s="166"/>
      <c r="N135" s="255"/>
      <c r="O135" s="166"/>
      <c r="P135" s="166"/>
      <c r="Q135" s="166"/>
      <c r="R135" s="166"/>
      <c r="S135" s="166"/>
      <c r="T135" s="255"/>
      <c r="U135" s="166"/>
      <c r="V135" s="166"/>
      <c r="W135" s="166"/>
      <c r="X135" s="166"/>
      <c r="Y135" s="166"/>
      <c r="Z135" s="255"/>
      <c r="AA135" s="166"/>
      <c r="AB135" s="166"/>
      <c r="AC135" s="166"/>
      <c r="AD135" s="166"/>
      <c r="AE135" s="166"/>
      <c r="AF135" s="255"/>
      <c r="AG135" s="166"/>
      <c r="AH135" s="166"/>
      <c r="AI135" s="166"/>
      <c r="AJ135" s="166"/>
      <c r="AK135" s="166"/>
      <c r="AL135" s="255"/>
      <c r="AM135" s="166"/>
      <c r="AN135" s="166"/>
      <c r="AO135" s="166"/>
      <c r="AP135" s="166"/>
      <c r="AQ135" s="166"/>
      <c r="AR135" s="255"/>
      <c r="AS135" s="166"/>
      <c r="AT135" s="166"/>
      <c r="AU135" s="166"/>
      <c r="AV135" s="166"/>
      <c r="AW135" s="166"/>
      <c r="AX135" s="255"/>
      <c r="AY135" s="166"/>
      <c r="AZ135" s="166"/>
      <c r="BA135" s="725"/>
      <c r="BB135" s="166"/>
      <c r="BC135" s="166"/>
      <c r="BD135" s="255"/>
      <c r="BE135" s="166"/>
      <c r="BF135" s="166"/>
      <c r="BG135" s="166"/>
      <c r="BH135" s="166"/>
      <c r="BI135" s="166"/>
      <c r="BJ135" s="255"/>
      <c r="BK135" s="166"/>
      <c r="BL135" s="166"/>
      <c r="BM135" s="166"/>
      <c r="BN135" s="166"/>
      <c r="BO135" s="166"/>
      <c r="BP135" s="255"/>
      <c r="BQ135" s="166"/>
      <c r="BR135" s="166"/>
      <c r="BS135" s="166"/>
      <c r="BT135" s="166"/>
      <c r="BU135" s="166"/>
      <c r="BV135" s="255"/>
      <c r="BW135" s="166"/>
      <c r="BX135" s="166"/>
      <c r="BY135" s="166"/>
      <c r="BZ135" s="166"/>
      <c r="CA135" s="166"/>
      <c r="CB135" s="255"/>
      <c r="CC135" s="166"/>
      <c r="CD135" s="166"/>
      <c r="CE135" s="166"/>
      <c r="CF135" s="166"/>
      <c r="CG135" s="166"/>
    </row>
    <row r="136" spans="1:86" ht="11.25" customHeight="1" x14ac:dyDescent="0.2">
      <c r="A136" s="24"/>
      <c r="B136" s="41" t="s">
        <v>159</v>
      </c>
      <c r="C136" s="166"/>
      <c r="D136" s="166"/>
      <c r="E136" s="166"/>
      <c r="F136" s="166"/>
      <c r="G136" s="166"/>
      <c r="H136" s="255"/>
      <c r="I136" s="166"/>
      <c r="J136" s="166"/>
      <c r="K136" s="166"/>
      <c r="L136" s="166"/>
      <c r="M136" s="166"/>
      <c r="N136" s="255"/>
      <c r="O136" s="166"/>
      <c r="P136" s="166"/>
      <c r="Q136" s="166"/>
      <c r="R136" s="166"/>
      <c r="S136" s="166"/>
      <c r="T136" s="255"/>
      <c r="U136" s="166"/>
      <c r="V136" s="166"/>
      <c r="W136" s="166"/>
      <c r="X136" s="166"/>
      <c r="Y136" s="166"/>
      <c r="Z136" s="255"/>
      <c r="AA136" s="166"/>
      <c r="AB136" s="166"/>
      <c r="AC136" s="166"/>
      <c r="AD136" s="166"/>
      <c r="AE136" s="166"/>
      <c r="AF136" s="255"/>
      <c r="AG136" s="166"/>
      <c r="AH136" s="166"/>
      <c r="AI136" s="166"/>
      <c r="AJ136" s="166"/>
      <c r="AK136" s="166"/>
      <c r="AL136" s="255"/>
      <c r="AM136" s="166"/>
      <c r="AN136" s="166"/>
      <c r="AO136" s="166"/>
      <c r="AP136" s="166"/>
      <c r="AQ136" s="166"/>
      <c r="AR136" s="255"/>
      <c r="AS136" s="166"/>
      <c r="AT136" s="166"/>
      <c r="AU136" s="166"/>
      <c r="AV136" s="166"/>
      <c r="AW136" s="166"/>
      <c r="AX136" s="255"/>
      <c r="AY136" s="166"/>
      <c r="AZ136" s="166"/>
      <c r="BA136" s="166"/>
      <c r="BB136" s="264">
        <v>0.11797676246969081</v>
      </c>
      <c r="BC136" s="99">
        <f>-BC130/BC128</f>
        <v>0.19003871594036109</v>
      </c>
      <c r="BD136" s="255"/>
      <c r="BE136" s="264">
        <v>9.1894373732100035E-2</v>
      </c>
      <c r="BF136" s="264">
        <v>0.11847509564699897</v>
      </c>
      <c r="BG136" s="264">
        <v>0.13477803890121093</v>
      </c>
      <c r="BH136" s="99">
        <f>-BH130/BH128</f>
        <v>7.7424844827071501E-2</v>
      </c>
      <c r="BI136" s="99">
        <f>-BI130/BI128</f>
        <v>0.17808219178082194</v>
      </c>
      <c r="BJ136" s="255"/>
      <c r="BK136" s="264">
        <v>9.0407655476735641E-2</v>
      </c>
      <c r="BL136" s="264">
        <v>0.11826319179910784</v>
      </c>
      <c r="BM136" s="264">
        <v>0.13331258983600219</v>
      </c>
      <c r="BN136" s="264">
        <v>0.1235146474460047</v>
      </c>
      <c r="BO136" s="99">
        <f>-BO130/BO128</f>
        <v>0.36773096176717673</v>
      </c>
      <c r="BP136" s="255"/>
      <c r="BQ136" s="264">
        <v>8.9336192394412872E-2</v>
      </c>
      <c r="BR136" s="264">
        <v>0.11840726221925164</v>
      </c>
      <c r="BS136" s="264">
        <v>0.13243652315377194</v>
      </c>
      <c r="BT136" s="264">
        <v>0.12279020454397488</v>
      </c>
      <c r="BU136" s="99">
        <f>-BU130/BU128</f>
        <v>0.13446084624133095</v>
      </c>
      <c r="BV136" s="255"/>
      <c r="BW136" s="264">
        <v>8.8677122308863085E-2</v>
      </c>
      <c r="BX136" s="264">
        <v>0.11884144696858</v>
      </c>
      <c r="BY136" s="264">
        <v>0.13208023212722375</v>
      </c>
      <c r="BZ136" s="264">
        <v>0.12253439649884383</v>
      </c>
      <c r="CA136" s="99">
        <f>-CA130/CA128</f>
        <v>0.13230598795273363</v>
      </c>
      <c r="CB136" s="255"/>
      <c r="CC136" s="264">
        <v>8.8382405320466789E-2</v>
      </c>
      <c r="CD136" s="264">
        <v>0.11947986786721587</v>
      </c>
      <c r="CE136" s="264">
        <v>0.132134410864237</v>
      </c>
      <c r="CF136" s="264">
        <v>0.12264567602219589</v>
      </c>
      <c r="CG136" s="99">
        <f>-CG130/CG128</f>
        <v>0.13122908039941572</v>
      </c>
    </row>
    <row r="137" spans="1:86" ht="11.25" customHeight="1" x14ac:dyDescent="0.2">
      <c r="A137" s="24"/>
      <c r="B137" s="41" t="s">
        <v>160</v>
      </c>
      <c r="C137" s="166"/>
      <c r="D137" s="166"/>
      <c r="E137" s="166"/>
      <c r="F137" s="166"/>
      <c r="G137" s="166"/>
      <c r="H137" s="255"/>
      <c r="I137" s="166"/>
      <c r="J137" s="166"/>
      <c r="K137" s="166"/>
      <c r="L137" s="166"/>
      <c r="M137" s="166"/>
      <c r="N137" s="255"/>
      <c r="O137" s="166"/>
      <c r="P137" s="166"/>
      <c r="Q137" s="166"/>
      <c r="R137" s="166"/>
      <c r="S137" s="166"/>
      <c r="T137" s="255"/>
      <c r="U137" s="166"/>
      <c r="V137" s="166"/>
      <c r="W137" s="166"/>
      <c r="X137" s="166"/>
      <c r="Y137" s="166"/>
      <c r="Z137" s="255"/>
      <c r="AA137" s="166"/>
      <c r="AB137" s="166"/>
      <c r="AC137" s="166"/>
      <c r="AD137" s="166"/>
      <c r="AE137" s="166"/>
      <c r="AF137" s="255"/>
      <c r="AG137" s="166"/>
      <c r="AH137" s="166"/>
      <c r="AI137" s="166"/>
      <c r="AJ137" s="166"/>
      <c r="AK137" s="166"/>
      <c r="AL137" s="255"/>
      <c r="AM137" s="166"/>
      <c r="AN137" s="166"/>
      <c r="AO137" s="166"/>
      <c r="AP137" s="166"/>
      <c r="AQ137" s="166"/>
      <c r="AR137" s="255"/>
      <c r="AS137" s="166"/>
      <c r="AT137" s="166"/>
      <c r="AU137" s="166"/>
      <c r="AV137" s="166"/>
      <c r="AW137" s="166"/>
      <c r="AX137" s="255"/>
      <c r="AY137" s="166"/>
      <c r="AZ137" s="166"/>
      <c r="BA137" s="166"/>
      <c r="BB137" s="264">
        <v>0.02</v>
      </c>
      <c r="BC137" s="99">
        <f>-BC131/BC128</f>
        <v>-4.2352572554978318E-2</v>
      </c>
      <c r="BD137" s="255"/>
      <c r="BE137" s="264">
        <v>0.02</v>
      </c>
      <c r="BF137" s="264">
        <v>0.02</v>
      </c>
      <c r="BG137" s="264">
        <v>0.02</v>
      </c>
      <c r="BH137" s="99">
        <f>-BH131/BH128</f>
        <v>-1.5030325057736171E-2</v>
      </c>
      <c r="BI137" s="99">
        <f>-BI131/BI128</f>
        <v>0</v>
      </c>
      <c r="BJ137" s="255"/>
      <c r="BK137" s="264">
        <v>0.02</v>
      </c>
      <c r="BL137" s="264">
        <v>0.02</v>
      </c>
      <c r="BM137" s="264">
        <v>0.02</v>
      </c>
      <c r="BN137" s="264">
        <v>0.02</v>
      </c>
      <c r="BO137" s="99">
        <f>-BO131/BO128</f>
        <v>2.825202825046778E-2</v>
      </c>
      <c r="BP137" s="255"/>
      <c r="BQ137" s="264">
        <v>0.02</v>
      </c>
      <c r="BR137" s="264">
        <v>0.02</v>
      </c>
      <c r="BS137" s="264">
        <v>0.02</v>
      </c>
      <c r="BT137" s="264">
        <v>0.02</v>
      </c>
      <c r="BU137" s="99">
        <f>-BU131/BU128</f>
        <v>2.3009273252222448E-2</v>
      </c>
      <c r="BV137" s="255"/>
      <c r="BW137" s="264">
        <v>0.02</v>
      </c>
      <c r="BX137" s="264">
        <v>0.02</v>
      </c>
      <c r="BY137" s="264">
        <v>0.02</v>
      </c>
      <c r="BZ137" s="264">
        <v>0.02</v>
      </c>
      <c r="CA137" s="99">
        <f>-CA131/CA128</f>
        <v>2.2697667213027611E-2</v>
      </c>
      <c r="CB137" s="255"/>
      <c r="CC137" s="264">
        <v>0.02</v>
      </c>
      <c r="CD137" s="264">
        <v>0.02</v>
      </c>
      <c r="CE137" s="264">
        <v>0.02</v>
      </c>
      <c r="CF137" s="264">
        <v>0.02</v>
      </c>
      <c r="CG137" s="99">
        <f>-CG131/CG128</f>
        <v>2.2498429771444419E-2</v>
      </c>
    </row>
    <row r="138" spans="1:86" ht="11.25" customHeight="1" x14ac:dyDescent="0.2">
      <c r="A138" s="24"/>
      <c r="B138" s="41" t="s">
        <v>161</v>
      </c>
      <c r="C138" s="166"/>
      <c r="D138" s="166"/>
      <c r="E138" s="166"/>
      <c r="F138" s="166"/>
      <c r="G138" s="166"/>
      <c r="H138" s="255"/>
      <c r="I138" s="166"/>
      <c r="J138" s="166"/>
      <c r="K138" s="166"/>
      <c r="L138" s="166"/>
      <c r="M138" s="166"/>
      <c r="N138" s="255"/>
      <c r="O138" s="166"/>
      <c r="P138" s="166"/>
      <c r="Q138" s="166"/>
      <c r="R138" s="166"/>
      <c r="S138" s="166"/>
      <c r="T138" s="255"/>
      <c r="U138" s="166"/>
      <c r="V138" s="166"/>
      <c r="W138" s="166"/>
      <c r="X138" s="166"/>
      <c r="Y138" s="166"/>
      <c r="Z138" s="255"/>
      <c r="AA138" s="166"/>
      <c r="AB138" s="166"/>
      <c r="AC138" s="166"/>
      <c r="AD138" s="166"/>
      <c r="AE138" s="166"/>
      <c r="AF138" s="255"/>
      <c r="AG138" s="166"/>
      <c r="AH138" s="166"/>
      <c r="AI138" s="166"/>
      <c r="AJ138" s="166"/>
      <c r="AK138" s="166"/>
      <c r="AL138" s="255"/>
      <c r="AM138" s="166"/>
      <c r="AN138" s="166"/>
      <c r="AO138" s="166"/>
      <c r="AP138" s="166"/>
      <c r="AQ138" s="166"/>
      <c r="AR138" s="255"/>
      <c r="AS138" s="166"/>
      <c r="AT138" s="166"/>
      <c r="AU138" s="166"/>
      <c r="AV138" s="166"/>
      <c r="AW138" s="166"/>
      <c r="AX138" s="255"/>
      <c r="AY138" s="166"/>
      <c r="AZ138" s="166"/>
      <c r="BA138" s="166"/>
      <c r="BB138" s="90"/>
      <c r="BC138" s="166"/>
      <c r="BD138" s="255"/>
      <c r="BE138" s="90">
        <v>0.2</v>
      </c>
      <c r="BF138" s="90">
        <v>0.2</v>
      </c>
      <c r="BG138" s="90">
        <v>0.2</v>
      </c>
      <c r="BH138" s="89">
        <f>IF(ISERROR(BH129/BB129-1),"NM",BH129/BB129-1)</f>
        <v>13.140796609957901</v>
      </c>
      <c r="BI138" s="89">
        <f>IF(ISERROR(BI129/BC129-1),"NM",BI129/BC129-1)</f>
        <v>0.92898870155148972</v>
      </c>
      <c r="BJ138" s="255"/>
      <c r="BK138" s="90">
        <v>0.2</v>
      </c>
      <c r="BL138" s="90">
        <v>0.2</v>
      </c>
      <c r="BM138" s="90">
        <v>0.2</v>
      </c>
      <c r="BN138" s="90">
        <v>0.2</v>
      </c>
      <c r="BO138" s="89">
        <f>IF(ISERROR(BO129/BI129-1),"NM",BO129/BI129-1)</f>
        <v>0.12111924166666665</v>
      </c>
      <c r="BP138" s="255"/>
      <c r="BQ138" s="90">
        <v>0.2</v>
      </c>
      <c r="BR138" s="90">
        <v>0.2</v>
      </c>
      <c r="BS138" s="90">
        <v>0.2</v>
      </c>
      <c r="BT138" s="90">
        <v>0.2</v>
      </c>
      <c r="BU138" s="89">
        <f>IF(ISERROR(BU129/BO129-1),"NM",BU129/BO129-1)</f>
        <v>0.20000000000000018</v>
      </c>
      <c r="BV138" s="255"/>
      <c r="BW138" s="90">
        <v>0.2</v>
      </c>
      <c r="BX138" s="90">
        <v>0.2</v>
      </c>
      <c r="BY138" s="90">
        <v>0.2</v>
      </c>
      <c r="BZ138" s="90">
        <v>0.2</v>
      </c>
      <c r="CA138" s="89">
        <f>IF(ISERROR(CA129/BU129-1),"NM",CA129/BU129-1)</f>
        <v>0.19999999999999973</v>
      </c>
      <c r="CB138" s="255"/>
      <c r="CC138" s="90">
        <v>0.2</v>
      </c>
      <c r="CD138" s="90">
        <v>0.2</v>
      </c>
      <c r="CE138" s="90">
        <v>0.2</v>
      </c>
      <c r="CF138" s="90">
        <v>0.2</v>
      </c>
      <c r="CG138" s="89">
        <f>IF(ISERROR(CG129/CA129-1),"NM",CG129/CA129-1)</f>
        <v>0.19999999999999973</v>
      </c>
    </row>
    <row r="139" spans="1:86" ht="11.25" customHeight="1" x14ac:dyDescent="0.2">
      <c r="A139" s="24"/>
      <c r="B139" s="24"/>
      <c r="C139" s="166"/>
      <c r="D139" s="166"/>
      <c r="E139" s="166"/>
      <c r="F139" s="166"/>
      <c r="G139" s="166"/>
      <c r="H139" s="255"/>
      <c r="I139" s="166"/>
      <c r="J139" s="166"/>
      <c r="K139" s="166"/>
      <c r="L139" s="166"/>
      <c r="M139" s="166"/>
      <c r="N139" s="255"/>
      <c r="O139" s="166"/>
      <c r="P139" s="166"/>
      <c r="Q139" s="166"/>
      <c r="R139" s="166"/>
      <c r="S139" s="166"/>
      <c r="T139" s="255"/>
      <c r="U139" s="166"/>
      <c r="V139" s="166"/>
      <c r="W139" s="166"/>
      <c r="X139" s="166"/>
      <c r="Y139" s="166"/>
      <c r="Z139" s="255"/>
      <c r="AA139" s="166"/>
      <c r="AB139" s="166"/>
      <c r="AC139" s="166"/>
      <c r="AD139" s="166"/>
      <c r="AE139" s="166"/>
      <c r="AF139" s="255"/>
      <c r="AG139" s="166"/>
      <c r="AH139" s="166"/>
      <c r="AI139" s="166"/>
      <c r="AJ139" s="166"/>
      <c r="AK139" s="166"/>
      <c r="AL139" s="255"/>
      <c r="AM139" s="166"/>
      <c r="AN139" s="166"/>
      <c r="AO139" s="166"/>
      <c r="AP139" s="166"/>
      <c r="AQ139" s="166"/>
      <c r="AR139" s="255"/>
      <c r="AS139" s="166"/>
      <c r="AT139" s="166"/>
      <c r="AU139" s="166"/>
      <c r="AV139" s="166"/>
      <c r="AW139" s="166"/>
      <c r="AX139" s="255"/>
      <c r="AY139" s="166"/>
      <c r="AZ139" s="166"/>
      <c r="BA139" s="166"/>
      <c r="BB139" s="166"/>
      <c r="BC139" s="166"/>
      <c r="BD139" s="255"/>
      <c r="BE139" s="166"/>
      <c r="BF139" s="166"/>
      <c r="BG139" s="166"/>
      <c r="BH139" s="166"/>
      <c r="BI139" s="166"/>
      <c r="BJ139" s="255"/>
      <c r="BK139" s="166"/>
      <c r="BL139" s="166"/>
      <c r="BM139" s="166"/>
      <c r="BN139" s="166"/>
      <c r="BO139" s="166"/>
      <c r="BP139" s="255"/>
      <c r="BQ139" s="166"/>
      <c r="BR139" s="166"/>
      <c r="BS139" s="166"/>
      <c r="BT139" s="166"/>
      <c r="BU139" s="166"/>
      <c r="BV139" s="255"/>
      <c r="BW139" s="166"/>
      <c r="BX139" s="166"/>
      <c r="BY139" s="166"/>
      <c r="BZ139" s="166"/>
      <c r="CA139" s="166"/>
      <c r="CB139" s="255"/>
      <c r="CC139" s="166"/>
      <c r="CD139" s="166"/>
      <c r="CE139" s="166"/>
      <c r="CF139" s="166"/>
      <c r="CG139" s="166"/>
    </row>
    <row r="140" spans="1:86" ht="11.25" customHeight="1" x14ac:dyDescent="0.2">
      <c r="B140" s="655" t="s">
        <v>173</v>
      </c>
      <c r="C140" s="184">
        <f>C50</f>
        <v>13.262</v>
      </c>
      <c r="D140" s="184">
        <f>D50</f>
        <v>13.05</v>
      </c>
      <c r="E140" s="184">
        <f>E50</f>
        <v>12.383999999999997</v>
      </c>
      <c r="F140" s="184">
        <f>F50</f>
        <v>6.8980000000000032</v>
      </c>
      <c r="G140" s="184">
        <f>G50</f>
        <v>45.594000000000001</v>
      </c>
      <c r="H140" s="146"/>
      <c r="I140" s="184">
        <f>I50</f>
        <v>3.016</v>
      </c>
      <c r="J140" s="184">
        <f>J50</f>
        <v>2.7249999999999996</v>
      </c>
      <c r="K140" s="184">
        <f>K50</f>
        <v>6.2490000000000006</v>
      </c>
      <c r="L140" s="184">
        <f>L50</f>
        <v>0.73600000000000065</v>
      </c>
      <c r="M140" s="184">
        <f>M50</f>
        <v>12.726000000000001</v>
      </c>
      <c r="N140" s="146"/>
      <c r="O140" s="184">
        <f>O50</f>
        <v>1.36</v>
      </c>
      <c r="P140" s="184">
        <f>P50</f>
        <v>4.4899999999999993</v>
      </c>
      <c r="Q140" s="184">
        <f>Q50</f>
        <v>3.6010000000000009</v>
      </c>
      <c r="R140" s="184">
        <f>R50</f>
        <v>3.9550000000000001</v>
      </c>
      <c r="S140" s="184">
        <f>S50</f>
        <v>13.406000000000001</v>
      </c>
      <c r="T140" s="146"/>
      <c r="U140" s="184">
        <f>U50</f>
        <v>7.4029999999999996</v>
      </c>
      <c r="V140" s="184">
        <f>V50</f>
        <v>18.442</v>
      </c>
      <c r="W140" s="184">
        <f>W50</f>
        <v>1.0869999999999997</v>
      </c>
      <c r="X140" s="184">
        <f>X50</f>
        <v>3.2570000000000014</v>
      </c>
      <c r="Y140" s="184">
        <f>Y50</f>
        <v>30.189</v>
      </c>
      <c r="Z140" s="146"/>
      <c r="AA140" s="184">
        <f>AA50</f>
        <v>22.170999999999999</v>
      </c>
      <c r="AB140" s="184">
        <f>AB50</f>
        <v>11.822000000000003</v>
      </c>
      <c r="AC140" s="184">
        <f>AC50</f>
        <v>2.2999999999999998</v>
      </c>
      <c r="AD140" s="184">
        <f>AD50</f>
        <v>5.9819999999999993</v>
      </c>
      <c r="AE140" s="184">
        <f>AE50</f>
        <v>42.274999999999999</v>
      </c>
      <c r="AF140" s="146"/>
      <c r="AG140" s="184">
        <f>AG50</f>
        <v>14.483000000000001</v>
      </c>
      <c r="AH140" s="184">
        <f>AH50</f>
        <v>5.5829999999999984</v>
      </c>
      <c r="AI140" s="184">
        <f>AI50</f>
        <v>4.7639999999999993</v>
      </c>
      <c r="AJ140" s="184">
        <f>AJ50</f>
        <v>9.3530000000000015</v>
      </c>
      <c r="AK140" s="184">
        <f>AK50</f>
        <v>34.183</v>
      </c>
      <c r="AL140" s="146"/>
      <c r="AM140" s="184">
        <f>AM50</f>
        <v>13.577999999999999</v>
      </c>
      <c r="AN140" s="184">
        <f>AN50</f>
        <v>17.635000000000002</v>
      </c>
      <c r="AO140" s="184">
        <f>AO50</f>
        <v>17.137</v>
      </c>
      <c r="AP140" s="184">
        <f>AP50</f>
        <v>18.562999999999992</v>
      </c>
      <c r="AQ140" s="184">
        <f>AQ50</f>
        <v>66.912999999999997</v>
      </c>
      <c r="AR140" s="146"/>
      <c r="AS140" s="184">
        <f>AS50</f>
        <v>4.149</v>
      </c>
      <c r="AT140" s="184">
        <f t="shared" ref="AT140:BA140" si="87">AT50</f>
        <v>8.5869999999999997</v>
      </c>
      <c r="AU140" s="184">
        <f t="shared" si="87"/>
        <v>5.9970000000000008</v>
      </c>
      <c r="AV140" s="184">
        <f t="shared" si="87"/>
        <v>30.291</v>
      </c>
      <c r="AW140" s="184">
        <f t="shared" si="87"/>
        <v>49.024000000000001</v>
      </c>
      <c r="AX140" s="146"/>
      <c r="AY140" s="184">
        <f t="shared" si="87"/>
        <v>14.065</v>
      </c>
      <c r="AZ140" s="184">
        <f t="shared" si="87"/>
        <v>4.5320000000000018</v>
      </c>
      <c r="BA140" s="184">
        <f t="shared" si="87"/>
        <v>8.6029999999999998</v>
      </c>
      <c r="BB140" s="184">
        <f>-BB130*BB133</f>
        <v>8.5380768692239002</v>
      </c>
      <c r="BC140" s="184">
        <f>SUM(AY140:BB140)</f>
        <v>35.738076869223903</v>
      </c>
      <c r="BD140" s="146"/>
      <c r="BE140" s="184">
        <f>-BE130*BE133</f>
        <v>7.6597700940487625</v>
      </c>
      <c r="BF140" s="184">
        <f>-BF130*BF133</f>
        <v>9.2301034651724549</v>
      </c>
      <c r="BG140" s="184">
        <f>-BG130*BG133</f>
        <v>8.8514855109800514</v>
      </c>
      <c r="BH140" s="184">
        <f>-BH130*BH133</f>
        <v>18.800820442124468</v>
      </c>
      <c r="BI140" s="184">
        <f>SUM(BE140:BH140)</f>
        <v>44.542179512325738</v>
      </c>
      <c r="BJ140" s="146"/>
      <c r="BK140" s="184">
        <f>-BK130*BK133</f>
        <v>9.2783814425912112</v>
      </c>
      <c r="BL140" s="184">
        <f>-BL130*BL133</f>
        <v>11.419376778175705</v>
      </c>
      <c r="BM140" s="184">
        <f>-BM130*BM133</f>
        <v>10.856651686095338</v>
      </c>
      <c r="BN140" s="184">
        <f>-BN130*BN133</f>
        <v>82.11</v>
      </c>
      <c r="BO140" s="184">
        <f>SUM(BK140:BN140)</f>
        <v>113.66440990686226</v>
      </c>
      <c r="BP140" s="146"/>
      <c r="BQ140" s="184">
        <f>-BQ130*BQ133</f>
        <v>8.1751736423175707</v>
      </c>
      <c r="BR140" s="184">
        <f>-BR130*BR133</f>
        <v>10.881418326950199</v>
      </c>
      <c r="BS140" s="184">
        <f>-BS130*BS133</f>
        <v>10.309672547018934</v>
      </c>
      <c r="BT140" s="184">
        <f>-BT130*BT133</f>
        <v>9.6388607152597121</v>
      </c>
      <c r="BU140" s="184">
        <f>SUM(BQ140:BT140)</f>
        <v>39.005125231546415</v>
      </c>
      <c r="BV140" s="146"/>
      <c r="BW140" s="184">
        <f>-BW130*BW133</f>
        <v>11.320684442977617</v>
      </c>
      <c r="BX140" s="184">
        <f>-BX130*BX133</f>
        <v>14.988253248470169</v>
      </c>
      <c r="BY140" s="184">
        <f>-BY130*BY133</f>
        <v>14.093771888331023</v>
      </c>
      <c r="BZ140" s="184">
        <f>-BZ130*BZ133</f>
        <v>13.173673793035233</v>
      </c>
      <c r="CA140" s="184">
        <f>SUM(BW140:BZ140)</f>
        <v>53.57638337281405</v>
      </c>
      <c r="CB140" s="146"/>
      <c r="CC140" s="184">
        <f>-CC130*CC133</f>
        <v>15.326966205046235</v>
      </c>
      <c r="CD140" s="184">
        <f>-CD130*CD133</f>
        <v>20.254834425964869</v>
      </c>
      <c r="CE140" s="184">
        <f>-CE130*CE133</f>
        <v>18.93546533483633</v>
      </c>
      <c r="CF140" s="184">
        <f>-CF130*CF133</f>
        <v>17.697102986903403</v>
      </c>
      <c r="CG140" s="184">
        <f>SUM(CC140:CF140)</f>
        <v>72.214368952750846</v>
      </c>
    </row>
    <row r="141" spans="1:86" ht="11.25" customHeight="1" x14ac:dyDescent="0.2">
      <c r="A141" s="24"/>
      <c r="B141" s="37"/>
      <c r="C141" s="166"/>
      <c r="D141" s="166"/>
      <c r="E141" s="166"/>
      <c r="F141" s="166"/>
      <c r="G141" s="166"/>
      <c r="H141" s="255"/>
      <c r="I141" s="166"/>
      <c r="J141" s="166"/>
      <c r="K141" s="166"/>
      <c r="L141" s="166"/>
      <c r="M141" s="166"/>
      <c r="N141" s="255"/>
      <c r="O141" s="166"/>
      <c r="P141" s="166"/>
      <c r="Q141" s="166"/>
      <c r="R141" s="166"/>
      <c r="S141" s="166"/>
      <c r="T141" s="255"/>
      <c r="U141" s="166"/>
      <c r="V141" s="166"/>
      <c r="W141" s="166"/>
      <c r="X141" s="166"/>
      <c r="Y141" s="166"/>
      <c r="Z141" s="255"/>
      <c r="AA141" s="166"/>
      <c r="AB141" s="166"/>
      <c r="AC141" s="166"/>
      <c r="AD141" s="166"/>
      <c r="AE141" s="166"/>
      <c r="AF141" s="255"/>
      <c r="AG141" s="166"/>
      <c r="AH141" s="166"/>
      <c r="AI141" s="166"/>
      <c r="AJ141" s="166"/>
      <c r="AK141" s="166"/>
      <c r="AL141" s="255"/>
      <c r="AM141" s="166"/>
      <c r="AN141" s="166"/>
      <c r="AO141" s="166"/>
      <c r="AP141" s="166"/>
      <c r="AQ141" s="166"/>
      <c r="AR141" s="255"/>
      <c r="AS141" s="166"/>
      <c r="AT141" s="166"/>
      <c r="AU141" s="166"/>
      <c r="AV141" s="166"/>
      <c r="AW141" s="166"/>
      <c r="AX141" s="255"/>
      <c r="AY141" s="166"/>
      <c r="AZ141" s="166"/>
      <c r="BA141" s="166"/>
      <c r="BB141" s="505"/>
      <c r="BC141" s="505"/>
      <c r="BD141" s="255"/>
      <c r="BE141" s="505"/>
      <c r="BF141" s="505"/>
      <c r="BG141" s="505"/>
      <c r="BH141" s="505"/>
      <c r="BI141" s="505"/>
      <c r="BJ141" s="255"/>
      <c r="BL141" s="900"/>
      <c r="BM141" s="901"/>
      <c r="BN141" s="802"/>
      <c r="BO141" s="805"/>
      <c r="BP141" s="255"/>
      <c r="BQ141" s="505"/>
      <c r="BR141" s="900"/>
      <c r="BS141" s="505"/>
      <c r="BT141" s="534"/>
      <c r="BU141" s="505"/>
      <c r="BV141" s="255"/>
      <c r="BW141" s="505"/>
      <c r="BX141" s="505"/>
      <c r="BY141" s="505"/>
      <c r="BZ141" s="505"/>
      <c r="CA141" s="505"/>
      <c r="CB141" s="255"/>
      <c r="CC141" s="505"/>
      <c r="CD141" s="505"/>
      <c r="CE141" s="505"/>
      <c r="CF141" s="505"/>
      <c r="CG141" s="505"/>
    </row>
    <row r="142" spans="1:86" ht="11.25" customHeight="1" x14ac:dyDescent="0.2">
      <c r="A142" s="24"/>
      <c r="B142" s="15" t="s">
        <v>163</v>
      </c>
      <c r="C142" s="166"/>
      <c r="D142" s="166"/>
      <c r="E142" s="166"/>
      <c r="F142" s="166"/>
      <c r="G142" s="166"/>
      <c r="H142" s="255"/>
      <c r="I142" s="166"/>
      <c r="J142" s="166"/>
      <c r="K142" s="166"/>
      <c r="L142" s="166"/>
      <c r="M142" s="166"/>
      <c r="N142" s="255"/>
      <c r="O142" s="166"/>
      <c r="P142" s="166"/>
      <c r="Q142" s="166"/>
      <c r="R142" s="166"/>
      <c r="S142" s="166"/>
      <c r="T142" s="255"/>
      <c r="U142" s="166"/>
      <c r="V142" s="166"/>
      <c r="W142" s="166"/>
      <c r="X142" s="166"/>
      <c r="Y142" s="166"/>
      <c r="Z142" s="255"/>
      <c r="AA142" s="166"/>
      <c r="AB142" s="166"/>
      <c r="AC142" s="166"/>
      <c r="AD142" s="166"/>
      <c r="AE142" s="166"/>
      <c r="AF142" s="255"/>
      <c r="AG142" s="166"/>
      <c r="AH142" s="166"/>
      <c r="AI142" s="166"/>
      <c r="AJ142" s="166"/>
      <c r="AK142" s="166"/>
      <c r="AL142" s="255"/>
      <c r="AM142" s="166"/>
      <c r="AN142" s="166"/>
      <c r="AO142" s="166"/>
      <c r="AP142" s="166"/>
      <c r="AQ142" s="166"/>
      <c r="AR142" s="255"/>
      <c r="AS142" s="166"/>
      <c r="AT142" s="166"/>
      <c r="AU142" s="166"/>
      <c r="AV142" s="166"/>
      <c r="AW142" s="166"/>
      <c r="AX142" s="255"/>
      <c r="AY142" s="166"/>
      <c r="AZ142" s="166"/>
      <c r="BA142" s="166"/>
      <c r="BB142" s="724"/>
      <c r="BC142" s="724"/>
      <c r="BD142" s="255"/>
      <c r="BE142" s="724"/>
      <c r="BF142" s="724"/>
      <c r="BG142" s="724"/>
      <c r="BH142" s="724"/>
      <c r="BI142" s="724"/>
      <c r="BJ142" s="255"/>
      <c r="BK142" s="724"/>
      <c r="BL142" s="724"/>
      <c r="BM142" s="724"/>
      <c r="BN142" s="724"/>
      <c r="BO142" s="724"/>
      <c r="BP142" s="255"/>
      <c r="BQ142" s="724"/>
      <c r="BR142" s="724"/>
      <c r="BS142" s="724"/>
      <c r="BT142" s="724"/>
      <c r="BU142" s="724"/>
      <c r="BV142" s="255"/>
      <c r="BW142" s="724"/>
      <c r="BX142" s="724"/>
      <c r="BY142" s="724"/>
      <c r="BZ142" s="724"/>
      <c r="CA142" s="724"/>
      <c r="CB142" s="255"/>
      <c r="CC142" s="724"/>
      <c r="CD142" s="724"/>
      <c r="CE142" s="724"/>
      <c r="CF142" s="724"/>
      <c r="CG142" s="724"/>
    </row>
    <row r="143" spans="1:86" ht="11.25" customHeight="1" x14ac:dyDescent="0.2">
      <c r="A143" s="24"/>
      <c r="B143" s="37" t="s">
        <v>164</v>
      </c>
      <c r="C143" s="166"/>
      <c r="D143" s="166"/>
      <c r="E143" s="166"/>
      <c r="F143" s="166"/>
      <c r="G143" s="166"/>
      <c r="H143" s="255"/>
      <c r="I143" s="166"/>
      <c r="J143" s="166"/>
      <c r="K143" s="166"/>
      <c r="L143" s="166"/>
      <c r="M143" s="166"/>
      <c r="N143" s="255"/>
      <c r="O143" s="166"/>
      <c r="P143" s="166"/>
      <c r="Q143" s="166"/>
      <c r="R143" s="166"/>
      <c r="S143" s="166"/>
      <c r="T143" s="255"/>
      <c r="U143" s="166"/>
      <c r="V143" s="166"/>
      <c r="W143" s="166"/>
      <c r="X143" s="166"/>
      <c r="Y143" s="166"/>
      <c r="Z143" s="255"/>
      <c r="AA143" s="166"/>
      <c r="AB143" s="166"/>
      <c r="AC143" s="166"/>
      <c r="AD143" s="166"/>
      <c r="AE143" s="166"/>
      <c r="AF143" s="255"/>
      <c r="AG143" s="166"/>
      <c r="AH143" s="166"/>
      <c r="AI143" s="166"/>
      <c r="AJ143" s="166"/>
      <c r="AK143" s="166"/>
      <c r="AL143" s="255"/>
      <c r="AM143" s="166"/>
      <c r="AN143" s="166"/>
      <c r="AO143" s="166"/>
      <c r="AP143" s="166"/>
      <c r="AQ143" s="166"/>
      <c r="AR143" s="255"/>
      <c r="AS143" s="166"/>
      <c r="AT143" s="166"/>
      <c r="AU143" s="166"/>
      <c r="AV143" s="166"/>
      <c r="AW143" s="166"/>
      <c r="AX143" s="255"/>
      <c r="AY143" s="166"/>
      <c r="AZ143" s="166"/>
      <c r="BA143" s="166"/>
      <c r="BB143" s="166"/>
      <c r="BC143" s="166"/>
      <c r="BD143" s="255"/>
      <c r="BE143" s="990">
        <v>-8.1999999999999993</v>
      </c>
      <c r="BF143" s="990">
        <f>-9.8-BE143</f>
        <v>-1.6000000000000014</v>
      </c>
      <c r="BG143" s="990">
        <f>-11.4-SUM(BE143:BF143)</f>
        <v>-1.5999999999999996</v>
      </c>
      <c r="BH143" s="184">
        <f>BH144/BH148</f>
        <v>-1.9809147745969065</v>
      </c>
      <c r="BI143" s="184">
        <f>SUM(BE143:BH143)</f>
        <v>-13.380914774596906</v>
      </c>
      <c r="BJ143" s="255"/>
      <c r="BK143" s="990">
        <v>-1.4</v>
      </c>
      <c r="BL143" s="990">
        <f>-2.4-BK143</f>
        <v>-1</v>
      </c>
      <c r="BM143" s="990">
        <f>-2.4-BK143-BL143</f>
        <v>0</v>
      </c>
      <c r="BN143" s="184">
        <f>+BN144/BN148</f>
        <v>-3.8649068322981366</v>
      </c>
      <c r="BO143" s="184">
        <f>SUM(BK143:BN143)</f>
        <v>-6.2649068322981361</v>
      </c>
      <c r="BP143" s="255"/>
      <c r="BQ143" s="184">
        <f>+BQ144/BQ148</f>
        <v>-2.0833333333333335</v>
      </c>
      <c r="BR143" s="184">
        <f>+BR144/BR148</f>
        <v>-2.0833333333333335</v>
      </c>
      <c r="BS143" s="184">
        <f>+BS144/BS148</f>
        <v>-1.9025875190258748</v>
      </c>
      <c r="BT143" s="184">
        <f>+BT144/BT148</f>
        <v>-1.9409937888198756</v>
      </c>
      <c r="BU143" s="184">
        <f>SUM(BQ143:BT143)</f>
        <v>-8.0102479745124171</v>
      </c>
      <c r="BV143" s="255"/>
      <c r="BW143" s="184">
        <f>+BW144/BW148</f>
        <v>-2.3291925465838506</v>
      </c>
      <c r="BX143" s="184">
        <f>+BX144/BX148</f>
        <v>-2</v>
      </c>
      <c r="BY143" s="184">
        <f>+BY144/BY148</f>
        <v>-2.1538726630481597</v>
      </c>
      <c r="BZ143" s="184">
        <f>+BZ144/BZ148</f>
        <v>-2.2182786157941434</v>
      </c>
      <c r="CA143" s="184">
        <f>SUM(BW143:BZ143)</f>
        <v>-8.7013438254261537</v>
      </c>
      <c r="CB143" s="255"/>
      <c r="CC143" s="184">
        <f>+CC144/CC148</f>
        <v>-2.2182786157941434</v>
      </c>
      <c r="CD143" s="184">
        <f>+CD144/CD148</f>
        <v>-1.8987341772151898</v>
      </c>
      <c r="CE143" s="184">
        <f>+CE144/CE148</f>
        <v>-2.0513072981411047</v>
      </c>
      <c r="CF143" s="184">
        <f>+CF144/CF148</f>
        <v>-2.1126463007563272</v>
      </c>
      <c r="CG143" s="184">
        <f>SUM(CC143:CF143)</f>
        <v>-8.280966391906766</v>
      </c>
    </row>
    <row r="144" spans="1:86" ht="11.25" customHeight="1" x14ac:dyDescent="0.2">
      <c r="B144" s="655" t="s">
        <v>165</v>
      </c>
      <c r="C144" s="184">
        <f>C44</f>
        <v>-11.526999999999999</v>
      </c>
      <c r="D144" s="184">
        <f>D44</f>
        <v>-32.695</v>
      </c>
      <c r="E144" s="184">
        <f>E44</f>
        <v>-43.919999999999995</v>
      </c>
      <c r="F144" s="184">
        <f>F44</f>
        <v>-37.28</v>
      </c>
      <c r="G144" s="184">
        <f>G44</f>
        <v>-125.422</v>
      </c>
      <c r="H144" s="146"/>
      <c r="I144" s="184">
        <f>I44</f>
        <v>-87.823999999999998</v>
      </c>
      <c r="J144" s="184">
        <f>J44</f>
        <v>-7.6430000000000007</v>
      </c>
      <c r="K144" s="184">
        <f>K44</f>
        <v>-4.304000000000002</v>
      </c>
      <c r="L144" s="184">
        <f>L44</f>
        <v>-12.863</v>
      </c>
      <c r="M144" s="184">
        <f>M44</f>
        <v>-112.634</v>
      </c>
      <c r="N144" s="146"/>
      <c r="O144" s="184">
        <f>O44</f>
        <v>-4.6639999999999997</v>
      </c>
      <c r="P144" s="184">
        <f>P44</f>
        <v>-5.1140000000000008</v>
      </c>
      <c r="Q144" s="184">
        <f>Q44</f>
        <v>-11.475</v>
      </c>
      <c r="R144" s="184">
        <f>R44</f>
        <v>-57.465000000000003</v>
      </c>
      <c r="S144" s="184">
        <f>S44</f>
        <v>-78.718000000000004</v>
      </c>
      <c r="T144" s="146"/>
      <c r="U144" s="184">
        <f>U44</f>
        <v>-41.423000000000002</v>
      </c>
      <c r="V144" s="184">
        <f>V44</f>
        <v>-135.20699999999999</v>
      </c>
      <c r="W144" s="184">
        <f>W44</f>
        <v>-31.905000000000001</v>
      </c>
      <c r="X144" s="184">
        <f>X44</f>
        <v>-15.457999999999998</v>
      </c>
      <c r="Y144" s="184">
        <f>Y44</f>
        <v>-223.99299999999999</v>
      </c>
      <c r="Z144" s="146"/>
      <c r="AA144" s="184">
        <f>AA44</f>
        <v>-73.679000000000002</v>
      </c>
      <c r="AB144" s="184">
        <f>AB44</f>
        <v>-5.820999999999998</v>
      </c>
      <c r="AC144" s="184">
        <f>AC44</f>
        <v>0</v>
      </c>
      <c r="AD144" s="184">
        <f>AD44</f>
        <v>0</v>
      </c>
      <c r="AE144" s="184">
        <f>AE44</f>
        <v>-79.5</v>
      </c>
      <c r="AF144" s="146"/>
      <c r="AG144" s="184">
        <f>AG44</f>
        <v>-30.869</v>
      </c>
      <c r="AH144" s="184">
        <f>AH44</f>
        <v>-7.9710000000000036</v>
      </c>
      <c r="AI144" s="184">
        <f>AI44</f>
        <v>1.0000000000047748E-3</v>
      </c>
      <c r="AJ144" s="184">
        <f>AJ44</f>
        <v>1.9999999999953388E-3</v>
      </c>
      <c r="AK144" s="184">
        <f>AK44</f>
        <v>-38.837000000000003</v>
      </c>
      <c r="AL144" s="146"/>
      <c r="AM144" s="184">
        <f>AM44</f>
        <v>0</v>
      </c>
      <c r="AN144" s="184">
        <f>AN44</f>
        <v>-62.277999999999999</v>
      </c>
      <c r="AO144" s="184">
        <f>AO44</f>
        <v>-10.103000000000002</v>
      </c>
      <c r="AP144" s="184">
        <f>AP44</f>
        <v>-45.642999999999994</v>
      </c>
      <c r="AQ144" s="184">
        <f>AQ44</f>
        <v>-118.024</v>
      </c>
      <c r="AR144" s="146"/>
      <c r="AS144" s="184">
        <f>AS44</f>
        <v>-40.395000000000003</v>
      </c>
      <c r="AT144" s="184">
        <f>AT44</f>
        <v>-14.190999999999995</v>
      </c>
      <c r="AU144" s="184">
        <f>AU44</f>
        <v>-16.171000000000006</v>
      </c>
      <c r="AV144" s="184">
        <f>AV44</f>
        <v>-92.435000000000002</v>
      </c>
      <c r="AW144" s="184">
        <f>AW44</f>
        <v>-163.19200000000001</v>
      </c>
      <c r="AX144" s="146"/>
      <c r="AY144" s="184">
        <f>AY44</f>
        <v>-84.963999999999999</v>
      </c>
      <c r="AZ144" s="184">
        <f>AZ44</f>
        <v>-13.965999999999994</v>
      </c>
      <c r="BA144" s="184">
        <f>BA44</f>
        <v>-13.725000000000009</v>
      </c>
      <c r="BB144" s="184">
        <f>BB44</f>
        <v>0</v>
      </c>
      <c r="BC144" s="184">
        <f>SUM(AY144:BB144)</f>
        <v>-112.655</v>
      </c>
      <c r="BD144" s="146"/>
      <c r="BE144" s="184">
        <f>BE44</f>
        <v>-428.8</v>
      </c>
      <c r="BF144" s="184">
        <f>BF44</f>
        <v>-171.2</v>
      </c>
      <c r="BG144" s="184">
        <f>BG44</f>
        <v>-94.700000000000045</v>
      </c>
      <c r="BH144" s="990">
        <f>-815.1-SUM(BE144:BG144)</f>
        <v>-120.39999999999998</v>
      </c>
      <c r="BI144" s="184">
        <f>SUM(BE144:BH144)</f>
        <v>-815.1</v>
      </c>
      <c r="BJ144" s="146"/>
      <c r="BK144" s="990">
        <v>-84.6</v>
      </c>
      <c r="BL144" s="990">
        <f>-150.3-BK144</f>
        <v>-65.700000000000017</v>
      </c>
      <c r="BM144" s="990">
        <f>-151.4-SUM(BK144:BL144)</f>
        <v>-1.0999999999999943</v>
      </c>
      <c r="BN144" s="990">
        <f>-400.3-SUM(BK144:BM144)</f>
        <v>-248.9</v>
      </c>
      <c r="BO144" s="184">
        <f>SUM(BK144:BN144)</f>
        <v>-400.3</v>
      </c>
      <c r="BP144" s="146"/>
      <c r="BQ144" s="184">
        <f>+SUM(BQ145:BQ147)</f>
        <v>-125</v>
      </c>
      <c r="BR144" s="184">
        <f>+SUM(BR145:BR147)</f>
        <v>-125</v>
      </c>
      <c r="BS144" s="184">
        <f>+SUM(BS145:BS147)</f>
        <v>-125</v>
      </c>
      <c r="BT144" s="184">
        <f>+SUM(BT145:BT147)</f>
        <v>-125</v>
      </c>
      <c r="BU144" s="184">
        <f>SUM(BQ144:BT144)</f>
        <v>-500</v>
      </c>
      <c r="BV144" s="146"/>
      <c r="BW144" s="184">
        <f>+SUM(BW145:BW147)</f>
        <v>-150</v>
      </c>
      <c r="BX144" s="184">
        <f>+SUM(BX145:BX147)</f>
        <v>-150</v>
      </c>
      <c r="BY144" s="184">
        <f>+SUM(BY145:BY147)</f>
        <v>-150</v>
      </c>
      <c r="BZ144" s="184">
        <f>+SUM(BZ145:BZ147)</f>
        <v>-150</v>
      </c>
      <c r="CA144" s="184">
        <f>SUM(BW144:BZ144)</f>
        <v>-600</v>
      </c>
      <c r="CB144" s="146"/>
      <c r="CC144" s="184">
        <f>+SUM(CC145:CC147)</f>
        <v>-150</v>
      </c>
      <c r="CD144" s="184">
        <f>+SUM(CD145:CD147)</f>
        <v>-150</v>
      </c>
      <c r="CE144" s="184">
        <f>+SUM(CE145:CE147)</f>
        <v>-150</v>
      </c>
      <c r="CF144" s="184">
        <f>+SUM(CF145:CF147)</f>
        <v>-150</v>
      </c>
      <c r="CG144" s="184">
        <f>SUM(CC144:CF144)</f>
        <v>-600</v>
      </c>
      <c r="CH144" s="146"/>
    </row>
    <row r="145" spans="1:94" s="24" customFormat="1" ht="11.25" customHeight="1" outlineLevel="1" x14ac:dyDescent="0.2">
      <c r="A145" s="37" t="s">
        <v>511</v>
      </c>
      <c r="B145" s="731"/>
      <c r="C145" s="731"/>
      <c r="D145" s="731"/>
      <c r="E145" s="731"/>
      <c r="F145" s="731"/>
      <c r="G145" s="731"/>
      <c r="H145" s="731"/>
      <c r="I145" s="731"/>
      <c r="J145" s="731"/>
      <c r="K145" s="731"/>
      <c r="L145" s="731"/>
      <c r="M145" s="731"/>
      <c r="N145" s="731"/>
      <c r="O145" s="731"/>
      <c r="P145" s="731"/>
      <c r="Q145" s="731"/>
      <c r="R145" s="731"/>
      <c r="S145" s="731"/>
      <c r="T145" s="731"/>
      <c r="U145" s="731"/>
      <c r="V145" s="731"/>
      <c r="W145" s="731"/>
      <c r="X145" s="731"/>
      <c r="Y145" s="731"/>
      <c r="Z145" s="731"/>
      <c r="AA145" s="731"/>
      <c r="AB145" s="731"/>
      <c r="AC145" s="731"/>
      <c r="AD145" s="731"/>
      <c r="AE145" s="69"/>
      <c r="AF145" s="731"/>
      <c r="AG145" s="731"/>
      <c r="AH145" s="731"/>
      <c r="AI145" s="731"/>
      <c r="AJ145" s="731"/>
      <c r="AK145" s="69"/>
      <c r="AL145" s="731"/>
      <c r="AM145" s="731"/>
      <c r="AN145" s="731"/>
      <c r="AO145" s="731"/>
      <c r="AP145" s="731"/>
      <c r="AQ145" s="69"/>
      <c r="AR145" s="732"/>
      <c r="AS145" s="732"/>
      <c r="AT145" s="733"/>
      <c r="AU145" s="732"/>
      <c r="AV145" s="731"/>
      <c r="AW145" s="69"/>
      <c r="AX145" s="732"/>
      <c r="AY145" s="731"/>
      <c r="AZ145" s="731"/>
      <c r="BA145" s="731"/>
      <c r="BB145" s="731"/>
      <c r="BC145" s="69"/>
      <c r="BD145" s="731"/>
      <c r="BE145" s="189">
        <v>0</v>
      </c>
      <c r="BF145" s="189">
        <v>0</v>
      </c>
      <c r="BG145" s="189">
        <v>0</v>
      </c>
      <c r="BH145" s="189">
        <v>0</v>
      </c>
      <c r="BI145" s="184">
        <f>SUM(BE145:BH145)</f>
        <v>0</v>
      </c>
      <c r="BJ145" s="189"/>
      <c r="BK145" s="189">
        <v>0</v>
      </c>
      <c r="BL145" s="189">
        <v>0</v>
      </c>
      <c r="BM145" s="189">
        <v>0</v>
      </c>
      <c r="BN145" s="189">
        <v>0</v>
      </c>
      <c r="BO145" s="184">
        <f>SUM(BK145:BN145)</f>
        <v>0</v>
      </c>
      <c r="BP145" s="189"/>
      <c r="BQ145" s="189">
        <v>0</v>
      </c>
      <c r="BR145" s="189">
        <v>0</v>
      </c>
      <c r="BS145" s="189">
        <v>0</v>
      </c>
      <c r="BT145" s="189">
        <v>0</v>
      </c>
      <c r="BU145" s="184">
        <f>SUM(BQ145:BT145)</f>
        <v>0</v>
      </c>
      <c r="BV145" s="189"/>
      <c r="BW145" s="189">
        <v>0</v>
      </c>
      <c r="BX145" s="189">
        <v>0</v>
      </c>
      <c r="BY145" s="189">
        <v>0</v>
      </c>
      <c r="BZ145" s="189">
        <v>0</v>
      </c>
      <c r="CA145" s="184">
        <f>SUM(BW145:BZ145)</f>
        <v>0</v>
      </c>
      <c r="CB145" s="189"/>
      <c r="CC145" s="189">
        <v>0</v>
      </c>
      <c r="CD145" s="189">
        <v>0</v>
      </c>
      <c r="CE145" s="189">
        <v>0</v>
      </c>
      <c r="CF145" s="189">
        <v>0</v>
      </c>
      <c r="CG145" s="184">
        <f>SUM(CC145:CF145)</f>
        <v>0</v>
      </c>
      <c r="CH145" s="189"/>
      <c r="CJ145" s="26"/>
      <c r="CK145"/>
      <c r="CL145"/>
      <c r="CM145"/>
      <c r="CN145"/>
      <c r="CO145"/>
      <c r="CP145"/>
    </row>
    <row r="146" spans="1:94" s="24" customFormat="1" ht="11.25" customHeight="1" outlineLevel="1" x14ac:dyDescent="0.2">
      <c r="A146" s="37" t="s">
        <v>512</v>
      </c>
      <c r="B146" s="731"/>
      <c r="C146" s="731"/>
      <c r="D146" s="731"/>
      <c r="E146" s="731"/>
      <c r="F146" s="731"/>
      <c r="G146" s="731"/>
      <c r="H146" s="731"/>
      <c r="I146" s="731"/>
      <c r="J146" s="731"/>
      <c r="K146" s="731"/>
      <c r="L146" s="731"/>
      <c r="M146" s="731"/>
      <c r="N146" s="731"/>
      <c r="O146" s="731"/>
      <c r="P146" s="731"/>
      <c r="Q146" s="731"/>
      <c r="R146" s="731"/>
      <c r="S146" s="731"/>
      <c r="T146" s="731"/>
      <c r="U146" s="731"/>
      <c r="V146" s="731"/>
      <c r="W146" s="731"/>
      <c r="X146" s="731"/>
      <c r="Y146" s="731"/>
      <c r="Z146" s="731"/>
      <c r="AA146" s="731"/>
      <c r="AB146" s="731"/>
      <c r="AC146" s="731"/>
      <c r="AD146" s="731"/>
      <c r="AE146" s="69"/>
      <c r="AF146" s="731"/>
      <c r="AG146" s="731"/>
      <c r="AH146" s="731"/>
      <c r="AI146" s="731"/>
      <c r="AJ146" s="731"/>
      <c r="AK146" s="69"/>
      <c r="AL146" s="731"/>
      <c r="AM146" s="731"/>
      <c r="AN146" s="731"/>
      <c r="AO146" s="731"/>
      <c r="AP146" s="731"/>
      <c r="AQ146" s="69"/>
      <c r="AR146" s="732"/>
      <c r="AS146" s="732"/>
      <c r="AT146" s="733"/>
      <c r="AU146" s="732"/>
      <c r="AV146" s="731"/>
      <c r="AW146" s="69"/>
      <c r="AX146" s="732"/>
      <c r="AY146" s="731"/>
      <c r="AZ146" s="731"/>
      <c r="BA146" s="731"/>
      <c r="BB146" s="731"/>
      <c r="BC146" s="69"/>
      <c r="BD146" s="731"/>
      <c r="BE146" s="189">
        <f>+BE144-BE147</f>
        <v>-178.8</v>
      </c>
      <c r="BF146" s="189">
        <f>-0.8*BF148</f>
        <v>-47.84</v>
      </c>
      <c r="BG146" s="189">
        <v>-100</v>
      </c>
      <c r="BH146" s="189">
        <v>0</v>
      </c>
      <c r="BI146" s="184">
        <f>SUM(BE146:BH146)</f>
        <v>-326.64</v>
      </c>
      <c r="BJ146" s="146"/>
      <c r="BK146" s="189">
        <v>-75</v>
      </c>
      <c r="BL146" s="189">
        <f>+BK146</f>
        <v>-75</v>
      </c>
      <c r="BM146" s="189">
        <f>+BL146</f>
        <v>-75</v>
      </c>
      <c r="BN146" s="189">
        <v>-100</v>
      </c>
      <c r="BO146" s="184">
        <f>SUM(BK146:BN146)</f>
        <v>-325</v>
      </c>
      <c r="BP146" s="146"/>
      <c r="BQ146" s="189">
        <v>-125</v>
      </c>
      <c r="BR146" s="189">
        <v>-125</v>
      </c>
      <c r="BS146" s="189">
        <v>-125</v>
      </c>
      <c r="BT146" s="189">
        <v>-125</v>
      </c>
      <c r="BU146" s="184">
        <f>SUM(BQ146:BT146)</f>
        <v>-500</v>
      </c>
      <c r="BV146" s="146"/>
      <c r="BW146" s="189">
        <v>-150</v>
      </c>
      <c r="BX146" s="189">
        <f>+BW146</f>
        <v>-150</v>
      </c>
      <c r="BY146" s="189">
        <f>+BX146</f>
        <v>-150</v>
      </c>
      <c r="BZ146" s="189">
        <f>+BY146</f>
        <v>-150</v>
      </c>
      <c r="CA146" s="184">
        <f>SUM(BW146:BZ146)</f>
        <v>-600</v>
      </c>
      <c r="CB146" s="146"/>
      <c r="CC146" s="189">
        <v>-150</v>
      </c>
      <c r="CD146" s="189">
        <f t="shared" ref="CD146:CF146" si="88">+CC146</f>
        <v>-150</v>
      </c>
      <c r="CE146" s="189">
        <f t="shared" si="88"/>
        <v>-150</v>
      </c>
      <c r="CF146" s="189">
        <f t="shared" si="88"/>
        <v>-150</v>
      </c>
      <c r="CG146" s="184">
        <f t="shared" ref="CG146" si="89">SUM(CC146:CF146)</f>
        <v>-600</v>
      </c>
      <c r="CH146" s="146"/>
      <c r="CJ146" s="26"/>
      <c r="CK146"/>
      <c r="CL146"/>
      <c r="CM146"/>
      <c r="CN146"/>
      <c r="CO146"/>
      <c r="CP146"/>
    </row>
    <row r="147" spans="1:94" s="24" customFormat="1" ht="11.25" customHeight="1" outlineLevel="1" x14ac:dyDescent="0.2">
      <c r="A147" s="37" t="s">
        <v>513</v>
      </c>
      <c r="B147" s="731"/>
      <c r="C147" s="731"/>
      <c r="D147" s="731"/>
      <c r="E147" s="731"/>
      <c r="F147" s="731"/>
      <c r="G147" s="731"/>
      <c r="H147" s="731"/>
      <c r="I147" s="731"/>
      <c r="J147" s="731"/>
      <c r="K147" s="731"/>
      <c r="L147" s="731"/>
      <c r="M147" s="731"/>
      <c r="N147" s="731"/>
      <c r="O147" s="731"/>
      <c r="P147" s="731"/>
      <c r="Q147" s="731"/>
      <c r="R147" s="731"/>
      <c r="S147" s="731"/>
      <c r="T147" s="731"/>
      <c r="U147" s="731"/>
      <c r="V147" s="731"/>
      <c r="W147" s="731"/>
      <c r="X147" s="731"/>
      <c r="Y147" s="731"/>
      <c r="Z147" s="731"/>
      <c r="AA147" s="731"/>
      <c r="AB147" s="731"/>
      <c r="AC147" s="731"/>
      <c r="AD147" s="731"/>
      <c r="AE147" s="69"/>
      <c r="AF147" s="731"/>
      <c r="AG147" s="731"/>
      <c r="AH147" s="731"/>
      <c r="AI147" s="731"/>
      <c r="AJ147" s="731"/>
      <c r="AK147" s="69"/>
      <c r="AL147" s="731"/>
      <c r="AM147" s="731"/>
      <c r="AN147" s="731"/>
      <c r="AO147" s="731"/>
      <c r="AP147" s="731"/>
      <c r="AQ147" s="69"/>
      <c r="AR147" s="732"/>
      <c r="AS147" s="732"/>
      <c r="AT147" s="733"/>
      <c r="AU147" s="732"/>
      <c r="AV147" s="731"/>
      <c r="AW147" s="69"/>
      <c r="AX147" s="732"/>
      <c r="AY147" s="731"/>
      <c r="AZ147" s="731"/>
      <c r="BA147" s="731"/>
      <c r="BB147" s="731"/>
      <c r="BC147" s="69"/>
      <c r="BD147" s="731"/>
      <c r="BE147" s="189">
        <v>-250</v>
      </c>
      <c r="BF147" s="189"/>
      <c r="BG147" s="189">
        <v>0</v>
      </c>
      <c r="BH147" s="189">
        <v>0</v>
      </c>
      <c r="BI147" s="184">
        <f>SUM(BE147:BH147)</f>
        <v>-250</v>
      </c>
      <c r="BJ147" s="146"/>
      <c r="BK147" s="189">
        <v>0</v>
      </c>
      <c r="BL147" s="189">
        <v>0</v>
      </c>
      <c r="BM147" s="189">
        <v>0</v>
      </c>
      <c r="BN147" s="189">
        <v>0</v>
      </c>
      <c r="BO147" s="184">
        <f>SUM(BK147:BN147)</f>
        <v>0</v>
      </c>
      <c r="BP147" s="146"/>
      <c r="BQ147" s="189">
        <v>0</v>
      </c>
      <c r="BR147" s="189">
        <v>0</v>
      </c>
      <c r="BS147" s="189">
        <v>0</v>
      </c>
      <c r="BT147" s="189">
        <v>0</v>
      </c>
      <c r="BU147" s="184">
        <f>SUM(BQ147:BT147)</f>
        <v>0</v>
      </c>
      <c r="BV147" s="146"/>
      <c r="BW147" s="189">
        <v>0</v>
      </c>
      <c r="BX147" s="189">
        <v>0</v>
      </c>
      <c r="BY147" s="189">
        <v>0</v>
      </c>
      <c r="BZ147" s="189">
        <v>0</v>
      </c>
      <c r="CA147" s="184">
        <f>SUM(BW147:BZ147)</f>
        <v>0</v>
      </c>
      <c r="CB147" s="146"/>
      <c r="CC147" s="189">
        <v>0</v>
      </c>
      <c r="CD147" s="189">
        <v>0</v>
      </c>
      <c r="CE147" s="189">
        <v>0</v>
      </c>
      <c r="CF147" s="189">
        <v>0</v>
      </c>
      <c r="CG147" s="184">
        <f>SUM(CC147:CF147)</f>
        <v>0</v>
      </c>
      <c r="CH147" s="731"/>
      <c r="CJ147" s="26"/>
      <c r="CK147"/>
      <c r="CL147"/>
      <c r="CM147"/>
      <c r="CN147"/>
      <c r="CO147"/>
      <c r="CP147"/>
    </row>
    <row r="148" spans="1:94" ht="11.25" customHeight="1" x14ac:dyDescent="0.2">
      <c r="A148" s="24"/>
      <c r="B148" s="37" t="s">
        <v>166</v>
      </c>
      <c r="C148" s="1142">
        <v>31.559380000000001</v>
      </c>
      <c r="D148" s="1142">
        <v>35.393180000000001</v>
      </c>
      <c r="E148" s="1142">
        <v>38.808030000000002</v>
      </c>
      <c r="F148" s="1142">
        <v>43.006360000000001</v>
      </c>
      <c r="G148" s="1145">
        <v>37.22625</v>
      </c>
      <c r="H148" s="69"/>
      <c r="I148" s="1142">
        <v>40.738770000000002</v>
      </c>
      <c r="J148" s="1142">
        <v>39.200460000000007</v>
      </c>
      <c r="K148" s="1142">
        <v>39.06485</v>
      </c>
      <c r="L148" s="1142">
        <v>28.758640000000003</v>
      </c>
      <c r="M148" s="1145">
        <v>36.917560000000002</v>
      </c>
      <c r="N148" s="69"/>
      <c r="O148" s="1142">
        <v>25.944220000000001</v>
      </c>
      <c r="P148" s="1142">
        <v>28.515380000000004</v>
      </c>
      <c r="Q148" s="1142">
        <v>32.378030000000003</v>
      </c>
      <c r="R148" s="1142">
        <v>34.504090000000005</v>
      </c>
      <c r="S148" s="96">
        <v>30.376050000000003</v>
      </c>
      <c r="T148" s="1143"/>
      <c r="U148" s="1142">
        <v>34.295470000000002</v>
      </c>
      <c r="V148" s="1142">
        <v>33.639610000000005</v>
      </c>
      <c r="W148" s="1142">
        <v>30.076590000000003</v>
      </c>
      <c r="X148" s="1142">
        <v>32.372880000000002</v>
      </c>
      <c r="Y148" s="96">
        <v>32.579120000000003</v>
      </c>
      <c r="Z148" s="168"/>
      <c r="AA148" s="1142">
        <v>36.20223</v>
      </c>
      <c r="AB148" s="1146">
        <v>36.20223</v>
      </c>
      <c r="AC148" s="1146">
        <v>36.20223</v>
      </c>
      <c r="AD148" s="1146">
        <v>36.20223</v>
      </c>
      <c r="AE148" s="96">
        <f>+AVERAGE(AA148:AD148)</f>
        <v>36.20223</v>
      </c>
      <c r="AF148" s="168"/>
      <c r="AG148" s="1142">
        <v>36.20223</v>
      </c>
      <c r="AH148" s="1146">
        <v>36.20223</v>
      </c>
      <c r="AI148" s="1146">
        <v>36.20223</v>
      </c>
      <c r="AJ148" s="1146">
        <v>36.20223</v>
      </c>
      <c r="AK148" s="96">
        <f>+AVERAGE(AG148:AJ148)</f>
        <v>36.20223</v>
      </c>
      <c r="AL148" s="168"/>
      <c r="AM148" s="1142">
        <v>36.20223</v>
      </c>
      <c r="AN148" s="1146">
        <v>36.20223</v>
      </c>
      <c r="AO148" s="1146">
        <v>36.20223</v>
      </c>
      <c r="AP148" s="1146">
        <v>36.20223</v>
      </c>
      <c r="AQ148" s="96">
        <f>+AVERAGE(AM148:AP148)</f>
        <v>36.20223</v>
      </c>
      <c r="AR148" s="168"/>
      <c r="AS148" s="1142">
        <v>45.89</v>
      </c>
      <c r="AT148" s="1144">
        <v>47.56</v>
      </c>
      <c r="AU148" s="1142">
        <v>46.89</v>
      </c>
      <c r="AV148" s="1142">
        <v>50.884450656249996</v>
      </c>
      <c r="AW148" s="96">
        <f>+AVERAGE(AS148:AV148)</f>
        <v>47.806112664062496</v>
      </c>
      <c r="AX148" s="255"/>
      <c r="AY148" s="415">
        <v>52.08</v>
      </c>
      <c r="AZ148" s="415">
        <v>52</v>
      </c>
      <c r="BA148" s="415">
        <v>53.27</v>
      </c>
      <c r="BB148" s="415">
        <v>60.85</v>
      </c>
      <c r="BC148" s="96">
        <f>+AVERAGE(AY148:BB148)</f>
        <v>54.55</v>
      </c>
      <c r="BD148" s="255"/>
      <c r="BE148" s="415">
        <v>60</v>
      </c>
      <c r="BF148" s="96">
        <f>+AZ148*(1+BF149)</f>
        <v>59.8</v>
      </c>
      <c r="BG148" s="96">
        <f>+BA148*(1+BG149)</f>
        <v>59.662400000000012</v>
      </c>
      <c r="BH148" s="986">
        <v>60.78</v>
      </c>
      <c r="BI148" s="96">
        <f>+AVERAGE(BE148:BH148)</f>
        <v>60.060600000000001</v>
      </c>
      <c r="BJ148" s="168"/>
      <c r="BK148" s="96">
        <f>BK144/BK143</f>
        <v>60.428571428571431</v>
      </c>
      <c r="BL148" s="96">
        <f>BL144/BL143</f>
        <v>65.700000000000017</v>
      </c>
      <c r="BM148" s="96">
        <f>BL148</f>
        <v>65.700000000000017</v>
      </c>
      <c r="BN148" s="415">
        <v>64.400000000000006</v>
      </c>
      <c r="BO148" s="96">
        <f>+AVERAGE(BK148:BN148)</f>
        <v>64.057142857142878</v>
      </c>
      <c r="BP148" s="168"/>
      <c r="BQ148" s="415">
        <v>60</v>
      </c>
      <c r="BR148" s="415">
        <v>60</v>
      </c>
      <c r="BS148" s="96">
        <f>+BM148*(1+BS149)</f>
        <v>65.700000000000017</v>
      </c>
      <c r="BT148" s="96">
        <f>+BN148*(1+BT149)</f>
        <v>64.400000000000006</v>
      </c>
      <c r="BU148" s="96">
        <f>+AVERAGE(BQ148:BT148)</f>
        <v>62.525000000000006</v>
      </c>
      <c r="BV148" s="168"/>
      <c r="BW148" s="415">
        <f>+BT148</f>
        <v>64.400000000000006</v>
      </c>
      <c r="BX148" s="415">
        <v>75</v>
      </c>
      <c r="BY148" s="96">
        <f>+BS148*(1+BY149)</f>
        <v>69.642000000000024</v>
      </c>
      <c r="BZ148" s="96">
        <f>+BT148*(1+BZ149)</f>
        <v>67.62</v>
      </c>
      <c r="CA148" s="96">
        <f>+AVERAGE(BW148:BZ148)</f>
        <v>69.165500000000009</v>
      </c>
      <c r="CB148" s="168"/>
      <c r="CC148" s="415">
        <f>+BZ148</f>
        <v>67.62</v>
      </c>
      <c r="CD148" s="415">
        <v>79</v>
      </c>
      <c r="CE148" s="96">
        <f>+BY148*(1+CE149)</f>
        <v>73.124100000000027</v>
      </c>
      <c r="CF148" s="96">
        <f>+BZ148*(1+CF149)</f>
        <v>71.001000000000005</v>
      </c>
      <c r="CG148" s="96">
        <f>+AVERAGE(CC148:CF148)</f>
        <v>72.686275000000009</v>
      </c>
    </row>
    <row r="149" spans="1:94" ht="11.25" customHeight="1" x14ac:dyDescent="0.2">
      <c r="A149" s="24"/>
      <c r="B149" s="92" t="s">
        <v>167</v>
      </c>
      <c r="C149" s="166"/>
      <c r="D149" s="166"/>
      <c r="E149" s="166"/>
      <c r="F149" s="166"/>
      <c r="G149" s="89"/>
      <c r="H149" s="279"/>
      <c r="I149" s="89">
        <f>I148/C148-1</f>
        <v>0.29086091044881113</v>
      </c>
      <c r="J149" s="89">
        <f>J148/D148-1</f>
        <v>0.10757100661765917</v>
      </c>
      <c r="K149" s="89">
        <f>K148/E148-1</f>
        <v>6.6177025734106554E-3</v>
      </c>
      <c r="L149" s="89">
        <f>L148/F148-1</f>
        <v>-0.33129332498728092</v>
      </c>
      <c r="M149" s="89">
        <f>M148/G148-1</f>
        <v>-8.2922668815686995E-3</v>
      </c>
      <c r="N149" s="279"/>
      <c r="O149" s="89">
        <f>O148/I148-1</f>
        <v>-0.36315652141682231</v>
      </c>
      <c r="P149" s="89">
        <f>P148/J148-1</f>
        <v>-0.27257537284001265</v>
      </c>
      <c r="Q149" s="89">
        <f>Q148/K148-1</f>
        <v>-0.17117229427477632</v>
      </c>
      <c r="R149" s="89">
        <f>R148/L148-1</f>
        <v>0.19978170038638821</v>
      </c>
      <c r="S149" s="89">
        <f>S148/M148-1</f>
        <v>-0.17719237132681576</v>
      </c>
      <c r="T149" s="279"/>
      <c r="U149" s="89">
        <f>U148/O148-1</f>
        <v>0.32189250630776334</v>
      </c>
      <c r="V149" s="89">
        <f>V148/P148-1</f>
        <v>0.17970056860543338</v>
      </c>
      <c r="W149" s="89">
        <f>W148/Q148-1</f>
        <v>-7.1080297349776944E-2</v>
      </c>
      <c r="X149" s="89">
        <f>X148/R148-1</f>
        <v>-6.1766880390121903E-2</v>
      </c>
      <c r="Y149" s="89">
        <f>Y148/S148-1</f>
        <v>7.2526546407449377E-2</v>
      </c>
      <c r="Z149" s="69"/>
      <c r="AA149" s="89">
        <f>AA148/U148-1</f>
        <v>5.5598013381942257E-2</v>
      </c>
      <c r="AB149" s="89">
        <f>AB148/V148-1</f>
        <v>7.6178647731052651E-2</v>
      </c>
      <c r="AC149" s="89">
        <f>AC148/W148-1</f>
        <v>0.20366803550535462</v>
      </c>
      <c r="AD149" s="89">
        <f>AD148/X148-1</f>
        <v>0.11828882694403453</v>
      </c>
      <c r="AE149" s="89">
        <f>AE148/Y148-1</f>
        <v>0.11120957226591743</v>
      </c>
      <c r="AF149" s="69"/>
      <c r="AG149" s="89">
        <f>AG148/AA148-1</f>
        <v>0</v>
      </c>
      <c r="AH149" s="89">
        <f>AH148/AB148-1</f>
        <v>0</v>
      </c>
      <c r="AI149" s="89">
        <f>AI148/AC148-1</f>
        <v>0</v>
      </c>
      <c r="AJ149" s="89">
        <f>AJ148/AD148-1</f>
        <v>0</v>
      </c>
      <c r="AK149" s="89">
        <f>AK148/AE148-1</f>
        <v>0</v>
      </c>
      <c r="AL149" s="69"/>
      <c r="AM149" s="89">
        <f>AM148/AG148-1</f>
        <v>0</v>
      </c>
      <c r="AN149" s="89">
        <f>AN148/AH148-1</f>
        <v>0</v>
      </c>
      <c r="AO149" s="89">
        <f>AO148/AI148-1</f>
        <v>0</v>
      </c>
      <c r="AP149" s="89">
        <f>AP148/AJ148-1</f>
        <v>0</v>
      </c>
      <c r="AQ149" s="89">
        <f>AQ148/AK148-1</f>
        <v>0</v>
      </c>
      <c r="AR149" s="69"/>
      <c r="AS149" s="89">
        <f>AS148/AM148-1</f>
        <v>0.26760147095910947</v>
      </c>
      <c r="AT149" s="89">
        <f>AT148/AN148-1</f>
        <v>0.31373122594934078</v>
      </c>
      <c r="AU149" s="89">
        <f>AU148/AO148-1</f>
        <v>0.29522407873769096</v>
      </c>
      <c r="AV149" s="89">
        <f>AV148/AP148-1</f>
        <v>0.40556122250618243</v>
      </c>
      <c r="AW149" s="89">
        <f>AW148/AQ148-1</f>
        <v>0.32052949953808074</v>
      </c>
      <c r="AX149" s="255"/>
      <c r="AY149" s="166"/>
      <c r="AZ149" s="166"/>
      <c r="BA149" s="166"/>
      <c r="BB149" s="166"/>
      <c r="BC149" s="166"/>
      <c r="BD149" s="255"/>
      <c r="BE149" s="89">
        <f>+BE148/AY148-1</f>
        <v>0.15207373271889413</v>
      </c>
      <c r="BF149" s="90">
        <v>0.15</v>
      </c>
      <c r="BG149" s="90">
        <v>0.12</v>
      </c>
      <c r="BH149" s="89">
        <f>+BH148/BB148-1</f>
        <v>-1.1503697617091246E-3</v>
      </c>
      <c r="BI149" s="89">
        <f>BI148/BC148-1</f>
        <v>0.1010192483959671</v>
      </c>
      <c r="BJ149" s="255"/>
      <c r="BK149" s="89">
        <f>+BK148/BE148-1</f>
        <v>7.1428571428571175E-3</v>
      </c>
      <c r="BL149" s="89">
        <f>+BL148/BF148-1</f>
        <v>9.8662207357859799E-2</v>
      </c>
      <c r="BM149" s="89">
        <f>+BM148/BG148-1</f>
        <v>0.10119606318217178</v>
      </c>
      <c r="BN149" s="89">
        <f>+BN148/BH148-1</f>
        <v>5.9559065482066575E-2</v>
      </c>
      <c r="BO149" s="89">
        <f>BO148/BI148-1</f>
        <v>6.6541840360283988E-2</v>
      </c>
      <c r="BP149" s="255"/>
      <c r="BQ149" s="89">
        <f>+BQ148/BK148-1</f>
        <v>-7.0921985815602939E-3</v>
      </c>
      <c r="BR149" s="89">
        <f>+BR148/BL148-1</f>
        <v>-8.6757990867580181E-2</v>
      </c>
      <c r="BS149" s="90">
        <v>0</v>
      </c>
      <c r="BT149" s="90">
        <v>0</v>
      </c>
      <c r="BU149" s="89">
        <f>BU148/BO148-1</f>
        <v>-2.3918376449598822E-2</v>
      </c>
      <c r="BV149" s="255"/>
      <c r="BW149" s="89">
        <f>+BW148/BQ148-1</f>
        <v>7.3333333333333472E-2</v>
      </c>
      <c r="BX149" s="89">
        <f>+BX148/BR148-1</f>
        <v>0.25</v>
      </c>
      <c r="BY149" s="90">
        <v>0.06</v>
      </c>
      <c r="BZ149" s="90">
        <v>0.05</v>
      </c>
      <c r="CA149" s="89">
        <f>CA148/BU148-1</f>
        <v>0.1062055177928829</v>
      </c>
      <c r="CB149" s="255"/>
      <c r="CC149" s="89">
        <f>+CC148/BW148-1</f>
        <v>5.0000000000000044E-2</v>
      </c>
      <c r="CD149" s="89">
        <f>+CD148/BX148-1</f>
        <v>5.3333333333333233E-2</v>
      </c>
      <c r="CE149" s="90">
        <v>0.05</v>
      </c>
      <c r="CF149" s="90">
        <v>0.05</v>
      </c>
      <c r="CG149" s="89">
        <f>CG148/CA148-1</f>
        <v>5.0903629699778019E-2</v>
      </c>
    </row>
    <row r="150" spans="1:94" ht="11.25" customHeight="1" x14ac:dyDescent="0.2">
      <c r="A150" s="24"/>
      <c r="B150" s="37"/>
      <c r="C150" s="166"/>
      <c r="D150" s="166"/>
      <c r="E150" s="166"/>
      <c r="F150" s="166"/>
      <c r="G150" s="166"/>
      <c r="H150" s="255"/>
      <c r="I150" s="166"/>
      <c r="J150" s="166"/>
      <c r="K150" s="166"/>
      <c r="L150" s="166"/>
      <c r="M150" s="166"/>
      <c r="N150" s="255"/>
      <c r="O150" s="166"/>
      <c r="P150" s="166"/>
      <c r="Q150" s="166"/>
      <c r="R150" s="166"/>
      <c r="S150" s="166"/>
      <c r="T150" s="255"/>
      <c r="U150" s="166"/>
      <c r="V150" s="166"/>
      <c r="W150" s="166"/>
      <c r="X150" s="166"/>
      <c r="Y150" s="166"/>
      <c r="Z150" s="255"/>
      <c r="AA150" s="166"/>
      <c r="AB150" s="166"/>
      <c r="AC150" s="166"/>
      <c r="AD150" s="166"/>
      <c r="AE150" s="166"/>
      <c r="AF150" s="255"/>
      <c r="AG150" s="166"/>
      <c r="AH150" s="166"/>
      <c r="AI150" s="166"/>
      <c r="AJ150" s="166"/>
      <c r="AK150" s="166"/>
      <c r="AL150" s="255"/>
      <c r="AM150" s="166"/>
      <c r="AN150" s="166"/>
      <c r="AO150" s="166"/>
      <c r="AP150" s="166"/>
      <c r="AQ150" s="166"/>
      <c r="AR150" s="255"/>
      <c r="AS150" s="166"/>
      <c r="AT150" s="166"/>
      <c r="AU150" s="166"/>
      <c r="AV150" s="166"/>
      <c r="AW150" s="166"/>
      <c r="AX150" s="255"/>
      <c r="AY150" s="166"/>
      <c r="AZ150" s="166"/>
      <c r="BA150" s="166"/>
      <c r="BB150" s="166"/>
      <c r="BC150" s="166"/>
      <c r="BD150" s="255"/>
      <c r="BE150" s="166"/>
      <c r="BF150" s="166"/>
      <c r="BG150" s="166"/>
      <c r="BH150" s="166"/>
      <c r="BI150" s="802"/>
      <c r="BJ150" s="803"/>
      <c r="BK150" s="804"/>
      <c r="BL150" s="804"/>
      <c r="BM150" s="804"/>
      <c r="BN150" s="804"/>
      <c r="BO150" s="802"/>
      <c r="BP150" s="803"/>
      <c r="BQ150" s="804"/>
      <c r="BR150" s="804"/>
      <c r="BS150" s="804"/>
      <c r="BT150" s="804"/>
      <c r="BU150" s="802"/>
      <c r="BV150" s="255"/>
      <c r="BW150" s="166"/>
      <c r="BX150" s="166"/>
      <c r="BY150" s="166"/>
      <c r="BZ150" s="166"/>
      <c r="CA150" s="166"/>
      <c r="CB150" s="255"/>
      <c r="CC150" s="166"/>
      <c r="CD150" s="166"/>
      <c r="CE150" s="166"/>
      <c r="CF150" s="166"/>
      <c r="CG150" s="166"/>
    </row>
    <row r="151" spans="1:94" ht="11.25" customHeight="1" x14ac:dyDescent="0.2">
      <c r="A151" s="24"/>
      <c r="B151" s="15" t="s">
        <v>177</v>
      </c>
      <c r="C151" s="257">
        <f>+SUM('BalSht '!C155:C157)</f>
        <v>1</v>
      </c>
      <c r="D151" s="257">
        <f>+SUM('BalSht '!D155:D157)</f>
        <v>1</v>
      </c>
      <c r="E151" s="257">
        <f>+SUM('BalSht '!E155:E157)</f>
        <v>1</v>
      </c>
      <c r="F151" s="257">
        <f>+SUM('BalSht '!F155:F157)</f>
        <v>1</v>
      </c>
      <c r="G151" s="257">
        <f>+SUM('BalSht '!G155:G157)</f>
        <v>1</v>
      </c>
      <c r="H151" s="255"/>
      <c r="I151" s="257">
        <f>+SUM('BalSht '!I155:I157)</f>
        <v>1</v>
      </c>
      <c r="J151" s="257">
        <f>+SUM('BalSht '!J155:J157)</f>
        <v>1</v>
      </c>
      <c r="K151" s="257">
        <f>+SUM('BalSht '!K155:K157)</f>
        <v>1</v>
      </c>
      <c r="L151" s="257">
        <f>+SUM('BalSht '!L155:L157)</f>
        <v>1</v>
      </c>
      <c r="M151" s="257">
        <f>+SUM('BalSht '!M155:M157)</f>
        <v>1</v>
      </c>
      <c r="N151" s="255"/>
      <c r="O151" s="257">
        <f>+SUM('BalSht '!O155:O157)</f>
        <v>1</v>
      </c>
      <c r="P151" s="257">
        <f>+SUM('BalSht '!P155:P157)</f>
        <v>1</v>
      </c>
      <c r="Q151" s="257">
        <f>+SUM('BalSht '!Q155:Q157)</f>
        <v>1</v>
      </c>
      <c r="R151" s="257">
        <f>+SUM('BalSht '!R155:R157)</f>
        <v>1</v>
      </c>
      <c r="S151" s="257">
        <f>+SUM('BalSht '!S155:S157)</f>
        <v>1</v>
      </c>
      <c r="T151" s="257"/>
      <c r="U151" s="257">
        <f>+SUM('BalSht '!U155:U157)</f>
        <v>1</v>
      </c>
      <c r="V151" s="257">
        <f>+SUM('BalSht '!V155:V157)</f>
        <v>1</v>
      </c>
      <c r="W151" s="257">
        <f>+SUM('BalSht '!W155:W157)</f>
        <v>1</v>
      </c>
      <c r="X151" s="257">
        <f>+SUM('BalSht '!X155:X157)</f>
        <v>1</v>
      </c>
      <c r="Y151" s="257">
        <f>+SUM('BalSht '!Y155:Y157)</f>
        <v>1</v>
      </c>
      <c r="Z151" s="257"/>
      <c r="AA151" s="257">
        <f>+SUM('BalSht '!AA155:AA157)</f>
        <v>1</v>
      </c>
      <c r="AB151" s="257">
        <f>+SUM('BalSht '!AB155:AB157)</f>
        <v>1</v>
      </c>
      <c r="AC151" s="257">
        <f>+SUM('BalSht '!AC155:AC157)</f>
        <v>1</v>
      </c>
      <c r="AD151" s="257">
        <f>+SUM('BalSht '!AD155:AD157)</f>
        <v>1</v>
      </c>
      <c r="AE151" s="257">
        <f>+SUM('BalSht '!AE155:AE157)</f>
        <v>1</v>
      </c>
      <c r="AF151" s="257"/>
      <c r="AG151" s="257">
        <f>+SUM('BalSht '!AG155:AG157)</f>
        <v>1</v>
      </c>
      <c r="AH151" s="257">
        <f>+SUM('BalSht '!AH155:AH157)</f>
        <v>1</v>
      </c>
      <c r="AI151" s="257">
        <f>+SUM('BalSht '!AI155:AI157)</f>
        <v>1</v>
      </c>
      <c r="AJ151" s="257">
        <f>+SUM('BalSht '!AJ155:AJ157)</f>
        <v>1</v>
      </c>
      <c r="AK151" s="257">
        <f>+SUM('BalSht '!AK155:AK157)</f>
        <v>1</v>
      </c>
      <c r="AL151" s="257"/>
      <c r="AM151" s="257">
        <f>+SUM('BalSht '!AM155:AM157)</f>
        <v>1</v>
      </c>
      <c r="AN151" s="257">
        <f>+SUM('BalSht '!AN155:AN157)</f>
        <v>1</v>
      </c>
      <c r="AO151" s="257">
        <f>+SUM('BalSht '!AO155:AO157)</f>
        <v>1</v>
      </c>
      <c r="AP151" s="257">
        <f>+SUM('BalSht '!AP155:AP157)</f>
        <v>1</v>
      </c>
      <c r="AQ151" s="257">
        <f>+SUM('BalSht '!AQ155:AQ157)</f>
        <v>1</v>
      </c>
      <c r="AR151" s="257"/>
      <c r="AS151" s="257">
        <f>+SUM('BalSht '!AS155:AS157)</f>
        <v>1</v>
      </c>
      <c r="AT151" s="257">
        <f>+SUM('BalSht '!AT155:AT157)</f>
        <v>1</v>
      </c>
      <c r="AU151" s="257">
        <f>+SUM('BalSht '!AU155:AU157)</f>
        <v>1</v>
      </c>
      <c r="AV151" s="257">
        <f>+SUM('BalSht '!AV155:AV157)</f>
        <v>1</v>
      </c>
      <c r="AW151" s="257">
        <f>+SUM('BalSht '!AW155:AW157)</f>
        <v>1</v>
      </c>
      <c r="AX151" s="257"/>
      <c r="AY151" s="257">
        <f>+SUM('BalSht '!AY155:AY157)</f>
        <v>1</v>
      </c>
      <c r="AZ151" s="257">
        <f>+SUM('BalSht '!AZ155:AZ157)</f>
        <v>1</v>
      </c>
      <c r="BA151" s="257">
        <f>+SUM('BalSht '!BA155:BA157)</f>
        <v>1</v>
      </c>
      <c r="BB151" s="257">
        <f>+SUM('BalSht '!BB155:BB157)</f>
        <v>1</v>
      </c>
      <c r="BC151" s="257">
        <f>+SUM('BalSht '!BC155:BC157)</f>
        <v>1</v>
      </c>
      <c r="BD151" s="257"/>
      <c r="BE151" s="257">
        <f>+SUM('BalSht '!BE155:BE157)</f>
        <v>1</v>
      </c>
      <c r="BF151" s="257">
        <f>+SUM('BalSht '!BF155:BF157)</f>
        <v>1</v>
      </c>
      <c r="BG151" s="257">
        <f>+SUM('BalSht '!BG155:BG157)</f>
        <v>1</v>
      </c>
      <c r="BH151" s="257">
        <f>+SUM('BalSht '!BH155:BH157)</f>
        <v>1</v>
      </c>
      <c r="BI151" s="257">
        <f>+SUM('BalSht '!BI155:BI157)</f>
        <v>1</v>
      </c>
      <c r="BJ151" s="257"/>
      <c r="BK151" s="257">
        <f>+SUM('BalSht '!BK155:BK157)</f>
        <v>1</v>
      </c>
      <c r="BL151" s="257">
        <f>+SUM('BalSht '!BL155:BL157)</f>
        <v>1</v>
      </c>
      <c r="BM151" s="257">
        <f>+SUM('BalSht '!BM155:BM157)</f>
        <v>1</v>
      </c>
      <c r="BN151" s="257">
        <f>+SUM('BalSht '!BN155:BN157)</f>
        <v>1</v>
      </c>
      <c r="BO151" s="257">
        <f>+SUM('BalSht '!BO155:BO157)</f>
        <v>1</v>
      </c>
      <c r="BP151" s="257"/>
      <c r="BQ151" s="257">
        <f>+SUM('BalSht '!BQ155:BQ157)</f>
        <v>1</v>
      </c>
      <c r="BR151" s="257">
        <f>+SUM('BalSht '!BR155:BR157)</f>
        <v>1</v>
      </c>
      <c r="BS151" s="257">
        <f>+SUM('BalSht '!BS155:BS157)</f>
        <v>1</v>
      </c>
      <c r="BT151" s="257">
        <f>+SUM('BalSht '!BT155:BT157)</f>
        <v>1</v>
      </c>
      <c r="BU151" s="257">
        <f>+SUM('BalSht '!BU155:BU157)</f>
        <v>1</v>
      </c>
      <c r="BV151" s="257"/>
      <c r="BW151" s="257">
        <f>+SUM('BalSht '!BW155:BW157)</f>
        <v>1</v>
      </c>
      <c r="BX151" s="257">
        <f>+SUM('BalSht '!BX155:BX157)</f>
        <v>1</v>
      </c>
      <c r="BY151" s="257">
        <f>+SUM('BalSht '!BY155:BY157)</f>
        <v>1</v>
      </c>
      <c r="BZ151" s="257">
        <f>+SUM('BalSht '!BZ155:BZ157)</f>
        <v>1</v>
      </c>
      <c r="CA151" s="257">
        <f>+SUM('BalSht '!CA155:CA157)</f>
        <v>1</v>
      </c>
      <c r="CB151" s="257"/>
      <c r="CC151" s="257">
        <f>+SUM('BalSht '!CC155:CC157)</f>
        <v>1</v>
      </c>
      <c r="CD151" s="257">
        <f>+SUM('BalSht '!CD155:CD157)</f>
        <v>1</v>
      </c>
      <c r="CE151" s="257">
        <f>+SUM('BalSht '!CE155:CE157)</f>
        <v>1</v>
      </c>
      <c r="CF151" s="257">
        <f>+SUM('BalSht '!CF155:CF157)</f>
        <v>1</v>
      </c>
      <c r="CG151" s="257">
        <f>+SUM('BalSht '!CG155:CG157)</f>
        <v>1</v>
      </c>
    </row>
    <row r="152" spans="1:94" ht="11.25" customHeight="1" x14ac:dyDescent="0.2">
      <c r="B152" s="6" t="s">
        <v>73</v>
      </c>
      <c r="C152" s="184">
        <f>+'BalSht '!C$154*'BalSht '!C155</f>
        <v>-3.2175000000000002</v>
      </c>
      <c r="D152" s="184">
        <f>+'BalSht '!D$154*'BalSht '!D155</f>
        <v>-8.5828500000000005</v>
      </c>
      <c r="E152" s="184">
        <f>+'BalSht '!E$154*'BalSht '!E155</f>
        <v>-33.485400000000006</v>
      </c>
      <c r="F152" s="184">
        <f>+'BalSht '!F$154*'BalSht '!F155</f>
        <v>-0.38564999999999972</v>
      </c>
      <c r="G152" s="184">
        <f>+'BalSht '!G$154*'BalSht '!G155</f>
        <v>-45.671400000000006</v>
      </c>
      <c r="H152" s="146"/>
      <c r="I152" s="184">
        <f>+'BalSht '!I$154*'BalSht '!I155</f>
        <v>-1.0867500000000001</v>
      </c>
      <c r="J152" s="184">
        <f>+'BalSht '!J$154*'BalSht '!J155</f>
        <v>0</v>
      </c>
      <c r="K152" s="184">
        <f>+'BalSht '!K$154*'BalSht '!K155</f>
        <v>-18.684899999999999</v>
      </c>
      <c r="L152" s="184">
        <f>+'BalSht '!L$154*'BalSht '!L155</f>
        <v>-33.013350000000003</v>
      </c>
      <c r="M152" s="184">
        <f>+'BalSht '!M$154*'BalSht '!M155</f>
        <v>-52.784999999999997</v>
      </c>
      <c r="N152" s="146"/>
      <c r="O152" s="184">
        <f>+'BalSht '!O$154*'BalSht '!O155</f>
        <v>-0.25829999999999997</v>
      </c>
      <c r="P152" s="184">
        <f>+'BalSht '!P$154*'BalSht '!P155</f>
        <v>-1.0854000000000001</v>
      </c>
      <c r="Q152" s="184">
        <f>+'BalSht '!Q$154*'BalSht '!Q155</f>
        <v>0</v>
      </c>
      <c r="R152" s="184">
        <f>+'BalSht '!R$154*'BalSht '!R155</f>
        <v>0</v>
      </c>
      <c r="S152" s="184">
        <f>+'BalSht '!S$154*'BalSht '!S155</f>
        <v>-1.3437000000000001</v>
      </c>
      <c r="T152" s="146"/>
      <c r="U152" s="184">
        <f>+'BalSht '!U$154*'BalSht '!U155</f>
        <v>-3.4591500000000002</v>
      </c>
      <c r="V152" s="184">
        <f>+'BalSht '!V$154*'BalSht '!V155</f>
        <v>-0.27989999999999954</v>
      </c>
      <c r="W152" s="184">
        <f>+'BalSht '!W$154*'BalSht '!W155</f>
        <v>-6.1596000000000002</v>
      </c>
      <c r="X152" s="184">
        <f>+'BalSht '!X$154*'BalSht '!X155</f>
        <v>-6.1015499999999987</v>
      </c>
      <c r="Y152" s="184">
        <f>+'BalSht '!Y$154*'BalSht '!Y155</f>
        <v>-16.0002</v>
      </c>
      <c r="Z152" s="146"/>
      <c r="AA152" s="184">
        <f>+'BalSht '!AA$154*'BalSht '!AA155</f>
        <v>-9.5071499999999993</v>
      </c>
      <c r="AB152" s="184">
        <f>+'BalSht '!AB$154*'BalSht '!AB155</f>
        <v>0.46799999999999964</v>
      </c>
      <c r="AC152" s="184">
        <f>+'BalSht '!AC$154*'BalSht '!AC155</f>
        <v>-800.02440000000001</v>
      </c>
      <c r="AD152" s="184">
        <f>+'BalSht '!AD$154*'BalSht '!AD155</f>
        <v>4.6813500000000143</v>
      </c>
      <c r="AE152" s="184">
        <f>+'BalSht '!AE$154*'BalSht '!AE155</f>
        <v>-804.38220000000001</v>
      </c>
      <c r="AF152" s="146"/>
      <c r="AG152" s="184">
        <f>+'BalSht '!AG$154*'BalSht '!AG155</f>
        <v>0</v>
      </c>
      <c r="AH152" s="184">
        <f>+'BalSht '!AH$154*'BalSht '!AH155</f>
        <v>0</v>
      </c>
      <c r="AI152" s="184">
        <f>+'BalSht '!AI$154*'BalSht '!AI155</f>
        <v>0</v>
      </c>
      <c r="AJ152" s="184">
        <f>+'BalSht '!AJ$154*'BalSht '!AJ155</f>
        <v>-2.1874500000000001</v>
      </c>
      <c r="AK152" s="184">
        <f>+'BalSht '!AK$154*'BalSht '!AK155</f>
        <v>-2.1874500000000001</v>
      </c>
      <c r="AL152" s="146"/>
      <c r="AM152" s="184">
        <f>+'BalSht '!AM$154*'BalSht '!AM155</f>
        <v>-1.7725500000000001</v>
      </c>
      <c r="AN152" s="184">
        <f>+'BalSht '!AN$154*'BalSht '!AN155</f>
        <v>0</v>
      </c>
      <c r="AO152" s="184">
        <f>+'BalSht '!AO$154*'BalSht '!AO155</f>
        <v>0</v>
      </c>
      <c r="AP152" s="184">
        <f>+'BalSht '!AP$154*'BalSht '!AP155</f>
        <v>-28.038599999999999</v>
      </c>
      <c r="AQ152" s="184">
        <f>+'BalSht '!AQ$154*'BalSht '!AQ155</f>
        <v>-29.811150000000001</v>
      </c>
      <c r="AR152" s="146"/>
      <c r="AS152" s="184">
        <f>+'BalSht '!AS$154*'BalSht '!AS155</f>
        <v>0</v>
      </c>
      <c r="AT152" s="184">
        <f>+'BalSht '!AT$154*'BalSht '!AT155</f>
        <v>-0.90405000000000002</v>
      </c>
      <c r="AU152" s="184">
        <f>+'BalSht '!AU$154*'BalSht '!AU155</f>
        <v>0.61695</v>
      </c>
      <c r="AV152" s="184">
        <f>+'BalSht '!AV$154*'BalSht '!AV155</f>
        <v>-0.63135000000000019</v>
      </c>
      <c r="AW152" s="184">
        <f>+'BalSht '!AW$154*'BalSht '!AW155</f>
        <v>-0.91845000000000021</v>
      </c>
      <c r="AX152" s="146"/>
      <c r="AY152" s="184">
        <f>+'BalSht '!AY$154*'BalSht '!AY155</f>
        <v>0</v>
      </c>
      <c r="AZ152" s="184">
        <f>+'BalSht '!AZ$154*'BalSht '!AZ155</f>
        <v>-1.4872500000000002</v>
      </c>
      <c r="BA152" s="184">
        <f>+'BalSht '!BA$154*'BalSht '!BA155</f>
        <v>2.2500000000001521E-3</v>
      </c>
      <c r="BB152" s="184">
        <f>+'BalSht '!BB$154*'BalSht '!BB155</f>
        <v>-22.815000000000001</v>
      </c>
      <c r="BC152" s="184">
        <f>+'BalSht '!BC$154*'BalSht '!BC155</f>
        <v>-24.3</v>
      </c>
      <c r="BD152" s="146"/>
      <c r="BE152" s="184">
        <f>+'BalSht '!BE$154*'BalSht '!BE155</f>
        <v>-0.18000000000000002</v>
      </c>
      <c r="BF152" s="184">
        <f>+'BalSht '!BF$154*'BalSht '!BF155</f>
        <v>0</v>
      </c>
      <c r="BG152" s="184">
        <f>+'BalSht '!BG$154*'BalSht '!BG155</f>
        <v>-153.63000000000002</v>
      </c>
      <c r="BH152" s="184">
        <f>+'BalSht '!BH$154*'BalSht '!BH155</f>
        <v>0</v>
      </c>
      <c r="BI152" s="184">
        <f>+'BalSht '!BI$154*'BalSht '!BI155</f>
        <v>-153.81</v>
      </c>
      <c r="BJ152" s="146"/>
      <c r="BK152" s="184">
        <f>+'BalSht '!BK$154*'BalSht '!BK155</f>
        <v>-4.0949999999999998</v>
      </c>
      <c r="BL152" s="184">
        <f>+'BalSht '!BL$154*'BalSht '!BL155</f>
        <v>-52.245000000000005</v>
      </c>
      <c r="BM152" s="184">
        <f>+'BalSht '!BM$154*'BalSht '!BM155</f>
        <v>-4.8150000000000013</v>
      </c>
      <c r="BN152" s="184">
        <f>+'BalSht '!BN$154*'BalSht '!BN155</f>
        <v>-4.5</v>
      </c>
      <c r="BO152" s="184">
        <f>+'BalSht '!BO$154*'BalSht '!BO155</f>
        <v>-65.655000000000001</v>
      </c>
      <c r="BP152" s="146"/>
      <c r="BQ152" s="184">
        <f>+'BalSht '!BQ$154*'BalSht '!BQ155</f>
        <v>0</v>
      </c>
      <c r="BR152" s="184">
        <f>+'BalSht '!BR$154*'BalSht '!BR155</f>
        <v>0</v>
      </c>
      <c r="BS152" s="184">
        <f>+'BalSht '!BS$154*'BalSht '!BS155</f>
        <v>0</v>
      </c>
      <c r="BT152" s="184">
        <f>+'BalSht '!BT$154*'BalSht '!BT155</f>
        <v>0</v>
      </c>
      <c r="BU152" s="184">
        <f>+'BalSht '!BU$154*'BalSht '!BU155</f>
        <v>0</v>
      </c>
      <c r="BV152" s="146"/>
      <c r="BW152" s="184">
        <f>+'BalSht '!BW$154*'BalSht '!BW155</f>
        <v>0</v>
      </c>
      <c r="BX152" s="184">
        <f>+'BalSht '!BX$154*'BalSht '!BX155</f>
        <v>0</v>
      </c>
      <c r="BY152" s="184">
        <f>+'BalSht '!BY$154*'BalSht '!BY155</f>
        <v>0</v>
      </c>
      <c r="BZ152" s="184">
        <f>+'BalSht '!BZ$154*'BalSht '!BZ155</f>
        <v>0</v>
      </c>
      <c r="CA152" s="184">
        <f>+'BalSht '!CA$154*'BalSht '!CA155</f>
        <v>0</v>
      </c>
      <c r="CB152" s="146"/>
      <c r="CC152" s="184">
        <f>+'BalSht '!CC$154*'BalSht '!CC155</f>
        <v>0</v>
      </c>
      <c r="CD152" s="184">
        <f>+'BalSht '!CD$154*'BalSht '!CD155</f>
        <v>0</v>
      </c>
      <c r="CE152" s="184">
        <f>+'BalSht '!CE$154*'BalSht '!CE155</f>
        <v>0</v>
      </c>
      <c r="CF152" s="184">
        <f>+'BalSht '!CF$154*'BalSht '!CF155</f>
        <v>0</v>
      </c>
      <c r="CG152" s="184">
        <f>+'BalSht '!CG$154*'BalSht '!CG155</f>
        <v>0</v>
      </c>
    </row>
    <row r="153" spans="1:94" ht="11.25" customHeight="1" x14ac:dyDescent="0.2">
      <c r="B153" s="6" t="s">
        <v>123</v>
      </c>
      <c r="C153" s="184">
        <f>+'BalSht '!C$154*'BalSht '!C156</f>
        <v>-2.145</v>
      </c>
      <c r="D153" s="184">
        <f>+'BalSht '!D$154*'BalSht '!D156</f>
        <v>-5.7218999999999998</v>
      </c>
      <c r="E153" s="184">
        <f>+'BalSht '!E$154*'BalSht '!E156</f>
        <v>-22.323600000000003</v>
      </c>
      <c r="F153" s="184">
        <f>+'BalSht '!F$154*'BalSht '!F156</f>
        <v>-0.25709999999999977</v>
      </c>
      <c r="G153" s="184">
        <f>+'BalSht '!G$154*'BalSht '!G156</f>
        <v>-30.447600000000001</v>
      </c>
      <c r="H153" s="146"/>
      <c r="I153" s="184">
        <f>+'BalSht '!I$154*'BalSht '!I156</f>
        <v>-0.72450000000000003</v>
      </c>
      <c r="J153" s="184">
        <f>+'BalSht '!J$154*'BalSht '!J156</f>
        <v>0</v>
      </c>
      <c r="K153" s="184">
        <f>+'BalSht '!K$154*'BalSht '!K156</f>
        <v>-12.4566</v>
      </c>
      <c r="L153" s="184">
        <f>+'BalSht '!L$154*'BalSht '!L156</f>
        <v>-22.008900000000001</v>
      </c>
      <c r="M153" s="184">
        <f>+'BalSht '!M$154*'BalSht '!M156</f>
        <v>-35.19</v>
      </c>
      <c r="N153" s="146"/>
      <c r="O153" s="184">
        <f>+'BalSht '!O$154*'BalSht '!O156</f>
        <v>-0.17219999999999999</v>
      </c>
      <c r="P153" s="184">
        <f>+'BalSht '!P$154*'BalSht '!P156</f>
        <v>-0.72360000000000013</v>
      </c>
      <c r="Q153" s="184">
        <f>+'BalSht '!Q$154*'BalSht '!Q156</f>
        <v>0</v>
      </c>
      <c r="R153" s="184">
        <f>+'BalSht '!R$154*'BalSht '!R156</f>
        <v>0</v>
      </c>
      <c r="S153" s="184">
        <f>+'BalSht '!S$154*'BalSht '!S156</f>
        <v>-0.89580000000000004</v>
      </c>
      <c r="T153" s="146"/>
      <c r="U153" s="184">
        <f>+'BalSht '!U$154*'BalSht '!U156</f>
        <v>-2.3060999999999998</v>
      </c>
      <c r="V153" s="184">
        <f>+'BalSht '!V$154*'BalSht '!V156</f>
        <v>-0.18659999999999968</v>
      </c>
      <c r="W153" s="184">
        <f>+'BalSht '!W$154*'BalSht '!W156</f>
        <v>-4.1063999999999998</v>
      </c>
      <c r="X153" s="184">
        <f>+'BalSht '!X$154*'BalSht '!X156</f>
        <v>-4.0676999999999994</v>
      </c>
      <c r="Y153" s="184">
        <f>+'BalSht '!Y$154*'BalSht '!Y156</f>
        <v>-10.666799999999999</v>
      </c>
      <c r="Z153" s="146"/>
      <c r="AA153" s="184">
        <f>+'BalSht '!AA$154*'BalSht '!AA156</f>
        <v>-6.3380999999999998</v>
      </c>
      <c r="AB153" s="184">
        <f>+'BalSht '!AB$154*'BalSht '!AB156</f>
        <v>0.31199999999999972</v>
      </c>
      <c r="AC153" s="184">
        <f>+'BalSht '!AC$154*'BalSht '!AC156</f>
        <v>-533.34960000000001</v>
      </c>
      <c r="AD153" s="184">
        <f>+'BalSht '!AD$154*'BalSht '!AD156</f>
        <v>3.1209000000000091</v>
      </c>
      <c r="AE153" s="184">
        <f>+'BalSht '!AE$154*'BalSht '!AE156</f>
        <v>-536.25480000000005</v>
      </c>
      <c r="AF153" s="146"/>
      <c r="AG153" s="184">
        <f>+'BalSht '!AG$154*'BalSht '!AG156</f>
        <v>0</v>
      </c>
      <c r="AH153" s="184">
        <f>+'BalSht '!AH$154*'BalSht '!AH156</f>
        <v>0</v>
      </c>
      <c r="AI153" s="184">
        <f>+'BalSht '!AI$154*'BalSht '!AI156</f>
        <v>0</v>
      </c>
      <c r="AJ153" s="184">
        <f>+'BalSht '!AJ$154*'BalSht '!AJ156</f>
        <v>-1.4582999999999999</v>
      </c>
      <c r="AK153" s="184">
        <f>+'BalSht '!AK$154*'BalSht '!AK156</f>
        <v>-1.4582999999999999</v>
      </c>
      <c r="AL153" s="146"/>
      <c r="AM153" s="184">
        <f>+'BalSht '!AM$154*'BalSht '!AM156</f>
        <v>-1.1817</v>
      </c>
      <c r="AN153" s="184">
        <f>+'BalSht '!AN$154*'BalSht '!AN156</f>
        <v>0</v>
      </c>
      <c r="AO153" s="184">
        <f>+'BalSht '!AO$154*'BalSht '!AO156</f>
        <v>0</v>
      </c>
      <c r="AP153" s="184">
        <f>+'BalSht '!AP$154*'BalSht '!AP156</f>
        <v>-18.692399999999999</v>
      </c>
      <c r="AQ153" s="184">
        <f>+'BalSht '!AQ$154*'BalSht '!AQ156</f>
        <v>-19.874099999999999</v>
      </c>
      <c r="AR153" s="146"/>
      <c r="AS153" s="184">
        <f>+'BalSht '!AS$154*'BalSht '!AS156</f>
        <v>0</v>
      </c>
      <c r="AT153" s="184">
        <f>+'BalSht '!AT$154*'BalSht '!AT156</f>
        <v>-0.6026999999999999</v>
      </c>
      <c r="AU153" s="184">
        <f>+'BalSht '!AU$154*'BalSht '!AU156</f>
        <v>0.4113</v>
      </c>
      <c r="AV153" s="184">
        <f>+'BalSht '!AV$154*'BalSht '!AV156</f>
        <v>-0.42090000000000011</v>
      </c>
      <c r="AW153" s="184">
        <f>+'BalSht '!AW$154*'BalSht '!AW156</f>
        <v>-0.61230000000000007</v>
      </c>
      <c r="AX153" s="146"/>
      <c r="AY153" s="184">
        <f>+'BalSht '!AY$154*'BalSht '!AY156</f>
        <v>0</v>
      </c>
      <c r="AZ153" s="184">
        <f>+'BalSht '!AZ$154*'BalSht '!AZ156</f>
        <v>-0.99150000000000005</v>
      </c>
      <c r="BA153" s="184">
        <f>+'BalSht '!BA$154*'BalSht '!BA156</f>
        <v>1.5000000000001013E-3</v>
      </c>
      <c r="BB153" s="184">
        <f>+'BalSht '!BB$154*'BalSht '!BB156</f>
        <v>-15.21</v>
      </c>
      <c r="BC153" s="184">
        <f>+'BalSht '!BC$154*'BalSht '!BC156</f>
        <v>-16.2</v>
      </c>
      <c r="BD153" s="146"/>
      <c r="BE153" s="184">
        <f>+'BalSht '!BE$154*'BalSht '!BE156</f>
        <v>-0.12</v>
      </c>
      <c r="BF153" s="184">
        <f>+'BalSht '!BF$154*'BalSht '!BF156</f>
        <v>0</v>
      </c>
      <c r="BG153" s="184">
        <f>+'BalSht '!BG$154*'BalSht '!BG156</f>
        <v>-102.42</v>
      </c>
      <c r="BH153" s="184">
        <f>+'BalSht '!BH$154*'BalSht '!BH156</f>
        <v>0</v>
      </c>
      <c r="BI153" s="184">
        <f>+'BalSht '!BI$154*'BalSht '!BI156</f>
        <v>-102.54</v>
      </c>
      <c r="BJ153" s="146"/>
      <c r="BK153" s="184">
        <f>+'BalSht '!BK$154*'BalSht '!BK156</f>
        <v>-2.73</v>
      </c>
      <c r="BL153" s="184">
        <f>+'BalSht '!BL$154*'BalSht '!BL156</f>
        <v>-34.83</v>
      </c>
      <c r="BM153" s="184">
        <f>+'BalSht '!BM$154*'BalSht '!BM156</f>
        <v>-3.2100000000000009</v>
      </c>
      <c r="BN153" s="184">
        <f>+'BalSht '!BN$154*'BalSht '!BN156</f>
        <v>-3</v>
      </c>
      <c r="BO153" s="184">
        <f>+'BalSht '!BO$154*'BalSht '!BO156</f>
        <v>-43.77</v>
      </c>
      <c r="BP153" s="146"/>
      <c r="BQ153" s="184">
        <f>+'BalSht '!BQ$154*'BalSht '!BQ156</f>
        <v>0</v>
      </c>
      <c r="BR153" s="184">
        <f>+'BalSht '!BR$154*'BalSht '!BR156</f>
        <v>0</v>
      </c>
      <c r="BS153" s="184">
        <f>+'BalSht '!BS$154*'BalSht '!BS156</f>
        <v>0</v>
      </c>
      <c r="BT153" s="184">
        <f>+'BalSht '!BT$154*'BalSht '!BT156</f>
        <v>0</v>
      </c>
      <c r="BU153" s="184">
        <f>+'BalSht '!BU$154*'BalSht '!BU156</f>
        <v>0</v>
      </c>
      <c r="BV153" s="146"/>
      <c r="BW153" s="184">
        <f>+'BalSht '!BW$154*'BalSht '!BW156</f>
        <v>0</v>
      </c>
      <c r="BX153" s="184">
        <f>+'BalSht '!BX$154*'BalSht '!BX156</f>
        <v>0</v>
      </c>
      <c r="BY153" s="184">
        <f>+'BalSht '!BY$154*'BalSht '!BY156</f>
        <v>0</v>
      </c>
      <c r="BZ153" s="184">
        <f>+'BalSht '!BZ$154*'BalSht '!BZ156</f>
        <v>0</v>
      </c>
      <c r="CA153" s="184">
        <f>+'BalSht '!CA$154*'BalSht '!CA156</f>
        <v>0</v>
      </c>
      <c r="CB153" s="146"/>
      <c r="CC153" s="184">
        <f>+'BalSht '!CC$154*'BalSht '!CC156</f>
        <v>0</v>
      </c>
      <c r="CD153" s="184">
        <f>+'BalSht '!CD$154*'BalSht '!CD156</f>
        <v>0</v>
      </c>
      <c r="CE153" s="184">
        <f>+'BalSht '!CE$154*'BalSht '!CE156</f>
        <v>0</v>
      </c>
      <c r="CF153" s="184">
        <f>+'BalSht '!CF$154*'BalSht '!CF156</f>
        <v>0</v>
      </c>
      <c r="CG153" s="184">
        <f>+'BalSht '!CG$154*'BalSht '!CG156</f>
        <v>0</v>
      </c>
    </row>
    <row r="154" spans="1:94" ht="11.25" customHeight="1" x14ac:dyDescent="0.2">
      <c r="B154" s="6" t="s">
        <v>113</v>
      </c>
      <c r="C154" s="184">
        <f>+'BalSht '!C$154*'BalSht '!C157</f>
        <v>-1.7875000000000001</v>
      </c>
      <c r="D154" s="184">
        <f>+'BalSht '!D$154*'BalSht '!D157</f>
        <v>-4.7682500000000001</v>
      </c>
      <c r="E154" s="184">
        <f>+'BalSht '!E$154*'BalSht '!E157</f>
        <v>-18.603000000000002</v>
      </c>
      <c r="F154" s="184">
        <f>+'BalSht '!F$154*'BalSht '!F157</f>
        <v>-0.21424999999999983</v>
      </c>
      <c r="G154" s="184">
        <f>+'BalSht '!G$154*'BalSht '!G157</f>
        <v>-25.373000000000001</v>
      </c>
      <c r="H154" s="146"/>
      <c r="I154" s="184">
        <f>+'BalSht '!I$154*'BalSht '!I157</f>
        <v>-0.60375000000000001</v>
      </c>
      <c r="J154" s="184">
        <f>+'BalSht '!J$154*'BalSht '!J157</f>
        <v>0</v>
      </c>
      <c r="K154" s="184">
        <f>+'BalSht '!K$154*'BalSht '!K157</f>
        <v>-10.3805</v>
      </c>
      <c r="L154" s="184">
        <f>+'BalSht '!L$154*'BalSht '!L157</f>
        <v>-18.34075</v>
      </c>
      <c r="M154" s="184">
        <f>+'BalSht '!M$154*'BalSht '!M157</f>
        <v>-29.324999999999999</v>
      </c>
      <c r="N154" s="146"/>
      <c r="O154" s="184">
        <f>+'BalSht '!O$154*'BalSht '!O157</f>
        <v>-0.14349999999999999</v>
      </c>
      <c r="P154" s="184">
        <f>+'BalSht '!P$154*'BalSht '!P157</f>
        <v>-0.60300000000000009</v>
      </c>
      <c r="Q154" s="184">
        <f>+'BalSht '!Q$154*'BalSht '!Q157</f>
        <v>0</v>
      </c>
      <c r="R154" s="184">
        <f>+'BalSht '!R$154*'BalSht '!R157</f>
        <v>0</v>
      </c>
      <c r="S154" s="184">
        <f>+'BalSht '!S$154*'BalSht '!S157</f>
        <v>-0.74650000000000005</v>
      </c>
      <c r="T154" s="146"/>
      <c r="U154" s="184">
        <f>+'BalSht '!U$154*'BalSht '!U157</f>
        <v>-1.9217500000000001</v>
      </c>
      <c r="V154" s="184">
        <f>+'BalSht '!V$154*'BalSht '!V157</f>
        <v>-0.15549999999999975</v>
      </c>
      <c r="W154" s="184">
        <f>+'BalSht '!W$154*'BalSht '!W157</f>
        <v>-3.4220000000000002</v>
      </c>
      <c r="X154" s="184">
        <f>+'BalSht '!X$154*'BalSht '!X157</f>
        <v>-3.3897499999999994</v>
      </c>
      <c r="Y154" s="184">
        <f>+'BalSht '!Y$154*'BalSht '!Y157</f>
        <v>-8.8889999999999993</v>
      </c>
      <c r="Z154" s="146"/>
      <c r="AA154" s="184">
        <f>+'BalSht '!AA$154*'BalSht '!AA157</f>
        <v>-5.2817499999999997</v>
      </c>
      <c r="AB154" s="184">
        <f>+'BalSht '!AB$154*'BalSht '!AB157</f>
        <v>0.25999999999999979</v>
      </c>
      <c r="AC154" s="184">
        <f>+'BalSht '!AC$154*'BalSht '!AC157</f>
        <v>-444.45800000000003</v>
      </c>
      <c r="AD154" s="184">
        <f>+'BalSht '!AD$154*'BalSht '!AD157</f>
        <v>2.6007500000000077</v>
      </c>
      <c r="AE154" s="184">
        <f>+'BalSht '!AE$154*'BalSht '!AE157</f>
        <v>-446.87900000000002</v>
      </c>
      <c r="AF154" s="146"/>
      <c r="AG154" s="184">
        <f>+'BalSht '!AG$154*'BalSht '!AG157</f>
        <v>0</v>
      </c>
      <c r="AH154" s="184">
        <f>+'BalSht '!AH$154*'BalSht '!AH157</f>
        <v>0</v>
      </c>
      <c r="AI154" s="184">
        <f>+'BalSht '!AI$154*'BalSht '!AI157</f>
        <v>0</v>
      </c>
      <c r="AJ154" s="184">
        <f>+'BalSht '!AJ$154*'BalSht '!AJ157</f>
        <v>-1.2152499999999999</v>
      </c>
      <c r="AK154" s="184">
        <f>+'BalSht '!AK$154*'BalSht '!AK157</f>
        <v>-1.2152499999999999</v>
      </c>
      <c r="AL154" s="146"/>
      <c r="AM154" s="184">
        <f>+'BalSht '!AM$154*'BalSht '!AM157</f>
        <v>-0.98475000000000001</v>
      </c>
      <c r="AN154" s="184">
        <f>+'BalSht '!AN$154*'BalSht '!AN157</f>
        <v>0</v>
      </c>
      <c r="AO154" s="184">
        <f>+'BalSht '!AO$154*'BalSht '!AO157</f>
        <v>0</v>
      </c>
      <c r="AP154" s="184">
        <f>+'BalSht '!AP$154*'BalSht '!AP157</f>
        <v>-15.577</v>
      </c>
      <c r="AQ154" s="184">
        <f>+'BalSht '!AQ$154*'BalSht '!AQ157</f>
        <v>-16.56175</v>
      </c>
      <c r="AR154" s="146"/>
      <c r="AS154" s="184">
        <f>+'BalSht '!AS$154*'BalSht '!AS157</f>
        <v>0</v>
      </c>
      <c r="AT154" s="184">
        <f>+'BalSht '!AT$154*'BalSht '!AT157</f>
        <v>-0.50224999999999997</v>
      </c>
      <c r="AU154" s="184">
        <f>+'BalSht '!AU$154*'BalSht '!AU157</f>
        <v>0.34275</v>
      </c>
      <c r="AV154" s="184">
        <f>+'BalSht '!AV$154*'BalSht '!AV157</f>
        <v>-0.35075000000000012</v>
      </c>
      <c r="AW154" s="184">
        <f>+'BalSht '!AW$154*'BalSht '!AW157</f>
        <v>-0.51025000000000009</v>
      </c>
      <c r="AX154" s="146"/>
      <c r="AY154" s="184">
        <f>+'BalSht '!AY$154*'BalSht '!AY157</f>
        <v>0</v>
      </c>
      <c r="AZ154" s="184">
        <f>+'BalSht '!AZ$154*'BalSht '!AZ157</f>
        <v>-0.82625000000000004</v>
      </c>
      <c r="BA154" s="184">
        <f>+'BalSht '!BA$154*'BalSht '!BA157</f>
        <v>1.2500000000000844E-3</v>
      </c>
      <c r="BB154" s="184">
        <f>+'BalSht '!BB$154*'BalSht '!BB157</f>
        <v>-12.675000000000001</v>
      </c>
      <c r="BC154" s="184">
        <f>+'BalSht '!BC$154*'BalSht '!BC157</f>
        <v>-13.5</v>
      </c>
      <c r="BD154" s="146"/>
      <c r="BE154" s="184">
        <f>+'BalSht '!BE$154*'BalSht '!BE157</f>
        <v>-0.1</v>
      </c>
      <c r="BF154" s="184">
        <f>+'BalSht '!BF$154*'BalSht '!BF157</f>
        <v>0</v>
      </c>
      <c r="BG154" s="184">
        <f>+'BalSht '!BG$154*'BalSht '!BG157</f>
        <v>-85.350000000000009</v>
      </c>
      <c r="BH154" s="184">
        <f>+'BalSht '!BH$154*'BalSht '!BH157</f>
        <v>0</v>
      </c>
      <c r="BI154" s="184">
        <f>+'BalSht '!BI$154*'BalSht '!BI157</f>
        <v>-85.45</v>
      </c>
      <c r="BJ154" s="146"/>
      <c r="BK154" s="184">
        <f>+'BalSht '!BK$154*'BalSht '!BK157</f>
        <v>-2.2749999999999999</v>
      </c>
      <c r="BL154" s="184">
        <f>+'BalSht '!BL$154*'BalSht '!BL157</f>
        <v>-29.025000000000002</v>
      </c>
      <c r="BM154" s="184">
        <f>+'BalSht '!BM$154*'BalSht '!BM157</f>
        <v>-2.6750000000000007</v>
      </c>
      <c r="BN154" s="184">
        <f>+'BalSht '!BN$154*'BalSht '!BN157</f>
        <v>-2.5</v>
      </c>
      <c r="BO154" s="184">
        <f>+'BalSht '!BO$154*'BalSht '!BO157</f>
        <v>-36.475000000000001</v>
      </c>
      <c r="BP154" s="146"/>
      <c r="BQ154" s="184">
        <f>+'BalSht '!BQ$154*'BalSht '!BQ157</f>
        <v>0</v>
      </c>
      <c r="BR154" s="184">
        <f>+'BalSht '!BR$154*'BalSht '!BR157</f>
        <v>0</v>
      </c>
      <c r="BS154" s="184">
        <f>+'BalSht '!BS$154*'BalSht '!BS157</f>
        <v>0</v>
      </c>
      <c r="BT154" s="184">
        <f>+'BalSht '!BT$154*'BalSht '!BT157</f>
        <v>0</v>
      </c>
      <c r="BU154" s="184">
        <f>+'BalSht '!BU$154*'BalSht '!BU157</f>
        <v>0</v>
      </c>
      <c r="BV154" s="146"/>
      <c r="BW154" s="184">
        <f>+'BalSht '!BW$154*'BalSht '!BW157</f>
        <v>0</v>
      </c>
      <c r="BX154" s="184">
        <f>+'BalSht '!BX$154*'BalSht '!BX157</f>
        <v>0</v>
      </c>
      <c r="BY154" s="184">
        <f>+'BalSht '!BY$154*'BalSht '!BY157</f>
        <v>0</v>
      </c>
      <c r="BZ154" s="184">
        <f>+'BalSht '!BZ$154*'BalSht '!BZ157</f>
        <v>0</v>
      </c>
      <c r="CA154" s="184">
        <f>+'BalSht '!CA$154*'BalSht '!CA157</f>
        <v>0</v>
      </c>
      <c r="CB154" s="146"/>
      <c r="CC154" s="184">
        <f>+'BalSht '!CC$154*'BalSht '!CC157</f>
        <v>0</v>
      </c>
      <c r="CD154" s="184">
        <f>+'BalSht '!CD$154*'BalSht '!CD157</f>
        <v>0</v>
      </c>
      <c r="CE154" s="184">
        <f>+'BalSht '!CE$154*'BalSht '!CE157</f>
        <v>0</v>
      </c>
      <c r="CF154" s="184">
        <f>+'BalSht '!CF$154*'BalSht '!CF157</f>
        <v>0</v>
      </c>
      <c r="CG154" s="184">
        <f>+'BalSht '!CG$154*'BalSht '!CG157</f>
        <v>0</v>
      </c>
    </row>
    <row r="155" spans="1:94" ht="11.25" customHeight="1" x14ac:dyDescent="0.2">
      <c r="A155" s="24"/>
      <c r="B155" s="37"/>
      <c r="C155" s="166"/>
      <c r="D155" s="166"/>
      <c r="E155" s="166"/>
      <c r="F155" s="166"/>
      <c r="G155" s="166"/>
      <c r="H155" s="255"/>
      <c r="I155" s="166"/>
      <c r="J155" s="166"/>
      <c r="K155" s="166"/>
      <c r="L155" s="166"/>
      <c r="M155" s="166"/>
      <c r="N155" s="255"/>
      <c r="O155" s="166"/>
      <c r="P155" s="166"/>
      <c r="Q155" s="166"/>
      <c r="R155" s="166"/>
      <c r="S155" s="166"/>
      <c r="T155" s="255"/>
      <c r="U155" s="166"/>
      <c r="V155" s="166"/>
      <c r="W155" s="166"/>
      <c r="X155" s="166"/>
      <c r="Y155" s="166"/>
      <c r="Z155" s="255"/>
      <c r="AA155" s="166"/>
      <c r="AB155" s="166"/>
      <c r="AC155" s="166"/>
      <c r="AD155" s="166"/>
      <c r="AE155" s="166"/>
      <c r="AF155" s="255"/>
      <c r="AG155" s="166"/>
      <c r="AH155" s="166"/>
      <c r="AI155" s="166"/>
      <c r="AJ155" s="166"/>
      <c r="AK155" s="166"/>
      <c r="AL155" s="255"/>
      <c r="AM155" s="166"/>
      <c r="AN155" s="166"/>
      <c r="AO155" s="166"/>
      <c r="AP155" s="166"/>
      <c r="AQ155" s="166"/>
      <c r="AR155" s="255"/>
      <c r="AS155" s="166"/>
      <c r="AT155" s="166"/>
      <c r="AU155" s="166"/>
      <c r="AV155" s="166"/>
      <c r="AW155" s="166"/>
      <c r="AX155" s="255"/>
      <c r="AY155" s="166"/>
      <c r="AZ155" s="166"/>
      <c r="BA155" s="166"/>
      <c r="BB155" s="166"/>
      <c r="BC155" s="166"/>
      <c r="BD155" s="255"/>
      <c r="BE155" s="166"/>
      <c r="BF155" s="166"/>
      <c r="BG155" s="166"/>
      <c r="BH155" s="166"/>
      <c r="BI155" s="166"/>
      <c r="BJ155" s="255"/>
      <c r="BK155" s="166"/>
      <c r="BL155" s="166"/>
      <c r="BM155" s="166"/>
      <c r="BN155" s="166"/>
      <c r="BO155" s="166"/>
      <c r="BP155" s="255"/>
      <c r="BQ155" s="166"/>
      <c r="BR155" s="166"/>
      <c r="BS155" s="166"/>
      <c r="BT155" s="166"/>
      <c r="BU155" s="166"/>
      <c r="BV155" s="255"/>
      <c r="BW155" s="166"/>
      <c r="BX155" s="166"/>
      <c r="BY155" s="166"/>
      <c r="BZ155" s="166"/>
      <c r="CA155" s="166"/>
      <c r="CB155" s="255"/>
      <c r="CC155" s="166"/>
      <c r="CD155" s="166"/>
      <c r="CE155" s="166"/>
      <c r="CF155" s="166"/>
      <c r="CG155" s="166"/>
    </row>
    <row r="156" spans="1:94" ht="11.25" customHeight="1" x14ac:dyDescent="0.2">
      <c r="B156" s="12" t="s">
        <v>415</v>
      </c>
      <c r="BE156" s="24"/>
      <c r="BF156" s="24"/>
      <c r="BG156" s="24"/>
    </row>
    <row r="157" spans="1:94" ht="11.25" customHeight="1" x14ac:dyDescent="0.2">
      <c r="B157" s="37" t="s">
        <v>178</v>
      </c>
      <c r="C157" s="237">
        <f>+'P&amp;L'!C10</f>
        <v>226.58600000000001</v>
      </c>
      <c r="D157" s="237">
        <f>+'P&amp;L'!D10</f>
        <v>238.578</v>
      </c>
      <c r="E157" s="237">
        <f>+'P&amp;L'!E10</f>
        <v>235.113</v>
      </c>
      <c r="F157" s="237">
        <f>+'P&amp;L'!F10</f>
        <v>268.77300000000002</v>
      </c>
      <c r="G157" s="237">
        <f>+'P&amp;L'!G10</f>
        <v>969.05000000000007</v>
      </c>
      <c r="I157" s="237">
        <f>+'P&amp;L'!I10</f>
        <v>275.53899999999999</v>
      </c>
      <c r="J157" s="237">
        <f>+'P&amp;L'!J10</f>
        <v>279.36099999999999</v>
      </c>
      <c r="K157" s="237">
        <f>+'P&amp;L'!K10</f>
        <v>249.77</v>
      </c>
      <c r="L157" s="237">
        <f>+'P&amp;L'!L10</f>
        <v>237.10900000000001</v>
      </c>
      <c r="M157" s="237">
        <f>+'P&amp;L'!M10</f>
        <v>1041.779</v>
      </c>
      <c r="O157" s="237">
        <f>+'P&amp;L'!O10</f>
        <v>241.21700000000001</v>
      </c>
      <c r="P157" s="237">
        <f>+'P&amp;L'!P10</f>
        <v>267.16399999999999</v>
      </c>
      <c r="Q157" s="237">
        <f>+'P&amp;L'!Q10</f>
        <v>259.47300000000001</v>
      </c>
      <c r="R157" s="237">
        <f>+'P&amp;L'!R10</f>
        <v>285.161</v>
      </c>
      <c r="S157" s="237">
        <f>+'P&amp;L'!S10</f>
        <v>1053.0150000000001</v>
      </c>
      <c r="U157" s="237">
        <f>+'P&amp;L'!U10</f>
        <v>263.90600000000001</v>
      </c>
      <c r="V157" s="237">
        <f>+'P&amp;L'!V10</f>
        <v>277.49099999999999</v>
      </c>
      <c r="W157" s="237">
        <f>+'P&amp;L'!W10</f>
        <v>269.00099999999998</v>
      </c>
      <c r="X157" s="237">
        <f>+'P&amp;L'!X10</f>
        <v>280.45800000000003</v>
      </c>
      <c r="Y157" s="237">
        <f>+'P&amp;L'!Y10</f>
        <v>1090.856</v>
      </c>
      <c r="AA157" s="237">
        <f>+'P&amp;L'!AA10</f>
        <v>268.91899999999998</v>
      </c>
      <c r="AB157" s="237">
        <f>+'P&amp;L'!AB10</f>
        <v>293.09199999999998</v>
      </c>
      <c r="AC157" s="237">
        <f>+'P&amp;L'!AC10</f>
        <v>304.738</v>
      </c>
      <c r="AD157" s="237">
        <f>+'P&amp;L'!AD10</f>
        <v>355.27199999999993</v>
      </c>
      <c r="AE157" s="237">
        <f>+'P&amp;L'!AE10</f>
        <v>1222.021</v>
      </c>
      <c r="AG157" s="237">
        <f>+'P&amp;L'!AG10</f>
        <v>320.32900000000001</v>
      </c>
      <c r="AH157" s="237">
        <f>+'P&amp;L'!AH10</f>
        <v>351.08900000000006</v>
      </c>
      <c r="AI157" s="237">
        <f>+'P&amp;L'!AI10</f>
        <v>327.38100000000003</v>
      </c>
      <c r="AJ157" s="237">
        <f>+'P&amp;L'!AJ10</f>
        <v>356.99900000000002</v>
      </c>
      <c r="AK157" s="237">
        <f>+'P&amp;L'!AK10</f>
        <v>1355.7980000000002</v>
      </c>
      <c r="AM157" s="237">
        <f>+'P&amp;L'!AM10</f>
        <v>340.40999999999997</v>
      </c>
      <c r="AN157" s="237">
        <f>+'P&amp;L'!AN10</f>
        <v>342.92099999999999</v>
      </c>
      <c r="AO157" s="237">
        <f>+'P&amp;L'!AO10</f>
        <v>324.91000000000003</v>
      </c>
      <c r="AP157" s="237">
        <f>+'P&amp;L'!AP10</f>
        <v>350.726</v>
      </c>
      <c r="AQ157" s="237">
        <f>+'P&amp;L'!AQ10</f>
        <v>1358.9670000000001</v>
      </c>
      <c r="AS157" s="237">
        <f>+'P&amp;L'!AS10</f>
        <v>331.67100000000005</v>
      </c>
      <c r="AT157" s="237">
        <f>+'P&amp;L'!AT10</f>
        <v>337.791</v>
      </c>
      <c r="AU157" s="237">
        <f>+'P&amp;L'!AU10</f>
        <v>314.71000000000004</v>
      </c>
      <c r="AV157" s="237">
        <f>+'P&amp;L'!AV10</f>
        <v>322.73800000000006</v>
      </c>
      <c r="AW157" s="237">
        <f>+'P&amp;L'!AW10</f>
        <v>1306.9100000000001</v>
      </c>
      <c r="AY157" s="237">
        <f>+'P&amp;L'!AY10</f>
        <v>278.36600000000004</v>
      </c>
      <c r="AZ157" s="237">
        <f>+'P&amp;L'!AZ10</f>
        <v>291.83799999999997</v>
      </c>
      <c r="BA157" s="237">
        <f>+'P&amp;L'!BA10</f>
        <v>270.5</v>
      </c>
      <c r="BB157" s="237">
        <f>+'P&amp;L'!BB10</f>
        <v>291</v>
      </c>
      <c r="BC157" s="237">
        <f>'P&amp;L'!BC10</f>
        <v>1131.704</v>
      </c>
      <c r="BE157" s="237">
        <f>+'P&amp;L'!BE10</f>
        <v>309.8</v>
      </c>
      <c r="BF157" s="237">
        <f>+'P&amp;L'!BF10</f>
        <v>418</v>
      </c>
      <c r="BG157" s="237">
        <f>+'P&amp;L'!BG10</f>
        <v>411.69999999999993</v>
      </c>
      <c r="BH157" s="237">
        <f>+'P&amp;L'!BH10</f>
        <v>424.9</v>
      </c>
      <c r="BI157" s="237">
        <f>'P&amp;L'!BI10</f>
        <v>1564.4</v>
      </c>
      <c r="BJ157" s="1102"/>
      <c r="BK157" s="237">
        <f>+'P&amp;L'!BK10</f>
        <v>376.9</v>
      </c>
      <c r="BL157" s="237">
        <f>+'P&amp;L'!BL10</f>
        <v>415.40000000000009</v>
      </c>
      <c r="BM157" s="237">
        <f>+'P&amp;L'!BM10</f>
        <v>419.09999999999991</v>
      </c>
      <c r="BN157" s="237">
        <f>+'P&amp;L'!BN10</f>
        <v>463.1</v>
      </c>
      <c r="BO157" s="237">
        <f>'P&amp;L'!BO10</f>
        <v>1674.5</v>
      </c>
      <c r="BP157" s="1102"/>
      <c r="BQ157" s="237">
        <f>+'P&amp;L'!BQ10</f>
        <v>408.74510000000009</v>
      </c>
      <c r="BR157" s="237">
        <f>+'P&amp;L'!BR10</f>
        <v>445.22688000000005</v>
      </c>
      <c r="BS157" s="237">
        <f>+'P&amp;L'!BS10</f>
        <v>454.54584000000011</v>
      </c>
      <c r="BT157" s="237">
        <f>+'P&amp;L'!BT10</f>
        <v>488.41128000000003</v>
      </c>
      <c r="BU157" s="237">
        <f>'P&amp;L'!BU10</f>
        <v>1796.9291000000003</v>
      </c>
      <c r="BV157" s="1102"/>
      <c r="BW157" s="237">
        <f>+'P&amp;L'!BW10</f>
        <v>419.60669142000006</v>
      </c>
      <c r="BX157" s="237">
        <f>+'P&amp;L'!BX10</f>
        <v>462.42630366000014</v>
      </c>
      <c r="BY157" s="237">
        <f>+'P&amp;L'!BY10</f>
        <v>470.10021288000007</v>
      </c>
      <c r="BZ157" s="237">
        <f>+'P&amp;L'!BZ10</f>
        <v>501.38970780000011</v>
      </c>
      <c r="CA157" s="237">
        <f>'P&amp;L'!CA10</f>
        <v>1853.5229157600002</v>
      </c>
      <c r="CB157" s="1102"/>
      <c r="CC157" s="237">
        <f>+'P&amp;L'!CC10</f>
        <v>430.96367648720013</v>
      </c>
      <c r="CD157" s="237">
        <f>+'P&amp;L'!CD10</f>
        <v>470.3406009534001</v>
      </c>
      <c r="CE157" s="237">
        <f>+'P&amp;L'!CE10</f>
        <v>479.48573472480007</v>
      </c>
      <c r="CF157" s="237">
        <f>+'P&amp;L'!CF10</f>
        <v>514.99203445080013</v>
      </c>
      <c r="CG157" s="237">
        <f>'P&amp;L'!CG10</f>
        <v>1895.7820466162002</v>
      </c>
    </row>
    <row r="158" spans="1:94" ht="11.25" customHeight="1" x14ac:dyDescent="0.2">
      <c r="B158" s="37" t="s">
        <v>179</v>
      </c>
      <c r="C158" s="237">
        <f>+'P&amp;L'!C13</f>
        <v>164.077</v>
      </c>
      <c r="D158" s="237">
        <f>+'P&amp;L'!D13</f>
        <v>172.084</v>
      </c>
      <c r="E158" s="237">
        <f>+'P&amp;L'!E13</f>
        <v>165.708</v>
      </c>
      <c r="F158" s="237">
        <f>+'P&amp;L'!F13</f>
        <v>173.49600000000001</v>
      </c>
      <c r="G158" s="237">
        <f>+'P&amp;L'!G13</f>
        <v>675.36500000000001</v>
      </c>
      <c r="I158" s="237">
        <f>+'P&amp;L'!I13</f>
        <v>184.00200000000001</v>
      </c>
      <c r="J158" s="237">
        <f>+'P&amp;L'!J13</f>
        <v>200.86699999999999</v>
      </c>
      <c r="K158" s="237">
        <f>+'P&amp;L'!K13</f>
        <v>180.72900000000001</v>
      </c>
      <c r="L158" s="237">
        <f>+'P&amp;L'!L13</f>
        <v>173.56899999999999</v>
      </c>
      <c r="M158" s="237">
        <f>+'P&amp;L'!M13</f>
        <v>739.16700000000003</v>
      </c>
      <c r="O158" s="237">
        <f>+'P&amp;L'!O13</f>
        <v>175.38299999999998</v>
      </c>
      <c r="P158" s="237">
        <f>+'P&amp;L'!P13</f>
        <v>182.64400000000001</v>
      </c>
      <c r="Q158" s="237">
        <f>+'P&amp;L'!Q13</f>
        <v>177.33700000000002</v>
      </c>
      <c r="R158" s="237">
        <f>+'P&amp;L'!R13</f>
        <v>178.732</v>
      </c>
      <c r="S158" s="237">
        <f>+'P&amp;L'!S13</f>
        <v>714.096</v>
      </c>
      <c r="U158" s="237">
        <f>+'P&amp;L'!U13</f>
        <v>187.51599999999999</v>
      </c>
      <c r="V158" s="237">
        <f>+'P&amp;L'!V13</f>
        <v>182.38300000000001</v>
      </c>
      <c r="W158" s="237">
        <f>+'P&amp;L'!W13</f>
        <v>180.34199999999998</v>
      </c>
      <c r="X158" s="237">
        <f>+'P&amp;L'!X13</f>
        <v>185.97199999999998</v>
      </c>
      <c r="Y158" s="237">
        <f>+'P&amp;L'!Y13</f>
        <v>736.21299999999997</v>
      </c>
      <c r="AA158" s="237">
        <f>+'P&amp;L'!AA13</f>
        <v>199.96699999999998</v>
      </c>
      <c r="AB158" s="237">
        <f>+'P&amp;L'!AB13</f>
        <v>209.464</v>
      </c>
      <c r="AC158" s="237">
        <f>+'P&amp;L'!AC13</f>
        <v>218.05099999999999</v>
      </c>
      <c r="AD158" s="237">
        <f>+'P&amp;L'!AD13</f>
        <v>274.262</v>
      </c>
      <c r="AE158" s="237">
        <f>+'P&amp;L'!AE13</f>
        <v>901.74399999999991</v>
      </c>
      <c r="AG158" s="237">
        <f>+'P&amp;L'!AG13</f>
        <v>283.68299999999999</v>
      </c>
      <c r="AH158" s="237">
        <f>+'P&amp;L'!AH13</f>
        <v>282.154</v>
      </c>
      <c r="AI158" s="237">
        <f>+'P&amp;L'!AI13</f>
        <v>256.7</v>
      </c>
      <c r="AJ158" s="237">
        <f>+'P&amp;L'!AJ13</f>
        <v>276.221</v>
      </c>
      <c r="AK158" s="237">
        <f>+'P&amp;L'!AK13</f>
        <v>1098.758</v>
      </c>
      <c r="AM158" s="237">
        <f>+'P&amp;L'!AM13</f>
        <v>282.97300000000001</v>
      </c>
      <c r="AN158" s="237">
        <f>+'P&amp;L'!AN13</f>
        <v>280.32600000000002</v>
      </c>
      <c r="AO158" s="237">
        <f>+'P&amp;L'!AO13</f>
        <v>259.392</v>
      </c>
      <c r="AP158" s="237">
        <f>+'P&amp;L'!AP13</f>
        <v>280.31</v>
      </c>
      <c r="AQ158" s="237">
        <f>+'P&amp;L'!AQ13</f>
        <v>1103.001</v>
      </c>
      <c r="AS158" s="237">
        <f>+'P&amp;L'!AS13</f>
        <v>276.45399999999995</v>
      </c>
      <c r="AT158" s="237">
        <f>+'P&amp;L'!AT13</f>
        <v>286.46900000000005</v>
      </c>
      <c r="AU158" s="237">
        <f>+'P&amp;L'!AU13</f>
        <v>266.29700000000003</v>
      </c>
      <c r="AV158" s="237">
        <f>+'P&amp;L'!AV13</f>
        <v>273.685</v>
      </c>
      <c r="AW158" s="237">
        <f>+'P&amp;L'!AW13</f>
        <v>1102.905</v>
      </c>
      <c r="AY158" s="237">
        <f>+'P&amp;L'!AY13</f>
        <v>260.084</v>
      </c>
      <c r="AZ158" s="237">
        <f>+'P&amp;L'!AZ13</f>
        <v>263.54899999999998</v>
      </c>
      <c r="BA158" s="237">
        <f>+'P&amp;L'!BA13</f>
        <v>246.5</v>
      </c>
      <c r="BB158" s="237">
        <f>+'P&amp;L'!BB13</f>
        <v>251.4</v>
      </c>
      <c r="BC158" s="237">
        <f>'P&amp;L'!BC13</f>
        <v>1021.533</v>
      </c>
      <c r="BE158" s="237">
        <f>+'P&amp;L'!BE13</f>
        <v>293.3</v>
      </c>
      <c r="BF158" s="237">
        <f>+'P&amp;L'!BF13</f>
        <v>373.2</v>
      </c>
      <c r="BG158" s="237">
        <f>+'P&amp;L'!BG13</f>
        <v>348.3</v>
      </c>
      <c r="BH158" s="237">
        <f>+'P&amp;L'!BH13</f>
        <v>366.7</v>
      </c>
      <c r="BI158" s="237">
        <f>'P&amp;L'!BI13</f>
        <v>1381.5</v>
      </c>
      <c r="BJ158" s="1102"/>
      <c r="BK158" s="237">
        <f>+'P&amp;L'!BK13</f>
        <v>377.2</v>
      </c>
      <c r="BL158" s="237">
        <f>+'P&amp;L'!BL13</f>
        <v>383.7</v>
      </c>
      <c r="BM158" s="237">
        <f>+'P&amp;L'!BM13</f>
        <v>379.40000000000003</v>
      </c>
      <c r="BN158" s="237">
        <f>+'P&amp;L'!BN13</f>
        <v>391</v>
      </c>
      <c r="BO158" s="237">
        <f>'P&amp;L'!BO13</f>
        <v>1531.3</v>
      </c>
      <c r="BP158" s="1102"/>
      <c r="BQ158" s="237">
        <f>+'P&amp;L'!BQ13</f>
        <v>403.00365000000005</v>
      </c>
      <c r="BR158" s="237">
        <f>+'P&amp;L'!BR13</f>
        <v>425.22687999999999</v>
      </c>
      <c r="BS158" s="237">
        <f>+'P&amp;L'!BS13</f>
        <v>407.48954000000009</v>
      </c>
      <c r="BT158" s="237">
        <f>+'P&amp;L'!BT13</f>
        <v>421.89591999999999</v>
      </c>
      <c r="BU158" s="237">
        <f>'P&amp;L'!BU13</f>
        <v>1657.61599</v>
      </c>
      <c r="BV158" s="1102"/>
      <c r="BW158" s="237">
        <f>+'P&amp;L'!BW13</f>
        <v>367.90103860000005</v>
      </c>
      <c r="BX158" s="237">
        <f>+'P&amp;L'!BX13</f>
        <v>417.44587984000009</v>
      </c>
      <c r="BY158" s="237">
        <f>+'P&amp;L'!BY13</f>
        <v>422.69948784000002</v>
      </c>
      <c r="BZ158" s="237">
        <f>+'P&amp;L'!BZ13</f>
        <v>450.75885360000007</v>
      </c>
      <c r="CA158" s="237">
        <f>'P&amp;L'!CA13</f>
        <v>1658.8052598800002</v>
      </c>
      <c r="CB158" s="1102"/>
      <c r="CC158" s="237">
        <f>+'P&amp;L'!CC13</f>
        <v>374.19268435975005</v>
      </c>
      <c r="CD158" s="237">
        <f>+'P&amp;L'!CD13</f>
        <v>420.68384948455002</v>
      </c>
      <c r="CE158" s="237">
        <f>+'P&amp;L'!CE13</f>
        <v>427.32486464120001</v>
      </c>
      <c r="CF158" s="237">
        <f>+'P&amp;L'!CF13</f>
        <v>459.44275804830005</v>
      </c>
      <c r="CG158" s="237">
        <f>'P&amp;L'!CG13</f>
        <v>1681.6441565338</v>
      </c>
    </row>
    <row r="159" spans="1:94" ht="11.25" customHeight="1" x14ac:dyDescent="0.2">
      <c r="B159" s="37" t="s">
        <v>414</v>
      </c>
      <c r="C159" s="237">
        <f>C157+C158</f>
        <v>390.66300000000001</v>
      </c>
      <c r="D159" s="237">
        <f>D157+D158</f>
        <v>410.66200000000003</v>
      </c>
      <c r="E159" s="237">
        <f>E157+E158</f>
        <v>400.82100000000003</v>
      </c>
      <c r="F159" s="237">
        <f>F157+F158</f>
        <v>442.26900000000001</v>
      </c>
      <c r="G159" s="237">
        <f>G157+G158</f>
        <v>1644.415</v>
      </c>
      <c r="I159" s="237">
        <f>I157+I158</f>
        <v>459.541</v>
      </c>
      <c r="J159" s="237">
        <f>J157+J158</f>
        <v>480.22799999999995</v>
      </c>
      <c r="K159" s="237">
        <f>K157+K158</f>
        <v>430.49900000000002</v>
      </c>
      <c r="L159" s="237">
        <f>L157+L158</f>
        <v>410.678</v>
      </c>
      <c r="M159" s="237">
        <f>M157+M158</f>
        <v>1780.9459999999999</v>
      </c>
      <c r="O159" s="237">
        <f>O157+O158</f>
        <v>416.6</v>
      </c>
      <c r="P159" s="237">
        <f>P157+P158</f>
        <v>449.80799999999999</v>
      </c>
      <c r="Q159" s="237">
        <f>Q157+Q158</f>
        <v>436.81000000000006</v>
      </c>
      <c r="R159" s="237">
        <f>R157+R158</f>
        <v>463.89300000000003</v>
      </c>
      <c r="S159" s="237">
        <f>S157+S158</f>
        <v>1767.1110000000001</v>
      </c>
      <c r="U159" s="237">
        <f>U157+U158</f>
        <v>451.42200000000003</v>
      </c>
      <c r="V159" s="237">
        <f>V157+V158</f>
        <v>459.87400000000002</v>
      </c>
      <c r="W159" s="237">
        <f>W157+W158</f>
        <v>449.34299999999996</v>
      </c>
      <c r="X159" s="237">
        <f>X157+X158</f>
        <v>466.43</v>
      </c>
      <c r="Y159" s="237">
        <f>Y157+Y158</f>
        <v>1827.069</v>
      </c>
      <c r="AA159" s="237">
        <f>AA157+AA158</f>
        <v>468.88599999999997</v>
      </c>
      <c r="AB159" s="237">
        <f>AB157+AB158</f>
        <v>502.55599999999998</v>
      </c>
      <c r="AC159" s="237">
        <f>AC157+AC158</f>
        <v>522.78899999999999</v>
      </c>
      <c r="AD159" s="237">
        <f>AD157+AD158</f>
        <v>629.53399999999988</v>
      </c>
      <c r="AE159" s="237">
        <f>AE157+AE158</f>
        <v>2123.7649999999999</v>
      </c>
      <c r="AG159" s="237">
        <f>AG157+AG158</f>
        <v>604.01199999999994</v>
      </c>
      <c r="AH159" s="237">
        <f>AH157+AH158</f>
        <v>633.24300000000005</v>
      </c>
      <c r="AI159" s="237">
        <f>AI157+AI158</f>
        <v>584.08100000000002</v>
      </c>
      <c r="AJ159" s="237">
        <f>AJ157+AJ158</f>
        <v>633.22</v>
      </c>
      <c r="AK159" s="237">
        <f>AK157+AK158</f>
        <v>2454.5560000000005</v>
      </c>
      <c r="AM159" s="237">
        <f>AM157+AM158</f>
        <v>623.38300000000004</v>
      </c>
      <c r="AN159" s="237">
        <f>AN157+AN158</f>
        <v>623.24700000000007</v>
      </c>
      <c r="AO159" s="237">
        <f>AO157+AO158</f>
        <v>584.30200000000002</v>
      </c>
      <c r="AP159" s="237">
        <f>AP157+AP158</f>
        <v>631.03600000000006</v>
      </c>
      <c r="AQ159" s="237">
        <f>AQ157+AQ158</f>
        <v>2461.9679999999998</v>
      </c>
      <c r="AS159" s="237">
        <f>AS157+AS158</f>
        <v>608.125</v>
      </c>
      <c r="AT159" s="237">
        <f>AT157+AT158</f>
        <v>624.26</v>
      </c>
      <c r="AU159" s="237">
        <f>AU157+AU158</f>
        <v>581.00700000000006</v>
      </c>
      <c r="AV159" s="237">
        <f>AV157+AV158</f>
        <v>596.423</v>
      </c>
      <c r="AW159" s="237">
        <f>AW157+AW158</f>
        <v>2409.8150000000001</v>
      </c>
      <c r="AY159" s="237">
        <f>AY157+AY158</f>
        <v>538.45000000000005</v>
      </c>
      <c r="AZ159" s="237">
        <f>AZ157+AZ158</f>
        <v>555.38699999999994</v>
      </c>
      <c r="BA159" s="237">
        <f>BA157+BA158</f>
        <v>517</v>
      </c>
      <c r="BB159" s="237">
        <f>BB157+BB158</f>
        <v>542.4</v>
      </c>
      <c r="BC159" s="237">
        <f>BC157+BC158</f>
        <v>2153.2370000000001</v>
      </c>
      <c r="BE159" s="237">
        <f>BE157+BE158</f>
        <v>603.1</v>
      </c>
      <c r="BF159" s="237">
        <f>BF157+BF158</f>
        <v>791.2</v>
      </c>
      <c r="BG159" s="237">
        <f>BG157+BG158</f>
        <v>760</v>
      </c>
      <c r="BH159" s="237">
        <f>BH157+BH158</f>
        <v>791.59999999999991</v>
      </c>
      <c r="BI159" s="237">
        <f>BI157+BI158</f>
        <v>2945.9</v>
      </c>
      <c r="BJ159" s="1102"/>
      <c r="BK159" s="237">
        <f>BK157+BK158</f>
        <v>754.09999999999991</v>
      </c>
      <c r="BL159" s="237">
        <f>BL157+BL158</f>
        <v>799.10000000000014</v>
      </c>
      <c r="BM159" s="237">
        <f>BM157+BM158</f>
        <v>798.5</v>
      </c>
      <c r="BN159" s="237">
        <f>BN157+BN158</f>
        <v>854.1</v>
      </c>
      <c r="BO159" s="237">
        <f>BO157+BO158</f>
        <v>3205.8</v>
      </c>
      <c r="BP159" s="1102"/>
      <c r="BQ159" s="237">
        <f>BQ157+BQ158</f>
        <v>811.7487500000002</v>
      </c>
      <c r="BR159" s="237">
        <f>BR157+BR158</f>
        <v>870.4537600000001</v>
      </c>
      <c r="BS159" s="237">
        <f>BS157+BS158</f>
        <v>862.03538000000026</v>
      </c>
      <c r="BT159" s="237">
        <f>BT157+BT158</f>
        <v>910.30719999999997</v>
      </c>
      <c r="BU159" s="237">
        <f>BU157+BU158</f>
        <v>3454.5450900000005</v>
      </c>
      <c r="BV159" s="1102"/>
      <c r="BW159" s="237">
        <f>BW157+BW158</f>
        <v>787.50773002000005</v>
      </c>
      <c r="BX159" s="237">
        <f>BX157+BX158</f>
        <v>879.87218350000023</v>
      </c>
      <c r="BY159" s="237">
        <f>BY157+BY158</f>
        <v>892.79970072000015</v>
      </c>
      <c r="BZ159" s="237">
        <f>BZ157+BZ158</f>
        <v>952.14856140000018</v>
      </c>
      <c r="CA159" s="237">
        <f>CA157+CA158</f>
        <v>3512.3281756400002</v>
      </c>
      <c r="CB159" s="1102"/>
      <c r="CC159" s="237">
        <f>CC157+CC158</f>
        <v>805.15636084695018</v>
      </c>
      <c r="CD159" s="237">
        <f>CD157+CD158</f>
        <v>891.02445043795012</v>
      </c>
      <c r="CE159" s="237">
        <f>CE157+CE158</f>
        <v>906.81059936600013</v>
      </c>
      <c r="CF159" s="237">
        <f>CF157+CF158</f>
        <v>974.43479249910024</v>
      </c>
      <c r="CG159" s="237">
        <f>CG157+CG158</f>
        <v>3577.4262031500002</v>
      </c>
    </row>
    <row r="160" spans="1:94" ht="11.25" customHeight="1" x14ac:dyDescent="0.2">
      <c r="B160" s="37" t="s">
        <v>413</v>
      </c>
      <c r="C160" s="237">
        <f>C14</f>
        <v>3.4359999999999999</v>
      </c>
      <c r="D160" s="237">
        <f>D14</f>
        <v>3.6879999999999997</v>
      </c>
      <c r="E160" s="237">
        <f>E14</f>
        <v>4.4170000000000007</v>
      </c>
      <c r="F160" s="237">
        <f>F14</f>
        <v>2.5469999999999988</v>
      </c>
      <c r="G160" s="237">
        <f>G14</f>
        <v>14.087999999999999</v>
      </c>
      <c r="I160" s="237">
        <f>I14</f>
        <v>4.093</v>
      </c>
      <c r="J160" s="237">
        <f>J14</f>
        <v>4.3109999999999999</v>
      </c>
      <c r="K160" s="237">
        <f>K14</f>
        <v>4.3439999999999994</v>
      </c>
      <c r="L160" s="237">
        <f>L14</f>
        <v>4.5419999999999998</v>
      </c>
      <c r="M160" s="237">
        <f>M14</f>
        <v>17.29</v>
      </c>
      <c r="O160" s="237">
        <f>O14</f>
        <v>4.7889999999999997</v>
      </c>
      <c r="P160" s="237">
        <f>P14</f>
        <v>4.9340000000000011</v>
      </c>
      <c r="Q160" s="237">
        <f>Q14</f>
        <v>5.0549999999999997</v>
      </c>
      <c r="R160" s="237">
        <f>R14</f>
        <v>1.4979999999999993</v>
      </c>
      <c r="S160" s="237">
        <f>S14</f>
        <v>16.276</v>
      </c>
      <c r="U160" s="237">
        <f>U14</f>
        <v>5.2229999999999999</v>
      </c>
      <c r="V160" s="237">
        <f>V14</f>
        <v>5.0149999999999997</v>
      </c>
      <c r="W160" s="237">
        <f>W14</f>
        <v>4.5310000000000006</v>
      </c>
      <c r="X160" s="237">
        <f>X14</f>
        <v>4.0340000000000007</v>
      </c>
      <c r="Y160" s="237">
        <f>Y14</f>
        <v>18.803000000000001</v>
      </c>
      <c r="AA160" s="237">
        <f>AA14</f>
        <v>4.6680000000000001</v>
      </c>
      <c r="AB160" s="237">
        <f>AB14</f>
        <v>5.6480000000000006</v>
      </c>
      <c r="AC160" s="237">
        <f>AC14</f>
        <v>5.3429999999999991</v>
      </c>
      <c r="AD160" s="237">
        <f>AD14</f>
        <v>5.2879999999999994</v>
      </c>
      <c r="AE160" s="237">
        <f>AE14</f>
        <v>20.946999999999999</v>
      </c>
      <c r="AG160" s="237">
        <f>AG14</f>
        <v>4.2220000000000004</v>
      </c>
      <c r="AH160" s="237">
        <f>AH14</f>
        <v>6.8069999999999995</v>
      </c>
      <c r="AI160" s="237">
        <f>AI14</f>
        <v>6.2190000000000021</v>
      </c>
      <c r="AJ160" s="237">
        <f>AJ14</f>
        <v>4.9390000000000009</v>
      </c>
      <c r="AK160" s="237">
        <f>AK14</f>
        <v>22.187000000000001</v>
      </c>
      <c r="AM160" s="237">
        <f>AM14</f>
        <v>5.4340000000000002</v>
      </c>
      <c r="AN160" s="237">
        <f>AN14</f>
        <v>6.5889999999999995</v>
      </c>
      <c r="AO160" s="237">
        <f>AO14</f>
        <v>6.0040000000000022</v>
      </c>
      <c r="AP160" s="237">
        <f>AP14</f>
        <v>7.0720000000000001</v>
      </c>
      <c r="AQ160" s="237">
        <f>AQ14</f>
        <v>25.099</v>
      </c>
      <c r="AS160" s="237">
        <f>AS14</f>
        <v>5.7859999999999996</v>
      </c>
      <c r="AT160" s="237">
        <f>AT14</f>
        <v>7.572000000000001</v>
      </c>
      <c r="AU160" s="237">
        <f>AU14</f>
        <v>6.5429999999999993</v>
      </c>
      <c r="AV160" s="237">
        <f>AV14</f>
        <v>5.527000000000001</v>
      </c>
      <c r="AW160" s="237">
        <f>AW14</f>
        <v>25.428000000000001</v>
      </c>
      <c r="AY160" s="237">
        <f>AY14</f>
        <v>4.8949999999999996</v>
      </c>
      <c r="AZ160" s="237">
        <f>AZ14</f>
        <v>6.9350000000000005</v>
      </c>
      <c r="BA160" s="237">
        <f>BA14</f>
        <v>7.67</v>
      </c>
      <c r="BB160" s="237">
        <f>BB159*BB161</f>
        <v>8.1359999999999992</v>
      </c>
      <c r="BC160" s="237">
        <f>SUM(AY160:BB160)</f>
        <v>27.635999999999999</v>
      </c>
      <c r="BE160" s="237">
        <f>BE159*BE161</f>
        <v>9.0465</v>
      </c>
      <c r="BF160" s="237">
        <f>BF159*BF161</f>
        <v>11.868</v>
      </c>
      <c r="BG160" s="237">
        <f>BG159*BG161</f>
        <v>11.4</v>
      </c>
      <c r="BH160" s="237">
        <f>BH159*BH161</f>
        <v>11.873999999999999</v>
      </c>
      <c r="BI160" s="237">
        <f>SUM(BE160:BH160)</f>
        <v>44.188500000000005</v>
      </c>
      <c r="BJ160" s="1102"/>
      <c r="BK160" s="237">
        <f>BK159*BK161</f>
        <v>11.311499999999999</v>
      </c>
      <c r="BL160" s="237">
        <f>BL159*BL161</f>
        <v>11.986500000000001</v>
      </c>
      <c r="BM160" s="237">
        <f>BM159*BM161</f>
        <v>11.977499999999999</v>
      </c>
      <c r="BN160" s="237">
        <f>BN159*BN161</f>
        <v>12.811500000000001</v>
      </c>
      <c r="BO160" s="237">
        <f>SUM(BK160:BN160)</f>
        <v>48.087000000000003</v>
      </c>
      <c r="BP160" s="1102"/>
      <c r="BQ160" s="237">
        <f>BQ159*BQ161</f>
        <v>12.176231250000003</v>
      </c>
      <c r="BR160" s="237">
        <f>BR159*BR161</f>
        <v>13.056806400000001</v>
      </c>
      <c r="BS160" s="237">
        <f>BS159*BS161</f>
        <v>12.930530700000004</v>
      </c>
      <c r="BT160" s="237">
        <f>BT159*BT161</f>
        <v>13.654608</v>
      </c>
      <c r="BU160" s="237">
        <f>SUM(BQ160:BT160)</f>
        <v>51.818176350000002</v>
      </c>
      <c r="BV160" s="1102"/>
      <c r="BW160" s="237">
        <f>BW159*BW161</f>
        <v>11.8126159503</v>
      </c>
      <c r="BX160" s="237">
        <f>BX159*BX161</f>
        <v>13.198082752500003</v>
      </c>
      <c r="BY160" s="237">
        <f>BY159*BY161</f>
        <v>13.391995510800001</v>
      </c>
      <c r="BZ160" s="237">
        <f>BZ159*BZ161</f>
        <v>14.282228421000003</v>
      </c>
      <c r="CA160" s="237">
        <f>SUM(BW160:BZ160)</f>
        <v>52.684922634599999</v>
      </c>
      <c r="CB160" s="1102"/>
      <c r="CC160" s="237">
        <f>CC159*CC161</f>
        <v>12.077345412704252</v>
      </c>
      <c r="CD160" s="237">
        <f>CD159*CD161</f>
        <v>13.365366756569252</v>
      </c>
      <c r="CE160" s="237">
        <f>CE159*CE161</f>
        <v>13.602158990490002</v>
      </c>
      <c r="CF160" s="237">
        <f>CF159*CF161</f>
        <v>14.616521887486503</v>
      </c>
      <c r="CG160" s="237">
        <f>SUM(CC160:CF160)</f>
        <v>53.661393047250016</v>
      </c>
    </row>
    <row r="161" spans="1:95" ht="11.25" customHeight="1" x14ac:dyDescent="0.2">
      <c r="A161" s="74"/>
      <c r="B161" s="92" t="s">
        <v>412</v>
      </c>
      <c r="C161" s="99">
        <f>C160/C159</f>
        <v>8.79530439278867E-3</v>
      </c>
      <c r="D161" s="99">
        <f>D160/D159</f>
        <v>8.9806215330369005E-3</v>
      </c>
      <c r="E161" s="99">
        <f>E160/E159</f>
        <v>1.1019881692825476E-2</v>
      </c>
      <c r="F161" s="99">
        <f>F160/F159</f>
        <v>5.7589385645387733E-3</v>
      </c>
      <c r="G161" s="99">
        <f>G160/G159</f>
        <v>8.5671804258657339E-3</v>
      </c>
      <c r="H161" s="168"/>
      <c r="I161" s="99">
        <f>I160/I159</f>
        <v>8.9067134379739784E-3</v>
      </c>
      <c r="J161" s="99">
        <f>J160/J159</f>
        <v>8.9769859316824515E-3</v>
      </c>
      <c r="K161" s="99">
        <f>K160/K159</f>
        <v>1.009061577378809E-2</v>
      </c>
      <c r="L161" s="99">
        <f>L160/L159</f>
        <v>1.1059759714423465E-2</v>
      </c>
      <c r="M161" s="99">
        <f>M160/M159</f>
        <v>9.70832355388653E-3</v>
      </c>
      <c r="N161" s="168"/>
      <c r="O161" s="99">
        <f>O160/O159</f>
        <v>1.1495439270283243E-2</v>
      </c>
      <c r="P161" s="99">
        <f>P160/P159</f>
        <v>1.0969124604275604E-2</v>
      </c>
      <c r="Q161" s="99">
        <f>Q160/Q159</f>
        <v>1.1572537258762389E-2</v>
      </c>
      <c r="R161" s="99">
        <f>R160/R159</f>
        <v>3.2291929388889233E-3</v>
      </c>
      <c r="S161" s="99">
        <f>S160/S159</f>
        <v>9.2105136576027188E-3</v>
      </c>
      <c r="T161" s="168"/>
      <c r="U161" s="99">
        <f>U160/U159</f>
        <v>1.157010513444183E-2</v>
      </c>
      <c r="V161" s="99">
        <f>V160/V159</f>
        <v>1.0905160978876822E-2</v>
      </c>
      <c r="W161" s="99">
        <f>W160/W159</f>
        <v>1.0083610960891793E-2</v>
      </c>
      <c r="X161" s="99">
        <f>X160/X159</f>
        <v>8.6486718264262609E-3</v>
      </c>
      <c r="Y161" s="99">
        <f>Y160/Y159</f>
        <v>1.0291346413299115E-2</v>
      </c>
      <c r="Z161" s="168"/>
      <c r="AA161" s="99">
        <f>AA160/AA159</f>
        <v>9.9555115742419268E-3</v>
      </c>
      <c r="AB161" s="99">
        <f>AB160/AB159</f>
        <v>1.1238548539864215E-2</v>
      </c>
      <c r="AC161" s="99">
        <f>AC160/AC159</f>
        <v>1.0220184433872938E-2</v>
      </c>
      <c r="AD161" s="99">
        <f>AD160/AD159</f>
        <v>8.399864026406835E-3</v>
      </c>
      <c r="AE161" s="99">
        <f>AE160/AE159</f>
        <v>9.863143991920011E-3</v>
      </c>
      <c r="AF161" s="168"/>
      <c r="AG161" s="99">
        <f>AG160/AG159</f>
        <v>6.9899273524367082E-3</v>
      </c>
      <c r="AH161" s="99">
        <f>AH160/AH159</f>
        <v>1.0749427944722641E-2</v>
      </c>
      <c r="AI161" s="99">
        <f>AI160/AI159</f>
        <v>1.0647495809656541E-2</v>
      </c>
      <c r="AJ161" s="99">
        <f>AJ160/AJ159</f>
        <v>7.7998168093237749E-3</v>
      </c>
      <c r="AK161" s="99">
        <f>AK160/AK159</f>
        <v>9.0391093134562818E-3</v>
      </c>
      <c r="AL161" s="168"/>
      <c r="AM161" s="99">
        <f>AM160/AM159</f>
        <v>8.7169524995067242E-3</v>
      </c>
      <c r="AN161" s="99">
        <f>AN160/AN159</f>
        <v>1.0572052492831894E-2</v>
      </c>
      <c r="AO161" s="99">
        <f>AO160/AO159</f>
        <v>1.027550821321851E-2</v>
      </c>
      <c r="AP161" s="99">
        <f>AP160/AP159</f>
        <v>1.1206967589804702E-2</v>
      </c>
      <c r="AQ161" s="99">
        <f>AQ160/AQ159</f>
        <v>1.0194689776633977E-2</v>
      </c>
      <c r="AR161" s="168"/>
      <c r="AS161" s="99">
        <f>AS160/AS159</f>
        <v>9.5144912641315516E-3</v>
      </c>
      <c r="AT161" s="99">
        <f>AT160/AT159</f>
        <v>1.2129561400698428E-2</v>
      </c>
      <c r="AU161" s="99">
        <f>AU160/AU159</f>
        <v>1.1261482219663443E-2</v>
      </c>
      <c r="AV161" s="99">
        <f>AV160/AV159</f>
        <v>9.2669129124799028E-3</v>
      </c>
      <c r="AW161" s="99">
        <f>AW160/AW159</f>
        <v>1.0551847340978457E-2</v>
      </c>
      <c r="AX161" s="168"/>
      <c r="AY161" s="99">
        <f>AY160/AY159</f>
        <v>9.0909090909090887E-3</v>
      </c>
      <c r="AZ161" s="99">
        <f>AZ160/AZ159</f>
        <v>1.2486788491628362E-2</v>
      </c>
      <c r="BA161" s="99">
        <f>BA160/BA159</f>
        <v>1.4835589941972921E-2</v>
      </c>
      <c r="BB161" s="703">
        <v>1.4999999999999999E-2</v>
      </c>
      <c r="BC161" s="99">
        <f>BC160/BC159</f>
        <v>1.2834629908365869E-2</v>
      </c>
      <c r="BD161" s="168"/>
      <c r="BE161" s="703">
        <v>1.4999999999999999E-2</v>
      </c>
      <c r="BF161" s="703">
        <v>1.4999999999999999E-2</v>
      </c>
      <c r="BG161" s="703">
        <v>1.4999999999999999E-2</v>
      </c>
      <c r="BH161" s="703">
        <v>1.4999999999999999E-2</v>
      </c>
      <c r="BI161" s="99">
        <f>BI160/BI159</f>
        <v>1.5000000000000001E-2</v>
      </c>
      <c r="BJ161" s="168"/>
      <c r="BK161" s="703">
        <v>1.4999999999999999E-2</v>
      </c>
      <c r="BL161" s="703">
        <v>1.4999999999999999E-2</v>
      </c>
      <c r="BM161" s="703">
        <v>1.4999999999999999E-2</v>
      </c>
      <c r="BN161" s="703">
        <v>1.4999999999999999E-2</v>
      </c>
      <c r="BO161" s="99">
        <f>BO160/BO159</f>
        <v>1.4999999999999999E-2</v>
      </c>
      <c r="BP161" s="168"/>
      <c r="BQ161" s="703">
        <v>1.4999999999999999E-2</v>
      </c>
      <c r="BR161" s="703">
        <v>1.4999999999999999E-2</v>
      </c>
      <c r="BS161" s="703">
        <v>1.4999999999999999E-2</v>
      </c>
      <c r="BT161" s="703">
        <v>1.4999999999999999E-2</v>
      </c>
      <c r="BU161" s="99">
        <f>BU160/BU159</f>
        <v>1.4999999999999998E-2</v>
      </c>
      <c r="BV161" s="168"/>
      <c r="BW161" s="703">
        <v>1.4999999999999999E-2</v>
      </c>
      <c r="BX161" s="703">
        <v>1.4999999999999999E-2</v>
      </c>
      <c r="BY161" s="703">
        <v>1.4999999999999999E-2</v>
      </c>
      <c r="BZ161" s="703">
        <v>1.4999999999999999E-2</v>
      </c>
      <c r="CA161" s="99">
        <f>CA160/CA159</f>
        <v>1.4999999999999999E-2</v>
      </c>
      <c r="CB161" s="168"/>
      <c r="CC161" s="703">
        <v>1.4999999999999999E-2</v>
      </c>
      <c r="CD161" s="703">
        <v>1.4999999999999999E-2</v>
      </c>
      <c r="CE161" s="703">
        <v>1.4999999999999999E-2</v>
      </c>
      <c r="CF161" s="703">
        <v>1.4999999999999999E-2</v>
      </c>
      <c r="CG161" s="99">
        <f>CG160/CG159</f>
        <v>1.5000000000000003E-2</v>
      </c>
    </row>
    <row r="162" spans="1:95" ht="11.25" customHeight="1" x14ac:dyDescent="0.2">
      <c r="B162" s="42"/>
    </row>
    <row r="163" spans="1:95" ht="11.25" customHeight="1" x14ac:dyDescent="0.2">
      <c r="E163" s="31"/>
    </row>
    <row r="164" spans="1:95" customFormat="1" x14ac:dyDescent="0.2"/>
    <row r="165" spans="1:95" ht="11.25" customHeight="1" x14ac:dyDescent="0.2">
      <c r="E165" s="31"/>
      <c r="CQ165" s="24"/>
    </row>
    <row r="166" spans="1:95" ht="11.25" customHeight="1" x14ac:dyDescent="0.2">
      <c r="E166" s="31"/>
      <c r="CQ166" s="24"/>
    </row>
    <row r="167" spans="1:95" ht="11.25" customHeight="1" x14ac:dyDescent="0.2">
      <c r="CQ167" s="24"/>
    </row>
    <row r="168" spans="1:95" ht="11.25" customHeight="1" x14ac:dyDescent="0.2">
      <c r="CQ168" s="74"/>
    </row>
    <row r="169" spans="1:95" ht="11.25" customHeight="1" x14ac:dyDescent="0.2">
      <c r="CQ169" s="74"/>
    </row>
    <row r="170" spans="1:95" ht="11.25" customHeight="1" x14ac:dyDescent="0.2">
      <c r="CQ170" s="74"/>
    </row>
    <row r="171" spans="1:95" ht="11.25" customHeight="1" x14ac:dyDescent="0.2">
      <c r="CQ171" s="24"/>
    </row>
    <row r="172" spans="1:95" ht="11.25" customHeight="1" x14ac:dyDescent="0.2">
      <c r="CQ172" s="24"/>
    </row>
    <row r="173" spans="1:95" ht="11.25" customHeight="1" x14ac:dyDescent="0.2">
      <c r="CQ173" s="24"/>
    </row>
    <row r="174" spans="1:95" ht="11.25" customHeight="1" x14ac:dyDescent="0.2">
      <c r="CQ174" s="24"/>
    </row>
    <row r="175" spans="1:95" ht="11.25" customHeight="1" x14ac:dyDescent="0.2">
      <c r="CQ175" s="24"/>
    </row>
    <row r="176" spans="1:95" ht="11.25" customHeight="1" x14ac:dyDescent="0.2">
      <c r="CQ176" s="24"/>
    </row>
    <row r="177" spans="95:95" ht="11.25" customHeight="1" x14ac:dyDescent="0.2">
      <c r="CQ177" s="24"/>
    </row>
    <row r="178" spans="95:95" ht="11.25" customHeight="1" x14ac:dyDescent="0.2">
      <c r="CQ178" s="24"/>
    </row>
    <row r="179" spans="95:95" ht="11.25" customHeight="1" x14ac:dyDescent="0.2">
      <c r="CQ179" s="24"/>
    </row>
    <row r="180" spans="95:95" ht="11.25" customHeight="1" x14ac:dyDescent="0.2">
      <c r="CQ180" s="19"/>
    </row>
    <row r="181" spans="95:95" ht="11.25" customHeight="1" x14ac:dyDescent="0.2">
      <c r="CQ181" s="19"/>
    </row>
    <row r="182" spans="95:95" ht="11.25" customHeight="1" x14ac:dyDescent="0.2">
      <c r="CQ182" s="19"/>
    </row>
    <row r="183" spans="95:95" ht="11.25" customHeight="1" x14ac:dyDescent="0.2">
      <c r="CQ183" s="19"/>
    </row>
    <row r="184" spans="95:95" ht="11.25" customHeight="1" x14ac:dyDescent="0.2">
      <c r="CQ184" s="24"/>
    </row>
    <row r="185" spans="95:95" ht="11.25" customHeight="1" x14ac:dyDescent="0.2">
      <c r="CQ185" s="24"/>
    </row>
    <row r="186" spans="95:95" ht="11.25" customHeight="1" x14ac:dyDescent="0.2"/>
    <row r="187" spans="95:95" ht="11.25" customHeight="1" x14ac:dyDescent="0.2"/>
    <row r="188" spans="95:95" ht="11.25" customHeight="1" x14ac:dyDescent="0.2"/>
    <row r="189" spans="95:95" ht="11.25" customHeight="1" x14ac:dyDescent="0.2"/>
    <row r="190" spans="95:95" ht="11.25" customHeight="1" x14ac:dyDescent="0.2"/>
    <row r="191" spans="95:95" ht="11.25" customHeight="1" x14ac:dyDescent="0.2"/>
    <row r="192" spans="95:95" ht="11.25" customHeight="1" x14ac:dyDescent="0.2"/>
    <row r="193" ht="11.25" customHeight="1" x14ac:dyDescent="0.2"/>
    <row r="194" ht="11.25" customHeight="1" x14ac:dyDescent="0.2"/>
    <row r="195" ht="11.25" customHeight="1" x14ac:dyDescent="0.2"/>
    <row r="196" ht="8.85" customHeight="1" x14ac:dyDescent="0.2"/>
    <row r="197" ht="8.85" customHeight="1" x14ac:dyDescent="0.2"/>
    <row r="210" spans="95:95" x14ac:dyDescent="0.2">
      <c r="CQ210" s="24"/>
    </row>
  </sheetData>
  <mergeCells count="14">
    <mergeCell ref="BW5:CA5"/>
    <mergeCell ref="CC5:CG5"/>
    <mergeCell ref="BQ5:BU5"/>
    <mergeCell ref="AG5:AK5"/>
    <mergeCell ref="C5:G5"/>
    <mergeCell ref="I5:M5"/>
    <mergeCell ref="O5:S5"/>
    <mergeCell ref="U5:Y5"/>
    <mergeCell ref="AA5:AE5"/>
    <mergeCell ref="AM5:AQ5"/>
    <mergeCell ref="AS5:AW5"/>
    <mergeCell ref="AY5:BC5"/>
    <mergeCell ref="BE5:BI5"/>
    <mergeCell ref="BK5:BO5"/>
  </mergeCells>
  <printOptions horizontalCentered="1" verticalCentered="1"/>
  <pageMargins left="0" right="0" top="0" bottom="0" header="0" footer="0"/>
  <pageSetup scale="34" orientation="landscape" r:id="rId1"/>
  <headerFooter alignWithMargins="0"/>
  <ignoredErrors>
    <ignoredError sqref="AY19 BA19 AZ19 BB19" formulaRange="1"/>
    <ignoredError sqref="BE34:BG34" formula="1"/>
  </ignoredError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tabColor theme="0"/>
    <pageSetUpPr fitToPage="1"/>
  </sheetPr>
  <dimension ref="A1:CM303"/>
  <sheetViews>
    <sheetView showGridLines="0" zoomScaleNormal="100" zoomScaleSheetLayoutView="85" workbookViewId="0">
      <pane xSplit="2" ySplit="5" topLeftCell="AL6" activePane="bottomRight" state="frozen"/>
      <selection activeCell="BL143" sqref="BL143"/>
      <selection pane="topRight" activeCell="BL143" sqref="BL143"/>
      <selection pane="bottomLeft" activeCell="BL143" sqref="BL143"/>
      <selection pane="bottomRight" activeCell="A6" sqref="A6"/>
    </sheetView>
  </sheetViews>
  <sheetFormatPr defaultRowHeight="12" customHeight="1" outlineLevelRow="1" outlineLevelCol="1" x14ac:dyDescent="0.2"/>
  <cols>
    <col min="1" max="1" width="1.7109375" style="1342" customWidth="1"/>
    <col min="2" max="2" width="37.85546875" customWidth="1"/>
    <col min="3" max="3" width="6.28515625" hidden="1" customWidth="1" outlineLevel="1"/>
    <col min="4" max="7" width="6.85546875" hidden="1" customWidth="1" outlineLevel="1"/>
    <col min="8" max="8" width="0.85546875" hidden="1" customWidth="1" outlineLevel="1"/>
    <col min="9" max="13" width="6.85546875" hidden="1" customWidth="1" outlineLevel="1"/>
    <col min="14" max="14" width="0.85546875" hidden="1" customWidth="1" outlineLevel="1"/>
    <col min="15" max="15" width="6.28515625" hidden="1" customWidth="1" outlineLevel="1"/>
    <col min="16" max="16" width="6.140625" hidden="1" customWidth="1" outlineLevel="1"/>
    <col min="17" max="17" width="6.28515625" hidden="1" customWidth="1" outlineLevel="1"/>
    <col min="18" max="18" width="6.140625" hidden="1" customWidth="1" outlineLevel="1"/>
    <col min="19" max="19" width="7.7109375" hidden="1" customWidth="1" outlineLevel="1"/>
    <col min="20" max="20" width="0.85546875" hidden="1" customWidth="1" outlineLevel="1"/>
    <col min="21" max="21" width="6.28515625" hidden="1" customWidth="1" outlineLevel="1"/>
    <col min="22" max="22" width="6.140625" hidden="1" customWidth="1" outlineLevel="1"/>
    <col min="23" max="23" width="6.28515625" hidden="1" customWidth="1" outlineLevel="1"/>
    <col min="24" max="24" width="6.140625" hidden="1" customWidth="1" outlineLevel="1"/>
    <col min="25" max="25" width="6.28515625" hidden="1" customWidth="1" outlineLevel="1"/>
    <col min="26" max="26" width="0.85546875" hidden="1" customWidth="1" outlineLevel="1"/>
    <col min="27" max="28" width="6.28515625" hidden="1" customWidth="1" outlineLevel="1"/>
    <col min="29" max="30" width="7.28515625" hidden="1" customWidth="1" outlineLevel="1"/>
    <col min="31" max="31" width="8.140625" hidden="1" customWidth="1" outlineLevel="1" collapsed="1"/>
    <col min="32" max="32" width="0.85546875" hidden="1" customWidth="1" outlineLevel="1"/>
    <col min="33" max="35" width="7.28515625" hidden="1" customWidth="1" outlineLevel="1"/>
    <col min="36" max="36" width="9" hidden="1" customWidth="1" outlineLevel="1"/>
    <col min="37" max="37" width="8.140625" bestFit="1" customWidth="1" collapsed="1"/>
    <col min="38" max="38" width="0.85546875" customWidth="1"/>
    <col min="39" max="42" width="7.28515625" hidden="1" customWidth="1" outlineLevel="1"/>
    <col min="43" max="43" width="7.28515625" bestFit="1" customWidth="1" collapsed="1"/>
    <col min="44" max="44" width="0.85546875" customWidth="1"/>
    <col min="45" max="48" width="7.28515625" hidden="1" customWidth="1" outlineLevel="1"/>
    <col min="49" max="49" width="7.28515625" bestFit="1" customWidth="1" collapsed="1"/>
    <col min="50" max="50" width="0.85546875" customWidth="1"/>
    <col min="51" max="54" width="7.28515625" hidden="1" customWidth="1" outlineLevel="1"/>
    <col min="55" max="55" width="7.28515625" bestFit="1" customWidth="1" collapsed="1"/>
    <col min="56" max="56" width="0.85546875" customWidth="1"/>
    <col min="57" max="60" width="7.28515625" hidden="1" customWidth="1" outlineLevel="1"/>
    <col min="61" max="61" width="7.28515625" bestFit="1" customWidth="1" collapsed="1"/>
    <col min="62" max="62" width="0.85546875" customWidth="1"/>
    <col min="63" max="66" width="7.28515625" customWidth="1" outlineLevel="1"/>
    <col min="67" max="67" width="7.28515625" bestFit="1" customWidth="1"/>
    <col min="68" max="68" width="0.85546875" customWidth="1"/>
    <col min="69" max="72" width="7.28515625" customWidth="1" outlineLevel="1"/>
    <col min="73" max="73" width="7.28515625" bestFit="1" customWidth="1"/>
    <col min="74" max="74" width="0.85546875" customWidth="1"/>
    <col min="75" max="78" width="7.28515625" customWidth="1" outlineLevel="1"/>
    <col min="79" max="79" width="7.28515625" bestFit="1" customWidth="1"/>
    <col min="80" max="80" width="0.85546875" customWidth="1"/>
    <col min="81" max="84" width="7.28515625" customWidth="1" outlineLevel="1"/>
    <col min="85" max="85" width="7.28515625" bestFit="1" customWidth="1"/>
    <col min="86" max="94" width="8.140625" customWidth="1"/>
  </cols>
  <sheetData>
    <row r="1" spans="1:85" ht="12" customHeight="1" x14ac:dyDescent="0.2">
      <c r="B1" s="30"/>
      <c r="C1" s="30"/>
      <c r="D1" s="30"/>
      <c r="E1" s="30"/>
      <c r="F1" s="30"/>
      <c r="G1" s="26"/>
      <c r="H1" s="30"/>
      <c r="I1" s="30"/>
      <c r="J1" s="30"/>
      <c r="K1" s="30"/>
      <c r="L1" s="30"/>
      <c r="M1" s="26"/>
      <c r="N1" s="30"/>
      <c r="O1" s="30"/>
      <c r="P1" s="30"/>
      <c r="Q1" s="30"/>
      <c r="R1" s="30"/>
      <c r="S1" s="26"/>
      <c r="T1" s="30"/>
      <c r="U1" s="30"/>
      <c r="V1" s="30"/>
      <c r="W1" s="30"/>
      <c r="X1" s="30"/>
      <c r="Y1" s="26"/>
      <c r="Z1" s="30"/>
      <c r="AA1" s="30"/>
      <c r="AB1" s="30"/>
      <c r="AC1" s="30"/>
      <c r="AD1" s="30"/>
      <c r="AE1" s="30"/>
      <c r="AF1" s="30"/>
      <c r="AG1" s="30"/>
      <c r="AH1" s="30"/>
      <c r="AI1" s="30"/>
      <c r="AJ1" s="30"/>
      <c r="AK1" s="30"/>
      <c r="AL1" s="31"/>
      <c r="AM1" s="30"/>
      <c r="AN1" s="30"/>
      <c r="AO1" s="30"/>
      <c r="AP1" s="30"/>
      <c r="AQ1" s="30"/>
      <c r="AR1" s="31"/>
      <c r="AS1" s="30"/>
      <c r="AT1" s="30"/>
      <c r="AU1" s="30"/>
      <c r="AV1" s="30"/>
      <c r="AW1" s="30"/>
      <c r="AX1" s="31"/>
      <c r="AY1" s="30"/>
      <c r="AZ1" s="30"/>
      <c r="BA1" s="30"/>
      <c r="BB1" s="30"/>
      <c r="BC1" s="30"/>
      <c r="BD1" s="31"/>
      <c r="BE1" s="30"/>
      <c r="BF1" s="30"/>
      <c r="BG1" s="30"/>
      <c r="BH1" s="30"/>
      <c r="BI1" s="30"/>
      <c r="BJ1" s="31"/>
      <c r="BK1" s="30"/>
      <c r="BL1" s="30"/>
      <c r="BM1" s="30"/>
      <c r="BN1" s="30"/>
      <c r="BO1" s="30"/>
      <c r="BP1" s="31"/>
      <c r="BQ1" s="30"/>
      <c r="BR1" s="30"/>
      <c r="BS1" s="30"/>
      <c r="BT1" s="30"/>
      <c r="BU1" s="30"/>
      <c r="BV1" s="31"/>
      <c r="BW1" s="30"/>
      <c r="BX1" s="30"/>
      <c r="BY1" s="30"/>
      <c r="BZ1" s="30"/>
      <c r="CA1" s="30"/>
      <c r="CB1" s="31"/>
      <c r="CC1" s="30"/>
      <c r="CD1" s="30"/>
      <c r="CE1" s="30"/>
      <c r="CF1" s="30"/>
      <c r="CG1" s="30"/>
    </row>
    <row r="2" spans="1:85" ht="12" customHeight="1" x14ac:dyDescent="0.2">
      <c r="B2" s="80" t="s">
        <v>490</v>
      </c>
      <c r="C2" s="30"/>
      <c r="D2" s="30"/>
      <c r="E2" s="30"/>
      <c r="F2" s="30"/>
      <c r="G2" s="26"/>
      <c r="H2" s="30"/>
      <c r="I2" s="30"/>
      <c r="J2" s="30"/>
      <c r="K2" s="30"/>
      <c r="L2" s="30"/>
      <c r="M2" s="26"/>
      <c r="N2" s="30"/>
      <c r="O2" s="30"/>
      <c r="P2" s="30"/>
      <c r="Q2" s="30"/>
      <c r="R2" s="30"/>
      <c r="S2" s="26"/>
      <c r="T2" s="30"/>
      <c r="U2" s="30"/>
      <c r="V2" s="30"/>
      <c r="W2" s="30"/>
      <c r="X2" s="30"/>
      <c r="Y2" s="26"/>
      <c r="Z2" s="30"/>
      <c r="AA2" s="30"/>
      <c r="AB2" s="30"/>
      <c r="AC2" s="30"/>
      <c r="AD2" s="30"/>
      <c r="AE2" s="30"/>
      <c r="AF2" s="30"/>
      <c r="AG2" s="30"/>
      <c r="AH2" s="30"/>
      <c r="AI2" s="30"/>
      <c r="AJ2" s="30"/>
      <c r="AK2" s="30"/>
      <c r="AL2" s="31"/>
      <c r="AM2" s="30"/>
      <c r="AN2" s="30"/>
      <c r="AO2" s="30"/>
      <c r="AP2" s="30"/>
      <c r="AQ2" s="30"/>
      <c r="AR2" s="31"/>
      <c r="AS2" s="30"/>
      <c r="AT2" s="30"/>
      <c r="AU2" s="30"/>
      <c r="AV2" s="30"/>
      <c r="AW2" s="30"/>
      <c r="AX2" s="31"/>
      <c r="AY2" s="30"/>
      <c r="AZ2" s="30"/>
      <c r="BA2" s="30"/>
      <c r="BB2" s="30"/>
      <c r="BC2" s="30"/>
      <c r="BD2" s="31"/>
      <c r="BE2" s="591"/>
      <c r="BF2" s="30"/>
      <c r="BG2" s="30"/>
      <c r="BH2" s="30"/>
      <c r="BI2" s="30"/>
      <c r="BJ2" s="31"/>
      <c r="BK2" s="30"/>
      <c r="BL2" s="30"/>
      <c r="BM2" s="30"/>
      <c r="BN2" s="30"/>
      <c r="BO2" s="30"/>
      <c r="BP2" s="31"/>
      <c r="BQ2" s="30"/>
      <c r="BR2" s="30"/>
      <c r="BS2" s="30"/>
      <c r="BT2" s="30"/>
      <c r="BU2" s="30"/>
      <c r="BV2" s="31"/>
      <c r="BW2" s="30"/>
      <c r="BX2" s="30"/>
      <c r="BY2" s="30"/>
      <c r="BZ2" s="30"/>
      <c r="CA2" s="30"/>
      <c r="CB2" s="31"/>
      <c r="CC2" s="30"/>
      <c r="CD2" s="30"/>
      <c r="CE2" s="30"/>
      <c r="CF2" s="30"/>
      <c r="CG2" s="30"/>
    </row>
    <row r="3" spans="1:85" s="36" customFormat="1" ht="12" customHeight="1" x14ac:dyDescent="0.2">
      <c r="B3" s="759" t="s">
        <v>300</v>
      </c>
      <c r="C3" s="64"/>
      <c r="D3" s="64"/>
      <c r="E3" s="64"/>
      <c r="F3" s="64"/>
      <c r="G3" s="37"/>
      <c r="H3" s="64"/>
      <c r="I3" s="64"/>
      <c r="J3" s="64"/>
      <c r="K3" s="64"/>
      <c r="L3" s="64"/>
      <c r="M3" s="37"/>
      <c r="N3" s="64"/>
      <c r="O3" s="64"/>
      <c r="P3" s="64"/>
      <c r="Q3" s="64"/>
      <c r="R3" s="64"/>
      <c r="S3" s="37"/>
      <c r="T3" s="64"/>
      <c r="U3" s="64"/>
      <c r="V3" s="64"/>
      <c r="W3" s="64"/>
      <c r="X3" s="64"/>
      <c r="Y3" s="37"/>
      <c r="Z3" s="64"/>
      <c r="AA3" s="64"/>
      <c r="AB3" s="64"/>
      <c r="AC3" s="64"/>
      <c r="AD3" s="64"/>
      <c r="AE3" s="64"/>
      <c r="AF3" s="64"/>
      <c r="AG3" s="64"/>
      <c r="AH3" s="64"/>
      <c r="AI3" s="64"/>
      <c r="AJ3" s="64"/>
      <c r="AK3" s="64"/>
      <c r="AL3" s="63"/>
      <c r="AM3" s="64"/>
      <c r="AN3" s="64"/>
      <c r="AO3" s="64"/>
      <c r="AP3" s="64"/>
      <c r="AQ3" s="64"/>
      <c r="AR3" s="63"/>
      <c r="AS3" s="64"/>
      <c r="AT3" s="64"/>
      <c r="AU3" s="64"/>
      <c r="AV3" s="64"/>
      <c r="AW3" s="64"/>
      <c r="AX3" s="63"/>
      <c r="AY3" s="64"/>
      <c r="AZ3" s="64"/>
      <c r="BA3" s="64"/>
      <c r="BB3" s="64"/>
      <c r="BC3" s="64"/>
      <c r="BD3" s="63"/>
      <c r="BE3"/>
      <c r="BF3"/>
      <c r="BG3"/>
      <c r="BH3" s="64"/>
      <c r="BI3" s="64"/>
      <c r="BJ3" s="63"/>
      <c r="BK3" s="64"/>
      <c r="BL3" s="64"/>
      <c r="BM3" s="64"/>
      <c r="BN3" s="64"/>
      <c r="BO3" s="64"/>
      <c r="BP3" s="63"/>
      <c r="BQ3" s="64"/>
      <c r="BR3" s="64"/>
      <c r="BS3" s="64"/>
      <c r="BT3" s="64"/>
      <c r="BU3" s="64"/>
      <c r="BV3" s="63"/>
      <c r="BW3" s="64"/>
      <c r="BX3" s="64"/>
      <c r="BY3" s="64"/>
      <c r="BZ3" s="64"/>
      <c r="CA3" s="64"/>
      <c r="CB3" s="63"/>
      <c r="CC3" s="64"/>
      <c r="CD3" s="64"/>
      <c r="CE3" s="64"/>
      <c r="CF3" s="64"/>
      <c r="CG3" s="64"/>
    </row>
    <row r="4" spans="1:85" s="757" customFormat="1" ht="12" customHeight="1" x14ac:dyDescent="0.2">
      <c r="A4" s="1341"/>
      <c r="B4" s="1350"/>
      <c r="C4" s="1712" t="s">
        <v>68</v>
      </c>
      <c r="D4" s="1712"/>
      <c r="E4" s="1712"/>
      <c r="F4" s="1712"/>
      <c r="G4" s="1712"/>
      <c r="H4" s="107"/>
      <c r="I4" s="1712" t="s">
        <v>69</v>
      </c>
      <c r="J4" s="1712"/>
      <c r="K4" s="1712"/>
      <c r="L4" s="1712"/>
      <c r="M4" s="1712"/>
      <c r="N4" s="107"/>
      <c r="O4" s="1712" t="s">
        <v>70</v>
      </c>
      <c r="P4" s="1712"/>
      <c r="Q4" s="1712"/>
      <c r="R4" s="1712"/>
      <c r="S4" s="1712"/>
      <c r="T4" s="107"/>
      <c r="U4" s="1712" t="s">
        <v>142</v>
      </c>
      <c r="V4" s="1712"/>
      <c r="W4" s="1712"/>
      <c r="X4" s="1712"/>
      <c r="Y4" s="1712"/>
      <c r="AA4" s="1712" t="s">
        <v>186</v>
      </c>
      <c r="AB4" s="1712"/>
      <c r="AC4" s="1712"/>
      <c r="AD4" s="1712"/>
      <c r="AE4" s="1712"/>
      <c r="AF4" s="107"/>
      <c r="AG4" s="1712" t="s">
        <v>187</v>
      </c>
      <c r="AH4" s="1712"/>
      <c r="AI4" s="1712"/>
      <c r="AJ4" s="1712"/>
      <c r="AK4" s="1712"/>
      <c r="AL4" s="107"/>
      <c r="AM4" s="1712" t="s">
        <v>188</v>
      </c>
      <c r="AN4" s="1712"/>
      <c r="AO4" s="1712"/>
      <c r="AP4" s="1712"/>
      <c r="AQ4" s="1712"/>
      <c r="AR4" s="107"/>
      <c r="AS4" s="1712" t="s">
        <v>376</v>
      </c>
      <c r="AT4" s="1712"/>
      <c r="AU4" s="1712"/>
      <c r="AV4" s="1712"/>
      <c r="AW4" s="1712"/>
      <c r="AX4" s="107"/>
      <c r="AY4" s="1712" t="s">
        <v>529</v>
      </c>
      <c r="AZ4" s="1712"/>
      <c r="BA4" s="1712"/>
      <c r="BB4" s="1712"/>
      <c r="BC4" s="1712"/>
      <c r="BD4" s="107"/>
      <c r="BE4" s="1712" t="s">
        <v>580</v>
      </c>
      <c r="BF4" s="1712"/>
      <c r="BG4" s="1712"/>
      <c r="BH4" s="1712"/>
      <c r="BI4" s="1712"/>
      <c r="BJ4" s="107"/>
      <c r="BK4" s="1712" t="s">
        <v>379</v>
      </c>
      <c r="BL4" s="1712"/>
      <c r="BM4" s="1712"/>
      <c r="BN4" s="1712"/>
      <c r="BO4" s="1712"/>
      <c r="BP4" s="107"/>
      <c r="BQ4" s="1712" t="s">
        <v>393</v>
      </c>
      <c r="BR4" s="1712"/>
      <c r="BS4" s="1712"/>
      <c r="BT4" s="1712"/>
      <c r="BU4" s="1712"/>
      <c r="BV4" s="107"/>
      <c r="BW4" s="1712" t="s">
        <v>394</v>
      </c>
      <c r="BX4" s="1712"/>
      <c r="BY4" s="1712"/>
      <c r="BZ4" s="1712"/>
      <c r="CA4" s="1712"/>
      <c r="CB4" s="107"/>
      <c r="CC4" s="1712" t="s">
        <v>395</v>
      </c>
      <c r="CD4" s="1712"/>
      <c r="CE4" s="1712"/>
      <c r="CF4" s="1712"/>
      <c r="CG4" s="1712"/>
    </row>
    <row r="5" spans="1:85" ht="12" customHeight="1" x14ac:dyDescent="0.2">
      <c r="B5" s="108"/>
      <c r="C5" s="1355">
        <v>39172</v>
      </c>
      <c r="D5" s="1345">
        <v>39263</v>
      </c>
      <c r="E5" s="1345">
        <v>39355</v>
      </c>
      <c r="F5" s="1345">
        <v>39447</v>
      </c>
      <c r="G5" s="1356" t="s">
        <v>68</v>
      </c>
      <c r="H5" s="3"/>
      <c r="I5" s="1355">
        <v>39538</v>
      </c>
      <c r="J5" s="1345">
        <v>39629</v>
      </c>
      <c r="K5" s="1345">
        <v>39721</v>
      </c>
      <c r="L5" s="1345">
        <v>39813</v>
      </c>
      <c r="M5" s="1356" t="s">
        <v>69</v>
      </c>
      <c r="N5" s="3"/>
      <c r="O5" s="1355">
        <v>39903</v>
      </c>
      <c r="P5" s="1345">
        <v>39994</v>
      </c>
      <c r="Q5" s="1345">
        <v>40086</v>
      </c>
      <c r="R5" s="1345">
        <v>40178</v>
      </c>
      <c r="S5" s="1356" t="s">
        <v>70</v>
      </c>
      <c r="T5" s="3"/>
      <c r="U5" s="1355">
        <v>40268</v>
      </c>
      <c r="V5" s="1345">
        <v>40359</v>
      </c>
      <c r="W5" s="1345">
        <v>40451</v>
      </c>
      <c r="X5" s="1345">
        <v>40543</v>
      </c>
      <c r="Y5" s="1356" t="s">
        <v>142</v>
      </c>
      <c r="Z5" s="3"/>
      <c r="AA5" s="1355">
        <v>40633</v>
      </c>
      <c r="AB5" s="1345">
        <v>40724</v>
      </c>
      <c r="AC5" s="1345">
        <v>40816</v>
      </c>
      <c r="AD5" s="1345">
        <v>40908</v>
      </c>
      <c r="AE5" s="1356" t="s">
        <v>186</v>
      </c>
      <c r="AF5" s="3"/>
      <c r="AG5" s="1355">
        <v>40999</v>
      </c>
      <c r="AH5" s="1345">
        <v>41090</v>
      </c>
      <c r="AI5" s="1345">
        <v>41182</v>
      </c>
      <c r="AJ5" s="1345">
        <v>41274</v>
      </c>
      <c r="AK5" s="1356" t="s">
        <v>187</v>
      </c>
      <c r="AL5" s="3"/>
      <c r="AM5" s="1355">
        <v>41364</v>
      </c>
      <c r="AN5" s="1345">
        <v>41455</v>
      </c>
      <c r="AO5" s="1345">
        <v>41547</v>
      </c>
      <c r="AP5" s="1345">
        <v>41639</v>
      </c>
      <c r="AQ5" s="1356" t="s">
        <v>188</v>
      </c>
      <c r="AR5" s="3"/>
      <c r="AS5" s="1355">
        <v>41729</v>
      </c>
      <c r="AT5" s="1345">
        <v>41820</v>
      </c>
      <c r="AU5" s="1345">
        <v>41912</v>
      </c>
      <c r="AV5" s="1345">
        <v>42004</v>
      </c>
      <c r="AW5" s="1356" t="s">
        <v>376</v>
      </c>
      <c r="AX5" s="3"/>
      <c r="AY5" s="1355">
        <v>42094</v>
      </c>
      <c r="AZ5" s="1345">
        <v>42185</v>
      </c>
      <c r="BA5" s="1345">
        <v>42277</v>
      </c>
      <c r="BB5" s="1345">
        <v>42369</v>
      </c>
      <c r="BC5" s="1356" t="s">
        <v>529</v>
      </c>
      <c r="BD5" s="3"/>
      <c r="BE5" s="1355">
        <v>42460</v>
      </c>
      <c r="BF5" s="1345">
        <v>42551</v>
      </c>
      <c r="BG5" s="1345">
        <v>42643</v>
      </c>
      <c r="BH5" s="1345">
        <v>42735</v>
      </c>
      <c r="BI5" s="1356" t="s">
        <v>379</v>
      </c>
      <c r="BJ5" s="3"/>
      <c r="BK5" s="1355">
        <f>+'P&amp;L'!BK6</f>
        <v>42825</v>
      </c>
      <c r="BL5" s="1345">
        <f>+'P&amp;L'!BL6</f>
        <v>42916</v>
      </c>
      <c r="BM5" s="1345">
        <f>+'P&amp;L'!BM6</f>
        <v>43008</v>
      </c>
      <c r="BN5" s="1355">
        <f>+'P&amp;L'!BN6</f>
        <v>43100</v>
      </c>
      <c r="BO5" s="1356" t="s">
        <v>186</v>
      </c>
      <c r="BP5" s="3"/>
      <c r="BQ5" s="1379">
        <f>+'P&amp;L'!BQ6</f>
        <v>43190</v>
      </c>
      <c r="BR5" s="1348">
        <f>+'P&amp;L'!BR6</f>
        <v>43281</v>
      </c>
      <c r="BS5" s="1348">
        <f>+'P&amp;L'!BS6</f>
        <v>43373</v>
      </c>
      <c r="BT5" s="1348">
        <f>+'P&amp;L'!BT6</f>
        <v>43465</v>
      </c>
      <c r="BU5" s="1356">
        <v>0</v>
      </c>
      <c r="BV5" s="3"/>
      <c r="BW5" s="1379">
        <f>+'P&amp;L'!BW6</f>
        <v>43555</v>
      </c>
      <c r="BX5" s="1348">
        <f>+'P&amp;L'!BX6</f>
        <v>43646</v>
      </c>
      <c r="BY5" s="1348">
        <f>+'P&amp;L'!BY6</f>
        <v>43738</v>
      </c>
      <c r="BZ5" s="1348">
        <f>+'P&amp;L'!BZ6</f>
        <v>43830</v>
      </c>
      <c r="CA5" s="1356">
        <v>0</v>
      </c>
      <c r="CB5" s="3"/>
      <c r="CC5" s="1379">
        <f>+'P&amp;L'!CC6</f>
        <v>43921</v>
      </c>
      <c r="CD5" s="1348">
        <f>+'P&amp;L'!CD6</f>
        <v>44012</v>
      </c>
      <c r="CE5" s="1348">
        <f>+'P&amp;L'!CE6</f>
        <v>44104</v>
      </c>
      <c r="CF5" s="1348">
        <f>+'P&amp;L'!CF6</f>
        <v>44196</v>
      </c>
      <c r="CG5" s="1356">
        <v>0</v>
      </c>
    </row>
    <row r="6" spans="1:85" s="1342" customFormat="1" ht="12" customHeight="1" x14ac:dyDescent="0.2">
      <c r="B6" s="1404" t="s">
        <v>699</v>
      </c>
      <c r="C6" s="1398"/>
      <c r="D6" s="1399"/>
      <c r="E6" s="1399"/>
      <c r="F6" s="1399"/>
      <c r="G6" s="1400"/>
      <c r="H6" s="1401"/>
      <c r="I6" s="1398"/>
      <c r="J6" s="1399"/>
      <c r="K6" s="1399"/>
      <c r="L6" s="1399"/>
      <c r="M6" s="1400"/>
      <c r="N6" s="1401"/>
      <c r="O6" s="1398"/>
      <c r="P6" s="1399"/>
      <c r="Q6" s="1399"/>
      <c r="R6" s="1399"/>
      <c r="S6" s="1400"/>
      <c r="T6" s="1401"/>
      <c r="U6" s="1398"/>
      <c r="V6" s="1399"/>
      <c r="W6" s="1399"/>
      <c r="X6" s="1399"/>
      <c r="Y6" s="1400"/>
      <c r="Z6" s="1401"/>
      <c r="AA6" s="1398"/>
      <c r="AB6" s="1399"/>
      <c r="AC6" s="1399"/>
      <c r="AD6" s="1399"/>
      <c r="AE6" s="1400"/>
      <c r="AF6" s="1401"/>
      <c r="AG6" s="1398"/>
      <c r="AH6" s="1399"/>
      <c r="AI6" s="1399"/>
      <c r="AJ6" s="1399"/>
      <c r="AK6" s="1400"/>
      <c r="AL6" s="1401"/>
      <c r="AM6" s="1398"/>
      <c r="AN6" s="1399"/>
      <c r="AO6" s="1399"/>
      <c r="AP6" s="1399"/>
      <c r="AQ6" s="1400"/>
      <c r="AR6" s="1401"/>
      <c r="AS6" s="1398"/>
      <c r="AT6" s="1399"/>
      <c r="AU6" s="1399"/>
      <c r="AV6" s="1399"/>
      <c r="AW6" s="1400"/>
      <c r="AX6" s="1401"/>
      <c r="AY6" s="1398"/>
      <c r="AZ6" s="1399"/>
      <c r="BA6" s="1399"/>
      <c r="BB6" s="1399"/>
      <c r="BC6" s="1400"/>
      <c r="BD6" s="1401"/>
      <c r="BE6" s="1398"/>
      <c r="BF6" s="1399"/>
      <c r="BG6" s="1399"/>
      <c r="BH6" s="1399"/>
      <c r="BI6" s="1400"/>
      <c r="BJ6" s="1401"/>
      <c r="BK6" s="1402"/>
      <c r="BL6" s="1403"/>
      <c r="BM6" s="1403"/>
      <c r="BN6" s="1403"/>
      <c r="BO6" s="1400"/>
      <c r="BP6" s="1401"/>
      <c r="BQ6" s="1402"/>
      <c r="BR6" s="1403"/>
      <c r="BS6" s="1403"/>
      <c r="BT6" s="1403"/>
      <c r="BU6" s="1400"/>
      <c r="BV6" s="1401"/>
      <c r="BW6" s="1402"/>
      <c r="BX6" s="1403"/>
      <c r="BY6" s="1403"/>
      <c r="BZ6" s="1403"/>
      <c r="CA6" s="1400"/>
      <c r="CB6" s="1401"/>
      <c r="CC6" s="1402"/>
      <c r="CD6" s="1403"/>
      <c r="CE6" s="1403"/>
      <c r="CF6" s="1403"/>
      <c r="CG6" s="1400"/>
    </row>
    <row r="7" spans="1:85" s="771" customFormat="1" ht="12" customHeight="1" x14ac:dyDescent="0.2">
      <c r="B7" s="37" t="s">
        <v>671</v>
      </c>
      <c r="C7" s="1367" t="s">
        <v>158</v>
      </c>
      <c r="D7" s="1366"/>
      <c r="E7" s="1366"/>
      <c r="F7" s="1366"/>
      <c r="G7" s="1368"/>
      <c r="H7" s="1366"/>
      <c r="I7" s="1367"/>
      <c r="J7" s="1366"/>
      <c r="K7" s="1366"/>
      <c r="L7" s="1366"/>
      <c r="M7" s="1368"/>
      <c r="N7" s="1366"/>
      <c r="O7" s="1367"/>
      <c r="P7" s="1366"/>
      <c r="Q7" s="1366"/>
      <c r="R7" s="1366"/>
      <c r="S7" s="1368"/>
      <c r="T7" s="1366"/>
      <c r="U7" s="1367"/>
      <c r="V7" s="1366"/>
      <c r="W7" s="1366"/>
      <c r="X7" s="1366"/>
      <c r="Y7" s="1368"/>
      <c r="Z7" s="1366"/>
      <c r="AA7" s="1367"/>
      <c r="AB7" s="1366"/>
      <c r="AC7" s="1366"/>
      <c r="AD7" s="1366"/>
      <c r="AE7" s="1368"/>
      <c r="AF7" s="1366"/>
      <c r="AG7" s="1367"/>
      <c r="AH7" s="1366"/>
      <c r="AI7" s="1366"/>
      <c r="AJ7" s="1366"/>
      <c r="AK7" s="1368"/>
      <c r="AL7" s="1366"/>
      <c r="AM7" s="1367"/>
      <c r="AN7" s="1366"/>
      <c r="AO7" s="1366"/>
      <c r="AP7" s="1366"/>
      <c r="AQ7" s="1368"/>
      <c r="AR7" s="1366"/>
      <c r="AS7" s="1367"/>
      <c r="AT7" s="1366"/>
      <c r="AU7" s="1366"/>
      <c r="AV7" s="1366"/>
      <c r="AW7" s="1368"/>
      <c r="AX7" s="1366"/>
      <c r="AY7" s="1367"/>
      <c r="AZ7" s="1366"/>
      <c r="BA7" s="1366"/>
      <c r="BB7" s="1366">
        <f t="shared" ref="BB7:BB31" si="0">BC7</f>
        <v>75.099999999999994</v>
      </c>
      <c r="BC7" s="1363">
        <v>75.099999999999994</v>
      </c>
      <c r="BD7" s="1366"/>
      <c r="BE7" s="1367"/>
      <c r="BF7" s="1366"/>
      <c r="BG7" s="1366"/>
      <c r="BH7" s="1366">
        <f t="shared" ref="BH7:BH31" si="1">BI7</f>
        <v>0</v>
      </c>
      <c r="BI7" s="1363">
        <v>0</v>
      </c>
      <c r="BJ7" s="1366"/>
      <c r="BK7" s="1367">
        <f>BH7+BK39</f>
        <v>0</v>
      </c>
      <c r="BL7" s="1366">
        <f>BK7+BL39</f>
        <v>0</v>
      </c>
      <c r="BM7" s="1366">
        <f t="shared" ref="BM7:BN7" si="2">BL7+BM39</f>
        <v>0</v>
      </c>
      <c r="BN7" s="1366">
        <f t="shared" si="2"/>
        <v>0</v>
      </c>
      <c r="BO7" s="1363">
        <v>0</v>
      </c>
      <c r="BP7" s="1366"/>
      <c r="BQ7" s="1367">
        <f>BN7+BQ39</f>
        <v>0</v>
      </c>
      <c r="BR7" s="1366">
        <f>BQ7+BR39</f>
        <v>0</v>
      </c>
      <c r="BS7" s="1366">
        <f t="shared" ref="BS7:BT7" si="3">BR7+BS39</f>
        <v>0</v>
      </c>
      <c r="BT7" s="1366">
        <f t="shared" si="3"/>
        <v>0</v>
      </c>
      <c r="BU7" s="1368">
        <f>BT7</f>
        <v>0</v>
      </c>
      <c r="BV7" s="1366"/>
      <c r="BW7" s="1367">
        <f>BT7+BW39</f>
        <v>0</v>
      </c>
      <c r="BX7" s="1366">
        <f>BW7+BX39</f>
        <v>0</v>
      </c>
      <c r="BY7" s="1366">
        <f t="shared" ref="BY7:BZ7" si="4">BX7+BY39</f>
        <v>0</v>
      </c>
      <c r="BZ7" s="1366">
        <f t="shared" si="4"/>
        <v>0</v>
      </c>
      <c r="CA7" s="1368">
        <f>BZ7</f>
        <v>0</v>
      </c>
      <c r="CB7" s="1366"/>
      <c r="CC7" s="1367">
        <f>BZ7+CC39</f>
        <v>0</v>
      </c>
      <c r="CD7" s="1366">
        <f>CC7+CD39</f>
        <v>0</v>
      </c>
      <c r="CE7" s="1366">
        <f t="shared" ref="CE7:CF7" si="5">CD7+CE39</f>
        <v>0</v>
      </c>
      <c r="CF7" s="1366">
        <f t="shared" si="5"/>
        <v>0</v>
      </c>
      <c r="CG7" s="1368">
        <f>CF7</f>
        <v>0</v>
      </c>
    </row>
    <row r="8" spans="1:85" s="771" customFormat="1" ht="12" customHeight="1" x14ac:dyDescent="0.2">
      <c r="B8" s="37" t="s">
        <v>672</v>
      </c>
      <c r="C8" s="1367" t="s">
        <v>158</v>
      </c>
      <c r="D8" s="1366"/>
      <c r="E8" s="1366"/>
      <c r="F8" s="1366"/>
      <c r="G8" s="1368"/>
      <c r="H8" s="1366"/>
      <c r="I8" s="1367"/>
      <c r="J8" s="1366"/>
      <c r="K8" s="1366"/>
      <c r="L8" s="1366"/>
      <c r="M8" s="1368"/>
      <c r="N8" s="1366"/>
      <c r="O8" s="1367"/>
      <c r="P8" s="1366"/>
      <c r="Q8" s="1366"/>
      <c r="R8" s="1366"/>
      <c r="S8" s="1368"/>
      <c r="T8" s="1366"/>
      <c r="U8" s="1367"/>
      <c r="V8" s="1366"/>
      <c r="W8" s="1366"/>
      <c r="X8" s="1366"/>
      <c r="Y8" s="1368"/>
      <c r="Z8" s="1366"/>
      <c r="AA8" s="1367"/>
      <c r="AB8" s="1366"/>
      <c r="AC8" s="1366"/>
      <c r="AD8" s="1366"/>
      <c r="AE8" s="1368"/>
      <c r="AF8" s="1366"/>
      <c r="AG8" s="1367"/>
      <c r="AH8" s="1366"/>
      <c r="AI8" s="1366"/>
      <c r="AJ8" s="1366"/>
      <c r="AK8" s="1368"/>
      <c r="AL8" s="1366"/>
      <c r="AM8" s="1367"/>
      <c r="AN8" s="1366"/>
      <c r="AO8" s="1366"/>
      <c r="AP8" s="1366"/>
      <c r="AQ8" s="1368"/>
      <c r="AR8" s="1366"/>
      <c r="AS8" s="1367"/>
      <c r="AT8" s="1366"/>
      <c r="AU8" s="1366"/>
      <c r="AV8" s="1366"/>
      <c r="AW8" s="1368"/>
      <c r="AX8" s="1366"/>
      <c r="AY8" s="1367"/>
      <c r="AZ8" s="1366"/>
      <c r="BA8" s="1366"/>
      <c r="BB8" s="1366">
        <f t="shared" si="0"/>
        <v>299.89999999999998</v>
      </c>
      <c r="BC8" s="1363">
        <v>299.89999999999998</v>
      </c>
      <c r="BD8" s="1366"/>
      <c r="BE8" s="1367"/>
      <c r="BF8" s="1366"/>
      <c r="BG8" s="1366"/>
      <c r="BH8" s="1366">
        <f t="shared" si="1"/>
        <v>0</v>
      </c>
      <c r="BI8" s="1363">
        <v>0</v>
      </c>
      <c r="BJ8" s="1366"/>
      <c r="BK8" s="1367">
        <f t="shared" ref="BK8:BK27" si="6">BH8+BK40</f>
        <v>0</v>
      </c>
      <c r="BL8" s="1366">
        <f t="shared" ref="BL8:BN31" si="7">BK8+BL40</f>
        <v>0</v>
      </c>
      <c r="BM8" s="1366">
        <f t="shared" si="7"/>
        <v>0</v>
      </c>
      <c r="BN8" s="1366">
        <f t="shared" si="7"/>
        <v>0</v>
      </c>
      <c r="BO8" s="1363">
        <v>0</v>
      </c>
      <c r="BP8" s="1366"/>
      <c r="BQ8" s="1367">
        <f t="shared" ref="BQ8:BQ28" si="8">BN8+BQ40</f>
        <v>0</v>
      </c>
      <c r="BR8" s="1366">
        <f t="shared" ref="BR8:BT8" si="9">BQ8+BR40</f>
        <v>0</v>
      </c>
      <c r="BS8" s="1366">
        <f t="shared" si="9"/>
        <v>0</v>
      </c>
      <c r="BT8" s="1366">
        <f t="shared" si="9"/>
        <v>0</v>
      </c>
      <c r="BU8" s="1368">
        <f t="shared" ref="BU8:BU31" si="10">BT8</f>
        <v>0</v>
      </c>
      <c r="BV8" s="1366"/>
      <c r="BW8" s="1367">
        <f t="shared" ref="BW8:BW28" si="11">BT8+BW40</f>
        <v>0</v>
      </c>
      <c r="BX8" s="1366">
        <f t="shared" ref="BX8:BZ8" si="12">BW8+BX40</f>
        <v>0</v>
      </c>
      <c r="BY8" s="1366">
        <f t="shared" si="12"/>
        <v>0</v>
      </c>
      <c r="BZ8" s="1366">
        <f t="shared" si="12"/>
        <v>0</v>
      </c>
      <c r="CA8" s="1368">
        <f t="shared" ref="CA8:CA31" si="13">BZ8</f>
        <v>0</v>
      </c>
      <c r="CB8" s="1366"/>
      <c r="CC8" s="1367">
        <f t="shared" ref="CC8:CC28" si="14">BZ8+CC40</f>
        <v>0</v>
      </c>
      <c r="CD8" s="1366">
        <f t="shared" ref="CD8:CF8" si="15">CC8+CD40</f>
        <v>0</v>
      </c>
      <c r="CE8" s="1366">
        <f t="shared" si="15"/>
        <v>0</v>
      </c>
      <c r="CF8" s="1366">
        <f t="shared" si="15"/>
        <v>0</v>
      </c>
      <c r="CG8" s="1368">
        <f t="shared" ref="CG8:CG31" si="16">CF8</f>
        <v>0</v>
      </c>
    </row>
    <row r="9" spans="1:85" s="771" customFormat="1" ht="12" customHeight="1" x14ac:dyDescent="0.2">
      <c r="B9" s="37" t="s">
        <v>673</v>
      </c>
      <c r="C9" s="1367" t="s">
        <v>158</v>
      </c>
      <c r="D9" s="1366"/>
      <c r="E9" s="1366"/>
      <c r="F9" s="1366"/>
      <c r="G9" s="1368"/>
      <c r="H9" s="1366"/>
      <c r="I9" s="1367"/>
      <c r="J9" s="1366"/>
      <c r="K9" s="1366"/>
      <c r="L9" s="1366"/>
      <c r="M9" s="1368"/>
      <c r="N9" s="1366"/>
      <c r="O9" s="1367"/>
      <c r="P9" s="1366"/>
      <c r="Q9" s="1366"/>
      <c r="R9" s="1366"/>
      <c r="S9" s="1368"/>
      <c r="T9" s="1366"/>
      <c r="U9" s="1367"/>
      <c r="V9" s="1366"/>
      <c r="W9" s="1366"/>
      <c r="X9" s="1366"/>
      <c r="Y9" s="1368"/>
      <c r="Z9" s="1366"/>
      <c r="AA9" s="1367"/>
      <c r="AB9" s="1366"/>
      <c r="AC9" s="1366"/>
      <c r="AD9" s="1366"/>
      <c r="AE9" s="1368"/>
      <c r="AF9" s="1366"/>
      <c r="AG9" s="1367"/>
      <c r="AH9" s="1366"/>
      <c r="AI9" s="1366"/>
      <c r="AJ9" s="1366"/>
      <c r="AK9" s="1368"/>
      <c r="AL9" s="1366"/>
      <c r="AM9" s="1367"/>
      <c r="AN9" s="1366"/>
      <c r="AO9" s="1366"/>
      <c r="AP9" s="1366"/>
      <c r="AQ9" s="1368"/>
      <c r="AR9" s="1366"/>
      <c r="AS9" s="1367"/>
      <c r="AT9" s="1366"/>
      <c r="AU9" s="1366"/>
      <c r="AV9" s="1366"/>
      <c r="AW9" s="1368"/>
      <c r="AX9" s="1366"/>
      <c r="AY9" s="1367"/>
      <c r="AZ9" s="1366"/>
      <c r="BA9" s="1366"/>
      <c r="BB9" s="1366">
        <f t="shared" si="0"/>
        <v>64.900000000000006</v>
      </c>
      <c r="BC9" s="1363">
        <v>64.900000000000006</v>
      </c>
      <c r="BD9" s="1366"/>
      <c r="BE9" s="1367"/>
      <c r="BF9" s="1366"/>
      <c r="BG9" s="1366"/>
      <c r="BH9" s="1366">
        <f t="shared" si="1"/>
        <v>0</v>
      </c>
      <c r="BI9" s="1363">
        <v>0</v>
      </c>
      <c r="BJ9" s="1366"/>
      <c r="BK9" s="1367">
        <f t="shared" si="6"/>
        <v>0</v>
      </c>
      <c r="BL9" s="1366">
        <f t="shared" si="7"/>
        <v>0</v>
      </c>
      <c r="BM9" s="1366">
        <f t="shared" si="7"/>
        <v>0</v>
      </c>
      <c r="BN9" s="1366">
        <f t="shared" si="7"/>
        <v>0</v>
      </c>
      <c r="BO9" s="1363">
        <v>0</v>
      </c>
      <c r="BP9" s="1366"/>
      <c r="BQ9" s="1367">
        <f t="shared" si="8"/>
        <v>0</v>
      </c>
      <c r="BR9" s="1366">
        <f t="shared" ref="BR9:BT9" si="17">BQ9+BR41</f>
        <v>0</v>
      </c>
      <c r="BS9" s="1366">
        <f t="shared" si="17"/>
        <v>0</v>
      </c>
      <c r="BT9" s="1366">
        <f t="shared" si="17"/>
        <v>0</v>
      </c>
      <c r="BU9" s="1368">
        <f t="shared" si="10"/>
        <v>0</v>
      </c>
      <c r="BV9" s="1366"/>
      <c r="BW9" s="1367">
        <f t="shared" si="11"/>
        <v>0</v>
      </c>
      <c r="BX9" s="1366">
        <f t="shared" ref="BX9:BZ9" si="18">BW9+BX41</f>
        <v>0</v>
      </c>
      <c r="BY9" s="1366">
        <f t="shared" si="18"/>
        <v>0</v>
      </c>
      <c r="BZ9" s="1366">
        <f t="shared" si="18"/>
        <v>0</v>
      </c>
      <c r="CA9" s="1368">
        <f t="shared" si="13"/>
        <v>0</v>
      </c>
      <c r="CB9" s="1366"/>
      <c r="CC9" s="1367">
        <f t="shared" si="14"/>
        <v>0</v>
      </c>
      <c r="CD9" s="1366">
        <f t="shared" ref="CD9:CF9" si="19">CC9+CD41</f>
        <v>0</v>
      </c>
      <c r="CE9" s="1366">
        <f t="shared" si="19"/>
        <v>0</v>
      </c>
      <c r="CF9" s="1366">
        <f t="shared" si="19"/>
        <v>0</v>
      </c>
      <c r="CG9" s="1368">
        <f t="shared" si="16"/>
        <v>0</v>
      </c>
    </row>
    <row r="10" spans="1:85" s="771" customFormat="1" ht="12" customHeight="1" x14ac:dyDescent="0.2">
      <c r="B10" s="37" t="s">
        <v>674</v>
      </c>
      <c r="C10" s="1367" t="s">
        <v>158</v>
      </c>
      <c r="D10" s="1366"/>
      <c r="E10" s="1366"/>
      <c r="F10" s="1366"/>
      <c r="G10" s="1368"/>
      <c r="H10" s="1366"/>
      <c r="I10" s="1367"/>
      <c r="J10" s="1366"/>
      <c r="K10" s="1366"/>
      <c r="L10" s="1366"/>
      <c r="M10" s="1368"/>
      <c r="N10" s="1366"/>
      <c r="O10" s="1367"/>
      <c r="P10" s="1366"/>
      <c r="Q10" s="1366"/>
      <c r="R10" s="1366"/>
      <c r="S10" s="1368"/>
      <c r="T10" s="1366"/>
      <c r="U10" s="1367"/>
      <c r="V10" s="1366"/>
      <c r="W10" s="1366"/>
      <c r="X10" s="1366"/>
      <c r="Y10" s="1368"/>
      <c r="Z10" s="1366"/>
      <c r="AA10" s="1367"/>
      <c r="AB10" s="1366"/>
      <c r="AC10" s="1366"/>
      <c r="AD10" s="1366"/>
      <c r="AE10" s="1368"/>
      <c r="AF10" s="1366"/>
      <c r="AG10" s="1367"/>
      <c r="AH10" s="1366"/>
      <c r="AI10" s="1366"/>
      <c r="AJ10" s="1366"/>
      <c r="AK10" s="1368"/>
      <c r="AL10" s="1366"/>
      <c r="AM10" s="1367"/>
      <c r="AN10" s="1366"/>
      <c r="AO10" s="1366"/>
      <c r="AP10" s="1366"/>
      <c r="AQ10" s="1368"/>
      <c r="AR10" s="1366"/>
      <c r="AS10" s="1367"/>
      <c r="AT10" s="1366"/>
      <c r="AU10" s="1366"/>
      <c r="AV10" s="1366"/>
      <c r="AW10" s="1368"/>
      <c r="AX10" s="1366"/>
      <c r="AY10" s="1367"/>
      <c r="AZ10" s="1366"/>
      <c r="BA10" s="1366"/>
      <c r="BB10" s="1366">
        <f t="shared" si="0"/>
        <v>104.4</v>
      </c>
      <c r="BC10" s="1363">
        <v>104.4</v>
      </c>
      <c r="BD10" s="1366"/>
      <c r="BE10" s="1367"/>
      <c r="BF10" s="1366"/>
      <c r="BG10" s="1366"/>
      <c r="BH10" s="1366">
        <f t="shared" si="1"/>
        <v>107.5</v>
      </c>
      <c r="BI10" s="1363">
        <v>107.5</v>
      </c>
      <c r="BJ10" s="1366"/>
      <c r="BK10" s="1367">
        <f t="shared" si="6"/>
        <v>107.5</v>
      </c>
      <c r="BL10" s="1366">
        <f t="shared" si="7"/>
        <v>107.5</v>
      </c>
      <c r="BM10" s="1366">
        <f t="shared" si="7"/>
        <v>107.5</v>
      </c>
      <c r="BN10" s="1366">
        <f t="shared" si="7"/>
        <v>107.5</v>
      </c>
      <c r="BO10" s="1363">
        <v>111.4</v>
      </c>
      <c r="BP10" s="1366"/>
      <c r="BQ10" s="1367">
        <f t="shared" si="8"/>
        <v>107.5</v>
      </c>
      <c r="BR10" s="1366">
        <f t="shared" ref="BR10:BT10" si="20">BQ10+BR42</f>
        <v>107.5</v>
      </c>
      <c r="BS10" s="1366">
        <f t="shared" si="20"/>
        <v>107.5</v>
      </c>
      <c r="BT10" s="1366">
        <f t="shared" si="20"/>
        <v>107.5</v>
      </c>
      <c r="BU10" s="1368">
        <f t="shared" si="10"/>
        <v>107.5</v>
      </c>
      <c r="BV10" s="1366"/>
      <c r="BW10" s="1367">
        <f t="shared" si="11"/>
        <v>107.5</v>
      </c>
      <c r="BX10" s="1366">
        <f t="shared" ref="BX10:BZ10" si="21">BW10+BX42</f>
        <v>107.5</v>
      </c>
      <c r="BY10" s="1366">
        <f t="shared" si="21"/>
        <v>107.5</v>
      </c>
      <c r="BZ10" s="1366">
        <f t="shared" si="21"/>
        <v>107.5</v>
      </c>
      <c r="CA10" s="1368">
        <f t="shared" si="13"/>
        <v>107.5</v>
      </c>
      <c r="CB10" s="1366"/>
      <c r="CC10" s="1367">
        <f t="shared" si="14"/>
        <v>107.5</v>
      </c>
      <c r="CD10" s="1366">
        <f t="shared" ref="CD10:CF10" si="22">CC10+CD42</f>
        <v>107.5</v>
      </c>
      <c r="CE10" s="1366">
        <f t="shared" si="22"/>
        <v>107.5</v>
      </c>
      <c r="CF10" s="1366">
        <f t="shared" si="22"/>
        <v>107.5</v>
      </c>
      <c r="CG10" s="1368">
        <f t="shared" si="16"/>
        <v>107.5</v>
      </c>
    </row>
    <row r="11" spans="1:85" s="771" customFormat="1" ht="12" customHeight="1" x14ac:dyDescent="0.2">
      <c r="B11" s="37" t="s">
        <v>675</v>
      </c>
      <c r="C11" s="1367" t="s">
        <v>158</v>
      </c>
      <c r="D11" s="1366"/>
      <c r="E11" s="1366"/>
      <c r="F11" s="1366"/>
      <c r="G11" s="1368"/>
      <c r="H11" s="1366"/>
      <c r="I11" s="1367"/>
      <c r="J11" s="1366"/>
      <c r="K11" s="1366"/>
      <c r="L11" s="1366"/>
      <c r="M11" s="1368"/>
      <c r="N11" s="1366"/>
      <c r="O11" s="1367"/>
      <c r="P11" s="1366"/>
      <c r="Q11" s="1366"/>
      <c r="R11" s="1366"/>
      <c r="S11" s="1368"/>
      <c r="T11" s="1366"/>
      <c r="U11" s="1367"/>
      <c r="V11" s="1366"/>
      <c r="W11" s="1366"/>
      <c r="X11" s="1366"/>
      <c r="Y11" s="1368"/>
      <c r="Z11" s="1366"/>
      <c r="AA11" s="1367"/>
      <c r="AB11" s="1366"/>
      <c r="AC11" s="1366"/>
      <c r="AD11" s="1366"/>
      <c r="AE11" s="1368"/>
      <c r="AF11" s="1366"/>
      <c r="AG11" s="1367"/>
      <c r="AH11" s="1366"/>
      <c r="AI11" s="1366"/>
      <c r="AJ11" s="1366"/>
      <c r="AK11" s="1368"/>
      <c r="AL11" s="1366"/>
      <c r="AM11" s="1367"/>
      <c r="AN11" s="1366"/>
      <c r="AO11" s="1366"/>
      <c r="AP11" s="1366"/>
      <c r="AQ11" s="1368"/>
      <c r="AR11" s="1366"/>
      <c r="AS11" s="1367"/>
      <c r="AT11" s="1366"/>
      <c r="AU11" s="1366"/>
      <c r="AV11" s="1366"/>
      <c r="AW11" s="1368"/>
      <c r="AX11" s="1366"/>
      <c r="AY11" s="1367"/>
      <c r="AZ11" s="1366"/>
      <c r="BA11" s="1366"/>
      <c r="BB11" s="1366">
        <f t="shared" si="0"/>
        <v>157.5</v>
      </c>
      <c r="BC11" s="1363">
        <v>157.5</v>
      </c>
      <c r="BD11" s="1366"/>
      <c r="BE11" s="1367"/>
      <c r="BF11" s="1366"/>
      <c r="BG11" s="1366"/>
      <c r="BH11" s="1366">
        <f t="shared" si="1"/>
        <v>148.80000000000001</v>
      </c>
      <c r="BI11" s="1363">
        <v>148.80000000000001</v>
      </c>
      <c r="BJ11" s="1366"/>
      <c r="BK11" s="1367">
        <f t="shared" si="6"/>
        <v>148.80000000000001</v>
      </c>
      <c r="BL11" s="1366">
        <f t="shared" si="7"/>
        <v>148.80000000000001</v>
      </c>
      <c r="BM11" s="1366">
        <f t="shared" si="7"/>
        <v>148.80000000000001</v>
      </c>
      <c r="BN11" s="1366">
        <f t="shared" si="7"/>
        <v>148.80000000000001</v>
      </c>
      <c r="BO11" s="1363">
        <v>140</v>
      </c>
      <c r="BP11" s="1366"/>
      <c r="BQ11" s="1367">
        <f t="shared" si="8"/>
        <v>148.80000000000001</v>
      </c>
      <c r="BR11" s="1366">
        <f t="shared" ref="BR11:BT11" si="23">BQ11+BR43</f>
        <v>148.80000000000001</v>
      </c>
      <c r="BS11" s="1366">
        <f t="shared" si="23"/>
        <v>148.80000000000001</v>
      </c>
      <c r="BT11" s="1366">
        <f t="shared" si="23"/>
        <v>148.80000000000001</v>
      </c>
      <c r="BU11" s="1368">
        <f t="shared" si="10"/>
        <v>148.80000000000001</v>
      </c>
      <c r="BV11" s="1366"/>
      <c r="BW11" s="1367">
        <f t="shared" si="11"/>
        <v>148.80000000000001</v>
      </c>
      <c r="BX11" s="1366">
        <f t="shared" ref="BX11:BZ11" si="24">BW11+BX43</f>
        <v>148.80000000000001</v>
      </c>
      <c r="BY11" s="1366">
        <f t="shared" si="24"/>
        <v>148.80000000000001</v>
      </c>
      <c r="BZ11" s="1366">
        <f t="shared" si="24"/>
        <v>148.80000000000001</v>
      </c>
      <c r="CA11" s="1368">
        <f t="shared" si="13"/>
        <v>148.80000000000001</v>
      </c>
      <c r="CB11" s="1366"/>
      <c r="CC11" s="1367">
        <f t="shared" si="14"/>
        <v>148.80000000000001</v>
      </c>
      <c r="CD11" s="1366">
        <f t="shared" ref="CD11:CF11" si="25">CC11+CD43</f>
        <v>148.80000000000001</v>
      </c>
      <c r="CE11" s="1366">
        <f t="shared" si="25"/>
        <v>148.80000000000001</v>
      </c>
      <c r="CF11" s="1366">
        <f t="shared" si="25"/>
        <v>148.80000000000001</v>
      </c>
      <c r="CG11" s="1368">
        <f t="shared" si="16"/>
        <v>148.80000000000001</v>
      </c>
    </row>
    <row r="12" spans="1:85" s="771" customFormat="1" ht="12" customHeight="1" x14ac:dyDescent="0.2">
      <c r="B12" s="37" t="s">
        <v>676</v>
      </c>
      <c r="C12" s="1367" t="s">
        <v>158</v>
      </c>
      <c r="D12" s="1366"/>
      <c r="E12" s="1366"/>
      <c r="F12" s="1366"/>
      <c r="G12" s="1368"/>
      <c r="H12" s="1366"/>
      <c r="I12" s="1367"/>
      <c r="J12" s="1366"/>
      <c r="K12" s="1366"/>
      <c r="L12" s="1366"/>
      <c r="M12" s="1368"/>
      <c r="N12" s="1366"/>
      <c r="O12" s="1367"/>
      <c r="P12" s="1366"/>
      <c r="Q12" s="1366"/>
      <c r="R12" s="1366"/>
      <c r="S12" s="1368"/>
      <c r="T12" s="1366"/>
      <c r="U12" s="1367"/>
      <c r="V12" s="1366"/>
      <c r="W12" s="1366"/>
      <c r="X12" s="1366"/>
      <c r="Y12" s="1368"/>
      <c r="Z12" s="1366"/>
      <c r="AA12" s="1367"/>
      <c r="AB12" s="1366"/>
      <c r="AC12" s="1366"/>
      <c r="AD12" s="1366"/>
      <c r="AE12" s="1368"/>
      <c r="AF12" s="1366"/>
      <c r="AG12" s="1367"/>
      <c r="AH12" s="1366"/>
      <c r="AI12" s="1366"/>
      <c r="AJ12" s="1366"/>
      <c r="AK12" s="1368"/>
      <c r="AL12" s="1366"/>
      <c r="AM12" s="1367"/>
      <c r="AN12" s="1366"/>
      <c r="AO12" s="1366"/>
      <c r="AP12" s="1366"/>
      <c r="AQ12" s="1368"/>
      <c r="AR12" s="1366"/>
      <c r="AS12" s="1367"/>
      <c r="AT12" s="1366"/>
      <c r="AU12" s="1366"/>
      <c r="AV12" s="1366"/>
      <c r="AW12" s="1368"/>
      <c r="AX12" s="1366"/>
      <c r="AY12" s="1367"/>
      <c r="AZ12" s="1366"/>
      <c r="BA12" s="1366"/>
      <c r="BB12" s="1366">
        <f t="shared" si="0"/>
        <v>295.60000000000002</v>
      </c>
      <c r="BC12" s="1363">
        <v>295.60000000000002</v>
      </c>
      <c r="BD12" s="1366"/>
      <c r="BE12" s="1367"/>
      <c r="BF12" s="1366"/>
      <c r="BG12" s="1366"/>
      <c r="BH12" s="1366">
        <f t="shared" si="1"/>
        <v>295.7</v>
      </c>
      <c r="BI12" s="1363">
        <v>295.7</v>
      </c>
      <c r="BJ12" s="1366"/>
      <c r="BK12" s="1367">
        <f t="shared" si="6"/>
        <v>295.7</v>
      </c>
      <c r="BL12" s="1366">
        <f t="shared" si="7"/>
        <v>295.7</v>
      </c>
      <c r="BM12" s="1366">
        <f t="shared" si="7"/>
        <v>295.7</v>
      </c>
      <c r="BN12" s="1366">
        <f t="shared" si="7"/>
        <v>295.7</v>
      </c>
      <c r="BO12" s="1363">
        <v>295.7</v>
      </c>
      <c r="BP12" s="1366"/>
      <c r="BQ12" s="1367">
        <f t="shared" si="8"/>
        <v>295.7</v>
      </c>
      <c r="BR12" s="1366">
        <f t="shared" ref="BR12:BT12" si="26">BQ12+BR44</f>
        <v>295.7</v>
      </c>
      <c r="BS12" s="1366">
        <f t="shared" si="26"/>
        <v>295.7</v>
      </c>
      <c r="BT12" s="1366">
        <f t="shared" si="26"/>
        <v>295.7</v>
      </c>
      <c r="BU12" s="1368">
        <f t="shared" si="10"/>
        <v>295.7</v>
      </c>
      <c r="BV12" s="1366"/>
      <c r="BW12" s="1367">
        <f t="shared" si="11"/>
        <v>295.7</v>
      </c>
      <c r="BX12" s="1366">
        <f t="shared" ref="BX12:BZ12" si="27">BW12+BX44</f>
        <v>295.7</v>
      </c>
      <c r="BY12" s="1366">
        <f t="shared" si="27"/>
        <v>295.7</v>
      </c>
      <c r="BZ12" s="1366">
        <f t="shared" si="27"/>
        <v>295.7</v>
      </c>
      <c r="CA12" s="1368">
        <f t="shared" si="13"/>
        <v>295.7</v>
      </c>
      <c r="CB12" s="1366"/>
      <c r="CC12" s="1367">
        <f t="shared" si="14"/>
        <v>295.7</v>
      </c>
      <c r="CD12" s="1366">
        <f t="shared" ref="CD12:CF12" si="28">CC12+CD44</f>
        <v>295.7</v>
      </c>
      <c r="CE12" s="1366">
        <f t="shared" si="28"/>
        <v>295.7</v>
      </c>
      <c r="CF12" s="1366">
        <f t="shared" si="28"/>
        <v>295.7</v>
      </c>
      <c r="CG12" s="1368">
        <f t="shared" si="16"/>
        <v>295.7</v>
      </c>
    </row>
    <row r="13" spans="1:85" s="771" customFormat="1" ht="12" customHeight="1" x14ac:dyDescent="0.2">
      <c r="B13" s="37" t="s">
        <v>677</v>
      </c>
      <c r="C13" s="1367" t="s">
        <v>158</v>
      </c>
      <c r="D13" s="1366"/>
      <c r="E13" s="1366"/>
      <c r="F13" s="1366"/>
      <c r="G13" s="1368"/>
      <c r="H13" s="1366"/>
      <c r="I13" s="1367"/>
      <c r="J13" s="1366"/>
      <c r="K13" s="1366"/>
      <c r="L13" s="1366"/>
      <c r="M13" s="1368"/>
      <c r="N13" s="1366"/>
      <c r="O13" s="1367"/>
      <c r="P13" s="1366"/>
      <c r="Q13" s="1366"/>
      <c r="R13" s="1366"/>
      <c r="S13" s="1368"/>
      <c r="T13" s="1366"/>
      <c r="U13" s="1367"/>
      <c r="V13" s="1366"/>
      <c r="W13" s="1366"/>
      <c r="X13" s="1366"/>
      <c r="Y13" s="1368"/>
      <c r="Z13" s="1366"/>
      <c r="AA13" s="1367"/>
      <c r="AB13" s="1366"/>
      <c r="AC13" s="1366"/>
      <c r="AD13" s="1366"/>
      <c r="AE13" s="1368"/>
      <c r="AF13" s="1366"/>
      <c r="AG13" s="1367"/>
      <c r="AH13" s="1366"/>
      <c r="AI13" s="1366"/>
      <c r="AJ13" s="1366"/>
      <c r="AK13" s="1368"/>
      <c r="AL13" s="1366"/>
      <c r="AM13" s="1367"/>
      <c r="AN13" s="1366"/>
      <c r="AO13" s="1366"/>
      <c r="AP13" s="1366"/>
      <c r="AQ13" s="1368"/>
      <c r="AR13" s="1366"/>
      <c r="AS13" s="1367"/>
      <c r="AT13" s="1366"/>
      <c r="AU13" s="1366"/>
      <c r="AV13" s="1366"/>
      <c r="AW13" s="1368"/>
      <c r="AX13" s="1366"/>
      <c r="AY13" s="1367"/>
      <c r="AZ13" s="1366"/>
      <c r="BA13" s="1366"/>
      <c r="BB13" s="1366">
        <f t="shared" si="0"/>
        <v>0</v>
      </c>
      <c r="BC13" s="1363">
        <v>0</v>
      </c>
      <c r="BD13" s="1366"/>
      <c r="BE13" s="1367"/>
      <c r="BF13" s="1366"/>
      <c r="BG13" s="1366"/>
      <c r="BH13" s="1366">
        <f t="shared" si="1"/>
        <v>73.8</v>
      </c>
      <c r="BI13" s="1363">
        <v>73.8</v>
      </c>
      <c r="BJ13" s="1366"/>
      <c r="BK13" s="1367">
        <f t="shared" si="6"/>
        <v>73.8</v>
      </c>
      <c r="BL13" s="1366">
        <f t="shared" si="7"/>
        <v>73.8</v>
      </c>
      <c r="BM13" s="1366">
        <f t="shared" si="7"/>
        <v>73.8</v>
      </c>
      <c r="BN13" s="1366">
        <f t="shared" si="7"/>
        <v>73.8</v>
      </c>
      <c r="BO13" s="1363">
        <v>84</v>
      </c>
      <c r="BP13" s="1366"/>
      <c r="BQ13" s="1367">
        <f t="shared" si="8"/>
        <v>73.8</v>
      </c>
      <c r="BR13" s="1366">
        <f t="shared" ref="BR13:BT13" si="29">BQ13+BR45</f>
        <v>73.8</v>
      </c>
      <c r="BS13" s="1366">
        <f t="shared" si="29"/>
        <v>73.8</v>
      </c>
      <c r="BT13" s="1366">
        <f t="shared" si="29"/>
        <v>73.8</v>
      </c>
      <c r="BU13" s="1368">
        <f t="shared" si="10"/>
        <v>73.8</v>
      </c>
      <c r="BV13" s="1366"/>
      <c r="BW13" s="1367">
        <f t="shared" si="11"/>
        <v>73.8</v>
      </c>
      <c r="BX13" s="1366">
        <f t="shared" ref="BX13:BZ13" si="30">BW13+BX45</f>
        <v>73.8</v>
      </c>
      <c r="BY13" s="1366">
        <f t="shared" si="30"/>
        <v>73.8</v>
      </c>
      <c r="BZ13" s="1366">
        <f t="shared" si="30"/>
        <v>73.8</v>
      </c>
      <c r="CA13" s="1368">
        <f t="shared" si="13"/>
        <v>73.8</v>
      </c>
      <c r="CB13" s="1366"/>
      <c r="CC13" s="1367">
        <f t="shared" si="14"/>
        <v>73.8</v>
      </c>
      <c r="CD13" s="1366">
        <f t="shared" ref="CD13:CF13" si="31">CC13+CD45</f>
        <v>73.8</v>
      </c>
      <c r="CE13" s="1366">
        <f t="shared" si="31"/>
        <v>73.8</v>
      </c>
      <c r="CF13" s="1366">
        <f t="shared" si="31"/>
        <v>73.8</v>
      </c>
      <c r="CG13" s="1368">
        <f t="shared" si="16"/>
        <v>73.8</v>
      </c>
    </row>
    <row r="14" spans="1:85" s="771" customFormat="1" ht="12" customHeight="1" x14ac:dyDescent="0.2">
      <c r="B14" s="37" t="s">
        <v>678</v>
      </c>
      <c r="C14" s="1367" t="s">
        <v>158</v>
      </c>
      <c r="D14" s="1366"/>
      <c r="E14" s="1366"/>
      <c r="F14" s="1366"/>
      <c r="G14" s="1368"/>
      <c r="H14" s="1366"/>
      <c r="I14" s="1367"/>
      <c r="J14" s="1366"/>
      <c r="K14" s="1366"/>
      <c r="L14" s="1366"/>
      <c r="M14" s="1368"/>
      <c r="N14" s="1366"/>
      <c r="O14" s="1367"/>
      <c r="P14" s="1366"/>
      <c r="Q14" s="1366"/>
      <c r="R14" s="1366"/>
      <c r="S14" s="1368"/>
      <c r="T14" s="1366"/>
      <c r="U14" s="1367"/>
      <c r="V14" s="1366"/>
      <c r="W14" s="1366"/>
      <c r="X14" s="1366"/>
      <c r="Y14" s="1368"/>
      <c r="Z14" s="1366"/>
      <c r="AA14" s="1367"/>
      <c r="AB14" s="1366"/>
      <c r="AC14" s="1366"/>
      <c r="AD14" s="1366"/>
      <c r="AE14" s="1368"/>
      <c r="AF14" s="1366"/>
      <c r="AG14" s="1367"/>
      <c r="AH14" s="1366"/>
      <c r="AI14" s="1366"/>
      <c r="AJ14" s="1366"/>
      <c r="AK14" s="1368"/>
      <c r="AL14" s="1366"/>
      <c r="AM14" s="1367"/>
      <c r="AN14" s="1366"/>
      <c r="AO14" s="1366"/>
      <c r="AP14" s="1366"/>
      <c r="AQ14" s="1368"/>
      <c r="AR14" s="1366"/>
      <c r="AS14" s="1367"/>
      <c r="AT14" s="1366"/>
      <c r="AU14" s="1366"/>
      <c r="AV14" s="1366"/>
      <c r="AW14" s="1368"/>
      <c r="AX14" s="1366"/>
      <c r="AY14" s="1367"/>
      <c r="AZ14" s="1366"/>
      <c r="BA14" s="1366"/>
      <c r="BB14" s="1366">
        <f t="shared" si="0"/>
        <v>25</v>
      </c>
      <c r="BC14" s="1363">
        <v>25</v>
      </c>
      <c r="BD14" s="1366"/>
      <c r="BE14" s="1367"/>
      <c r="BF14" s="1366"/>
      <c r="BG14" s="1366"/>
      <c r="BH14" s="1366">
        <f t="shared" si="1"/>
        <v>24.5</v>
      </c>
      <c r="BI14" s="1363">
        <v>24.5</v>
      </c>
      <c r="BJ14" s="1366"/>
      <c r="BK14" s="1367">
        <f t="shared" si="6"/>
        <v>24.5</v>
      </c>
      <c r="BL14" s="1366">
        <f t="shared" si="7"/>
        <v>24.5</v>
      </c>
      <c r="BM14" s="1366">
        <f t="shared" si="7"/>
        <v>24.5</v>
      </c>
      <c r="BN14" s="1366">
        <f t="shared" si="7"/>
        <v>24.5</v>
      </c>
      <c r="BO14" s="1363">
        <v>25.6</v>
      </c>
      <c r="BP14" s="1366"/>
      <c r="BQ14" s="1367">
        <f t="shared" si="8"/>
        <v>24.5</v>
      </c>
      <c r="BR14" s="1366">
        <f t="shared" ref="BR14:BT14" si="32">BQ14+BR46</f>
        <v>24.5</v>
      </c>
      <c r="BS14" s="1366">
        <f t="shared" si="32"/>
        <v>24.5</v>
      </c>
      <c r="BT14" s="1366">
        <f t="shared" si="32"/>
        <v>24.5</v>
      </c>
      <c r="BU14" s="1368">
        <f t="shared" si="10"/>
        <v>24.5</v>
      </c>
      <c r="BV14" s="1366"/>
      <c r="BW14" s="1367">
        <f t="shared" si="11"/>
        <v>24.5</v>
      </c>
      <c r="BX14" s="1366">
        <f t="shared" ref="BX14:BZ14" si="33">BW14+BX46</f>
        <v>24.5</v>
      </c>
      <c r="BY14" s="1366">
        <f t="shared" si="33"/>
        <v>24.5</v>
      </c>
      <c r="BZ14" s="1366">
        <f t="shared" si="33"/>
        <v>24.5</v>
      </c>
      <c r="CA14" s="1368">
        <f t="shared" si="13"/>
        <v>24.5</v>
      </c>
      <c r="CB14" s="1366"/>
      <c r="CC14" s="1367">
        <f t="shared" si="14"/>
        <v>24.5</v>
      </c>
      <c r="CD14" s="1366">
        <f t="shared" ref="CD14:CF14" si="34">CC14+CD46</f>
        <v>24.5</v>
      </c>
      <c r="CE14" s="1366">
        <f t="shared" si="34"/>
        <v>24.5</v>
      </c>
      <c r="CF14" s="1366">
        <f t="shared" si="34"/>
        <v>24.5</v>
      </c>
      <c r="CG14" s="1368">
        <f t="shared" si="16"/>
        <v>24.5</v>
      </c>
    </row>
    <row r="15" spans="1:85" s="771" customFormat="1" ht="12" customHeight="1" x14ac:dyDescent="0.2">
      <c r="B15" s="37" t="s">
        <v>679</v>
      </c>
      <c r="C15" s="1367" t="s">
        <v>158</v>
      </c>
      <c r="D15" s="1366"/>
      <c r="E15" s="1366"/>
      <c r="F15" s="1366"/>
      <c r="G15" s="1368"/>
      <c r="H15" s="1366"/>
      <c r="I15" s="1367"/>
      <c r="J15" s="1366"/>
      <c r="K15" s="1366"/>
      <c r="L15" s="1366"/>
      <c r="M15" s="1368"/>
      <c r="N15" s="1366"/>
      <c r="O15" s="1367"/>
      <c r="P15" s="1366"/>
      <c r="Q15" s="1366"/>
      <c r="R15" s="1366"/>
      <c r="S15" s="1368"/>
      <c r="T15" s="1366"/>
      <c r="U15" s="1367"/>
      <c r="V15" s="1366"/>
      <c r="W15" s="1366"/>
      <c r="X15" s="1366"/>
      <c r="Y15" s="1368"/>
      <c r="Z15" s="1366"/>
      <c r="AA15" s="1367"/>
      <c r="AB15" s="1366"/>
      <c r="AC15" s="1366"/>
      <c r="AD15" s="1366"/>
      <c r="AE15" s="1368"/>
      <c r="AF15" s="1366"/>
      <c r="AG15" s="1367"/>
      <c r="AH15" s="1366"/>
      <c r="AI15" s="1366"/>
      <c r="AJ15" s="1366"/>
      <c r="AK15" s="1368"/>
      <c r="AL15" s="1366"/>
      <c r="AM15" s="1367"/>
      <c r="AN15" s="1366"/>
      <c r="AO15" s="1366"/>
      <c r="AP15" s="1366"/>
      <c r="AQ15" s="1368"/>
      <c r="AR15" s="1366"/>
      <c r="AS15" s="1367"/>
      <c r="AT15" s="1366"/>
      <c r="AU15" s="1366"/>
      <c r="AV15" s="1366"/>
      <c r="AW15" s="1368"/>
      <c r="AX15" s="1366"/>
      <c r="AY15" s="1367"/>
      <c r="AZ15" s="1366"/>
      <c r="BA15" s="1366"/>
      <c r="BB15" s="1366">
        <f t="shared" si="0"/>
        <v>105.3</v>
      </c>
      <c r="BC15" s="1363">
        <v>105.3</v>
      </c>
      <c r="BD15" s="1366"/>
      <c r="BE15" s="1367"/>
      <c r="BF15" s="1366"/>
      <c r="BG15" s="1366"/>
      <c r="BH15" s="1366">
        <f t="shared" si="1"/>
        <v>102.2</v>
      </c>
      <c r="BI15" s="1363">
        <v>102.2</v>
      </c>
      <c r="BJ15" s="1366"/>
      <c r="BK15" s="1367">
        <f t="shared" si="6"/>
        <v>102.2</v>
      </c>
      <c r="BL15" s="1366">
        <f t="shared" si="7"/>
        <v>102.2</v>
      </c>
      <c r="BM15" s="1366">
        <f t="shared" si="7"/>
        <v>102.2</v>
      </c>
      <c r="BN15" s="1366">
        <f t="shared" si="7"/>
        <v>102.2</v>
      </c>
      <c r="BO15" s="1363">
        <v>116.5</v>
      </c>
      <c r="BP15" s="1366"/>
      <c r="BQ15" s="1367">
        <f t="shared" si="8"/>
        <v>102.2</v>
      </c>
      <c r="BR15" s="1366">
        <f t="shared" ref="BR15:BT15" si="35">BQ15+BR47</f>
        <v>102.2</v>
      </c>
      <c r="BS15" s="1366">
        <f t="shared" si="35"/>
        <v>102.2</v>
      </c>
      <c r="BT15" s="1366">
        <f t="shared" si="35"/>
        <v>102.2</v>
      </c>
      <c r="BU15" s="1368">
        <f t="shared" si="10"/>
        <v>102.2</v>
      </c>
      <c r="BV15" s="1366"/>
      <c r="BW15" s="1367">
        <f t="shared" si="11"/>
        <v>102.2</v>
      </c>
      <c r="BX15" s="1366">
        <f t="shared" ref="BX15:BZ15" si="36">BW15+BX47</f>
        <v>102.2</v>
      </c>
      <c r="BY15" s="1366">
        <f t="shared" si="36"/>
        <v>102.2</v>
      </c>
      <c r="BZ15" s="1366">
        <f t="shared" si="36"/>
        <v>102.2</v>
      </c>
      <c r="CA15" s="1368">
        <f t="shared" si="13"/>
        <v>102.2</v>
      </c>
      <c r="CB15" s="1366"/>
      <c r="CC15" s="1367">
        <f t="shared" si="14"/>
        <v>102.2</v>
      </c>
      <c r="CD15" s="1366">
        <f t="shared" ref="CD15:CF15" si="37">CC15+CD47</f>
        <v>102.2</v>
      </c>
      <c r="CE15" s="1366">
        <f t="shared" si="37"/>
        <v>102.2</v>
      </c>
      <c r="CF15" s="1366">
        <f t="shared" si="37"/>
        <v>102.2</v>
      </c>
      <c r="CG15" s="1368">
        <f t="shared" si="16"/>
        <v>102.2</v>
      </c>
    </row>
    <row r="16" spans="1:85" s="771" customFormat="1" ht="12" customHeight="1" x14ac:dyDescent="0.2">
      <c r="B16" s="37" t="s">
        <v>680</v>
      </c>
      <c r="C16" s="1367" t="s">
        <v>158</v>
      </c>
      <c r="D16" s="1366"/>
      <c r="E16" s="1366"/>
      <c r="F16" s="1366"/>
      <c r="G16" s="1368"/>
      <c r="H16" s="1366"/>
      <c r="I16" s="1367"/>
      <c r="J16" s="1366"/>
      <c r="K16" s="1366"/>
      <c r="L16" s="1366"/>
      <c r="M16" s="1368"/>
      <c r="N16" s="1366"/>
      <c r="O16" s="1367"/>
      <c r="P16" s="1366"/>
      <c r="Q16" s="1366"/>
      <c r="R16" s="1366"/>
      <c r="S16" s="1368"/>
      <c r="T16" s="1366"/>
      <c r="U16" s="1367"/>
      <c r="V16" s="1366"/>
      <c r="W16" s="1366"/>
      <c r="X16" s="1366"/>
      <c r="Y16" s="1368"/>
      <c r="Z16" s="1366"/>
      <c r="AA16" s="1367"/>
      <c r="AB16" s="1366"/>
      <c r="AC16" s="1366"/>
      <c r="AD16" s="1366"/>
      <c r="AE16" s="1368"/>
      <c r="AF16" s="1366"/>
      <c r="AG16" s="1367"/>
      <c r="AH16" s="1366"/>
      <c r="AI16" s="1366"/>
      <c r="AJ16" s="1366"/>
      <c r="AK16" s="1368"/>
      <c r="AL16" s="1366"/>
      <c r="AM16" s="1367"/>
      <c r="AN16" s="1366"/>
      <c r="AO16" s="1366"/>
      <c r="AP16" s="1366"/>
      <c r="AQ16" s="1368"/>
      <c r="AR16" s="1366"/>
      <c r="AS16" s="1367"/>
      <c r="AT16" s="1366"/>
      <c r="AU16" s="1366"/>
      <c r="AV16" s="1366"/>
      <c r="AW16" s="1368"/>
      <c r="AX16" s="1366"/>
      <c r="AY16" s="1367"/>
      <c r="AZ16" s="1366"/>
      <c r="BA16" s="1366"/>
      <c r="BB16" s="1366">
        <f t="shared" si="0"/>
        <v>0</v>
      </c>
      <c r="BC16" s="1363">
        <v>0</v>
      </c>
      <c r="BD16" s="1366"/>
      <c r="BE16" s="1367"/>
      <c r="BF16" s="1366"/>
      <c r="BG16" s="1366"/>
      <c r="BH16" s="1366">
        <f t="shared" si="1"/>
        <v>27.4</v>
      </c>
      <c r="BI16" s="1363">
        <v>27.4</v>
      </c>
      <c r="BJ16" s="1366"/>
      <c r="BK16" s="1367">
        <f t="shared" si="6"/>
        <v>27.4</v>
      </c>
      <c r="BL16" s="1366">
        <f t="shared" si="7"/>
        <v>27.4</v>
      </c>
      <c r="BM16" s="1366">
        <f t="shared" si="7"/>
        <v>27.4</v>
      </c>
      <c r="BN16" s="1366">
        <f t="shared" si="7"/>
        <v>27.4</v>
      </c>
      <c r="BO16" s="1363">
        <v>31.2</v>
      </c>
      <c r="BP16" s="1366"/>
      <c r="BQ16" s="1367">
        <f t="shared" si="8"/>
        <v>27.4</v>
      </c>
      <c r="BR16" s="1366">
        <f t="shared" ref="BR16:BT16" si="38">BQ16+BR48</f>
        <v>27.4</v>
      </c>
      <c r="BS16" s="1366">
        <f t="shared" si="38"/>
        <v>27.4</v>
      </c>
      <c r="BT16" s="1366">
        <f t="shared" si="38"/>
        <v>27.4</v>
      </c>
      <c r="BU16" s="1368">
        <f t="shared" si="10"/>
        <v>27.4</v>
      </c>
      <c r="BV16" s="1366"/>
      <c r="BW16" s="1367">
        <f t="shared" si="11"/>
        <v>27.4</v>
      </c>
      <c r="BX16" s="1366">
        <f t="shared" ref="BX16:BZ16" si="39">BW16+BX48</f>
        <v>27.4</v>
      </c>
      <c r="BY16" s="1366">
        <f t="shared" si="39"/>
        <v>27.4</v>
      </c>
      <c r="BZ16" s="1366">
        <f t="shared" si="39"/>
        <v>27.4</v>
      </c>
      <c r="CA16" s="1368">
        <f t="shared" si="13"/>
        <v>27.4</v>
      </c>
      <c r="CB16" s="1366"/>
      <c r="CC16" s="1367">
        <f t="shared" si="14"/>
        <v>27.4</v>
      </c>
      <c r="CD16" s="1366">
        <f t="shared" ref="CD16:CF16" si="40">CC16+CD48</f>
        <v>27.4</v>
      </c>
      <c r="CE16" s="1366">
        <f t="shared" si="40"/>
        <v>27.4</v>
      </c>
      <c r="CF16" s="1366">
        <f t="shared" si="40"/>
        <v>27.4</v>
      </c>
      <c r="CG16" s="1368">
        <f t="shared" si="16"/>
        <v>27.4</v>
      </c>
    </row>
    <row r="17" spans="2:85" s="771" customFormat="1" ht="12" customHeight="1" x14ac:dyDescent="0.2">
      <c r="B17" s="37" t="s">
        <v>681</v>
      </c>
      <c r="C17" s="1367" t="s">
        <v>158</v>
      </c>
      <c r="D17" s="1366"/>
      <c r="E17" s="1366"/>
      <c r="F17" s="1366"/>
      <c r="G17" s="1368"/>
      <c r="H17" s="1366"/>
      <c r="I17" s="1367"/>
      <c r="J17" s="1366"/>
      <c r="K17" s="1366"/>
      <c r="L17" s="1366"/>
      <c r="M17" s="1368"/>
      <c r="N17" s="1366"/>
      <c r="O17" s="1367"/>
      <c r="P17" s="1366"/>
      <c r="Q17" s="1366"/>
      <c r="R17" s="1366"/>
      <c r="S17" s="1368"/>
      <c r="T17" s="1366"/>
      <c r="U17" s="1367"/>
      <c r="V17" s="1366"/>
      <c r="W17" s="1366"/>
      <c r="X17" s="1366"/>
      <c r="Y17" s="1368"/>
      <c r="Z17" s="1366"/>
      <c r="AA17" s="1367"/>
      <c r="AB17" s="1366"/>
      <c r="AC17" s="1366"/>
      <c r="AD17" s="1366"/>
      <c r="AE17" s="1368"/>
      <c r="AF17" s="1366"/>
      <c r="AG17" s="1367"/>
      <c r="AH17" s="1366"/>
      <c r="AI17" s="1366"/>
      <c r="AJ17" s="1366"/>
      <c r="AK17" s="1368"/>
      <c r="AL17" s="1366"/>
      <c r="AM17" s="1367"/>
      <c r="AN17" s="1366"/>
      <c r="AO17" s="1366"/>
      <c r="AP17" s="1366"/>
      <c r="AQ17" s="1368"/>
      <c r="AR17" s="1366"/>
      <c r="AS17" s="1367"/>
      <c r="AT17" s="1366"/>
      <c r="AU17" s="1366"/>
      <c r="AV17" s="1366"/>
      <c r="AW17" s="1368"/>
      <c r="AX17" s="1366"/>
      <c r="AY17" s="1367"/>
      <c r="AZ17" s="1366"/>
      <c r="BA17" s="1366"/>
      <c r="BB17" s="1366">
        <f t="shared" si="0"/>
        <v>0</v>
      </c>
      <c r="BC17" s="1363">
        <v>0</v>
      </c>
      <c r="BD17" s="1366"/>
      <c r="BE17" s="1367"/>
      <c r="BF17" s="1366"/>
      <c r="BG17" s="1366"/>
      <c r="BH17" s="1366">
        <f t="shared" si="1"/>
        <v>57</v>
      </c>
      <c r="BI17" s="1363">
        <v>57</v>
      </c>
      <c r="BJ17" s="1366"/>
      <c r="BK17" s="1367">
        <f t="shared" si="6"/>
        <v>57</v>
      </c>
      <c r="BL17" s="1366">
        <f t="shared" si="7"/>
        <v>57</v>
      </c>
      <c r="BM17" s="1366">
        <f t="shared" si="7"/>
        <v>57</v>
      </c>
      <c r="BN17" s="1366">
        <f t="shared" si="7"/>
        <v>57</v>
      </c>
      <c r="BO17" s="1363">
        <v>59.5</v>
      </c>
      <c r="BP17" s="1366"/>
      <c r="BQ17" s="1367">
        <f t="shared" si="8"/>
        <v>57</v>
      </c>
      <c r="BR17" s="1366">
        <f t="shared" ref="BR17:BT17" si="41">BQ17+BR49</f>
        <v>57</v>
      </c>
      <c r="BS17" s="1366">
        <f t="shared" si="41"/>
        <v>57</v>
      </c>
      <c r="BT17" s="1366">
        <f t="shared" si="41"/>
        <v>57</v>
      </c>
      <c r="BU17" s="1368">
        <f t="shared" si="10"/>
        <v>57</v>
      </c>
      <c r="BV17" s="1366"/>
      <c r="BW17" s="1367">
        <f t="shared" si="11"/>
        <v>57</v>
      </c>
      <c r="BX17" s="1366">
        <f t="shared" ref="BX17:BZ17" si="42">BW17+BX49</f>
        <v>57</v>
      </c>
      <c r="BY17" s="1366">
        <f t="shared" si="42"/>
        <v>57</v>
      </c>
      <c r="BZ17" s="1366">
        <f t="shared" si="42"/>
        <v>57</v>
      </c>
      <c r="CA17" s="1368">
        <f t="shared" si="13"/>
        <v>57</v>
      </c>
      <c r="CB17" s="1366"/>
      <c r="CC17" s="1367">
        <f t="shared" si="14"/>
        <v>57</v>
      </c>
      <c r="CD17" s="1366">
        <f t="shared" ref="CD17:CF17" si="43">CC17+CD49</f>
        <v>57</v>
      </c>
      <c r="CE17" s="1366">
        <f t="shared" si="43"/>
        <v>57</v>
      </c>
      <c r="CF17" s="1366">
        <f t="shared" si="43"/>
        <v>57</v>
      </c>
      <c r="CG17" s="1368">
        <f t="shared" si="16"/>
        <v>57</v>
      </c>
    </row>
    <row r="18" spans="2:85" s="771" customFormat="1" ht="12" customHeight="1" x14ac:dyDescent="0.2">
      <c r="B18" s="37" t="s">
        <v>682</v>
      </c>
      <c r="C18" s="1367" t="s">
        <v>158</v>
      </c>
      <c r="D18" s="1366"/>
      <c r="E18" s="1366"/>
      <c r="F18" s="1366"/>
      <c r="G18" s="1368"/>
      <c r="H18" s="1366"/>
      <c r="I18" s="1367"/>
      <c r="J18" s="1366"/>
      <c r="K18" s="1366"/>
      <c r="L18" s="1366"/>
      <c r="M18" s="1368"/>
      <c r="N18" s="1366"/>
      <c r="O18" s="1367"/>
      <c r="P18" s="1366"/>
      <c r="Q18" s="1366"/>
      <c r="R18" s="1366"/>
      <c r="S18" s="1368"/>
      <c r="T18" s="1366"/>
      <c r="U18" s="1367"/>
      <c r="V18" s="1366"/>
      <c r="W18" s="1366"/>
      <c r="X18" s="1366"/>
      <c r="Y18" s="1368"/>
      <c r="Z18" s="1366"/>
      <c r="AA18" s="1367"/>
      <c r="AB18" s="1366"/>
      <c r="AC18" s="1366"/>
      <c r="AD18" s="1366"/>
      <c r="AE18" s="1368"/>
      <c r="AF18" s="1366"/>
      <c r="AG18" s="1367"/>
      <c r="AH18" s="1366"/>
      <c r="AI18" s="1366"/>
      <c r="AJ18" s="1366"/>
      <c r="AK18" s="1368"/>
      <c r="AL18" s="1366"/>
      <c r="AM18" s="1367"/>
      <c r="AN18" s="1366"/>
      <c r="AO18" s="1366"/>
      <c r="AP18" s="1366"/>
      <c r="AQ18" s="1368"/>
      <c r="AR18" s="1366"/>
      <c r="AS18" s="1367"/>
      <c r="AT18" s="1366"/>
      <c r="AU18" s="1366"/>
      <c r="AV18" s="1366"/>
      <c r="AW18" s="1368"/>
      <c r="AX18" s="1366"/>
      <c r="AY18" s="1367"/>
      <c r="AZ18" s="1366"/>
      <c r="BA18" s="1366"/>
      <c r="BB18" s="1366">
        <f t="shared" si="0"/>
        <v>0</v>
      </c>
      <c r="BC18" s="1363">
        <v>0</v>
      </c>
      <c r="BD18" s="1366"/>
      <c r="BE18" s="1367"/>
      <c r="BF18" s="1366"/>
      <c r="BG18" s="1366"/>
      <c r="BH18" s="1366">
        <f t="shared" si="1"/>
        <v>111.7</v>
      </c>
      <c r="BI18" s="1363">
        <v>111.7</v>
      </c>
      <c r="BJ18" s="1366"/>
      <c r="BK18" s="1367">
        <f t="shared" si="6"/>
        <v>111.7</v>
      </c>
      <c r="BL18" s="1366">
        <f t="shared" si="7"/>
        <v>111.7</v>
      </c>
      <c r="BM18" s="1366">
        <f t="shared" si="7"/>
        <v>111.7</v>
      </c>
      <c r="BN18" s="1366">
        <f t="shared" si="7"/>
        <v>111.7</v>
      </c>
      <c r="BO18" s="1363">
        <v>127.3</v>
      </c>
      <c r="BP18" s="1366"/>
      <c r="BQ18" s="1367">
        <f t="shared" si="8"/>
        <v>111.7</v>
      </c>
      <c r="BR18" s="1366">
        <f t="shared" ref="BR18:BT18" si="44">BQ18+BR50</f>
        <v>111.7</v>
      </c>
      <c r="BS18" s="1366">
        <f t="shared" si="44"/>
        <v>111.7</v>
      </c>
      <c r="BT18" s="1366">
        <f t="shared" si="44"/>
        <v>111.7</v>
      </c>
      <c r="BU18" s="1368">
        <f t="shared" si="10"/>
        <v>111.7</v>
      </c>
      <c r="BV18" s="1366"/>
      <c r="BW18" s="1367">
        <f t="shared" si="11"/>
        <v>111.7</v>
      </c>
      <c r="BX18" s="1366">
        <f t="shared" ref="BX18:BZ18" si="45">BW18+BX50</f>
        <v>111.7</v>
      </c>
      <c r="BY18" s="1366">
        <f t="shared" si="45"/>
        <v>111.7</v>
      </c>
      <c r="BZ18" s="1366">
        <f t="shared" si="45"/>
        <v>111.7</v>
      </c>
      <c r="CA18" s="1368">
        <f t="shared" si="13"/>
        <v>111.7</v>
      </c>
      <c r="CB18" s="1366"/>
      <c r="CC18" s="1367">
        <f t="shared" si="14"/>
        <v>111.7</v>
      </c>
      <c r="CD18" s="1366">
        <f t="shared" ref="CD18:CF18" si="46">CC18+CD50</f>
        <v>111.7</v>
      </c>
      <c r="CE18" s="1366">
        <f t="shared" si="46"/>
        <v>111.7</v>
      </c>
      <c r="CF18" s="1366">
        <f t="shared" si="46"/>
        <v>111.7</v>
      </c>
      <c r="CG18" s="1368">
        <f t="shared" si="16"/>
        <v>111.7</v>
      </c>
    </row>
    <row r="19" spans="2:85" s="771" customFormat="1" ht="12" customHeight="1" x14ac:dyDescent="0.2">
      <c r="B19" s="37" t="s">
        <v>683</v>
      </c>
      <c r="C19" s="1367" t="s">
        <v>158</v>
      </c>
      <c r="D19" s="1366"/>
      <c r="E19" s="1366"/>
      <c r="F19" s="1366"/>
      <c r="G19" s="1368"/>
      <c r="H19" s="1366"/>
      <c r="I19" s="1367"/>
      <c r="J19" s="1366"/>
      <c r="K19" s="1366"/>
      <c r="L19" s="1366"/>
      <c r="M19" s="1368"/>
      <c r="N19" s="1366"/>
      <c r="O19" s="1367"/>
      <c r="P19" s="1366"/>
      <c r="Q19" s="1366"/>
      <c r="R19" s="1366"/>
      <c r="S19" s="1368"/>
      <c r="T19" s="1366"/>
      <c r="U19" s="1367"/>
      <c r="V19" s="1366"/>
      <c r="W19" s="1366"/>
      <c r="X19" s="1366"/>
      <c r="Y19" s="1368"/>
      <c r="Z19" s="1366"/>
      <c r="AA19" s="1367"/>
      <c r="AB19" s="1366"/>
      <c r="AC19" s="1366"/>
      <c r="AD19" s="1366"/>
      <c r="AE19" s="1368"/>
      <c r="AF19" s="1366"/>
      <c r="AG19" s="1367"/>
      <c r="AH19" s="1366"/>
      <c r="AI19" s="1366"/>
      <c r="AJ19" s="1366"/>
      <c r="AK19" s="1368"/>
      <c r="AL19" s="1366"/>
      <c r="AM19" s="1367"/>
      <c r="AN19" s="1366"/>
      <c r="AO19" s="1366"/>
      <c r="AP19" s="1366"/>
      <c r="AQ19" s="1368"/>
      <c r="AR19" s="1366"/>
      <c r="AS19" s="1367"/>
      <c r="AT19" s="1366"/>
      <c r="AU19" s="1366"/>
      <c r="AV19" s="1366"/>
      <c r="AW19" s="1368"/>
      <c r="AX19" s="1366"/>
      <c r="AY19" s="1367"/>
      <c r="AZ19" s="1366"/>
      <c r="BA19" s="1366"/>
      <c r="BB19" s="1366">
        <f t="shared" si="0"/>
        <v>0</v>
      </c>
      <c r="BC19" s="1363">
        <v>0</v>
      </c>
      <c r="BD19" s="1366"/>
      <c r="BE19" s="1367"/>
      <c r="BF19" s="1366"/>
      <c r="BG19" s="1366"/>
      <c r="BH19" s="1366">
        <f t="shared" si="1"/>
        <v>73.7</v>
      </c>
      <c r="BI19" s="1363">
        <v>73.7</v>
      </c>
      <c r="BJ19" s="1366"/>
      <c r="BK19" s="1367">
        <f t="shared" si="6"/>
        <v>73.7</v>
      </c>
      <c r="BL19" s="1366">
        <f t="shared" si="7"/>
        <v>73.7</v>
      </c>
      <c r="BM19" s="1366">
        <f t="shared" si="7"/>
        <v>73.7</v>
      </c>
      <c r="BN19" s="1366">
        <f t="shared" si="7"/>
        <v>73.7</v>
      </c>
      <c r="BO19" s="1363">
        <v>84</v>
      </c>
      <c r="BP19" s="1366"/>
      <c r="BQ19" s="1367">
        <f t="shared" si="8"/>
        <v>73.7</v>
      </c>
      <c r="BR19" s="1366">
        <f t="shared" ref="BR19:BT19" si="47">BQ19+BR51</f>
        <v>73.7</v>
      </c>
      <c r="BS19" s="1366">
        <f t="shared" si="47"/>
        <v>73.7</v>
      </c>
      <c r="BT19" s="1366">
        <f t="shared" si="47"/>
        <v>73.7</v>
      </c>
      <c r="BU19" s="1368">
        <f t="shared" si="10"/>
        <v>73.7</v>
      </c>
      <c r="BV19" s="1366"/>
      <c r="BW19" s="1367">
        <f t="shared" si="11"/>
        <v>73.7</v>
      </c>
      <c r="BX19" s="1366">
        <f t="shared" ref="BX19:BZ19" si="48">BW19+BX51</f>
        <v>73.7</v>
      </c>
      <c r="BY19" s="1366">
        <f t="shared" si="48"/>
        <v>73.7</v>
      </c>
      <c r="BZ19" s="1366">
        <f t="shared" si="48"/>
        <v>73.7</v>
      </c>
      <c r="CA19" s="1368">
        <f t="shared" si="13"/>
        <v>73.7</v>
      </c>
      <c r="CB19" s="1366"/>
      <c r="CC19" s="1367">
        <f t="shared" si="14"/>
        <v>73.7</v>
      </c>
      <c r="CD19" s="1366">
        <f t="shared" ref="CD19:CF19" si="49">CC19+CD51</f>
        <v>73.7</v>
      </c>
      <c r="CE19" s="1366">
        <f t="shared" si="49"/>
        <v>73.7</v>
      </c>
      <c r="CF19" s="1366">
        <f t="shared" si="49"/>
        <v>73.7</v>
      </c>
      <c r="CG19" s="1368">
        <f t="shared" si="16"/>
        <v>73.7</v>
      </c>
    </row>
    <row r="20" spans="2:85" s="771" customFormat="1" ht="12" customHeight="1" x14ac:dyDescent="0.2">
      <c r="B20" s="37" t="s">
        <v>684</v>
      </c>
      <c r="C20" s="1367" t="s">
        <v>158</v>
      </c>
      <c r="D20" s="1366"/>
      <c r="E20" s="1366"/>
      <c r="F20" s="1366"/>
      <c r="G20" s="1368"/>
      <c r="H20" s="1366"/>
      <c r="I20" s="1367"/>
      <c r="J20" s="1366"/>
      <c r="K20" s="1366"/>
      <c r="L20" s="1366"/>
      <c r="M20" s="1368"/>
      <c r="N20" s="1366"/>
      <c r="O20" s="1367"/>
      <c r="P20" s="1366"/>
      <c r="Q20" s="1366"/>
      <c r="R20" s="1366"/>
      <c r="S20" s="1368"/>
      <c r="T20" s="1366"/>
      <c r="U20" s="1367"/>
      <c r="V20" s="1366"/>
      <c r="W20" s="1366"/>
      <c r="X20" s="1366"/>
      <c r="Y20" s="1368"/>
      <c r="Z20" s="1366"/>
      <c r="AA20" s="1367"/>
      <c r="AB20" s="1366"/>
      <c r="AC20" s="1366"/>
      <c r="AD20" s="1366"/>
      <c r="AE20" s="1368"/>
      <c r="AF20" s="1366"/>
      <c r="AG20" s="1367"/>
      <c r="AH20" s="1366"/>
      <c r="AI20" s="1366"/>
      <c r="AJ20" s="1366"/>
      <c r="AK20" s="1368"/>
      <c r="AL20" s="1366"/>
      <c r="AM20" s="1367"/>
      <c r="AN20" s="1366"/>
      <c r="AO20" s="1366"/>
      <c r="AP20" s="1366"/>
      <c r="AQ20" s="1368"/>
      <c r="AR20" s="1366"/>
      <c r="AS20" s="1367"/>
      <c r="AT20" s="1366"/>
      <c r="AU20" s="1366"/>
      <c r="AV20" s="1366"/>
      <c r="AW20" s="1368"/>
      <c r="AX20" s="1366"/>
      <c r="AY20" s="1367"/>
      <c r="AZ20" s="1366"/>
      <c r="BA20" s="1366"/>
      <c r="BB20" s="1366">
        <f t="shared" si="0"/>
        <v>7.5</v>
      </c>
      <c r="BC20" s="1363">
        <v>7.5</v>
      </c>
      <c r="BD20" s="1366"/>
      <c r="BE20" s="1367"/>
      <c r="BF20" s="1366"/>
      <c r="BG20" s="1366"/>
      <c r="BH20" s="1366">
        <f t="shared" si="1"/>
        <v>7.4</v>
      </c>
      <c r="BI20" s="1363">
        <v>7.4</v>
      </c>
      <c r="BJ20" s="1366"/>
      <c r="BK20" s="1367">
        <f t="shared" si="6"/>
        <v>7.4</v>
      </c>
      <c r="BL20" s="1366">
        <f t="shared" si="7"/>
        <v>7.4</v>
      </c>
      <c r="BM20" s="1366">
        <f t="shared" si="7"/>
        <v>7.4</v>
      </c>
      <c r="BN20" s="1366">
        <f t="shared" si="7"/>
        <v>7.4</v>
      </c>
      <c r="BO20" s="1363">
        <v>7.7</v>
      </c>
      <c r="BP20" s="1366"/>
      <c r="BQ20" s="1367">
        <f t="shared" si="8"/>
        <v>7.4</v>
      </c>
      <c r="BR20" s="1366">
        <f t="shared" ref="BR20:BT20" si="50">BQ20+BR52</f>
        <v>7.4</v>
      </c>
      <c r="BS20" s="1366">
        <f t="shared" si="50"/>
        <v>7.4</v>
      </c>
      <c r="BT20" s="1366">
        <f t="shared" si="50"/>
        <v>7.4</v>
      </c>
      <c r="BU20" s="1368">
        <f t="shared" si="10"/>
        <v>7.4</v>
      </c>
      <c r="BV20" s="1366"/>
      <c r="BW20" s="1367">
        <f t="shared" si="11"/>
        <v>7.4</v>
      </c>
      <c r="BX20" s="1366">
        <f t="shared" ref="BX20:BZ20" si="51">BW20+BX52</f>
        <v>7.4</v>
      </c>
      <c r="BY20" s="1366">
        <f t="shared" si="51"/>
        <v>7.4</v>
      </c>
      <c r="BZ20" s="1366">
        <f t="shared" si="51"/>
        <v>7.4</v>
      </c>
      <c r="CA20" s="1368">
        <f t="shared" si="13"/>
        <v>7.4</v>
      </c>
      <c r="CB20" s="1366"/>
      <c r="CC20" s="1367">
        <f t="shared" si="14"/>
        <v>7.4</v>
      </c>
      <c r="CD20" s="1366">
        <f t="shared" ref="CD20:CF20" si="52">CC20+CD52</f>
        <v>7.4</v>
      </c>
      <c r="CE20" s="1366">
        <f t="shared" si="52"/>
        <v>7.4</v>
      </c>
      <c r="CF20" s="1366">
        <f t="shared" si="52"/>
        <v>7.4</v>
      </c>
      <c r="CG20" s="1368">
        <f t="shared" si="16"/>
        <v>7.4</v>
      </c>
    </row>
    <row r="21" spans="2:85" s="771" customFormat="1" ht="12" customHeight="1" x14ac:dyDescent="0.2">
      <c r="B21" s="37" t="s">
        <v>685</v>
      </c>
      <c r="C21" s="1367" t="s">
        <v>158</v>
      </c>
      <c r="D21" s="1366"/>
      <c r="E21" s="1366"/>
      <c r="F21" s="1366"/>
      <c r="G21" s="1368"/>
      <c r="H21" s="1366"/>
      <c r="I21" s="1367"/>
      <c r="J21" s="1366"/>
      <c r="K21" s="1366"/>
      <c r="L21" s="1366"/>
      <c r="M21" s="1368"/>
      <c r="N21" s="1366"/>
      <c r="O21" s="1367"/>
      <c r="P21" s="1366"/>
      <c r="Q21" s="1366"/>
      <c r="R21" s="1366"/>
      <c r="S21" s="1368"/>
      <c r="T21" s="1366"/>
      <c r="U21" s="1367"/>
      <c r="V21" s="1366"/>
      <c r="W21" s="1366"/>
      <c r="X21" s="1366"/>
      <c r="Y21" s="1368"/>
      <c r="Z21" s="1366"/>
      <c r="AA21" s="1367"/>
      <c r="AB21" s="1366"/>
      <c r="AC21" s="1366"/>
      <c r="AD21" s="1366"/>
      <c r="AE21" s="1368"/>
      <c r="AF21" s="1366"/>
      <c r="AG21" s="1367"/>
      <c r="AH21" s="1366"/>
      <c r="AI21" s="1366"/>
      <c r="AJ21" s="1366"/>
      <c r="AK21" s="1368"/>
      <c r="AL21" s="1366"/>
      <c r="AM21" s="1367"/>
      <c r="AN21" s="1366"/>
      <c r="AO21" s="1366"/>
      <c r="AP21" s="1366"/>
      <c r="AQ21" s="1368"/>
      <c r="AR21" s="1366"/>
      <c r="AS21" s="1367"/>
      <c r="AT21" s="1366"/>
      <c r="AU21" s="1366"/>
      <c r="AV21" s="1366"/>
      <c r="AW21" s="1368"/>
      <c r="AX21" s="1366"/>
      <c r="AY21" s="1367"/>
      <c r="AZ21" s="1366"/>
      <c r="BA21" s="1366"/>
      <c r="BB21" s="1366">
        <f t="shared" si="0"/>
        <v>16.3</v>
      </c>
      <c r="BC21" s="1363">
        <v>16.3</v>
      </c>
      <c r="BD21" s="1366"/>
      <c r="BE21" s="1367"/>
      <c r="BF21" s="1366"/>
      <c r="BG21" s="1366"/>
      <c r="BH21" s="1366">
        <f t="shared" si="1"/>
        <v>15.8</v>
      </c>
      <c r="BI21" s="1363">
        <v>15.8</v>
      </c>
      <c r="BJ21" s="1366"/>
      <c r="BK21" s="1367">
        <f t="shared" si="6"/>
        <v>15.8</v>
      </c>
      <c r="BL21" s="1366">
        <f t="shared" si="7"/>
        <v>15.8</v>
      </c>
      <c r="BM21" s="1366">
        <f t="shared" si="7"/>
        <v>15.8</v>
      </c>
      <c r="BN21" s="1366">
        <f t="shared" si="7"/>
        <v>15.8</v>
      </c>
      <c r="BO21" s="1363">
        <v>18</v>
      </c>
      <c r="BP21" s="1366"/>
      <c r="BQ21" s="1367">
        <f t="shared" si="8"/>
        <v>15.8</v>
      </c>
      <c r="BR21" s="1366">
        <f t="shared" ref="BR21:BT21" si="53">BQ21+BR53</f>
        <v>15.8</v>
      </c>
      <c r="BS21" s="1366">
        <f t="shared" si="53"/>
        <v>15.8</v>
      </c>
      <c r="BT21" s="1366">
        <f t="shared" si="53"/>
        <v>15.8</v>
      </c>
      <c r="BU21" s="1368">
        <f t="shared" si="10"/>
        <v>15.8</v>
      </c>
      <c r="BV21" s="1366"/>
      <c r="BW21" s="1367">
        <f t="shared" si="11"/>
        <v>15.8</v>
      </c>
      <c r="BX21" s="1366">
        <f t="shared" ref="BX21:BZ21" si="54">BW21+BX53</f>
        <v>15.8</v>
      </c>
      <c r="BY21" s="1366">
        <f t="shared" si="54"/>
        <v>15.8</v>
      </c>
      <c r="BZ21" s="1366">
        <f t="shared" si="54"/>
        <v>15.8</v>
      </c>
      <c r="CA21" s="1368">
        <f t="shared" si="13"/>
        <v>15.8</v>
      </c>
      <c r="CB21" s="1366"/>
      <c r="CC21" s="1367">
        <f t="shared" si="14"/>
        <v>15.8</v>
      </c>
      <c r="CD21" s="1366">
        <f t="shared" ref="CD21:CF21" si="55">CC21+CD53</f>
        <v>15.8</v>
      </c>
      <c r="CE21" s="1366">
        <f t="shared" si="55"/>
        <v>15.8</v>
      </c>
      <c r="CF21" s="1366">
        <f t="shared" si="55"/>
        <v>15.8</v>
      </c>
      <c r="CG21" s="1368">
        <f t="shared" si="16"/>
        <v>15.8</v>
      </c>
    </row>
    <row r="22" spans="2:85" s="771" customFormat="1" ht="12" customHeight="1" x14ac:dyDescent="0.2">
      <c r="B22" s="37" t="s">
        <v>686</v>
      </c>
      <c r="C22" s="1367" t="s">
        <v>158</v>
      </c>
      <c r="D22" s="1366"/>
      <c r="E22" s="1366"/>
      <c r="F22" s="1366"/>
      <c r="G22" s="1368"/>
      <c r="H22" s="1366"/>
      <c r="I22" s="1367"/>
      <c r="J22" s="1366"/>
      <c r="K22" s="1366"/>
      <c r="L22" s="1366"/>
      <c r="M22" s="1368"/>
      <c r="N22" s="1366"/>
      <c r="O22" s="1367"/>
      <c r="P22" s="1366"/>
      <c r="Q22" s="1366"/>
      <c r="R22" s="1366"/>
      <c r="S22" s="1368"/>
      <c r="T22" s="1366"/>
      <c r="U22" s="1367"/>
      <c r="V22" s="1366"/>
      <c r="W22" s="1366"/>
      <c r="X22" s="1366"/>
      <c r="Y22" s="1368"/>
      <c r="Z22" s="1366"/>
      <c r="AA22" s="1367"/>
      <c r="AB22" s="1366"/>
      <c r="AC22" s="1366"/>
      <c r="AD22" s="1366"/>
      <c r="AE22" s="1368"/>
      <c r="AF22" s="1366"/>
      <c r="AG22" s="1367"/>
      <c r="AH22" s="1366"/>
      <c r="AI22" s="1366"/>
      <c r="AJ22" s="1366"/>
      <c r="AK22" s="1368"/>
      <c r="AL22" s="1366"/>
      <c r="AM22" s="1367"/>
      <c r="AN22" s="1366"/>
      <c r="AO22" s="1366"/>
      <c r="AP22" s="1366"/>
      <c r="AQ22" s="1368"/>
      <c r="AR22" s="1366"/>
      <c r="AS22" s="1367"/>
      <c r="AT22" s="1366"/>
      <c r="AU22" s="1366"/>
      <c r="AV22" s="1366"/>
      <c r="AW22" s="1368"/>
      <c r="AX22" s="1366"/>
      <c r="AY22" s="1367"/>
      <c r="AZ22" s="1366"/>
      <c r="BA22" s="1366"/>
      <c r="BB22" s="1366">
        <f t="shared" si="0"/>
        <v>0</v>
      </c>
      <c r="BC22" s="1363">
        <v>0</v>
      </c>
      <c r="BD22" s="1366"/>
      <c r="BE22" s="1367"/>
      <c r="BF22" s="1366"/>
      <c r="BG22" s="1366"/>
      <c r="BH22" s="1366">
        <f t="shared" si="1"/>
        <v>137.6</v>
      </c>
      <c r="BI22" s="1363">
        <v>137.6</v>
      </c>
      <c r="BJ22" s="1366"/>
      <c r="BK22" s="1367">
        <f t="shared" si="6"/>
        <v>137.6</v>
      </c>
      <c r="BL22" s="1366">
        <f t="shared" si="7"/>
        <v>137.6</v>
      </c>
      <c r="BM22" s="1366">
        <f t="shared" si="7"/>
        <v>137.6</v>
      </c>
      <c r="BN22" s="1366">
        <f t="shared" si="7"/>
        <v>137.6</v>
      </c>
      <c r="BO22" s="1363">
        <v>143.6</v>
      </c>
      <c r="BP22" s="1366"/>
      <c r="BQ22" s="1367">
        <f t="shared" si="8"/>
        <v>137.6</v>
      </c>
      <c r="BR22" s="1366">
        <f t="shared" ref="BR22:BT22" si="56">BQ22+BR54</f>
        <v>137.6</v>
      </c>
      <c r="BS22" s="1366">
        <f t="shared" si="56"/>
        <v>137.6</v>
      </c>
      <c r="BT22" s="1366">
        <f t="shared" si="56"/>
        <v>137.6</v>
      </c>
      <c r="BU22" s="1368">
        <f t="shared" si="10"/>
        <v>137.6</v>
      </c>
      <c r="BV22" s="1366"/>
      <c r="BW22" s="1367">
        <f t="shared" si="11"/>
        <v>137.6</v>
      </c>
      <c r="BX22" s="1366">
        <f t="shared" ref="BX22:BZ22" si="57">BW22+BX54</f>
        <v>137.6</v>
      </c>
      <c r="BY22" s="1366">
        <f t="shared" si="57"/>
        <v>137.6</v>
      </c>
      <c r="BZ22" s="1366">
        <f t="shared" si="57"/>
        <v>137.6</v>
      </c>
      <c r="CA22" s="1368">
        <f t="shared" si="13"/>
        <v>137.6</v>
      </c>
      <c r="CB22" s="1366"/>
      <c r="CC22" s="1367">
        <f t="shared" si="14"/>
        <v>137.6</v>
      </c>
      <c r="CD22" s="1366">
        <f t="shared" ref="CD22:CF22" si="58">CC22+CD54</f>
        <v>137.6</v>
      </c>
      <c r="CE22" s="1366">
        <f t="shared" si="58"/>
        <v>137.6</v>
      </c>
      <c r="CF22" s="1366">
        <f t="shared" si="58"/>
        <v>137.6</v>
      </c>
      <c r="CG22" s="1368">
        <f t="shared" si="16"/>
        <v>137.6</v>
      </c>
    </row>
    <row r="23" spans="2:85" s="771" customFormat="1" ht="12" customHeight="1" x14ac:dyDescent="0.2">
      <c r="B23" s="37" t="s">
        <v>687</v>
      </c>
      <c r="C23" s="1367" t="s">
        <v>158</v>
      </c>
      <c r="D23" s="1366"/>
      <c r="E23" s="1366"/>
      <c r="F23" s="1366"/>
      <c r="G23" s="1368"/>
      <c r="H23" s="1366"/>
      <c r="I23" s="1367"/>
      <c r="J23" s="1366"/>
      <c r="K23" s="1366"/>
      <c r="L23" s="1366"/>
      <c r="M23" s="1368"/>
      <c r="N23" s="1366"/>
      <c r="O23" s="1367"/>
      <c r="P23" s="1366"/>
      <c r="Q23" s="1366"/>
      <c r="R23" s="1366"/>
      <c r="S23" s="1368"/>
      <c r="T23" s="1366"/>
      <c r="U23" s="1367"/>
      <c r="V23" s="1366"/>
      <c r="W23" s="1366"/>
      <c r="X23" s="1366"/>
      <c r="Y23" s="1368"/>
      <c r="Z23" s="1366"/>
      <c r="AA23" s="1367"/>
      <c r="AB23" s="1366"/>
      <c r="AC23" s="1366"/>
      <c r="AD23" s="1366"/>
      <c r="AE23" s="1368"/>
      <c r="AF23" s="1366"/>
      <c r="AG23" s="1367"/>
      <c r="AH23" s="1366"/>
      <c r="AI23" s="1366"/>
      <c r="AJ23" s="1366"/>
      <c r="AK23" s="1368"/>
      <c r="AL23" s="1366"/>
      <c r="AM23" s="1367"/>
      <c r="AN23" s="1366"/>
      <c r="AO23" s="1366"/>
      <c r="AP23" s="1366"/>
      <c r="AQ23" s="1368"/>
      <c r="AR23" s="1366"/>
      <c r="AS23" s="1367"/>
      <c r="AT23" s="1366"/>
      <c r="AU23" s="1366"/>
      <c r="AV23" s="1366"/>
      <c r="AW23" s="1368"/>
      <c r="AX23" s="1366"/>
      <c r="AY23" s="1367"/>
      <c r="AZ23" s="1366"/>
      <c r="BA23" s="1366"/>
      <c r="BB23" s="1366">
        <f t="shared" si="0"/>
        <v>0</v>
      </c>
      <c r="BC23" s="1363">
        <v>0</v>
      </c>
      <c r="BD23" s="1366"/>
      <c r="BE23" s="1367"/>
      <c r="BF23" s="1366"/>
      <c r="BG23" s="1366"/>
      <c r="BH23" s="1366">
        <f t="shared" si="1"/>
        <v>73.8</v>
      </c>
      <c r="BI23" s="1363">
        <v>73.8</v>
      </c>
      <c r="BJ23" s="1366"/>
      <c r="BK23" s="1367">
        <f t="shared" si="6"/>
        <v>73.8</v>
      </c>
      <c r="BL23" s="1366">
        <f t="shared" si="7"/>
        <v>73.8</v>
      </c>
      <c r="BM23" s="1366">
        <f t="shared" si="7"/>
        <v>73.8</v>
      </c>
      <c r="BN23" s="1366">
        <f t="shared" si="7"/>
        <v>73.8</v>
      </c>
      <c r="BO23" s="1363">
        <v>84.1</v>
      </c>
      <c r="BP23" s="1366"/>
      <c r="BQ23" s="1367">
        <f t="shared" si="8"/>
        <v>73.8</v>
      </c>
      <c r="BR23" s="1366">
        <f t="shared" ref="BR23:BT23" si="59">BQ23+BR55</f>
        <v>73.8</v>
      </c>
      <c r="BS23" s="1366">
        <f t="shared" si="59"/>
        <v>73.8</v>
      </c>
      <c r="BT23" s="1366">
        <f t="shared" si="59"/>
        <v>73.8</v>
      </c>
      <c r="BU23" s="1368">
        <f t="shared" si="10"/>
        <v>73.8</v>
      </c>
      <c r="BV23" s="1366"/>
      <c r="BW23" s="1367">
        <f t="shared" si="11"/>
        <v>73.8</v>
      </c>
      <c r="BX23" s="1366">
        <f t="shared" ref="BX23:BZ23" si="60">BW23+BX55</f>
        <v>73.8</v>
      </c>
      <c r="BY23" s="1366">
        <f t="shared" si="60"/>
        <v>73.8</v>
      </c>
      <c r="BZ23" s="1366">
        <f t="shared" si="60"/>
        <v>73.8</v>
      </c>
      <c r="CA23" s="1368">
        <f t="shared" si="13"/>
        <v>73.8</v>
      </c>
      <c r="CB23" s="1366"/>
      <c r="CC23" s="1367">
        <f t="shared" si="14"/>
        <v>73.8</v>
      </c>
      <c r="CD23" s="1366">
        <f t="shared" ref="CD23:CF23" si="61">CC23+CD55</f>
        <v>73.8</v>
      </c>
      <c r="CE23" s="1366">
        <f t="shared" si="61"/>
        <v>73.8</v>
      </c>
      <c r="CF23" s="1366">
        <f t="shared" si="61"/>
        <v>73.8</v>
      </c>
      <c r="CG23" s="1368">
        <f t="shared" si="16"/>
        <v>73.8</v>
      </c>
    </row>
    <row r="24" spans="2:85" s="771" customFormat="1" ht="12" customHeight="1" x14ac:dyDescent="0.2">
      <c r="B24" s="37" t="s">
        <v>688</v>
      </c>
      <c r="C24" s="1367" t="s">
        <v>158</v>
      </c>
      <c r="D24" s="1366"/>
      <c r="E24" s="1366"/>
      <c r="F24" s="1366"/>
      <c r="G24" s="1368"/>
      <c r="H24" s="1366"/>
      <c r="I24" s="1367"/>
      <c r="J24" s="1366"/>
      <c r="K24" s="1366"/>
      <c r="L24" s="1366"/>
      <c r="M24" s="1368"/>
      <c r="N24" s="1366"/>
      <c r="O24" s="1367"/>
      <c r="P24" s="1366"/>
      <c r="Q24" s="1366"/>
      <c r="R24" s="1366"/>
      <c r="S24" s="1368"/>
      <c r="T24" s="1366"/>
      <c r="U24" s="1367"/>
      <c r="V24" s="1366"/>
      <c r="W24" s="1366"/>
      <c r="X24" s="1366"/>
      <c r="Y24" s="1368"/>
      <c r="Z24" s="1366"/>
      <c r="AA24" s="1367"/>
      <c r="AB24" s="1366"/>
      <c r="AC24" s="1366"/>
      <c r="AD24" s="1366"/>
      <c r="AE24" s="1368"/>
      <c r="AF24" s="1366"/>
      <c r="AG24" s="1367"/>
      <c r="AH24" s="1366"/>
      <c r="AI24" s="1366"/>
      <c r="AJ24" s="1366"/>
      <c r="AK24" s="1368"/>
      <c r="AL24" s="1366"/>
      <c r="AM24" s="1367"/>
      <c r="AN24" s="1366"/>
      <c r="AO24" s="1366"/>
      <c r="AP24" s="1366"/>
      <c r="AQ24" s="1368"/>
      <c r="AR24" s="1366"/>
      <c r="AS24" s="1367"/>
      <c r="AT24" s="1366"/>
      <c r="AU24" s="1366"/>
      <c r="AV24" s="1366"/>
      <c r="AW24" s="1368"/>
      <c r="AX24" s="1366"/>
      <c r="AY24" s="1367"/>
      <c r="AZ24" s="1366"/>
      <c r="BA24" s="1366"/>
      <c r="BB24" s="1366">
        <f t="shared" si="0"/>
        <v>0</v>
      </c>
      <c r="BC24" s="1363">
        <v>0</v>
      </c>
      <c r="BD24" s="1366"/>
      <c r="BE24" s="1367"/>
      <c r="BF24" s="1366"/>
      <c r="BG24" s="1366"/>
      <c r="BH24" s="1366">
        <f t="shared" si="1"/>
        <v>73.7</v>
      </c>
      <c r="BI24" s="1363">
        <v>73.7</v>
      </c>
      <c r="BJ24" s="1366"/>
      <c r="BK24" s="1367">
        <f t="shared" si="6"/>
        <v>73.7</v>
      </c>
      <c r="BL24" s="1366">
        <f t="shared" si="7"/>
        <v>73.7</v>
      </c>
      <c r="BM24" s="1366">
        <f t="shared" si="7"/>
        <v>73.7</v>
      </c>
      <c r="BN24" s="1366">
        <f t="shared" si="7"/>
        <v>73.7</v>
      </c>
      <c r="BO24" s="1363">
        <v>84.1</v>
      </c>
      <c r="BP24" s="1366"/>
      <c r="BQ24" s="1367">
        <f t="shared" si="8"/>
        <v>73.7</v>
      </c>
      <c r="BR24" s="1366">
        <f t="shared" ref="BR24:BT24" si="62">BQ24+BR56</f>
        <v>73.7</v>
      </c>
      <c r="BS24" s="1366">
        <f t="shared" si="62"/>
        <v>73.7</v>
      </c>
      <c r="BT24" s="1366">
        <f t="shared" si="62"/>
        <v>73.7</v>
      </c>
      <c r="BU24" s="1368">
        <f t="shared" si="10"/>
        <v>73.7</v>
      </c>
      <c r="BV24" s="1366"/>
      <c r="BW24" s="1367">
        <f t="shared" si="11"/>
        <v>73.7</v>
      </c>
      <c r="BX24" s="1366">
        <f t="shared" ref="BX24:BZ24" si="63">BW24+BX56</f>
        <v>73.7</v>
      </c>
      <c r="BY24" s="1366">
        <f t="shared" si="63"/>
        <v>73.7</v>
      </c>
      <c r="BZ24" s="1366">
        <f t="shared" si="63"/>
        <v>73.7</v>
      </c>
      <c r="CA24" s="1368">
        <f t="shared" si="13"/>
        <v>73.7</v>
      </c>
      <c r="CB24" s="1366"/>
      <c r="CC24" s="1367">
        <f t="shared" si="14"/>
        <v>73.7</v>
      </c>
      <c r="CD24" s="1366">
        <f t="shared" ref="CD24:CF24" si="64">CC24+CD56</f>
        <v>73.7</v>
      </c>
      <c r="CE24" s="1366">
        <f t="shared" si="64"/>
        <v>73.7</v>
      </c>
      <c r="CF24" s="1366">
        <f t="shared" si="64"/>
        <v>73.7</v>
      </c>
      <c r="CG24" s="1368">
        <f t="shared" si="16"/>
        <v>73.7</v>
      </c>
    </row>
    <row r="25" spans="2:85" s="771" customFormat="1" ht="12" customHeight="1" x14ac:dyDescent="0.2">
      <c r="B25" s="37" t="s">
        <v>689</v>
      </c>
      <c r="C25" s="1367" t="s">
        <v>158</v>
      </c>
      <c r="D25" s="1366"/>
      <c r="E25" s="1366"/>
      <c r="F25" s="1366"/>
      <c r="G25" s="1368"/>
      <c r="H25" s="1366"/>
      <c r="I25" s="1367"/>
      <c r="J25" s="1366"/>
      <c r="K25" s="1366"/>
      <c r="L25" s="1366"/>
      <c r="M25" s="1368"/>
      <c r="N25" s="1366"/>
      <c r="O25" s="1367"/>
      <c r="P25" s="1366"/>
      <c r="Q25" s="1366"/>
      <c r="R25" s="1366"/>
      <c r="S25" s="1368"/>
      <c r="T25" s="1366"/>
      <c r="U25" s="1367"/>
      <c r="V25" s="1366"/>
      <c r="W25" s="1366"/>
      <c r="X25" s="1366"/>
      <c r="Y25" s="1368"/>
      <c r="Z25" s="1366"/>
      <c r="AA25" s="1367"/>
      <c r="AB25" s="1366"/>
      <c r="AC25" s="1366"/>
      <c r="AD25" s="1366"/>
      <c r="AE25" s="1368"/>
      <c r="AF25" s="1366"/>
      <c r="AG25" s="1367"/>
      <c r="AH25" s="1366"/>
      <c r="AI25" s="1366"/>
      <c r="AJ25" s="1366"/>
      <c r="AK25" s="1368"/>
      <c r="AL25" s="1366"/>
      <c r="AM25" s="1367"/>
      <c r="AN25" s="1366"/>
      <c r="AO25" s="1366"/>
      <c r="AP25" s="1366"/>
      <c r="AQ25" s="1368"/>
      <c r="AR25" s="1366"/>
      <c r="AS25" s="1367"/>
      <c r="AT25" s="1366"/>
      <c r="AU25" s="1366"/>
      <c r="AV25" s="1366"/>
      <c r="AW25" s="1368"/>
      <c r="AX25" s="1366"/>
      <c r="AY25" s="1367"/>
      <c r="AZ25" s="1366"/>
      <c r="BA25" s="1366"/>
      <c r="BB25" s="1366">
        <f t="shared" si="0"/>
        <v>0</v>
      </c>
      <c r="BC25" s="1363">
        <v>0</v>
      </c>
      <c r="BD25" s="1366"/>
      <c r="BE25" s="1367"/>
      <c r="BF25" s="1366"/>
      <c r="BG25" s="1366"/>
      <c r="BH25" s="1366">
        <f t="shared" si="1"/>
        <v>47.4</v>
      </c>
      <c r="BI25" s="1363">
        <v>47.4</v>
      </c>
      <c r="BJ25" s="1366"/>
      <c r="BK25" s="1367">
        <f t="shared" si="6"/>
        <v>47.4</v>
      </c>
      <c r="BL25" s="1366">
        <f t="shared" si="7"/>
        <v>47.4</v>
      </c>
      <c r="BM25" s="1366">
        <f t="shared" si="7"/>
        <v>47.4</v>
      </c>
      <c r="BN25" s="1366">
        <f t="shared" si="7"/>
        <v>47.4</v>
      </c>
      <c r="BO25" s="1363">
        <v>54</v>
      </c>
      <c r="BP25" s="1366"/>
      <c r="BQ25" s="1367">
        <f t="shared" si="8"/>
        <v>47.4</v>
      </c>
      <c r="BR25" s="1366">
        <f t="shared" ref="BR25:BT25" si="65">BQ25+BR57</f>
        <v>47.4</v>
      </c>
      <c r="BS25" s="1366">
        <f t="shared" si="65"/>
        <v>47.4</v>
      </c>
      <c r="BT25" s="1366">
        <f t="shared" si="65"/>
        <v>47.4</v>
      </c>
      <c r="BU25" s="1368">
        <f t="shared" si="10"/>
        <v>47.4</v>
      </c>
      <c r="BV25" s="1366"/>
      <c r="BW25" s="1367">
        <f t="shared" si="11"/>
        <v>47.4</v>
      </c>
      <c r="BX25" s="1366">
        <f t="shared" ref="BX25:BZ25" si="66">BW25+BX57</f>
        <v>47.4</v>
      </c>
      <c r="BY25" s="1366">
        <f t="shared" si="66"/>
        <v>47.4</v>
      </c>
      <c r="BZ25" s="1366">
        <f t="shared" si="66"/>
        <v>47.4</v>
      </c>
      <c r="CA25" s="1368">
        <f t="shared" si="13"/>
        <v>47.4</v>
      </c>
      <c r="CB25" s="1366"/>
      <c r="CC25" s="1367">
        <f t="shared" si="14"/>
        <v>47.4</v>
      </c>
      <c r="CD25" s="1366">
        <f t="shared" ref="CD25:CF25" si="67">CC25+CD57</f>
        <v>47.4</v>
      </c>
      <c r="CE25" s="1366">
        <f t="shared" si="67"/>
        <v>47.4</v>
      </c>
      <c r="CF25" s="1366">
        <f t="shared" si="67"/>
        <v>47.4</v>
      </c>
      <c r="CG25" s="1368">
        <f t="shared" si="16"/>
        <v>47.4</v>
      </c>
    </row>
    <row r="26" spans="2:85" s="771" customFormat="1" ht="12" customHeight="1" x14ac:dyDescent="0.2">
      <c r="B26" s="37" t="s">
        <v>690</v>
      </c>
      <c r="C26" s="1367" t="s">
        <v>158</v>
      </c>
      <c r="D26" s="1366"/>
      <c r="E26" s="1366"/>
      <c r="F26" s="1366"/>
      <c r="G26" s="1368"/>
      <c r="H26" s="1366"/>
      <c r="I26" s="1367"/>
      <c r="J26" s="1366"/>
      <c r="K26" s="1366"/>
      <c r="L26" s="1366"/>
      <c r="M26" s="1368"/>
      <c r="N26" s="1366"/>
      <c r="O26" s="1367"/>
      <c r="P26" s="1366"/>
      <c r="Q26" s="1366"/>
      <c r="R26" s="1366"/>
      <c r="S26" s="1368"/>
      <c r="T26" s="1366"/>
      <c r="U26" s="1367"/>
      <c r="V26" s="1366"/>
      <c r="W26" s="1366"/>
      <c r="X26" s="1366"/>
      <c r="Y26" s="1368"/>
      <c r="Z26" s="1366"/>
      <c r="AA26" s="1367"/>
      <c r="AB26" s="1366"/>
      <c r="AC26" s="1366"/>
      <c r="AD26" s="1366"/>
      <c r="AE26" s="1368"/>
      <c r="AF26" s="1366"/>
      <c r="AG26" s="1367"/>
      <c r="AH26" s="1366"/>
      <c r="AI26" s="1366"/>
      <c r="AJ26" s="1366"/>
      <c r="AK26" s="1368"/>
      <c r="AL26" s="1366"/>
      <c r="AM26" s="1367"/>
      <c r="AN26" s="1366"/>
      <c r="AO26" s="1366"/>
      <c r="AP26" s="1366"/>
      <c r="AQ26" s="1368"/>
      <c r="AR26" s="1366"/>
      <c r="AS26" s="1367"/>
      <c r="AT26" s="1366"/>
      <c r="AU26" s="1366"/>
      <c r="AV26" s="1366"/>
      <c r="AW26" s="1368"/>
      <c r="AX26" s="1366"/>
      <c r="AY26" s="1367"/>
      <c r="AZ26" s="1366"/>
      <c r="BA26" s="1366"/>
      <c r="BB26" s="1366">
        <f t="shared" si="0"/>
        <v>0</v>
      </c>
      <c r="BC26" s="1363">
        <v>0</v>
      </c>
      <c r="BD26" s="1366"/>
      <c r="BE26" s="1367"/>
      <c r="BF26" s="1366"/>
      <c r="BG26" s="1366"/>
      <c r="BH26" s="1366">
        <f t="shared" si="1"/>
        <v>63.9</v>
      </c>
      <c r="BI26" s="1363">
        <v>63.9</v>
      </c>
      <c r="BJ26" s="1366"/>
      <c r="BK26" s="1367">
        <f t="shared" si="6"/>
        <v>63.9</v>
      </c>
      <c r="BL26" s="1366">
        <f t="shared" si="7"/>
        <v>63.9</v>
      </c>
      <c r="BM26" s="1366">
        <f t="shared" si="7"/>
        <v>63.9</v>
      </c>
      <c r="BN26" s="1366">
        <f t="shared" si="7"/>
        <v>63.9</v>
      </c>
      <c r="BO26" s="1363">
        <v>66.7</v>
      </c>
      <c r="BP26" s="1366"/>
      <c r="BQ26" s="1367">
        <f t="shared" si="8"/>
        <v>63.9</v>
      </c>
      <c r="BR26" s="1366">
        <f t="shared" ref="BR26:BT26" si="68">BQ26+BR58</f>
        <v>63.9</v>
      </c>
      <c r="BS26" s="1366">
        <f t="shared" si="68"/>
        <v>63.9</v>
      </c>
      <c r="BT26" s="1366">
        <f t="shared" si="68"/>
        <v>63.9</v>
      </c>
      <c r="BU26" s="1368">
        <f t="shared" si="10"/>
        <v>63.9</v>
      </c>
      <c r="BV26" s="1366"/>
      <c r="BW26" s="1367">
        <f t="shared" si="11"/>
        <v>63.9</v>
      </c>
      <c r="BX26" s="1366">
        <f t="shared" ref="BX26:BZ26" si="69">BW26+BX58</f>
        <v>63.9</v>
      </c>
      <c r="BY26" s="1366">
        <f t="shared" si="69"/>
        <v>63.9</v>
      </c>
      <c r="BZ26" s="1366">
        <f t="shared" si="69"/>
        <v>63.9</v>
      </c>
      <c r="CA26" s="1368">
        <f t="shared" si="13"/>
        <v>63.9</v>
      </c>
      <c r="CB26" s="1366"/>
      <c r="CC26" s="1367">
        <f t="shared" si="14"/>
        <v>63.9</v>
      </c>
      <c r="CD26" s="1366">
        <f t="shared" ref="CD26:CF26" si="70">CC26+CD58</f>
        <v>63.9</v>
      </c>
      <c r="CE26" s="1366">
        <f t="shared" si="70"/>
        <v>63.9</v>
      </c>
      <c r="CF26" s="1366">
        <f t="shared" si="70"/>
        <v>63.9</v>
      </c>
      <c r="CG26" s="1368">
        <f t="shared" si="16"/>
        <v>63.9</v>
      </c>
    </row>
    <row r="27" spans="2:85" s="771" customFormat="1" ht="12" customHeight="1" x14ac:dyDescent="0.2">
      <c r="B27" s="37" t="s">
        <v>691</v>
      </c>
      <c r="C27" s="1367" t="s">
        <v>158</v>
      </c>
      <c r="D27" s="1366"/>
      <c r="E27" s="1366"/>
      <c r="F27" s="1366"/>
      <c r="G27" s="1368"/>
      <c r="H27" s="1366"/>
      <c r="I27" s="1367"/>
      <c r="J27" s="1366"/>
      <c r="K27" s="1366"/>
      <c r="L27" s="1366"/>
      <c r="M27" s="1368"/>
      <c r="N27" s="1366"/>
      <c r="O27" s="1367"/>
      <c r="P27" s="1366"/>
      <c r="Q27" s="1366"/>
      <c r="R27" s="1366"/>
      <c r="S27" s="1368"/>
      <c r="T27" s="1366"/>
      <c r="U27" s="1367"/>
      <c r="V27" s="1366"/>
      <c r="W27" s="1366"/>
      <c r="X27" s="1366"/>
      <c r="Y27" s="1368"/>
      <c r="Z27" s="1366"/>
      <c r="AA27" s="1367"/>
      <c r="AB27" s="1366"/>
      <c r="AC27" s="1366"/>
      <c r="AD27" s="1366"/>
      <c r="AE27" s="1368"/>
      <c r="AF27" s="1366"/>
      <c r="AG27" s="1367"/>
      <c r="AH27" s="1366"/>
      <c r="AI27" s="1366"/>
      <c r="AJ27" s="1366"/>
      <c r="AK27" s="1368"/>
      <c r="AL27" s="1366"/>
      <c r="AM27" s="1367"/>
      <c r="AN27" s="1366"/>
      <c r="AO27" s="1366"/>
      <c r="AP27" s="1366"/>
      <c r="AQ27" s="1368"/>
      <c r="AR27" s="1366"/>
      <c r="AS27" s="1367"/>
      <c r="AT27" s="1366"/>
      <c r="AU27" s="1366"/>
      <c r="AV27" s="1366"/>
      <c r="AW27" s="1368"/>
      <c r="AX27" s="1366"/>
      <c r="AY27" s="1367"/>
      <c r="AZ27" s="1366"/>
      <c r="BA27" s="1366"/>
      <c r="BB27" s="1366">
        <f t="shared" si="0"/>
        <v>0</v>
      </c>
      <c r="BC27" s="1363">
        <v>0</v>
      </c>
      <c r="BD27" s="1366"/>
      <c r="BE27" s="1367"/>
      <c r="BF27" s="1366"/>
      <c r="BG27" s="1366"/>
      <c r="BH27" s="1366">
        <f t="shared" si="1"/>
        <v>73.8</v>
      </c>
      <c r="BI27" s="1363">
        <v>73.8</v>
      </c>
      <c r="BJ27" s="1366"/>
      <c r="BK27" s="1367">
        <f t="shared" si="6"/>
        <v>73.8</v>
      </c>
      <c r="BL27" s="1366">
        <f t="shared" si="7"/>
        <v>73.8</v>
      </c>
      <c r="BM27" s="1366">
        <f t="shared" si="7"/>
        <v>73.8</v>
      </c>
      <c r="BN27" s="1366">
        <f t="shared" si="7"/>
        <v>73.8</v>
      </c>
      <c r="BO27" s="1363">
        <v>84.1</v>
      </c>
      <c r="BP27" s="1366"/>
      <c r="BQ27" s="1367">
        <f t="shared" si="8"/>
        <v>73.8</v>
      </c>
      <c r="BR27" s="1366">
        <f t="shared" ref="BR27:BT27" si="71">BQ27+BR59</f>
        <v>73.8</v>
      </c>
      <c r="BS27" s="1366">
        <f t="shared" si="71"/>
        <v>73.8</v>
      </c>
      <c r="BT27" s="1366">
        <f t="shared" si="71"/>
        <v>73.8</v>
      </c>
      <c r="BU27" s="1368">
        <f t="shared" si="10"/>
        <v>73.8</v>
      </c>
      <c r="BV27" s="1366"/>
      <c r="BW27" s="1367">
        <f t="shared" si="11"/>
        <v>73.8</v>
      </c>
      <c r="BX27" s="1366">
        <f t="shared" ref="BX27:BZ27" si="72">BW27+BX59</f>
        <v>73.8</v>
      </c>
      <c r="BY27" s="1366">
        <f t="shared" si="72"/>
        <v>73.8</v>
      </c>
      <c r="BZ27" s="1366">
        <f t="shared" si="72"/>
        <v>73.8</v>
      </c>
      <c r="CA27" s="1368">
        <f t="shared" si="13"/>
        <v>73.8</v>
      </c>
      <c r="CB27" s="1366"/>
      <c r="CC27" s="1367">
        <f t="shared" si="14"/>
        <v>73.8</v>
      </c>
      <c r="CD27" s="1366">
        <f t="shared" ref="CD27:CF27" si="73">CC27+CD59</f>
        <v>73.8</v>
      </c>
      <c r="CE27" s="1366">
        <f t="shared" si="73"/>
        <v>73.8</v>
      </c>
      <c r="CF27" s="1366">
        <f t="shared" si="73"/>
        <v>73.8</v>
      </c>
      <c r="CG27" s="1368">
        <f t="shared" si="16"/>
        <v>73.8</v>
      </c>
    </row>
    <row r="28" spans="2:85" s="771" customFormat="1" ht="12" customHeight="1" x14ac:dyDescent="0.2">
      <c r="B28" s="1405" t="s">
        <v>692</v>
      </c>
      <c r="C28" s="1406" t="s">
        <v>158</v>
      </c>
      <c r="D28" s="1407"/>
      <c r="E28" s="1407"/>
      <c r="F28" s="1407"/>
      <c r="G28" s="1408"/>
      <c r="H28" s="1407"/>
      <c r="I28" s="1406"/>
      <c r="J28" s="1407"/>
      <c r="K28" s="1407"/>
      <c r="L28" s="1407"/>
      <c r="M28" s="1408"/>
      <c r="N28" s="1407"/>
      <c r="O28" s="1406"/>
      <c r="P28" s="1407"/>
      <c r="Q28" s="1407"/>
      <c r="R28" s="1407"/>
      <c r="S28" s="1408"/>
      <c r="T28" s="1407"/>
      <c r="U28" s="1406"/>
      <c r="V28" s="1407"/>
      <c r="W28" s="1407"/>
      <c r="X28" s="1407"/>
      <c r="Y28" s="1408"/>
      <c r="Z28" s="1407"/>
      <c r="AA28" s="1406"/>
      <c r="AB28" s="1407"/>
      <c r="AC28" s="1407"/>
      <c r="AD28" s="1407"/>
      <c r="AE28" s="1408"/>
      <c r="AF28" s="1407"/>
      <c r="AG28" s="1406"/>
      <c r="AH28" s="1407"/>
      <c r="AI28" s="1407"/>
      <c r="AJ28" s="1407"/>
      <c r="AK28" s="1408"/>
      <c r="AL28" s="1407"/>
      <c r="AM28" s="1406"/>
      <c r="AN28" s="1407"/>
      <c r="AO28" s="1407"/>
      <c r="AP28" s="1407"/>
      <c r="AQ28" s="1408"/>
      <c r="AR28" s="1407"/>
      <c r="AS28" s="1406"/>
      <c r="AT28" s="1407"/>
      <c r="AU28" s="1407"/>
      <c r="AV28" s="1407"/>
      <c r="AW28" s="1408"/>
      <c r="AX28" s="1407"/>
      <c r="AY28" s="1406"/>
      <c r="AZ28" s="1407"/>
      <c r="BA28" s="1407"/>
      <c r="BB28" s="1407">
        <f t="shared" si="0"/>
        <v>2</v>
      </c>
      <c r="BC28" s="1409">
        <v>2</v>
      </c>
      <c r="BD28" s="1407"/>
      <c r="BE28" s="1406"/>
      <c r="BF28" s="1407"/>
      <c r="BG28" s="1407"/>
      <c r="BH28" s="1407">
        <f t="shared" si="1"/>
        <v>12.5</v>
      </c>
      <c r="BI28" s="1409">
        <v>12.5</v>
      </c>
      <c r="BJ28" s="1407"/>
      <c r="BK28" s="1406">
        <f>(BK32+BK31+BK30)-SUM(BK7:BK27)</f>
        <v>29.499999999999773</v>
      </c>
      <c r="BL28" s="1407">
        <f>(BL32+BL31+BL30)-SUM(BL7:BL27)</f>
        <v>88.699999999999818</v>
      </c>
      <c r="BM28" s="1407">
        <f>(BM32+BM31+BM30)-SUM(BM7:BM27)</f>
        <v>102.09999999999991</v>
      </c>
      <c r="BN28" s="1407">
        <f t="shared" si="7"/>
        <v>102.09999999999991</v>
      </c>
      <c r="BO28" s="1409">
        <v>8.6</v>
      </c>
      <c r="BP28" s="1407"/>
      <c r="BQ28" s="1406">
        <f t="shared" si="8"/>
        <v>102.09999999999991</v>
      </c>
      <c r="BR28" s="1407">
        <f t="shared" ref="BR28:BT28" si="74">BQ28+BR60</f>
        <v>102.09999999999991</v>
      </c>
      <c r="BS28" s="1407">
        <f t="shared" si="74"/>
        <v>102.09999999999991</v>
      </c>
      <c r="BT28" s="1407">
        <f t="shared" si="74"/>
        <v>102.09999999999991</v>
      </c>
      <c r="BU28" s="1408">
        <f t="shared" si="10"/>
        <v>102.09999999999991</v>
      </c>
      <c r="BV28" s="1407"/>
      <c r="BW28" s="1406">
        <f t="shared" si="11"/>
        <v>102.09999999999991</v>
      </c>
      <c r="BX28" s="1407">
        <f t="shared" ref="BX28:BZ28" si="75">BW28+BX60</f>
        <v>102.09999999999991</v>
      </c>
      <c r="BY28" s="1407">
        <f t="shared" si="75"/>
        <v>102.09999999999991</v>
      </c>
      <c r="BZ28" s="1407">
        <f t="shared" si="75"/>
        <v>102.09999999999991</v>
      </c>
      <c r="CA28" s="1408">
        <f t="shared" si="13"/>
        <v>102.09999999999991</v>
      </c>
      <c r="CB28" s="1407"/>
      <c r="CC28" s="1406">
        <f t="shared" si="14"/>
        <v>102.09999999999991</v>
      </c>
      <c r="CD28" s="1407">
        <f t="shared" ref="CD28:CF28" si="76">CC28+CD60</f>
        <v>102.09999999999991</v>
      </c>
      <c r="CE28" s="1407">
        <f t="shared" si="76"/>
        <v>102.09999999999991</v>
      </c>
      <c r="CF28" s="1407">
        <f t="shared" si="76"/>
        <v>102.09999999999991</v>
      </c>
      <c r="CG28" s="1408">
        <f t="shared" si="16"/>
        <v>102.09999999999991</v>
      </c>
    </row>
    <row r="29" spans="2:85" s="771" customFormat="1" ht="12" customHeight="1" x14ac:dyDescent="0.2">
      <c r="B29" s="42" t="s">
        <v>696</v>
      </c>
      <c r="C29" s="1358"/>
      <c r="D29" s="1357"/>
      <c r="E29" s="1357"/>
      <c r="F29" s="1357"/>
      <c r="G29" s="1359"/>
      <c r="H29" s="1357"/>
      <c r="I29" s="1358"/>
      <c r="J29" s="1357"/>
      <c r="K29" s="1357"/>
      <c r="L29" s="1357"/>
      <c r="M29" s="1359"/>
      <c r="N29" s="1357"/>
      <c r="O29" s="1358"/>
      <c r="P29" s="1357"/>
      <c r="Q29" s="1357"/>
      <c r="R29" s="1357"/>
      <c r="S29" s="1359"/>
      <c r="T29" s="1357"/>
      <c r="U29" s="1358"/>
      <c r="V29" s="1357"/>
      <c r="W29" s="1357"/>
      <c r="X29" s="1357"/>
      <c r="Y29" s="1359"/>
      <c r="Z29" s="1357"/>
      <c r="AA29" s="1358"/>
      <c r="AB29" s="1357"/>
      <c r="AC29" s="1357"/>
      <c r="AD29" s="1357"/>
      <c r="AE29" s="1359"/>
      <c r="AF29" s="1357"/>
      <c r="AG29" s="1358"/>
      <c r="AH29" s="1357"/>
      <c r="AI29" s="1357"/>
      <c r="AJ29" s="1357"/>
      <c r="AK29" s="1359"/>
      <c r="AL29" s="1357"/>
      <c r="AM29" s="1358"/>
      <c r="AN29" s="1357"/>
      <c r="AO29" s="1357"/>
      <c r="AP29" s="1357"/>
      <c r="AQ29" s="1359"/>
      <c r="AR29" s="1357"/>
      <c r="AS29" s="1358"/>
      <c r="AT29" s="1357"/>
      <c r="AU29" s="1357"/>
      <c r="AV29" s="1357"/>
      <c r="AW29" s="1359"/>
      <c r="AX29" s="1357"/>
      <c r="AY29" s="1358"/>
      <c r="AZ29" s="1357"/>
      <c r="BA29" s="1357"/>
      <c r="BB29" s="1357">
        <f>BC29</f>
        <v>1153.5</v>
      </c>
      <c r="BC29" s="1359">
        <f>SUM(BC7:BC28)</f>
        <v>1153.5</v>
      </c>
      <c r="BD29" s="1357"/>
      <c r="BE29" s="1358"/>
      <c r="BF29" s="1357"/>
      <c r="BG29" s="1357"/>
      <c r="BH29" s="1357">
        <f>BI29</f>
        <v>1528.2</v>
      </c>
      <c r="BI29" s="1359">
        <f>SUM(BI7:BI28)</f>
        <v>1528.2</v>
      </c>
      <c r="BJ29" s="1357"/>
      <c r="BK29" s="1358">
        <f t="shared" ref="BK29:BO29" si="77">SUM(BK7:BK28)</f>
        <v>1545.1999999999998</v>
      </c>
      <c r="BL29" s="1357">
        <f t="shared" si="77"/>
        <v>1604.3999999999999</v>
      </c>
      <c r="BM29" s="1357">
        <f t="shared" ref="BM29" si="78">SUM(BM7:BM28)</f>
        <v>1617.8</v>
      </c>
      <c r="BN29" s="1357">
        <f t="shared" si="77"/>
        <v>1617.8</v>
      </c>
      <c r="BO29" s="1359">
        <f t="shared" si="77"/>
        <v>1626.0999999999997</v>
      </c>
      <c r="BP29" s="1357"/>
      <c r="BQ29" s="1358">
        <f t="shared" ref="BQ29" si="79">SUM(BQ7:BQ28)</f>
        <v>1617.8</v>
      </c>
      <c r="BR29" s="1357">
        <f t="shared" ref="BR29" si="80">SUM(BR7:BR28)</f>
        <v>1617.8</v>
      </c>
      <c r="BS29" s="1357">
        <f t="shared" ref="BS29" si="81">SUM(BS7:BS28)</f>
        <v>1617.8</v>
      </c>
      <c r="BT29" s="1357">
        <f t="shared" ref="BT29" si="82">SUM(BT7:BT28)</f>
        <v>1617.8</v>
      </c>
      <c r="BU29" s="1359">
        <f t="shared" ref="BU29" si="83">SUM(BU7:BU28)</f>
        <v>1617.8</v>
      </c>
      <c r="BV29" s="1357"/>
      <c r="BW29" s="1358">
        <f t="shared" ref="BW29" si="84">SUM(BW7:BW28)</f>
        <v>1617.8</v>
      </c>
      <c r="BX29" s="1357">
        <f t="shared" ref="BX29" si="85">SUM(BX7:BX28)</f>
        <v>1617.8</v>
      </c>
      <c r="BY29" s="1357">
        <f t="shared" ref="BY29" si="86">SUM(BY7:BY28)</f>
        <v>1617.8</v>
      </c>
      <c r="BZ29" s="1357">
        <f t="shared" ref="BZ29" si="87">SUM(BZ7:BZ28)</f>
        <v>1617.8</v>
      </c>
      <c r="CA29" s="1359">
        <f t="shared" ref="CA29" si="88">SUM(CA7:CA28)</f>
        <v>1617.8</v>
      </c>
      <c r="CB29" s="1357"/>
      <c r="CC29" s="1358">
        <f t="shared" ref="CC29" si="89">SUM(CC7:CC28)</f>
        <v>1617.8</v>
      </c>
      <c r="CD29" s="1357">
        <f t="shared" ref="CD29" si="90">SUM(CD7:CD28)</f>
        <v>1617.8</v>
      </c>
      <c r="CE29" s="1357">
        <f t="shared" ref="CE29" si="91">SUM(CE7:CE28)</f>
        <v>1617.8</v>
      </c>
      <c r="CF29" s="1357">
        <f t="shared" ref="CF29" si="92">SUM(CF7:CF28)</f>
        <v>1617.8</v>
      </c>
      <c r="CG29" s="1359">
        <f t="shared" ref="CG29" si="93">SUM(CG7:CG28)</f>
        <v>1617.8</v>
      </c>
    </row>
    <row r="30" spans="2:85" s="771" customFormat="1" ht="12" customHeight="1" x14ac:dyDescent="0.2">
      <c r="B30" s="59" t="s">
        <v>694</v>
      </c>
      <c r="C30" s="1367"/>
      <c r="D30" s="1366"/>
      <c r="E30" s="1366"/>
      <c r="F30" s="1366"/>
      <c r="G30" s="1368"/>
      <c r="H30" s="1366"/>
      <c r="I30" s="1367"/>
      <c r="J30" s="1366"/>
      <c r="K30" s="1366"/>
      <c r="L30" s="1366"/>
      <c r="M30" s="1368"/>
      <c r="N30" s="1366"/>
      <c r="O30" s="1367"/>
      <c r="P30" s="1366"/>
      <c r="Q30" s="1366"/>
      <c r="R30" s="1366"/>
      <c r="S30" s="1368"/>
      <c r="T30" s="1366"/>
      <c r="U30" s="1367"/>
      <c r="V30" s="1366"/>
      <c r="W30" s="1366"/>
      <c r="X30" s="1366"/>
      <c r="Y30" s="1368"/>
      <c r="Z30" s="1366"/>
      <c r="AA30" s="1367"/>
      <c r="AB30" s="1366"/>
      <c r="AC30" s="1366"/>
      <c r="AD30" s="1366"/>
      <c r="AE30" s="1368"/>
      <c r="AF30" s="1366"/>
      <c r="AG30" s="1367"/>
      <c r="AH30" s="1366"/>
      <c r="AI30" s="1366"/>
      <c r="AJ30" s="1366"/>
      <c r="AK30" s="1368"/>
      <c r="AL30" s="1366"/>
      <c r="AM30" s="1367"/>
      <c r="AN30" s="1366"/>
      <c r="AO30" s="1366"/>
      <c r="AP30" s="1366"/>
      <c r="AQ30" s="1368"/>
      <c r="AR30" s="1366"/>
      <c r="AS30" s="1367"/>
      <c r="AT30" s="1366"/>
      <c r="AU30" s="1366"/>
      <c r="AV30" s="1366"/>
      <c r="AW30" s="1368"/>
      <c r="AX30" s="1366"/>
      <c r="AY30" s="1367"/>
      <c r="AZ30" s="1366"/>
      <c r="BA30" s="1366"/>
      <c r="BB30" s="1366">
        <f t="shared" si="0"/>
        <v>9.1999999999999993</v>
      </c>
      <c r="BC30" s="1363">
        <v>9.1999999999999993</v>
      </c>
      <c r="BD30" s="1366"/>
      <c r="BE30" s="1367"/>
      <c r="BF30" s="1366"/>
      <c r="BG30" s="1366"/>
      <c r="BH30" s="1366">
        <f t="shared" si="1"/>
        <v>11</v>
      </c>
      <c r="BI30" s="1363">
        <v>11</v>
      </c>
      <c r="BJ30" s="1366"/>
      <c r="BK30" s="1367">
        <f t="shared" ref="BK30:BK31" si="94">BH30+BK62</f>
        <v>11</v>
      </c>
      <c r="BL30" s="1366">
        <f t="shared" si="7"/>
        <v>11</v>
      </c>
      <c r="BM30" s="1366">
        <f t="shared" si="7"/>
        <v>11</v>
      </c>
      <c r="BN30" s="1366">
        <f t="shared" si="7"/>
        <v>11</v>
      </c>
      <c r="BO30" s="1363">
        <v>9.1999999999999993</v>
      </c>
      <c r="BP30" s="1366"/>
      <c r="BQ30" s="1367">
        <f t="shared" ref="BQ30:BQ31" si="95">BN30+BQ62</f>
        <v>11</v>
      </c>
      <c r="BR30" s="1366">
        <f t="shared" ref="BR30:BT30" si="96">BQ30+BR62</f>
        <v>11</v>
      </c>
      <c r="BS30" s="1366">
        <f t="shared" si="96"/>
        <v>11</v>
      </c>
      <c r="BT30" s="1366">
        <f t="shared" si="96"/>
        <v>11</v>
      </c>
      <c r="BU30" s="1368">
        <f t="shared" si="10"/>
        <v>11</v>
      </c>
      <c r="BV30" s="1366"/>
      <c r="BW30" s="1367">
        <f t="shared" ref="BW30:BW31" si="97">BT30+BW62</f>
        <v>11</v>
      </c>
      <c r="BX30" s="1366">
        <f t="shared" ref="BX30:BZ30" si="98">BW30+BX62</f>
        <v>11</v>
      </c>
      <c r="BY30" s="1366">
        <f t="shared" si="98"/>
        <v>11</v>
      </c>
      <c r="BZ30" s="1366">
        <f t="shared" si="98"/>
        <v>11</v>
      </c>
      <c r="CA30" s="1368">
        <f t="shared" si="13"/>
        <v>11</v>
      </c>
      <c r="CB30" s="1366"/>
      <c r="CC30" s="1367">
        <f t="shared" ref="CC30:CC31" si="99">BZ30+CC62</f>
        <v>11</v>
      </c>
      <c r="CD30" s="1366">
        <f t="shared" ref="CD30:CF30" si="100">CC30+CD62</f>
        <v>11</v>
      </c>
      <c r="CE30" s="1366">
        <f t="shared" si="100"/>
        <v>11</v>
      </c>
      <c r="CF30" s="1366">
        <f t="shared" si="100"/>
        <v>11</v>
      </c>
      <c r="CG30" s="1368">
        <f t="shared" si="16"/>
        <v>11</v>
      </c>
    </row>
    <row r="31" spans="2:85" s="771" customFormat="1" ht="12" customHeight="1" x14ac:dyDescent="0.2">
      <c r="B31" s="59" t="s">
        <v>695</v>
      </c>
      <c r="C31" s="1367"/>
      <c r="D31" s="1366"/>
      <c r="E31" s="1366"/>
      <c r="F31" s="1366"/>
      <c r="G31" s="1368"/>
      <c r="H31" s="1366"/>
      <c r="I31" s="1367"/>
      <c r="J31" s="1366"/>
      <c r="K31" s="1366"/>
      <c r="L31" s="1366"/>
      <c r="M31" s="1368"/>
      <c r="N31" s="1366"/>
      <c r="O31" s="1367"/>
      <c r="P31" s="1366"/>
      <c r="Q31" s="1366"/>
      <c r="R31" s="1366"/>
      <c r="S31" s="1368"/>
      <c r="T31" s="1366"/>
      <c r="U31" s="1367"/>
      <c r="V31" s="1366"/>
      <c r="W31" s="1366"/>
      <c r="X31" s="1366"/>
      <c r="Y31" s="1368"/>
      <c r="Z31" s="1366"/>
      <c r="AA31" s="1367"/>
      <c r="AB31" s="1366"/>
      <c r="AC31" s="1366"/>
      <c r="AD31" s="1366"/>
      <c r="AE31" s="1368"/>
      <c r="AF31" s="1366"/>
      <c r="AG31" s="1367"/>
      <c r="AH31" s="1366"/>
      <c r="AI31" s="1366"/>
      <c r="AJ31" s="1366"/>
      <c r="AK31" s="1368"/>
      <c r="AL31" s="1366"/>
      <c r="AM31" s="1367"/>
      <c r="AN31" s="1366"/>
      <c r="AO31" s="1366"/>
      <c r="AP31" s="1366"/>
      <c r="AQ31" s="1368"/>
      <c r="AR31" s="1366"/>
      <c r="AS31" s="1367"/>
      <c r="AT31" s="1366"/>
      <c r="AU31" s="1366"/>
      <c r="AV31" s="1366"/>
      <c r="AW31" s="1368"/>
      <c r="AX31" s="1366"/>
      <c r="AY31" s="1367"/>
      <c r="AZ31" s="1366"/>
      <c r="BA31" s="1366"/>
      <c r="BB31" s="1366">
        <f t="shared" si="0"/>
        <v>3.3</v>
      </c>
      <c r="BC31" s="1363">
        <v>3.3</v>
      </c>
      <c r="BD31" s="1366"/>
      <c r="BE31" s="1367"/>
      <c r="BF31" s="1366"/>
      <c r="BG31" s="1366"/>
      <c r="BH31" s="1366">
        <f t="shared" si="1"/>
        <v>6.1</v>
      </c>
      <c r="BI31" s="1363">
        <v>6.1</v>
      </c>
      <c r="BJ31" s="1366"/>
      <c r="BK31" s="1367">
        <f t="shared" si="94"/>
        <v>6.1</v>
      </c>
      <c r="BL31" s="1366">
        <f t="shared" si="7"/>
        <v>6.1</v>
      </c>
      <c r="BM31" s="1366">
        <f t="shared" si="7"/>
        <v>6.1</v>
      </c>
      <c r="BN31" s="1366">
        <f t="shared" si="7"/>
        <v>6.1</v>
      </c>
      <c r="BO31" s="1363">
        <v>5.3</v>
      </c>
      <c r="BP31" s="1366"/>
      <c r="BQ31" s="1367">
        <f t="shared" si="95"/>
        <v>6.1</v>
      </c>
      <c r="BR31" s="1366">
        <f t="shared" ref="BR31:BT31" si="101">BQ31+BR63</f>
        <v>6.1</v>
      </c>
      <c r="BS31" s="1366">
        <f t="shared" si="101"/>
        <v>6.1</v>
      </c>
      <c r="BT31" s="1366">
        <f t="shared" si="101"/>
        <v>6.1</v>
      </c>
      <c r="BU31" s="1368">
        <f t="shared" si="10"/>
        <v>6.1</v>
      </c>
      <c r="BV31" s="1366"/>
      <c r="BW31" s="1367">
        <f t="shared" si="97"/>
        <v>6.1</v>
      </c>
      <c r="BX31" s="1366">
        <f t="shared" ref="BX31:BZ31" si="102">BW31+BX63</f>
        <v>6.1</v>
      </c>
      <c r="BY31" s="1366">
        <f t="shared" si="102"/>
        <v>6.1</v>
      </c>
      <c r="BZ31" s="1366">
        <f t="shared" si="102"/>
        <v>6.1</v>
      </c>
      <c r="CA31" s="1368">
        <f t="shared" si="13"/>
        <v>6.1</v>
      </c>
      <c r="CB31" s="1366"/>
      <c r="CC31" s="1367">
        <f t="shared" si="99"/>
        <v>6.1</v>
      </c>
      <c r="CD31" s="1366">
        <f t="shared" ref="CD31:CF31" si="103">CC31+CD63</f>
        <v>6.1</v>
      </c>
      <c r="CE31" s="1366">
        <f t="shared" si="103"/>
        <v>6.1</v>
      </c>
      <c r="CF31" s="1366">
        <f t="shared" si="103"/>
        <v>6.1</v>
      </c>
      <c r="CG31" s="1368">
        <f t="shared" si="16"/>
        <v>6.1</v>
      </c>
    </row>
    <row r="32" spans="2:85" s="771" customFormat="1" ht="12" customHeight="1" x14ac:dyDescent="0.2">
      <c r="B32" s="1392" t="s">
        <v>697</v>
      </c>
      <c r="C32" s="1358"/>
      <c r="D32" s="1357"/>
      <c r="E32" s="1357"/>
      <c r="F32" s="1357"/>
      <c r="G32" s="1359"/>
      <c r="H32" s="1357"/>
      <c r="I32" s="1358"/>
      <c r="J32" s="1357"/>
      <c r="K32" s="1357"/>
      <c r="L32" s="1357"/>
      <c r="M32" s="1359"/>
      <c r="N32" s="1357"/>
      <c r="O32" s="1358"/>
      <c r="P32" s="1357"/>
      <c r="Q32" s="1357"/>
      <c r="R32" s="1357"/>
      <c r="S32" s="1359"/>
      <c r="T32" s="1357"/>
      <c r="U32" s="1358"/>
      <c r="V32" s="1357"/>
      <c r="W32" s="1357"/>
      <c r="X32" s="1357"/>
      <c r="Y32" s="1359"/>
      <c r="Z32" s="1357"/>
      <c r="AA32" s="1358"/>
      <c r="AB32" s="1357"/>
      <c r="AC32" s="1357"/>
      <c r="AD32" s="1357"/>
      <c r="AE32" s="1359"/>
      <c r="AF32" s="1357"/>
      <c r="AG32" s="1358"/>
      <c r="AH32" s="1357"/>
      <c r="AI32" s="1357"/>
      <c r="AJ32" s="1357"/>
      <c r="AK32" s="1359"/>
      <c r="AL32" s="1357"/>
      <c r="AM32" s="1358"/>
      <c r="AN32" s="1357"/>
      <c r="AO32" s="1357"/>
      <c r="AP32" s="1357"/>
      <c r="AQ32" s="1359"/>
      <c r="AR32" s="1357"/>
      <c r="AS32" s="1358"/>
      <c r="AT32" s="1357"/>
      <c r="AU32" s="1357"/>
      <c r="AV32" s="1357"/>
      <c r="AW32" s="1359"/>
      <c r="AX32" s="1357"/>
      <c r="AY32" s="1358"/>
      <c r="AZ32" s="1357"/>
      <c r="BA32" s="1357"/>
      <c r="BB32" s="1413">
        <f>'BalSht '!BB33</f>
        <v>1141</v>
      </c>
      <c r="BC32" s="1359">
        <f>BC29-BC30-BC31</f>
        <v>1141</v>
      </c>
      <c r="BD32" s="1357"/>
      <c r="BE32" s="1411">
        <f>'BalSht '!BE33</f>
        <v>1169.0999999999999</v>
      </c>
      <c r="BF32" s="1412">
        <f>'BalSht '!BF33</f>
        <v>1171.8</v>
      </c>
      <c r="BG32" s="1412">
        <f>'BalSht '!BG33</f>
        <v>1569.8</v>
      </c>
      <c r="BH32" s="1413">
        <f>'BalSht '!BH33</f>
        <v>1511.1</v>
      </c>
      <c r="BI32" s="1359">
        <f>BI29-BI30-BI31</f>
        <v>1511.1000000000001</v>
      </c>
      <c r="BJ32" s="1357"/>
      <c r="BK32" s="1411">
        <f>'BalSht '!BK33</f>
        <v>1528.1</v>
      </c>
      <c r="BL32" s="1412">
        <f>'BalSht '!BL33</f>
        <v>1587.3</v>
      </c>
      <c r="BM32" s="1412">
        <f>'BalSht '!BM33</f>
        <v>1600.7</v>
      </c>
      <c r="BN32" s="1412">
        <f>'BalSht '!BN33</f>
        <v>1611.6</v>
      </c>
      <c r="BO32" s="1359">
        <f t="shared" ref="BO32" si="104">BO29-BO30-BO31</f>
        <v>1611.5999999999997</v>
      </c>
      <c r="BP32" s="1357"/>
      <c r="BQ32" s="1358">
        <f t="shared" ref="BQ32" si="105">BQ29-BQ30-BQ31</f>
        <v>1600.7</v>
      </c>
      <c r="BR32" s="1357">
        <f t="shared" ref="BR32" si="106">BR29-BR30-BR31</f>
        <v>1600.7</v>
      </c>
      <c r="BS32" s="1357">
        <f t="shared" ref="BS32" si="107">BS29-BS30-BS31</f>
        <v>1600.7</v>
      </c>
      <c r="BT32" s="1357">
        <f t="shared" ref="BT32" si="108">BT29-BT30-BT31</f>
        <v>1600.7</v>
      </c>
      <c r="BU32" s="1359">
        <f t="shared" ref="BU32" si="109">BU29-BU30-BU31</f>
        <v>1600.7</v>
      </c>
      <c r="BV32" s="1357"/>
      <c r="BW32" s="1358">
        <f t="shared" ref="BW32" si="110">BW29-BW30-BW31</f>
        <v>1600.7</v>
      </c>
      <c r="BX32" s="1357">
        <f t="shared" ref="BX32" si="111">BX29-BX30-BX31</f>
        <v>1600.7</v>
      </c>
      <c r="BY32" s="1357">
        <f t="shared" ref="BY32" si="112">BY29-BY30-BY31</f>
        <v>1600.7</v>
      </c>
      <c r="BZ32" s="1357">
        <f t="shared" ref="BZ32" si="113">BZ29-BZ30-BZ31</f>
        <v>1600.7</v>
      </c>
      <c r="CA32" s="1359">
        <f t="shared" ref="CA32" si="114">CA29-CA30-CA31</f>
        <v>1600.7</v>
      </c>
      <c r="CB32" s="1357"/>
      <c r="CC32" s="1358">
        <f t="shared" ref="CC32" si="115">CC29-CC30-CC31</f>
        <v>1600.7</v>
      </c>
      <c r="CD32" s="1357">
        <f t="shared" ref="CD32" si="116">CD29-CD30-CD31</f>
        <v>1600.7</v>
      </c>
      <c r="CE32" s="1357">
        <f t="shared" ref="CE32" si="117">CE29-CE30-CE31</f>
        <v>1600.7</v>
      </c>
      <c r="CF32" s="1357">
        <f t="shared" ref="CF32" si="118">CF29-CF30-CF31</f>
        <v>1600.7</v>
      </c>
      <c r="CG32" s="1359">
        <f t="shared" ref="CG32" si="119">CG29-CG30-CG31</f>
        <v>1600.7</v>
      </c>
    </row>
    <row r="33" spans="2:85" s="771" customFormat="1" ht="12" customHeight="1" x14ac:dyDescent="0.2">
      <c r="B33" s="1393" t="s">
        <v>81</v>
      </c>
      <c r="C33" s="1394"/>
      <c r="D33" s="1395"/>
      <c r="E33" s="1395"/>
      <c r="F33" s="1395"/>
      <c r="G33" s="1396"/>
      <c r="H33" s="1395"/>
      <c r="I33" s="1394"/>
      <c r="J33" s="1395"/>
      <c r="K33" s="1395"/>
      <c r="L33" s="1395"/>
      <c r="M33" s="1396"/>
      <c r="N33" s="1395"/>
      <c r="O33" s="1394"/>
      <c r="P33" s="1395"/>
      <c r="Q33" s="1395"/>
      <c r="R33" s="1395"/>
      <c r="S33" s="1396"/>
      <c r="T33" s="1395"/>
      <c r="U33" s="1394"/>
      <c r="V33" s="1395"/>
      <c r="W33" s="1395"/>
      <c r="X33" s="1395"/>
      <c r="Y33" s="1396"/>
      <c r="Z33" s="1395"/>
      <c r="AA33" s="1394"/>
      <c r="AB33" s="1395"/>
      <c r="AC33" s="1395"/>
      <c r="AD33" s="1395"/>
      <c r="AE33" s="1396"/>
      <c r="AF33" s="1395"/>
      <c r="AG33" s="1394"/>
      <c r="AH33" s="1395"/>
      <c r="AI33" s="1395"/>
      <c r="AJ33" s="1395"/>
      <c r="AK33" s="1396"/>
      <c r="AL33" s="1395"/>
      <c r="AM33" s="1394"/>
      <c r="AN33" s="1395"/>
      <c r="AO33" s="1395"/>
      <c r="AP33" s="1395"/>
      <c r="AQ33" s="1396"/>
      <c r="AR33" s="1395"/>
      <c r="AS33" s="1394"/>
      <c r="AT33" s="1395"/>
      <c r="AU33" s="1395"/>
      <c r="AV33" s="1395"/>
      <c r="AW33" s="1396"/>
      <c r="AX33" s="1395"/>
      <c r="AY33" s="1394"/>
      <c r="AZ33" s="1395"/>
      <c r="BA33" s="1395"/>
      <c r="BB33" s="1414">
        <f>'BalSht '!BB33-Debt!BB32</f>
        <v>0</v>
      </c>
      <c r="BC33" s="1397">
        <f>'BalSht '!BC33-Debt!BC32</f>
        <v>0</v>
      </c>
      <c r="BD33" s="1414"/>
      <c r="BE33" s="1415">
        <f>'BalSht '!BE33-Debt!BE32</f>
        <v>0</v>
      </c>
      <c r="BF33" s="1414">
        <f>'BalSht '!BF33-Debt!BF32</f>
        <v>0</v>
      </c>
      <c r="BG33" s="1414">
        <f>'BalSht '!BG33-Debt!BG32</f>
        <v>0</v>
      </c>
      <c r="BH33" s="1414">
        <f>'BalSht '!BH33-Debt!BH32</f>
        <v>0</v>
      </c>
      <c r="BI33" s="1397">
        <f>'BalSht '!BI33-Debt!BI32</f>
        <v>0</v>
      </c>
      <c r="BJ33" s="1395"/>
      <c r="BK33" s="1415">
        <f>'BalSht '!BK33-Debt!BK32</f>
        <v>0</v>
      </c>
      <c r="BL33" s="1414">
        <f>'BalSht '!BL33-Debt!BL32</f>
        <v>0</v>
      </c>
      <c r="BM33" s="1414">
        <f>'BalSht '!BM33-Debt!BM32</f>
        <v>0</v>
      </c>
      <c r="BN33" s="1414">
        <f>'BalSht '!BN33-Debt!BN32</f>
        <v>0</v>
      </c>
      <c r="BO33" s="1397">
        <f>'BalSht '!BO33-Debt!BO32</f>
        <v>0</v>
      </c>
      <c r="BP33" s="1395"/>
      <c r="BQ33" s="1415">
        <f>'BalSht '!BQ33-Debt!BQ32</f>
        <v>0</v>
      </c>
      <c r="BR33" s="1414">
        <f>'BalSht '!BR33-Debt!BR32</f>
        <v>0</v>
      </c>
      <c r="BS33" s="1414">
        <f>'BalSht '!BS33-Debt!BS32</f>
        <v>0</v>
      </c>
      <c r="BT33" s="1414">
        <f>'BalSht '!BT33-Debt!BT32</f>
        <v>0</v>
      </c>
      <c r="BU33" s="1397">
        <f>'BalSht '!BU33-Debt!BU32</f>
        <v>0</v>
      </c>
      <c r="BV33" s="1395"/>
      <c r="BW33" s="1415">
        <f>'BalSht '!BW33-Debt!BW32</f>
        <v>0</v>
      </c>
      <c r="BX33" s="1414">
        <f>'BalSht '!BX33-Debt!BX32</f>
        <v>0</v>
      </c>
      <c r="BY33" s="1414">
        <f>'BalSht '!BY33-Debt!BY32</f>
        <v>0</v>
      </c>
      <c r="BZ33" s="1414">
        <f>'BalSht '!BZ33-Debt!BZ32</f>
        <v>0</v>
      </c>
      <c r="CA33" s="1397">
        <f>'BalSht '!CA33-Debt!CA32</f>
        <v>0</v>
      </c>
      <c r="CB33" s="1395"/>
      <c r="CC33" s="1415">
        <f>'BalSht '!CC33-Debt!CC32</f>
        <v>0</v>
      </c>
      <c r="CD33" s="1414">
        <f>'BalSht '!CD33-Debt!CD32</f>
        <v>0</v>
      </c>
      <c r="CE33" s="1414">
        <f>'BalSht '!CE33-Debt!CE32</f>
        <v>0</v>
      </c>
      <c r="CF33" s="1414">
        <f>'BalSht '!CF33-Debt!CF32</f>
        <v>0</v>
      </c>
      <c r="CG33" s="1397">
        <f>'BalSht '!CG33-Debt!CG32</f>
        <v>0</v>
      </c>
    </row>
    <row r="34" spans="2:85" s="771" customFormat="1" ht="12" customHeight="1" x14ac:dyDescent="0.2">
      <c r="B34" s="37" t="s">
        <v>698</v>
      </c>
      <c r="C34" s="1367"/>
      <c r="D34" s="1366"/>
      <c r="E34" s="1366"/>
      <c r="F34" s="1366"/>
      <c r="G34" s="1368"/>
      <c r="H34" s="1366"/>
      <c r="I34" s="1367"/>
      <c r="J34" s="1366"/>
      <c r="K34" s="1366"/>
      <c r="L34" s="1366"/>
      <c r="M34" s="1368"/>
      <c r="N34" s="1366"/>
      <c r="O34" s="1367"/>
      <c r="P34" s="1366"/>
      <c r="Q34" s="1366"/>
      <c r="R34" s="1366"/>
      <c r="S34" s="1368"/>
      <c r="T34" s="1366"/>
      <c r="U34" s="1367"/>
      <c r="V34" s="1366"/>
      <c r="W34" s="1366"/>
      <c r="X34" s="1366"/>
      <c r="Y34" s="1368"/>
      <c r="Z34" s="1366"/>
      <c r="AA34" s="1367"/>
      <c r="AB34" s="1366"/>
      <c r="AC34" s="1366"/>
      <c r="AD34" s="1366"/>
      <c r="AE34" s="1368"/>
      <c r="AF34" s="1366"/>
      <c r="AG34" s="1367"/>
      <c r="AH34" s="1366"/>
      <c r="AI34" s="1366"/>
      <c r="AJ34" s="1366"/>
      <c r="AK34" s="1368"/>
      <c r="AL34" s="1366"/>
      <c r="AM34" s="1367"/>
      <c r="AN34" s="1366"/>
      <c r="AO34" s="1366"/>
      <c r="AP34" s="1366"/>
      <c r="AQ34" s="1368"/>
      <c r="AR34" s="1366"/>
      <c r="AS34" s="1367"/>
      <c r="AT34" s="1366"/>
      <c r="AU34" s="1366"/>
      <c r="AV34" s="1366"/>
      <c r="AW34" s="1368"/>
      <c r="AX34" s="1366"/>
      <c r="AY34" s="1367"/>
      <c r="AZ34" s="1366"/>
      <c r="BA34" s="1366"/>
      <c r="BB34" s="1377">
        <f>'BalSht '!BB29</f>
        <v>12.1</v>
      </c>
      <c r="BC34" s="1378">
        <f>'BalSht '!BC29</f>
        <v>12.1</v>
      </c>
      <c r="BD34" s="1366"/>
      <c r="BE34" s="1376">
        <f>'BalSht '!BE29</f>
        <v>10.9</v>
      </c>
      <c r="BF34" s="1377">
        <f>'BalSht '!BF29</f>
        <v>9.8000000000000007</v>
      </c>
      <c r="BG34" s="1377">
        <f>'BalSht '!BG29</f>
        <v>16.399999999999999</v>
      </c>
      <c r="BH34" s="1377">
        <f>'BalSht '!BH29</f>
        <v>21.1</v>
      </c>
      <c r="BI34" s="1378">
        <f>'BalSht '!BI29</f>
        <v>21.1</v>
      </c>
      <c r="BJ34" s="1366"/>
      <c r="BK34" s="1376">
        <f>'BalSht '!BK29</f>
        <v>22.7</v>
      </c>
      <c r="BL34" s="1377">
        <f>'BalSht '!BL29</f>
        <v>21.6</v>
      </c>
      <c r="BM34" s="1377">
        <f>'BalSht '!BM29</f>
        <v>21.4</v>
      </c>
      <c r="BN34" s="1377">
        <f>'BalSht '!BN29</f>
        <v>30.1</v>
      </c>
      <c r="BO34" s="1368">
        <f t="shared" ref="BO34" si="120">BN34</f>
        <v>30.1</v>
      </c>
      <c r="BP34" s="1366"/>
      <c r="BQ34" s="1367">
        <f>BN34+BQ65</f>
        <v>30.1</v>
      </c>
      <c r="BR34" s="1366">
        <f>BQ34+BR65</f>
        <v>30.1</v>
      </c>
      <c r="BS34" s="1366">
        <f t="shared" ref="BS34:BT34" si="121">BR34+BS65</f>
        <v>30.1</v>
      </c>
      <c r="BT34" s="1366">
        <f t="shared" si="121"/>
        <v>30.1</v>
      </c>
      <c r="BU34" s="1368">
        <f t="shared" ref="BU34" si="122">BT34</f>
        <v>30.1</v>
      </c>
      <c r="BV34" s="1366"/>
      <c r="BW34" s="1367">
        <f>BT34+BW65</f>
        <v>30.1</v>
      </c>
      <c r="BX34" s="1366">
        <f>BW34+BX65</f>
        <v>30.1</v>
      </c>
      <c r="BY34" s="1366">
        <f t="shared" ref="BY34:BZ34" si="123">BX34+BY65</f>
        <v>30.1</v>
      </c>
      <c r="BZ34" s="1366">
        <f t="shared" si="123"/>
        <v>30.1</v>
      </c>
      <c r="CA34" s="1368">
        <f t="shared" ref="CA34" si="124">BZ34</f>
        <v>30.1</v>
      </c>
      <c r="CB34" s="1366"/>
      <c r="CC34" s="1367">
        <f>BZ34+CC65</f>
        <v>30.1</v>
      </c>
      <c r="CD34" s="1366">
        <f>CC34+CD65</f>
        <v>30.1</v>
      </c>
      <c r="CE34" s="1366">
        <f t="shared" ref="CE34:CF34" si="125">CD34+CE65</f>
        <v>30.1</v>
      </c>
      <c r="CF34" s="1366">
        <f t="shared" si="125"/>
        <v>30.1</v>
      </c>
      <c r="CG34" s="1368">
        <f t="shared" ref="CG34" si="126">CF34</f>
        <v>30.1</v>
      </c>
    </row>
    <row r="35" spans="2:85" s="771" customFormat="1" ht="12" customHeight="1" x14ac:dyDescent="0.2">
      <c r="B35" s="1392" t="s">
        <v>693</v>
      </c>
      <c r="C35" s="1358"/>
      <c r="D35" s="1357"/>
      <c r="E35" s="1357"/>
      <c r="F35" s="1357"/>
      <c r="G35" s="1359"/>
      <c r="H35" s="1357"/>
      <c r="I35" s="1358"/>
      <c r="J35" s="1357"/>
      <c r="K35" s="1357"/>
      <c r="L35" s="1357"/>
      <c r="M35" s="1359"/>
      <c r="N35" s="1357"/>
      <c r="O35" s="1358"/>
      <c r="P35" s="1357"/>
      <c r="Q35" s="1357"/>
      <c r="R35" s="1357"/>
      <c r="S35" s="1359"/>
      <c r="T35" s="1357"/>
      <c r="U35" s="1358"/>
      <c r="V35" s="1357"/>
      <c r="W35" s="1357"/>
      <c r="X35" s="1357"/>
      <c r="Y35" s="1359"/>
      <c r="Z35" s="1357"/>
      <c r="AA35" s="1358"/>
      <c r="AB35" s="1357"/>
      <c r="AC35" s="1357"/>
      <c r="AD35" s="1357"/>
      <c r="AE35" s="1359"/>
      <c r="AF35" s="1357"/>
      <c r="AG35" s="1358"/>
      <c r="AH35" s="1357"/>
      <c r="AI35" s="1357"/>
      <c r="AJ35" s="1357"/>
      <c r="AK35" s="1359"/>
      <c r="AL35" s="1357"/>
      <c r="AM35" s="1358"/>
      <c r="AN35" s="1357"/>
      <c r="AO35" s="1357"/>
      <c r="AP35" s="1357"/>
      <c r="AQ35" s="1359"/>
      <c r="AR35" s="1357"/>
      <c r="AS35" s="1358"/>
      <c r="AT35" s="1357"/>
      <c r="AU35" s="1357"/>
      <c r="AV35" s="1357"/>
      <c r="AW35" s="1359"/>
      <c r="AX35" s="1357"/>
      <c r="AY35" s="1358"/>
      <c r="AZ35" s="1357"/>
      <c r="BA35" s="1357"/>
      <c r="BB35" s="1357">
        <f t="shared" ref="BB35" si="127">BB34+BB32</f>
        <v>1153.0999999999999</v>
      </c>
      <c r="BC35" s="1359">
        <f>BC34+BC32</f>
        <v>1153.0999999999999</v>
      </c>
      <c r="BD35" s="1357"/>
      <c r="BE35" s="1358">
        <f t="shared" ref="BE35:BH35" si="128">BE34+BE32</f>
        <v>1180</v>
      </c>
      <c r="BF35" s="1357">
        <f t="shared" si="128"/>
        <v>1181.5999999999999</v>
      </c>
      <c r="BG35" s="1357">
        <f t="shared" si="128"/>
        <v>1586.2</v>
      </c>
      <c r="BH35" s="1357">
        <f t="shared" si="128"/>
        <v>1532.1999999999998</v>
      </c>
      <c r="BI35" s="1359">
        <f>BI34+BI32</f>
        <v>1532.2</v>
      </c>
      <c r="BJ35" s="1357"/>
      <c r="BK35" s="1358">
        <f t="shared" ref="BK35:BL35" si="129">BK34+BK32</f>
        <v>1550.8</v>
      </c>
      <c r="BL35" s="1357">
        <f t="shared" si="129"/>
        <v>1608.8999999999999</v>
      </c>
      <c r="BM35" s="1357">
        <f t="shared" ref="BM35" si="130">BM34+BM32</f>
        <v>1622.1000000000001</v>
      </c>
      <c r="BN35" s="1357">
        <f t="shared" ref="BN35" si="131">BN34+BN32</f>
        <v>1641.6999999999998</v>
      </c>
      <c r="BO35" s="1359">
        <f>BO34+BO32</f>
        <v>1641.6999999999996</v>
      </c>
      <c r="BP35" s="1357"/>
      <c r="BQ35" s="1358">
        <f t="shared" ref="BQ35" si="132">BQ34+BQ32</f>
        <v>1630.8</v>
      </c>
      <c r="BR35" s="1357">
        <f t="shared" ref="BR35" si="133">BR34+BR32</f>
        <v>1630.8</v>
      </c>
      <c r="BS35" s="1357">
        <f t="shared" ref="BS35" si="134">BS34+BS32</f>
        <v>1630.8</v>
      </c>
      <c r="BT35" s="1357">
        <f t="shared" ref="BT35" si="135">BT34+BT32</f>
        <v>1630.8</v>
      </c>
      <c r="BU35" s="1359">
        <f>BU34+BU32</f>
        <v>1630.8</v>
      </c>
      <c r="BV35" s="1357"/>
      <c r="BW35" s="1358">
        <f t="shared" ref="BW35" si="136">BW34+BW32</f>
        <v>1630.8</v>
      </c>
      <c r="BX35" s="1357">
        <f t="shared" ref="BX35" si="137">BX34+BX32</f>
        <v>1630.8</v>
      </c>
      <c r="BY35" s="1357">
        <f t="shared" ref="BY35" si="138">BY34+BY32</f>
        <v>1630.8</v>
      </c>
      <c r="BZ35" s="1357">
        <f t="shared" ref="BZ35" si="139">BZ34+BZ32</f>
        <v>1630.8</v>
      </c>
      <c r="CA35" s="1359">
        <f>CA34+CA32</f>
        <v>1630.8</v>
      </c>
      <c r="CB35" s="1357"/>
      <c r="CC35" s="1358">
        <f t="shared" ref="CC35" si="140">CC34+CC32</f>
        <v>1630.8</v>
      </c>
      <c r="CD35" s="1357">
        <f t="shared" ref="CD35" si="141">CD34+CD32</f>
        <v>1630.8</v>
      </c>
      <c r="CE35" s="1357">
        <f t="shared" ref="CE35" si="142">CE34+CE32</f>
        <v>1630.8</v>
      </c>
      <c r="CF35" s="1357">
        <f t="shared" ref="CF35" si="143">CF34+CF32</f>
        <v>1630.8</v>
      </c>
      <c r="CG35" s="1359">
        <f>CG34+CG32</f>
        <v>1630.8</v>
      </c>
    </row>
    <row r="36" spans="2:85" s="771" customFormat="1" ht="12" customHeight="1" x14ac:dyDescent="0.2">
      <c r="B36" s="1393" t="s">
        <v>81</v>
      </c>
      <c r="C36" s="1394"/>
      <c r="D36" s="1395"/>
      <c r="E36" s="1395"/>
      <c r="F36" s="1395"/>
      <c r="G36" s="1396"/>
      <c r="H36" s="1395"/>
      <c r="I36" s="1394"/>
      <c r="J36" s="1395"/>
      <c r="K36" s="1395"/>
      <c r="L36" s="1395"/>
      <c r="M36" s="1396"/>
      <c r="N36" s="1395"/>
      <c r="O36" s="1394"/>
      <c r="P36" s="1395"/>
      <c r="Q36" s="1395"/>
      <c r="R36" s="1395"/>
      <c r="S36" s="1396"/>
      <c r="T36" s="1395"/>
      <c r="U36" s="1394"/>
      <c r="V36" s="1395"/>
      <c r="W36" s="1395"/>
      <c r="X36" s="1395"/>
      <c r="Y36" s="1396"/>
      <c r="Z36" s="1395"/>
      <c r="AA36" s="1394"/>
      <c r="AB36" s="1395"/>
      <c r="AC36" s="1395"/>
      <c r="AD36" s="1395"/>
      <c r="AE36" s="1396"/>
      <c r="AF36" s="1395"/>
      <c r="AG36" s="1394"/>
      <c r="AH36" s="1395"/>
      <c r="AI36" s="1395"/>
      <c r="AJ36" s="1395"/>
      <c r="AK36" s="1396"/>
      <c r="AL36" s="1395"/>
      <c r="AM36" s="1394"/>
      <c r="AN36" s="1395"/>
      <c r="AO36" s="1395"/>
      <c r="AP36" s="1395"/>
      <c r="AQ36" s="1396"/>
      <c r="AR36" s="1395"/>
      <c r="AS36" s="1394"/>
      <c r="AT36" s="1395"/>
      <c r="AU36" s="1395"/>
      <c r="AV36" s="1395"/>
      <c r="AW36" s="1396"/>
      <c r="AX36" s="1395"/>
      <c r="AY36" s="1394"/>
      <c r="AZ36" s="1395"/>
      <c r="BA36" s="1395"/>
      <c r="BB36" s="1414">
        <f>('BalSht '!BB33+'BalSht '!BB29)-Debt!BB35</f>
        <v>0</v>
      </c>
      <c r="BC36" s="1397">
        <f>('BalSht '!BC33+'BalSht '!BC29)-Debt!BC35</f>
        <v>0</v>
      </c>
      <c r="BD36" s="1414"/>
      <c r="BE36" s="1415">
        <f>('BalSht '!BE33+'BalSht '!BE29)-Debt!BE35</f>
        <v>0</v>
      </c>
      <c r="BF36" s="1414">
        <f>('BalSht '!BF33+'BalSht '!BF29)-Debt!BF35</f>
        <v>0</v>
      </c>
      <c r="BG36" s="1414">
        <f>('BalSht '!BG33+'BalSht '!BG29)-Debt!BG35</f>
        <v>0</v>
      </c>
      <c r="BH36" s="1414">
        <f>('BalSht '!BH33+'BalSht '!BH29)-Debt!BH35</f>
        <v>0</v>
      </c>
      <c r="BI36" s="1397">
        <f>('BalSht '!BI33+'BalSht '!BI29)-Debt!BI35</f>
        <v>0</v>
      </c>
      <c r="BJ36" s="1395"/>
      <c r="BK36" s="1415">
        <f>('BalSht '!BK33+'BalSht '!BK29)-Debt!BK35</f>
        <v>0</v>
      </c>
      <c r="BL36" s="1414">
        <f>('BalSht '!BL33+'BalSht '!BL29)-Debt!BL35</f>
        <v>0</v>
      </c>
      <c r="BM36" s="1414">
        <f>('BalSht '!BM33+'BalSht '!BM29)-Debt!BM35</f>
        <v>0</v>
      </c>
      <c r="BN36" s="1414">
        <f>('BalSht '!BN33+'BalSht '!BN29)-Debt!BN35</f>
        <v>0</v>
      </c>
      <c r="BO36" s="1397">
        <f>('BalSht '!BO33+'BalSht '!BO29)-Debt!BO35</f>
        <v>0</v>
      </c>
      <c r="BP36" s="1395"/>
      <c r="BQ36" s="1415">
        <f>('BalSht '!BQ33+'BalSht '!BQ29)-Debt!BQ35</f>
        <v>0</v>
      </c>
      <c r="BR36" s="1414">
        <f>('BalSht '!BR33+'BalSht '!BR29)-Debt!BR35</f>
        <v>0</v>
      </c>
      <c r="BS36" s="1414">
        <f>('BalSht '!BS33+'BalSht '!BS29)-Debt!BS35</f>
        <v>0</v>
      </c>
      <c r="BT36" s="1414">
        <f>('BalSht '!BT33+'BalSht '!BT29)-Debt!BT35</f>
        <v>0</v>
      </c>
      <c r="BU36" s="1397">
        <f>('BalSht '!BU33+'BalSht '!BU29)-Debt!BU35</f>
        <v>0</v>
      </c>
      <c r="BV36" s="1395"/>
      <c r="BW36" s="1415">
        <f>('BalSht '!BW33+'BalSht '!BW29)-Debt!BW35</f>
        <v>0</v>
      </c>
      <c r="BX36" s="1414">
        <f>('BalSht '!BX33+'BalSht '!BX29)-Debt!BX35</f>
        <v>0</v>
      </c>
      <c r="BY36" s="1414">
        <f>('BalSht '!BY33+'BalSht '!BY29)-Debt!BY35</f>
        <v>0</v>
      </c>
      <c r="BZ36" s="1414">
        <f>('BalSht '!BZ33+'BalSht '!BZ29)-Debt!BZ35</f>
        <v>0</v>
      </c>
      <c r="CA36" s="1397">
        <f>('BalSht '!CA33+'BalSht '!CA29)-Debt!CA35</f>
        <v>0</v>
      </c>
      <c r="CB36" s="1395"/>
      <c r="CC36" s="1415">
        <f>('BalSht '!CC33+'BalSht '!CC29)-Debt!CC35</f>
        <v>0</v>
      </c>
      <c r="CD36" s="1414">
        <f>('BalSht '!CD33+'BalSht '!CD29)-Debt!CD35</f>
        <v>0</v>
      </c>
      <c r="CE36" s="1414">
        <f>('BalSht '!CE33+'BalSht '!CE29)-Debt!CE35</f>
        <v>0</v>
      </c>
      <c r="CF36" s="1414">
        <f>('BalSht '!CF33+'BalSht '!CF29)-Debt!CF35</f>
        <v>0</v>
      </c>
      <c r="CG36" s="1397">
        <f>('BalSht '!CG33+'BalSht '!CG29)-Debt!CG35</f>
        <v>0</v>
      </c>
    </row>
    <row r="37" spans="2:85" s="771" customFormat="1" ht="12" customHeight="1" x14ac:dyDescent="0.2">
      <c r="B37" s="37"/>
      <c r="C37" s="1367"/>
      <c r="D37" s="1366"/>
      <c r="E37" s="1366"/>
      <c r="F37" s="1366"/>
      <c r="G37" s="1368"/>
      <c r="H37" s="1366"/>
      <c r="I37" s="1367"/>
      <c r="J37" s="1366"/>
      <c r="K37" s="1366"/>
      <c r="L37" s="1366"/>
      <c r="M37" s="1368"/>
      <c r="N37" s="1366"/>
      <c r="O37" s="1367"/>
      <c r="P37" s="1366"/>
      <c r="Q37" s="1366"/>
      <c r="R37" s="1366"/>
      <c r="S37" s="1368"/>
      <c r="T37" s="1366"/>
      <c r="U37" s="1367"/>
      <c r="V37" s="1366"/>
      <c r="W37" s="1366"/>
      <c r="X37" s="1366"/>
      <c r="Y37" s="1368"/>
      <c r="Z37" s="1366"/>
      <c r="AA37" s="1367"/>
      <c r="AB37" s="1366"/>
      <c r="AC37" s="1366"/>
      <c r="AD37" s="1366"/>
      <c r="AE37" s="1368"/>
      <c r="AF37" s="1366"/>
      <c r="AG37" s="1367"/>
      <c r="AH37" s="1366"/>
      <c r="AI37" s="1366"/>
      <c r="AJ37" s="1366"/>
      <c r="AK37" s="1368"/>
      <c r="AL37" s="1366"/>
      <c r="AM37" s="1367"/>
      <c r="AN37" s="1366"/>
      <c r="AO37" s="1366"/>
      <c r="AP37" s="1366"/>
      <c r="AQ37" s="1368"/>
      <c r="AR37" s="1366"/>
      <c r="AS37" s="1367"/>
      <c r="AT37" s="1366"/>
      <c r="AU37" s="1366"/>
      <c r="AV37" s="1366"/>
      <c r="AW37" s="1368"/>
      <c r="AX37" s="1366"/>
      <c r="AY37" s="1367"/>
      <c r="AZ37" s="1366"/>
      <c r="BA37" s="1366"/>
      <c r="BB37" s="1366"/>
      <c r="BC37" s="1368"/>
      <c r="BD37" s="1366"/>
      <c r="BE37" s="1367"/>
      <c r="BF37" s="1366"/>
      <c r="BG37" s="1366"/>
      <c r="BH37" s="1366"/>
      <c r="BI37" s="1368"/>
      <c r="BJ37" s="1366"/>
      <c r="BK37" s="1367"/>
      <c r="BL37" s="1366"/>
      <c r="BM37" s="1366"/>
      <c r="BN37" s="1366"/>
      <c r="BO37" s="1368"/>
      <c r="BP37" s="1366"/>
      <c r="BQ37" s="1367"/>
      <c r="BR37" s="1366"/>
      <c r="BS37" s="1366"/>
      <c r="BT37" s="1366"/>
      <c r="BU37" s="1368"/>
      <c r="BV37" s="1366"/>
      <c r="BW37" s="1367"/>
      <c r="BX37" s="1366"/>
      <c r="BY37" s="1366"/>
      <c r="BZ37" s="1366"/>
      <c r="CA37" s="1368"/>
      <c r="CB37" s="1366"/>
      <c r="CC37" s="1367"/>
      <c r="CD37" s="1366"/>
      <c r="CE37" s="1366"/>
      <c r="CF37" s="1366"/>
      <c r="CG37" s="1368"/>
    </row>
    <row r="38" spans="2:85" s="1342" customFormat="1" ht="12" customHeight="1" x14ac:dyDescent="0.2">
      <c r="B38" s="1404" t="s">
        <v>700</v>
      </c>
      <c r="C38" s="1398"/>
      <c r="D38" s="1399"/>
      <c r="E38" s="1399"/>
      <c r="F38" s="1399"/>
      <c r="G38" s="1400"/>
      <c r="H38" s="1401"/>
      <c r="I38" s="1398"/>
      <c r="J38" s="1399"/>
      <c r="K38" s="1399"/>
      <c r="L38" s="1399"/>
      <c r="M38" s="1400"/>
      <c r="N38" s="1401"/>
      <c r="O38" s="1398"/>
      <c r="P38" s="1399"/>
      <c r="Q38" s="1399"/>
      <c r="R38" s="1399"/>
      <c r="S38" s="1400"/>
      <c r="T38" s="1401"/>
      <c r="U38" s="1398"/>
      <c r="V38" s="1399"/>
      <c r="W38" s="1399"/>
      <c r="X38" s="1399"/>
      <c r="Y38" s="1400"/>
      <c r="Z38" s="1401"/>
      <c r="AA38" s="1398"/>
      <c r="AB38" s="1399"/>
      <c r="AC38" s="1399"/>
      <c r="AD38" s="1399"/>
      <c r="AE38" s="1400"/>
      <c r="AF38" s="1401"/>
      <c r="AG38" s="1398"/>
      <c r="AH38" s="1399"/>
      <c r="AI38" s="1399"/>
      <c r="AJ38" s="1399"/>
      <c r="AK38" s="1400"/>
      <c r="AL38" s="1401"/>
      <c r="AM38" s="1398"/>
      <c r="AN38" s="1399"/>
      <c r="AO38" s="1399"/>
      <c r="AP38" s="1399"/>
      <c r="AQ38" s="1400"/>
      <c r="AR38" s="1401"/>
      <c r="AS38" s="1398"/>
      <c r="AT38" s="1399"/>
      <c r="AU38" s="1399"/>
      <c r="AV38" s="1399"/>
      <c r="AW38" s="1400"/>
      <c r="AX38" s="1401"/>
      <c r="AY38" s="1398"/>
      <c r="AZ38" s="1399"/>
      <c r="BA38" s="1399"/>
      <c r="BB38" s="1399"/>
      <c r="BC38" s="1400"/>
      <c r="BD38" s="1401"/>
      <c r="BE38" s="1398"/>
      <c r="BF38" s="1399"/>
      <c r="BG38" s="1399"/>
      <c r="BH38" s="1399"/>
      <c r="BI38" s="1400"/>
      <c r="BJ38" s="1401"/>
      <c r="BK38" s="1402"/>
      <c r="BL38" s="1403"/>
      <c r="BM38" s="1403"/>
      <c r="BN38" s="1403"/>
      <c r="BO38" s="1400"/>
      <c r="BP38" s="1401"/>
      <c r="BQ38" s="1402"/>
      <c r="BR38" s="1403"/>
      <c r="BS38" s="1403"/>
      <c r="BT38" s="1403"/>
      <c r="BU38" s="1400"/>
      <c r="BV38" s="1401"/>
      <c r="BW38" s="1402"/>
      <c r="BX38" s="1403"/>
      <c r="BY38" s="1403"/>
      <c r="BZ38" s="1403"/>
      <c r="CA38" s="1400"/>
      <c r="CB38" s="1401"/>
      <c r="CC38" s="1402"/>
      <c r="CD38" s="1403"/>
      <c r="CE38" s="1403"/>
      <c r="CF38" s="1403"/>
      <c r="CG38" s="1400"/>
    </row>
    <row r="39" spans="2:85" s="771" customFormat="1" ht="12" customHeight="1" x14ac:dyDescent="0.2">
      <c r="B39" s="37" t="s">
        <v>671</v>
      </c>
      <c r="C39" s="1367" t="s">
        <v>158</v>
      </c>
      <c r="D39" s="1366"/>
      <c r="E39" s="1366"/>
      <c r="F39" s="1366"/>
      <c r="G39" s="1368"/>
      <c r="H39" s="1366"/>
      <c r="I39" s="1367"/>
      <c r="J39" s="1366"/>
      <c r="K39" s="1366"/>
      <c r="L39" s="1366"/>
      <c r="M39" s="1368"/>
      <c r="N39" s="1366"/>
      <c r="O39" s="1367"/>
      <c r="P39" s="1366"/>
      <c r="Q39" s="1366"/>
      <c r="R39" s="1366"/>
      <c r="S39" s="1368"/>
      <c r="T39" s="1366"/>
      <c r="U39" s="1367"/>
      <c r="V39" s="1366"/>
      <c r="W39" s="1366"/>
      <c r="X39" s="1366"/>
      <c r="Y39" s="1368"/>
      <c r="Z39" s="1366"/>
      <c r="AA39" s="1367"/>
      <c r="AB39" s="1366"/>
      <c r="AC39" s="1366"/>
      <c r="AD39" s="1366"/>
      <c r="AE39" s="1368"/>
      <c r="AF39" s="1366"/>
      <c r="AG39" s="1367"/>
      <c r="AH39" s="1366"/>
      <c r="AI39" s="1366"/>
      <c r="AJ39" s="1366"/>
      <c r="AK39" s="1368"/>
      <c r="AL39" s="1366"/>
      <c r="AM39" s="1367"/>
      <c r="AN39" s="1366"/>
      <c r="AO39" s="1366"/>
      <c r="AP39" s="1366"/>
      <c r="AQ39" s="1368"/>
      <c r="AR39" s="1366"/>
      <c r="AS39" s="1367"/>
      <c r="AT39" s="1366"/>
      <c r="AU39" s="1366"/>
      <c r="AV39" s="1366"/>
      <c r="AW39" s="1368"/>
      <c r="AX39" s="1366"/>
      <c r="AY39" s="1367"/>
      <c r="AZ39" s="1366"/>
      <c r="BA39" s="1366"/>
      <c r="BB39" s="1366"/>
      <c r="BC39" s="1363"/>
      <c r="BD39" s="1366"/>
      <c r="BE39" s="1367"/>
      <c r="BF39" s="1366"/>
      <c r="BG39" s="1366"/>
      <c r="BH39" s="1366"/>
      <c r="BI39" s="1368">
        <f>BI7-BC7</f>
        <v>-75.099999999999994</v>
      </c>
      <c r="BJ39" s="1366"/>
      <c r="BK39" s="1365">
        <v>0</v>
      </c>
      <c r="BL39" s="1364">
        <v>0</v>
      </c>
      <c r="BM39" s="1364">
        <v>0</v>
      </c>
      <c r="BN39" s="1364">
        <v>0</v>
      </c>
      <c r="BO39" s="1368">
        <f>BO7-BI7</f>
        <v>0</v>
      </c>
      <c r="BP39" s="1366"/>
      <c r="BQ39" s="1365">
        <v>0</v>
      </c>
      <c r="BR39" s="1364">
        <v>0</v>
      </c>
      <c r="BS39" s="1364">
        <v>0</v>
      </c>
      <c r="BT39" s="1364">
        <v>0</v>
      </c>
      <c r="BU39" s="1368">
        <f>BU7-BO7</f>
        <v>0</v>
      </c>
      <c r="BV39" s="1366"/>
      <c r="BW39" s="1365">
        <v>0</v>
      </c>
      <c r="BX39" s="1364">
        <v>0</v>
      </c>
      <c r="BY39" s="1364">
        <v>0</v>
      </c>
      <c r="BZ39" s="1364">
        <v>0</v>
      </c>
      <c r="CA39" s="1368">
        <f>CA7-BU7</f>
        <v>0</v>
      </c>
      <c r="CB39" s="1366"/>
      <c r="CC39" s="1365">
        <v>0</v>
      </c>
      <c r="CD39" s="1364">
        <v>0</v>
      </c>
      <c r="CE39" s="1364">
        <v>0</v>
      </c>
      <c r="CF39" s="1364">
        <v>0</v>
      </c>
      <c r="CG39" s="1368">
        <f>CG7-CA7</f>
        <v>0</v>
      </c>
    </row>
    <row r="40" spans="2:85" s="771" customFormat="1" ht="12" customHeight="1" x14ac:dyDescent="0.2">
      <c r="B40" s="37" t="s">
        <v>672</v>
      </c>
      <c r="C40" s="1367" t="s">
        <v>158</v>
      </c>
      <c r="D40" s="1366"/>
      <c r="E40" s="1366"/>
      <c r="F40" s="1366"/>
      <c r="G40" s="1368"/>
      <c r="H40" s="1366"/>
      <c r="I40" s="1367"/>
      <c r="J40" s="1366"/>
      <c r="K40" s="1366"/>
      <c r="L40" s="1366"/>
      <c r="M40" s="1368"/>
      <c r="N40" s="1366"/>
      <c r="O40" s="1367"/>
      <c r="P40" s="1366"/>
      <c r="Q40" s="1366"/>
      <c r="R40" s="1366"/>
      <c r="S40" s="1368"/>
      <c r="T40" s="1366"/>
      <c r="U40" s="1367"/>
      <c r="V40" s="1366"/>
      <c r="W40" s="1366"/>
      <c r="X40" s="1366"/>
      <c r="Y40" s="1368"/>
      <c r="Z40" s="1366"/>
      <c r="AA40" s="1367"/>
      <c r="AB40" s="1366"/>
      <c r="AC40" s="1366"/>
      <c r="AD40" s="1366"/>
      <c r="AE40" s="1368"/>
      <c r="AF40" s="1366"/>
      <c r="AG40" s="1367"/>
      <c r="AH40" s="1366"/>
      <c r="AI40" s="1366"/>
      <c r="AJ40" s="1366"/>
      <c r="AK40" s="1368"/>
      <c r="AL40" s="1366"/>
      <c r="AM40" s="1367"/>
      <c r="AN40" s="1366"/>
      <c r="AO40" s="1366"/>
      <c r="AP40" s="1366"/>
      <c r="AQ40" s="1368"/>
      <c r="AR40" s="1366"/>
      <c r="AS40" s="1367"/>
      <c r="AT40" s="1366"/>
      <c r="AU40" s="1366"/>
      <c r="AV40" s="1366"/>
      <c r="AW40" s="1368"/>
      <c r="AX40" s="1366"/>
      <c r="AY40" s="1367"/>
      <c r="AZ40" s="1366"/>
      <c r="BA40" s="1366"/>
      <c r="BB40" s="1366"/>
      <c r="BC40" s="1363"/>
      <c r="BD40" s="1366"/>
      <c r="BE40" s="1367"/>
      <c r="BF40" s="1366"/>
      <c r="BG40" s="1366"/>
      <c r="BH40" s="1366"/>
      <c r="BI40" s="1368">
        <f t="shared" ref="BI40:BI64" si="144">BI8-BC8</f>
        <v>-299.89999999999998</v>
      </c>
      <c r="BJ40" s="1366"/>
      <c r="BK40" s="1365">
        <v>0</v>
      </c>
      <c r="BL40" s="1364">
        <v>0</v>
      </c>
      <c r="BM40" s="1364">
        <v>0</v>
      </c>
      <c r="BN40" s="1364">
        <v>0</v>
      </c>
      <c r="BO40" s="1368">
        <f t="shared" ref="BO40:BO64" si="145">BO8-BI8</f>
        <v>0</v>
      </c>
      <c r="BP40" s="1366"/>
      <c r="BQ40" s="1365">
        <v>0</v>
      </c>
      <c r="BR40" s="1364">
        <v>0</v>
      </c>
      <c r="BS40" s="1364">
        <v>0</v>
      </c>
      <c r="BT40" s="1364">
        <v>0</v>
      </c>
      <c r="BU40" s="1368">
        <f t="shared" ref="BU40:BU64" si="146">BU8-BO8</f>
        <v>0</v>
      </c>
      <c r="BV40" s="1366"/>
      <c r="BW40" s="1365">
        <v>0</v>
      </c>
      <c r="BX40" s="1364">
        <v>0</v>
      </c>
      <c r="BY40" s="1364">
        <v>0</v>
      </c>
      <c r="BZ40" s="1364">
        <v>0</v>
      </c>
      <c r="CA40" s="1368">
        <f t="shared" ref="CA40:CA64" si="147">CA8-BU8</f>
        <v>0</v>
      </c>
      <c r="CB40" s="1366"/>
      <c r="CC40" s="1365">
        <v>0</v>
      </c>
      <c r="CD40" s="1364">
        <v>0</v>
      </c>
      <c r="CE40" s="1364">
        <v>0</v>
      </c>
      <c r="CF40" s="1364">
        <v>0</v>
      </c>
      <c r="CG40" s="1368">
        <f t="shared" ref="CG40:CG64" si="148">CG8-CA8</f>
        <v>0</v>
      </c>
    </row>
    <row r="41" spans="2:85" s="771" customFormat="1" ht="12" customHeight="1" x14ac:dyDescent="0.2">
      <c r="B41" s="37" t="s">
        <v>673</v>
      </c>
      <c r="C41" s="1367" t="s">
        <v>158</v>
      </c>
      <c r="D41" s="1366"/>
      <c r="E41" s="1366"/>
      <c r="F41" s="1366"/>
      <c r="G41" s="1368"/>
      <c r="H41" s="1366"/>
      <c r="I41" s="1367"/>
      <c r="J41" s="1366"/>
      <c r="K41" s="1366"/>
      <c r="L41" s="1366"/>
      <c r="M41" s="1368"/>
      <c r="N41" s="1366"/>
      <c r="O41" s="1367"/>
      <c r="P41" s="1366"/>
      <c r="Q41" s="1366"/>
      <c r="R41" s="1366"/>
      <c r="S41" s="1368"/>
      <c r="T41" s="1366"/>
      <c r="U41" s="1367"/>
      <c r="V41" s="1366"/>
      <c r="W41" s="1366"/>
      <c r="X41" s="1366"/>
      <c r="Y41" s="1368"/>
      <c r="Z41" s="1366"/>
      <c r="AA41" s="1367"/>
      <c r="AB41" s="1366"/>
      <c r="AC41" s="1366"/>
      <c r="AD41" s="1366"/>
      <c r="AE41" s="1368"/>
      <c r="AF41" s="1366"/>
      <c r="AG41" s="1367"/>
      <c r="AH41" s="1366"/>
      <c r="AI41" s="1366"/>
      <c r="AJ41" s="1366"/>
      <c r="AK41" s="1368"/>
      <c r="AL41" s="1366"/>
      <c r="AM41" s="1367"/>
      <c r="AN41" s="1366"/>
      <c r="AO41" s="1366"/>
      <c r="AP41" s="1366"/>
      <c r="AQ41" s="1368"/>
      <c r="AR41" s="1366"/>
      <c r="AS41" s="1367"/>
      <c r="AT41" s="1366"/>
      <c r="AU41" s="1366"/>
      <c r="AV41" s="1366"/>
      <c r="AW41" s="1368"/>
      <c r="AX41" s="1366"/>
      <c r="AY41" s="1367"/>
      <c r="AZ41" s="1366"/>
      <c r="BA41" s="1366"/>
      <c r="BB41" s="1366"/>
      <c r="BC41" s="1363"/>
      <c r="BD41" s="1366"/>
      <c r="BE41" s="1367"/>
      <c r="BF41" s="1366"/>
      <c r="BG41" s="1366"/>
      <c r="BH41" s="1366"/>
      <c r="BI41" s="1368">
        <f t="shared" si="144"/>
        <v>-64.900000000000006</v>
      </c>
      <c r="BJ41" s="1366"/>
      <c r="BK41" s="1365">
        <v>0</v>
      </c>
      <c r="BL41" s="1364">
        <v>0</v>
      </c>
      <c r="BM41" s="1364">
        <v>0</v>
      </c>
      <c r="BN41" s="1364">
        <v>0</v>
      </c>
      <c r="BO41" s="1368">
        <f t="shared" si="145"/>
        <v>0</v>
      </c>
      <c r="BP41" s="1366"/>
      <c r="BQ41" s="1365">
        <v>0</v>
      </c>
      <c r="BR41" s="1364">
        <v>0</v>
      </c>
      <c r="BS41" s="1364">
        <v>0</v>
      </c>
      <c r="BT41" s="1364">
        <v>0</v>
      </c>
      <c r="BU41" s="1368">
        <f t="shared" si="146"/>
        <v>0</v>
      </c>
      <c r="BV41" s="1366"/>
      <c r="BW41" s="1365">
        <v>0</v>
      </c>
      <c r="BX41" s="1364">
        <v>0</v>
      </c>
      <c r="BY41" s="1364">
        <v>0</v>
      </c>
      <c r="BZ41" s="1364">
        <v>0</v>
      </c>
      <c r="CA41" s="1368">
        <f t="shared" si="147"/>
        <v>0</v>
      </c>
      <c r="CB41" s="1366"/>
      <c r="CC41" s="1365">
        <v>0</v>
      </c>
      <c r="CD41" s="1364">
        <v>0</v>
      </c>
      <c r="CE41" s="1364">
        <v>0</v>
      </c>
      <c r="CF41" s="1364">
        <v>0</v>
      </c>
      <c r="CG41" s="1368">
        <f t="shared" si="148"/>
        <v>0</v>
      </c>
    </row>
    <row r="42" spans="2:85" s="771" customFormat="1" ht="12" customHeight="1" x14ac:dyDescent="0.2">
      <c r="B42" s="37" t="s">
        <v>674</v>
      </c>
      <c r="C42" s="1367" t="s">
        <v>158</v>
      </c>
      <c r="D42" s="1366"/>
      <c r="E42" s="1366"/>
      <c r="F42" s="1366"/>
      <c r="G42" s="1368"/>
      <c r="H42" s="1366"/>
      <c r="I42" s="1367"/>
      <c r="J42" s="1366"/>
      <c r="K42" s="1366"/>
      <c r="L42" s="1366"/>
      <c r="M42" s="1368"/>
      <c r="N42" s="1366"/>
      <c r="O42" s="1367"/>
      <c r="P42" s="1366"/>
      <c r="Q42" s="1366"/>
      <c r="R42" s="1366"/>
      <c r="S42" s="1368"/>
      <c r="T42" s="1366"/>
      <c r="U42" s="1367"/>
      <c r="V42" s="1366"/>
      <c r="W42" s="1366"/>
      <c r="X42" s="1366"/>
      <c r="Y42" s="1368"/>
      <c r="Z42" s="1366"/>
      <c r="AA42" s="1367"/>
      <c r="AB42" s="1366"/>
      <c r="AC42" s="1366"/>
      <c r="AD42" s="1366"/>
      <c r="AE42" s="1368"/>
      <c r="AF42" s="1366"/>
      <c r="AG42" s="1367"/>
      <c r="AH42" s="1366"/>
      <c r="AI42" s="1366"/>
      <c r="AJ42" s="1366"/>
      <c r="AK42" s="1368"/>
      <c r="AL42" s="1366"/>
      <c r="AM42" s="1367"/>
      <c r="AN42" s="1366"/>
      <c r="AO42" s="1366"/>
      <c r="AP42" s="1366"/>
      <c r="AQ42" s="1368"/>
      <c r="AR42" s="1366"/>
      <c r="AS42" s="1367"/>
      <c r="AT42" s="1366"/>
      <c r="AU42" s="1366"/>
      <c r="AV42" s="1366"/>
      <c r="AW42" s="1368"/>
      <c r="AX42" s="1366"/>
      <c r="AY42" s="1367"/>
      <c r="AZ42" s="1366"/>
      <c r="BA42" s="1366"/>
      <c r="BB42" s="1366"/>
      <c r="BC42" s="1363"/>
      <c r="BD42" s="1366"/>
      <c r="BE42" s="1367"/>
      <c r="BF42" s="1366"/>
      <c r="BG42" s="1366"/>
      <c r="BH42" s="1366"/>
      <c r="BI42" s="1368">
        <f t="shared" si="144"/>
        <v>3.0999999999999943</v>
      </c>
      <c r="BJ42" s="1366"/>
      <c r="BK42" s="1365">
        <v>0</v>
      </c>
      <c r="BL42" s="1364">
        <v>0</v>
      </c>
      <c r="BM42" s="1364">
        <v>0</v>
      </c>
      <c r="BN42" s="1364">
        <v>0</v>
      </c>
      <c r="BO42" s="1368">
        <f t="shared" si="145"/>
        <v>3.9000000000000057</v>
      </c>
      <c r="BP42" s="1366"/>
      <c r="BQ42" s="1365">
        <v>0</v>
      </c>
      <c r="BR42" s="1364">
        <v>0</v>
      </c>
      <c r="BS42" s="1364">
        <v>0</v>
      </c>
      <c r="BT42" s="1364">
        <v>0</v>
      </c>
      <c r="BU42" s="1368">
        <f t="shared" si="146"/>
        <v>-3.9000000000000057</v>
      </c>
      <c r="BV42" s="1366"/>
      <c r="BW42" s="1365">
        <v>0</v>
      </c>
      <c r="BX42" s="1364">
        <v>0</v>
      </c>
      <c r="BY42" s="1364">
        <v>0</v>
      </c>
      <c r="BZ42" s="1364">
        <v>0</v>
      </c>
      <c r="CA42" s="1368">
        <f t="shared" si="147"/>
        <v>0</v>
      </c>
      <c r="CB42" s="1366"/>
      <c r="CC42" s="1365">
        <v>0</v>
      </c>
      <c r="CD42" s="1364">
        <v>0</v>
      </c>
      <c r="CE42" s="1364">
        <v>0</v>
      </c>
      <c r="CF42" s="1364">
        <v>0</v>
      </c>
      <c r="CG42" s="1368">
        <f t="shared" si="148"/>
        <v>0</v>
      </c>
    </row>
    <row r="43" spans="2:85" s="771" customFormat="1" ht="12" customHeight="1" x14ac:dyDescent="0.2">
      <c r="B43" s="37" t="s">
        <v>675</v>
      </c>
      <c r="C43" s="1367" t="s">
        <v>158</v>
      </c>
      <c r="D43" s="1366"/>
      <c r="E43" s="1366"/>
      <c r="F43" s="1366"/>
      <c r="G43" s="1368"/>
      <c r="H43" s="1366"/>
      <c r="I43" s="1367"/>
      <c r="J43" s="1366"/>
      <c r="K43" s="1366"/>
      <c r="L43" s="1366"/>
      <c r="M43" s="1368"/>
      <c r="N43" s="1366"/>
      <c r="O43" s="1367"/>
      <c r="P43" s="1366"/>
      <c r="Q43" s="1366"/>
      <c r="R43" s="1366"/>
      <c r="S43" s="1368"/>
      <c r="T43" s="1366"/>
      <c r="U43" s="1367"/>
      <c r="V43" s="1366"/>
      <c r="W43" s="1366"/>
      <c r="X43" s="1366"/>
      <c r="Y43" s="1368"/>
      <c r="Z43" s="1366"/>
      <c r="AA43" s="1367"/>
      <c r="AB43" s="1366"/>
      <c r="AC43" s="1366"/>
      <c r="AD43" s="1366"/>
      <c r="AE43" s="1368"/>
      <c r="AF43" s="1366"/>
      <c r="AG43" s="1367"/>
      <c r="AH43" s="1366"/>
      <c r="AI43" s="1366"/>
      <c r="AJ43" s="1366"/>
      <c r="AK43" s="1368"/>
      <c r="AL43" s="1366"/>
      <c r="AM43" s="1367"/>
      <c r="AN43" s="1366"/>
      <c r="AO43" s="1366"/>
      <c r="AP43" s="1366"/>
      <c r="AQ43" s="1368"/>
      <c r="AR43" s="1366"/>
      <c r="AS43" s="1367"/>
      <c r="AT43" s="1366"/>
      <c r="AU43" s="1366"/>
      <c r="AV43" s="1366"/>
      <c r="AW43" s="1368"/>
      <c r="AX43" s="1366"/>
      <c r="AY43" s="1367"/>
      <c r="AZ43" s="1366"/>
      <c r="BA43" s="1366"/>
      <c r="BB43" s="1366"/>
      <c r="BC43" s="1363"/>
      <c r="BD43" s="1366"/>
      <c r="BE43" s="1367"/>
      <c r="BF43" s="1366"/>
      <c r="BG43" s="1366"/>
      <c r="BH43" s="1366"/>
      <c r="BI43" s="1368">
        <f t="shared" si="144"/>
        <v>-8.6999999999999886</v>
      </c>
      <c r="BJ43" s="1366"/>
      <c r="BK43" s="1365">
        <v>0</v>
      </c>
      <c r="BL43" s="1364">
        <v>0</v>
      </c>
      <c r="BM43" s="1364">
        <v>0</v>
      </c>
      <c r="BN43" s="1364">
        <v>0</v>
      </c>
      <c r="BO43" s="1368">
        <f t="shared" si="145"/>
        <v>-8.8000000000000114</v>
      </c>
      <c r="BP43" s="1366"/>
      <c r="BQ43" s="1365">
        <v>0</v>
      </c>
      <c r="BR43" s="1364">
        <v>0</v>
      </c>
      <c r="BS43" s="1364">
        <v>0</v>
      </c>
      <c r="BT43" s="1364">
        <v>0</v>
      </c>
      <c r="BU43" s="1368">
        <f t="shared" si="146"/>
        <v>8.8000000000000114</v>
      </c>
      <c r="BV43" s="1366"/>
      <c r="BW43" s="1365">
        <v>0</v>
      </c>
      <c r="BX43" s="1364">
        <v>0</v>
      </c>
      <c r="BY43" s="1364">
        <v>0</v>
      </c>
      <c r="BZ43" s="1364">
        <v>0</v>
      </c>
      <c r="CA43" s="1368">
        <f t="shared" si="147"/>
        <v>0</v>
      </c>
      <c r="CB43" s="1366"/>
      <c r="CC43" s="1365">
        <v>0</v>
      </c>
      <c r="CD43" s="1364">
        <v>0</v>
      </c>
      <c r="CE43" s="1364">
        <v>0</v>
      </c>
      <c r="CF43" s="1364">
        <v>0</v>
      </c>
      <c r="CG43" s="1368">
        <f t="shared" si="148"/>
        <v>0</v>
      </c>
    </row>
    <row r="44" spans="2:85" s="771" customFormat="1" ht="12" customHeight="1" x14ac:dyDescent="0.2">
      <c r="B44" s="37" t="s">
        <v>676</v>
      </c>
      <c r="C44" s="1367" t="s">
        <v>158</v>
      </c>
      <c r="D44" s="1366"/>
      <c r="E44" s="1366"/>
      <c r="F44" s="1366"/>
      <c r="G44" s="1368"/>
      <c r="H44" s="1366"/>
      <c r="I44" s="1367"/>
      <c r="J44" s="1366"/>
      <c r="K44" s="1366"/>
      <c r="L44" s="1366"/>
      <c r="M44" s="1368"/>
      <c r="N44" s="1366"/>
      <c r="O44" s="1367"/>
      <c r="P44" s="1366"/>
      <c r="Q44" s="1366"/>
      <c r="R44" s="1366"/>
      <c r="S44" s="1368"/>
      <c r="T44" s="1366"/>
      <c r="U44" s="1367"/>
      <c r="V44" s="1366"/>
      <c r="W44" s="1366"/>
      <c r="X44" s="1366"/>
      <c r="Y44" s="1368"/>
      <c r="Z44" s="1366"/>
      <c r="AA44" s="1367"/>
      <c r="AB44" s="1366"/>
      <c r="AC44" s="1366"/>
      <c r="AD44" s="1366"/>
      <c r="AE44" s="1368"/>
      <c r="AF44" s="1366"/>
      <c r="AG44" s="1367"/>
      <c r="AH44" s="1366"/>
      <c r="AI44" s="1366"/>
      <c r="AJ44" s="1366"/>
      <c r="AK44" s="1368"/>
      <c r="AL44" s="1366"/>
      <c r="AM44" s="1367"/>
      <c r="AN44" s="1366"/>
      <c r="AO44" s="1366"/>
      <c r="AP44" s="1366"/>
      <c r="AQ44" s="1368"/>
      <c r="AR44" s="1366"/>
      <c r="AS44" s="1367"/>
      <c r="AT44" s="1366"/>
      <c r="AU44" s="1366"/>
      <c r="AV44" s="1366"/>
      <c r="AW44" s="1368"/>
      <c r="AX44" s="1366"/>
      <c r="AY44" s="1367"/>
      <c r="AZ44" s="1366"/>
      <c r="BA44" s="1366"/>
      <c r="BB44" s="1366"/>
      <c r="BC44" s="1363"/>
      <c r="BD44" s="1366"/>
      <c r="BE44" s="1367"/>
      <c r="BF44" s="1366"/>
      <c r="BG44" s="1366"/>
      <c r="BH44" s="1366"/>
      <c r="BI44" s="1368">
        <f t="shared" si="144"/>
        <v>9.9999999999965894E-2</v>
      </c>
      <c r="BJ44" s="1366"/>
      <c r="BK44" s="1365">
        <v>0</v>
      </c>
      <c r="BL44" s="1364">
        <v>0</v>
      </c>
      <c r="BM44" s="1364">
        <v>0</v>
      </c>
      <c r="BN44" s="1364">
        <v>0</v>
      </c>
      <c r="BO44" s="1368">
        <f t="shared" si="145"/>
        <v>0</v>
      </c>
      <c r="BP44" s="1366"/>
      <c r="BQ44" s="1365">
        <v>0</v>
      </c>
      <c r="BR44" s="1364">
        <v>0</v>
      </c>
      <c r="BS44" s="1364">
        <v>0</v>
      </c>
      <c r="BT44" s="1364">
        <v>0</v>
      </c>
      <c r="BU44" s="1368">
        <f t="shared" si="146"/>
        <v>0</v>
      </c>
      <c r="BV44" s="1366"/>
      <c r="BW44" s="1365">
        <v>0</v>
      </c>
      <c r="BX44" s="1364">
        <v>0</v>
      </c>
      <c r="BY44" s="1364">
        <v>0</v>
      </c>
      <c r="BZ44" s="1364">
        <v>0</v>
      </c>
      <c r="CA44" s="1368">
        <f t="shared" si="147"/>
        <v>0</v>
      </c>
      <c r="CB44" s="1366"/>
      <c r="CC44" s="1365">
        <v>0</v>
      </c>
      <c r="CD44" s="1364">
        <v>0</v>
      </c>
      <c r="CE44" s="1364">
        <v>0</v>
      </c>
      <c r="CF44" s="1364">
        <v>0</v>
      </c>
      <c r="CG44" s="1368">
        <f t="shared" si="148"/>
        <v>0</v>
      </c>
    </row>
    <row r="45" spans="2:85" s="771" customFormat="1" ht="12" customHeight="1" x14ac:dyDescent="0.2">
      <c r="B45" s="37" t="s">
        <v>677</v>
      </c>
      <c r="C45" s="1367" t="s">
        <v>158</v>
      </c>
      <c r="D45" s="1366"/>
      <c r="E45" s="1366"/>
      <c r="F45" s="1366"/>
      <c r="G45" s="1368"/>
      <c r="H45" s="1366"/>
      <c r="I45" s="1367"/>
      <c r="J45" s="1366"/>
      <c r="K45" s="1366"/>
      <c r="L45" s="1366"/>
      <c r="M45" s="1368"/>
      <c r="N45" s="1366"/>
      <c r="O45" s="1367"/>
      <c r="P45" s="1366"/>
      <c r="Q45" s="1366"/>
      <c r="R45" s="1366"/>
      <c r="S45" s="1368"/>
      <c r="T45" s="1366"/>
      <c r="U45" s="1367"/>
      <c r="V45" s="1366"/>
      <c r="W45" s="1366"/>
      <c r="X45" s="1366"/>
      <c r="Y45" s="1368"/>
      <c r="Z45" s="1366"/>
      <c r="AA45" s="1367"/>
      <c r="AB45" s="1366"/>
      <c r="AC45" s="1366"/>
      <c r="AD45" s="1366"/>
      <c r="AE45" s="1368"/>
      <c r="AF45" s="1366"/>
      <c r="AG45" s="1367"/>
      <c r="AH45" s="1366"/>
      <c r="AI45" s="1366"/>
      <c r="AJ45" s="1366"/>
      <c r="AK45" s="1368"/>
      <c r="AL45" s="1366"/>
      <c r="AM45" s="1367"/>
      <c r="AN45" s="1366"/>
      <c r="AO45" s="1366"/>
      <c r="AP45" s="1366"/>
      <c r="AQ45" s="1368"/>
      <c r="AR45" s="1366"/>
      <c r="AS45" s="1367"/>
      <c r="AT45" s="1366"/>
      <c r="AU45" s="1366"/>
      <c r="AV45" s="1366"/>
      <c r="AW45" s="1368"/>
      <c r="AX45" s="1366"/>
      <c r="AY45" s="1367"/>
      <c r="AZ45" s="1366"/>
      <c r="BA45" s="1366"/>
      <c r="BB45" s="1366"/>
      <c r="BC45" s="1363"/>
      <c r="BD45" s="1366"/>
      <c r="BE45" s="1367"/>
      <c r="BF45" s="1366"/>
      <c r="BG45" s="1366"/>
      <c r="BH45" s="1366"/>
      <c r="BI45" s="1368">
        <f t="shared" si="144"/>
        <v>73.8</v>
      </c>
      <c r="BJ45" s="1366"/>
      <c r="BK45" s="1365">
        <v>0</v>
      </c>
      <c r="BL45" s="1364">
        <v>0</v>
      </c>
      <c r="BM45" s="1364">
        <v>0</v>
      </c>
      <c r="BN45" s="1364">
        <v>0</v>
      </c>
      <c r="BO45" s="1368">
        <f t="shared" si="145"/>
        <v>10.200000000000003</v>
      </c>
      <c r="BP45" s="1366"/>
      <c r="BQ45" s="1365">
        <v>0</v>
      </c>
      <c r="BR45" s="1364">
        <v>0</v>
      </c>
      <c r="BS45" s="1364">
        <v>0</v>
      </c>
      <c r="BT45" s="1364">
        <v>0</v>
      </c>
      <c r="BU45" s="1368">
        <f t="shared" si="146"/>
        <v>-10.200000000000003</v>
      </c>
      <c r="BV45" s="1366"/>
      <c r="BW45" s="1365">
        <v>0</v>
      </c>
      <c r="BX45" s="1364">
        <v>0</v>
      </c>
      <c r="BY45" s="1364">
        <v>0</v>
      </c>
      <c r="BZ45" s="1364">
        <v>0</v>
      </c>
      <c r="CA45" s="1368">
        <f t="shared" si="147"/>
        <v>0</v>
      </c>
      <c r="CB45" s="1366"/>
      <c r="CC45" s="1365">
        <v>0</v>
      </c>
      <c r="CD45" s="1364">
        <v>0</v>
      </c>
      <c r="CE45" s="1364">
        <v>0</v>
      </c>
      <c r="CF45" s="1364">
        <v>0</v>
      </c>
      <c r="CG45" s="1368">
        <f t="shared" si="148"/>
        <v>0</v>
      </c>
    </row>
    <row r="46" spans="2:85" s="771" customFormat="1" ht="12" customHeight="1" x14ac:dyDescent="0.2">
      <c r="B46" s="37" t="s">
        <v>678</v>
      </c>
      <c r="C46" s="1367" t="s">
        <v>158</v>
      </c>
      <c r="D46" s="1366"/>
      <c r="E46" s="1366"/>
      <c r="F46" s="1366"/>
      <c r="G46" s="1368"/>
      <c r="H46" s="1366"/>
      <c r="I46" s="1367"/>
      <c r="J46" s="1366"/>
      <c r="K46" s="1366"/>
      <c r="L46" s="1366"/>
      <c r="M46" s="1368"/>
      <c r="N46" s="1366"/>
      <c r="O46" s="1367"/>
      <c r="P46" s="1366"/>
      <c r="Q46" s="1366"/>
      <c r="R46" s="1366"/>
      <c r="S46" s="1368"/>
      <c r="T46" s="1366"/>
      <c r="U46" s="1367"/>
      <c r="V46" s="1366"/>
      <c r="W46" s="1366"/>
      <c r="X46" s="1366"/>
      <c r="Y46" s="1368"/>
      <c r="Z46" s="1366"/>
      <c r="AA46" s="1367"/>
      <c r="AB46" s="1366"/>
      <c r="AC46" s="1366"/>
      <c r="AD46" s="1366"/>
      <c r="AE46" s="1368"/>
      <c r="AF46" s="1366"/>
      <c r="AG46" s="1367"/>
      <c r="AH46" s="1366"/>
      <c r="AI46" s="1366"/>
      <c r="AJ46" s="1366"/>
      <c r="AK46" s="1368"/>
      <c r="AL46" s="1366"/>
      <c r="AM46" s="1367"/>
      <c r="AN46" s="1366"/>
      <c r="AO46" s="1366"/>
      <c r="AP46" s="1366"/>
      <c r="AQ46" s="1368"/>
      <c r="AR46" s="1366"/>
      <c r="AS46" s="1367"/>
      <c r="AT46" s="1366"/>
      <c r="AU46" s="1366"/>
      <c r="AV46" s="1366"/>
      <c r="AW46" s="1368"/>
      <c r="AX46" s="1366"/>
      <c r="AY46" s="1367"/>
      <c r="AZ46" s="1366"/>
      <c r="BA46" s="1366"/>
      <c r="BB46" s="1366"/>
      <c r="BC46" s="1363"/>
      <c r="BD46" s="1366"/>
      <c r="BE46" s="1367"/>
      <c r="BF46" s="1366"/>
      <c r="BG46" s="1366"/>
      <c r="BH46" s="1366"/>
      <c r="BI46" s="1368">
        <f t="shared" si="144"/>
        <v>-0.5</v>
      </c>
      <c r="BJ46" s="1366"/>
      <c r="BK46" s="1365">
        <v>0</v>
      </c>
      <c r="BL46" s="1364">
        <v>0</v>
      </c>
      <c r="BM46" s="1364">
        <v>0</v>
      </c>
      <c r="BN46" s="1364">
        <v>0</v>
      </c>
      <c r="BO46" s="1368">
        <f t="shared" si="145"/>
        <v>1.1000000000000014</v>
      </c>
      <c r="BP46" s="1366"/>
      <c r="BQ46" s="1365">
        <v>0</v>
      </c>
      <c r="BR46" s="1364">
        <v>0</v>
      </c>
      <c r="BS46" s="1364">
        <v>0</v>
      </c>
      <c r="BT46" s="1364">
        <v>0</v>
      </c>
      <c r="BU46" s="1368">
        <f t="shared" si="146"/>
        <v>-1.1000000000000014</v>
      </c>
      <c r="BV46" s="1366"/>
      <c r="BW46" s="1365">
        <v>0</v>
      </c>
      <c r="BX46" s="1364">
        <v>0</v>
      </c>
      <c r="BY46" s="1364">
        <v>0</v>
      </c>
      <c r="BZ46" s="1364">
        <v>0</v>
      </c>
      <c r="CA46" s="1368">
        <f t="shared" si="147"/>
        <v>0</v>
      </c>
      <c r="CB46" s="1366"/>
      <c r="CC46" s="1365">
        <v>0</v>
      </c>
      <c r="CD46" s="1364">
        <v>0</v>
      </c>
      <c r="CE46" s="1364">
        <v>0</v>
      </c>
      <c r="CF46" s="1364">
        <v>0</v>
      </c>
      <c r="CG46" s="1368">
        <f t="shared" si="148"/>
        <v>0</v>
      </c>
    </row>
    <row r="47" spans="2:85" s="771" customFormat="1" ht="12" customHeight="1" x14ac:dyDescent="0.2">
      <c r="B47" s="37" t="s">
        <v>679</v>
      </c>
      <c r="C47" s="1367" t="s">
        <v>158</v>
      </c>
      <c r="D47" s="1366"/>
      <c r="E47" s="1366"/>
      <c r="F47" s="1366"/>
      <c r="G47" s="1368"/>
      <c r="H47" s="1366"/>
      <c r="I47" s="1367"/>
      <c r="J47" s="1366"/>
      <c r="K47" s="1366"/>
      <c r="L47" s="1366"/>
      <c r="M47" s="1368"/>
      <c r="N47" s="1366"/>
      <c r="O47" s="1367"/>
      <c r="P47" s="1366"/>
      <c r="Q47" s="1366"/>
      <c r="R47" s="1366"/>
      <c r="S47" s="1368"/>
      <c r="T47" s="1366"/>
      <c r="U47" s="1367"/>
      <c r="V47" s="1366"/>
      <c r="W47" s="1366"/>
      <c r="X47" s="1366"/>
      <c r="Y47" s="1368"/>
      <c r="Z47" s="1366"/>
      <c r="AA47" s="1367"/>
      <c r="AB47" s="1366"/>
      <c r="AC47" s="1366"/>
      <c r="AD47" s="1366"/>
      <c r="AE47" s="1368"/>
      <c r="AF47" s="1366"/>
      <c r="AG47" s="1367"/>
      <c r="AH47" s="1366"/>
      <c r="AI47" s="1366"/>
      <c r="AJ47" s="1366"/>
      <c r="AK47" s="1368"/>
      <c r="AL47" s="1366"/>
      <c r="AM47" s="1367"/>
      <c r="AN47" s="1366"/>
      <c r="AO47" s="1366"/>
      <c r="AP47" s="1366"/>
      <c r="AQ47" s="1368"/>
      <c r="AR47" s="1366"/>
      <c r="AS47" s="1367"/>
      <c r="AT47" s="1366"/>
      <c r="AU47" s="1366"/>
      <c r="AV47" s="1366"/>
      <c r="AW47" s="1368"/>
      <c r="AX47" s="1366"/>
      <c r="AY47" s="1367"/>
      <c r="AZ47" s="1366"/>
      <c r="BA47" s="1366"/>
      <c r="BB47" s="1366"/>
      <c r="BC47" s="1363"/>
      <c r="BD47" s="1366"/>
      <c r="BE47" s="1367"/>
      <c r="BF47" s="1366"/>
      <c r="BG47" s="1366"/>
      <c r="BH47" s="1366"/>
      <c r="BI47" s="1368">
        <f t="shared" si="144"/>
        <v>-3.0999999999999943</v>
      </c>
      <c r="BJ47" s="1366"/>
      <c r="BK47" s="1365">
        <v>0</v>
      </c>
      <c r="BL47" s="1364">
        <v>0</v>
      </c>
      <c r="BM47" s="1364">
        <v>0</v>
      </c>
      <c r="BN47" s="1364">
        <v>0</v>
      </c>
      <c r="BO47" s="1368">
        <f t="shared" si="145"/>
        <v>14.299999999999997</v>
      </c>
      <c r="BP47" s="1366"/>
      <c r="BQ47" s="1365">
        <v>0</v>
      </c>
      <c r="BR47" s="1364">
        <v>0</v>
      </c>
      <c r="BS47" s="1364">
        <v>0</v>
      </c>
      <c r="BT47" s="1364">
        <v>0</v>
      </c>
      <c r="BU47" s="1368">
        <f t="shared" si="146"/>
        <v>-14.299999999999997</v>
      </c>
      <c r="BV47" s="1366"/>
      <c r="BW47" s="1365">
        <v>0</v>
      </c>
      <c r="BX47" s="1364">
        <v>0</v>
      </c>
      <c r="BY47" s="1364">
        <v>0</v>
      </c>
      <c r="BZ47" s="1364">
        <v>0</v>
      </c>
      <c r="CA47" s="1368">
        <f t="shared" si="147"/>
        <v>0</v>
      </c>
      <c r="CB47" s="1366"/>
      <c r="CC47" s="1365">
        <v>0</v>
      </c>
      <c r="CD47" s="1364">
        <v>0</v>
      </c>
      <c r="CE47" s="1364">
        <v>0</v>
      </c>
      <c r="CF47" s="1364">
        <v>0</v>
      </c>
      <c r="CG47" s="1368">
        <f t="shared" si="148"/>
        <v>0</v>
      </c>
    </row>
    <row r="48" spans="2:85" s="771" customFormat="1" ht="12" customHeight="1" x14ac:dyDescent="0.2">
      <c r="B48" s="37" t="s">
        <v>680</v>
      </c>
      <c r="C48" s="1367" t="s">
        <v>158</v>
      </c>
      <c r="D48" s="1366"/>
      <c r="E48" s="1366"/>
      <c r="F48" s="1366"/>
      <c r="G48" s="1368"/>
      <c r="H48" s="1366"/>
      <c r="I48" s="1367"/>
      <c r="J48" s="1366"/>
      <c r="K48" s="1366"/>
      <c r="L48" s="1366"/>
      <c r="M48" s="1368"/>
      <c r="N48" s="1366"/>
      <c r="O48" s="1367"/>
      <c r="P48" s="1366"/>
      <c r="Q48" s="1366"/>
      <c r="R48" s="1366"/>
      <c r="S48" s="1368"/>
      <c r="T48" s="1366"/>
      <c r="U48" s="1367"/>
      <c r="V48" s="1366"/>
      <c r="W48" s="1366"/>
      <c r="X48" s="1366"/>
      <c r="Y48" s="1368"/>
      <c r="Z48" s="1366"/>
      <c r="AA48" s="1367"/>
      <c r="AB48" s="1366"/>
      <c r="AC48" s="1366"/>
      <c r="AD48" s="1366"/>
      <c r="AE48" s="1368"/>
      <c r="AF48" s="1366"/>
      <c r="AG48" s="1367"/>
      <c r="AH48" s="1366"/>
      <c r="AI48" s="1366"/>
      <c r="AJ48" s="1366"/>
      <c r="AK48" s="1368"/>
      <c r="AL48" s="1366"/>
      <c r="AM48" s="1367"/>
      <c r="AN48" s="1366"/>
      <c r="AO48" s="1366"/>
      <c r="AP48" s="1366"/>
      <c r="AQ48" s="1368"/>
      <c r="AR48" s="1366"/>
      <c r="AS48" s="1367"/>
      <c r="AT48" s="1366"/>
      <c r="AU48" s="1366"/>
      <c r="AV48" s="1366"/>
      <c r="AW48" s="1368"/>
      <c r="AX48" s="1366"/>
      <c r="AY48" s="1367"/>
      <c r="AZ48" s="1366"/>
      <c r="BA48" s="1366"/>
      <c r="BB48" s="1366"/>
      <c r="BC48" s="1363"/>
      <c r="BD48" s="1366"/>
      <c r="BE48" s="1367"/>
      <c r="BF48" s="1366"/>
      <c r="BG48" s="1366"/>
      <c r="BH48" s="1366"/>
      <c r="BI48" s="1368">
        <f t="shared" si="144"/>
        <v>27.4</v>
      </c>
      <c r="BJ48" s="1366"/>
      <c r="BK48" s="1365">
        <v>0</v>
      </c>
      <c r="BL48" s="1364">
        <v>0</v>
      </c>
      <c r="BM48" s="1364">
        <v>0</v>
      </c>
      <c r="BN48" s="1364">
        <v>0</v>
      </c>
      <c r="BO48" s="1368">
        <f t="shared" si="145"/>
        <v>3.8000000000000007</v>
      </c>
      <c r="BP48" s="1366"/>
      <c r="BQ48" s="1365">
        <v>0</v>
      </c>
      <c r="BR48" s="1364">
        <v>0</v>
      </c>
      <c r="BS48" s="1364">
        <v>0</v>
      </c>
      <c r="BT48" s="1364">
        <v>0</v>
      </c>
      <c r="BU48" s="1368">
        <f t="shared" si="146"/>
        <v>-3.8000000000000007</v>
      </c>
      <c r="BV48" s="1366"/>
      <c r="BW48" s="1365">
        <v>0</v>
      </c>
      <c r="BX48" s="1364">
        <v>0</v>
      </c>
      <c r="BY48" s="1364">
        <v>0</v>
      </c>
      <c r="BZ48" s="1364">
        <v>0</v>
      </c>
      <c r="CA48" s="1368">
        <f t="shared" si="147"/>
        <v>0</v>
      </c>
      <c r="CB48" s="1366"/>
      <c r="CC48" s="1365">
        <v>0</v>
      </c>
      <c r="CD48" s="1364">
        <v>0</v>
      </c>
      <c r="CE48" s="1364">
        <v>0</v>
      </c>
      <c r="CF48" s="1364">
        <v>0</v>
      </c>
      <c r="CG48" s="1368">
        <f t="shared" si="148"/>
        <v>0</v>
      </c>
    </row>
    <row r="49" spans="2:85" s="771" customFormat="1" ht="12" customHeight="1" x14ac:dyDescent="0.2">
      <c r="B49" s="37" t="s">
        <v>681</v>
      </c>
      <c r="C49" s="1367" t="s">
        <v>158</v>
      </c>
      <c r="D49" s="1366"/>
      <c r="E49" s="1366"/>
      <c r="F49" s="1366"/>
      <c r="G49" s="1368"/>
      <c r="H49" s="1366"/>
      <c r="I49" s="1367"/>
      <c r="J49" s="1366"/>
      <c r="K49" s="1366"/>
      <c r="L49" s="1366"/>
      <c r="M49" s="1368"/>
      <c r="N49" s="1366"/>
      <c r="O49" s="1367"/>
      <c r="P49" s="1366"/>
      <c r="Q49" s="1366"/>
      <c r="R49" s="1366"/>
      <c r="S49" s="1368"/>
      <c r="T49" s="1366"/>
      <c r="U49" s="1367"/>
      <c r="V49" s="1366"/>
      <c r="W49" s="1366"/>
      <c r="X49" s="1366"/>
      <c r="Y49" s="1368"/>
      <c r="Z49" s="1366"/>
      <c r="AA49" s="1367"/>
      <c r="AB49" s="1366"/>
      <c r="AC49" s="1366"/>
      <c r="AD49" s="1366"/>
      <c r="AE49" s="1368"/>
      <c r="AF49" s="1366"/>
      <c r="AG49" s="1367"/>
      <c r="AH49" s="1366"/>
      <c r="AI49" s="1366"/>
      <c r="AJ49" s="1366"/>
      <c r="AK49" s="1368"/>
      <c r="AL49" s="1366"/>
      <c r="AM49" s="1367"/>
      <c r="AN49" s="1366"/>
      <c r="AO49" s="1366"/>
      <c r="AP49" s="1366"/>
      <c r="AQ49" s="1368"/>
      <c r="AR49" s="1366"/>
      <c r="AS49" s="1367"/>
      <c r="AT49" s="1366"/>
      <c r="AU49" s="1366"/>
      <c r="AV49" s="1366"/>
      <c r="AW49" s="1368"/>
      <c r="AX49" s="1366"/>
      <c r="AY49" s="1367"/>
      <c r="AZ49" s="1366"/>
      <c r="BA49" s="1366"/>
      <c r="BB49" s="1366"/>
      <c r="BC49" s="1363"/>
      <c r="BD49" s="1366"/>
      <c r="BE49" s="1367"/>
      <c r="BF49" s="1366"/>
      <c r="BG49" s="1366"/>
      <c r="BH49" s="1366"/>
      <c r="BI49" s="1368">
        <f t="shared" si="144"/>
        <v>57</v>
      </c>
      <c r="BJ49" s="1366"/>
      <c r="BK49" s="1365">
        <v>0</v>
      </c>
      <c r="BL49" s="1364">
        <v>0</v>
      </c>
      <c r="BM49" s="1364">
        <v>0</v>
      </c>
      <c r="BN49" s="1364">
        <v>0</v>
      </c>
      <c r="BO49" s="1368">
        <f t="shared" si="145"/>
        <v>2.5</v>
      </c>
      <c r="BP49" s="1366"/>
      <c r="BQ49" s="1365">
        <v>0</v>
      </c>
      <c r="BR49" s="1364">
        <v>0</v>
      </c>
      <c r="BS49" s="1364">
        <v>0</v>
      </c>
      <c r="BT49" s="1364">
        <v>0</v>
      </c>
      <c r="BU49" s="1368">
        <f t="shared" si="146"/>
        <v>-2.5</v>
      </c>
      <c r="BV49" s="1366"/>
      <c r="BW49" s="1365">
        <v>0</v>
      </c>
      <c r="BX49" s="1364">
        <v>0</v>
      </c>
      <c r="BY49" s="1364">
        <v>0</v>
      </c>
      <c r="BZ49" s="1364">
        <v>0</v>
      </c>
      <c r="CA49" s="1368">
        <f t="shared" si="147"/>
        <v>0</v>
      </c>
      <c r="CB49" s="1366"/>
      <c r="CC49" s="1365">
        <v>0</v>
      </c>
      <c r="CD49" s="1364">
        <v>0</v>
      </c>
      <c r="CE49" s="1364">
        <v>0</v>
      </c>
      <c r="CF49" s="1364">
        <v>0</v>
      </c>
      <c r="CG49" s="1368">
        <f t="shared" si="148"/>
        <v>0</v>
      </c>
    </row>
    <row r="50" spans="2:85" s="771" customFormat="1" ht="12" customHeight="1" x14ac:dyDescent="0.2">
      <c r="B50" s="37" t="s">
        <v>682</v>
      </c>
      <c r="C50" s="1367" t="s">
        <v>158</v>
      </c>
      <c r="D50" s="1366"/>
      <c r="E50" s="1366"/>
      <c r="F50" s="1366"/>
      <c r="G50" s="1368"/>
      <c r="H50" s="1366"/>
      <c r="I50" s="1367"/>
      <c r="J50" s="1366"/>
      <c r="K50" s="1366"/>
      <c r="L50" s="1366"/>
      <c r="M50" s="1368"/>
      <c r="N50" s="1366"/>
      <c r="O50" s="1367"/>
      <c r="P50" s="1366"/>
      <c r="Q50" s="1366"/>
      <c r="R50" s="1366"/>
      <c r="S50" s="1368"/>
      <c r="T50" s="1366"/>
      <c r="U50" s="1367"/>
      <c r="V50" s="1366"/>
      <c r="W50" s="1366"/>
      <c r="X50" s="1366"/>
      <c r="Y50" s="1368"/>
      <c r="Z50" s="1366"/>
      <c r="AA50" s="1367"/>
      <c r="AB50" s="1366"/>
      <c r="AC50" s="1366"/>
      <c r="AD50" s="1366"/>
      <c r="AE50" s="1368"/>
      <c r="AF50" s="1366"/>
      <c r="AG50" s="1367"/>
      <c r="AH50" s="1366"/>
      <c r="AI50" s="1366"/>
      <c r="AJ50" s="1366"/>
      <c r="AK50" s="1368"/>
      <c r="AL50" s="1366"/>
      <c r="AM50" s="1367"/>
      <c r="AN50" s="1366"/>
      <c r="AO50" s="1366"/>
      <c r="AP50" s="1366"/>
      <c r="AQ50" s="1368"/>
      <c r="AR50" s="1366"/>
      <c r="AS50" s="1367"/>
      <c r="AT50" s="1366"/>
      <c r="AU50" s="1366"/>
      <c r="AV50" s="1366"/>
      <c r="AW50" s="1368"/>
      <c r="AX50" s="1366"/>
      <c r="AY50" s="1367"/>
      <c r="AZ50" s="1366"/>
      <c r="BA50" s="1366"/>
      <c r="BB50" s="1366"/>
      <c r="BC50" s="1363"/>
      <c r="BD50" s="1366"/>
      <c r="BE50" s="1367"/>
      <c r="BF50" s="1366"/>
      <c r="BG50" s="1366"/>
      <c r="BH50" s="1366"/>
      <c r="BI50" s="1368">
        <f t="shared" si="144"/>
        <v>111.7</v>
      </c>
      <c r="BJ50" s="1366"/>
      <c r="BK50" s="1365">
        <v>0</v>
      </c>
      <c r="BL50" s="1364">
        <v>0</v>
      </c>
      <c r="BM50" s="1364">
        <v>0</v>
      </c>
      <c r="BN50" s="1364">
        <v>0</v>
      </c>
      <c r="BO50" s="1368">
        <f t="shared" si="145"/>
        <v>15.599999999999994</v>
      </c>
      <c r="BP50" s="1366"/>
      <c r="BQ50" s="1365">
        <v>0</v>
      </c>
      <c r="BR50" s="1364">
        <v>0</v>
      </c>
      <c r="BS50" s="1364">
        <v>0</v>
      </c>
      <c r="BT50" s="1364">
        <v>0</v>
      </c>
      <c r="BU50" s="1368">
        <f t="shared" si="146"/>
        <v>-15.599999999999994</v>
      </c>
      <c r="BV50" s="1366"/>
      <c r="BW50" s="1365">
        <v>0</v>
      </c>
      <c r="BX50" s="1364">
        <v>0</v>
      </c>
      <c r="BY50" s="1364">
        <v>0</v>
      </c>
      <c r="BZ50" s="1364">
        <v>0</v>
      </c>
      <c r="CA50" s="1368">
        <f t="shared" si="147"/>
        <v>0</v>
      </c>
      <c r="CB50" s="1366"/>
      <c r="CC50" s="1365">
        <v>0</v>
      </c>
      <c r="CD50" s="1364">
        <v>0</v>
      </c>
      <c r="CE50" s="1364">
        <v>0</v>
      </c>
      <c r="CF50" s="1364">
        <v>0</v>
      </c>
      <c r="CG50" s="1368">
        <f t="shared" si="148"/>
        <v>0</v>
      </c>
    </row>
    <row r="51" spans="2:85" s="771" customFormat="1" ht="12" customHeight="1" x14ac:dyDescent="0.2">
      <c r="B51" s="37" t="s">
        <v>683</v>
      </c>
      <c r="C51" s="1367" t="s">
        <v>158</v>
      </c>
      <c r="D51" s="1366"/>
      <c r="E51" s="1366"/>
      <c r="F51" s="1366"/>
      <c r="G51" s="1368"/>
      <c r="H51" s="1366"/>
      <c r="I51" s="1367"/>
      <c r="J51" s="1366"/>
      <c r="K51" s="1366"/>
      <c r="L51" s="1366"/>
      <c r="M51" s="1368"/>
      <c r="N51" s="1366"/>
      <c r="O51" s="1367"/>
      <c r="P51" s="1366"/>
      <c r="Q51" s="1366"/>
      <c r="R51" s="1366"/>
      <c r="S51" s="1368"/>
      <c r="T51" s="1366"/>
      <c r="U51" s="1367"/>
      <c r="V51" s="1366"/>
      <c r="W51" s="1366"/>
      <c r="X51" s="1366"/>
      <c r="Y51" s="1368"/>
      <c r="Z51" s="1366"/>
      <c r="AA51" s="1367"/>
      <c r="AB51" s="1366"/>
      <c r="AC51" s="1366"/>
      <c r="AD51" s="1366"/>
      <c r="AE51" s="1368"/>
      <c r="AF51" s="1366"/>
      <c r="AG51" s="1367"/>
      <c r="AH51" s="1366"/>
      <c r="AI51" s="1366"/>
      <c r="AJ51" s="1366"/>
      <c r="AK51" s="1368"/>
      <c r="AL51" s="1366"/>
      <c r="AM51" s="1367"/>
      <c r="AN51" s="1366"/>
      <c r="AO51" s="1366"/>
      <c r="AP51" s="1366"/>
      <c r="AQ51" s="1368"/>
      <c r="AR51" s="1366"/>
      <c r="AS51" s="1367"/>
      <c r="AT51" s="1366"/>
      <c r="AU51" s="1366"/>
      <c r="AV51" s="1366"/>
      <c r="AW51" s="1368"/>
      <c r="AX51" s="1366"/>
      <c r="AY51" s="1367"/>
      <c r="AZ51" s="1366"/>
      <c r="BA51" s="1366"/>
      <c r="BB51" s="1366"/>
      <c r="BC51" s="1363"/>
      <c r="BD51" s="1366"/>
      <c r="BE51" s="1367"/>
      <c r="BF51" s="1366"/>
      <c r="BG51" s="1366"/>
      <c r="BH51" s="1366"/>
      <c r="BI51" s="1368">
        <f t="shared" si="144"/>
        <v>73.7</v>
      </c>
      <c r="BJ51" s="1366"/>
      <c r="BK51" s="1365">
        <v>0</v>
      </c>
      <c r="BL51" s="1364">
        <v>0</v>
      </c>
      <c r="BM51" s="1364">
        <v>0</v>
      </c>
      <c r="BN51" s="1364">
        <v>0</v>
      </c>
      <c r="BO51" s="1368">
        <f t="shared" si="145"/>
        <v>10.299999999999997</v>
      </c>
      <c r="BP51" s="1366"/>
      <c r="BQ51" s="1365">
        <v>0</v>
      </c>
      <c r="BR51" s="1364">
        <v>0</v>
      </c>
      <c r="BS51" s="1364">
        <v>0</v>
      </c>
      <c r="BT51" s="1364">
        <v>0</v>
      </c>
      <c r="BU51" s="1368">
        <f t="shared" si="146"/>
        <v>-10.299999999999997</v>
      </c>
      <c r="BV51" s="1366"/>
      <c r="BW51" s="1365">
        <v>0</v>
      </c>
      <c r="BX51" s="1364">
        <v>0</v>
      </c>
      <c r="BY51" s="1364">
        <v>0</v>
      </c>
      <c r="BZ51" s="1364">
        <v>0</v>
      </c>
      <c r="CA51" s="1368">
        <f t="shared" si="147"/>
        <v>0</v>
      </c>
      <c r="CB51" s="1366"/>
      <c r="CC51" s="1365">
        <v>0</v>
      </c>
      <c r="CD51" s="1364">
        <v>0</v>
      </c>
      <c r="CE51" s="1364">
        <v>0</v>
      </c>
      <c r="CF51" s="1364">
        <v>0</v>
      </c>
      <c r="CG51" s="1368">
        <f t="shared" si="148"/>
        <v>0</v>
      </c>
    </row>
    <row r="52" spans="2:85" s="771" customFormat="1" ht="12" customHeight="1" x14ac:dyDescent="0.2">
      <c r="B52" s="37" t="s">
        <v>684</v>
      </c>
      <c r="C52" s="1367" t="s">
        <v>158</v>
      </c>
      <c r="D52" s="1366"/>
      <c r="E52" s="1366"/>
      <c r="F52" s="1366"/>
      <c r="G52" s="1368"/>
      <c r="H52" s="1366"/>
      <c r="I52" s="1367"/>
      <c r="J52" s="1366"/>
      <c r="K52" s="1366"/>
      <c r="L52" s="1366"/>
      <c r="M52" s="1368"/>
      <c r="N52" s="1366"/>
      <c r="O52" s="1367"/>
      <c r="P52" s="1366"/>
      <c r="Q52" s="1366"/>
      <c r="R52" s="1366"/>
      <c r="S52" s="1368"/>
      <c r="T52" s="1366"/>
      <c r="U52" s="1367"/>
      <c r="V52" s="1366"/>
      <c r="W52" s="1366"/>
      <c r="X52" s="1366"/>
      <c r="Y52" s="1368"/>
      <c r="Z52" s="1366"/>
      <c r="AA52" s="1367"/>
      <c r="AB52" s="1366"/>
      <c r="AC52" s="1366"/>
      <c r="AD52" s="1366"/>
      <c r="AE52" s="1368"/>
      <c r="AF52" s="1366"/>
      <c r="AG52" s="1367"/>
      <c r="AH52" s="1366"/>
      <c r="AI52" s="1366"/>
      <c r="AJ52" s="1366"/>
      <c r="AK52" s="1368"/>
      <c r="AL52" s="1366"/>
      <c r="AM52" s="1367"/>
      <c r="AN52" s="1366"/>
      <c r="AO52" s="1366"/>
      <c r="AP52" s="1366"/>
      <c r="AQ52" s="1368"/>
      <c r="AR52" s="1366"/>
      <c r="AS52" s="1367"/>
      <c r="AT52" s="1366"/>
      <c r="AU52" s="1366"/>
      <c r="AV52" s="1366"/>
      <c r="AW52" s="1368"/>
      <c r="AX52" s="1366"/>
      <c r="AY52" s="1367"/>
      <c r="AZ52" s="1366"/>
      <c r="BA52" s="1366"/>
      <c r="BB52" s="1366"/>
      <c r="BC52" s="1363"/>
      <c r="BD52" s="1366"/>
      <c r="BE52" s="1367"/>
      <c r="BF52" s="1366"/>
      <c r="BG52" s="1366"/>
      <c r="BH52" s="1366"/>
      <c r="BI52" s="1368">
        <f t="shared" si="144"/>
        <v>-9.9999999999999645E-2</v>
      </c>
      <c r="BJ52" s="1366"/>
      <c r="BK52" s="1365">
        <v>0</v>
      </c>
      <c r="BL52" s="1364">
        <v>0</v>
      </c>
      <c r="BM52" s="1364">
        <v>0</v>
      </c>
      <c r="BN52" s="1364">
        <v>0</v>
      </c>
      <c r="BO52" s="1368">
        <f t="shared" si="145"/>
        <v>0.29999999999999982</v>
      </c>
      <c r="BP52" s="1366"/>
      <c r="BQ52" s="1365">
        <v>0</v>
      </c>
      <c r="BR52" s="1364">
        <v>0</v>
      </c>
      <c r="BS52" s="1364">
        <v>0</v>
      </c>
      <c r="BT52" s="1364">
        <v>0</v>
      </c>
      <c r="BU52" s="1368">
        <f t="shared" si="146"/>
        <v>-0.29999999999999982</v>
      </c>
      <c r="BV52" s="1366"/>
      <c r="BW52" s="1365">
        <v>0</v>
      </c>
      <c r="BX52" s="1364">
        <v>0</v>
      </c>
      <c r="BY52" s="1364">
        <v>0</v>
      </c>
      <c r="BZ52" s="1364">
        <v>0</v>
      </c>
      <c r="CA52" s="1368">
        <f t="shared" si="147"/>
        <v>0</v>
      </c>
      <c r="CB52" s="1366"/>
      <c r="CC52" s="1365">
        <v>0</v>
      </c>
      <c r="CD52" s="1364">
        <v>0</v>
      </c>
      <c r="CE52" s="1364">
        <v>0</v>
      </c>
      <c r="CF52" s="1364">
        <v>0</v>
      </c>
      <c r="CG52" s="1368">
        <f t="shared" si="148"/>
        <v>0</v>
      </c>
    </row>
    <row r="53" spans="2:85" s="771" customFormat="1" ht="12" customHeight="1" x14ac:dyDescent="0.2">
      <c r="B53" s="37" t="s">
        <v>685</v>
      </c>
      <c r="C53" s="1367" t="s">
        <v>158</v>
      </c>
      <c r="D53" s="1366"/>
      <c r="E53" s="1366"/>
      <c r="F53" s="1366"/>
      <c r="G53" s="1368"/>
      <c r="H53" s="1366"/>
      <c r="I53" s="1367"/>
      <c r="J53" s="1366"/>
      <c r="K53" s="1366"/>
      <c r="L53" s="1366"/>
      <c r="M53" s="1368"/>
      <c r="N53" s="1366"/>
      <c r="O53" s="1367"/>
      <c r="P53" s="1366"/>
      <c r="Q53" s="1366"/>
      <c r="R53" s="1366"/>
      <c r="S53" s="1368"/>
      <c r="T53" s="1366"/>
      <c r="U53" s="1367"/>
      <c r="V53" s="1366"/>
      <c r="W53" s="1366"/>
      <c r="X53" s="1366"/>
      <c r="Y53" s="1368"/>
      <c r="Z53" s="1366"/>
      <c r="AA53" s="1367"/>
      <c r="AB53" s="1366"/>
      <c r="AC53" s="1366"/>
      <c r="AD53" s="1366"/>
      <c r="AE53" s="1368"/>
      <c r="AF53" s="1366"/>
      <c r="AG53" s="1367"/>
      <c r="AH53" s="1366"/>
      <c r="AI53" s="1366"/>
      <c r="AJ53" s="1366"/>
      <c r="AK53" s="1368"/>
      <c r="AL53" s="1366"/>
      <c r="AM53" s="1367"/>
      <c r="AN53" s="1366"/>
      <c r="AO53" s="1366"/>
      <c r="AP53" s="1366"/>
      <c r="AQ53" s="1368"/>
      <c r="AR53" s="1366"/>
      <c r="AS53" s="1367"/>
      <c r="AT53" s="1366"/>
      <c r="AU53" s="1366"/>
      <c r="AV53" s="1366"/>
      <c r="AW53" s="1368"/>
      <c r="AX53" s="1366"/>
      <c r="AY53" s="1367"/>
      <c r="AZ53" s="1366"/>
      <c r="BA53" s="1366"/>
      <c r="BB53" s="1366"/>
      <c r="BC53" s="1363"/>
      <c r="BD53" s="1366"/>
      <c r="BE53" s="1367"/>
      <c r="BF53" s="1366"/>
      <c r="BG53" s="1366"/>
      <c r="BH53" s="1366"/>
      <c r="BI53" s="1368">
        <f t="shared" si="144"/>
        <v>-0.5</v>
      </c>
      <c r="BJ53" s="1366"/>
      <c r="BK53" s="1365">
        <v>0</v>
      </c>
      <c r="BL53" s="1364">
        <v>0</v>
      </c>
      <c r="BM53" s="1364">
        <v>0</v>
      </c>
      <c r="BN53" s="1364">
        <v>0</v>
      </c>
      <c r="BO53" s="1368">
        <f t="shared" si="145"/>
        <v>2.1999999999999993</v>
      </c>
      <c r="BP53" s="1366"/>
      <c r="BQ53" s="1365">
        <v>0</v>
      </c>
      <c r="BR53" s="1364">
        <v>0</v>
      </c>
      <c r="BS53" s="1364">
        <v>0</v>
      </c>
      <c r="BT53" s="1364">
        <v>0</v>
      </c>
      <c r="BU53" s="1368">
        <f t="shared" si="146"/>
        <v>-2.1999999999999993</v>
      </c>
      <c r="BV53" s="1366"/>
      <c r="BW53" s="1365">
        <v>0</v>
      </c>
      <c r="BX53" s="1364">
        <v>0</v>
      </c>
      <c r="BY53" s="1364">
        <v>0</v>
      </c>
      <c r="BZ53" s="1364">
        <v>0</v>
      </c>
      <c r="CA53" s="1368">
        <f t="shared" si="147"/>
        <v>0</v>
      </c>
      <c r="CB53" s="1366"/>
      <c r="CC53" s="1365">
        <v>0</v>
      </c>
      <c r="CD53" s="1364">
        <v>0</v>
      </c>
      <c r="CE53" s="1364">
        <v>0</v>
      </c>
      <c r="CF53" s="1364">
        <v>0</v>
      </c>
      <c r="CG53" s="1368">
        <f t="shared" si="148"/>
        <v>0</v>
      </c>
    </row>
    <row r="54" spans="2:85" s="771" customFormat="1" ht="12" customHeight="1" x14ac:dyDescent="0.2">
      <c r="B54" s="37" t="s">
        <v>686</v>
      </c>
      <c r="C54" s="1367" t="s">
        <v>158</v>
      </c>
      <c r="D54" s="1366"/>
      <c r="E54" s="1366"/>
      <c r="F54" s="1366"/>
      <c r="G54" s="1368"/>
      <c r="H54" s="1366"/>
      <c r="I54" s="1367"/>
      <c r="J54" s="1366"/>
      <c r="K54" s="1366"/>
      <c r="L54" s="1366"/>
      <c r="M54" s="1368"/>
      <c r="N54" s="1366"/>
      <c r="O54" s="1367"/>
      <c r="P54" s="1366"/>
      <c r="Q54" s="1366"/>
      <c r="R54" s="1366"/>
      <c r="S54" s="1368"/>
      <c r="T54" s="1366"/>
      <c r="U54" s="1367"/>
      <c r="V54" s="1366"/>
      <c r="W54" s="1366"/>
      <c r="X54" s="1366"/>
      <c r="Y54" s="1368"/>
      <c r="Z54" s="1366"/>
      <c r="AA54" s="1367"/>
      <c r="AB54" s="1366"/>
      <c r="AC54" s="1366"/>
      <c r="AD54" s="1366"/>
      <c r="AE54" s="1368"/>
      <c r="AF54" s="1366"/>
      <c r="AG54" s="1367"/>
      <c r="AH54" s="1366"/>
      <c r="AI54" s="1366"/>
      <c r="AJ54" s="1366"/>
      <c r="AK54" s="1368"/>
      <c r="AL54" s="1366"/>
      <c r="AM54" s="1367"/>
      <c r="AN54" s="1366"/>
      <c r="AO54" s="1366"/>
      <c r="AP54" s="1366"/>
      <c r="AQ54" s="1368"/>
      <c r="AR54" s="1366"/>
      <c r="AS54" s="1367"/>
      <c r="AT54" s="1366"/>
      <c r="AU54" s="1366"/>
      <c r="AV54" s="1366"/>
      <c r="AW54" s="1368"/>
      <c r="AX54" s="1366"/>
      <c r="AY54" s="1367"/>
      <c r="AZ54" s="1366"/>
      <c r="BA54" s="1366"/>
      <c r="BB54" s="1366"/>
      <c r="BC54" s="1363"/>
      <c r="BD54" s="1366"/>
      <c r="BE54" s="1367"/>
      <c r="BF54" s="1366"/>
      <c r="BG54" s="1366"/>
      <c r="BH54" s="1366"/>
      <c r="BI54" s="1368">
        <f t="shared" si="144"/>
        <v>137.6</v>
      </c>
      <c r="BJ54" s="1366"/>
      <c r="BK54" s="1365">
        <v>0</v>
      </c>
      <c r="BL54" s="1364">
        <v>0</v>
      </c>
      <c r="BM54" s="1364">
        <v>0</v>
      </c>
      <c r="BN54" s="1364">
        <v>0</v>
      </c>
      <c r="BO54" s="1368">
        <f t="shared" si="145"/>
        <v>6</v>
      </c>
      <c r="BP54" s="1366"/>
      <c r="BQ54" s="1365">
        <v>0</v>
      </c>
      <c r="BR54" s="1364">
        <v>0</v>
      </c>
      <c r="BS54" s="1364">
        <v>0</v>
      </c>
      <c r="BT54" s="1364">
        <v>0</v>
      </c>
      <c r="BU54" s="1368">
        <f t="shared" si="146"/>
        <v>-6</v>
      </c>
      <c r="BV54" s="1366"/>
      <c r="BW54" s="1365">
        <v>0</v>
      </c>
      <c r="BX54" s="1364">
        <v>0</v>
      </c>
      <c r="BY54" s="1364">
        <v>0</v>
      </c>
      <c r="BZ54" s="1364">
        <v>0</v>
      </c>
      <c r="CA54" s="1368">
        <f t="shared" si="147"/>
        <v>0</v>
      </c>
      <c r="CB54" s="1366"/>
      <c r="CC54" s="1365">
        <v>0</v>
      </c>
      <c r="CD54" s="1364">
        <v>0</v>
      </c>
      <c r="CE54" s="1364">
        <v>0</v>
      </c>
      <c r="CF54" s="1364">
        <v>0</v>
      </c>
      <c r="CG54" s="1368">
        <f t="shared" si="148"/>
        <v>0</v>
      </c>
    </row>
    <row r="55" spans="2:85" s="771" customFormat="1" ht="12" customHeight="1" x14ac:dyDescent="0.2">
      <c r="B55" s="37" t="s">
        <v>687</v>
      </c>
      <c r="C55" s="1367" t="s">
        <v>158</v>
      </c>
      <c r="D55" s="1366"/>
      <c r="E55" s="1366"/>
      <c r="F55" s="1366"/>
      <c r="G55" s="1368"/>
      <c r="H55" s="1366"/>
      <c r="I55" s="1367"/>
      <c r="J55" s="1366"/>
      <c r="K55" s="1366"/>
      <c r="L55" s="1366"/>
      <c r="M55" s="1368"/>
      <c r="N55" s="1366"/>
      <c r="O55" s="1367"/>
      <c r="P55" s="1366"/>
      <c r="Q55" s="1366"/>
      <c r="R55" s="1366"/>
      <c r="S55" s="1368"/>
      <c r="T55" s="1366"/>
      <c r="U55" s="1367"/>
      <c r="V55" s="1366"/>
      <c r="W55" s="1366"/>
      <c r="X55" s="1366"/>
      <c r="Y55" s="1368"/>
      <c r="Z55" s="1366"/>
      <c r="AA55" s="1367"/>
      <c r="AB55" s="1366"/>
      <c r="AC55" s="1366"/>
      <c r="AD55" s="1366"/>
      <c r="AE55" s="1368"/>
      <c r="AF55" s="1366"/>
      <c r="AG55" s="1367"/>
      <c r="AH55" s="1366"/>
      <c r="AI55" s="1366"/>
      <c r="AJ55" s="1366"/>
      <c r="AK55" s="1368"/>
      <c r="AL55" s="1366"/>
      <c r="AM55" s="1367"/>
      <c r="AN55" s="1366"/>
      <c r="AO55" s="1366"/>
      <c r="AP55" s="1366"/>
      <c r="AQ55" s="1368"/>
      <c r="AR55" s="1366"/>
      <c r="AS55" s="1367"/>
      <c r="AT55" s="1366"/>
      <c r="AU55" s="1366"/>
      <c r="AV55" s="1366"/>
      <c r="AW55" s="1368"/>
      <c r="AX55" s="1366"/>
      <c r="AY55" s="1367"/>
      <c r="AZ55" s="1366"/>
      <c r="BA55" s="1366"/>
      <c r="BB55" s="1366"/>
      <c r="BC55" s="1363"/>
      <c r="BD55" s="1366"/>
      <c r="BE55" s="1367"/>
      <c r="BF55" s="1366"/>
      <c r="BG55" s="1366"/>
      <c r="BH55" s="1366"/>
      <c r="BI55" s="1368">
        <f t="shared" si="144"/>
        <v>73.8</v>
      </c>
      <c r="BJ55" s="1366"/>
      <c r="BK55" s="1365">
        <v>0</v>
      </c>
      <c r="BL55" s="1364">
        <v>0</v>
      </c>
      <c r="BM55" s="1364">
        <v>0</v>
      </c>
      <c r="BN55" s="1364">
        <v>0</v>
      </c>
      <c r="BO55" s="1368">
        <f t="shared" si="145"/>
        <v>10.299999999999997</v>
      </c>
      <c r="BP55" s="1366"/>
      <c r="BQ55" s="1365">
        <v>0</v>
      </c>
      <c r="BR55" s="1364">
        <v>0</v>
      </c>
      <c r="BS55" s="1364">
        <v>0</v>
      </c>
      <c r="BT55" s="1364">
        <v>0</v>
      </c>
      <c r="BU55" s="1368">
        <f t="shared" si="146"/>
        <v>-10.299999999999997</v>
      </c>
      <c r="BV55" s="1366"/>
      <c r="BW55" s="1365">
        <v>0</v>
      </c>
      <c r="BX55" s="1364">
        <v>0</v>
      </c>
      <c r="BY55" s="1364">
        <v>0</v>
      </c>
      <c r="BZ55" s="1364">
        <v>0</v>
      </c>
      <c r="CA55" s="1368">
        <f t="shared" si="147"/>
        <v>0</v>
      </c>
      <c r="CB55" s="1366"/>
      <c r="CC55" s="1365">
        <v>0</v>
      </c>
      <c r="CD55" s="1364">
        <v>0</v>
      </c>
      <c r="CE55" s="1364">
        <v>0</v>
      </c>
      <c r="CF55" s="1364">
        <v>0</v>
      </c>
      <c r="CG55" s="1368">
        <f t="shared" si="148"/>
        <v>0</v>
      </c>
    </row>
    <row r="56" spans="2:85" s="771" customFormat="1" ht="12" customHeight="1" x14ac:dyDescent="0.2">
      <c r="B56" s="37" t="s">
        <v>688</v>
      </c>
      <c r="C56" s="1367" t="s">
        <v>158</v>
      </c>
      <c r="D56" s="1366"/>
      <c r="E56" s="1366"/>
      <c r="F56" s="1366"/>
      <c r="G56" s="1368"/>
      <c r="H56" s="1366"/>
      <c r="I56" s="1367"/>
      <c r="J56" s="1366"/>
      <c r="K56" s="1366"/>
      <c r="L56" s="1366"/>
      <c r="M56" s="1368"/>
      <c r="N56" s="1366"/>
      <c r="O56" s="1367"/>
      <c r="P56" s="1366"/>
      <c r="Q56" s="1366"/>
      <c r="R56" s="1366"/>
      <c r="S56" s="1368"/>
      <c r="T56" s="1366"/>
      <c r="U56" s="1367"/>
      <c r="V56" s="1366"/>
      <c r="W56" s="1366"/>
      <c r="X56" s="1366"/>
      <c r="Y56" s="1368"/>
      <c r="Z56" s="1366"/>
      <c r="AA56" s="1367"/>
      <c r="AB56" s="1366"/>
      <c r="AC56" s="1366"/>
      <c r="AD56" s="1366"/>
      <c r="AE56" s="1368"/>
      <c r="AF56" s="1366"/>
      <c r="AG56" s="1367"/>
      <c r="AH56" s="1366"/>
      <c r="AI56" s="1366"/>
      <c r="AJ56" s="1366"/>
      <c r="AK56" s="1368"/>
      <c r="AL56" s="1366"/>
      <c r="AM56" s="1367"/>
      <c r="AN56" s="1366"/>
      <c r="AO56" s="1366"/>
      <c r="AP56" s="1366"/>
      <c r="AQ56" s="1368"/>
      <c r="AR56" s="1366"/>
      <c r="AS56" s="1367"/>
      <c r="AT56" s="1366"/>
      <c r="AU56" s="1366"/>
      <c r="AV56" s="1366"/>
      <c r="AW56" s="1368"/>
      <c r="AX56" s="1366"/>
      <c r="AY56" s="1367"/>
      <c r="AZ56" s="1366"/>
      <c r="BA56" s="1366"/>
      <c r="BB56" s="1366"/>
      <c r="BC56" s="1363"/>
      <c r="BD56" s="1366"/>
      <c r="BE56" s="1367"/>
      <c r="BF56" s="1366"/>
      <c r="BG56" s="1366"/>
      <c r="BH56" s="1366"/>
      <c r="BI56" s="1368">
        <f t="shared" si="144"/>
        <v>73.7</v>
      </c>
      <c r="BJ56" s="1366"/>
      <c r="BK56" s="1365">
        <v>0</v>
      </c>
      <c r="BL56" s="1364">
        <v>0</v>
      </c>
      <c r="BM56" s="1364">
        <v>0</v>
      </c>
      <c r="BN56" s="1364">
        <v>0</v>
      </c>
      <c r="BO56" s="1368">
        <f t="shared" si="145"/>
        <v>10.399999999999991</v>
      </c>
      <c r="BP56" s="1366"/>
      <c r="BQ56" s="1365">
        <v>0</v>
      </c>
      <c r="BR56" s="1364">
        <v>0</v>
      </c>
      <c r="BS56" s="1364">
        <v>0</v>
      </c>
      <c r="BT56" s="1364">
        <v>0</v>
      </c>
      <c r="BU56" s="1368">
        <f t="shared" si="146"/>
        <v>-10.399999999999991</v>
      </c>
      <c r="BV56" s="1366"/>
      <c r="BW56" s="1365">
        <v>0</v>
      </c>
      <c r="BX56" s="1364">
        <v>0</v>
      </c>
      <c r="BY56" s="1364">
        <v>0</v>
      </c>
      <c r="BZ56" s="1364">
        <v>0</v>
      </c>
      <c r="CA56" s="1368">
        <f t="shared" si="147"/>
        <v>0</v>
      </c>
      <c r="CB56" s="1366"/>
      <c r="CC56" s="1365">
        <v>0</v>
      </c>
      <c r="CD56" s="1364">
        <v>0</v>
      </c>
      <c r="CE56" s="1364">
        <v>0</v>
      </c>
      <c r="CF56" s="1364">
        <v>0</v>
      </c>
      <c r="CG56" s="1368">
        <f t="shared" si="148"/>
        <v>0</v>
      </c>
    </row>
    <row r="57" spans="2:85" s="771" customFormat="1" ht="12" customHeight="1" x14ac:dyDescent="0.2">
      <c r="B57" s="37" t="s">
        <v>689</v>
      </c>
      <c r="C57" s="1367" t="s">
        <v>158</v>
      </c>
      <c r="D57" s="1366"/>
      <c r="E57" s="1366"/>
      <c r="F57" s="1366"/>
      <c r="G57" s="1368"/>
      <c r="H57" s="1366"/>
      <c r="I57" s="1367"/>
      <c r="J57" s="1366"/>
      <c r="K57" s="1366"/>
      <c r="L57" s="1366"/>
      <c r="M57" s="1368"/>
      <c r="N57" s="1366"/>
      <c r="O57" s="1367"/>
      <c r="P57" s="1366"/>
      <c r="Q57" s="1366"/>
      <c r="R57" s="1366"/>
      <c r="S57" s="1368"/>
      <c r="T57" s="1366"/>
      <c r="U57" s="1367"/>
      <c r="V57" s="1366"/>
      <c r="W57" s="1366"/>
      <c r="X57" s="1366"/>
      <c r="Y57" s="1368"/>
      <c r="Z57" s="1366"/>
      <c r="AA57" s="1367"/>
      <c r="AB57" s="1366"/>
      <c r="AC57" s="1366"/>
      <c r="AD57" s="1366"/>
      <c r="AE57" s="1368"/>
      <c r="AF57" s="1366"/>
      <c r="AG57" s="1367"/>
      <c r="AH57" s="1366"/>
      <c r="AI57" s="1366"/>
      <c r="AJ57" s="1366"/>
      <c r="AK57" s="1368"/>
      <c r="AL57" s="1366"/>
      <c r="AM57" s="1367"/>
      <c r="AN57" s="1366"/>
      <c r="AO57" s="1366"/>
      <c r="AP57" s="1366"/>
      <c r="AQ57" s="1368"/>
      <c r="AR57" s="1366"/>
      <c r="AS57" s="1367"/>
      <c r="AT57" s="1366"/>
      <c r="AU57" s="1366"/>
      <c r="AV57" s="1366"/>
      <c r="AW57" s="1368"/>
      <c r="AX57" s="1366"/>
      <c r="AY57" s="1367"/>
      <c r="AZ57" s="1366"/>
      <c r="BA57" s="1366"/>
      <c r="BB57" s="1366"/>
      <c r="BC57" s="1363"/>
      <c r="BD57" s="1366"/>
      <c r="BE57" s="1367"/>
      <c r="BF57" s="1366"/>
      <c r="BG57" s="1366"/>
      <c r="BH57" s="1366"/>
      <c r="BI57" s="1368">
        <f t="shared" si="144"/>
        <v>47.4</v>
      </c>
      <c r="BJ57" s="1366"/>
      <c r="BK57" s="1365">
        <v>0</v>
      </c>
      <c r="BL57" s="1364">
        <v>0</v>
      </c>
      <c r="BM57" s="1364">
        <v>0</v>
      </c>
      <c r="BN57" s="1364">
        <v>0</v>
      </c>
      <c r="BO57" s="1368">
        <f t="shared" si="145"/>
        <v>6.6000000000000014</v>
      </c>
      <c r="BP57" s="1366"/>
      <c r="BQ57" s="1365">
        <v>0</v>
      </c>
      <c r="BR57" s="1364">
        <v>0</v>
      </c>
      <c r="BS57" s="1364">
        <v>0</v>
      </c>
      <c r="BT57" s="1364">
        <v>0</v>
      </c>
      <c r="BU57" s="1368">
        <f t="shared" si="146"/>
        <v>-6.6000000000000014</v>
      </c>
      <c r="BV57" s="1366"/>
      <c r="BW57" s="1365">
        <v>0</v>
      </c>
      <c r="BX57" s="1364">
        <v>0</v>
      </c>
      <c r="BY57" s="1364">
        <v>0</v>
      </c>
      <c r="BZ57" s="1364">
        <v>0</v>
      </c>
      <c r="CA57" s="1368">
        <f t="shared" si="147"/>
        <v>0</v>
      </c>
      <c r="CB57" s="1366"/>
      <c r="CC57" s="1365">
        <v>0</v>
      </c>
      <c r="CD57" s="1364">
        <v>0</v>
      </c>
      <c r="CE57" s="1364">
        <v>0</v>
      </c>
      <c r="CF57" s="1364">
        <v>0</v>
      </c>
      <c r="CG57" s="1368">
        <f t="shared" si="148"/>
        <v>0</v>
      </c>
    </row>
    <row r="58" spans="2:85" s="771" customFormat="1" ht="12" customHeight="1" x14ac:dyDescent="0.2">
      <c r="B58" s="37" t="s">
        <v>690</v>
      </c>
      <c r="C58" s="1367" t="s">
        <v>158</v>
      </c>
      <c r="D58" s="1366"/>
      <c r="E58" s="1366"/>
      <c r="F58" s="1366"/>
      <c r="G58" s="1368"/>
      <c r="H58" s="1366"/>
      <c r="I58" s="1367"/>
      <c r="J58" s="1366"/>
      <c r="K58" s="1366"/>
      <c r="L58" s="1366"/>
      <c r="M58" s="1368"/>
      <c r="N58" s="1366"/>
      <c r="O58" s="1367"/>
      <c r="P58" s="1366"/>
      <c r="Q58" s="1366"/>
      <c r="R58" s="1366"/>
      <c r="S58" s="1368"/>
      <c r="T58" s="1366"/>
      <c r="U58" s="1367"/>
      <c r="V58" s="1366"/>
      <c r="W58" s="1366"/>
      <c r="X58" s="1366"/>
      <c r="Y58" s="1368"/>
      <c r="Z58" s="1366"/>
      <c r="AA58" s="1367"/>
      <c r="AB58" s="1366"/>
      <c r="AC58" s="1366"/>
      <c r="AD58" s="1366"/>
      <c r="AE58" s="1368"/>
      <c r="AF58" s="1366"/>
      <c r="AG58" s="1367"/>
      <c r="AH58" s="1366"/>
      <c r="AI58" s="1366"/>
      <c r="AJ58" s="1366"/>
      <c r="AK58" s="1368"/>
      <c r="AL58" s="1366"/>
      <c r="AM58" s="1367"/>
      <c r="AN58" s="1366"/>
      <c r="AO58" s="1366"/>
      <c r="AP58" s="1366"/>
      <c r="AQ58" s="1368"/>
      <c r="AR58" s="1366"/>
      <c r="AS58" s="1367"/>
      <c r="AT58" s="1366"/>
      <c r="AU58" s="1366"/>
      <c r="AV58" s="1366"/>
      <c r="AW58" s="1368"/>
      <c r="AX58" s="1366"/>
      <c r="AY58" s="1367"/>
      <c r="AZ58" s="1366"/>
      <c r="BA58" s="1366"/>
      <c r="BB58" s="1366"/>
      <c r="BC58" s="1363"/>
      <c r="BD58" s="1366"/>
      <c r="BE58" s="1367"/>
      <c r="BF58" s="1366"/>
      <c r="BG58" s="1366"/>
      <c r="BH58" s="1366"/>
      <c r="BI58" s="1368">
        <f t="shared" si="144"/>
        <v>63.9</v>
      </c>
      <c r="BJ58" s="1366"/>
      <c r="BK58" s="1365">
        <v>0</v>
      </c>
      <c r="BL58" s="1364">
        <v>0</v>
      </c>
      <c r="BM58" s="1364">
        <v>0</v>
      </c>
      <c r="BN58" s="1364">
        <v>0</v>
      </c>
      <c r="BO58" s="1368">
        <f t="shared" si="145"/>
        <v>2.8000000000000043</v>
      </c>
      <c r="BP58" s="1366"/>
      <c r="BQ58" s="1365">
        <v>0</v>
      </c>
      <c r="BR58" s="1364">
        <v>0</v>
      </c>
      <c r="BS58" s="1364">
        <v>0</v>
      </c>
      <c r="BT58" s="1364">
        <v>0</v>
      </c>
      <c r="BU58" s="1368">
        <f t="shared" si="146"/>
        <v>-2.8000000000000043</v>
      </c>
      <c r="BV58" s="1366"/>
      <c r="BW58" s="1365">
        <v>0</v>
      </c>
      <c r="BX58" s="1364">
        <v>0</v>
      </c>
      <c r="BY58" s="1364">
        <v>0</v>
      </c>
      <c r="BZ58" s="1364">
        <v>0</v>
      </c>
      <c r="CA58" s="1368">
        <f t="shared" si="147"/>
        <v>0</v>
      </c>
      <c r="CB58" s="1366"/>
      <c r="CC58" s="1365">
        <v>0</v>
      </c>
      <c r="CD58" s="1364">
        <v>0</v>
      </c>
      <c r="CE58" s="1364">
        <v>0</v>
      </c>
      <c r="CF58" s="1364">
        <v>0</v>
      </c>
      <c r="CG58" s="1368">
        <f t="shared" si="148"/>
        <v>0</v>
      </c>
    </row>
    <row r="59" spans="2:85" s="771" customFormat="1" ht="12" customHeight="1" x14ac:dyDescent="0.2">
      <c r="B59" s="37" t="s">
        <v>691</v>
      </c>
      <c r="C59" s="1367" t="s">
        <v>158</v>
      </c>
      <c r="D59" s="1366"/>
      <c r="E59" s="1366"/>
      <c r="F59" s="1366"/>
      <c r="G59" s="1368"/>
      <c r="H59" s="1366"/>
      <c r="I59" s="1367"/>
      <c r="J59" s="1366"/>
      <c r="K59" s="1366"/>
      <c r="L59" s="1366"/>
      <c r="M59" s="1368"/>
      <c r="N59" s="1366"/>
      <c r="O59" s="1367"/>
      <c r="P59" s="1366"/>
      <c r="Q59" s="1366"/>
      <c r="R59" s="1366"/>
      <c r="S59" s="1368"/>
      <c r="T59" s="1366"/>
      <c r="U59" s="1367"/>
      <c r="V59" s="1366"/>
      <c r="W59" s="1366"/>
      <c r="X59" s="1366"/>
      <c r="Y59" s="1368"/>
      <c r="Z59" s="1366"/>
      <c r="AA59" s="1367"/>
      <c r="AB59" s="1366"/>
      <c r="AC59" s="1366"/>
      <c r="AD59" s="1366"/>
      <c r="AE59" s="1368"/>
      <c r="AF59" s="1366"/>
      <c r="AG59" s="1367"/>
      <c r="AH59" s="1366"/>
      <c r="AI59" s="1366"/>
      <c r="AJ59" s="1366"/>
      <c r="AK59" s="1368"/>
      <c r="AL59" s="1366"/>
      <c r="AM59" s="1367"/>
      <c r="AN59" s="1366"/>
      <c r="AO59" s="1366"/>
      <c r="AP59" s="1366"/>
      <c r="AQ59" s="1368"/>
      <c r="AR59" s="1366"/>
      <c r="AS59" s="1367"/>
      <c r="AT59" s="1366"/>
      <c r="AU59" s="1366"/>
      <c r="AV59" s="1366"/>
      <c r="AW59" s="1368"/>
      <c r="AX59" s="1366"/>
      <c r="AY59" s="1367"/>
      <c r="AZ59" s="1366"/>
      <c r="BA59" s="1366"/>
      <c r="BB59" s="1366"/>
      <c r="BC59" s="1363"/>
      <c r="BD59" s="1366"/>
      <c r="BE59" s="1367"/>
      <c r="BF59" s="1366"/>
      <c r="BG59" s="1366"/>
      <c r="BH59" s="1366"/>
      <c r="BI59" s="1368">
        <f t="shared" si="144"/>
        <v>73.8</v>
      </c>
      <c r="BJ59" s="1366"/>
      <c r="BK59" s="1365">
        <v>0</v>
      </c>
      <c r="BL59" s="1364">
        <v>0</v>
      </c>
      <c r="BM59" s="1364">
        <v>0</v>
      </c>
      <c r="BN59" s="1364">
        <v>0</v>
      </c>
      <c r="BO59" s="1368">
        <f t="shared" si="145"/>
        <v>10.299999999999997</v>
      </c>
      <c r="BP59" s="1366"/>
      <c r="BQ59" s="1365">
        <v>0</v>
      </c>
      <c r="BR59" s="1364">
        <v>0</v>
      </c>
      <c r="BS59" s="1364">
        <v>0</v>
      </c>
      <c r="BT59" s="1364">
        <v>0</v>
      </c>
      <c r="BU59" s="1368">
        <f t="shared" si="146"/>
        <v>-10.299999999999997</v>
      </c>
      <c r="BV59" s="1366"/>
      <c r="BW59" s="1365">
        <v>0</v>
      </c>
      <c r="BX59" s="1364">
        <v>0</v>
      </c>
      <c r="BY59" s="1364">
        <v>0</v>
      </c>
      <c r="BZ59" s="1364">
        <v>0</v>
      </c>
      <c r="CA59" s="1368">
        <f t="shared" si="147"/>
        <v>0</v>
      </c>
      <c r="CB59" s="1366"/>
      <c r="CC59" s="1365">
        <v>0</v>
      </c>
      <c r="CD59" s="1364">
        <v>0</v>
      </c>
      <c r="CE59" s="1364">
        <v>0</v>
      </c>
      <c r="CF59" s="1364">
        <v>0</v>
      </c>
      <c r="CG59" s="1368">
        <f t="shared" si="148"/>
        <v>0</v>
      </c>
    </row>
    <row r="60" spans="2:85" s="771" customFormat="1" ht="12" customHeight="1" x14ac:dyDescent="0.2">
      <c r="B60" s="1405" t="s">
        <v>692</v>
      </c>
      <c r="C60" s="1406" t="s">
        <v>158</v>
      </c>
      <c r="D60" s="1407"/>
      <c r="E60" s="1407"/>
      <c r="F60" s="1407"/>
      <c r="G60" s="1408"/>
      <c r="H60" s="1407"/>
      <c r="I60" s="1406"/>
      <c r="J60" s="1407"/>
      <c r="K60" s="1407"/>
      <c r="L60" s="1407"/>
      <c r="M60" s="1408"/>
      <c r="N60" s="1407"/>
      <c r="O60" s="1406"/>
      <c r="P60" s="1407"/>
      <c r="Q60" s="1407"/>
      <c r="R60" s="1407"/>
      <c r="S60" s="1408"/>
      <c r="T60" s="1407"/>
      <c r="U60" s="1406"/>
      <c r="V60" s="1407"/>
      <c r="W60" s="1407"/>
      <c r="X60" s="1407"/>
      <c r="Y60" s="1408"/>
      <c r="Z60" s="1407"/>
      <c r="AA60" s="1406"/>
      <c r="AB60" s="1407"/>
      <c r="AC60" s="1407"/>
      <c r="AD60" s="1407"/>
      <c r="AE60" s="1408"/>
      <c r="AF60" s="1407"/>
      <c r="AG60" s="1406"/>
      <c r="AH60" s="1407"/>
      <c r="AI60" s="1407"/>
      <c r="AJ60" s="1407"/>
      <c r="AK60" s="1408"/>
      <c r="AL60" s="1407"/>
      <c r="AM60" s="1406"/>
      <c r="AN60" s="1407"/>
      <c r="AO60" s="1407"/>
      <c r="AP60" s="1407"/>
      <c r="AQ60" s="1408"/>
      <c r="AR60" s="1407"/>
      <c r="AS60" s="1406"/>
      <c r="AT60" s="1407"/>
      <c r="AU60" s="1407"/>
      <c r="AV60" s="1407"/>
      <c r="AW60" s="1408"/>
      <c r="AX60" s="1407"/>
      <c r="AY60" s="1406"/>
      <c r="AZ60" s="1407"/>
      <c r="BA60" s="1407"/>
      <c r="BB60" s="1407"/>
      <c r="BC60" s="1409"/>
      <c r="BD60" s="1407"/>
      <c r="BE60" s="1406"/>
      <c r="BF60" s="1407"/>
      <c r="BG60" s="1407"/>
      <c r="BH60" s="1407"/>
      <c r="BI60" s="1408">
        <f t="shared" si="144"/>
        <v>10.5</v>
      </c>
      <c r="BJ60" s="1407"/>
      <c r="BK60" s="1406">
        <f t="shared" ref="BK60:BM61" si="149">BK28-BH28</f>
        <v>16.999999999999773</v>
      </c>
      <c r="BL60" s="1407">
        <f t="shared" si="149"/>
        <v>76.199999999999818</v>
      </c>
      <c r="BM60" s="1407">
        <f t="shared" si="149"/>
        <v>102.09999999999991</v>
      </c>
      <c r="BN60" s="1417">
        <v>0</v>
      </c>
      <c r="BO60" s="1408">
        <f t="shared" si="145"/>
        <v>-3.9000000000000004</v>
      </c>
      <c r="BP60" s="1407"/>
      <c r="BQ60" s="1416">
        <v>0</v>
      </c>
      <c r="BR60" s="1417">
        <v>0</v>
      </c>
      <c r="BS60" s="1417">
        <v>0</v>
      </c>
      <c r="BT60" s="1417">
        <v>0</v>
      </c>
      <c r="BU60" s="1408">
        <f t="shared" si="146"/>
        <v>93.499999999999915</v>
      </c>
      <c r="BV60" s="1407"/>
      <c r="BW60" s="1416">
        <v>0</v>
      </c>
      <c r="BX60" s="1417">
        <v>0</v>
      </c>
      <c r="BY60" s="1417">
        <v>0</v>
      </c>
      <c r="BZ60" s="1417">
        <v>0</v>
      </c>
      <c r="CA60" s="1408">
        <f t="shared" si="147"/>
        <v>0</v>
      </c>
      <c r="CB60" s="1407"/>
      <c r="CC60" s="1416">
        <v>0</v>
      </c>
      <c r="CD60" s="1417">
        <v>0</v>
      </c>
      <c r="CE60" s="1417">
        <v>0</v>
      </c>
      <c r="CF60" s="1417">
        <v>0</v>
      </c>
      <c r="CG60" s="1408">
        <f t="shared" si="148"/>
        <v>0</v>
      </c>
    </row>
    <row r="61" spans="2:85" s="771" customFormat="1" ht="12" customHeight="1" x14ac:dyDescent="0.2">
      <c r="B61" s="42" t="s">
        <v>696</v>
      </c>
      <c r="C61" s="1358"/>
      <c r="D61" s="1357"/>
      <c r="E61" s="1357"/>
      <c r="F61" s="1357"/>
      <c r="G61" s="1359"/>
      <c r="H61" s="1357"/>
      <c r="I61" s="1358"/>
      <c r="J61" s="1357"/>
      <c r="K61" s="1357"/>
      <c r="L61" s="1357"/>
      <c r="M61" s="1359"/>
      <c r="N61" s="1357"/>
      <c r="O61" s="1358"/>
      <c r="P61" s="1357"/>
      <c r="Q61" s="1357"/>
      <c r="R61" s="1357"/>
      <c r="S61" s="1359"/>
      <c r="T61" s="1357"/>
      <c r="U61" s="1358"/>
      <c r="V61" s="1357"/>
      <c r="W61" s="1357"/>
      <c r="X61" s="1357"/>
      <c r="Y61" s="1359"/>
      <c r="Z61" s="1357"/>
      <c r="AA61" s="1358"/>
      <c r="AB61" s="1357"/>
      <c r="AC61" s="1357"/>
      <c r="AD61" s="1357"/>
      <c r="AE61" s="1359"/>
      <c r="AF61" s="1357"/>
      <c r="AG61" s="1358"/>
      <c r="AH61" s="1357"/>
      <c r="AI61" s="1357"/>
      <c r="AJ61" s="1357"/>
      <c r="AK61" s="1359"/>
      <c r="AL61" s="1357"/>
      <c r="AM61" s="1358"/>
      <c r="AN61" s="1357"/>
      <c r="AO61" s="1357"/>
      <c r="AP61" s="1357"/>
      <c r="AQ61" s="1359"/>
      <c r="AR61" s="1357"/>
      <c r="AS61" s="1358"/>
      <c r="AT61" s="1357"/>
      <c r="AU61" s="1357"/>
      <c r="AV61" s="1357"/>
      <c r="AW61" s="1359"/>
      <c r="AX61" s="1357"/>
      <c r="AY61" s="1358"/>
      <c r="AZ61" s="1357"/>
      <c r="BA61" s="1357"/>
      <c r="BB61" s="1357"/>
      <c r="BC61" s="1359"/>
      <c r="BD61" s="1357"/>
      <c r="BE61" s="1358"/>
      <c r="BF61" s="1357"/>
      <c r="BG61" s="1357"/>
      <c r="BH61" s="1357"/>
      <c r="BI61" s="1359">
        <f t="shared" si="144"/>
        <v>374.70000000000005</v>
      </c>
      <c r="BJ61" s="1357"/>
      <c r="BK61" s="1358">
        <f t="shared" si="149"/>
        <v>16.999999999999773</v>
      </c>
      <c r="BL61" s="1357">
        <f t="shared" si="149"/>
        <v>76.199999999999818</v>
      </c>
      <c r="BM61" s="1357">
        <f t="shared" si="149"/>
        <v>1617.8</v>
      </c>
      <c r="BN61" s="1357"/>
      <c r="BO61" s="1359">
        <f t="shared" si="145"/>
        <v>97.899999999999636</v>
      </c>
      <c r="BP61" s="1357"/>
      <c r="BQ61" s="1358"/>
      <c r="BR61" s="1357"/>
      <c r="BS61" s="1357"/>
      <c r="BT61" s="1357"/>
      <c r="BU61" s="1359">
        <f t="shared" si="146"/>
        <v>-8.2999999999997272</v>
      </c>
      <c r="BV61" s="1357"/>
      <c r="BW61" s="1358"/>
      <c r="BX61" s="1357"/>
      <c r="BY61" s="1357"/>
      <c r="BZ61" s="1357"/>
      <c r="CA61" s="1359">
        <f t="shared" si="147"/>
        <v>0</v>
      </c>
      <c r="CB61" s="1357"/>
      <c r="CC61" s="1358"/>
      <c r="CD61" s="1357"/>
      <c r="CE61" s="1357"/>
      <c r="CF61" s="1357"/>
      <c r="CG61" s="1359">
        <f t="shared" si="148"/>
        <v>0</v>
      </c>
    </row>
    <row r="62" spans="2:85" s="771" customFormat="1" ht="12" customHeight="1" x14ac:dyDescent="0.2">
      <c r="B62" s="59" t="s">
        <v>694</v>
      </c>
      <c r="C62" s="1367"/>
      <c r="D62" s="1366"/>
      <c r="E62" s="1366"/>
      <c r="F62" s="1366"/>
      <c r="G62" s="1368"/>
      <c r="H62" s="1366"/>
      <c r="I62" s="1367"/>
      <c r="J62" s="1366"/>
      <c r="K62" s="1366"/>
      <c r="L62" s="1366"/>
      <c r="M62" s="1368"/>
      <c r="N62" s="1366"/>
      <c r="O62" s="1367"/>
      <c r="P62" s="1366"/>
      <c r="Q62" s="1366"/>
      <c r="R62" s="1366"/>
      <c r="S62" s="1368"/>
      <c r="T62" s="1366"/>
      <c r="U62" s="1367"/>
      <c r="V62" s="1366"/>
      <c r="W62" s="1366"/>
      <c r="X62" s="1366"/>
      <c r="Y62" s="1368"/>
      <c r="Z62" s="1366"/>
      <c r="AA62" s="1367"/>
      <c r="AB62" s="1366"/>
      <c r="AC62" s="1366"/>
      <c r="AD62" s="1366"/>
      <c r="AE62" s="1368"/>
      <c r="AF62" s="1366"/>
      <c r="AG62" s="1367"/>
      <c r="AH62" s="1366"/>
      <c r="AI62" s="1366"/>
      <c r="AJ62" s="1366"/>
      <c r="AK62" s="1368"/>
      <c r="AL62" s="1366"/>
      <c r="AM62" s="1367"/>
      <c r="AN62" s="1366"/>
      <c r="AO62" s="1366"/>
      <c r="AP62" s="1366"/>
      <c r="AQ62" s="1368"/>
      <c r="AR62" s="1366"/>
      <c r="AS62" s="1367"/>
      <c r="AT62" s="1366"/>
      <c r="AU62" s="1366"/>
      <c r="AV62" s="1366"/>
      <c r="AW62" s="1368"/>
      <c r="AX62" s="1366"/>
      <c r="AY62" s="1367"/>
      <c r="AZ62" s="1366"/>
      <c r="BA62" s="1366"/>
      <c r="BB62" s="1366"/>
      <c r="BC62" s="1363"/>
      <c r="BD62" s="1366"/>
      <c r="BE62" s="1367"/>
      <c r="BF62" s="1366"/>
      <c r="BG62" s="1366"/>
      <c r="BH62" s="1366"/>
      <c r="BI62" s="1368">
        <f t="shared" si="144"/>
        <v>1.8000000000000007</v>
      </c>
      <c r="BJ62" s="1366"/>
      <c r="BK62" s="1365">
        <v>0</v>
      </c>
      <c r="BL62" s="1364">
        <v>0</v>
      </c>
      <c r="BM62" s="1364">
        <v>0</v>
      </c>
      <c r="BN62" s="1364">
        <v>0</v>
      </c>
      <c r="BO62" s="1368">
        <f t="shared" si="145"/>
        <v>-1.8000000000000007</v>
      </c>
      <c r="BP62" s="1366"/>
      <c r="BQ62" s="1365">
        <v>0</v>
      </c>
      <c r="BR62" s="1364">
        <v>0</v>
      </c>
      <c r="BS62" s="1364">
        <v>0</v>
      </c>
      <c r="BT62" s="1364">
        <v>0</v>
      </c>
      <c r="BU62" s="1368">
        <f t="shared" si="146"/>
        <v>1.8000000000000007</v>
      </c>
      <c r="BV62" s="1366"/>
      <c r="BW62" s="1365">
        <v>0</v>
      </c>
      <c r="BX62" s="1364">
        <v>0</v>
      </c>
      <c r="BY62" s="1364">
        <v>0</v>
      </c>
      <c r="BZ62" s="1364">
        <v>0</v>
      </c>
      <c r="CA62" s="1368">
        <f t="shared" si="147"/>
        <v>0</v>
      </c>
      <c r="CB62" s="1366"/>
      <c r="CC62" s="1365">
        <v>0</v>
      </c>
      <c r="CD62" s="1364">
        <v>0</v>
      </c>
      <c r="CE62" s="1364">
        <v>0</v>
      </c>
      <c r="CF62" s="1364">
        <v>0</v>
      </c>
      <c r="CG62" s="1368">
        <f t="shared" si="148"/>
        <v>0</v>
      </c>
    </row>
    <row r="63" spans="2:85" s="771" customFormat="1" ht="12" customHeight="1" x14ac:dyDescent="0.2">
      <c r="B63" s="59" t="s">
        <v>695</v>
      </c>
      <c r="C63" s="1367"/>
      <c r="D63" s="1366"/>
      <c r="E63" s="1366"/>
      <c r="F63" s="1366"/>
      <c r="G63" s="1368"/>
      <c r="H63" s="1366"/>
      <c r="I63" s="1367"/>
      <c r="J63" s="1366"/>
      <c r="K63" s="1366"/>
      <c r="L63" s="1366"/>
      <c r="M63" s="1368"/>
      <c r="N63" s="1366"/>
      <c r="O63" s="1367"/>
      <c r="P63" s="1366"/>
      <c r="Q63" s="1366"/>
      <c r="R63" s="1366"/>
      <c r="S63" s="1368"/>
      <c r="T63" s="1366"/>
      <c r="U63" s="1367"/>
      <c r="V63" s="1366"/>
      <c r="W63" s="1366"/>
      <c r="X63" s="1366"/>
      <c r="Y63" s="1368"/>
      <c r="Z63" s="1366"/>
      <c r="AA63" s="1367"/>
      <c r="AB63" s="1366"/>
      <c r="AC63" s="1366"/>
      <c r="AD63" s="1366"/>
      <c r="AE63" s="1368"/>
      <c r="AF63" s="1366"/>
      <c r="AG63" s="1367"/>
      <c r="AH63" s="1366"/>
      <c r="AI63" s="1366"/>
      <c r="AJ63" s="1366"/>
      <c r="AK63" s="1368"/>
      <c r="AL63" s="1366"/>
      <c r="AM63" s="1367"/>
      <c r="AN63" s="1366"/>
      <c r="AO63" s="1366"/>
      <c r="AP63" s="1366"/>
      <c r="AQ63" s="1368"/>
      <c r="AR63" s="1366"/>
      <c r="AS63" s="1367"/>
      <c r="AT63" s="1366"/>
      <c r="AU63" s="1366"/>
      <c r="AV63" s="1366"/>
      <c r="AW63" s="1368"/>
      <c r="AX63" s="1366"/>
      <c r="AY63" s="1367"/>
      <c r="AZ63" s="1366"/>
      <c r="BA63" s="1366"/>
      <c r="BB63" s="1366"/>
      <c r="BC63" s="1363"/>
      <c r="BD63" s="1366"/>
      <c r="BE63" s="1367"/>
      <c r="BF63" s="1366"/>
      <c r="BG63" s="1366"/>
      <c r="BH63" s="1366"/>
      <c r="BI63" s="1368">
        <f t="shared" si="144"/>
        <v>2.8</v>
      </c>
      <c r="BJ63" s="1366"/>
      <c r="BK63" s="1365">
        <v>0</v>
      </c>
      <c r="BL63" s="1364">
        <v>0</v>
      </c>
      <c r="BM63" s="1364">
        <v>0</v>
      </c>
      <c r="BN63" s="1364">
        <v>0</v>
      </c>
      <c r="BO63" s="1368">
        <f t="shared" si="145"/>
        <v>-0.79999999999999982</v>
      </c>
      <c r="BP63" s="1366"/>
      <c r="BQ63" s="1365">
        <v>0</v>
      </c>
      <c r="BR63" s="1364">
        <v>0</v>
      </c>
      <c r="BS63" s="1364">
        <v>0</v>
      </c>
      <c r="BT63" s="1364">
        <v>0</v>
      </c>
      <c r="BU63" s="1368">
        <f t="shared" si="146"/>
        <v>0.79999999999999982</v>
      </c>
      <c r="BV63" s="1366"/>
      <c r="BW63" s="1365">
        <v>0</v>
      </c>
      <c r="BX63" s="1364">
        <v>0</v>
      </c>
      <c r="BY63" s="1364">
        <v>0</v>
      </c>
      <c r="BZ63" s="1364">
        <v>0</v>
      </c>
      <c r="CA63" s="1368">
        <f t="shared" si="147"/>
        <v>0</v>
      </c>
      <c r="CB63" s="1366"/>
      <c r="CC63" s="1365">
        <v>0</v>
      </c>
      <c r="CD63" s="1364">
        <v>0</v>
      </c>
      <c r="CE63" s="1364">
        <v>0</v>
      </c>
      <c r="CF63" s="1364">
        <v>0</v>
      </c>
      <c r="CG63" s="1368">
        <f t="shared" si="148"/>
        <v>0</v>
      </c>
    </row>
    <row r="64" spans="2:85" s="771" customFormat="1" ht="12" customHeight="1" x14ac:dyDescent="0.2">
      <c r="B64" s="1392" t="s">
        <v>697</v>
      </c>
      <c r="C64" s="1358"/>
      <c r="D64" s="1357"/>
      <c r="E64" s="1357"/>
      <c r="F64" s="1357"/>
      <c r="G64" s="1359"/>
      <c r="H64" s="1357"/>
      <c r="I64" s="1358"/>
      <c r="J64" s="1357"/>
      <c r="K64" s="1357"/>
      <c r="L64" s="1357"/>
      <c r="M64" s="1359"/>
      <c r="N64" s="1357"/>
      <c r="O64" s="1358"/>
      <c r="P64" s="1357"/>
      <c r="Q64" s="1357"/>
      <c r="R64" s="1357"/>
      <c r="S64" s="1359"/>
      <c r="T64" s="1357"/>
      <c r="U64" s="1358"/>
      <c r="V64" s="1357"/>
      <c r="W64" s="1357"/>
      <c r="X64" s="1357"/>
      <c r="Y64" s="1359"/>
      <c r="Z64" s="1357"/>
      <c r="AA64" s="1358"/>
      <c r="AB64" s="1357"/>
      <c r="AC64" s="1357"/>
      <c r="AD64" s="1357"/>
      <c r="AE64" s="1359"/>
      <c r="AF64" s="1357"/>
      <c r="AG64" s="1358"/>
      <c r="AH64" s="1357"/>
      <c r="AI64" s="1357"/>
      <c r="AJ64" s="1357"/>
      <c r="AK64" s="1359"/>
      <c r="AL64" s="1357"/>
      <c r="AM64" s="1358"/>
      <c r="AN64" s="1357"/>
      <c r="AO64" s="1357"/>
      <c r="AP64" s="1357"/>
      <c r="AQ64" s="1359"/>
      <c r="AR64" s="1357"/>
      <c r="AS64" s="1358"/>
      <c r="AT64" s="1357"/>
      <c r="AU64" s="1357"/>
      <c r="AV64" s="1357"/>
      <c r="AW64" s="1359"/>
      <c r="AX64" s="1357"/>
      <c r="AY64" s="1358"/>
      <c r="AZ64" s="1357"/>
      <c r="BA64" s="1357"/>
      <c r="BB64" s="1413"/>
      <c r="BC64" s="1359"/>
      <c r="BD64" s="1357"/>
      <c r="BE64" s="1358">
        <f>BE32-BB32</f>
        <v>28.099999999999909</v>
      </c>
      <c r="BF64" s="1357">
        <f t="shared" ref="BF64:BG64" si="150">BF32-BE32</f>
        <v>2.7000000000000455</v>
      </c>
      <c r="BG64" s="1357">
        <f t="shared" si="150"/>
        <v>398</v>
      </c>
      <c r="BH64" s="1410">
        <f>BH32-BG32</f>
        <v>-58.700000000000045</v>
      </c>
      <c r="BI64" s="1359">
        <f t="shared" si="144"/>
        <v>370.10000000000014</v>
      </c>
      <c r="BJ64" s="1357"/>
      <c r="BK64" s="1358">
        <f>BK32-BH32</f>
        <v>17</v>
      </c>
      <c r="BL64" s="1357">
        <f t="shared" ref="BL64:BM64" si="151">BL32-BK32</f>
        <v>59.200000000000045</v>
      </c>
      <c r="BM64" s="1357">
        <f t="shared" si="151"/>
        <v>13.400000000000091</v>
      </c>
      <c r="BN64" s="1410">
        <f>BN32-BM32</f>
        <v>10.899999999999864</v>
      </c>
      <c r="BO64" s="1359">
        <f t="shared" si="145"/>
        <v>100.49999999999955</v>
      </c>
      <c r="BP64" s="1357"/>
      <c r="BQ64" s="1358">
        <f>BQ32-BN32</f>
        <v>-10.899999999999864</v>
      </c>
      <c r="BR64" s="1357">
        <f t="shared" ref="BR64:BS64" si="152">BR32-BQ32</f>
        <v>0</v>
      </c>
      <c r="BS64" s="1357">
        <f t="shared" si="152"/>
        <v>0</v>
      </c>
      <c r="BT64" s="1410">
        <f>BT32-BS32</f>
        <v>0</v>
      </c>
      <c r="BU64" s="1359">
        <f t="shared" si="146"/>
        <v>-10.899999999999636</v>
      </c>
      <c r="BV64" s="1357"/>
      <c r="BW64" s="1358">
        <f>BW32-BT32</f>
        <v>0</v>
      </c>
      <c r="BX64" s="1357">
        <f t="shared" ref="BX64:BY64" si="153">BX32-BW32</f>
        <v>0</v>
      </c>
      <c r="BY64" s="1357">
        <f t="shared" si="153"/>
        <v>0</v>
      </c>
      <c r="BZ64" s="1410">
        <f>BZ32-BY32</f>
        <v>0</v>
      </c>
      <c r="CA64" s="1359">
        <f t="shared" si="147"/>
        <v>0</v>
      </c>
      <c r="CB64" s="1357"/>
      <c r="CC64" s="1358">
        <f>CC32-BZ32</f>
        <v>0</v>
      </c>
      <c r="CD64" s="1357">
        <f t="shared" ref="CD64:CE64" si="154">CD32-CC32</f>
        <v>0</v>
      </c>
      <c r="CE64" s="1357">
        <f t="shared" si="154"/>
        <v>0</v>
      </c>
      <c r="CF64" s="1410">
        <f>CF32-CE32</f>
        <v>0</v>
      </c>
      <c r="CG64" s="1359">
        <f t="shared" si="148"/>
        <v>0</v>
      </c>
    </row>
    <row r="65" spans="2:85" s="771" customFormat="1" ht="12" customHeight="1" x14ac:dyDescent="0.2">
      <c r="B65" s="37" t="s">
        <v>698</v>
      </c>
      <c r="C65" s="1367"/>
      <c r="D65" s="1366"/>
      <c r="E65" s="1366"/>
      <c r="F65" s="1366"/>
      <c r="G65" s="1368"/>
      <c r="H65" s="1366"/>
      <c r="I65" s="1367"/>
      <c r="J65" s="1366"/>
      <c r="K65" s="1366"/>
      <c r="L65" s="1366"/>
      <c r="M65" s="1368"/>
      <c r="N65" s="1366"/>
      <c r="O65" s="1367"/>
      <c r="P65" s="1366"/>
      <c r="Q65" s="1366"/>
      <c r="R65" s="1366"/>
      <c r="S65" s="1368"/>
      <c r="T65" s="1366"/>
      <c r="U65" s="1367"/>
      <c r="V65" s="1366"/>
      <c r="W65" s="1366"/>
      <c r="X65" s="1366"/>
      <c r="Y65" s="1368"/>
      <c r="Z65" s="1366"/>
      <c r="AA65" s="1367"/>
      <c r="AB65" s="1366"/>
      <c r="AC65" s="1366"/>
      <c r="AD65" s="1366"/>
      <c r="AE65" s="1368"/>
      <c r="AF65" s="1366"/>
      <c r="AG65" s="1367"/>
      <c r="AH65" s="1366"/>
      <c r="AI65" s="1366"/>
      <c r="AJ65" s="1366"/>
      <c r="AK65" s="1368"/>
      <c r="AL65" s="1366"/>
      <c r="AM65" s="1367"/>
      <c r="AN65" s="1366"/>
      <c r="AO65" s="1366"/>
      <c r="AP65" s="1366"/>
      <c r="AQ65" s="1368"/>
      <c r="AR65" s="1366"/>
      <c r="AS65" s="1367"/>
      <c r="AT65" s="1366"/>
      <c r="AU65" s="1366"/>
      <c r="AV65" s="1366"/>
      <c r="AW65" s="1368"/>
      <c r="AX65" s="1366"/>
      <c r="AY65" s="1367"/>
      <c r="AZ65" s="1366"/>
      <c r="BA65" s="1366"/>
      <c r="BB65" s="1377"/>
      <c r="BC65" s="1378"/>
      <c r="BD65" s="1366"/>
      <c r="BE65" s="1367">
        <f>BE34-BB34</f>
        <v>-1.1999999999999993</v>
      </c>
      <c r="BF65" s="1366">
        <f t="shared" ref="BF65:BH65" si="155">BF34-BE34</f>
        <v>-1.0999999999999996</v>
      </c>
      <c r="BG65" s="1366">
        <f t="shared" si="155"/>
        <v>6.5999999999999979</v>
      </c>
      <c r="BH65" s="1366">
        <f t="shared" si="155"/>
        <v>4.7000000000000028</v>
      </c>
      <c r="BI65" s="1368">
        <f>BI34-BC34</f>
        <v>9.0000000000000018</v>
      </c>
      <c r="BJ65" s="1366"/>
      <c r="BK65" s="1365">
        <v>0</v>
      </c>
      <c r="BL65" s="1364">
        <v>0</v>
      </c>
      <c r="BM65" s="1364">
        <v>0</v>
      </c>
      <c r="BN65" s="1364">
        <v>0</v>
      </c>
      <c r="BO65" s="1368">
        <f>BO34-BI34</f>
        <v>9</v>
      </c>
      <c r="BP65" s="1366"/>
      <c r="BQ65" s="1365">
        <v>0</v>
      </c>
      <c r="BR65" s="1364">
        <v>0</v>
      </c>
      <c r="BS65" s="1364">
        <v>0</v>
      </c>
      <c r="BT65" s="1364">
        <v>0</v>
      </c>
      <c r="BU65" s="1368">
        <f>BU34-BO34</f>
        <v>0</v>
      </c>
      <c r="BV65" s="1366"/>
      <c r="BW65" s="1365">
        <v>0</v>
      </c>
      <c r="BX65" s="1364">
        <v>0</v>
      </c>
      <c r="BY65" s="1364">
        <v>0</v>
      </c>
      <c r="BZ65" s="1364">
        <v>0</v>
      </c>
      <c r="CA65" s="1368">
        <f>CA34-BU34</f>
        <v>0</v>
      </c>
      <c r="CB65" s="1366"/>
      <c r="CC65" s="1365">
        <v>0</v>
      </c>
      <c r="CD65" s="1364">
        <v>0</v>
      </c>
      <c r="CE65" s="1364">
        <v>0</v>
      </c>
      <c r="CF65" s="1364">
        <v>0</v>
      </c>
      <c r="CG65" s="1368">
        <f>CG34-CA34</f>
        <v>0</v>
      </c>
    </row>
    <row r="66" spans="2:85" s="771" customFormat="1" ht="12" customHeight="1" x14ac:dyDescent="0.2">
      <c r="B66" s="1392" t="s">
        <v>693</v>
      </c>
      <c r="C66" s="1358"/>
      <c r="D66" s="1357"/>
      <c r="E66" s="1357"/>
      <c r="F66" s="1357"/>
      <c r="G66" s="1359"/>
      <c r="H66" s="1357"/>
      <c r="I66" s="1358"/>
      <c r="J66" s="1357"/>
      <c r="K66" s="1357"/>
      <c r="L66" s="1357"/>
      <c r="M66" s="1359"/>
      <c r="N66" s="1357"/>
      <c r="O66" s="1358"/>
      <c r="P66" s="1357"/>
      <c r="Q66" s="1357"/>
      <c r="R66" s="1357"/>
      <c r="S66" s="1359"/>
      <c r="T66" s="1357"/>
      <c r="U66" s="1358"/>
      <c r="V66" s="1357"/>
      <c r="W66" s="1357"/>
      <c r="X66" s="1357"/>
      <c r="Y66" s="1359"/>
      <c r="Z66" s="1357"/>
      <c r="AA66" s="1358"/>
      <c r="AB66" s="1357"/>
      <c r="AC66" s="1357"/>
      <c r="AD66" s="1357"/>
      <c r="AE66" s="1359"/>
      <c r="AF66" s="1357"/>
      <c r="AG66" s="1358"/>
      <c r="AH66" s="1357"/>
      <c r="AI66" s="1357"/>
      <c r="AJ66" s="1357"/>
      <c r="AK66" s="1359"/>
      <c r="AL66" s="1357"/>
      <c r="AM66" s="1358"/>
      <c r="AN66" s="1357"/>
      <c r="AO66" s="1357"/>
      <c r="AP66" s="1357"/>
      <c r="AQ66" s="1359"/>
      <c r="AR66" s="1357"/>
      <c r="AS66" s="1358"/>
      <c r="AT66" s="1357"/>
      <c r="AU66" s="1357"/>
      <c r="AV66" s="1357"/>
      <c r="AW66" s="1359"/>
      <c r="AX66" s="1357"/>
      <c r="AY66" s="1358"/>
      <c r="AZ66" s="1357"/>
      <c r="BA66" s="1357"/>
      <c r="BB66" s="1357"/>
      <c r="BC66" s="1359"/>
      <c r="BD66" s="1357"/>
      <c r="BE66" s="1358">
        <f>BE35-BB35</f>
        <v>26.900000000000091</v>
      </c>
      <c r="BF66" s="1357">
        <f t="shared" ref="BF66:BH66" si="156">BF35-BE35</f>
        <v>1.5999999999999091</v>
      </c>
      <c r="BG66" s="1357">
        <f t="shared" si="156"/>
        <v>404.60000000000014</v>
      </c>
      <c r="BH66" s="1357">
        <f t="shared" si="156"/>
        <v>-54.000000000000227</v>
      </c>
      <c r="BI66" s="1359">
        <f>BI35-BC35</f>
        <v>379.10000000000014</v>
      </c>
      <c r="BJ66" s="1357"/>
      <c r="BK66" s="1358">
        <f>BK35-BH35</f>
        <v>18.600000000000136</v>
      </c>
      <c r="BL66" s="1357">
        <f t="shared" ref="BL66:BN66" si="157">BL35-BK35</f>
        <v>58.099999999999909</v>
      </c>
      <c r="BM66" s="1357">
        <f t="shared" si="157"/>
        <v>13.200000000000273</v>
      </c>
      <c r="BN66" s="1357">
        <f t="shared" si="157"/>
        <v>19.599999999999682</v>
      </c>
      <c r="BO66" s="1359">
        <f>BO35-BI35</f>
        <v>109.49999999999955</v>
      </c>
      <c r="BP66" s="1357"/>
      <c r="BQ66" s="1358">
        <f>BQ35-BN35</f>
        <v>-10.899999999999864</v>
      </c>
      <c r="BR66" s="1357">
        <f t="shared" ref="BR66:BT66" si="158">BR35-BQ35</f>
        <v>0</v>
      </c>
      <c r="BS66" s="1357">
        <f t="shared" si="158"/>
        <v>0</v>
      </c>
      <c r="BT66" s="1357">
        <f t="shared" si="158"/>
        <v>0</v>
      </c>
      <c r="BU66" s="1359">
        <f>BU35-BO35</f>
        <v>-10.899999999999636</v>
      </c>
      <c r="BV66" s="1357"/>
      <c r="BW66" s="1358">
        <f>BW35-BT35</f>
        <v>0</v>
      </c>
      <c r="BX66" s="1357">
        <f t="shared" ref="BX66:BZ66" si="159">BX35-BW35</f>
        <v>0</v>
      </c>
      <c r="BY66" s="1357">
        <f t="shared" si="159"/>
        <v>0</v>
      </c>
      <c r="BZ66" s="1357">
        <f t="shared" si="159"/>
        <v>0</v>
      </c>
      <c r="CA66" s="1359">
        <f>CA35-BU35</f>
        <v>0</v>
      </c>
      <c r="CB66" s="1357"/>
      <c r="CC66" s="1358">
        <f>CC35-BZ35</f>
        <v>0</v>
      </c>
      <c r="CD66" s="1357">
        <f t="shared" ref="CD66:CF66" si="160">CD35-CC35</f>
        <v>0</v>
      </c>
      <c r="CE66" s="1357">
        <f t="shared" si="160"/>
        <v>0</v>
      </c>
      <c r="CF66" s="1357">
        <f t="shared" si="160"/>
        <v>0</v>
      </c>
      <c r="CG66" s="1359">
        <f>CG35-CA35</f>
        <v>0</v>
      </c>
    </row>
    <row r="67" spans="2:85" s="771" customFormat="1" ht="12" customHeight="1" x14ac:dyDescent="0.2">
      <c r="B67" s="37"/>
      <c r="C67" s="1367"/>
      <c r="D67" s="1366"/>
      <c r="E67" s="1366"/>
      <c r="F67" s="1366"/>
      <c r="G67" s="1368"/>
      <c r="H67" s="1366"/>
      <c r="I67" s="1367"/>
      <c r="J67" s="1366"/>
      <c r="K67" s="1366"/>
      <c r="L67" s="1366"/>
      <c r="M67" s="1368"/>
      <c r="N67" s="1366"/>
      <c r="O67" s="1367"/>
      <c r="P67" s="1366"/>
      <c r="Q67" s="1366"/>
      <c r="R67" s="1366"/>
      <c r="S67" s="1368"/>
      <c r="T67" s="1366"/>
      <c r="U67" s="1367"/>
      <c r="V67" s="1366"/>
      <c r="W67" s="1366"/>
      <c r="X67" s="1366"/>
      <c r="Y67" s="1368"/>
      <c r="Z67" s="1366"/>
      <c r="AA67" s="1367"/>
      <c r="AB67" s="1366"/>
      <c r="AC67" s="1366"/>
      <c r="AD67" s="1366"/>
      <c r="AE67" s="1368"/>
      <c r="AF67" s="1366"/>
      <c r="AG67" s="1367"/>
      <c r="AH67" s="1366"/>
      <c r="AI67" s="1366"/>
      <c r="AJ67" s="1366"/>
      <c r="AK67" s="1368"/>
      <c r="AL67" s="1366"/>
      <c r="AM67" s="1367"/>
      <c r="AN67" s="1366"/>
      <c r="AO67" s="1366"/>
      <c r="AP67" s="1366"/>
      <c r="AQ67" s="1368"/>
      <c r="AR67" s="1366"/>
      <c r="AS67" s="1367"/>
      <c r="AT67" s="1366"/>
      <c r="AU67" s="1366"/>
      <c r="AV67" s="1366"/>
      <c r="AW67" s="1368"/>
      <c r="AX67" s="1366"/>
      <c r="AY67" s="1367"/>
      <c r="AZ67" s="1366"/>
      <c r="BA67" s="1366"/>
      <c r="BB67" s="1366"/>
      <c r="BC67" s="1368"/>
      <c r="BD67" s="1366"/>
      <c r="BE67" s="1367"/>
      <c r="BF67" s="1366"/>
      <c r="BG67" s="1366"/>
      <c r="BH67" s="1366"/>
      <c r="BI67" s="1368"/>
      <c r="BJ67" s="1366"/>
      <c r="BK67" s="1367"/>
      <c r="BL67" s="1366"/>
      <c r="BM67" s="1366"/>
      <c r="BN67" s="1366"/>
      <c r="BO67" s="1368"/>
      <c r="BP67" s="1366"/>
      <c r="BQ67" s="1367"/>
      <c r="BR67" s="1366"/>
      <c r="BS67" s="1366"/>
      <c r="BT67" s="1366"/>
      <c r="BU67" s="1368"/>
      <c r="BV67" s="1366"/>
      <c r="BW67" s="1367"/>
      <c r="BX67" s="1366"/>
      <c r="BY67" s="1366"/>
      <c r="BZ67" s="1366"/>
      <c r="CA67" s="1368"/>
      <c r="CB67" s="1366"/>
      <c r="CC67" s="1367"/>
      <c r="CD67" s="1366"/>
      <c r="CE67" s="1366"/>
      <c r="CF67" s="1366"/>
      <c r="CG67" s="1368"/>
    </row>
    <row r="68" spans="2:85" s="771" customFormat="1" ht="12" customHeight="1" x14ac:dyDescent="0.2">
      <c r="B68" s="37"/>
      <c r="C68" s="1367"/>
      <c r="D68" s="1366"/>
      <c r="E68" s="1366"/>
      <c r="F68" s="1366"/>
      <c r="G68" s="1368"/>
      <c r="H68" s="1366"/>
      <c r="I68" s="1367"/>
      <c r="J68" s="1366"/>
      <c r="K68" s="1366"/>
      <c r="L68" s="1366"/>
      <c r="M68" s="1368"/>
      <c r="N68" s="1366"/>
      <c r="O68" s="1367"/>
      <c r="P68" s="1366"/>
      <c r="Q68" s="1366"/>
      <c r="R68" s="1366"/>
      <c r="S68" s="1368"/>
      <c r="T68" s="1366"/>
      <c r="U68" s="1367"/>
      <c r="V68" s="1366"/>
      <c r="W68" s="1366"/>
      <c r="X68" s="1366"/>
      <c r="Y68" s="1368"/>
      <c r="Z68" s="1366"/>
      <c r="AA68" s="1367"/>
      <c r="AB68" s="1366"/>
      <c r="AC68" s="1366"/>
      <c r="AD68" s="1366"/>
      <c r="AE68" s="1368"/>
      <c r="AF68" s="1366"/>
      <c r="AG68" s="1367"/>
      <c r="AH68" s="1366"/>
      <c r="AI68" s="1366"/>
      <c r="AJ68" s="1366"/>
      <c r="AK68" s="1368"/>
      <c r="AL68" s="1366"/>
      <c r="AM68" s="1367"/>
      <c r="AN68" s="1366"/>
      <c r="AO68" s="1366"/>
      <c r="AP68" s="1366"/>
      <c r="AQ68" s="1368"/>
      <c r="AR68" s="1366"/>
      <c r="AS68" s="1367"/>
      <c r="AT68" s="1366"/>
      <c r="AU68" s="1366"/>
      <c r="AV68" s="1366"/>
      <c r="AW68" s="1368"/>
      <c r="AX68" s="1366"/>
      <c r="AY68" s="1367"/>
      <c r="AZ68" s="1366"/>
      <c r="BA68" s="1366"/>
      <c r="BB68" s="1366"/>
      <c r="BC68" s="1368"/>
      <c r="BD68" s="1366"/>
      <c r="BE68" s="1367"/>
      <c r="BF68" s="1366"/>
      <c r="BG68" s="1366"/>
      <c r="BH68" s="1366"/>
      <c r="BI68" s="1368"/>
      <c r="BJ68" s="1366"/>
      <c r="BK68" s="1367"/>
      <c r="BL68" s="1366"/>
      <c r="BM68" s="1366"/>
      <c r="BN68" s="1366"/>
      <c r="BO68" s="1368"/>
      <c r="BP68" s="1366"/>
      <c r="BQ68" s="1367"/>
      <c r="BR68" s="1366"/>
      <c r="BS68" s="1366"/>
      <c r="BT68" s="1366"/>
      <c r="BU68" s="1368"/>
      <c r="BV68" s="1366"/>
      <c r="BW68" s="1367"/>
      <c r="BX68" s="1366"/>
      <c r="BY68" s="1366"/>
      <c r="BZ68" s="1366"/>
      <c r="CA68" s="1368"/>
      <c r="CB68" s="1366"/>
      <c r="CC68" s="1367"/>
      <c r="CD68" s="1366"/>
      <c r="CE68" s="1366"/>
      <c r="CF68" s="1366"/>
      <c r="CG68" s="1368"/>
    </row>
    <row r="69" spans="2:85" s="1342" customFormat="1" ht="12" customHeight="1" x14ac:dyDescent="0.2">
      <c r="B69" s="1404" t="s">
        <v>704</v>
      </c>
      <c r="C69" s="1398"/>
      <c r="D69" s="1399"/>
      <c r="E69" s="1399"/>
      <c r="F69" s="1399"/>
      <c r="G69" s="1400"/>
      <c r="H69" s="1401"/>
      <c r="I69" s="1398"/>
      <c r="J69" s="1399"/>
      <c r="K69" s="1399"/>
      <c r="L69" s="1399"/>
      <c r="M69" s="1400"/>
      <c r="N69" s="1401"/>
      <c r="O69" s="1398"/>
      <c r="P69" s="1399"/>
      <c r="Q69" s="1399"/>
      <c r="R69" s="1399"/>
      <c r="S69" s="1400"/>
      <c r="T69" s="1401"/>
      <c r="U69" s="1398"/>
      <c r="V69" s="1399"/>
      <c r="W69" s="1399"/>
      <c r="X69" s="1399"/>
      <c r="Y69" s="1400"/>
      <c r="Z69" s="1401"/>
      <c r="AA69" s="1398"/>
      <c r="AB69" s="1399"/>
      <c r="AC69" s="1399"/>
      <c r="AD69" s="1399"/>
      <c r="AE69" s="1400"/>
      <c r="AF69" s="1401"/>
      <c r="AG69" s="1398"/>
      <c r="AH69" s="1399"/>
      <c r="AI69" s="1399"/>
      <c r="AJ69" s="1399"/>
      <c r="AK69" s="1400"/>
      <c r="AL69" s="1401"/>
      <c r="AM69" s="1398"/>
      <c r="AN69" s="1399"/>
      <c r="AO69" s="1399"/>
      <c r="AP69" s="1399"/>
      <c r="AQ69" s="1400"/>
      <c r="AR69" s="1401"/>
      <c r="AS69" s="1398"/>
      <c r="AT69" s="1399"/>
      <c r="AU69" s="1399"/>
      <c r="AV69" s="1399"/>
      <c r="AW69" s="1400"/>
      <c r="AX69" s="1401"/>
      <c r="AY69" s="1398"/>
      <c r="AZ69" s="1399"/>
      <c r="BA69" s="1399"/>
      <c r="BB69" s="1399"/>
      <c r="BC69" s="1400"/>
      <c r="BD69" s="1401"/>
      <c r="BE69" s="1398"/>
      <c r="BF69" s="1399"/>
      <c r="BG69" s="1399"/>
      <c r="BH69" s="1399"/>
      <c r="BI69" s="1400"/>
      <c r="BJ69" s="1401"/>
      <c r="BK69" s="1402"/>
      <c r="BL69" s="1403"/>
      <c r="BM69" s="1403"/>
      <c r="BN69" s="1403"/>
      <c r="BO69" s="1400"/>
      <c r="BP69" s="1401"/>
      <c r="BQ69" s="1402"/>
      <c r="BR69" s="1403"/>
      <c r="BS69" s="1403"/>
      <c r="BT69" s="1403"/>
      <c r="BU69" s="1400"/>
      <c r="BV69" s="1401"/>
      <c r="BW69" s="1402"/>
      <c r="BX69" s="1403"/>
      <c r="BY69" s="1403"/>
      <c r="BZ69" s="1403"/>
      <c r="CA69" s="1400"/>
      <c r="CB69" s="1401"/>
      <c r="CC69" s="1402"/>
      <c r="CD69" s="1403"/>
      <c r="CE69" s="1403"/>
      <c r="CF69" s="1403"/>
      <c r="CG69" s="1400"/>
    </row>
    <row r="70" spans="2:85" s="771" customFormat="1" ht="12" customHeight="1" x14ac:dyDescent="0.2">
      <c r="B70" s="42" t="s">
        <v>701</v>
      </c>
      <c r="C70" s="1358"/>
      <c r="D70" s="1357"/>
      <c r="E70" s="1357"/>
      <c r="F70" s="1357"/>
      <c r="G70" s="1359"/>
      <c r="H70" s="1357"/>
      <c r="I70" s="1358"/>
      <c r="J70" s="1357"/>
      <c r="K70" s="1357"/>
      <c r="L70" s="1357"/>
      <c r="M70" s="1359"/>
      <c r="N70" s="1357"/>
      <c r="O70" s="1358"/>
      <c r="P70" s="1357"/>
      <c r="Q70" s="1357"/>
      <c r="R70" s="1357"/>
      <c r="S70" s="1359"/>
      <c r="T70" s="1357"/>
      <c r="U70" s="1358"/>
      <c r="V70" s="1357"/>
      <c r="W70" s="1357"/>
      <c r="X70" s="1357"/>
      <c r="Y70" s="1359"/>
      <c r="Z70" s="1357"/>
      <c r="AA70" s="1358"/>
      <c r="AB70" s="1357"/>
      <c r="AC70" s="1357"/>
      <c r="AD70" s="1357"/>
      <c r="AE70" s="1359"/>
      <c r="AF70" s="1357"/>
      <c r="AG70" s="1358"/>
      <c r="AH70" s="1357"/>
      <c r="AI70" s="1357"/>
      <c r="AJ70" s="1357"/>
      <c r="AK70" s="1359"/>
      <c r="AL70" s="1357"/>
      <c r="AM70" s="1358"/>
      <c r="AN70" s="1357"/>
      <c r="AO70" s="1357"/>
      <c r="AP70" s="1357"/>
      <c r="AQ70" s="1359"/>
      <c r="AR70" s="1357"/>
      <c r="AS70" s="1358"/>
      <c r="AT70" s="1357"/>
      <c r="AU70" s="1357"/>
      <c r="AV70" s="1357"/>
      <c r="AW70" s="1359"/>
      <c r="AX70" s="1357"/>
      <c r="AY70" s="1358"/>
      <c r="AZ70" s="1357"/>
      <c r="BA70" s="1357"/>
      <c r="BB70" s="1357"/>
      <c r="BC70" s="1418">
        <f>SUMPRODUCT(BC71:BC91,BC7:BC27)/SUM(BC7:BC27)</f>
        <v>2.5838384715588365E-2</v>
      </c>
      <c r="BD70" s="1357"/>
      <c r="BE70" s="1419">
        <f>BC70</f>
        <v>2.5838384715588365E-2</v>
      </c>
      <c r="BF70" s="1420">
        <f>BE70</f>
        <v>2.5838384715588365E-2</v>
      </c>
      <c r="BG70" s="1420">
        <f>BF70</f>
        <v>2.5838384715588365E-2</v>
      </c>
      <c r="BH70" s="1420">
        <f>BI70</f>
        <v>2.0721514811638187E-2</v>
      </c>
      <c r="BI70" s="1418">
        <f>SUMPRODUCT(BI71:BI91,BI7:BI27)/SUM(BI7:BI27)</f>
        <v>2.0721514811638187E-2</v>
      </c>
      <c r="BJ70" s="1357"/>
      <c r="BK70" s="1428">
        <v>2.5999999999999999E-2</v>
      </c>
      <c r="BL70" s="1429">
        <f>+BK70</f>
        <v>2.5999999999999999E-2</v>
      </c>
      <c r="BM70" s="1429">
        <f>+BL70</f>
        <v>2.5999999999999999E-2</v>
      </c>
      <c r="BN70" s="1429">
        <f>+BM70</f>
        <v>2.5999999999999999E-2</v>
      </c>
      <c r="BO70" s="1418">
        <f>SUMPRODUCT(BO71:BO91,BO7:BO27)/SUM(BO7:BO27)</f>
        <v>2.0884451313755794E-2</v>
      </c>
      <c r="BP70" s="1357"/>
      <c r="BQ70" s="1428">
        <v>1.6E-2</v>
      </c>
      <c r="BR70" s="1429">
        <f t="shared" ref="BR70:BT70" si="161">+BQ70</f>
        <v>1.6E-2</v>
      </c>
      <c r="BS70" s="1429">
        <f t="shared" si="161"/>
        <v>1.6E-2</v>
      </c>
      <c r="BT70" s="1429">
        <f t="shared" si="161"/>
        <v>1.6E-2</v>
      </c>
      <c r="BU70" s="1418">
        <f t="shared" ref="BU70" si="162">SUMPRODUCT(BU71:BU91,BU7:BU27)/SUM(BU7:BU27)</f>
        <v>2.1212377119482748E-2</v>
      </c>
      <c r="BV70" s="1357"/>
      <c r="BW70" s="1428">
        <v>1.6E-2</v>
      </c>
      <c r="BX70" s="1429">
        <f t="shared" ref="BX70" si="163">+BW70</f>
        <v>1.6E-2</v>
      </c>
      <c r="BY70" s="1429">
        <f t="shared" ref="BY70" si="164">+BX70</f>
        <v>1.6E-2</v>
      </c>
      <c r="BZ70" s="1429">
        <f t="shared" ref="BZ70" si="165">+BY70</f>
        <v>1.6E-2</v>
      </c>
      <c r="CA70" s="1418">
        <f t="shared" ref="CA70:CG70" si="166">SUMPRODUCT(CA71:CA91,CA7:CA27)/SUM(CA7:CA27)</f>
        <v>2.1212377119482748E-2</v>
      </c>
      <c r="CB70" s="1357"/>
      <c r="CC70" s="1428">
        <v>1.6E-2</v>
      </c>
      <c r="CD70" s="1429">
        <f t="shared" ref="CD70" si="167">+CC70</f>
        <v>1.6E-2</v>
      </c>
      <c r="CE70" s="1429">
        <f t="shared" ref="CE70" si="168">+CD70</f>
        <v>1.6E-2</v>
      </c>
      <c r="CF70" s="1429">
        <f t="shared" ref="CF70" si="169">+CE70</f>
        <v>1.6E-2</v>
      </c>
      <c r="CG70" s="1418">
        <f t="shared" si="166"/>
        <v>2.1212377119482748E-2</v>
      </c>
    </row>
    <row r="71" spans="2:85" s="771" customFormat="1" ht="12" customHeight="1" outlineLevel="1" x14ac:dyDescent="0.2">
      <c r="B71" s="59" t="s">
        <v>671</v>
      </c>
      <c r="C71" s="1367" t="s">
        <v>158</v>
      </c>
      <c r="D71" s="1366"/>
      <c r="E71" s="1366"/>
      <c r="F71" s="1366"/>
      <c r="G71" s="1368"/>
      <c r="H71" s="1366"/>
      <c r="I71" s="1367"/>
      <c r="J71" s="1366"/>
      <c r="K71" s="1366"/>
      <c r="L71" s="1366"/>
      <c r="M71" s="1368"/>
      <c r="N71" s="1366"/>
      <c r="O71" s="1367"/>
      <c r="P71" s="1366"/>
      <c r="Q71" s="1366"/>
      <c r="R71" s="1366"/>
      <c r="S71" s="1368"/>
      <c r="T71" s="1366"/>
      <c r="U71" s="1367"/>
      <c r="V71" s="1366"/>
      <c r="W71" s="1366"/>
      <c r="X71" s="1366"/>
      <c r="Y71" s="1368"/>
      <c r="Z71" s="1366"/>
      <c r="AA71" s="1367"/>
      <c r="AB71" s="1366"/>
      <c r="AC71" s="1366"/>
      <c r="AD71" s="1366"/>
      <c r="AE71" s="1368"/>
      <c r="AF71" s="1366"/>
      <c r="AG71" s="1367"/>
      <c r="AH71" s="1366"/>
      <c r="AI71" s="1366"/>
      <c r="AJ71" s="1366"/>
      <c r="AK71" s="1368"/>
      <c r="AL71" s="1366"/>
      <c r="AM71" s="1367"/>
      <c r="AN71" s="1366"/>
      <c r="AO71" s="1366"/>
      <c r="AP71" s="1366"/>
      <c r="AQ71" s="1368"/>
      <c r="AR71" s="1366"/>
      <c r="AS71" s="1367"/>
      <c r="AT71" s="1366"/>
      <c r="AU71" s="1366"/>
      <c r="AV71" s="1366"/>
      <c r="AW71" s="1368"/>
      <c r="AX71" s="1366"/>
      <c r="AY71" s="1367"/>
      <c r="AZ71" s="1366"/>
      <c r="BA71" s="1366"/>
      <c r="BB71" s="1366"/>
      <c r="BC71" s="1372">
        <v>4.1000000000000002E-2</v>
      </c>
      <c r="BD71" s="1366"/>
      <c r="BE71" s="1367"/>
      <c r="BF71" s="1366"/>
      <c r="BG71" s="1366"/>
      <c r="BH71" s="1366"/>
      <c r="BI71" s="1372">
        <v>0</v>
      </c>
      <c r="BJ71" s="1371"/>
      <c r="BK71" s="1374">
        <f>BI71</f>
        <v>0</v>
      </c>
      <c r="BL71" s="1373">
        <f>BK71</f>
        <v>0</v>
      </c>
      <c r="BM71" s="1373">
        <f>BL71</f>
        <v>0</v>
      </c>
      <c r="BN71" s="1373">
        <f>BM71</f>
        <v>0</v>
      </c>
      <c r="BO71" s="1372">
        <v>0</v>
      </c>
      <c r="BP71" s="1371"/>
      <c r="BQ71" s="1374">
        <f>BO71</f>
        <v>0</v>
      </c>
      <c r="BR71" s="1373">
        <f>BQ71</f>
        <v>0</v>
      </c>
      <c r="BS71" s="1373">
        <f>BR71</f>
        <v>0</v>
      </c>
      <c r="BT71" s="1373">
        <f>BS71</f>
        <v>0</v>
      </c>
      <c r="BU71" s="1375">
        <f>AVERAGE(BQ71:BT71)</f>
        <v>0</v>
      </c>
      <c r="BV71" s="1371"/>
      <c r="BW71" s="1374">
        <f>BU71</f>
        <v>0</v>
      </c>
      <c r="BX71" s="1373">
        <f>BW71</f>
        <v>0</v>
      </c>
      <c r="BY71" s="1373">
        <f>BX71</f>
        <v>0</v>
      </c>
      <c r="BZ71" s="1373">
        <f>BY71</f>
        <v>0</v>
      </c>
      <c r="CA71" s="1375">
        <f>AVERAGE(BW71:BZ71)</f>
        <v>0</v>
      </c>
      <c r="CB71" s="1371"/>
      <c r="CC71" s="1374">
        <f>CA71</f>
        <v>0</v>
      </c>
      <c r="CD71" s="1373">
        <f>CC71</f>
        <v>0</v>
      </c>
      <c r="CE71" s="1373">
        <f>CD71</f>
        <v>0</v>
      </c>
      <c r="CF71" s="1373">
        <f>CE71</f>
        <v>0</v>
      </c>
      <c r="CG71" s="1375">
        <f>AVERAGE(CC71:CF71)</f>
        <v>0</v>
      </c>
    </row>
    <row r="72" spans="2:85" s="771" customFormat="1" ht="12" customHeight="1" outlineLevel="1" x14ac:dyDescent="0.2">
      <c r="B72" s="59" t="s">
        <v>672</v>
      </c>
      <c r="C72" s="1367" t="s">
        <v>158</v>
      </c>
      <c r="D72" s="1366"/>
      <c r="E72" s="1366"/>
      <c r="F72" s="1366"/>
      <c r="G72" s="1368"/>
      <c r="H72" s="1366"/>
      <c r="I72" s="1367"/>
      <c r="J72" s="1366"/>
      <c r="K72" s="1366"/>
      <c r="L72" s="1366"/>
      <c r="M72" s="1368"/>
      <c r="N72" s="1366"/>
      <c r="O72" s="1367"/>
      <c r="P72" s="1366"/>
      <c r="Q72" s="1366"/>
      <c r="R72" s="1366"/>
      <c r="S72" s="1368"/>
      <c r="T72" s="1366"/>
      <c r="U72" s="1367"/>
      <c r="V72" s="1366"/>
      <c r="W72" s="1366"/>
      <c r="X72" s="1366"/>
      <c r="Y72" s="1368"/>
      <c r="Z72" s="1366"/>
      <c r="AA72" s="1367"/>
      <c r="AB72" s="1366"/>
      <c r="AC72" s="1366"/>
      <c r="AD72" s="1366"/>
      <c r="AE72" s="1368"/>
      <c r="AF72" s="1366"/>
      <c r="AG72" s="1367"/>
      <c r="AH72" s="1366"/>
      <c r="AI72" s="1366"/>
      <c r="AJ72" s="1366"/>
      <c r="AK72" s="1368"/>
      <c r="AL72" s="1366"/>
      <c r="AM72" s="1367"/>
      <c r="AN72" s="1366"/>
      <c r="AO72" s="1366"/>
      <c r="AP72" s="1366"/>
      <c r="AQ72" s="1368"/>
      <c r="AR72" s="1366"/>
      <c r="AS72" s="1367"/>
      <c r="AT72" s="1366"/>
      <c r="AU72" s="1366"/>
      <c r="AV72" s="1366"/>
      <c r="AW72" s="1368"/>
      <c r="AX72" s="1366"/>
      <c r="AY72" s="1367"/>
      <c r="AZ72" s="1366"/>
      <c r="BA72" s="1366"/>
      <c r="BB72" s="1366"/>
      <c r="BC72" s="1372">
        <v>2.8000000000000001E-2</v>
      </c>
      <c r="BD72" s="1366"/>
      <c r="BE72" s="1367"/>
      <c r="BF72" s="1366"/>
      <c r="BG72" s="1366"/>
      <c r="BH72" s="1366"/>
      <c r="BI72" s="1372">
        <v>0</v>
      </c>
      <c r="BJ72" s="1371"/>
      <c r="BK72" s="1374">
        <f t="shared" ref="BK72:BK84" si="170">BI72</f>
        <v>0</v>
      </c>
      <c r="BL72" s="1373">
        <f t="shared" ref="BL72:BM92" si="171">BK72</f>
        <v>0</v>
      </c>
      <c r="BM72" s="1373">
        <f t="shared" si="171"/>
        <v>0</v>
      </c>
      <c r="BN72" s="1373">
        <f t="shared" ref="BN72" si="172">BM72</f>
        <v>0</v>
      </c>
      <c r="BO72" s="1372">
        <v>0</v>
      </c>
      <c r="BP72" s="1371"/>
      <c r="BQ72" s="1374">
        <f t="shared" ref="BQ72:BQ92" si="173">BO72</f>
        <v>0</v>
      </c>
      <c r="BR72" s="1373">
        <f t="shared" ref="BR72:BT87" si="174">BQ72</f>
        <v>0</v>
      </c>
      <c r="BS72" s="1373">
        <f t="shared" si="174"/>
        <v>0</v>
      </c>
      <c r="BT72" s="1373">
        <f t="shared" si="174"/>
        <v>0</v>
      </c>
      <c r="BU72" s="1375">
        <f t="shared" ref="BU72:BU91" si="175">AVERAGE(BQ72:BT72)</f>
        <v>0</v>
      </c>
      <c r="BV72" s="1371"/>
      <c r="BW72" s="1374">
        <f t="shared" ref="BW72:BW92" si="176">BU72</f>
        <v>0</v>
      </c>
      <c r="BX72" s="1373">
        <f t="shared" ref="BX72:BZ87" si="177">BW72</f>
        <v>0</v>
      </c>
      <c r="BY72" s="1373">
        <f t="shared" si="177"/>
        <v>0</v>
      </c>
      <c r="BZ72" s="1373">
        <f t="shared" si="177"/>
        <v>0</v>
      </c>
      <c r="CA72" s="1375">
        <f t="shared" ref="CA72:CA91" si="178">AVERAGE(BW72:BZ72)</f>
        <v>0</v>
      </c>
      <c r="CB72" s="1371"/>
      <c r="CC72" s="1374">
        <f t="shared" ref="CC72:CC92" si="179">CA72</f>
        <v>0</v>
      </c>
      <c r="CD72" s="1373">
        <f t="shared" ref="CD72:CF87" si="180">CC72</f>
        <v>0</v>
      </c>
      <c r="CE72" s="1373">
        <f t="shared" si="180"/>
        <v>0</v>
      </c>
      <c r="CF72" s="1373">
        <f t="shared" si="180"/>
        <v>0</v>
      </c>
      <c r="CG72" s="1375">
        <f t="shared" ref="CG72:CG91" si="181">AVERAGE(CC72:CF72)</f>
        <v>0</v>
      </c>
    </row>
    <row r="73" spans="2:85" s="771" customFormat="1" ht="12" customHeight="1" outlineLevel="1" x14ac:dyDescent="0.2">
      <c r="B73" s="59" t="s">
        <v>673</v>
      </c>
      <c r="C73" s="1367" t="s">
        <v>158</v>
      </c>
      <c r="D73" s="1366"/>
      <c r="E73" s="1366"/>
      <c r="F73" s="1366"/>
      <c r="G73" s="1368"/>
      <c r="H73" s="1366"/>
      <c r="I73" s="1367"/>
      <c r="J73" s="1366"/>
      <c r="K73" s="1366"/>
      <c r="L73" s="1366"/>
      <c r="M73" s="1368"/>
      <c r="N73" s="1366"/>
      <c r="O73" s="1367"/>
      <c r="P73" s="1366"/>
      <c r="Q73" s="1366"/>
      <c r="R73" s="1366"/>
      <c r="S73" s="1368"/>
      <c r="T73" s="1366"/>
      <c r="U73" s="1367"/>
      <c r="V73" s="1366"/>
      <c r="W73" s="1366"/>
      <c r="X73" s="1366"/>
      <c r="Y73" s="1368"/>
      <c r="Z73" s="1366"/>
      <c r="AA73" s="1367"/>
      <c r="AB73" s="1366"/>
      <c r="AC73" s="1366"/>
      <c r="AD73" s="1366"/>
      <c r="AE73" s="1368"/>
      <c r="AF73" s="1366"/>
      <c r="AG73" s="1367"/>
      <c r="AH73" s="1366"/>
      <c r="AI73" s="1366"/>
      <c r="AJ73" s="1366"/>
      <c r="AK73" s="1368"/>
      <c r="AL73" s="1366"/>
      <c r="AM73" s="1367"/>
      <c r="AN73" s="1366"/>
      <c r="AO73" s="1366"/>
      <c r="AP73" s="1366"/>
      <c r="AQ73" s="1368"/>
      <c r="AR73" s="1366"/>
      <c r="AS73" s="1367"/>
      <c r="AT73" s="1366"/>
      <c r="AU73" s="1366"/>
      <c r="AV73" s="1366"/>
      <c r="AW73" s="1368"/>
      <c r="AX73" s="1366"/>
      <c r="AY73" s="1367"/>
      <c r="AZ73" s="1366"/>
      <c r="BA73" s="1366"/>
      <c r="BB73" s="1366"/>
      <c r="BC73" s="1372">
        <v>3.0000000000000001E-3</v>
      </c>
      <c r="BD73" s="1366"/>
      <c r="BE73" s="1367"/>
      <c r="BF73" s="1366"/>
      <c r="BG73" s="1366"/>
      <c r="BH73" s="1366"/>
      <c r="BI73" s="1372">
        <v>0</v>
      </c>
      <c r="BJ73" s="1371"/>
      <c r="BK73" s="1374">
        <f t="shared" ref="BK73:BK83" si="182">BI73</f>
        <v>0</v>
      </c>
      <c r="BL73" s="1373">
        <f t="shared" si="171"/>
        <v>0</v>
      </c>
      <c r="BM73" s="1373">
        <f t="shared" si="171"/>
        <v>0</v>
      </c>
      <c r="BN73" s="1373">
        <f t="shared" ref="BN73" si="183">BM73</f>
        <v>0</v>
      </c>
      <c r="BO73" s="1372">
        <v>0</v>
      </c>
      <c r="BP73" s="1371"/>
      <c r="BQ73" s="1374">
        <f t="shared" si="173"/>
        <v>0</v>
      </c>
      <c r="BR73" s="1373">
        <f t="shared" ref="BR73:BS73" si="184">BQ73</f>
        <v>0</v>
      </c>
      <c r="BS73" s="1373">
        <f t="shared" si="184"/>
        <v>0</v>
      </c>
      <c r="BT73" s="1373">
        <f t="shared" si="174"/>
        <v>0</v>
      </c>
      <c r="BU73" s="1375">
        <f t="shared" si="175"/>
        <v>0</v>
      </c>
      <c r="BV73" s="1371"/>
      <c r="BW73" s="1374">
        <f t="shared" si="176"/>
        <v>0</v>
      </c>
      <c r="BX73" s="1373">
        <f t="shared" ref="BX73:BY73" si="185">BW73</f>
        <v>0</v>
      </c>
      <c r="BY73" s="1373">
        <f t="shared" si="185"/>
        <v>0</v>
      </c>
      <c r="BZ73" s="1373">
        <f t="shared" si="177"/>
        <v>0</v>
      </c>
      <c r="CA73" s="1375">
        <f t="shared" si="178"/>
        <v>0</v>
      </c>
      <c r="CB73" s="1371"/>
      <c r="CC73" s="1374">
        <f t="shared" si="179"/>
        <v>0</v>
      </c>
      <c r="CD73" s="1373">
        <f t="shared" ref="CD73:CE73" si="186">CC73</f>
        <v>0</v>
      </c>
      <c r="CE73" s="1373">
        <f t="shared" si="186"/>
        <v>0</v>
      </c>
      <c r="CF73" s="1373">
        <f t="shared" si="180"/>
        <v>0</v>
      </c>
      <c r="CG73" s="1375">
        <f t="shared" si="181"/>
        <v>0</v>
      </c>
    </row>
    <row r="74" spans="2:85" s="771" customFormat="1" ht="12" customHeight="1" outlineLevel="1" x14ac:dyDescent="0.2">
      <c r="B74" s="59" t="s">
        <v>674</v>
      </c>
      <c r="C74" s="1367" t="s">
        <v>158</v>
      </c>
      <c r="D74" s="1366"/>
      <c r="E74" s="1366"/>
      <c r="F74" s="1366"/>
      <c r="G74" s="1368"/>
      <c r="H74" s="1366"/>
      <c r="I74" s="1367"/>
      <c r="J74" s="1366"/>
      <c r="K74" s="1366"/>
      <c r="L74" s="1366"/>
      <c r="M74" s="1368"/>
      <c r="N74" s="1366"/>
      <c r="O74" s="1367"/>
      <c r="P74" s="1366"/>
      <c r="Q74" s="1366"/>
      <c r="R74" s="1366"/>
      <c r="S74" s="1368"/>
      <c r="T74" s="1366"/>
      <c r="U74" s="1367"/>
      <c r="V74" s="1366"/>
      <c r="W74" s="1366"/>
      <c r="X74" s="1366"/>
      <c r="Y74" s="1368"/>
      <c r="Z74" s="1366"/>
      <c r="AA74" s="1367"/>
      <c r="AB74" s="1366"/>
      <c r="AC74" s="1366"/>
      <c r="AD74" s="1366"/>
      <c r="AE74" s="1368"/>
      <c r="AF74" s="1366"/>
      <c r="AG74" s="1367"/>
      <c r="AH74" s="1366"/>
      <c r="AI74" s="1366"/>
      <c r="AJ74" s="1366"/>
      <c r="AK74" s="1368"/>
      <c r="AL74" s="1366"/>
      <c r="AM74" s="1367"/>
      <c r="AN74" s="1366"/>
      <c r="AO74" s="1366"/>
      <c r="AP74" s="1366"/>
      <c r="AQ74" s="1368"/>
      <c r="AR74" s="1366"/>
      <c r="AS74" s="1367"/>
      <c r="AT74" s="1366"/>
      <c r="AU74" s="1366"/>
      <c r="AV74" s="1366"/>
      <c r="AW74" s="1368"/>
      <c r="AX74" s="1366"/>
      <c r="AY74" s="1367"/>
      <c r="AZ74" s="1366"/>
      <c r="BA74" s="1366"/>
      <c r="BB74" s="1366"/>
      <c r="BC74" s="1372">
        <v>8.0000000000000002E-3</v>
      </c>
      <c r="BD74" s="1366"/>
      <c r="BE74" s="1367"/>
      <c r="BF74" s="1366"/>
      <c r="BG74" s="1366"/>
      <c r="BH74" s="1366"/>
      <c r="BI74" s="1372">
        <v>7.0000000000000001E-3</v>
      </c>
      <c r="BJ74" s="1371"/>
      <c r="BK74" s="1374">
        <f t="shared" si="182"/>
        <v>7.0000000000000001E-3</v>
      </c>
      <c r="BL74" s="1373">
        <f t="shared" si="171"/>
        <v>7.0000000000000001E-3</v>
      </c>
      <c r="BM74" s="1373">
        <f t="shared" si="171"/>
        <v>7.0000000000000001E-3</v>
      </c>
      <c r="BN74" s="1373">
        <f t="shared" ref="BN74" si="187">BM74</f>
        <v>7.0000000000000001E-3</v>
      </c>
      <c r="BO74" s="1372">
        <v>7.0000000000000001E-3</v>
      </c>
      <c r="BP74" s="1371"/>
      <c r="BQ74" s="1374">
        <f t="shared" si="173"/>
        <v>7.0000000000000001E-3</v>
      </c>
      <c r="BR74" s="1373">
        <f t="shared" ref="BR74:BS74" si="188">BQ74</f>
        <v>7.0000000000000001E-3</v>
      </c>
      <c r="BS74" s="1373">
        <f t="shared" si="188"/>
        <v>7.0000000000000001E-3</v>
      </c>
      <c r="BT74" s="1373">
        <f t="shared" si="174"/>
        <v>7.0000000000000001E-3</v>
      </c>
      <c r="BU74" s="1375">
        <f t="shared" si="175"/>
        <v>7.0000000000000001E-3</v>
      </c>
      <c r="BV74" s="1371"/>
      <c r="BW74" s="1374">
        <f t="shared" si="176"/>
        <v>7.0000000000000001E-3</v>
      </c>
      <c r="BX74" s="1373">
        <f t="shared" ref="BX74:BY74" si="189">BW74</f>
        <v>7.0000000000000001E-3</v>
      </c>
      <c r="BY74" s="1373">
        <f t="shared" si="189"/>
        <v>7.0000000000000001E-3</v>
      </c>
      <c r="BZ74" s="1373">
        <f t="shared" si="177"/>
        <v>7.0000000000000001E-3</v>
      </c>
      <c r="CA74" s="1375">
        <f t="shared" si="178"/>
        <v>7.0000000000000001E-3</v>
      </c>
      <c r="CB74" s="1371"/>
      <c r="CC74" s="1374">
        <f t="shared" si="179"/>
        <v>7.0000000000000001E-3</v>
      </c>
      <c r="CD74" s="1373">
        <f t="shared" ref="CD74:CE74" si="190">CC74</f>
        <v>7.0000000000000001E-3</v>
      </c>
      <c r="CE74" s="1373">
        <f t="shared" si="190"/>
        <v>7.0000000000000001E-3</v>
      </c>
      <c r="CF74" s="1373">
        <f t="shared" si="180"/>
        <v>7.0000000000000001E-3</v>
      </c>
      <c r="CG74" s="1375">
        <f t="shared" si="181"/>
        <v>7.0000000000000001E-3</v>
      </c>
    </row>
    <row r="75" spans="2:85" s="771" customFormat="1" ht="12" customHeight="1" outlineLevel="1" x14ac:dyDescent="0.2">
      <c r="B75" s="59" t="s">
        <v>675</v>
      </c>
      <c r="C75" s="1367" t="s">
        <v>158</v>
      </c>
      <c r="D75" s="1366"/>
      <c r="E75" s="1366"/>
      <c r="F75" s="1366"/>
      <c r="G75" s="1368"/>
      <c r="H75" s="1366"/>
      <c r="I75" s="1367"/>
      <c r="J75" s="1366"/>
      <c r="K75" s="1366"/>
      <c r="L75" s="1366"/>
      <c r="M75" s="1368"/>
      <c r="N75" s="1366"/>
      <c r="O75" s="1367"/>
      <c r="P75" s="1366"/>
      <c r="Q75" s="1366"/>
      <c r="R75" s="1366"/>
      <c r="S75" s="1368"/>
      <c r="T75" s="1366"/>
      <c r="U75" s="1367"/>
      <c r="V75" s="1366"/>
      <c r="W75" s="1366"/>
      <c r="X75" s="1366"/>
      <c r="Y75" s="1368"/>
      <c r="Z75" s="1366"/>
      <c r="AA75" s="1367"/>
      <c r="AB75" s="1366"/>
      <c r="AC75" s="1366"/>
      <c r="AD75" s="1366"/>
      <c r="AE75" s="1368"/>
      <c r="AF75" s="1366"/>
      <c r="AG75" s="1367"/>
      <c r="AH75" s="1366"/>
      <c r="AI75" s="1366"/>
      <c r="AJ75" s="1366"/>
      <c r="AK75" s="1368"/>
      <c r="AL75" s="1366"/>
      <c r="AM75" s="1367"/>
      <c r="AN75" s="1366"/>
      <c r="AO75" s="1366"/>
      <c r="AP75" s="1366"/>
      <c r="AQ75" s="1368"/>
      <c r="AR75" s="1366"/>
      <c r="AS75" s="1367"/>
      <c r="AT75" s="1366"/>
      <c r="AU75" s="1366"/>
      <c r="AV75" s="1366"/>
      <c r="AW75" s="1368"/>
      <c r="AX75" s="1366"/>
      <c r="AY75" s="1367"/>
      <c r="AZ75" s="1366"/>
      <c r="BA75" s="1366"/>
      <c r="BB75" s="1366"/>
      <c r="BC75" s="1372">
        <v>1.4999999999999999E-2</v>
      </c>
      <c r="BD75" s="1366"/>
      <c r="BE75" s="1367"/>
      <c r="BF75" s="1366"/>
      <c r="BG75" s="1366"/>
      <c r="BH75" s="1366"/>
      <c r="BI75" s="1372">
        <v>2.1000000000000001E-2</v>
      </c>
      <c r="BJ75" s="1371"/>
      <c r="BK75" s="1374">
        <f t="shared" si="182"/>
        <v>2.1000000000000001E-2</v>
      </c>
      <c r="BL75" s="1373">
        <f t="shared" si="171"/>
        <v>2.1000000000000001E-2</v>
      </c>
      <c r="BM75" s="1373">
        <f t="shared" si="171"/>
        <v>2.1000000000000001E-2</v>
      </c>
      <c r="BN75" s="1373">
        <f t="shared" ref="BN75" si="191">BM75</f>
        <v>2.1000000000000001E-2</v>
      </c>
      <c r="BO75" s="1372">
        <v>2.5999999999999999E-2</v>
      </c>
      <c r="BP75" s="1371"/>
      <c r="BQ75" s="1374">
        <f t="shared" si="173"/>
        <v>2.5999999999999999E-2</v>
      </c>
      <c r="BR75" s="1373">
        <f t="shared" ref="BR75:BS75" si="192">BQ75</f>
        <v>2.5999999999999999E-2</v>
      </c>
      <c r="BS75" s="1373">
        <f t="shared" si="192"/>
        <v>2.5999999999999999E-2</v>
      </c>
      <c r="BT75" s="1373">
        <f t="shared" si="174"/>
        <v>2.5999999999999999E-2</v>
      </c>
      <c r="BU75" s="1375">
        <f t="shared" si="175"/>
        <v>2.5999999999999999E-2</v>
      </c>
      <c r="BV75" s="1371"/>
      <c r="BW75" s="1374">
        <f t="shared" si="176"/>
        <v>2.5999999999999999E-2</v>
      </c>
      <c r="BX75" s="1373">
        <f t="shared" ref="BX75:BY75" si="193">BW75</f>
        <v>2.5999999999999999E-2</v>
      </c>
      <c r="BY75" s="1373">
        <f t="shared" si="193"/>
        <v>2.5999999999999999E-2</v>
      </c>
      <c r="BZ75" s="1373">
        <f t="shared" si="177"/>
        <v>2.5999999999999999E-2</v>
      </c>
      <c r="CA75" s="1375">
        <f t="shared" si="178"/>
        <v>2.5999999999999999E-2</v>
      </c>
      <c r="CB75" s="1371"/>
      <c r="CC75" s="1374">
        <f t="shared" si="179"/>
        <v>2.5999999999999999E-2</v>
      </c>
      <c r="CD75" s="1373">
        <f t="shared" ref="CD75:CE75" si="194">CC75</f>
        <v>2.5999999999999999E-2</v>
      </c>
      <c r="CE75" s="1373">
        <f t="shared" si="194"/>
        <v>2.5999999999999999E-2</v>
      </c>
      <c r="CF75" s="1373">
        <f t="shared" si="180"/>
        <v>2.5999999999999999E-2</v>
      </c>
      <c r="CG75" s="1375">
        <f t="shared" si="181"/>
        <v>2.5999999999999999E-2</v>
      </c>
    </row>
    <row r="76" spans="2:85" s="771" customFormat="1" ht="12" customHeight="1" outlineLevel="1" x14ac:dyDescent="0.2">
      <c r="B76" s="59" t="s">
        <v>676</v>
      </c>
      <c r="C76" s="1367" t="s">
        <v>158</v>
      </c>
      <c r="D76" s="1366"/>
      <c r="E76" s="1366"/>
      <c r="F76" s="1366"/>
      <c r="G76" s="1368"/>
      <c r="H76" s="1366"/>
      <c r="I76" s="1367"/>
      <c r="J76" s="1366"/>
      <c r="K76" s="1366"/>
      <c r="L76" s="1366"/>
      <c r="M76" s="1368"/>
      <c r="N76" s="1366"/>
      <c r="O76" s="1367"/>
      <c r="P76" s="1366"/>
      <c r="Q76" s="1366"/>
      <c r="R76" s="1366"/>
      <c r="S76" s="1368"/>
      <c r="T76" s="1366"/>
      <c r="U76" s="1367"/>
      <c r="V76" s="1366"/>
      <c r="W76" s="1366"/>
      <c r="X76" s="1366"/>
      <c r="Y76" s="1368"/>
      <c r="Z76" s="1366"/>
      <c r="AA76" s="1367"/>
      <c r="AB76" s="1366"/>
      <c r="AC76" s="1366"/>
      <c r="AD76" s="1366"/>
      <c r="AE76" s="1368"/>
      <c r="AF76" s="1366"/>
      <c r="AG76" s="1367"/>
      <c r="AH76" s="1366"/>
      <c r="AI76" s="1366"/>
      <c r="AJ76" s="1366"/>
      <c r="AK76" s="1368"/>
      <c r="AL76" s="1366"/>
      <c r="AM76" s="1367"/>
      <c r="AN76" s="1366"/>
      <c r="AO76" s="1366"/>
      <c r="AP76" s="1366"/>
      <c r="AQ76" s="1368"/>
      <c r="AR76" s="1366"/>
      <c r="AS76" s="1367"/>
      <c r="AT76" s="1366"/>
      <c r="AU76" s="1366"/>
      <c r="AV76" s="1366"/>
      <c r="AW76" s="1368"/>
      <c r="AX76" s="1366"/>
      <c r="AY76" s="1367"/>
      <c r="AZ76" s="1366"/>
      <c r="BA76" s="1366"/>
      <c r="BB76" s="1366"/>
      <c r="BC76" s="1372">
        <v>4.1000000000000002E-2</v>
      </c>
      <c r="BD76" s="1366"/>
      <c r="BE76" s="1367"/>
      <c r="BF76" s="1366"/>
      <c r="BG76" s="1366"/>
      <c r="BH76" s="1366"/>
      <c r="BI76" s="1372">
        <v>4.1000000000000002E-2</v>
      </c>
      <c r="BJ76" s="1371"/>
      <c r="BK76" s="1374">
        <f t="shared" si="182"/>
        <v>4.1000000000000002E-2</v>
      </c>
      <c r="BL76" s="1373">
        <f t="shared" si="171"/>
        <v>4.1000000000000002E-2</v>
      </c>
      <c r="BM76" s="1373">
        <f t="shared" si="171"/>
        <v>4.1000000000000002E-2</v>
      </c>
      <c r="BN76" s="1373">
        <f t="shared" ref="BN76" si="195">BM76</f>
        <v>4.1000000000000002E-2</v>
      </c>
      <c r="BO76" s="1372">
        <v>4.1000000000000002E-2</v>
      </c>
      <c r="BP76" s="1371"/>
      <c r="BQ76" s="1374">
        <f t="shared" si="173"/>
        <v>4.1000000000000002E-2</v>
      </c>
      <c r="BR76" s="1373">
        <f t="shared" ref="BR76:BS76" si="196">BQ76</f>
        <v>4.1000000000000002E-2</v>
      </c>
      <c r="BS76" s="1373">
        <f t="shared" si="196"/>
        <v>4.1000000000000002E-2</v>
      </c>
      <c r="BT76" s="1373">
        <f t="shared" si="174"/>
        <v>4.1000000000000002E-2</v>
      </c>
      <c r="BU76" s="1375">
        <f t="shared" si="175"/>
        <v>4.1000000000000002E-2</v>
      </c>
      <c r="BV76" s="1371"/>
      <c r="BW76" s="1374">
        <f t="shared" si="176"/>
        <v>4.1000000000000002E-2</v>
      </c>
      <c r="BX76" s="1373">
        <f t="shared" ref="BX76:BY76" si="197">BW76</f>
        <v>4.1000000000000002E-2</v>
      </c>
      <c r="BY76" s="1373">
        <f t="shared" si="197"/>
        <v>4.1000000000000002E-2</v>
      </c>
      <c r="BZ76" s="1373">
        <f t="shared" si="177"/>
        <v>4.1000000000000002E-2</v>
      </c>
      <c r="CA76" s="1375">
        <f t="shared" si="178"/>
        <v>4.1000000000000002E-2</v>
      </c>
      <c r="CB76" s="1371"/>
      <c r="CC76" s="1374">
        <f t="shared" si="179"/>
        <v>4.1000000000000002E-2</v>
      </c>
      <c r="CD76" s="1373">
        <f t="shared" ref="CD76:CE76" si="198">CC76</f>
        <v>4.1000000000000002E-2</v>
      </c>
      <c r="CE76" s="1373">
        <f t="shared" si="198"/>
        <v>4.1000000000000002E-2</v>
      </c>
      <c r="CF76" s="1373">
        <f t="shared" si="180"/>
        <v>4.1000000000000002E-2</v>
      </c>
      <c r="CG76" s="1375">
        <f t="shared" si="181"/>
        <v>4.1000000000000002E-2</v>
      </c>
    </row>
    <row r="77" spans="2:85" s="771" customFormat="1" ht="12" customHeight="1" outlineLevel="1" x14ac:dyDescent="0.2">
      <c r="B77" s="59" t="s">
        <v>677</v>
      </c>
      <c r="C77" s="1367" t="s">
        <v>158</v>
      </c>
      <c r="D77" s="1366"/>
      <c r="E77" s="1366"/>
      <c r="F77" s="1366"/>
      <c r="G77" s="1368"/>
      <c r="H77" s="1366"/>
      <c r="I77" s="1367"/>
      <c r="J77" s="1366"/>
      <c r="K77" s="1366"/>
      <c r="L77" s="1366"/>
      <c r="M77" s="1368"/>
      <c r="N77" s="1366"/>
      <c r="O77" s="1367"/>
      <c r="P77" s="1366"/>
      <c r="Q77" s="1366"/>
      <c r="R77" s="1366"/>
      <c r="S77" s="1368"/>
      <c r="T77" s="1366"/>
      <c r="U77" s="1367"/>
      <c r="V77" s="1366"/>
      <c r="W77" s="1366"/>
      <c r="X77" s="1366"/>
      <c r="Y77" s="1368"/>
      <c r="Z77" s="1366"/>
      <c r="AA77" s="1367"/>
      <c r="AB77" s="1366"/>
      <c r="AC77" s="1366"/>
      <c r="AD77" s="1366"/>
      <c r="AE77" s="1368"/>
      <c r="AF77" s="1366"/>
      <c r="AG77" s="1367"/>
      <c r="AH77" s="1366"/>
      <c r="AI77" s="1366"/>
      <c r="AJ77" s="1366"/>
      <c r="AK77" s="1368"/>
      <c r="AL77" s="1366"/>
      <c r="AM77" s="1367"/>
      <c r="AN77" s="1366"/>
      <c r="AO77" s="1366"/>
      <c r="AP77" s="1366"/>
      <c r="AQ77" s="1368"/>
      <c r="AR77" s="1366"/>
      <c r="AS77" s="1367"/>
      <c r="AT77" s="1366"/>
      <c r="AU77" s="1366"/>
      <c r="AV77" s="1366"/>
      <c r="AW77" s="1368"/>
      <c r="AX77" s="1366"/>
      <c r="AY77" s="1367"/>
      <c r="AZ77" s="1366"/>
      <c r="BA77" s="1366"/>
      <c r="BB77" s="1366"/>
      <c r="BC77" s="1372">
        <v>0</v>
      </c>
      <c r="BD77" s="1366"/>
      <c r="BE77" s="1367"/>
      <c r="BF77" s="1366"/>
      <c r="BG77" s="1366"/>
      <c r="BH77" s="1366"/>
      <c r="BI77" s="1372">
        <v>0.01</v>
      </c>
      <c r="BJ77" s="1371"/>
      <c r="BK77" s="1374">
        <f t="shared" si="182"/>
        <v>0.01</v>
      </c>
      <c r="BL77" s="1373">
        <f t="shared" si="171"/>
        <v>0.01</v>
      </c>
      <c r="BM77" s="1373">
        <f t="shared" si="171"/>
        <v>0.01</v>
      </c>
      <c r="BN77" s="1373">
        <f t="shared" ref="BN77" si="199">BM77</f>
        <v>0.01</v>
      </c>
      <c r="BO77" s="1372">
        <v>0.01</v>
      </c>
      <c r="BP77" s="1371"/>
      <c r="BQ77" s="1374">
        <f t="shared" si="173"/>
        <v>0.01</v>
      </c>
      <c r="BR77" s="1373">
        <f t="shared" ref="BR77:BS77" si="200">BQ77</f>
        <v>0.01</v>
      </c>
      <c r="BS77" s="1373">
        <f t="shared" si="200"/>
        <v>0.01</v>
      </c>
      <c r="BT77" s="1373">
        <f t="shared" si="174"/>
        <v>0.01</v>
      </c>
      <c r="BU77" s="1375">
        <f t="shared" si="175"/>
        <v>0.01</v>
      </c>
      <c r="BV77" s="1371"/>
      <c r="BW77" s="1374">
        <f t="shared" si="176"/>
        <v>0.01</v>
      </c>
      <c r="BX77" s="1373">
        <f t="shared" ref="BX77:BY77" si="201">BW77</f>
        <v>0.01</v>
      </c>
      <c r="BY77" s="1373">
        <f t="shared" si="201"/>
        <v>0.01</v>
      </c>
      <c r="BZ77" s="1373">
        <f t="shared" si="177"/>
        <v>0.01</v>
      </c>
      <c r="CA77" s="1375">
        <f t="shared" si="178"/>
        <v>0.01</v>
      </c>
      <c r="CB77" s="1371"/>
      <c r="CC77" s="1374">
        <f t="shared" si="179"/>
        <v>0.01</v>
      </c>
      <c r="CD77" s="1373">
        <f t="shared" ref="CD77:CE77" si="202">CC77</f>
        <v>0.01</v>
      </c>
      <c r="CE77" s="1373">
        <f t="shared" si="202"/>
        <v>0.01</v>
      </c>
      <c r="CF77" s="1373">
        <f t="shared" si="180"/>
        <v>0.01</v>
      </c>
      <c r="CG77" s="1375">
        <f t="shared" si="181"/>
        <v>0.01</v>
      </c>
    </row>
    <row r="78" spans="2:85" s="771" customFormat="1" ht="12" customHeight="1" outlineLevel="1" x14ac:dyDescent="0.2">
      <c r="B78" s="59" t="s">
        <v>678</v>
      </c>
      <c r="C78" s="1367" t="s">
        <v>158</v>
      </c>
      <c r="D78" s="1366"/>
      <c r="E78" s="1366"/>
      <c r="F78" s="1366"/>
      <c r="G78" s="1368"/>
      <c r="H78" s="1366"/>
      <c r="I78" s="1367"/>
      <c r="J78" s="1366"/>
      <c r="K78" s="1366"/>
      <c r="L78" s="1366"/>
      <c r="M78" s="1368"/>
      <c r="N78" s="1366"/>
      <c r="O78" s="1367"/>
      <c r="P78" s="1366"/>
      <c r="Q78" s="1366"/>
      <c r="R78" s="1366"/>
      <c r="S78" s="1368"/>
      <c r="T78" s="1366"/>
      <c r="U78" s="1367"/>
      <c r="V78" s="1366"/>
      <c r="W78" s="1366"/>
      <c r="X78" s="1366"/>
      <c r="Y78" s="1368"/>
      <c r="Z78" s="1366"/>
      <c r="AA78" s="1367"/>
      <c r="AB78" s="1366"/>
      <c r="AC78" s="1366"/>
      <c r="AD78" s="1366"/>
      <c r="AE78" s="1368"/>
      <c r="AF78" s="1366"/>
      <c r="AG78" s="1367"/>
      <c r="AH78" s="1366"/>
      <c r="AI78" s="1366"/>
      <c r="AJ78" s="1366"/>
      <c r="AK78" s="1368"/>
      <c r="AL78" s="1366"/>
      <c r="AM78" s="1367"/>
      <c r="AN78" s="1366"/>
      <c r="AO78" s="1366"/>
      <c r="AP78" s="1366"/>
      <c r="AQ78" s="1368"/>
      <c r="AR78" s="1366"/>
      <c r="AS78" s="1367"/>
      <c r="AT78" s="1366"/>
      <c r="AU78" s="1366"/>
      <c r="AV78" s="1366"/>
      <c r="AW78" s="1368"/>
      <c r="AX78" s="1366"/>
      <c r="AY78" s="1367"/>
      <c r="AZ78" s="1366"/>
      <c r="BA78" s="1366"/>
      <c r="BB78" s="1366"/>
      <c r="BC78" s="1372">
        <v>8.9999999999999993E-3</v>
      </c>
      <c r="BD78" s="1366"/>
      <c r="BE78" s="1367"/>
      <c r="BF78" s="1366"/>
      <c r="BG78" s="1366"/>
      <c r="BH78" s="1366"/>
      <c r="BI78" s="1372">
        <v>8.9999999999999993E-3</v>
      </c>
      <c r="BJ78" s="1371"/>
      <c r="BK78" s="1374">
        <f t="shared" si="182"/>
        <v>8.9999999999999993E-3</v>
      </c>
      <c r="BL78" s="1373">
        <f t="shared" si="171"/>
        <v>8.9999999999999993E-3</v>
      </c>
      <c r="BM78" s="1373">
        <f t="shared" si="171"/>
        <v>8.9999999999999993E-3</v>
      </c>
      <c r="BN78" s="1373">
        <f t="shared" ref="BN78" si="203">BM78</f>
        <v>8.9999999999999993E-3</v>
      </c>
      <c r="BO78" s="1372">
        <v>8.9999999999999993E-3</v>
      </c>
      <c r="BP78" s="1371"/>
      <c r="BQ78" s="1374">
        <f t="shared" si="173"/>
        <v>8.9999999999999993E-3</v>
      </c>
      <c r="BR78" s="1373">
        <f t="shared" ref="BR78:BS78" si="204">BQ78</f>
        <v>8.9999999999999993E-3</v>
      </c>
      <c r="BS78" s="1373">
        <f t="shared" si="204"/>
        <v>8.9999999999999993E-3</v>
      </c>
      <c r="BT78" s="1373">
        <f t="shared" si="174"/>
        <v>8.9999999999999993E-3</v>
      </c>
      <c r="BU78" s="1375">
        <f t="shared" si="175"/>
        <v>8.9999999999999993E-3</v>
      </c>
      <c r="BV78" s="1371"/>
      <c r="BW78" s="1374">
        <f t="shared" si="176"/>
        <v>8.9999999999999993E-3</v>
      </c>
      <c r="BX78" s="1373">
        <f t="shared" ref="BX78:BY78" si="205">BW78</f>
        <v>8.9999999999999993E-3</v>
      </c>
      <c r="BY78" s="1373">
        <f t="shared" si="205"/>
        <v>8.9999999999999993E-3</v>
      </c>
      <c r="BZ78" s="1373">
        <f t="shared" si="177"/>
        <v>8.9999999999999993E-3</v>
      </c>
      <c r="CA78" s="1375">
        <f t="shared" si="178"/>
        <v>8.9999999999999993E-3</v>
      </c>
      <c r="CB78" s="1371"/>
      <c r="CC78" s="1374">
        <f t="shared" si="179"/>
        <v>8.9999999999999993E-3</v>
      </c>
      <c r="CD78" s="1373">
        <f t="shared" ref="CD78:CE78" si="206">CC78</f>
        <v>8.9999999999999993E-3</v>
      </c>
      <c r="CE78" s="1373">
        <f t="shared" si="206"/>
        <v>8.9999999999999993E-3</v>
      </c>
      <c r="CF78" s="1373">
        <f t="shared" si="180"/>
        <v>8.9999999999999993E-3</v>
      </c>
      <c r="CG78" s="1375">
        <f t="shared" si="181"/>
        <v>8.9999999999999993E-3</v>
      </c>
    </row>
    <row r="79" spans="2:85" s="771" customFormat="1" ht="12" customHeight="1" outlineLevel="1" x14ac:dyDescent="0.2">
      <c r="B79" s="59" t="s">
        <v>679</v>
      </c>
      <c r="C79" s="1367" t="s">
        <v>158</v>
      </c>
      <c r="D79" s="1366"/>
      <c r="E79" s="1366"/>
      <c r="F79" s="1366"/>
      <c r="G79" s="1368"/>
      <c r="H79" s="1366"/>
      <c r="I79" s="1367"/>
      <c r="J79" s="1366"/>
      <c r="K79" s="1366"/>
      <c r="L79" s="1366"/>
      <c r="M79" s="1368"/>
      <c r="N79" s="1366"/>
      <c r="O79" s="1367"/>
      <c r="P79" s="1366"/>
      <c r="Q79" s="1366"/>
      <c r="R79" s="1366"/>
      <c r="S79" s="1368"/>
      <c r="T79" s="1366"/>
      <c r="U79" s="1367"/>
      <c r="V79" s="1366"/>
      <c r="W79" s="1366"/>
      <c r="X79" s="1366"/>
      <c r="Y79" s="1368"/>
      <c r="Z79" s="1366"/>
      <c r="AA79" s="1367"/>
      <c r="AB79" s="1366"/>
      <c r="AC79" s="1366"/>
      <c r="AD79" s="1366"/>
      <c r="AE79" s="1368"/>
      <c r="AF79" s="1366"/>
      <c r="AG79" s="1367"/>
      <c r="AH79" s="1366"/>
      <c r="AI79" s="1366"/>
      <c r="AJ79" s="1366"/>
      <c r="AK79" s="1368"/>
      <c r="AL79" s="1366"/>
      <c r="AM79" s="1367"/>
      <c r="AN79" s="1366"/>
      <c r="AO79" s="1366"/>
      <c r="AP79" s="1366"/>
      <c r="AQ79" s="1368"/>
      <c r="AR79" s="1366"/>
      <c r="AS79" s="1367"/>
      <c r="AT79" s="1366"/>
      <c r="AU79" s="1366"/>
      <c r="AV79" s="1366"/>
      <c r="AW79" s="1368"/>
      <c r="AX79" s="1366"/>
      <c r="AY79" s="1367"/>
      <c r="AZ79" s="1366"/>
      <c r="BA79" s="1366"/>
      <c r="BB79" s="1366"/>
      <c r="BC79" s="1372">
        <v>0.02</v>
      </c>
      <c r="BD79" s="1366"/>
      <c r="BE79" s="1367"/>
      <c r="BF79" s="1366"/>
      <c r="BG79" s="1366"/>
      <c r="BH79" s="1366"/>
      <c r="BI79" s="1372">
        <v>2.1000000000000001E-2</v>
      </c>
      <c r="BJ79" s="1371"/>
      <c r="BK79" s="1374">
        <f t="shared" si="182"/>
        <v>2.1000000000000001E-2</v>
      </c>
      <c r="BL79" s="1373">
        <f t="shared" si="171"/>
        <v>2.1000000000000001E-2</v>
      </c>
      <c r="BM79" s="1373">
        <f t="shared" si="171"/>
        <v>2.1000000000000001E-2</v>
      </c>
      <c r="BN79" s="1373">
        <f t="shared" ref="BN79" si="207">BM79</f>
        <v>2.1000000000000001E-2</v>
      </c>
      <c r="BO79" s="1372">
        <v>2.1000000000000001E-2</v>
      </c>
      <c r="BP79" s="1371"/>
      <c r="BQ79" s="1374">
        <f t="shared" si="173"/>
        <v>2.1000000000000001E-2</v>
      </c>
      <c r="BR79" s="1373">
        <f t="shared" ref="BR79:BS79" si="208">BQ79</f>
        <v>2.1000000000000001E-2</v>
      </c>
      <c r="BS79" s="1373">
        <f t="shared" si="208"/>
        <v>2.1000000000000001E-2</v>
      </c>
      <c r="BT79" s="1373">
        <f t="shared" si="174"/>
        <v>2.1000000000000001E-2</v>
      </c>
      <c r="BU79" s="1375">
        <f t="shared" si="175"/>
        <v>2.1000000000000001E-2</v>
      </c>
      <c r="BV79" s="1371"/>
      <c r="BW79" s="1374">
        <f t="shared" si="176"/>
        <v>2.1000000000000001E-2</v>
      </c>
      <c r="BX79" s="1373">
        <f t="shared" ref="BX79:BY79" si="209">BW79</f>
        <v>2.1000000000000001E-2</v>
      </c>
      <c r="BY79" s="1373">
        <f t="shared" si="209"/>
        <v>2.1000000000000001E-2</v>
      </c>
      <c r="BZ79" s="1373">
        <f t="shared" si="177"/>
        <v>2.1000000000000001E-2</v>
      </c>
      <c r="CA79" s="1375">
        <f t="shared" si="178"/>
        <v>2.1000000000000001E-2</v>
      </c>
      <c r="CB79" s="1371"/>
      <c r="CC79" s="1374">
        <f t="shared" si="179"/>
        <v>2.1000000000000001E-2</v>
      </c>
      <c r="CD79" s="1373">
        <f t="shared" ref="CD79:CE79" si="210">CC79</f>
        <v>2.1000000000000001E-2</v>
      </c>
      <c r="CE79" s="1373">
        <f t="shared" si="210"/>
        <v>2.1000000000000001E-2</v>
      </c>
      <c r="CF79" s="1373">
        <f t="shared" si="180"/>
        <v>2.1000000000000001E-2</v>
      </c>
      <c r="CG79" s="1375">
        <f t="shared" si="181"/>
        <v>2.1000000000000001E-2</v>
      </c>
    </row>
    <row r="80" spans="2:85" s="771" customFormat="1" ht="12" customHeight="1" outlineLevel="1" x14ac:dyDescent="0.2">
      <c r="B80" s="59" t="s">
        <v>680</v>
      </c>
      <c r="C80" s="1367" t="s">
        <v>158</v>
      </c>
      <c r="D80" s="1366"/>
      <c r="E80" s="1366"/>
      <c r="F80" s="1366"/>
      <c r="G80" s="1368"/>
      <c r="H80" s="1366"/>
      <c r="I80" s="1367"/>
      <c r="J80" s="1366"/>
      <c r="K80" s="1366"/>
      <c r="L80" s="1366"/>
      <c r="M80" s="1368"/>
      <c r="N80" s="1366"/>
      <c r="O80" s="1367"/>
      <c r="P80" s="1366"/>
      <c r="Q80" s="1366"/>
      <c r="R80" s="1366"/>
      <c r="S80" s="1368"/>
      <c r="T80" s="1366"/>
      <c r="U80" s="1367"/>
      <c r="V80" s="1366"/>
      <c r="W80" s="1366"/>
      <c r="X80" s="1366"/>
      <c r="Y80" s="1368"/>
      <c r="Z80" s="1366"/>
      <c r="AA80" s="1367"/>
      <c r="AB80" s="1366"/>
      <c r="AC80" s="1366"/>
      <c r="AD80" s="1366"/>
      <c r="AE80" s="1368"/>
      <c r="AF80" s="1366"/>
      <c r="AG80" s="1367"/>
      <c r="AH80" s="1366"/>
      <c r="AI80" s="1366"/>
      <c r="AJ80" s="1366"/>
      <c r="AK80" s="1368"/>
      <c r="AL80" s="1366"/>
      <c r="AM80" s="1367"/>
      <c r="AN80" s="1366"/>
      <c r="AO80" s="1366"/>
      <c r="AP80" s="1366"/>
      <c r="AQ80" s="1368"/>
      <c r="AR80" s="1366"/>
      <c r="AS80" s="1367"/>
      <c r="AT80" s="1366"/>
      <c r="AU80" s="1366"/>
      <c r="AV80" s="1366"/>
      <c r="AW80" s="1368"/>
      <c r="AX80" s="1366"/>
      <c r="AY80" s="1367"/>
      <c r="AZ80" s="1366"/>
      <c r="BA80" s="1366"/>
      <c r="BB80" s="1366"/>
      <c r="BC80" s="1372">
        <v>0</v>
      </c>
      <c r="BD80" s="1366"/>
      <c r="BE80" s="1367"/>
      <c r="BF80" s="1366"/>
      <c r="BG80" s="1366"/>
      <c r="BH80" s="1366"/>
      <c r="BI80" s="1372">
        <v>2.1000000000000001E-2</v>
      </c>
      <c r="BJ80" s="1371"/>
      <c r="BK80" s="1374">
        <f t="shared" si="182"/>
        <v>2.1000000000000001E-2</v>
      </c>
      <c r="BL80" s="1373">
        <f t="shared" si="171"/>
        <v>2.1000000000000001E-2</v>
      </c>
      <c r="BM80" s="1373">
        <f t="shared" si="171"/>
        <v>2.1000000000000001E-2</v>
      </c>
      <c r="BN80" s="1373">
        <f t="shared" ref="BN80" si="211">BM80</f>
        <v>2.1000000000000001E-2</v>
      </c>
      <c r="BO80" s="1372">
        <v>2.1000000000000001E-2</v>
      </c>
      <c r="BP80" s="1371"/>
      <c r="BQ80" s="1374">
        <f t="shared" si="173"/>
        <v>2.1000000000000001E-2</v>
      </c>
      <c r="BR80" s="1373">
        <f t="shared" ref="BR80:BS80" si="212">BQ80</f>
        <v>2.1000000000000001E-2</v>
      </c>
      <c r="BS80" s="1373">
        <f t="shared" si="212"/>
        <v>2.1000000000000001E-2</v>
      </c>
      <c r="BT80" s="1373">
        <f t="shared" si="174"/>
        <v>2.1000000000000001E-2</v>
      </c>
      <c r="BU80" s="1375">
        <f t="shared" si="175"/>
        <v>2.1000000000000001E-2</v>
      </c>
      <c r="BV80" s="1371"/>
      <c r="BW80" s="1374">
        <f t="shared" si="176"/>
        <v>2.1000000000000001E-2</v>
      </c>
      <c r="BX80" s="1373">
        <f t="shared" ref="BX80:BY80" si="213">BW80</f>
        <v>2.1000000000000001E-2</v>
      </c>
      <c r="BY80" s="1373">
        <f t="shared" si="213"/>
        <v>2.1000000000000001E-2</v>
      </c>
      <c r="BZ80" s="1373">
        <f t="shared" si="177"/>
        <v>2.1000000000000001E-2</v>
      </c>
      <c r="CA80" s="1375">
        <f t="shared" si="178"/>
        <v>2.1000000000000001E-2</v>
      </c>
      <c r="CB80" s="1371"/>
      <c r="CC80" s="1374">
        <f t="shared" si="179"/>
        <v>2.1000000000000001E-2</v>
      </c>
      <c r="CD80" s="1373">
        <f t="shared" ref="CD80:CE80" si="214">CC80</f>
        <v>2.1000000000000001E-2</v>
      </c>
      <c r="CE80" s="1373">
        <f t="shared" si="214"/>
        <v>2.1000000000000001E-2</v>
      </c>
      <c r="CF80" s="1373">
        <f t="shared" si="180"/>
        <v>2.1000000000000001E-2</v>
      </c>
      <c r="CG80" s="1375">
        <f t="shared" si="181"/>
        <v>2.1000000000000001E-2</v>
      </c>
    </row>
    <row r="81" spans="2:85" s="771" customFormat="1" ht="12" customHeight="1" outlineLevel="1" x14ac:dyDescent="0.2">
      <c r="B81" s="59" t="s">
        <v>681</v>
      </c>
      <c r="C81" s="1367" t="s">
        <v>158</v>
      </c>
      <c r="D81" s="1366"/>
      <c r="E81" s="1366"/>
      <c r="F81" s="1366"/>
      <c r="G81" s="1368"/>
      <c r="H81" s="1366"/>
      <c r="I81" s="1367"/>
      <c r="J81" s="1366"/>
      <c r="K81" s="1366"/>
      <c r="L81" s="1366"/>
      <c r="M81" s="1368"/>
      <c r="N81" s="1366"/>
      <c r="O81" s="1367"/>
      <c r="P81" s="1366"/>
      <c r="Q81" s="1366"/>
      <c r="R81" s="1366"/>
      <c r="S81" s="1368"/>
      <c r="T81" s="1366"/>
      <c r="U81" s="1367"/>
      <c r="V81" s="1366"/>
      <c r="W81" s="1366"/>
      <c r="X81" s="1366"/>
      <c r="Y81" s="1368"/>
      <c r="Z81" s="1366"/>
      <c r="AA81" s="1367"/>
      <c r="AB81" s="1366"/>
      <c r="AC81" s="1366"/>
      <c r="AD81" s="1366"/>
      <c r="AE81" s="1368"/>
      <c r="AF81" s="1366"/>
      <c r="AG81" s="1367"/>
      <c r="AH81" s="1366"/>
      <c r="AI81" s="1366"/>
      <c r="AJ81" s="1366"/>
      <c r="AK81" s="1368"/>
      <c r="AL81" s="1366"/>
      <c r="AM81" s="1367"/>
      <c r="AN81" s="1366"/>
      <c r="AO81" s="1366"/>
      <c r="AP81" s="1366"/>
      <c r="AQ81" s="1368"/>
      <c r="AR81" s="1366"/>
      <c r="AS81" s="1367"/>
      <c r="AT81" s="1366"/>
      <c r="AU81" s="1366"/>
      <c r="AV81" s="1366"/>
      <c r="AW81" s="1368"/>
      <c r="AX81" s="1366"/>
      <c r="AY81" s="1367"/>
      <c r="AZ81" s="1366"/>
      <c r="BA81" s="1366"/>
      <c r="BB81" s="1366"/>
      <c r="BC81" s="1372">
        <v>0</v>
      </c>
      <c r="BD81" s="1366"/>
      <c r="BE81" s="1367"/>
      <c r="BF81" s="1366"/>
      <c r="BG81" s="1366"/>
      <c r="BH81" s="1366"/>
      <c r="BI81" s="1372">
        <v>0.01</v>
      </c>
      <c r="BJ81" s="1371"/>
      <c r="BK81" s="1374">
        <f t="shared" si="182"/>
        <v>0.01</v>
      </c>
      <c r="BL81" s="1373">
        <f t="shared" si="171"/>
        <v>0.01</v>
      </c>
      <c r="BM81" s="1373">
        <f t="shared" si="171"/>
        <v>0.01</v>
      </c>
      <c r="BN81" s="1373">
        <f t="shared" ref="BN81" si="215">BM81</f>
        <v>0.01</v>
      </c>
      <c r="BO81" s="1372">
        <v>0.01</v>
      </c>
      <c r="BP81" s="1371"/>
      <c r="BQ81" s="1374">
        <f t="shared" si="173"/>
        <v>0.01</v>
      </c>
      <c r="BR81" s="1373">
        <f t="shared" ref="BR81:BS81" si="216">BQ81</f>
        <v>0.01</v>
      </c>
      <c r="BS81" s="1373">
        <f t="shared" si="216"/>
        <v>0.01</v>
      </c>
      <c r="BT81" s="1373">
        <f t="shared" si="174"/>
        <v>0.01</v>
      </c>
      <c r="BU81" s="1375">
        <f t="shared" si="175"/>
        <v>0.01</v>
      </c>
      <c r="BV81" s="1371"/>
      <c r="BW81" s="1374">
        <f t="shared" si="176"/>
        <v>0.01</v>
      </c>
      <c r="BX81" s="1373">
        <f t="shared" ref="BX81:BY81" si="217">BW81</f>
        <v>0.01</v>
      </c>
      <c r="BY81" s="1373">
        <f t="shared" si="217"/>
        <v>0.01</v>
      </c>
      <c r="BZ81" s="1373">
        <f t="shared" si="177"/>
        <v>0.01</v>
      </c>
      <c r="CA81" s="1375">
        <f t="shared" si="178"/>
        <v>0.01</v>
      </c>
      <c r="CB81" s="1371"/>
      <c r="CC81" s="1374">
        <f t="shared" si="179"/>
        <v>0.01</v>
      </c>
      <c r="CD81" s="1373">
        <f t="shared" ref="CD81:CE81" si="218">CC81</f>
        <v>0.01</v>
      </c>
      <c r="CE81" s="1373">
        <f t="shared" si="218"/>
        <v>0.01</v>
      </c>
      <c r="CF81" s="1373">
        <f t="shared" si="180"/>
        <v>0.01</v>
      </c>
      <c r="CG81" s="1375">
        <f t="shared" si="181"/>
        <v>0.01</v>
      </c>
    </row>
    <row r="82" spans="2:85" s="771" customFormat="1" ht="12" customHeight="1" outlineLevel="1" x14ac:dyDescent="0.2">
      <c r="B82" s="59" t="s">
        <v>682</v>
      </c>
      <c r="C82" s="1367" t="s">
        <v>158</v>
      </c>
      <c r="D82" s="1366"/>
      <c r="E82" s="1366"/>
      <c r="F82" s="1366"/>
      <c r="G82" s="1368"/>
      <c r="H82" s="1366"/>
      <c r="I82" s="1367"/>
      <c r="J82" s="1366"/>
      <c r="K82" s="1366"/>
      <c r="L82" s="1366"/>
      <c r="M82" s="1368"/>
      <c r="N82" s="1366"/>
      <c r="O82" s="1367"/>
      <c r="P82" s="1366"/>
      <c r="Q82" s="1366"/>
      <c r="R82" s="1366"/>
      <c r="S82" s="1368"/>
      <c r="T82" s="1366"/>
      <c r="U82" s="1367"/>
      <c r="V82" s="1366"/>
      <c r="W82" s="1366"/>
      <c r="X82" s="1366"/>
      <c r="Y82" s="1368"/>
      <c r="Z82" s="1366"/>
      <c r="AA82" s="1367"/>
      <c r="AB82" s="1366"/>
      <c r="AC82" s="1366"/>
      <c r="AD82" s="1366"/>
      <c r="AE82" s="1368"/>
      <c r="AF82" s="1366"/>
      <c r="AG82" s="1367"/>
      <c r="AH82" s="1366"/>
      <c r="AI82" s="1366"/>
      <c r="AJ82" s="1366"/>
      <c r="AK82" s="1368"/>
      <c r="AL82" s="1366"/>
      <c r="AM82" s="1367"/>
      <c r="AN82" s="1366"/>
      <c r="AO82" s="1366"/>
      <c r="AP82" s="1366"/>
      <c r="AQ82" s="1368"/>
      <c r="AR82" s="1366"/>
      <c r="AS82" s="1367"/>
      <c r="AT82" s="1366"/>
      <c r="AU82" s="1366"/>
      <c r="AV82" s="1366"/>
      <c r="AW82" s="1368"/>
      <c r="AX82" s="1366"/>
      <c r="AY82" s="1367"/>
      <c r="AZ82" s="1366"/>
      <c r="BA82" s="1366"/>
      <c r="BB82" s="1366"/>
      <c r="BC82" s="1372">
        <v>0</v>
      </c>
      <c r="BD82" s="1366"/>
      <c r="BE82" s="1367"/>
      <c r="BF82" s="1366"/>
      <c r="BG82" s="1366"/>
      <c r="BH82" s="1366"/>
      <c r="BI82" s="1372">
        <v>2.3E-2</v>
      </c>
      <c r="BJ82" s="1371"/>
      <c r="BK82" s="1374">
        <f t="shared" si="182"/>
        <v>2.3E-2</v>
      </c>
      <c r="BL82" s="1373">
        <f t="shared" si="171"/>
        <v>2.3E-2</v>
      </c>
      <c r="BM82" s="1373">
        <f t="shared" si="171"/>
        <v>2.3E-2</v>
      </c>
      <c r="BN82" s="1373">
        <f t="shared" ref="BN82" si="219">BM82</f>
        <v>2.3E-2</v>
      </c>
      <c r="BO82" s="1372">
        <v>2.3E-2</v>
      </c>
      <c r="BP82" s="1371"/>
      <c r="BQ82" s="1374">
        <f t="shared" si="173"/>
        <v>2.3E-2</v>
      </c>
      <c r="BR82" s="1373">
        <f t="shared" ref="BR82:BS82" si="220">BQ82</f>
        <v>2.3E-2</v>
      </c>
      <c r="BS82" s="1373">
        <f t="shared" si="220"/>
        <v>2.3E-2</v>
      </c>
      <c r="BT82" s="1373">
        <f t="shared" si="174"/>
        <v>2.3E-2</v>
      </c>
      <c r="BU82" s="1375">
        <f t="shared" si="175"/>
        <v>2.3E-2</v>
      </c>
      <c r="BV82" s="1371"/>
      <c r="BW82" s="1374">
        <f t="shared" si="176"/>
        <v>2.3E-2</v>
      </c>
      <c r="BX82" s="1373">
        <f t="shared" ref="BX82:BY82" si="221">BW82</f>
        <v>2.3E-2</v>
      </c>
      <c r="BY82" s="1373">
        <f t="shared" si="221"/>
        <v>2.3E-2</v>
      </c>
      <c r="BZ82" s="1373">
        <f t="shared" si="177"/>
        <v>2.3E-2</v>
      </c>
      <c r="CA82" s="1375">
        <f t="shared" si="178"/>
        <v>2.3E-2</v>
      </c>
      <c r="CB82" s="1371"/>
      <c r="CC82" s="1374">
        <f t="shared" si="179"/>
        <v>2.3E-2</v>
      </c>
      <c r="CD82" s="1373">
        <f t="shared" ref="CD82:CE82" si="222">CC82</f>
        <v>2.3E-2</v>
      </c>
      <c r="CE82" s="1373">
        <f t="shared" si="222"/>
        <v>2.3E-2</v>
      </c>
      <c r="CF82" s="1373">
        <f t="shared" si="180"/>
        <v>2.3E-2</v>
      </c>
      <c r="CG82" s="1375">
        <f t="shared" si="181"/>
        <v>2.3E-2</v>
      </c>
    </row>
    <row r="83" spans="2:85" s="771" customFormat="1" ht="12" customHeight="1" outlineLevel="1" x14ac:dyDescent="0.2">
      <c r="B83" s="59" t="s">
        <v>683</v>
      </c>
      <c r="C83" s="1367" t="s">
        <v>158</v>
      </c>
      <c r="D83" s="1366"/>
      <c r="E83" s="1366"/>
      <c r="F83" s="1366"/>
      <c r="G83" s="1368"/>
      <c r="H83" s="1366"/>
      <c r="I83" s="1367"/>
      <c r="J83" s="1366"/>
      <c r="K83" s="1366"/>
      <c r="L83" s="1366"/>
      <c r="M83" s="1368"/>
      <c r="N83" s="1366"/>
      <c r="O83" s="1367"/>
      <c r="P83" s="1366"/>
      <c r="Q83" s="1366"/>
      <c r="R83" s="1366"/>
      <c r="S83" s="1368"/>
      <c r="T83" s="1366"/>
      <c r="U83" s="1367"/>
      <c r="V83" s="1366"/>
      <c r="W83" s="1366"/>
      <c r="X83" s="1366"/>
      <c r="Y83" s="1368"/>
      <c r="Z83" s="1366"/>
      <c r="AA83" s="1367"/>
      <c r="AB83" s="1366"/>
      <c r="AC83" s="1366"/>
      <c r="AD83" s="1366"/>
      <c r="AE83" s="1368"/>
      <c r="AF83" s="1366"/>
      <c r="AG83" s="1367"/>
      <c r="AH83" s="1366"/>
      <c r="AI83" s="1366"/>
      <c r="AJ83" s="1366"/>
      <c r="AK83" s="1368"/>
      <c r="AL83" s="1366"/>
      <c r="AM83" s="1367"/>
      <c r="AN83" s="1366"/>
      <c r="AO83" s="1366"/>
      <c r="AP83" s="1366"/>
      <c r="AQ83" s="1368"/>
      <c r="AR83" s="1366"/>
      <c r="AS83" s="1367"/>
      <c r="AT83" s="1366"/>
      <c r="AU83" s="1366"/>
      <c r="AV83" s="1366"/>
      <c r="AW83" s="1368"/>
      <c r="AX83" s="1366"/>
      <c r="AY83" s="1367"/>
      <c r="AZ83" s="1366"/>
      <c r="BA83" s="1366"/>
      <c r="BB83" s="1366"/>
      <c r="BC83" s="1372">
        <v>0</v>
      </c>
      <c r="BD83" s="1366"/>
      <c r="BE83" s="1367"/>
      <c r="BF83" s="1366"/>
      <c r="BG83" s="1366"/>
      <c r="BH83" s="1366"/>
      <c r="BI83" s="1372">
        <v>1.2999999999999999E-2</v>
      </c>
      <c r="BJ83" s="1371"/>
      <c r="BK83" s="1374">
        <f t="shared" si="182"/>
        <v>1.2999999999999999E-2</v>
      </c>
      <c r="BL83" s="1373">
        <f t="shared" si="171"/>
        <v>1.2999999999999999E-2</v>
      </c>
      <c r="BM83" s="1373">
        <f t="shared" si="171"/>
        <v>1.2999999999999999E-2</v>
      </c>
      <c r="BN83" s="1373">
        <f t="shared" ref="BN83" si="223">BM83</f>
        <v>1.2999999999999999E-2</v>
      </c>
      <c r="BO83" s="1372">
        <v>1.2999999999999999E-2</v>
      </c>
      <c r="BP83" s="1371"/>
      <c r="BQ83" s="1374">
        <f t="shared" si="173"/>
        <v>1.2999999999999999E-2</v>
      </c>
      <c r="BR83" s="1373">
        <f t="shared" ref="BR83:BS83" si="224">BQ83</f>
        <v>1.2999999999999999E-2</v>
      </c>
      <c r="BS83" s="1373">
        <f t="shared" si="224"/>
        <v>1.2999999999999999E-2</v>
      </c>
      <c r="BT83" s="1373">
        <f t="shared" si="174"/>
        <v>1.2999999999999999E-2</v>
      </c>
      <c r="BU83" s="1375">
        <f t="shared" si="175"/>
        <v>1.2999999999999999E-2</v>
      </c>
      <c r="BV83" s="1371"/>
      <c r="BW83" s="1374">
        <f t="shared" si="176"/>
        <v>1.2999999999999999E-2</v>
      </c>
      <c r="BX83" s="1373">
        <f t="shared" ref="BX83:BY83" si="225">BW83</f>
        <v>1.2999999999999999E-2</v>
      </c>
      <c r="BY83" s="1373">
        <f t="shared" si="225"/>
        <v>1.2999999999999999E-2</v>
      </c>
      <c r="BZ83" s="1373">
        <f t="shared" si="177"/>
        <v>1.2999999999999999E-2</v>
      </c>
      <c r="CA83" s="1375">
        <f t="shared" si="178"/>
        <v>1.2999999999999999E-2</v>
      </c>
      <c r="CB83" s="1371"/>
      <c r="CC83" s="1374">
        <f t="shared" si="179"/>
        <v>1.2999999999999999E-2</v>
      </c>
      <c r="CD83" s="1373">
        <f t="shared" ref="CD83:CE83" si="226">CC83</f>
        <v>1.2999999999999999E-2</v>
      </c>
      <c r="CE83" s="1373">
        <f t="shared" si="226"/>
        <v>1.2999999999999999E-2</v>
      </c>
      <c r="CF83" s="1373">
        <f t="shared" si="180"/>
        <v>1.2999999999999999E-2</v>
      </c>
      <c r="CG83" s="1375">
        <f t="shared" si="181"/>
        <v>1.2999999999999999E-2</v>
      </c>
    </row>
    <row r="84" spans="2:85" s="771" customFormat="1" ht="12" customHeight="1" outlineLevel="1" x14ac:dyDescent="0.2">
      <c r="B84" s="59" t="s">
        <v>684</v>
      </c>
      <c r="C84" s="1367" t="s">
        <v>158</v>
      </c>
      <c r="D84" s="1366"/>
      <c r="E84" s="1366"/>
      <c r="F84" s="1366"/>
      <c r="G84" s="1368"/>
      <c r="H84" s="1366"/>
      <c r="I84" s="1367"/>
      <c r="J84" s="1366"/>
      <c r="K84" s="1366"/>
      <c r="L84" s="1366"/>
      <c r="M84" s="1368"/>
      <c r="N84" s="1366"/>
      <c r="O84" s="1367"/>
      <c r="P84" s="1366"/>
      <c r="Q84" s="1366"/>
      <c r="R84" s="1366"/>
      <c r="S84" s="1368"/>
      <c r="T84" s="1366"/>
      <c r="U84" s="1367"/>
      <c r="V84" s="1366"/>
      <c r="W84" s="1366"/>
      <c r="X84" s="1366"/>
      <c r="Y84" s="1368"/>
      <c r="Z84" s="1366"/>
      <c r="AA84" s="1367"/>
      <c r="AB84" s="1366"/>
      <c r="AC84" s="1366"/>
      <c r="AD84" s="1366"/>
      <c r="AE84" s="1368"/>
      <c r="AF84" s="1366"/>
      <c r="AG84" s="1367"/>
      <c r="AH84" s="1366"/>
      <c r="AI84" s="1366"/>
      <c r="AJ84" s="1366"/>
      <c r="AK84" s="1368"/>
      <c r="AL84" s="1366"/>
      <c r="AM84" s="1367"/>
      <c r="AN84" s="1366"/>
      <c r="AO84" s="1366"/>
      <c r="AP84" s="1366"/>
      <c r="AQ84" s="1368"/>
      <c r="AR84" s="1366"/>
      <c r="AS84" s="1367"/>
      <c r="AT84" s="1366"/>
      <c r="AU84" s="1366"/>
      <c r="AV84" s="1366"/>
      <c r="AW84" s="1368"/>
      <c r="AX84" s="1366"/>
      <c r="AY84" s="1367"/>
      <c r="AZ84" s="1366"/>
      <c r="BA84" s="1366"/>
      <c r="BB84" s="1366"/>
      <c r="BC84" s="1372">
        <v>0.01</v>
      </c>
      <c r="BD84" s="1366"/>
      <c r="BE84" s="1367"/>
      <c r="BF84" s="1366"/>
      <c r="BG84" s="1366"/>
      <c r="BH84" s="1366"/>
      <c r="BI84" s="1372">
        <v>0.01</v>
      </c>
      <c r="BJ84" s="1371"/>
      <c r="BK84" s="1374">
        <f t="shared" si="170"/>
        <v>0.01</v>
      </c>
      <c r="BL84" s="1373">
        <f t="shared" si="171"/>
        <v>0.01</v>
      </c>
      <c r="BM84" s="1373">
        <f t="shared" si="171"/>
        <v>0.01</v>
      </c>
      <c r="BN84" s="1373">
        <f t="shared" ref="BN84" si="227">BM84</f>
        <v>0.01</v>
      </c>
      <c r="BO84" s="1372">
        <v>0.01</v>
      </c>
      <c r="BP84" s="1371"/>
      <c r="BQ84" s="1374">
        <f t="shared" si="173"/>
        <v>0.01</v>
      </c>
      <c r="BR84" s="1373">
        <f t="shared" ref="BR84:BS84" si="228">BQ84</f>
        <v>0.01</v>
      </c>
      <c r="BS84" s="1373">
        <f t="shared" si="228"/>
        <v>0.01</v>
      </c>
      <c r="BT84" s="1373">
        <f t="shared" si="174"/>
        <v>0.01</v>
      </c>
      <c r="BU84" s="1375">
        <f t="shared" si="175"/>
        <v>0.01</v>
      </c>
      <c r="BV84" s="1371"/>
      <c r="BW84" s="1374">
        <f t="shared" si="176"/>
        <v>0.01</v>
      </c>
      <c r="BX84" s="1373">
        <f t="shared" ref="BX84:BY84" si="229">BW84</f>
        <v>0.01</v>
      </c>
      <c r="BY84" s="1373">
        <f t="shared" si="229"/>
        <v>0.01</v>
      </c>
      <c r="BZ84" s="1373">
        <f t="shared" si="177"/>
        <v>0.01</v>
      </c>
      <c r="CA84" s="1375">
        <f t="shared" si="178"/>
        <v>0.01</v>
      </c>
      <c r="CB84" s="1371"/>
      <c r="CC84" s="1374">
        <f t="shared" si="179"/>
        <v>0.01</v>
      </c>
      <c r="CD84" s="1373">
        <f t="shared" ref="CD84:CE84" si="230">CC84</f>
        <v>0.01</v>
      </c>
      <c r="CE84" s="1373">
        <f t="shared" si="230"/>
        <v>0.01</v>
      </c>
      <c r="CF84" s="1373">
        <f t="shared" si="180"/>
        <v>0.01</v>
      </c>
      <c r="CG84" s="1375">
        <f t="shared" si="181"/>
        <v>0.01</v>
      </c>
    </row>
    <row r="85" spans="2:85" s="771" customFormat="1" ht="12" customHeight="1" outlineLevel="1" x14ac:dyDescent="0.2">
      <c r="B85" s="59" t="s">
        <v>685</v>
      </c>
      <c r="C85" s="1367" t="s">
        <v>158</v>
      </c>
      <c r="D85" s="1366"/>
      <c r="E85" s="1366"/>
      <c r="F85" s="1366"/>
      <c r="G85" s="1368"/>
      <c r="H85" s="1366"/>
      <c r="I85" s="1367"/>
      <c r="J85" s="1366"/>
      <c r="K85" s="1366"/>
      <c r="L85" s="1366"/>
      <c r="M85" s="1368"/>
      <c r="N85" s="1366"/>
      <c r="O85" s="1367"/>
      <c r="P85" s="1366"/>
      <c r="Q85" s="1366"/>
      <c r="R85" s="1366"/>
      <c r="S85" s="1368"/>
      <c r="T85" s="1366"/>
      <c r="U85" s="1367"/>
      <c r="V85" s="1366"/>
      <c r="W85" s="1366"/>
      <c r="X85" s="1366"/>
      <c r="Y85" s="1368"/>
      <c r="Z85" s="1366"/>
      <c r="AA85" s="1367"/>
      <c r="AB85" s="1366"/>
      <c r="AC85" s="1366"/>
      <c r="AD85" s="1366"/>
      <c r="AE85" s="1368"/>
      <c r="AF85" s="1366"/>
      <c r="AG85" s="1367"/>
      <c r="AH85" s="1366"/>
      <c r="AI85" s="1366"/>
      <c r="AJ85" s="1366"/>
      <c r="AK85" s="1368"/>
      <c r="AL85" s="1366"/>
      <c r="AM85" s="1367"/>
      <c r="AN85" s="1366"/>
      <c r="AO85" s="1366"/>
      <c r="AP85" s="1366"/>
      <c r="AQ85" s="1368"/>
      <c r="AR85" s="1366"/>
      <c r="AS85" s="1367"/>
      <c r="AT85" s="1366"/>
      <c r="AU85" s="1366"/>
      <c r="AV85" s="1366"/>
      <c r="AW85" s="1368"/>
      <c r="AX85" s="1366"/>
      <c r="AY85" s="1367"/>
      <c r="AZ85" s="1366"/>
      <c r="BA85" s="1366"/>
      <c r="BB85" s="1366"/>
      <c r="BC85" s="1372">
        <v>2.1999999999999999E-2</v>
      </c>
      <c r="BD85" s="1366"/>
      <c r="BE85" s="1367"/>
      <c r="BF85" s="1366"/>
      <c r="BG85" s="1366"/>
      <c r="BH85" s="1366"/>
      <c r="BI85" s="1372">
        <v>2.1999999999999999E-2</v>
      </c>
      <c r="BJ85" s="1371"/>
      <c r="BK85" s="1374">
        <f t="shared" ref="BK85:BK92" si="231">BI85</f>
        <v>2.1999999999999999E-2</v>
      </c>
      <c r="BL85" s="1373">
        <f t="shared" si="171"/>
        <v>2.1999999999999999E-2</v>
      </c>
      <c r="BM85" s="1373">
        <f t="shared" si="171"/>
        <v>2.1999999999999999E-2</v>
      </c>
      <c r="BN85" s="1373">
        <f t="shared" ref="BN85" si="232">BM85</f>
        <v>2.1999999999999999E-2</v>
      </c>
      <c r="BO85" s="1372">
        <v>2.1999999999999999E-2</v>
      </c>
      <c r="BP85" s="1371"/>
      <c r="BQ85" s="1374">
        <f t="shared" si="173"/>
        <v>2.1999999999999999E-2</v>
      </c>
      <c r="BR85" s="1373">
        <f t="shared" ref="BR85:BS85" si="233">BQ85</f>
        <v>2.1999999999999999E-2</v>
      </c>
      <c r="BS85" s="1373">
        <f t="shared" si="233"/>
        <v>2.1999999999999999E-2</v>
      </c>
      <c r="BT85" s="1373">
        <f t="shared" si="174"/>
        <v>2.1999999999999999E-2</v>
      </c>
      <c r="BU85" s="1375">
        <f t="shared" si="175"/>
        <v>2.1999999999999999E-2</v>
      </c>
      <c r="BV85" s="1371"/>
      <c r="BW85" s="1374">
        <f t="shared" si="176"/>
        <v>2.1999999999999999E-2</v>
      </c>
      <c r="BX85" s="1373">
        <f t="shared" ref="BX85:BY85" si="234">BW85</f>
        <v>2.1999999999999999E-2</v>
      </c>
      <c r="BY85" s="1373">
        <f t="shared" si="234"/>
        <v>2.1999999999999999E-2</v>
      </c>
      <c r="BZ85" s="1373">
        <f t="shared" si="177"/>
        <v>2.1999999999999999E-2</v>
      </c>
      <c r="CA85" s="1375">
        <f t="shared" si="178"/>
        <v>2.1999999999999999E-2</v>
      </c>
      <c r="CB85" s="1371"/>
      <c r="CC85" s="1374">
        <f t="shared" si="179"/>
        <v>2.1999999999999999E-2</v>
      </c>
      <c r="CD85" s="1373">
        <f t="shared" ref="CD85:CE85" si="235">CC85</f>
        <v>2.1999999999999999E-2</v>
      </c>
      <c r="CE85" s="1373">
        <f t="shared" si="235"/>
        <v>2.1999999999999999E-2</v>
      </c>
      <c r="CF85" s="1373">
        <f t="shared" si="180"/>
        <v>2.1999999999999999E-2</v>
      </c>
      <c r="CG85" s="1375">
        <f t="shared" si="181"/>
        <v>2.1999999999999999E-2</v>
      </c>
    </row>
    <row r="86" spans="2:85" s="771" customFormat="1" ht="12" customHeight="1" outlineLevel="1" x14ac:dyDescent="0.2">
      <c r="B86" s="59" t="s">
        <v>686</v>
      </c>
      <c r="C86" s="1367" t="s">
        <v>158</v>
      </c>
      <c r="D86" s="1366"/>
      <c r="E86" s="1366"/>
      <c r="F86" s="1366"/>
      <c r="G86" s="1368"/>
      <c r="H86" s="1366"/>
      <c r="I86" s="1367"/>
      <c r="J86" s="1366"/>
      <c r="K86" s="1366"/>
      <c r="L86" s="1366"/>
      <c r="M86" s="1368"/>
      <c r="N86" s="1366"/>
      <c r="O86" s="1367"/>
      <c r="P86" s="1366"/>
      <c r="Q86" s="1366"/>
      <c r="R86" s="1366"/>
      <c r="S86" s="1368"/>
      <c r="T86" s="1366"/>
      <c r="U86" s="1367"/>
      <c r="V86" s="1366"/>
      <c r="W86" s="1366"/>
      <c r="X86" s="1366"/>
      <c r="Y86" s="1368"/>
      <c r="Z86" s="1366"/>
      <c r="AA86" s="1367"/>
      <c r="AB86" s="1366"/>
      <c r="AC86" s="1366"/>
      <c r="AD86" s="1366"/>
      <c r="AE86" s="1368"/>
      <c r="AF86" s="1366"/>
      <c r="AG86" s="1367"/>
      <c r="AH86" s="1366"/>
      <c r="AI86" s="1366"/>
      <c r="AJ86" s="1366"/>
      <c r="AK86" s="1368"/>
      <c r="AL86" s="1366"/>
      <c r="AM86" s="1367"/>
      <c r="AN86" s="1366"/>
      <c r="AO86" s="1366"/>
      <c r="AP86" s="1366"/>
      <c r="AQ86" s="1368"/>
      <c r="AR86" s="1366"/>
      <c r="AS86" s="1367"/>
      <c r="AT86" s="1366"/>
      <c r="AU86" s="1366"/>
      <c r="AV86" s="1366"/>
      <c r="AW86" s="1368"/>
      <c r="AX86" s="1366"/>
      <c r="AY86" s="1367"/>
      <c r="AZ86" s="1366"/>
      <c r="BA86" s="1366"/>
      <c r="BB86" s="1366"/>
      <c r="BC86" s="1372">
        <v>0</v>
      </c>
      <c r="BD86" s="1366"/>
      <c r="BE86" s="1367"/>
      <c r="BF86" s="1366"/>
      <c r="BG86" s="1366"/>
      <c r="BH86" s="1366"/>
      <c r="BI86" s="1372">
        <v>1.2E-2</v>
      </c>
      <c r="BJ86" s="1371"/>
      <c r="BK86" s="1374">
        <f t="shared" si="231"/>
        <v>1.2E-2</v>
      </c>
      <c r="BL86" s="1373">
        <f t="shared" si="171"/>
        <v>1.2E-2</v>
      </c>
      <c r="BM86" s="1373">
        <f t="shared" si="171"/>
        <v>1.2E-2</v>
      </c>
      <c r="BN86" s="1373">
        <f t="shared" ref="BN86" si="236">BM86</f>
        <v>1.2E-2</v>
      </c>
      <c r="BO86" s="1372">
        <v>1.2E-2</v>
      </c>
      <c r="BP86" s="1371"/>
      <c r="BQ86" s="1374">
        <f t="shared" si="173"/>
        <v>1.2E-2</v>
      </c>
      <c r="BR86" s="1373">
        <f t="shared" ref="BR86:BS86" si="237">BQ86</f>
        <v>1.2E-2</v>
      </c>
      <c r="BS86" s="1373">
        <f t="shared" si="237"/>
        <v>1.2E-2</v>
      </c>
      <c r="BT86" s="1373">
        <f t="shared" si="174"/>
        <v>1.2E-2</v>
      </c>
      <c r="BU86" s="1375">
        <f t="shared" si="175"/>
        <v>1.2E-2</v>
      </c>
      <c r="BV86" s="1371"/>
      <c r="BW86" s="1374">
        <f t="shared" si="176"/>
        <v>1.2E-2</v>
      </c>
      <c r="BX86" s="1373">
        <f t="shared" ref="BX86:BY86" si="238">BW86</f>
        <v>1.2E-2</v>
      </c>
      <c r="BY86" s="1373">
        <f t="shared" si="238"/>
        <v>1.2E-2</v>
      </c>
      <c r="BZ86" s="1373">
        <f t="shared" si="177"/>
        <v>1.2E-2</v>
      </c>
      <c r="CA86" s="1375">
        <f t="shared" si="178"/>
        <v>1.2E-2</v>
      </c>
      <c r="CB86" s="1371"/>
      <c r="CC86" s="1374">
        <f t="shared" si="179"/>
        <v>1.2E-2</v>
      </c>
      <c r="CD86" s="1373">
        <f t="shared" ref="CD86:CE86" si="239">CC86</f>
        <v>1.2E-2</v>
      </c>
      <c r="CE86" s="1373">
        <f t="shared" si="239"/>
        <v>1.2E-2</v>
      </c>
      <c r="CF86" s="1373">
        <f t="shared" si="180"/>
        <v>1.2E-2</v>
      </c>
      <c r="CG86" s="1375">
        <f t="shared" si="181"/>
        <v>1.2E-2</v>
      </c>
    </row>
    <row r="87" spans="2:85" s="771" customFormat="1" ht="12" customHeight="1" outlineLevel="1" x14ac:dyDescent="0.2">
      <c r="B87" s="59" t="s">
        <v>687</v>
      </c>
      <c r="C87" s="1367" t="s">
        <v>158</v>
      </c>
      <c r="D87" s="1366"/>
      <c r="E87" s="1366"/>
      <c r="F87" s="1366"/>
      <c r="G87" s="1368"/>
      <c r="H87" s="1366"/>
      <c r="I87" s="1367"/>
      <c r="J87" s="1366"/>
      <c r="K87" s="1366"/>
      <c r="L87" s="1366"/>
      <c r="M87" s="1368"/>
      <c r="N87" s="1366"/>
      <c r="O87" s="1367"/>
      <c r="P87" s="1366"/>
      <c r="Q87" s="1366"/>
      <c r="R87" s="1366"/>
      <c r="S87" s="1368"/>
      <c r="T87" s="1366"/>
      <c r="U87" s="1367"/>
      <c r="V87" s="1366"/>
      <c r="W87" s="1366"/>
      <c r="X87" s="1366"/>
      <c r="Y87" s="1368"/>
      <c r="Z87" s="1366"/>
      <c r="AA87" s="1367"/>
      <c r="AB87" s="1366"/>
      <c r="AC87" s="1366"/>
      <c r="AD87" s="1366"/>
      <c r="AE87" s="1368"/>
      <c r="AF87" s="1366"/>
      <c r="AG87" s="1367"/>
      <c r="AH87" s="1366"/>
      <c r="AI87" s="1366"/>
      <c r="AJ87" s="1366"/>
      <c r="AK87" s="1368"/>
      <c r="AL87" s="1366"/>
      <c r="AM87" s="1367"/>
      <c r="AN87" s="1366"/>
      <c r="AO87" s="1366"/>
      <c r="AP87" s="1366"/>
      <c r="AQ87" s="1368"/>
      <c r="AR87" s="1366"/>
      <c r="AS87" s="1367"/>
      <c r="AT87" s="1366"/>
      <c r="AU87" s="1366"/>
      <c r="AV87" s="1366"/>
      <c r="AW87" s="1368"/>
      <c r="AX87" s="1366"/>
      <c r="AY87" s="1367"/>
      <c r="AZ87" s="1366"/>
      <c r="BA87" s="1366"/>
      <c r="BB87" s="1366"/>
      <c r="BC87" s="1372">
        <v>0</v>
      </c>
      <c r="BD87" s="1366"/>
      <c r="BE87" s="1367"/>
      <c r="BF87" s="1366"/>
      <c r="BG87" s="1366"/>
      <c r="BH87" s="1366"/>
      <c r="BI87" s="1372">
        <v>1.4999999999999999E-2</v>
      </c>
      <c r="BJ87" s="1371"/>
      <c r="BK87" s="1374">
        <f t="shared" si="231"/>
        <v>1.4999999999999999E-2</v>
      </c>
      <c r="BL87" s="1373">
        <f t="shared" si="171"/>
        <v>1.4999999999999999E-2</v>
      </c>
      <c r="BM87" s="1373">
        <f t="shared" si="171"/>
        <v>1.4999999999999999E-2</v>
      </c>
      <c r="BN87" s="1373">
        <f t="shared" ref="BN87" si="240">BM87</f>
        <v>1.4999999999999999E-2</v>
      </c>
      <c r="BO87" s="1372">
        <v>1.4999999999999999E-2</v>
      </c>
      <c r="BP87" s="1371"/>
      <c r="BQ87" s="1374">
        <f t="shared" si="173"/>
        <v>1.4999999999999999E-2</v>
      </c>
      <c r="BR87" s="1373">
        <f t="shared" ref="BR87:BS87" si="241">BQ87</f>
        <v>1.4999999999999999E-2</v>
      </c>
      <c r="BS87" s="1373">
        <f t="shared" si="241"/>
        <v>1.4999999999999999E-2</v>
      </c>
      <c r="BT87" s="1373">
        <f t="shared" si="174"/>
        <v>1.4999999999999999E-2</v>
      </c>
      <c r="BU87" s="1375">
        <f t="shared" si="175"/>
        <v>1.4999999999999999E-2</v>
      </c>
      <c r="BV87" s="1371"/>
      <c r="BW87" s="1374">
        <f t="shared" si="176"/>
        <v>1.4999999999999999E-2</v>
      </c>
      <c r="BX87" s="1373">
        <f t="shared" ref="BX87:BY87" si="242">BW87</f>
        <v>1.4999999999999999E-2</v>
      </c>
      <c r="BY87" s="1373">
        <f t="shared" si="242"/>
        <v>1.4999999999999999E-2</v>
      </c>
      <c r="BZ87" s="1373">
        <f t="shared" si="177"/>
        <v>1.4999999999999999E-2</v>
      </c>
      <c r="CA87" s="1375">
        <f t="shared" si="178"/>
        <v>1.4999999999999999E-2</v>
      </c>
      <c r="CB87" s="1371"/>
      <c r="CC87" s="1374">
        <f t="shared" si="179"/>
        <v>1.4999999999999999E-2</v>
      </c>
      <c r="CD87" s="1373">
        <f t="shared" ref="CD87:CE87" si="243">CC87</f>
        <v>1.4999999999999999E-2</v>
      </c>
      <c r="CE87" s="1373">
        <f t="shared" si="243"/>
        <v>1.4999999999999999E-2</v>
      </c>
      <c r="CF87" s="1373">
        <f t="shared" si="180"/>
        <v>1.4999999999999999E-2</v>
      </c>
      <c r="CG87" s="1375">
        <f t="shared" si="181"/>
        <v>1.4999999999999999E-2</v>
      </c>
    </row>
    <row r="88" spans="2:85" s="771" customFormat="1" ht="12" customHeight="1" outlineLevel="1" x14ac:dyDescent="0.2">
      <c r="B88" s="59" t="s">
        <v>688</v>
      </c>
      <c r="C88" s="1367" t="s">
        <v>158</v>
      </c>
      <c r="D88" s="1366"/>
      <c r="E88" s="1366"/>
      <c r="F88" s="1366"/>
      <c r="G88" s="1368"/>
      <c r="H88" s="1366"/>
      <c r="I88" s="1367"/>
      <c r="J88" s="1366"/>
      <c r="K88" s="1366"/>
      <c r="L88" s="1366"/>
      <c r="M88" s="1368"/>
      <c r="N88" s="1366"/>
      <c r="O88" s="1367"/>
      <c r="P88" s="1366"/>
      <c r="Q88" s="1366"/>
      <c r="R88" s="1366"/>
      <c r="S88" s="1368"/>
      <c r="T88" s="1366"/>
      <c r="U88" s="1367"/>
      <c r="V88" s="1366"/>
      <c r="W88" s="1366"/>
      <c r="X88" s="1366"/>
      <c r="Y88" s="1368"/>
      <c r="Z88" s="1366"/>
      <c r="AA88" s="1367"/>
      <c r="AB88" s="1366"/>
      <c r="AC88" s="1366"/>
      <c r="AD88" s="1366"/>
      <c r="AE88" s="1368"/>
      <c r="AF88" s="1366"/>
      <c r="AG88" s="1367"/>
      <c r="AH88" s="1366"/>
      <c r="AI88" s="1366"/>
      <c r="AJ88" s="1366"/>
      <c r="AK88" s="1368"/>
      <c r="AL88" s="1366"/>
      <c r="AM88" s="1367"/>
      <c r="AN88" s="1366"/>
      <c r="AO88" s="1366"/>
      <c r="AP88" s="1366"/>
      <c r="AQ88" s="1368"/>
      <c r="AR88" s="1366"/>
      <c r="AS88" s="1367"/>
      <c r="AT88" s="1366"/>
      <c r="AU88" s="1366"/>
      <c r="AV88" s="1366"/>
      <c r="AW88" s="1368"/>
      <c r="AX88" s="1366"/>
      <c r="AY88" s="1367"/>
      <c r="AZ88" s="1366"/>
      <c r="BA88" s="1366"/>
      <c r="BB88" s="1366"/>
      <c r="BC88" s="1372">
        <v>0</v>
      </c>
      <c r="BD88" s="1366"/>
      <c r="BE88" s="1367"/>
      <c r="BF88" s="1366"/>
      <c r="BG88" s="1366"/>
      <c r="BH88" s="1366"/>
      <c r="BI88" s="1372">
        <v>1.6E-2</v>
      </c>
      <c r="BJ88" s="1371"/>
      <c r="BK88" s="1374">
        <f t="shared" si="231"/>
        <v>1.6E-2</v>
      </c>
      <c r="BL88" s="1373">
        <f t="shared" si="171"/>
        <v>1.6E-2</v>
      </c>
      <c r="BM88" s="1373">
        <f t="shared" si="171"/>
        <v>1.6E-2</v>
      </c>
      <c r="BN88" s="1373">
        <f t="shared" ref="BN88" si="244">BM88</f>
        <v>1.6E-2</v>
      </c>
      <c r="BO88" s="1372">
        <v>1.6E-2</v>
      </c>
      <c r="BP88" s="1371"/>
      <c r="BQ88" s="1374">
        <f t="shared" si="173"/>
        <v>1.6E-2</v>
      </c>
      <c r="BR88" s="1373">
        <f t="shared" ref="BR88:BT92" si="245">BQ88</f>
        <v>1.6E-2</v>
      </c>
      <c r="BS88" s="1373">
        <f t="shared" si="245"/>
        <v>1.6E-2</v>
      </c>
      <c r="BT88" s="1373">
        <f t="shared" si="245"/>
        <v>1.6E-2</v>
      </c>
      <c r="BU88" s="1375">
        <f t="shared" si="175"/>
        <v>1.6E-2</v>
      </c>
      <c r="BV88" s="1371"/>
      <c r="BW88" s="1374">
        <f t="shared" si="176"/>
        <v>1.6E-2</v>
      </c>
      <c r="BX88" s="1373">
        <f t="shared" ref="BX88:BZ92" si="246">BW88</f>
        <v>1.6E-2</v>
      </c>
      <c r="BY88" s="1373">
        <f t="shared" si="246"/>
        <v>1.6E-2</v>
      </c>
      <c r="BZ88" s="1373">
        <f t="shared" si="246"/>
        <v>1.6E-2</v>
      </c>
      <c r="CA88" s="1375">
        <f t="shared" si="178"/>
        <v>1.6E-2</v>
      </c>
      <c r="CB88" s="1371"/>
      <c r="CC88" s="1374">
        <f t="shared" si="179"/>
        <v>1.6E-2</v>
      </c>
      <c r="CD88" s="1373">
        <f t="shared" ref="CD88:CF92" si="247">CC88</f>
        <v>1.6E-2</v>
      </c>
      <c r="CE88" s="1373">
        <f t="shared" si="247"/>
        <v>1.6E-2</v>
      </c>
      <c r="CF88" s="1373">
        <f t="shared" si="247"/>
        <v>1.6E-2</v>
      </c>
      <c r="CG88" s="1375">
        <f t="shared" si="181"/>
        <v>1.6E-2</v>
      </c>
    </row>
    <row r="89" spans="2:85" s="771" customFormat="1" ht="12" customHeight="1" outlineLevel="1" x14ac:dyDescent="0.2">
      <c r="B89" s="59" t="s">
        <v>689</v>
      </c>
      <c r="C89" s="1367" t="s">
        <v>158</v>
      </c>
      <c r="D89" s="1366"/>
      <c r="E89" s="1366"/>
      <c r="F89" s="1366"/>
      <c r="G89" s="1368"/>
      <c r="H89" s="1366"/>
      <c r="I89" s="1367"/>
      <c r="J89" s="1366"/>
      <c r="K89" s="1366"/>
      <c r="L89" s="1366"/>
      <c r="M89" s="1368"/>
      <c r="N89" s="1366"/>
      <c r="O89" s="1367"/>
      <c r="P89" s="1366"/>
      <c r="Q89" s="1366"/>
      <c r="R89" s="1366"/>
      <c r="S89" s="1368"/>
      <c r="T89" s="1366"/>
      <c r="U89" s="1367"/>
      <c r="V89" s="1366"/>
      <c r="W89" s="1366"/>
      <c r="X89" s="1366"/>
      <c r="Y89" s="1368"/>
      <c r="Z89" s="1366"/>
      <c r="AA89" s="1367"/>
      <c r="AB89" s="1366"/>
      <c r="AC89" s="1366"/>
      <c r="AD89" s="1366"/>
      <c r="AE89" s="1368"/>
      <c r="AF89" s="1366"/>
      <c r="AG89" s="1367"/>
      <c r="AH89" s="1366"/>
      <c r="AI89" s="1366"/>
      <c r="AJ89" s="1366"/>
      <c r="AK89" s="1368"/>
      <c r="AL89" s="1366"/>
      <c r="AM89" s="1367"/>
      <c r="AN89" s="1366"/>
      <c r="AO89" s="1366"/>
      <c r="AP89" s="1366"/>
      <c r="AQ89" s="1368"/>
      <c r="AR89" s="1366"/>
      <c r="AS89" s="1367"/>
      <c r="AT89" s="1366"/>
      <c r="AU89" s="1366"/>
      <c r="AV89" s="1366"/>
      <c r="AW89" s="1368"/>
      <c r="AX89" s="1366"/>
      <c r="AY89" s="1367"/>
      <c r="AZ89" s="1366"/>
      <c r="BA89" s="1366"/>
      <c r="BB89" s="1366"/>
      <c r="BC89" s="1372">
        <v>0</v>
      </c>
      <c r="BD89" s="1366"/>
      <c r="BE89" s="1367"/>
      <c r="BF89" s="1366"/>
      <c r="BG89" s="1366"/>
      <c r="BH89" s="1366"/>
      <c r="BI89" s="1372">
        <v>2.5000000000000001E-2</v>
      </c>
      <c r="BJ89" s="1371"/>
      <c r="BK89" s="1374">
        <f t="shared" si="231"/>
        <v>2.5000000000000001E-2</v>
      </c>
      <c r="BL89" s="1373">
        <f t="shared" si="171"/>
        <v>2.5000000000000001E-2</v>
      </c>
      <c r="BM89" s="1373">
        <f t="shared" si="171"/>
        <v>2.5000000000000001E-2</v>
      </c>
      <c r="BN89" s="1373">
        <f t="shared" ref="BN89" si="248">BM89</f>
        <v>2.5000000000000001E-2</v>
      </c>
      <c r="BO89" s="1372">
        <v>2.5000000000000001E-2</v>
      </c>
      <c r="BP89" s="1371"/>
      <c r="BQ89" s="1374">
        <f t="shared" si="173"/>
        <v>2.5000000000000001E-2</v>
      </c>
      <c r="BR89" s="1373">
        <f t="shared" ref="BR89:BS89" si="249">BQ89</f>
        <v>2.5000000000000001E-2</v>
      </c>
      <c r="BS89" s="1373">
        <f t="shared" si="249"/>
        <v>2.5000000000000001E-2</v>
      </c>
      <c r="BT89" s="1373">
        <f t="shared" si="245"/>
        <v>2.5000000000000001E-2</v>
      </c>
      <c r="BU89" s="1375">
        <f t="shared" si="175"/>
        <v>2.5000000000000001E-2</v>
      </c>
      <c r="BV89" s="1371"/>
      <c r="BW89" s="1374">
        <f t="shared" si="176"/>
        <v>2.5000000000000001E-2</v>
      </c>
      <c r="BX89" s="1373">
        <f t="shared" ref="BX89:BY89" si="250">BW89</f>
        <v>2.5000000000000001E-2</v>
      </c>
      <c r="BY89" s="1373">
        <f t="shared" si="250"/>
        <v>2.5000000000000001E-2</v>
      </c>
      <c r="BZ89" s="1373">
        <f t="shared" si="246"/>
        <v>2.5000000000000001E-2</v>
      </c>
      <c r="CA89" s="1375">
        <f t="shared" si="178"/>
        <v>2.5000000000000001E-2</v>
      </c>
      <c r="CB89" s="1371"/>
      <c r="CC89" s="1374">
        <f t="shared" si="179"/>
        <v>2.5000000000000001E-2</v>
      </c>
      <c r="CD89" s="1373">
        <f t="shared" ref="CD89:CE89" si="251">CC89</f>
        <v>2.5000000000000001E-2</v>
      </c>
      <c r="CE89" s="1373">
        <f t="shared" si="251"/>
        <v>2.5000000000000001E-2</v>
      </c>
      <c r="CF89" s="1373">
        <f t="shared" si="247"/>
        <v>2.5000000000000001E-2</v>
      </c>
      <c r="CG89" s="1375">
        <f t="shared" si="181"/>
        <v>2.5000000000000001E-2</v>
      </c>
    </row>
    <row r="90" spans="2:85" s="771" customFormat="1" ht="12" customHeight="1" outlineLevel="1" x14ac:dyDescent="0.2">
      <c r="B90" s="59" t="s">
        <v>690</v>
      </c>
      <c r="C90" s="1367" t="s">
        <v>158</v>
      </c>
      <c r="D90" s="1366"/>
      <c r="E90" s="1366"/>
      <c r="F90" s="1366"/>
      <c r="G90" s="1368"/>
      <c r="H90" s="1366"/>
      <c r="I90" s="1367"/>
      <c r="J90" s="1366"/>
      <c r="K90" s="1366"/>
      <c r="L90" s="1366"/>
      <c r="M90" s="1368"/>
      <c r="N90" s="1366"/>
      <c r="O90" s="1367"/>
      <c r="P90" s="1366"/>
      <c r="Q90" s="1366"/>
      <c r="R90" s="1366"/>
      <c r="S90" s="1368"/>
      <c r="T90" s="1366"/>
      <c r="U90" s="1367"/>
      <c r="V90" s="1366"/>
      <c r="W90" s="1366"/>
      <c r="X90" s="1366"/>
      <c r="Y90" s="1368"/>
      <c r="Z90" s="1366"/>
      <c r="AA90" s="1367"/>
      <c r="AB90" s="1366"/>
      <c r="AC90" s="1366"/>
      <c r="AD90" s="1366"/>
      <c r="AE90" s="1368"/>
      <c r="AF90" s="1366"/>
      <c r="AG90" s="1367"/>
      <c r="AH90" s="1366"/>
      <c r="AI90" s="1366"/>
      <c r="AJ90" s="1366"/>
      <c r="AK90" s="1368"/>
      <c r="AL90" s="1366"/>
      <c r="AM90" s="1367"/>
      <c r="AN90" s="1366"/>
      <c r="AO90" s="1366"/>
      <c r="AP90" s="1366"/>
      <c r="AQ90" s="1368"/>
      <c r="AR90" s="1366"/>
      <c r="AS90" s="1367"/>
      <c r="AT90" s="1366"/>
      <c r="AU90" s="1366"/>
      <c r="AV90" s="1366"/>
      <c r="AW90" s="1368"/>
      <c r="AX90" s="1366"/>
      <c r="AY90" s="1367"/>
      <c r="AZ90" s="1366"/>
      <c r="BA90" s="1366"/>
      <c r="BB90" s="1366"/>
      <c r="BC90" s="1372">
        <v>0</v>
      </c>
      <c r="BD90" s="1366"/>
      <c r="BE90" s="1367"/>
      <c r="BF90" s="1366"/>
      <c r="BG90" s="1366"/>
      <c r="BH90" s="1366"/>
      <c r="BI90" s="1372">
        <v>1.2999999999999999E-2</v>
      </c>
      <c r="BJ90" s="1371"/>
      <c r="BK90" s="1374">
        <f t="shared" si="231"/>
        <v>1.2999999999999999E-2</v>
      </c>
      <c r="BL90" s="1373">
        <f t="shared" si="171"/>
        <v>1.2999999999999999E-2</v>
      </c>
      <c r="BM90" s="1373">
        <f t="shared" si="171"/>
        <v>1.2999999999999999E-2</v>
      </c>
      <c r="BN90" s="1373">
        <f t="shared" ref="BN90" si="252">BM90</f>
        <v>1.2999999999999999E-2</v>
      </c>
      <c r="BO90" s="1372">
        <v>1.2999999999999999E-2</v>
      </c>
      <c r="BP90" s="1371"/>
      <c r="BQ90" s="1374">
        <f t="shared" si="173"/>
        <v>1.2999999999999999E-2</v>
      </c>
      <c r="BR90" s="1373">
        <f t="shared" ref="BR90:BS90" si="253">BQ90</f>
        <v>1.2999999999999999E-2</v>
      </c>
      <c r="BS90" s="1373">
        <f t="shared" si="253"/>
        <v>1.2999999999999999E-2</v>
      </c>
      <c r="BT90" s="1373">
        <f t="shared" si="245"/>
        <v>1.2999999999999999E-2</v>
      </c>
      <c r="BU90" s="1375">
        <f t="shared" si="175"/>
        <v>1.2999999999999999E-2</v>
      </c>
      <c r="BV90" s="1371"/>
      <c r="BW90" s="1374">
        <f t="shared" si="176"/>
        <v>1.2999999999999999E-2</v>
      </c>
      <c r="BX90" s="1373">
        <f t="shared" ref="BX90:BY90" si="254">BW90</f>
        <v>1.2999999999999999E-2</v>
      </c>
      <c r="BY90" s="1373">
        <f t="shared" si="254"/>
        <v>1.2999999999999999E-2</v>
      </c>
      <c r="BZ90" s="1373">
        <f t="shared" si="246"/>
        <v>1.2999999999999999E-2</v>
      </c>
      <c r="CA90" s="1375">
        <f t="shared" si="178"/>
        <v>1.2999999999999999E-2</v>
      </c>
      <c r="CB90" s="1371"/>
      <c r="CC90" s="1374">
        <f t="shared" si="179"/>
        <v>1.2999999999999999E-2</v>
      </c>
      <c r="CD90" s="1373">
        <f t="shared" ref="CD90:CE90" si="255">CC90</f>
        <v>1.2999999999999999E-2</v>
      </c>
      <c r="CE90" s="1373">
        <f t="shared" si="255"/>
        <v>1.2999999999999999E-2</v>
      </c>
      <c r="CF90" s="1373">
        <f t="shared" si="247"/>
        <v>1.2999999999999999E-2</v>
      </c>
      <c r="CG90" s="1375">
        <f t="shared" si="181"/>
        <v>1.2999999999999999E-2</v>
      </c>
    </row>
    <row r="91" spans="2:85" s="771" customFormat="1" ht="12" customHeight="1" outlineLevel="1" x14ac:dyDescent="0.2">
      <c r="B91" s="59" t="s">
        <v>691</v>
      </c>
      <c r="C91" s="1367" t="s">
        <v>158</v>
      </c>
      <c r="D91" s="1366"/>
      <c r="E91" s="1366"/>
      <c r="F91" s="1366"/>
      <c r="G91" s="1368"/>
      <c r="H91" s="1366"/>
      <c r="I91" s="1367"/>
      <c r="J91" s="1366"/>
      <c r="K91" s="1366"/>
      <c r="L91" s="1366"/>
      <c r="M91" s="1368"/>
      <c r="N91" s="1366"/>
      <c r="O91" s="1367"/>
      <c r="P91" s="1366"/>
      <c r="Q91" s="1366"/>
      <c r="R91" s="1366"/>
      <c r="S91" s="1368"/>
      <c r="T91" s="1366"/>
      <c r="U91" s="1367"/>
      <c r="V91" s="1366"/>
      <c r="W91" s="1366"/>
      <c r="X91" s="1366"/>
      <c r="Y91" s="1368"/>
      <c r="Z91" s="1366"/>
      <c r="AA91" s="1367"/>
      <c r="AB91" s="1366"/>
      <c r="AC91" s="1366"/>
      <c r="AD91" s="1366"/>
      <c r="AE91" s="1368"/>
      <c r="AF91" s="1366"/>
      <c r="AG91" s="1367"/>
      <c r="AH91" s="1366"/>
      <c r="AI91" s="1366"/>
      <c r="AJ91" s="1366"/>
      <c r="AK91" s="1368"/>
      <c r="AL91" s="1366"/>
      <c r="AM91" s="1367"/>
      <c r="AN91" s="1366"/>
      <c r="AO91" s="1366"/>
      <c r="AP91" s="1366"/>
      <c r="AQ91" s="1368"/>
      <c r="AR91" s="1366"/>
      <c r="AS91" s="1367"/>
      <c r="AT91" s="1366"/>
      <c r="AU91" s="1366"/>
      <c r="AV91" s="1366"/>
      <c r="AW91" s="1368"/>
      <c r="AX91" s="1366"/>
      <c r="AY91" s="1367"/>
      <c r="AZ91" s="1366"/>
      <c r="BA91" s="1366"/>
      <c r="BB91" s="1366"/>
      <c r="BC91" s="1372">
        <v>0</v>
      </c>
      <c r="BD91" s="1366"/>
      <c r="BE91" s="1367"/>
      <c r="BF91" s="1366"/>
      <c r="BG91" s="1366"/>
      <c r="BH91" s="1366"/>
      <c r="BI91" s="1372">
        <v>1.7000000000000001E-2</v>
      </c>
      <c r="BJ91" s="1371"/>
      <c r="BK91" s="1374">
        <f t="shared" si="231"/>
        <v>1.7000000000000001E-2</v>
      </c>
      <c r="BL91" s="1373">
        <f t="shared" si="171"/>
        <v>1.7000000000000001E-2</v>
      </c>
      <c r="BM91" s="1373">
        <f t="shared" si="171"/>
        <v>1.7000000000000001E-2</v>
      </c>
      <c r="BN91" s="1373">
        <f t="shared" ref="BN91" si="256">BM91</f>
        <v>1.7000000000000001E-2</v>
      </c>
      <c r="BO91" s="1372">
        <v>1.7000000000000001E-2</v>
      </c>
      <c r="BP91" s="1371"/>
      <c r="BQ91" s="1374">
        <f t="shared" si="173"/>
        <v>1.7000000000000001E-2</v>
      </c>
      <c r="BR91" s="1373">
        <f t="shared" ref="BR91:BS91" si="257">BQ91</f>
        <v>1.7000000000000001E-2</v>
      </c>
      <c r="BS91" s="1373">
        <f t="shared" si="257"/>
        <v>1.7000000000000001E-2</v>
      </c>
      <c r="BT91" s="1373">
        <f t="shared" si="245"/>
        <v>1.7000000000000001E-2</v>
      </c>
      <c r="BU91" s="1375">
        <f t="shared" si="175"/>
        <v>1.7000000000000001E-2</v>
      </c>
      <c r="BV91" s="1371"/>
      <c r="BW91" s="1374">
        <f t="shared" si="176"/>
        <v>1.7000000000000001E-2</v>
      </c>
      <c r="BX91" s="1373">
        <f t="shared" ref="BX91:BY91" si="258">BW91</f>
        <v>1.7000000000000001E-2</v>
      </c>
      <c r="BY91" s="1373">
        <f t="shared" si="258"/>
        <v>1.7000000000000001E-2</v>
      </c>
      <c r="BZ91" s="1373">
        <f t="shared" si="246"/>
        <v>1.7000000000000001E-2</v>
      </c>
      <c r="CA91" s="1375">
        <f t="shared" si="178"/>
        <v>1.7000000000000001E-2</v>
      </c>
      <c r="CB91" s="1371"/>
      <c r="CC91" s="1374">
        <f t="shared" si="179"/>
        <v>1.7000000000000001E-2</v>
      </c>
      <c r="CD91" s="1373">
        <f t="shared" ref="CD91:CE91" si="259">CC91</f>
        <v>1.7000000000000001E-2</v>
      </c>
      <c r="CE91" s="1373">
        <f t="shared" si="259"/>
        <v>1.7000000000000001E-2</v>
      </c>
      <c r="CF91" s="1373">
        <f t="shared" si="247"/>
        <v>1.7000000000000001E-2</v>
      </c>
      <c r="CG91" s="1375">
        <f t="shared" si="181"/>
        <v>1.7000000000000001E-2</v>
      </c>
    </row>
    <row r="92" spans="2:85" s="771" customFormat="1" ht="12" customHeight="1" outlineLevel="1" x14ac:dyDescent="0.2">
      <c r="B92" s="59" t="s">
        <v>692</v>
      </c>
      <c r="C92" s="1367" t="s">
        <v>158</v>
      </c>
      <c r="D92" s="1366"/>
      <c r="E92" s="1366"/>
      <c r="F92" s="1366"/>
      <c r="G92" s="1368"/>
      <c r="H92" s="1366"/>
      <c r="I92" s="1367"/>
      <c r="J92" s="1366"/>
      <c r="K92" s="1366"/>
      <c r="L92" s="1366"/>
      <c r="M92" s="1368"/>
      <c r="N92" s="1366"/>
      <c r="O92" s="1367"/>
      <c r="P92" s="1366"/>
      <c r="Q92" s="1366"/>
      <c r="R92" s="1366"/>
      <c r="S92" s="1368"/>
      <c r="T92" s="1366"/>
      <c r="U92" s="1367"/>
      <c r="V92" s="1366"/>
      <c r="W92" s="1366"/>
      <c r="X92" s="1366"/>
      <c r="Y92" s="1368"/>
      <c r="Z92" s="1366"/>
      <c r="AA92" s="1367"/>
      <c r="AB92" s="1366"/>
      <c r="AC92" s="1366"/>
      <c r="AD92" s="1366"/>
      <c r="AE92" s="1368"/>
      <c r="AF92" s="1366"/>
      <c r="AG92" s="1367"/>
      <c r="AH92" s="1366"/>
      <c r="AI92" s="1366"/>
      <c r="AJ92" s="1366"/>
      <c r="AK92" s="1368"/>
      <c r="AL92" s="1366"/>
      <c r="AM92" s="1367"/>
      <c r="AN92" s="1366"/>
      <c r="AO92" s="1366"/>
      <c r="AP92" s="1366"/>
      <c r="AQ92" s="1368"/>
      <c r="AR92" s="1366"/>
      <c r="AS92" s="1367"/>
      <c r="AT92" s="1366"/>
      <c r="AU92" s="1366"/>
      <c r="AV92" s="1366"/>
      <c r="AW92" s="1368"/>
      <c r="AX92" s="1366"/>
      <c r="AY92" s="1367"/>
      <c r="AZ92" s="1366"/>
      <c r="BA92" s="1366"/>
      <c r="BB92" s="1366"/>
      <c r="BC92" s="1421" t="s">
        <v>215</v>
      </c>
      <c r="BD92" s="1366"/>
      <c r="BE92" s="1367"/>
      <c r="BF92" s="1366"/>
      <c r="BG92" s="1366"/>
      <c r="BH92" s="1366"/>
      <c r="BI92" s="1421" t="s">
        <v>215</v>
      </c>
      <c r="BJ92" s="1371"/>
      <c r="BK92" s="1374" t="str">
        <f t="shared" si="231"/>
        <v>NA</v>
      </c>
      <c r="BL92" s="1373" t="str">
        <f t="shared" si="171"/>
        <v>NA</v>
      </c>
      <c r="BM92" s="1373" t="str">
        <f t="shared" si="171"/>
        <v>NA</v>
      </c>
      <c r="BN92" s="1373" t="str">
        <f t="shared" ref="BN92" si="260">BM92</f>
        <v>NA</v>
      </c>
      <c r="BO92" s="1421" t="s">
        <v>215</v>
      </c>
      <c r="BP92" s="1371"/>
      <c r="BQ92" s="1374" t="str">
        <f t="shared" si="173"/>
        <v>NA</v>
      </c>
      <c r="BR92" s="1373" t="str">
        <f t="shared" ref="BR92:BS92" si="261">BQ92</f>
        <v>NA</v>
      </c>
      <c r="BS92" s="1373" t="str">
        <f t="shared" si="261"/>
        <v>NA</v>
      </c>
      <c r="BT92" s="1373" t="str">
        <f t="shared" si="245"/>
        <v>NA</v>
      </c>
      <c r="BU92" s="1422" t="s">
        <v>596</v>
      </c>
      <c r="BV92" s="1371"/>
      <c r="BW92" s="1374" t="str">
        <f t="shared" si="176"/>
        <v>NM</v>
      </c>
      <c r="BX92" s="1373" t="str">
        <f t="shared" ref="BX92:BY92" si="262">BW92</f>
        <v>NM</v>
      </c>
      <c r="BY92" s="1373" t="str">
        <f t="shared" si="262"/>
        <v>NM</v>
      </c>
      <c r="BZ92" s="1373" t="str">
        <f t="shared" si="246"/>
        <v>NM</v>
      </c>
      <c r="CA92" s="1422" t="s">
        <v>596</v>
      </c>
      <c r="CB92" s="1371"/>
      <c r="CC92" s="1374" t="str">
        <f t="shared" si="179"/>
        <v>NM</v>
      </c>
      <c r="CD92" s="1373" t="str">
        <f t="shared" ref="CD92:CE92" si="263">CC92</f>
        <v>NM</v>
      </c>
      <c r="CE92" s="1373" t="str">
        <f t="shared" si="263"/>
        <v>NM</v>
      </c>
      <c r="CF92" s="1373" t="str">
        <f t="shared" si="247"/>
        <v>NM</v>
      </c>
      <c r="CG92" s="1422" t="s">
        <v>596</v>
      </c>
    </row>
    <row r="93" spans="2:85" s="771" customFormat="1" ht="12" customHeight="1" outlineLevel="1" collapsed="1" x14ac:dyDescent="0.2">
      <c r="B93" s="37"/>
      <c r="C93" s="1367"/>
      <c r="D93" s="1366"/>
      <c r="E93" s="1366"/>
      <c r="F93" s="1366"/>
      <c r="G93" s="1368"/>
      <c r="H93" s="1366"/>
      <c r="I93" s="1367"/>
      <c r="J93" s="1366"/>
      <c r="K93" s="1366"/>
      <c r="L93" s="1366"/>
      <c r="M93" s="1368"/>
      <c r="N93" s="1366"/>
      <c r="O93" s="1367"/>
      <c r="P93" s="1366"/>
      <c r="Q93" s="1366"/>
      <c r="R93" s="1366"/>
      <c r="S93" s="1368"/>
      <c r="T93" s="1366"/>
      <c r="U93" s="1367"/>
      <c r="V93" s="1366"/>
      <c r="W93" s="1366"/>
      <c r="X93" s="1366"/>
      <c r="Y93" s="1368"/>
      <c r="Z93" s="1366"/>
      <c r="AA93" s="1367"/>
      <c r="AB93" s="1366"/>
      <c r="AC93" s="1366"/>
      <c r="AD93" s="1366"/>
      <c r="AE93" s="1368"/>
      <c r="AF93" s="1366"/>
      <c r="AG93" s="1367"/>
      <c r="AH93" s="1366"/>
      <c r="AI93" s="1366"/>
      <c r="AJ93" s="1366"/>
      <c r="AK93" s="1368"/>
      <c r="AL93" s="1366"/>
      <c r="AM93" s="1367"/>
      <c r="AN93" s="1366"/>
      <c r="AO93" s="1366"/>
      <c r="AP93" s="1366"/>
      <c r="AQ93" s="1368"/>
      <c r="AR93" s="1366"/>
      <c r="AS93" s="1367"/>
      <c r="AT93" s="1366"/>
      <c r="AU93" s="1366"/>
      <c r="AV93" s="1366"/>
      <c r="AW93" s="1368"/>
      <c r="AX93" s="1366"/>
      <c r="AY93" s="1367"/>
      <c r="AZ93" s="1366"/>
      <c r="BA93" s="1366"/>
      <c r="BB93" s="1366"/>
      <c r="BC93" s="1368"/>
      <c r="BD93" s="1366"/>
      <c r="BE93" s="1367"/>
      <c r="BF93" s="1366"/>
      <c r="BG93" s="1366"/>
      <c r="BH93" s="1366"/>
      <c r="BI93" s="1368"/>
      <c r="BJ93" s="1366"/>
      <c r="BK93" s="1367"/>
      <c r="BL93" s="1366"/>
      <c r="BM93" s="1366"/>
      <c r="BN93" s="1366"/>
      <c r="BO93" s="1368"/>
      <c r="BP93" s="1366"/>
      <c r="BQ93" s="1367"/>
      <c r="BR93" s="1366"/>
      <c r="BS93" s="1366"/>
      <c r="BT93" s="1366"/>
      <c r="BU93" s="1368"/>
      <c r="BV93" s="1366"/>
      <c r="BW93" s="1367"/>
      <c r="BX93" s="1366"/>
      <c r="BY93" s="1366"/>
      <c r="BZ93" s="1366"/>
      <c r="CA93" s="1368"/>
      <c r="CB93" s="1366"/>
      <c r="CC93" s="1367"/>
      <c r="CD93" s="1366"/>
      <c r="CE93" s="1366"/>
      <c r="CF93" s="1366"/>
      <c r="CG93" s="1368"/>
    </row>
    <row r="94" spans="2:85" s="771" customFormat="1" ht="12" customHeight="1" x14ac:dyDescent="0.2">
      <c r="B94" s="37" t="s">
        <v>693</v>
      </c>
      <c r="C94" s="1367"/>
      <c r="D94" s="1366"/>
      <c r="E94" s="1366"/>
      <c r="F94" s="1366"/>
      <c r="G94" s="1368"/>
      <c r="H94" s="1366"/>
      <c r="I94" s="1367"/>
      <c r="J94" s="1366"/>
      <c r="K94" s="1366"/>
      <c r="L94" s="1366"/>
      <c r="M94" s="1368"/>
      <c r="N94" s="1366"/>
      <c r="O94" s="1367"/>
      <c r="P94" s="1366"/>
      <c r="Q94" s="1366"/>
      <c r="R94" s="1366"/>
      <c r="S94" s="1368"/>
      <c r="T94" s="1366"/>
      <c r="U94" s="1367"/>
      <c r="V94" s="1366"/>
      <c r="W94" s="1366"/>
      <c r="X94" s="1366"/>
      <c r="Y94" s="1368"/>
      <c r="Z94" s="1366"/>
      <c r="AA94" s="1367"/>
      <c r="AB94" s="1366"/>
      <c r="AC94" s="1366"/>
      <c r="AD94" s="1366"/>
      <c r="AE94" s="1368"/>
      <c r="AF94" s="1366"/>
      <c r="AG94" s="1367"/>
      <c r="AH94" s="1366"/>
      <c r="AI94" s="1366"/>
      <c r="AJ94" s="1366"/>
      <c r="AK94" s="1368"/>
      <c r="AL94" s="1366"/>
      <c r="AM94" s="1367"/>
      <c r="AN94" s="1366"/>
      <c r="AO94" s="1366"/>
      <c r="AP94" s="1366"/>
      <c r="AQ94" s="1368"/>
      <c r="AR94" s="1366"/>
      <c r="AS94" s="1367"/>
      <c r="AT94" s="1366"/>
      <c r="AU94" s="1366"/>
      <c r="AV94" s="1366"/>
      <c r="AW94" s="1368"/>
      <c r="AX94" s="1366"/>
      <c r="AY94" s="1367"/>
      <c r="AZ94" s="1366"/>
      <c r="BA94" s="1366"/>
      <c r="BB94" s="1366">
        <f>BB35</f>
        <v>1153.0999999999999</v>
      </c>
      <c r="BC94" s="1368">
        <f>BC35</f>
        <v>1153.0999999999999</v>
      </c>
      <c r="BD94" s="1366"/>
      <c r="BE94" s="1367">
        <f t="shared" ref="BE94:BI94" si="264">BE35</f>
        <v>1180</v>
      </c>
      <c r="BF94" s="1366">
        <f t="shared" si="264"/>
        <v>1181.5999999999999</v>
      </c>
      <c r="BG94" s="1366">
        <f t="shared" si="264"/>
        <v>1586.2</v>
      </c>
      <c r="BH94" s="1366">
        <f>BH35</f>
        <v>1532.1999999999998</v>
      </c>
      <c r="BI94" s="1368">
        <f t="shared" si="264"/>
        <v>1532.2</v>
      </c>
      <c r="BJ94" s="1366"/>
      <c r="BK94" s="1367">
        <f t="shared" ref="BK94" si="265">BK35</f>
        <v>1550.8</v>
      </c>
      <c r="BL94" s="1366">
        <f t="shared" ref="BL94:BN94" si="266">BL35</f>
        <v>1608.8999999999999</v>
      </c>
      <c r="BM94" s="1366">
        <f t="shared" si="266"/>
        <v>1622.1000000000001</v>
      </c>
      <c r="BN94" s="1366">
        <f t="shared" si="266"/>
        <v>1641.6999999999998</v>
      </c>
      <c r="BO94" s="1368">
        <f>BO35</f>
        <v>1641.6999999999996</v>
      </c>
      <c r="BP94" s="1366"/>
      <c r="BQ94" s="1367">
        <f t="shared" ref="BQ94:BU94" si="267">BQ35</f>
        <v>1630.8</v>
      </c>
      <c r="BR94" s="1366">
        <f t="shared" si="267"/>
        <v>1630.8</v>
      </c>
      <c r="BS94" s="1366">
        <f t="shared" si="267"/>
        <v>1630.8</v>
      </c>
      <c r="BT94" s="1366">
        <f t="shared" si="267"/>
        <v>1630.8</v>
      </c>
      <c r="BU94" s="1368">
        <f t="shared" si="267"/>
        <v>1630.8</v>
      </c>
      <c r="BV94" s="1366"/>
      <c r="BW94" s="1367">
        <f t="shared" ref="BW94:CA94" si="268">BW35</f>
        <v>1630.8</v>
      </c>
      <c r="BX94" s="1366">
        <f t="shared" si="268"/>
        <v>1630.8</v>
      </c>
      <c r="BY94" s="1366">
        <f t="shared" si="268"/>
        <v>1630.8</v>
      </c>
      <c r="BZ94" s="1366">
        <f t="shared" si="268"/>
        <v>1630.8</v>
      </c>
      <c r="CA94" s="1368">
        <f t="shared" si="268"/>
        <v>1630.8</v>
      </c>
      <c r="CB94" s="1366"/>
      <c r="CC94" s="1367">
        <f t="shared" ref="CC94:CG94" si="269">CC35</f>
        <v>1630.8</v>
      </c>
      <c r="CD94" s="1366">
        <f t="shared" si="269"/>
        <v>1630.8</v>
      </c>
      <c r="CE94" s="1366">
        <f t="shared" si="269"/>
        <v>1630.8</v>
      </c>
      <c r="CF94" s="1366">
        <f t="shared" si="269"/>
        <v>1630.8</v>
      </c>
      <c r="CG94" s="1368">
        <f t="shared" si="269"/>
        <v>1630.8</v>
      </c>
    </row>
    <row r="95" spans="2:85" s="771" customFormat="1" ht="12" customHeight="1" x14ac:dyDescent="0.2">
      <c r="B95" s="37" t="s">
        <v>703</v>
      </c>
      <c r="C95" s="1367"/>
      <c r="D95" s="1366"/>
      <c r="E95" s="1366"/>
      <c r="F95" s="1366"/>
      <c r="G95" s="1363"/>
      <c r="H95" s="1366"/>
      <c r="I95" s="1367"/>
      <c r="J95" s="1366"/>
      <c r="K95" s="1366"/>
      <c r="L95" s="1366"/>
      <c r="M95" s="1363"/>
      <c r="N95" s="1366"/>
      <c r="O95" s="1367"/>
      <c r="P95" s="1366"/>
      <c r="Q95" s="1366"/>
      <c r="R95" s="1366"/>
      <c r="S95" s="1363"/>
      <c r="T95" s="1366"/>
      <c r="U95" s="1367"/>
      <c r="V95" s="1366"/>
      <c r="W95" s="1366"/>
      <c r="X95" s="1366"/>
      <c r="Y95" s="1363"/>
      <c r="Z95" s="1366"/>
      <c r="AA95" s="1367"/>
      <c r="AB95" s="1366"/>
      <c r="AC95" s="1366"/>
      <c r="AD95" s="1366"/>
      <c r="AE95" s="1363"/>
      <c r="AF95" s="1366"/>
      <c r="AG95" s="1367"/>
      <c r="AH95" s="1366"/>
      <c r="AI95" s="1366"/>
      <c r="AJ95" s="1366"/>
      <c r="AK95" s="1363"/>
      <c r="AL95" s="1366"/>
      <c r="AM95" s="1367"/>
      <c r="AN95" s="1366"/>
      <c r="AO95" s="1366"/>
      <c r="AP95" s="1366"/>
      <c r="AQ95" s="1363"/>
      <c r="AR95" s="1366"/>
      <c r="AS95" s="1367"/>
      <c r="AT95" s="1366"/>
      <c r="AU95" s="1366"/>
      <c r="AV95" s="1366"/>
      <c r="AW95" s="1363"/>
      <c r="AX95" s="1364"/>
      <c r="AY95" s="1365"/>
      <c r="AZ95" s="1364"/>
      <c r="BA95" s="1364"/>
      <c r="BB95" s="1366"/>
      <c r="BC95" s="1363"/>
      <c r="BD95" s="1364"/>
      <c r="BE95" s="1367">
        <f>(BB94*BE70)/4</f>
        <v>7.4485603538862355</v>
      </c>
      <c r="BF95" s="1366">
        <f>(BE94*BF70)/4</f>
        <v>7.6223234910985678</v>
      </c>
      <c r="BG95" s="1366">
        <f>(BF94*BG70)/4</f>
        <v>7.6326588449848023</v>
      </c>
      <c r="BH95" s="1366">
        <f>(BG94*BH70)/4</f>
        <v>8.2171166985551238</v>
      </c>
      <c r="BI95" s="1423">
        <f>SUM(BE95:BH95)</f>
        <v>30.920659388524729</v>
      </c>
      <c r="BJ95" s="1366"/>
      <c r="BK95" s="1367">
        <f>(BH94*BK70)/4</f>
        <v>9.9592999999999989</v>
      </c>
      <c r="BL95" s="1366">
        <f>(BK94*BL70)/4</f>
        <v>10.0802</v>
      </c>
      <c r="BM95" s="1366">
        <f>(BL94*BM70)/4</f>
        <v>10.457849999999999</v>
      </c>
      <c r="BN95" s="1366">
        <f>(BM94*BN70)/4</f>
        <v>10.54365</v>
      </c>
      <c r="BO95" s="1423">
        <f>SUM(BK95:BN95)</f>
        <v>41.040999999999997</v>
      </c>
      <c r="BP95" s="1366"/>
      <c r="BQ95" s="1367">
        <f>(BN94*BQ70)/4</f>
        <v>6.5667999999999997</v>
      </c>
      <c r="BR95" s="1366">
        <f>(BQ94*BR70)/4</f>
        <v>6.5232000000000001</v>
      </c>
      <c r="BS95" s="1366">
        <f t="shared" ref="BS95:BT95" si="270">(BR94*BS70)/4</f>
        <v>6.5232000000000001</v>
      </c>
      <c r="BT95" s="1366">
        <f t="shared" si="270"/>
        <v>6.5232000000000001</v>
      </c>
      <c r="BU95" s="1423">
        <f>SUM(BQ95:BT95)</f>
        <v>26.136399999999998</v>
      </c>
      <c r="BV95" s="1366"/>
      <c r="BW95" s="1367">
        <f>(BT94*BW70)/4</f>
        <v>6.5232000000000001</v>
      </c>
      <c r="BX95" s="1366">
        <f>(BW94*BX70)/4</f>
        <v>6.5232000000000001</v>
      </c>
      <c r="BY95" s="1366">
        <f t="shared" ref="BY95:BZ95" si="271">(BX94*BY70)/4</f>
        <v>6.5232000000000001</v>
      </c>
      <c r="BZ95" s="1366">
        <f t="shared" si="271"/>
        <v>6.5232000000000001</v>
      </c>
      <c r="CA95" s="1423">
        <f>SUM(BW95:BZ95)</f>
        <v>26.0928</v>
      </c>
      <c r="CB95" s="1366"/>
      <c r="CC95" s="1367">
        <f>(BZ94*CC70)/4</f>
        <v>6.5232000000000001</v>
      </c>
      <c r="CD95" s="1366">
        <f>(CC94*CD70)/4</f>
        <v>6.5232000000000001</v>
      </c>
      <c r="CE95" s="1366">
        <f t="shared" ref="CE95:CF95" si="272">(CD94*CE70)/4</f>
        <v>6.5232000000000001</v>
      </c>
      <c r="CF95" s="1366">
        <f t="shared" si="272"/>
        <v>6.5232000000000001</v>
      </c>
      <c r="CG95" s="1423">
        <f>SUM(CC95:CF95)</f>
        <v>26.0928</v>
      </c>
    </row>
    <row r="96" spans="2:85" s="771" customFormat="1" ht="12" customHeight="1" x14ac:dyDescent="0.2">
      <c r="B96" s="180" t="s">
        <v>702</v>
      </c>
      <c r="C96" s="1380"/>
      <c r="D96" s="1381"/>
      <c r="E96" s="1381"/>
      <c r="F96" s="1381"/>
      <c r="G96" s="1424"/>
      <c r="H96" s="1381"/>
      <c r="I96" s="1380"/>
      <c r="J96" s="1381"/>
      <c r="K96" s="1381"/>
      <c r="L96" s="1381"/>
      <c r="M96" s="1424"/>
      <c r="N96" s="1381"/>
      <c r="O96" s="1380"/>
      <c r="P96" s="1381"/>
      <c r="Q96" s="1381"/>
      <c r="R96" s="1381"/>
      <c r="S96" s="1424"/>
      <c r="T96" s="1381"/>
      <c r="U96" s="1380"/>
      <c r="V96" s="1381"/>
      <c r="W96" s="1381"/>
      <c r="X96" s="1381"/>
      <c r="Y96" s="1424"/>
      <c r="Z96" s="1381"/>
      <c r="AA96" s="1380"/>
      <c r="AB96" s="1381"/>
      <c r="AC96" s="1381"/>
      <c r="AD96" s="1381"/>
      <c r="AE96" s="1424"/>
      <c r="AF96" s="1381"/>
      <c r="AG96" s="1380"/>
      <c r="AH96" s="1381"/>
      <c r="AI96" s="1381"/>
      <c r="AJ96" s="1381"/>
      <c r="AK96" s="1424"/>
      <c r="AL96" s="1381"/>
      <c r="AM96" s="1380"/>
      <c r="AN96" s="1381"/>
      <c r="AO96" s="1381"/>
      <c r="AP96" s="1381"/>
      <c r="AQ96" s="1424"/>
      <c r="AR96" s="1381"/>
      <c r="AS96" s="1380"/>
      <c r="AT96" s="1381"/>
      <c r="AU96" s="1381"/>
      <c r="AV96" s="1381"/>
      <c r="AW96" s="1424">
        <v>46.9</v>
      </c>
      <c r="AX96" s="1425"/>
      <c r="AY96" s="1426">
        <v>10.7</v>
      </c>
      <c r="AZ96" s="1425">
        <v>9.8000000000000007</v>
      </c>
      <c r="BA96" s="1425">
        <v>9.6</v>
      </c>
      <c r="BB96" s="1381">
        <f>BC96-SUM(AY96:BA96)</f>
        <v>25.799999999999997</v>
      </c>
      <c r="BC96" s="1424">
        <v>55.9</v>
      </c>
      <c r="BD96" s="1425"/>
      <c r="BE96" s="1426">
        <v>9.1999999999999993</v>
      </c>
      <c r="BF96" s="1425">
        <v>9.3000000000000007</v>
      </c>
      <c r="BG96" s="1425">
        <v>8.4</v>
      </c>
      <c r="BH96" s="1381">
        <f>BI96-SUM(BE96:BG96)</f>
        <v>9</v>
      </c>
      <c r="BI96" s="1427">
        <v>35.9</v>
      </c>
      <c r="BJ96" s="1381"/>
      <c r="BK96" s="1426">
        <v>9.3000000000000007</v>
      </c>
      <c r="BL96" s="1425">
        <v>9.6</v>
      </c>
      <c r="BM96" s="1425">
        <v>9.8000000000000007</v>
      </c>
      <c r="BN96" s="1381">
        <f>BO96-SUM(BK96:BM96)</f>
        <v>9.5999999999999979</v>
      </c>
      <c r="BO96" s="1427">
        <v>38.299999999999997</v>
      </c>
      <c r="BP96" s="1381"/>
      <c r="BQ96" s="1426"/>
      <c r="BR96" s="1425"/>
      <c r="BS96" s="1425"/>
      <c r="BT96" s="1381"/>
      <c r="BU96" s="1427"/>
      <c r="BV96" s="1381"/>
      <c r="BW96" s="1426"/>
      <c r="BX96" s="1425"/>
      <c r="BY96" s="1425"/>
      <c r="BZ96" s="1381"/>
      <c r="CA96" s="1427"/>
      <c r="CB96" s="1381"/>
      <c r="CC96" s="1426"/>
      <c r="CD96" s="1425"/>
      <c r="CE96" s="1425"/>
      <c r="CF96" s="1381"/>
      <c r="CG96" s="1427"/>
    </row>
    <row r="97" spans="2:85" s="771" customFormat="1" ht="12" customHeight="1" x14ac:dyDescent="0.2">
      <c r="B97" s="37"/>
      <c r="C97" s="1366"/>
      <c r="D97" s="1366"/>
      <c r="E97" s="1366"/>
      <c r="F97" s="1366"/>
      <c r="G97" s="1369"/>
      <c r="H97" s="1366"/>
      <c r="I97" s="1366"/>
      <c r="J97" s="1366"/>
      <c r="K97" s="1366"/>
      <c r="L97" s="1366"/>
      <c r="M97" s="1369"/>
      <c r="N97" s="1366"/>
      <c r="O97" s="1366"/>
      <c r="P97" s="1366"/>
      <c r="Q97" s="1366"/>
      <c r="R97" s="1366"/>
      <c r="S97" s="1369"/>
      <c r="T97" s="1366"/>
      <c r="U97" s="1366"/>
      <c r="V97" s="1366"/>
      <c r="W97" s="1366"/>
      <c r="X97" s="1366"/>
      <c r="Y97" s="1369"/>
      <c r="Z97" s="1366"/>
      <c r="AA97" s="1366"/>
      <c r="AB97" s="1366"/>
      <c r="AC97" s="1366"/>
      <c r="AD97" s="1366"/>
      <c r="AE97" s="1369"/>
      <c r="AF97" s="1366"/>
      <c r="AG97" s="1366"/>
      <c r="AH97" s="1366"/>
      <c r="AI97" s="1366"/>
      <c r="AJ97" s="1366"/>
      <c r="AK97" s="1369"/>
      <c r="AL97" s="1366"/>
      <c r="AM97" s="1366"/>
      <c r="AN97" s="1366"/>
      <c r="AO97" s="1366"/>
      <c r="AP97" s="1366"/>
      <c r="AQ97" s="1369"/>
      <c r="AR97" s="1366"/>
      <c r="AS97" s="1366"/>
      <c r="AT97" s="1366"/>
      <c r="AU97" s="1366"/>
      <c r="AV97" s="1366"/>
      <c r="AW97" s="1369"/>
      <c r="AX97" s="1364"/>
      <c r="AY97" s="1364"/>
      <c r="AZ97" s="1364"/>
      <c r="BA97" s="1364"/>
      <c r="BB97" s="1366"/>
      <c r="BC97" s="1369"/>
      <c r="BD97" s="1364"/>
      <c r="BE97" s="1364"/>
      <c r="BF97" s="1364"/>
      <c r="BG97" s="1364"/>
      <c r="BH97" s="1366"/>
      <c r="BI97" s="1370"/>
      <c r="BJ97" s="1366"/>
      <c r="BK97" s="1364"/>
      <c r="BL97" s="1364"/>
      <c r="BM97" s="1364"/>
      <c r="BN97" s="1366"/>
      <c r="BO97" s="1370"/>
      <c r="BP97" s="1366"/>
      <c r="BQ97" s="1364"/>
      <c r="BR97" s="1364"/>
      <c r="BS97" s="1364"/>
      <c r="BT97" s="1366"/>
      <c r="BU97" s="1370"/>
      <c r="BV97" s="1366"/>
      <c r="BW97" s="1364"/>
      <c r="BX97" s="1364"/>
      <c r="BY97" s="1364"/>
      <c r="BZ97" s="1366"/>
      <c r="CA97" s="1370"/>
      <c r="CB97" s="1366"/>
      <c r="CC97" s="1364"/>
      <c r="CD97" s="1364"/>
      <c r="CE97" s="1364"/>
      <c r="CF97" s="1366"/>
      <c r="CG97" s="1370"/>
    </row>
    <row r="98" spans="2:85" s="771" customFormat="1" ht="12" customHeight="1" x14ac:dyDescent="0.2">
      <c r="B98" s="37"/>
      <c r="C98" s="1366"/>
      <c r="D98" s="1366"/>
      <c r="E98" s="1366"/>
      <c r="F98" s="1366"/>
      <c r="G98" s="1369"/>
      <c r="H98" s="1366"/>
      <c r="I98" s="1366"/>
      <c r="J98" s="1366"/>
      <c r="K98" s="1366"/>
      <c r="L98" s="1366"/>
      <c r="M98" s="1369"/>
      <c r="N98" s="1366"/>
      <c r="O98" s="1366"/>
      <c r="P98" s="1366"/>
      <c r="Q98" s="1366"/>
      <c r="R98" s="1366"/>
      <c r="S98" s="1369"/>
      <c r="T98" s="1366"/>
      <c r="U98" s="1366"/>
      <c r="V98" s="1366"/>
      <c r="W98" s="1366"/>
      <c r="X98" s="1366"/>
      <c r="Y98" s="1369"/>
      <c r="Z98" s="1366"/>
      <c r="AA98" s="1366"/>
      <c r="AB98" s="1366"/>
      <c r="AC98" s="1366"/>
      <c r="AD98" s="1366"/>
      <c r="AE98" s="1369"/>
      <c r="AF98" s="1366"/>
      <c r="AG98" s="1366"/>
      <c r="AH98" s="1366"/>
      <c r="AI98" s="1366"/>
      <c r="AJ98" s="1366"/>
      <c r="AK98" s="1369"/>
      <c r="AL98" s="1366"/>
      <c r="AM98" s="1366"/>
      <c r="AN98" s="1366"/>
      <c r="AO98" s="1366"/>
      <c r="AP98" s="1366"/>
      <c r="AQ98" s="1369"/>
      <c r="AR98" s="1366"/>
      <c r="AS98" s="1366"/>
      <c r="AT98" s="1366"/>
      <c r="AU98" s="1366"/>
      <c r="AV98" s="1366"/>
      <c r="AW98" s="1369"/>
      <c r="AX98" s="1364"/>
      <c r="AY98" s="1364"/>
      <c r="AZ98" s="1364"/>
      <c r="BA98" s="1364"/>
      <c r="BB98" s="1366"/>
      <c r="BC98" s="1369"/>
      <c r="BD98" s="1364"/>
      <c r="BE98" s="1364"/>
      <c r="BF98" s="1364"/>
      <c r="BG98" s="1364"/>
      <c r="BH98" s="1366"/>
      <c r="BI98" s="1370"/>
      <c r="BJ98" s="1366"/>
      <c r="BK98" s="1364"/>
      <c r="BL98" s="1364"/>
      <c r="BM98" s="1364"/>
      <c r="BN98" s="1366"/>
      <c r="BO98" s="1370"/>
      <c r="BP98" s="1366"/>
      <c r="BQ98" s="1364"/>
      <c r="BR98" s="1364"/>
      <c r="BS98" s="1364"/>
      <c r="BT98" s="1366"/>
      <c r="BU98" s="1370"/>
      <c r="BV98" s="1366"/>
      <c r="BW98" s="1364"/>
      <c r="BX98" s="1364"/>
      <c r="BY98" s="1364"/>
      <c r="BZ98" s="1366"/>
      <c r="CA98" s="1370"/>
      <c r="CB98" s="1366"/>
      <c r="CC98" s="1364"/>
      <c r="CD98" s="1364"/>
      <c r="CE98" s="1364"/>
      <c r="CF98" s="1366"/>
      <c r="CG98" s="1370"/>
    </row>
    <row r="99" spans="2:85" s="19" customFormat="1" ht="12" customHeight="1" x14ac:dyDescent="0.2">
      <c r="B99" s="1360" t="s">
        <v>705</v>
      </c>
      <c r="C99" s="1361"/>
      <c r="D99" s="1361"/>
      <c r="E99" s="1361"/>
      <c r="F99" s="1361"/>
      <c r="G99" s="1362"/>
      <c r="H99" s="1361"/>
      <c r="I99" s="1361"/>
      <c r="J99" s="1361"/>
      <c r="K99" s="1361"/>
      <c r="L99" s="1361"/>
      <c r="M99" s="1362"/>
      <c r="N99" s="1361"/>
      <c r="O99" s="1361"/>
      <c r="P99" s="1361"/>
      <c r="Q99" s="1361"/>
      <c r="R99" s="1361"/>
      <c r="S99" s="1362"/>
      <c r="T99" s="1361"/>
      <c r="U99" s="1361"/>
      <c r="V99" s="1361"/>
      <c r="W99" s="1361"/>
      <c r="X99" s="1361"/>
      <c r="Y99" s="1362"/>
      <c r="Z99" s="1361"/>
      <c r="AA99" s="1361"/>
      <c r="AB99" s="1361"/>
      <c r="AC99" s="1361"/>
      <c r="AD99" s="1361"/>
      <c r="AE99" s="1362"/>
      <c r="AF99" s="1361"/>
      <c r="AG99" s="1361"/>
      <c r="AH99" s="1361"/>
      <c r="AI99" s="1361"/>
      <c r="AJ99" s="1361"/>
      <c r="AK99" s="1362"/>
      <c r="AL99" s="1361"/>
      <c r="AM99" s="1361"/>
      <c r="AN99" s="1361"/>
      <c r="AO99" s="1361"/>
      <c r="AP99" s="1361"/>
      <c r="AQ99" s="1362"/>
      <c r="AR99" s="1361"/>
      <c r="AS99" s="1361"/>
      <c r="AT99" s="1361"/>
      <c r="AU99" s="1361"/>
      <c r="AV99" s="1361"/>
      <c r="AW99" s="1362"/>
      <c r="AX99" s="1361"/>
      <c r="AY99" s="1361"/>
      <c r="AZ99" s="1361"/>
      <c r="BA99" s="1361"/>
      <c r="BB99" s="1361"/>
      <c r="BC99" s="1362"/>
      <c r="BD99" s="1361"/>
      <c r="BE99" s="1361"/>
      <c r="BF99" s="1361"/>
      <c r="BG99" s="1361"/>
      <c r="BH99" s="1361"/>
      <c r="BI99" s="1382"/>
      <c r="BJ99" s="1361"/>
      <c r="BK99" s="1361"/>
      <c r="BL99" s="1361"/>
      <c r="BM99" s="1361"/>
      <c r="BN99" s="1361"/>
      <c r="BO99" s="1382"/>
      <c r="BP99" s="1361"/>
      <c r="BQ99" s="1361"/>
      <c r="BR99" s="1361"/>
      <c r="BS99" s="1361"/>
      <c r="BT99" s="1361"/>
      <c r="BU99" s="1382"/>
      <c r="BV99" s="1361"/>
      <c r="BW99" s="1361"/>
      <c r="BX99" s="1361"/>
      <c r="BY99" s="1361"/>
      <c r="BZ99" s="1361"/>
      <c r="CA99" s="1382"/>
      <c r="CB99" s="1361"/>
      <c r="CC99" s="1361"/>
      <c r="CD99" s="1361"/>
      <c r="CE99" s="1361"/>
      <c r="CF99" s="1361"/>
      <c r="CG99" s="1382"/>
    </row>
    <row r="100" spans="2:85" s="771" customFormat="1" ht="12" customHeight="1" x14ac:dyDescent="0.2">
      <c r="B100" s="37" t="s">
        <v>196</v>
      </c>
      <c r="C100" s="1367"/>
      <c r="D100" s="1366"/>
      <c r="E100" s="1366"/>
      <c r="F100" s="1366"/>
      <c r="G100" s="1363"/>
      <c r="H100" s="1366"/>
      <c r="I100" s="1367"/>
      <c r="J100" s="1366"/>
      <c r="K100" s="1366"/>
      <c r="L100" s="1366"/>
      <c r="M100" s="1363"/>
      <c r="N100" s="1366"/>
      <c r="O100" s="1367"/>
      <c r="P100" s="1366"/>
      <c r="Q100" s="1366"/>
      <c r="R100" s="1366"/>
      <c r="S100" s="1363"/>
      <c r="T100" s="1366"/>
      <c r="U100" s="1367"/>
      <c r="V100" s="1366"/>
      <c r="W100" s="1366"/>
      <c r="X100" s="1366"/>
      <c r="Y100" s="1363"/>
      <c r="Z100" s="1366"/>
      <c r="AA100" s="1367"/>
      <c r="AB100" s="1366"/>
      <c r="AC100" s="1366"/>
      <c r="AD100" s="1366"/>
      <c r="AE100" s="1363"/>
      <c r="AF100" s="1366"/>
      <c r="AG100" s="1367"/>
      <c r="AH100" s="1366"/>
      <c r="AI100" s="1366"/>
      <c r="AJ100" s="1366"/>
      <c r="AK100" s="1363"/>
      <c r="AL100" s="1366"/>
      <c r="AM100" s="1367"/>
      <c r="AN100" s="1366"/>
      <c r="AO100" s="1366"/>
      <c r="AP100" s="1366"/>
      <c r="AQ100" s="1363"/>
      <c r="AR100" s="1366"/>
      <c r="AS100" s="1367"/>
      <c r="AT100" s="1366"/>
      <c r="AU100" s="1366"/>
      <c r="AV100" s="1366"/>
      <c r="AW100" s="1363"/>
      <c r="AX100" s="1364"/>
      <c r="AY100" s="1365"/>
      <c r="AZ100" s="1364"/>
      <c r="BA100" s="1364"/>
      <c r="BB100" s="1377">
        <f>'BalSht '!BB9</f>
        <v>284.60000000000002</v>
      </c>
      <c r="BC100" s="1378">
        <f>'BalSht '!BC9</f>
        <v>284.60000000000002</v>
      </c>
      <c r="BD100" s="1364"/>
      <c r="BE100" s="1376">
        <f>'BalSht '!BE9</f>
        <v>323.10000000000002</v>
      </c>
      <c r="BF100" s="1377">
        <f>'BalSht '!BF9</f>
        <v>311.60000000000002</v>
      </c>
      <c r="BG100" s="1377">
        <f>'BalSht '!BG9</f>
        <v>330.7</v>
      </c>
      <c r="BH100" s="1377">
        <f>'BalSht '!BH9</f>
        <v>383.9</v>
      </c>
      <c r="BI100" s="1378">
        <f>'BalSht '!BI9</f>
        <v>383.9</v>
      </c>
      <c r="BJ100" s="1366"/>
      <c r="BK100" s="1376">
        <f>'BalSht '!BK9</f>
        <v>363.3</v>
      </c>
      <c r="BL100" s="1377">
        <f>'BalSht '!BL9</f>
        <v>268.39999999999998</v>
      </c>
      <c r="BM100" s="1377">
        <f>'BalSht '!BM9</f>
        <v>370</v>
      </c>
      <c r="BN100" s="1377">
        <f>'BalSht '!BN9</f>
        <v>320.60000000000002</v>
      </c>
      <c r="BO100" s="1378">
        <f>'BalSht '!BO9</f>
        <v>320.60000000000002</v>
      </c>
      <c r="BP100" s="1366"/>
      <c r="BQ100" s="1376">
        <f>'BalSht '!BQ9</f>
        <v>412.04769188686356</v>
      </c>
      <c r="BR100" s="1377">
        <f>'BalSht '!BR9</f>
        <v>325.62592569670232</v>
      </c>
      <c r="BS100" s="1377">
        <f>'BalSht '!BS9</f>
        <v>229.98791722566793</v>
      </c>
      <c r="BT100" s="1377">
        <f>'BalSht '!BT9</f>
        <v>222.68520568684852</v>
      </c>
      <c r="BU100" s="1378">
        <f>'BalSht '!BU9</f>
        <v>222.68520568684852</v>
      </c>
      <c r="BV100" s="1366"/>
      <c r="BW100" s="1376">
        <f>'BalSht '!BW9</f>
        <v>388.45571862714547</v>
      </c>
      <c r="BX100" s="1377">
        <f>'BalSht '!BX9</f>
        <v>319.79225826526704</v>
      </c>
      <c r="BY100" s="1377">
        <f>'BalSht '!BY9</f>
        <v>240.44515190401728</v>
      </c>
      <c r="BZ100" s="1377">
        <f>'BalSht '!BZ9</f>
        <v>230.26397178660005</v>
      </c>
      <c r="CA100" s="1378">
        <f>'BalSht '!CA9</f>
        <v>230.26397178660005</v>
      </c>
      <c r="CB100" s="1366"/>
      <c r="CC100" s="1376">
        <f>'BalSht '!CC9</f>
        <v>416.34620365496158</v>
      </c>
      <c r="CD100" s="1377">
        <f>'BalSht '!CD9</f>
        <v>359.06419003925782</v>
      </c>
      <c r="CE100" s="1377">
        <f>'BalSht '!CE9</f>
        <v>296.25760191300799</v>
      </c>
      <c r="CF100" s="1377">
        <f>'BalSht '!CF9</f>
        <v>296.24523202720752</v>
      </c>
      <c r="CG100" s="1378">
        <f>'BalSht '!CG9</f>
        <v>296.24523202720752</v>
      </c>
    </row>
    <row r="101" spans="2:85" s="771" customFormat="1" ht="12" customHeight="1" x14ac:dyDescent="0.2">
      <c r="B101" s="37" t="s">
        <v>669</v>
      </c>
      <c r="C101" s="1367"/>
      <c r="D101" s="1366"/>
      <c r="E101" s="1366"/>
      <c r="F101" s="1366"/>
      <c r="G101" s="1363"/>
      <c r="H101" s="1366"/>
      <c r="I101" s="1367"/>
      <c r="J101" s="1366"/>
      <c r="K101" s="1366"/>
      <c r="L101" s="1366"/>
      <c r="M101" s="1363"/>
      <c r="N101" s="1366"/>
      <c r="O101" s="1367"/>
      <c r="P101" s="1366"/>
      <c r="Q101" s="1366"/>
      <c r="R101" s="1366"/>
      <c r="S101" s="1363"/>
      <c r="T101" s="1366"/>
      <c r="U101" s="1367"/>
      <c r="V101" s="1366"/>
      <c r="W101" s="1366"/>
      <c r="X101" s="1366"/>
      <c r="Y101" s="1363"/>
      <c r="Z101" s="1366"/>
      <c r="AA101" s="1367"/>
      <c r="AB101" s="1366"/>
      <c r="AC101" s="1366"/>
      <c r="AD101" s="1366"/>
      <c r="AE101" s="1363"/>
      <c r="AF101" s="1366"/>
      <c r="AG101" s="1367"/>
      <c r="AH101" s="1366"/>
      <c r="AI101" s="1366"/>
      <c r="AJ101" s="1366"/>
      <c r="AK101" s="1363"/>
      <c r="AL101" s="1366"/>
      <c r="AM101" s="1367"/>
      <c r="AN101" s="1366"/>
      <c r="AO101" s="1366"/>
      <c r="AP101" s="1366"/>
      <c r="AQ101" s="1363"/>
      <c r="AR101" s="1366"/>
      <c r="AS101" s="1367"/>
      <c r="AT101" s="1366"/>
      <c r="AU101" s="1366"/>
      <c r="AV101" s="1366"/>
      <c r="AW101" s="1372"/>
      <c r="AX101" s="1364"/>
      <c r="AY101" s="1365">
        <v>0.7</v>
      </c>
      <c r="AZ101" s="1364">
        <v>0.7</v>
      </c>
      <c r="BA101" s="1364">
        <v>0.4</v>
      </c>
      <c r="BB101" s="1366">
        <f>BC101-SUM(AY101:BA101)</f>
        <v>0.40000000000000036</v>
      </c>
      <c r="BC101" s="1363">
        <v>2.2000000000000002</v>
      </c>
      <c r="BD101" s="1364"/>
      <c r="BE101" s="1365">
        <v>0.5</v>
      </c>
      <c r="BF101" s="1364">
        <f>'P&amp;L'!BF22</f>
        <v>0.4</v>
      </c>
      <c r="BG101" s="1364">
        <v>0.5</v>
      </c>
      <c r="BH101" s="1366">
        <f>BI101-SUM(BE101:BG101)</f>
        <v>0.60000000000000009</v>
      </c>
      <c r="BI101" s="1363">
        <v>2</v>
      </c>
      <c r="BJ101" s="1366"/>
      <c r="BK101" s="1365">
        <v>0.7</v>
      </c>
      <c r="BL101" s="1377">
        <f>'P&amp;L'!BL22</f>
        <v>0.6</v>
      </c>
      <c r="BM101" s="1377">
        <f>'P&amp;L'!BM22</f>
        <v>0.4</v>
      </c>
      <c r="BN101" s="1377">
        <f>'P&amp;L'!BN22</f>
        <v>0.4</v>
      </c>
      <c r="BO101" s="1363">
        <v>2.4</v>
      </c>
      <c r="BP101" s="1366"/>
      <c r="BQ101" s="1367">
        <f>(BN100*BQ102)/4</f>
        <v>0.8015000000000001</v>
      </c>
      <c r="BR101" s="1366">
        <f>(BQ100*BR102)/4</f>
        <v>1.0301192297171589</v>
      </c>
      <c r="BS101" s="1366">
        <f t="shared" ref="BS101" si="273">(BR100*BS102)/4</f>
        <v>0.81406481424175581</v>
      </c>
      <c r="BT101" s="1366">
        <f t="shared" ref="BT101" si="274">(BS100*BT102)/4</f>
        <v>0.57496979306416984</v>
      </c>
      <c r="BU101" s="1368">
        <f>SUM(BQ101:BT101)</f>
        <v>3.2206538370230846</v>
      </c>
      <c r="BV101" s="1366"/>
      <c r="BW101" s="1367">
        <f>(BT100*BW102)/4</f>
        <v>0.83506952132568191</v>
      </c>
      <c r="BX101" s="1366">
        <f>(BW100*BX102)/4</f>
        <v>1.4567089448517954</v>
      </c>
      <c r="BY101" s="1366">
        <f t="shared" ref="BY101" si="275">(BX100*BY102)/4</f>
        <v>1.1992209684947512</v>
      </c>
      <c r="BZ101" s="1366">
        <f t="shared" ref="BZ101" si="276">(BY100*BZ102)/4</f>
        <v>0.9016693196400648</v>
      </c>
      <c r="CA101" s="1368">
        <f>SUM(BW101:BZ101)</f>
        <v>4.3926687543122931</v>
      </c>
      <c r="CB101" s="1366"/>
      <c r="CC101" s="1367">
        <f>(BZ100*CC102)/4</f>
        <v>3.7639303080501936</v>
      </c>
      <c r="CD101" s="1366">
        <f>(CC100*CD102)/4</f>
        <v>6.8056590982061032</v>
      </c>
      <c r="CE101" s="1366">
        <f t="shared" ref="CE101" si="277">(CD100*CE102)/4</f>
        <v>5.8693184910263305</v>
      </c>
      <c r="CF101" s="1366">
        <f t="shared" ref="CF101" si="278">(CE100*CF102)/4</f>
        <v>4.8426723389626307</v>
      </c>
      <c r="CG101" s="1368">
        <f>SUM(CC101:CF101)</f>
        <v>21.281580236245254</v>
      </c>
    </row>
    <row r="102" spans="2:85" s="771" customFormat="1" ht="12" customHeight="1" x14ac:dyDescent="0.2">
      <c r="B102" s="1383" t="s">
        <v>670</v>
      </c>
      <c r="C102" s="1384"/>
      <c r="D102" s="1385"/>
      <c r="E102" s="1385"/>
      <c r="F102" s="1385"/>
      <c r="G102" s="1386"/>
      <c r="H102" s="1385"/>
      <c r="I102" s="1384"/>
      <c r="J102" s="1385"/>
      <c r="K102" s="1385"/>
      <c r="L102" s="1385"/>
      <c r="M102" s="1386"/>
      <c r="N102" s="1385"/>
      <c r="O102" s="1384"/>
      <c r="P102" s="1385"/>
      <c r="Q102" s="1385"/>
      <c r="R102" s="1385"/>
      <c r="S102" s="1386"/>
      <c r="T102" s="1385"/>
      <c r="U102" s="1384"/>
      <c r="V102" s="1385"/>
      <c r="W102" s="1385"/>
      <c r="X102" s="1385"/>
      <c r="Y102" s="1386"/>
      <c r="Z102" s="1385"/>
      <c r="AA102" s="1384"/>
      <c r="AB102" s="1385"/>
      <c r="AC102" s="1385"/>
      <c r="AD102" s="1385"/>
      <c r="AE102" s="1386"/>
      <c r="AF102" s="1385"/>
      <c r="AG102" s="1384"/>
      <c r="AH102" s="1385"/>
      <c r="AI102" s="1385"/>
      <c r="AJ102" s="1385"/>
      <c r="AK102" s="1386"/>
      <c r="AL102" s="1385"/>
      <c r="AM102" s="1384"/>
      <c r="AN102" s="1385"/>
      <c r="AO102" s="1385"/>
      <c r="AP102" s="1385"/>
      <c r="AQ102" s="1386"/>
      <c r="AR102" s="1385"/>
      <c r="AS102" s="1384"/>
      <c r="AT102" s="1385"/>
      <c r="AU102" s="1385"/>
      <c r="AV102" s="1385"/>
      <c r="AW102" s="1386"/>
      <c r="AX102" s="1387"/>
      <c r="AY102" s="1388"/>
      <c r="AZ102" s="1387"/>
      <c r="BA102" s="1387"/>
      <c r="BB102" s="1389"/>
      <c r="BC102" s="1386"/>
      <c r="BD102" s="1387"/>
      <c r="BE102" s="1390">
        <f>(BE101/BB100)*4</f>
        <v>7.0274068868587487E-3</v>
      </c>
      <c r="BF102" s="1389">
        <f>(BF101/BE100)*4</f>
        <v>4.9520272361497988E-3</v>
      </c>
      <c r="BG102" s="1389">
        <f>(BG101/BF100)*4</f>
        <v>6.4184852374839533E-3</v>
      </c>
      <c r="BH102" s="1389">
        <f>(BH101/BG100)*4</f>
        <v>7.257332930148172E-3</v>
      </c>
      <c r="BI102" s="1391">
        <f>(BI101/BC100)</f>
        <v>7.0274068868587487E-3</v>
      </c>
      <c r="BJ102" s="1385"/>
      <c r="BK102" s="1390">
        <f>(BK101/BH100)*4</f>
        <v>7.2935660328210467E-3</v>
      </c>
      <c r="BL102" s="1389">
        <f>(BL101/BK100)*4</f>
        <v>6.6061106523534266E-3</v>
      </c>
      <c r="BM102" s="1389">
        <f>(BM101/BL100)*4</f>
        <v>5.961251862891208E-3</v>
      </c>
      <c r="BN102" s="1389">
        <f>(BN101/BM100)*4</f>
        <v>4.3243243243243244E-3</v>
      </c>
      <c r="BO102" s="1391">
        <f>(BO101/BI100)</f>
        <v>6.2516280281323259E-3</v>
      </c>
      <c r="BP102" s="1385"/>
      <c r="BQ102" s="1388">
        <v>0.01</v>
      </c>
      <c r="BR102" s="1387">
        <f>BQ102</f>
        <v>0.01</v>
      </c>
      <c r="BS102" s="1387">
        <f>BR102</f>
        <v>0.01</v>
      </c>
      <c r="BT102" s="1387">
        <f>BS102</f>
        <v>0.01</v>
      </c>
      <c r="BU102" s="1391">
        <f t="shared" ref="BU102" si="279">(BU101/BO100)</f>
        <v>1.0045707539061399E-2</v>
      </c>
      <c r="BV102" s="1385"/>
      <c r="BW102" s="1388">
        <v>1.4999999999999999E-2</v>
      </c>
      <c r="BX102" s="1387">
        <f>BW102</f>
        <v>1.4999999999999999E-2</v>
      </c>
      <c r="BY102" s="1387">
        <f>BX102</f>
        <v>1.4999999999999999E-2</v>
      </c>
      <c r="BZ102" s="1387">
        <f>BY102</f>
        <v>1.4999999999999999E-2</v>
      </c>
      <c r="CA102" s="1391">
        <f t="shared" ref="CA102" si="280">(CA101/BU100)</f>
        <v>1.9725911924699174E-2</v>
      </c>
      <c r="CB102" s="1385"/>
      <c r="CC102" s="1388">
        <v>6.5384615384615388E-2</v>
      </c>
      <c r="CD102" s="1387">
        <f>CC102</f>
        <v>6.5384615384615388E-2</v>
      </c>
      <c r="CE102" s="1387">
        <f>CD102</f>
        <v>6.5384615384615388E-2</v>
      </c>
      <c r="CF102" s="1387">
        <f>CE102</f>
        <v>6.5384615384615388E-2</v>
      </c>
      <c r="CG102" s="1391">
        <f t="shared" ref="CG102" si="281">(CG101/CA100)</f>
        <v>9.2422536062081909E-2</v>
      </c>
    </row>
    <row r="103" spans="2:85" s="19" customFormat="1" ht="12" customHeight="1" x14ac:dyDescent="0.2">
      <c r="B103" s="1350"/>
      <c r="C103" s="1349"/>
      <c r="D103" s="1349"/>
      <c r="E103" s="1349"/>
      <c r="F103" s="1349"/>
      <c r="G103" s="1346"/>
      <c r="H103" s="596"/>
      <c r="I103" s="1349"/>
      <c r="J103" s="1349"/>
      <c r="K103" s="1349"/>
      <c r="L103" s="1349"/>
      <c r="M103" s="1346"/>
      <c r="N103" s="596"/>
      <c r="O103" s="1349"/>
      <c r="P103" s="1349"/>
      <c r="Q103" s="1349"/>
      <c r="R103" s="1349"/>
      <c r="S103" s="1346"/>
      <c r="T103" s="596"/>
      <c r="U103" s="1349"/>
      <c r="V103" s="1349"/>
      <c r="W103" s="1349"/>
      <c r="X103" s="1349"/>
      <c r="Y103" s="1346"/>
      <c r="Z103" s="596"/>
      <c r="AA103" s="1349"/>
      <c r="AB103" s="1349"/>
      <c r="AC103" s="1349"/>
      <c r="AD103" s="1349"/>
      <c r="AE103" s="1346"/>
      <c r="AF103" s="596"/>
      <c r="AG103" s="1349"/>
      <c r="AH103" s="1349"/>
      <c r="AI103" s="1349"/>
      <c r="AJ103" s="1349"/>
      <c r="AK103" s="1346"/>
      <c r="AL103" s="596"/>
      <c r="AM103" s="1349"/>
      <c r="AN103" s="1349"/>
      <c r="AO103" s="1349"/>
      <c r="AP103" s="1349"/>
      <c r="AQ103" s="1346"/>
      <c r="AR103" s="596"/>
      <c r="AS103" s="1349"/>
      <c r="AT103" s="1349"/>
      <c r="AU103" s="1349"/>
      <c r="AV103" s="1349"/>
      <c r="AW103" s="1346"/>
      <c r="AX103" s="596"/>
      <c r="AY103" s="1349"/>
      <c r="AZ103" s="1349"/>
      <c r="BA103" s="1349"/>
      <c r="BB103" s="1349"/>
      <c r="BC103" s="1346"/>
      <c r="BD103" s="596"/>
      <c r="BE103" s="1348"/>
      <c r="BF103" s="1348"/>
      <c r="BG103" s="1348"/>
      <c r="BH103" s="1348"/>
      <c r="BI103" s="1346"/>
      <c r="BJ103" s="596"/>
      <c r="BK103" s="1346"/>
      <c r="BL103" s="1346"/>
      <c r="BM103" s="1346"/>
      <c r="BN103" s="1346"/>
      <c r="BO103" s="1346"/>
      <c r="BP103" s="596"/>
      <c r="BQ103" s="1348"/>
      <c r="BR103" s="1348"/>
      <c r="BS103" s="1348"/>
      <c r="BT103" s="1348"/>
      <c r="BU103" s="1346"/>
      <c r="BV103" s="596"/>
      <c r="BW103" s="1348"/>
      <c r="BX103" s="1348"/>
      <c r="BY103" s="1348"/>
      <c r="BZ103" s="1348"/>
      <c r="CA103" s="1346"/>
      <c r="CB103" s="596"/>
      <c r="CC103" s="1348"/>
      <c r="CD103" s="1348"/>
      <c r="CE103" s="1348"/>
      <c r="CF103" s="1348"/>
      <c r="CG103" s="1346"/>
    </row>
    <row r="104" spans="2:85" s="19" customFormat="1" ht="12" customHeight="1" x14ac:dyDescent="0.2">
      <c r="B104" s="1350"/>
      <c r="C104" s="1349"/>
      <c r="D104" s="1349"/>
      <c r="E104" s="1349"/>
      <c r="F104" s="1349"/>
      <c r="G104" s="1346"/>
      <c r="H104" s="596"/>
      <c r="I104" s="1349"/>
      <c r="J104" s="1349"/>
      <c r="K104" s="1349"/>
      <c r="L104" s="1349"/>
      <c r="M104" s="1346"/>
      <c r="N104" s="596"/>
      <c r="O104" s="1349"/>
      <c r="P104" s="1349"/>
      <c r="Q104" s="1349"/>
      <c r="R104" s="1349"/>
      <c r="S104" s="1346"/>
      <c r="T104" s="596"/>
      <c r="U104" s="1349"/>
      <c r="V104" s="1349"/>
      <c r="W104" s="1349"/>
      <c r="X104" s="1349"/>
      <c r="Y104" s="1346"/>
      <c r="Z104" s="596"/>
      <c r="AA104" s="1349"/>
      <c r="AB104" s="1349"/>
      <c r="AC104" s="1349"/>
      <c r="AD104" s="1349"/>
      <c r="AE104" s="1346"/>
      <c r="AF104" s="596"/>
      <c r="AG104" s="1349"/>
      <c r="AH104" s="1349"/>
      <c r="AI104" s="1349"/>
      <c r="AJ104" s="1349"/>
      <c r="AK104" s="1346"/>
      <c r="AL104" s="596"/>
      <c r="AM104" s="1349"/>
      <c r="AN104" s="1349"/>
      <c r="AO104" s="1349"/>
      <c r="AP104" s="1349"/>
      <c r="AQ104" s="1346"/>
      <c r="AR104" s="596"/>
      <c r="AS104" s="1349"/>
      <c r="AT104" s="1349"/>
      <c r="AU104" s="1349"/>
      <c r="AV104" s="1349"/>
      <c r="AW104" s="1346"/>
      <c r="AX104" s="596"/>
      <c r="AY104" s="1349"/>
      <c r="AZ104" s="1349"/>
      <c r="BA104" s="1349"/>
      <c r="BB104" s="1349"/>
      <c r="BC104" s="1346"/>
      <c r="BD104" s="596"/>
      <c r="BE104" s="1348"/>
      <c r="BF104" s="1348"/>
      <c r="BG104" s="1348"/>
      <c r="BH104" s="1348"/>
      <c r="BI104" s="1346"/>
      <c r="BJ104" s="596"/>
      <c r="BK104" s="1346"/>
      <c r="BL104" s="1346"/>
      <c r="BM104" s="1346"/>
      <c r="BN104" s="1346"/>
      <c r="BO104" s="1346"/>
      <c r="BP104" s="596"/>
      <c r="BQ104" s="1348"/>
      <c r="BR104" s="1348"/>
      <c r="BS104" s="1348"/>
      <c r="BT104" s="1348"/>
      <c r="BU104" s="1346"/>
      <c r="BV104" s="596"/>
      <c r="BW104" s="1348"/>
      <c r="BX104" s="1348"/>
      <c r="BY104" s="1348"/>
      <c r="BZ104" s="1348"/>
      <c r="CA104" s="1346"/>
      <c r="CB104" s="596"/>
      <c r="CC104" s="1348"/>
      <c r="CD104" s="1348"/>
      <c r="CE104" s="1348"/>
      <c r="CF104" s="1348"/>
      <c r="CG104" s="1346"/>
    </row>
    <row r="105" spans="2:85" s="19" customFormat="1" ht="12" customHeight="1" x14ac:dyDescent="0.2">
      <c r="B105" s="1350"/>
      <c r="C105" s="1349"/>
      <c r="D105" s="1349"/>
      <c r="E105" s="1349"/>
      <c r="F105" s="1349"/>
      <c r="G105" s="1346"/>
      <c r="H105" s="596"/>
      <c r="I105" s="1349"/>
      <c r="J105" s="1349"/>
      <c r="K105" s="1349"/>
      <c r="L105" s="1349"/>
      <c r="M105" s="1346"/>
      <c r="N105" s="596"/>
      <c r="O105" s="1349"/>
      <c r="P105" s="1349"/>
      <c r="Q105" s="1349"/>
      <c r="R105" s="1349"/>
      <c r="S105" s="1346"/>
      <c r="T105" s="596"/>
      <c r="U105" s="1349"/>
      <c r="V105" s="1349"/>
      <c r="W105" s="1349"/>
      <c r="X105" s="1349"/>
      <c r="Y105" s="1346"/>
      <c r="Z105" s="596"/>
      <c r="AA105" s="1349"/>
      <c r="AB105" s="1349"/>
      <c r="AC105" s="1349"/>
      <c r="AD105" s="1349"/>
      <c r="AE105" s="1346"/>
      <c r="AF105" s="596"/>
      <c r="AG105" s="1349"/>
      <c r="AH105" s="1349"/>
      <c r="AI105" s="1349"/>
      <c r="AJ105" s="1349"/>
      <c r="AK105" s="1346"/>
      <c r="AL105" s="596"/>
      <c r="AM105" s="1349"/>
      <c r="AN105" s="1349"/>
      <c r="AO105" s="1349"/>
      <c r="AP105" s="1349"/>
      <c r="AQ105" s="1346"/>
      <c r="AR105" s="596"/>
      <c r="AS105" s="1349"/>
      <c r="AT105" s="1349"/>
      <c r="AU105" s="1349"/>
      <c r="AV105" s="1349"/>
      <c r="AW105" s="1346"/>
      <c r="AX105" s="596"/>
      <c r="AY105" s="1349"/>
      <c r="AZ105" s="1349"/>
      <c r="BA105" s="1349"/>
      <c r="BB105" s="1349"/>
      <c r="BC105" s="1346"/>
      <c r="BD105" s="596"/>
      <c r="BE105" s="1348"/>
      <c r="BF105" s="1348"/>
      <c r="BG105" s="1348"/>
      <c r="BH105" s="1348"/>
      <c r="BI105" s="1346"/>
      <c r="BJ105" s="596"/>
      <c r="BK105" s="1346"/>
      <c r="BL105" s="1346"/>
      <c r="BM105" s="1346"/>
      <c r="BN105" s="1346"/>
      <c r="BO105" s="1346"/>
      <c r="BP105" s="596"/>
      <c r="BQ105" s="1348"/>
      <c r="BR105" s="1348"/>
      <c r="BS105" s="1348"/>
      <c r="BT105" s="1348"/>
      <c r="BU105" s="1346"/>
      <c r="BV105" s="596"/>
      <c r="BW105" s="1348"/>
      <c r="BX105" s="1348"/>
      <c r="BY105" s="1348"/>
      <c r="BZ105" s="1348"/>
      <c r="CA105" s="1346"/>
      <c r="CB105" s="596"/>
      <c r="CC105" s="1348"/>
      <c r="CD105" s="1348"/>
      <c r="CE105" s="1348"/>
      <c r="CF105" s="1348"/>
      <c r="CG105" s="1346"/>
    </row>
    <row r="106" spans="2:85" s="19" customFormat="1" ht="12" customHeight="1" x14ac:dyDescent="0.2">
      <c r="B106" s="1350"/>
      <c r="C106" s="1349"/>
      <c r="D106" s="1349"/>
      <c r="E106" s="1349"/>
      <c r="F106" s="1349"/>
      <c r="G106" s="1346"/>
      <c r="H106" s="596"/>
      <c r="I106" s="1349"/>
      <c r="J106" s="1349"/>
      <c r="K106" s="1349"/>
      <c r="L106" s="1349"/>
      <c r="M106" s="1346"/>
      <c r="N106" s="596"/>
      <c r="O106" s="1349"/>
      <c r="P106" s="1349"/>
      <c r="Q106" s="1349"/>
      <c r="R106" s="1349"/>
      <c r="S106" s="1346"/>
      <c r="T106" s="596"/>
      <c r="U106" s="1349"/>
      <c r="V106" s="1349"/>
      <c r="W106" s="1349"/>
      <c r="X106" s="1349"/>
      <c r="Y106" s="1346"/>
      <c r="Z106" s="596"/>
      <c r="AA106" s="1349"/>
      <c r="AB106" s="1349"/>
      <c r="AC106" s="1349"/>
      <c r="AD106" s="1349"/>
      <c r="AE106" s="1346"/>
      <c r="AF106" s="596"/>
      <c r="AG106" s="1349"/>
      <c r="AH106" s="1349"/>
      <c r="AI106" s="1349"/>
      <c r="AJ106" s="1349"/>
      <c r="AK106" s="1346"/>
      <c r="AL106" s="596"/>
      <c r="AM106" s="1349"/>
      <c r="AN106" s="1349"/>
      <c r="AO106" s="1349"/>
      <c r="AP106" s="1349"/>
      <c r="AQ106" s="1346"/>
      <c r="AR106" s="596"/>
      <c r="AS106" s="1349"/>
      <c r="AT106" s="1349"/>
      <c r="AU106" s="1349"/>
      <c r="AV106" s="1349"/>
      <c r="AW106" s="1346"/>
      <c r="AX106" s="596"/>
      <c r="AY106" s="1349"/>
      <c r="AZ106" s="1349"/>
      <c r="BA106" s="1349"/>
      <c r="BB106" s="1349"/>
      <c r="BC106" s="1346"/>
      <c r="BD106" s="596"/>
      <c r="BE106" s="1348"/>
      <c r="BF106" s="1348"/>
      <c r="BG106" s="1348"/>
      <c r="BH106" s="1348"/>
      <c r="BI106" s="1346"/>
      <c r="BJ106" s="596"/>
      <c r="BK106" s="1346"/>
      <c r="BL106" s="1346"/>
      <c r="BM106" s="1346"/>
      <c r="BN106" s="1346"/>
      <c r="BO106" s="1346"/>
      <c r="BP106" s="596"/>
      <c r="BQ106" s="1348"/>
      <c r="BR106" s="1348"/>
      <c r="BS106" s="1348"/>
      <c r="BT106" s="1348"/>
      <c r="BU106" s="1346"/>
      <c r="BV106" s="596"/>
      <c r="BW106" s="1348"/>
      <c r="BX106" s="1348"/>
      <c r="BY106" s="1348"/>
      <c r="BZ106" s="1348"/>
      <c r="CA106" s="1346"/>
      <c r="CB106" s="596"/>
      <c r="CC106" s="1348"/>
      <c r="CD106" s="1348"/>
      <c r="CE106" s="1348"/>
      <c r="CF106" s="1348"/>
      <c r="CG106" s="1346"/>
    </row>
    <row r="107" spans="2:85" s="19" customFormat="1" ht="12" customHeight="1" x14ac:dyDescent="0.2">
      <c r="B107" s="1350"/>
      <c r="C107" s="1349"/>
      <c r="D107" s="1349"/>
      <c r="E107" s="1349"/>
      <c r="F107" s="1349"/>
      <c r="G107" s="1346"/>
      <c r="H107" s="596"/>
      <c r="I107" s="1349"/>
      <c r="J107" s="1349"/>
      <c r="K107" s="1349"/>
      <c r="L107" s="1349"/>
      <c r="M107" s="1346"/>
      <c r="N107" s="596"/>
      <c r="O107" s="1349"/>
      <c r="P107" s="1349"/>
      <c r="Q107" s="1349"/>
      <c r="R107" s="1349"/>
      <c r="S107" s="1346"/>
      <c r="T107" s="596"/>
      <c r="U107" s="1349"/>
      <c r="V107" s="1349"/>
      <c r="W107" s="1349"/>
      <c r="X107" s="1349"/>
      <c r="Y107" s="1346"/>
      <c r="Z107" s="596"/>
      <c r="AA107" s="1349"/>
      <c r="AB107" s="1349"/>
      <c r="AC107" s="1349"/>
      <c r="AD107" s="1349"/>
      <c r="AE107" s="1346"/>
      <c r="AF107" s="596"/>
      <c r="AG107" s="1349"/>
      <c r="AH107" s="1349"/>
      <c r="AI107" s="1349"/>
      <c r="AJ107" s="1349"/>
      <c r="AK107" s="1346"/>
      <c r="AL107" s="596"/>
      <c r="AM107" s="1349"/>
      <c r="AN107" s="1349"/>
      <c r="AO107" s="1349"/>
      <c r="AP107" s="1349"/>
      <c r="AQ107" s="1346"/>
      <c r="AR107" s="596"/>
      <c r="AS107" s="1349"/>
      <c r="AT107" s="1349"/>
      <c r="AU107" s="1349"/>
      <c r="AV107" s="1349"/>
      <c r="AW107" s="1346"/>
      <c r="AX107" s="596"/>
      <c r="AY107" s="1349"/>
      <c r="AZ107" s="1349"/>
      <c r="BA107" s="1349"/>
      <c r="BB107" s="1349"/>
      <c r="BC107" s="1346"/>
      <c r="BD107" s="596"/>
      <c r="BE107" s="1348"/>
      <c r="BF107" s="1348"/>
      <c r="BG107" s="1348"/>
      <c r="BH107" s="1348"/>
      <c r="BI107" s="1346"/>
      <c r="BJ107" s="596"/>
      <c r="BK107" s="1346"/>
      <c r="BL107" s="1346"/>
      <c r="BM107" s="1346"/>
      <c r="BN107" s="1346"/>
      <c r="BO107" s="1346"/>
      <c r="BP107" s="596"/>
      <c r="BQ107" s="1348"/>
      <c r="BR107" s="1348"/>
      <c r="BS107" s="1348"/>
      <c r="BT107" s="1348"/>
      <c r="BU107" s="1346"/>
      <c r="BV107" s="596"/>
      <c r="BW107" s="1348"/>
      <c r="BX107" s="1348"/>
      <c r="BY107" s="1348"/>
      <c r="BZ107" s="1348"/>
      <c r="CA107" s="1346"/>
      <c r="CB107" s="596"/>
      <c r="CC107" s="1348"/>
      <c r="CD107" s="1348"/>
      <c r="CE107" s="1348"/>
      <c r="CF107" s="1348"/>
      <c r="CG107" s="1346"/>
    </row>
    <row r="108" spans="2:85" s="19" customFormat="1" ht="12" customHeight="1" x14ac:dyDescent="0.2">
      <c r="B108" s="1350"/>
      <c r="C108" s="1349"/>
      <c r="D108" s="1349"/>
      <c r="E108" s="1349"/>
      <c r="F108" s="1349"/>
      <c r="G108" s="1346"/>
      <c r="H108" s="596"/>
      <c r="I108" s="1349"/>
      <c r="J108" s="1349"/>
      <c r="K108" s="1349"/>
      <c r="L108" s="1349"/>
      <c r="M108" s="1346"/>
      <c r="N108" s="596"/>
      <c r="O108" s="1349"/>
      <c r="P108" s="1349"/>
      <c r="Q108" s="1349"/>
      <c r="R108" s="1349"/>
      <c r="S108" s="1346"/>
      <c r="T108" s="596"/>
      <c r="U108" s="1349"/>
      <c r="V108" s="1349"/>
      <c r="W108" s="1349"/>
      <c r="X108" s="1349"/>
      <c r="Y108" s="1346"/>
      <c r="Z108" s="596"/>
      <c r="AA108" s="1349"/>
      <c r="AB108" s="1349"/>
      <c r="AC108" s="1349"/>
      <c r="AD108" s="1349"/>
      <c r="AE108" s="1346"/>
      <c r="AF108" s="596"/>
      <c r="AG108" s="1349"/>
      <c r="AH108" s="1349"/>
      <c r="AI108" s="1349"/>
      <c r="AJ108" s="1349"/>
      <c r="AK108" s="1346"/>
      <c r="AL108" s="596"/>
      <c r="AM108" s="1349"/>
      <c r="AN108" s="1349"/>
      <c r="AO108" s="1349"/>
      <c r="AP108" s="1349"/>
      <c r="AQ108" s="1346"/>
      <c r="AR108" s="596"/>
      <c r="AS108" s="1349"/>
      <c r="AT108" s="1349"/>
      <c r="AU108" s="1349"/>
      <c r="AV108" s="1349"/>
      <c r="AW108" s="1346"/>
      <c r="AX108" s="596"/>
      <c r="AY108" s="1349"/>
      <c r="AZ108" s="1349"/>
      <c r="BA108" s="1349"/>
      <c r="BB108" s="1349"/>
      <c r="BC108" s="1346"/>
      <c r="BD108" s="596"/>
      <c r="BE108" s="1348"/>
      <c r="BF108" s="1348"/>
      <c r="BG108" s="1348"/>
      <c r="BH108" s="1348"/>
      <c r="BI108" s="1346"/>
      <c r="BJ108" s="596"/>
      <c r="BK108" s="1346"/>
      <c r="BL108" s="1346"/>
      <c r="BM108" s="1346"/>
      <c r="BN108" s="1346"/>
      <c r="BO108" s="1346"/>
      <c r="BP108" s="596"/>
      <c r="BQ108" s="1348"/>
      <c r="BR108" s="1348"/>
      <c r="BS108" s="1348"/>
      <c r="BT108" s="1348"/>
      <c r="BU108" s="1346"/>
      <c r="BV108" s="596"/>
      <c r="BW108" s="1348"/>
      <c r="BX108" s="1348"/>
      <c r="BY108" s="1348"/>
      <c r="BZ108" s="1348"/>
      <c r="CA108" s="1346"/>
      <c r="CB108" s="596"/>
      <c r="CC108" s="1348"/>
      <c r="CD108" s="1348"/>
      <c r="CE108" s="1348"/>
      <c r="CF108" s="1348"/>
      <c r="CG108" s="1346"/>
    </row>
    <row r="109" spans="2:85" s="19" customFormat="1" ht="12" customHeight="1" x14ac:dyDescent="0.2">
      <c r="B109" s="1350"/>
      <c r="C109" s="1349"/>
      <c r="D109" s="1349"/>
      <c r="E109" s="1349"/>
      <c r="F109" s="1349"/>
      <c r="G109" s="1346"/>
      <c r="H109" s="596"/>
      <c r="I109" s="1349"/>
      <c r="J109" s="1349"/>
      <c r="K109" s="1349"/>
      <c r="L109" s="1349"/>
      <c r="M109" s="1346"/>
      <c r="N109" s="596"/>
      <c r="O109" s="1349"/>
      <c r="P109" s="1349"/>
      <c r="Q109" s="1349"/>
      <c r="R109" s="1349"/>
      <c r="S109" s="1346"/>
      <c r="T109" s="596"/>
      <c r="U109" s="1349"/>
      <c r="V109" s="1349"/>
      <c r="W109" s="1349"/>
      <c r="X109" s="1349"/>
      <c r="Y109" s="1346"/>
      <c r="Z109" s="596"/>
      <c r="AA109" s="1349"/>
      <c r="AB109" s="1349"/>
      <c r="AC109" s="1349"/>
      <c r="AD109" s="1349"/>
      <c r="AE109" s="1346"/>
      <c r="AF109" s="596"/>
      <c r="AG109" s="1349"/>
      <c r="AH109" s="1349"/>
      <c r="AI109" s="1349"/>
      <c r="AJ109" s="1349"/>
      <c r="AK109" s="1346"/>
      <c r="AL109" s="596"/>
      <c r="AM109" s="1349"/>
      <c r="AN109" s="1349"/>
      <c r="AO109" s="1349"/>
      <c r="AP109" s="1349"/>
      <c r="AQ109" s="1346"/>
      <c r="AR109" s="596"/>
      <c r="AS109" s="1349"/>
      <c r="AT109" s="1349"/>
      <c r="AU109" s="1349"/>
      <c r="AV109" s="1349"/>
      <c r="AW109" s="1346"/>
      <c r="AX109" s="596"/>
      <c r="AY109" s="1349"/>
      <c r="AZ109" s="1349"/>
      <c r="BA109" s="1349"/>
      <c r="BB109" s="1349"/>
      <c r="BC109" s="1346"/>
      <c r="BD109" s="596"/>
      <c r="BE109" s="1348"/>
      <c r="BF109" s="1348"/>
      <c r="BG109" s="1348"/>
      <c r="BH109" s="1348"/>
      <c r="BI109" s="1346"/>
      <c r="BJ109" s="596"/>
      <c r="BK109" s="1346"/>
      <c r="BL109" s="1346"/>
      <c r="BM109" s="1346"/>
      <c r="BN109" s="1346"/>
      <c r="BO109" s="1346"/>
      <c r="BP109" s="596"/>
      <c r="BQ109" s="1348"/>
      <c r="BR109" s="1348"/>
      <c r="BS109" s="1348"/>
      <c r="BT109" s="1348"/>
      <c r="BU109" s="1346"/>
      <c r="BV109" s="596"/>
      <c r="BW109" s="1348"/>
      <c r="BX109" s="1348"/>
      <c r="BY109" s="1348"/>
      <c r="BZ109" s="1348"/>
      <c r="CA109" s="1346"/>
      <c r="CB109" s="596"/>
      <c r="CC109" s="1348"/>
      <c r="CD109" s="1348"/>
      <c r="CE109" s="1348"/>
      <c r="CF109" s="1348"/>
      <c r="CG109" s="1346"/>
    </row>
    <row r="110" spans="2:85" s="19" customFormat="1" ht="12" customHeight="1" x14ac:dyDescent="0.2">
      <c r="B110" s="1350"/>
      <c r="C110" s="1349"/>
      <c r="D110" s="1349"/>
      <c r="E110" s="1349"/>
      <c r="F110" s="1349"/>
      <c r="G110" s="1346"/>
      <c r="H110" s="596"/>
      <c r="I110" s="1349"/>
      <c r="J110" s="1349"/>
      <c r="K110" s="1349"/>
      <c r="L110" s="1349"/>
      <c r="M110" s="1346"/>
      <c r="N110" s="596"/>
      <c r="O110" s="1349"/>
      <c r="P110" s="1349"/>
      <c r="Q110" s="1349"/>
      <c r="R110" s="1349"/>
      <c r="S110" s="1346"/>
      <c r="T110" s="596"/>
      <c r="U110" s="1349"/>
      <c r="V110" s="1349"/>
      <c r="W110" s="1349"/>
      <c r="X110" s="1349"/>
      <c r="Y110" s="1346"/>
      <c r="Z110" s="596"/>
      <c r="AA110" s="1349"/>
      <c r="AB110" s="1349"/>
      <c r="AC110" s="1349"/>
      <c r="AD110" s="1349"/>
      <c r="AE110" s="1346"/>
      <c r="AF110" s="596"/>
      <c r="AG110" s="1349"/>
      <c r="AH110" s="1349"/>
      <c r="AI110" s="1349"/>
      <c r="AJ110" s="1349"/>
      <c r="AK110" s="1346"/>
      <c r="AL110" s="596"/>
      <c r="AM110" s="1349"/>
      <c r="AN110" s="1349"/>
      <c r="AO110" s="1349"/>
      <c r="AP110" s="1349"/>
      <c r="AQ110" s="1346"/>
      <c r="AR110" s="596"/>
      <c r="AS110" s="1349"/>
      <c r="AT110" s="1349"/>
      <c r="AU110" s="1349"/>
      <c r="AV110" s="1349"/>
      <c r="AW110" s="1346"/>
      <c r="AX110" s="596"/>
      <c r="AY110" s="1349"/>
      <c r="AZ110" s="1349"/>
      <c r="BA110" s="1349"/>
      <c r="BB110" s="1349"/>
      <c r="BC110" s="1346"/>
      <c r="BD110" s="596"/>
      <c r="BE110" s="1348"/>
      <c r="BF110" s="1348"/>
      <c r="BG110" s="1348"/>
      <c r="BH110" s="1348"/>
      <c r="BI110" s="1346"/>
      <c r="BJ110" s="596"/>
      <c r="BK110" s="1346"/>
      <c r="BL110" s="1346"/>
      <c r="BM110" s="1346"/>
      <c r="BN110" s="1346"/>
      <c r="BO110" s="1346"/>
      <c r="BP110" s="596"/>
      <c r="BQ110" s="1348"/>
      <c r="BR110" s="1348"/>
      <c r="BS110" s="1348"/>
      <c r="BT110" s="1348"/>
      <c r="BU110" s="1346"/>
      <c r="BV110" s="596"/>
      <c r="BW110" s="1348"/>
      <c r="BX110" s="1348"/>
      <c r="BY110" s="1348"/>
      <c r="BZ110" s="1348"/>
      <c r="CA110" s="1346"/>
      <c r="CB110" s="596"/>
      <c r="CC110" s="1348"/>
      <c r="CD110" s="1348"/>
      <c r="CE110" s="1348"/>
      <c r="CF110" s="1348"/>
      <c r="CG110" s="1346"/>
    </row>
    <row r="111" spans="2:85" s="19" customFormat="1" ht="12" customHeight="1" x14ac:dyDescent="0.2">
      <c r="B111" s="1350"/>
      <c r="C111" s="1349"/>
      <c r="D111" s="1349"/>
      <c r="E111" s="1349"/>
      <c r="F111" s="1349"/>
      <c r="G111" s="1346"/>
      <c r="H111" s="596"/>
      <c r="I111" s="1349"/>
      <c r="J111" s="1349"/>
      <c r="K111" s="1349"/>
      <c r="L111" s="1349"/>
      <c r="M111" s="1346"/>
      <c r="N111" s="596"/>
      <c r="O111" s="1349"/>
      <c r="P111" s="1349"/>
      <c r="Q111" s="1349"/>
      <c r="R111" s="1349"/>
      <c r="S111" s="1346"/>
      <c r="T111" s="596"/>
      <c r="U111" s="1349"/>
      <c r="V111" s="1349"/>
      <c r="W111" s="1349"/>
      <c r="X111" s="1349"/>
      <c r="Y111" s="1346"/>
      <c r="Z111" s="596"/>
      <c r="AA111" s="1349"/>
      <c r="AB111" s="1349"/>
      <c r="AC111" s="1349"/>
      <c r="AD111" s="1349"/>
      <c r="AE111" s="1346"/>
      <c r="AF111" s="596"/>
      <c r="AG111" s="1349"/>
      <c r="AH111" s="1349"/>
      <c r="AI111" s="1349"/>
      <c r="AJ111" s="1349"/>
      <c r="AK111" s="1346"/>
      <c r="AL111" s="596"/>
      <c r="AM111" s="1349"/>
      <c r="AN111" s="1349"/>
      <c r="AO111" s="1349"/>
      <c r="AP111" s="1349"/>
      <c r="AQ111" s="1346"/>
      <c r="AR111" s="596"/>
      <c r="AS111" s="1349"/>
      <c r="AT111" s="1349"/>
      <c r="AU111" s="1349"/>
      <c r="AV111" s="1349"/>
      <c r="AW111" s="1346"/>
      <c r="AX111" s="596"/>
      <c r="AY111" s="1349"/>
      <c r="AZ111" s="1349"/>
      <c r="BA111" s="1349"/>
      <c r="BB111" s="1349"/>
      <c r="BC111" s="1346"/>
      <c r="BD111" s="596"/>
      <c r="BE111" s="1348"/>
      <c r="BF111" s="1348"/>
      <c r="BG111" s="1348"/>
      <c r="BH111" s="1348"/>
      <c r="BI111" s="1346"/>
      <c r="BJ111" s="596"/>
      <c r="BK111" s="1348"/>
      <c r="BL111" s="1348"/>
      <c r="BM111" s="1348"/>
      <c r="BN111" s="1348"/>
      <c r="BO111" s="1346"/>
      <c r="BP111" s="596"/>
      <c r="BQ111" s="1348"/>
      <c r="BR111" s="1348"/>
      <c r="BS111" s="1348"/>
      <c r="BT111" s="1348"/>
      <c r="BU111" s="1346"/>
      <c r="BV111" s="596"/>
      <c r="BW111" s="1348"/>
      <c r="BX111" s="1348"/>
      <c r="BY111" s="1348"/>
      <c r="BZ111" s="1348"/>
      <c r="CA111" s="1346"/>
      <c r="CB111" s="596"/>
      <c r="CC111" s="1348"/>
      <c r="CD111" s="1348"/>
      <c r="CE111" s="1348"/>
      <c r="CF111" s="1348"/>
      <c r="CG111" s="1346"/>
    </row>
    <row r="112" spans="2:85" s="19" customFormat="1" ht="12" customHeight="1" x14ac:dyDescent="0.2">
      <c r="B112" s="1350"/>
      <c r="C112" s="1349"/>
      <c r="D112" s="1349"/>
      <c r="E112" s="1349"/>
      <c r="F112" s="1349"/>
      <c r="G112" s="1346"/>
      <c r="H112" s="596"/>
      <c r="I112" s="1349"/>
      <c r="J112" s="1349"/>
      <c r="K112" s="1349"/>
      <c r="L112" s="1349"/>
      <c r="M112" s="1346"/>
      <c r="N112" s="596"/>
      <c r="O112" s="1349"/>
      <c r="P112" s="1349"/>
      <c r="Q112" s="1349"/>
      <c r="R112" s="1349"/>
      <c r="S112" s="1346"/>
      <c r="T112" s="596"/>
      <c r="U112" s="1349"/>
      <c r="V112" s="1349"/>
      <c r="W112" s="1349"/>
      <c r="X112" s="1349"/>
      <c r="Y112" s="1346"/>
      <c r="Z112" s="596"/>
      <c r="AA112" s="1349"/>
      <c r="AB112" s="1349"/>
      <c r="AC112" s="1349"/>
      <c r="AD112" s="1349"/>
      <c r="AE112" s="1346"/>
      <c r="AF112" s="596"/>
      <c r="AG112" s="1349"/>
      <c r="AH112" s="1349"/>
      <c r="AI112" s="1349"/>
      <c r="AJ112" s="1349"/>
      <c r="AK112" s="1346"/>
      <c r="AL112" s="596"/>
      <c r="AM112" s="1349"/>
      <c r="AN112" s="1349"/>
      <c r="AO112" s="1349"/>
      <c r="AP112" s="1349"/>
      <c r="AQ112" s="1346"/>
      <c r="AR112" s="596"/>
      <c r="AS112" s="1349"/>
      <c r="AT112" s="1349"/>
      <c r="AU112" s="1349"/>
      <c r="AV112" s="1349"/>
      <c r="AW112" s="1346"/>
      <c r="AX112" s="596"/>
      <c r="AY112" s="1349"/>
      <c r="AZ112" s="1349"/>
      <c r="BA112" s="1349"/>
      <c r="BB112" s="1349"/>
      <c r="BC112" s="1346"/>
      <c r="BD112" s="596"/>
      <c r="BE112" s="1348"/>
      <c r="BF112" s="1348"/>
      <c r="BG112" s="1348"/>
      <c r="BH112" s="1348"/>
      <c r="BI112" s="1346"/>
      <c r="BJ112" s="596"/>
      <c r="BK112" s="1348"/>
      <c r="BL112" s="1348"/>
      <c r="BM112" s="1348"/>
      <c r="BN112" s="1348"/>
      <c r="BO112" s="1346"/>
      <c r="BP112" s="596"/>
      <c r="BQ112" s="1348"/>
      <c r="BR112" s="1348"/>
      <c r="BS112" s="1348"/>
      <c r="BT112" s="1348"/>
      <c r="BU112" s="1346"/>
      <c r="BV112" s="596"/>
      <c r="BW112" s="1348"/>
      <c r="BX112" s="1348"/>
      <c r="BY112" s="1348"/>
      <c r="BZ112" s="1348"/>
      <c r="CA112" s="1346"/>
      <c r="CB112" s="596"/>
      <c r="CC112" s="1348"/>
      <c r="CD112" s="1348"/>
      <c r="CE112" s="1348"/>
      <c r="CF112" s="1348"/>
      <c r="CG112" s="1346"/>
    </row>
    <row r="113" spans="2:85" s="19" customFormat="1" ht="12" customHeight="1" x14ac:dyDescent="0.2">
      <c r="B113" s="1350"/>
      <c r="C113" s="1349"/>
      <c r="D113" s="1349"/>
      <c r="E113" s="1349"/>
      <c r="F113" s="1349"/>
      <c r="G113" s="1346"/>
      <c r="H113" s="596"/>
      <c r="I113" s="1349"/>
      <c r="J113" s="1349"/>
      <c r="K113" s="1349"/>
      <c r="L113" s="1349"/>
      <c r="M113" s="1346"/>
      <c r="N113" s="596"/>
      <c r="O113" s="1349"/>
      <c r="P113" s="1349"/>
      <c r="Q113" s="1349"/>
      <c r="R113" s="1349"/>
      <c r="S113" s="1346"/>
      <c r="T113" s="596"/>
      <c r="U113" s="1349"/>
      <c r="V113" s="1349"/>
      <c r="W113" s="1349"/>
      <c r="X113" s="1349"/>
      <c r="Y113" s="1346"/>
      <c r="Z113" s="596"/>
      <c r="AA113" s="1349"/>
      <c r="AB113" s="1349"/>
      <c r="AC113" s="1349"/>
      <c r="AD113" s="1349"/>
      <c r="AE113" s="1346"/>
      <c r="AF113" s="596"/>
      <c r="AG113" s="1349"/>
      <c r="AH113" s="1349"/>
      <c r="AI113" s="1349"/>
      <c r="AJ113" s="1349"/>
      <c r="AK113" s="1346"/>
      <c r="AL113" s="596"/>
      <c r="AM113" s="1349"/>
      <c r="AN113" s="1349"/>
      <c r="AO113" s="1349"/>
      <c r="AP113" s="1349"/>
      <c r="AQ113" s="1346"/>
      <c r="AR113" s="596"/>
      <c r="AS113" s="1349"/>
      <c r="AT113" s="1349"/>
      <c r="AU113" s="1349"/>
      <c r="AV113" s="1349"/>
      <c r="AW113" s="1346"/>
      <c r="AX113" s="596"/>
      <c r="AY113" s="1349"/>
      <c r="AZ113" s="1349"/>
      <c r="BA113" s="1349"/>
      <c r="BB113" s="1349"/>
      <c r="BC113" s="1346"/>
      <c r="BD113" s="596"/>
      <c r="BE113" s="1348"/>
      <c r="BF113" s="1348"/>
      <c r="BG113" s="1348"/>
      <c r="BH113" s="1348"/>
      <c r="BI113" s="1346"/>
      <c r="BJ113" s="596"/>
      <c r="BK113" s="1348"/>
      <c r="BL113" s="1348"/>
      <c r="BM113" s="1348"/>
      <c r="BN113" s="1348"/>
      <c r="BO113" s="1346"/>
      <c r="BP113" s="596"/>
      <c r="BQ113" s="1348"/>
      <c r="BR113" s="1348"/>
      <c r="BS113" s="1348"/>
      <c r="BT113" s="1348"/>
      <c r="BU113" s="1346"/>
      <c r="BV113" s="596"/>
      <c r="BW113" s="1348"/>
      <c r="BX113" s="1348"/>
      <c r="BY113" s="1348"/>
      <c r="BZ113" s="1348"/>
      <c r="CA113" s="1346"/>
      <c r="CB113" s="596"/>
      <c r="CC113" s="1348"/>
      <c r="CD113" s="1348"/>
      <c r="CE113" s="1348"/>
      <c r="CF113" s="1348"/>
      <c r="CG113" s="1346"/>
    </row>
    <row r="114" spans="2:85" s="19" customFormat="1" ht="12" customHeight="1" x14ac:dyDescent="0.2">
      <c r="B114" s="1351" t="s">
        <v>668</v>
      </c>
      <c r="C114" s="1351" t="s">
        <v>668</v>
      </c>
      <c r="D114" s="1352"/>
      <c r="E114" s="1352"/>
      <c r="F114" s="1352"/>
      <c r="G114" s="1351"/>
      <c r="H114" s="1353"/>
      <c r="I114" s="1351" t="s">
        <v>668</v>
      </c>
      <c r="J114" s="1352"/>
      <c r="K114" s="1352"/>
      <c r="L114" s="1352"/>
      <c r="M114" s="1351"/>
      <c r="N114" s="1353"/>
      <c r="O114" s="1351" t="s">
        <v>668</v>
      </c>
      <c r="P114" s="1352"/>
      <c r="Q114" s="1352"/>
      <c r="R114" s="1352"/>
      <c r="S114" s="1351"/>
      <c r="T114" s="1353"/>
      <c r="U114" s="1351" t="s">
        <v>668</v>
      </c>
      <c r="V114" s="1352"/>
      <c r="W114" s="1352"/>
      <c r="X114" s="1352"/>
      <c r="Y114" s="1351"/>
      <c r="Z114" s="1353"/>
      <c r="AA114" s="1351" t="s">
        <v>668</v>
      </c>
      <c r="AB114" s="1352"/>
      <c r="AC114" s="1352"/>
      <c r="AD114" s="1352"/>
      <c r="AE114" s="1351"/>
      <c r="AF114" s="1353"/>
      <c r="AG114" s="1351" t="s">
        <v>668</v>
      </c>
      <c r="AH114" s="1352"/>
      <c r="AI114" s="1352"/>
      <c r="AJ114" s="1352"/>
      <c r="AK114" s="1351"/>
      <c r="AL114" s="1353"/>
      <c r="AM114" s="1351" t="s">
        <v>668</v>
      </c>
      <c r="AN114" s="1352"/>
      <c r="AO114" s="1352"/>
      <c r="AP114" s="1352"/>
      <c r="AQ114" s="1351" t="s">
        <v>668</v>
      </c>
      <c r="AR114" s="1353"/>
      <c r="AS114" s="1352"/>
      <c r="AT114" s="1352"/>
      <c r="AU114" s="1352"/>
      <c r="AV114" s="1352"/>
      <c r="AW114" s="1351"/>
      <c r="AX114" s="1353"/>
      <c r="AY114" s="1352"/>
      <c r="AZ114" s="1352"/>
      <c r="BA114" s="1352"/>
      <c r="BB114" s="1352"/>
      <c r="BC114" s="1351"/>
      <c r="BD114" s="1353"/>
      <c r="BE114" s="1352"/>
      <c r="BF114" s="1352"/>
      <c r="BG114" s="1352"/>
      <c r="BH114" s="1352"/>
      <c r="BI114" s="1351" t="s">
        <v>668</v>
      </c>
      <c r="BJ114" s="1353"/>
      <c r="BK114" s="1352"/>
      <c r="BL114" s="1352"/>
      <c r="BM114" s="1352"/>
      <c r="BN114" s="1352"/>
      <c r="BO114" s="1351"/>
      <c r="BP114" s="1353"/>
      <c r="BQ114" s="1352"/>
      <c r="BR114" s="1352"/>
      <c r="BS114" s="1352"/>
      <c r="BT114" s="1352"/>
      <c r="BU114" s="1351"/>
      <c r="BV114" s="1351" t="s">
        <v>668</v>
      </c>
      <c r="BW114" s="1352"/>
      <c r="BX114" s="1352"/>
      <c r="BY114" s="1352"/>
      <c r="BZ114" s="1352"/>
      <c r="CA114" s="1351"/>
      <c r="CB114" s="1353"/>
      <c r="CC114" s="1351"/>
      <c r="CD114" s="1352"/>
      <c r="CE114" s="1352"/>
      <c r="CF114" s="1352"/>
      <c r="CG114" s="1351"/>
    </row>
    <row r="115" spans="2:85" s="19" customFormat="1" ht="12" customHeight="1" x14ac:dyDescent="0.2">
      <c r="B115" s="1350"/>
      <c r="C115" s="1349"/>
      <c r="D115" s="1349"/>
      <c r="E115" s="1349"/>
      <c r="F115" s="1349"/>
      <c r="G115" s="1346"/>
      <c r="H115" s="596"/>
      <c r="I115" s="1349"/>
      <c r="J115" s="1349"/>
      <c r="K115" s="1349"/>
      <c r="L115" s="1349"/>
      <c r="M115" s="1346"/>
      <c r="N115" s="596"/>
      <c r="O115" s="1349"/>
      <c r="P115" s="1349"/>
      <c r="Q115" s="1349"/>
      <c r="R115" s="1349"/>
      <c r="S115" s="1346"/>
      <c r="T115" s="596"/>
      <c r="U115" s="1349"/>
      <c r="V115" s="1349"/>
      <c r="W115" s="1349"/>
      <c r="X115" s="1349"/>
      <c r="Y115" s="1346"/>
      <c r="Z115" s="596"/>
      <c r="AA115" s="1349"/>
      <c r="AB115" s="1349"/>
      <c r="AC115" s="1349"/>
      <c r="AD115" s="1349"/>
      <c r="AE115" s="1346"/>
      <c r="AF115" s="596"/>
      <c r="AG115" s="1349"/>
      <c r="AH115" s="1349"/>
      <c r="AI115" s="1349"/>
      <c r="AJ115" s="1349"/>
      <c r="AK115" s="1346"/>
      <c r="AL115" s="596"/>
      <c r="AM115" s="1349"/>
      <c r="AN115" s="1349"/>
      <c r="AO115" s="1349"/>
      <c r="AP115" s="1349"/>
      <c r="AQ115" s="1346"/>
      <c r="AR115" s="596"/>
      <c r="AS115" s="1349"/>
      <c r="AT115" s="1349"/>
      <c r="AU115" s="1349"/>
      <c r="AV115" s="1349"/>
      <c r="AW115" s="1346"/>
      <c r="AX115" s="596"/>
      <c r="AY115" s="1349"/>
      <c r="AZ115" s="1349"/>
      <c r="BA115" s="1349"/>
      <c r="BB115" s="1349"/>
      <c r="BC115" s="1346"/>
      <c r="BD115" s="596"/>
      <c r="BE115" s="1348"/>
      <c r="BF115" s="1348"/>
      <c r="BG115" s="1348"/>
      <c r="BH115" s="1348"/>
      <c r="BI115" s="1346"/>
      <c r="BJ115" s="596"/>
      <c r="BK115" s="1348"/>
      <c r="BL115" s="1348"/>
      <c r="BM115" s="1348"/>
      <c r="BN115" s="1348"/>
      <c r="BO115" s="1346"/>
      <c r="BP115" s="596"/>
      <c r="BQ115" s="1348"/>
      <c r="BR115" s="1348"/>
      <c r="BS115" s="1348"/>
      <c r="BT115" s="1348"/>
      <c r="BU115" s="1346"/>
      <c r="BV115" s="596"/>
      <c r="BW115" s="1348"/>
      <c r="BX115" s="1348"/>
      <c r="BY115" s="1348"/>
      <c r="BZ115" s="1348"/>
      <c r="CA115" s="1346"/>
      <c r="CB115" s="596"/>
      <c r="CC115" s="1348"/>
      <c r="CD115" s="1348"/>
      <c r="CE115" s="1348"/>
      <c r="CF115" s="1348"/>
      <c r="CG115" s="1346"/>
    </row>
    <row r="116" spans="2:85" s="19" customFormat="1" ht="12" customHeight="1" x14ac:dyDescent="0.2">
      <c r="B116" s="1354" t="s">
        <v>498</v>
      </c>
      <c r="C116" s="1712" t="s">
        <v>68</v>
      </c>
      <c r="D116" s="1712"/>
      <c r="E116" s="1712"/>
      <c r="F116" s="1712"/>
      <c r="G116" s="1712"/>
      <c r="H116" s="107"/>
      <c r="I116" s="1712" t="s">
        <v>69</v>
      </c>
      <c r="J116" s="1712"/>
      <c r="K116" s="1712"/>
      <c r="L116" s="1712"/>
      <c r="M116" s="1712"/>
      <c r="N116" s="107"/>
      <c r="O116" s="1712" t="s">
        <v>70</v>
      </c>
      <c r="P116" s="1712"/>
      <c r="Q116" s="1712"/>
      <c r="R116" s="1712"/>
      <c r="S116" s="1712"/>
      <c r="T116" s="107"/>
      <c r="U116" s="1712" t="s">
        <v>142</v>
      </c>
      <c r="V116" s="1712"/>
      <c r="W116" s="1712"/>
      <c r="X116" s="1712"/>
      <c r="Y116" s="1712"/>
      <c r="Z116" s="1341"/>
      <c r="AA116" s="1712" t="s">
        <v>186</v>
      </c>
      <c r="AB116" s="1712"/>
      <c r="AC116" s="1712"/>
      <c r="AD116" s="1712"/>
      <c r="AE116" s="1712"/>
      <c r="AF116" s="107"/>
      <c r="AG116" s="1712" t="s">
        <v>187</v>
      </c>
      <c r="AH116" s="1712"/>
      <c r="AI116" s="1712"/>
      <c r="AJ116" s="1712"/>
      <c r="AK116" s="1712"/>
      <c r="AL116" s="107"/>
      <c r="AM116" s="1712" t="s">
        <v>188</v>
      </c>
      <c r="AN116" s="1712"/>
      <c r="AO116" s="1712"/>
      <c r="AP116" s="1712"/>
      <c r="AQ116" s="1712"/>
      <c r="AR116" s="107"/>
      <c r="AS116" s="1712" t="s">
        <v>376</v>
      </c>
      <c r="AT116" s="1712"/>
      <c r="AU116" s="1712"/>
      <c r="AV116" s="1712"/>
      <c r="AW116" s="1712"/>
      <c r="AX116" s="107"/>
      <c r="AY116" s="1712" t="s">
        <v>529</v>
      </c>
      <c r="AZ116" s="1712"/>
      <c r="BA116" s="1712"/>
      <c r="BB116" s="1712"/>
      <c r="BC116" s="1712"/>
      <c r="BD116" s="107"/>
      <c r="BE116" s="1712" t="s">
        <v>218</v>
      </c>
      <c r="BF116" s="1712"/>
      <c r="BG116" s="1712"/>
      <c r="BH116" s="1712"/>
      <c r="BI116" s="1712"/>
      <c r="BJ116" s="107"/>
      <c r="BK116" s="1712" t="s">
        <v>379</v>
      </c>
      <c r="BL116" s="1712"/>
      <c r="BM116" s="1712"/>
      <c r="BN116" s="1712"/>
      <c r="BO116" s="1712"/>
      <c r="BP116" s="107"/>
      <c r="BQ116" s="1712" t="s">
        <v>393</v>
      </c>
      <c r="BR116" s="1712"/>
      <c r="BS116" s="1712"/>
      <c r="BT116" s="1712"/>
      <c r="BU116" s="1712"/>
      <c r="BV116" s="107"/>
      <c r="BW116" s="1712" t="s">
        <v>394</v>
      </c>
      <c r="BX116" s="1712"/>
      <c r="BY116" s="1712"/>
      <c r="BZ116" s="1712"/>
      <c r="CA116" s="1712"/>
      <c r="CB116" s="107"/>
      <c r="CC116" s="1712" t="s">
        <v>395</v>
      </c>
      <c r="CD116" s="1712"/>
      <c r="CE116" s="1712"/>
      <c r="CF116" s="1712"/>
      <c r="CG116" s="1712"/>
    </row>
    <row r="117" spans="2:85" ht="12" customHeight="1" x14ac:dyDescent="0.2">
      <c r="B117" s="11"/>
      <c r="C117" s="1345">
        <v>39172</v>
      </c>
      <c r="D117" s="1345">
        <v>39263</v>
      </c>
      <c r="E117" s="1345">
        <v>39355</v>
      </c>
      <c r="F117" s="1345">
        <v>39447</v>
      </c>
      <c r="G117" s="1346" t="s">
        <v>68</v>
      </c>
      <c r="H117" s="3"/>
      <c r="I117" s="1345">
        <v>39538</v>
      </c>
      <c r="J117" s="1345">
        <v>39629</v>
      </c>
      <c r="K117" s="1345">
        <v>39721</v>
      </c>
      <c r="L117" s="1345">
        <v>39813</v>
      </c>
      <c r="M117" s="1346" t="s">
        <v>69</v>
      </c>
      <c r="N117" s="3"/>
      <c r="O117" s="1345">
        <v>39903</v>
      </c>
      <c r="P117" s="1345">
        <v>39994</v>
      </c>
      <c r="Q117" s="1345">
        <v>40086</v>
      </c>
      <c r="R117" s="1345">
        <v>40178</v>
      </c>
      <c r="S117" s="1346" t="s">
        <v>70</v>
      </c>
      <c r="T117" s="3"/>
      <c r="U117" s="1345">
        <v>40268</v>
      </c>
      <c r="V117" s="1345">
        <v>40359</v>
      </c>
      <c r="W117" s="1345">
        <v>40451</v>
      </c>
      <c r="X117" s="1345">
        <v>40543</v>
      </c>
      <c r="Y117" s="1346" t="s">
        <v>142</v>
      </c>
      <c r="Z117" s="3"/>
      <c r="AA117" s="1345">
        <v>40633</v>
      </c>
      <c r="AB117" s="1345">
        <v>40724</v>
      </c>
      <c r="AC117" s="1345">
        <v>40816</v>
      </c>
      <c r="AD117" s="1345">
        <v>40908</v>
      </c>
      <c r="AE117" s="1347" t="s">
        <v>186</v>
      </c>
      <c r="AF117" s="3"/>
      <c r="AG117" s="1345">
        <v>40999</v>
      </c>
      <c r="AH117" s="1345">
        <v>41090</v>
      </c>
      <c r="AI117" s="1345">
        <v>41182</v>
      </c>
      <c r="AJ117" s="1345">
        <v>41274</v>
      </c>
      <c r="AK117" s="1347" t="s">
        <v>187</v>
      </c>
      <c r="AL117" s="3"/>
      <c r="AM117" s="1345">
        <v>41364</v>
      </c>
      <c r="AN117" s="1345">
        <v>41455</v>
      </c>
      <c r="AO117" s="1345">
        <v>41547</v>
      </c>
      <c r="AP117" s="1345">
        <v>41639</v>
      </c>
      <c r="AQ117" s="1347" t="s">
        <v>188</v>
      </c>
      <c r="AR117" s="3"/>
      <c r="AS117" s="1345">
        <v>41729</v>
      </c>
      <c r="AT117" s="1345">
        <v>41820</v>
      </c>
      <c r="AU117" s="1345">
        <v>41912</v>
      </c>
      <c r="AV117" s="1345">
        <v>42004</v>
      </c>
      <c r="AW117" s="1347" t="s">
        <v>376</v>
      </c>
      <c r="AX117" s="3"/>
      <c r="AY117" s="1345">
        <v>42094</v>
      </c>
      <c r="AZ117" s="1345">
        <v>42185</v>
      </c>
      <c r="BA117" s="1345">
        <v>42277</v>
      </c>
      <c r="BB117" s="1345">
        <v>42369</v>
      </c>
      <c r="BC117" s="1347" t="s">
        <v>529</v>
      </c>
      <c r="BD117" s="3"/>
      <c r="BE117" s="1348">
        <v>42460</v>
      </c>
      <c r="BF117" s="1348">
        <v>42551</v>
      </c>
      <c r="BG117" s="1348">
        <v>42643</v>
      </c>
      <c r="BH117" s="1348">
        <v>42735</v>
      </c>
      <c r="BI117" s="1347"/>
      <c r="BJ117" s="3"/>
      <c r="BK117" s="1348">
        <v>42825</v>
      </c>
      <c r="BL117" s="1348">
        <v>42916</v>
      </c>
      <c r="BM117" s="1348">
        <v>43008</v>
      </c>
      <c r="BN117" s="1348">
        <v>43100</v>
      </c>
      <c r="BO117" s="1347"/>
      <c r="BP117" s="3"/>
      <c r="BQ117" s="1348">
        <v>43190</v>
      </c>
      <c r="BR117" s="1348">
        <v>43281</v>
      </c>
      <c r="BS117" s="1348">
        <v>43373</v>
      </c>
      <c r="BT117" s="1348">
        <v>43465</v>
      </c>
      <c r="BU117" s="1347"/>
      <c r="BV117" s="3"/>
      <c r="BW117" s="1348">
        <v>43555</v>
      </c>
      <c r="BX117" s="1348">
        <v>43646</v>
      </c>
      <c r="BY117" s="1348">
        <v>43738</v>
      </c>
      <c r="BZ117" s="1348">
        <v>43830</v>
      </c>
      <c r="CA117" s="1347"/>
      <c r="CB117" s="3"/>
      <c r="CC117" s="1348">
        <v>43921</v>
      </c>
      <c r="CD117" s="1348">
        <v>44012</v>
      </c>
      <c r="CE117" s="1348">
        <v>44104</v>
      </c>
      <c r="CF117" s="1348">
        <v>44196</v>
      </c>
      <c r="CG117" s="1347">
        <v>0</v>
      </c>
    </row>
    <row r="118" spans="2:85" ht="12" customHeight="1" x14ac:dyDescent="0.2">
      <c r="B118" s="11" t="s">
        <v>311</v>
      </c>
      <c r="C118" s="182"/>
      <c r="D118" s="182"/>
      <c r="E118" s="182"/>
      <c r="F118" s="182"/>
      <c r="G118" s="165"/>
      <c r="H118" s="183"/>
      <c r="I118" s="182"/>
      <c r="J118" s="182"/>
      <c r="K118" s="182"/>
      <c r="L118" s="182"/>
      <c r="M118" s="184"/>
      <c r="N118" s="185"/>
      <c r="O118" s="182"/>
      <c r="P118" s="182"/>
      <c r="Q118" s="182"/>
      <c r="R118" s="182"/>
      <c r="S118" s="184"/>
      <c r="T118" s="183"/>
      <c r="U118" s="182"/>
      <c r="V118" s="182"/>
      <c r="W118" s="182"/>
      <c r="X118" s="182"/>
      <c r="Y118" s="184"/>
      <c r="Z118" s="183"/>
      <c r="AA118" s="186"/>
      <c r="AB118" s="187"/>
      <c r="AC118" s="187"/>
      <c r="AD118" s="187"/>
      <c r="AE118" s="188"/>
      <c r="AF118" s="183"/>
      <c r="AG118" s="188"/>
      <c r="AH118" s="187"/>
      <c r="AI118" s="187"/>
      <c r="AJ118" s="187"/>
      <c r="AK118" s="188"/>
      <c r="AL118" s="136"/>
      <c r="AM118" s="188"/>
      <c r="AN118" s="187"/>
      <c r="AO118" s="187"/>
      <c r="AP118" s="187"/>
      <c r="AQ118" s="188"/>
      <c r="AR118" s="136"/>
      <c r="AS118" s="188"/>
      <c r="AT118" s="187"/>
      <c r="AU118" s="187"/>
      <c r="AV118" s="187"/>
      <c r="AW118" s="188"/>
      <c r="AX118" s="136"/>
      <c r="AY118" s="188"/>
      <c r="AZ118" s="187"/>
      <c r="BA118" s="187"/>
      <c r="BB118" s="187"/>
      <c r="BC118" s="188"/>
      <c r="BD118" s="136"/>
      <c r="BE118" s="188"/>
      <c r="BF118" s="187"/>
      <c r="BG118" s="187"/>
      <c r="BH118" s="187"/>
      <c r="BI118" s="188"/>
      <c r="BJ118" s="136"/>
      <c r="BK118" s="188"/>
      <c r="BL118" s="187"/>
      <c r="BM118" s="187"/>
      <c r="BN118" s="187"/>
      <c r="BO118" s="188"/>
      <c r="BP118" s="136"/>
      <c r="BQ118" s="188"/>
      <c r="BR118" s="187"/>
      <c r="BS118" s="187"/>
      <c r="BT118" s="187"/>
      <c r="BU118" s="188"/>
      <c r="BV118" s="136"/>
      <c r="BW118" s="188"/>
      <c r="BX118" s="187"/>
      <c r="BY118" s="187"/>
      <c r="BZ118" s="187"/>
      <c r="CA118" s="188"/>
      <c r="CB118" s="136"/>
      <c r="CC118" s="188"/>
      <c r="CD118" s="187"/>
      <c r="CE118" s="187"/>
      <c r="CF118" s="187"/>
      <c r="CG118" s="188"/>
    </row>
    <row r="119" spans="2:85" ht="12" customHeight="1" x14ac:dyDescent="0.2">
      <c r="B119" s="113" t="s">
        <v>312</v>
      </c>
      <c r="C119" s="182"/>
      <c r="D119" s="182"/>
      <c r="E119" s="182"/>
      <c r="F119" s="182"/>
      <c r="G119" s="189">
        <v>0.41</v>
      </c>
      <c r="H119" s="183"/>
      <c r="I119" s="182"/>
      <c r="J119" s="182"/>
      <c r="K119" s="182"/>
      <c r="L119" s="182"/>
      <c r="M119" s="189">
        <v>7.0000000000000007E-2</v>
      </c>
      <c r="N119" s="185"/>
      <c r="O119" s="182"/>
      <c r="P119" s="182"/>
      <c r="Q119" s="182"/>
      <c r="R119" s="182"/>
      <c r="S119" s="189">
        <v>5.3410000000000002</v>
      </c>
      <c r="T119" s="183"/>
      <c r="U119" s="182"/>
      <c r="V119" s="182"/>
      <c r="W119" s="182"/>
      <c r="X119" s="182"/>
      <c r="Y119" s="189">
        <v>0.9</v>
      </c>
      <c r="Z119" s="183"/>
      <c r="AA119" s="190"/>
      <c r="AB119" s="187"/>
      <c r="AC119" s="187"/>
      <c r="AD119" s="187"/>
      <c r="AE119" s="189">
        <v>267.755</v>
      </c>
      <c r="AF119" s="183"/>
      <c r="AG119" s="187">
        <f>+AE119</f>
        <v>267.755</v>
      </c>
      <c r="AH119" s="187">
        <f t="shared" ref="AH119:AJ123" si="282">AG119+AH150</f>
        <v>267.755</v>
      </c>
      <c r="AI119" s="187">
        <f t="shared" si="282"/>
        <v>267.755</v>
      </c>
      <c r="AJ119" s="187">
        <f t="shared" si="282"/>
        <v>267.755</v>
      </c>
      <c r="AK119" s="188">
        <f>AJ119</f>
        <v>267.755</v>
      </c>
      <c r="AL119" s="136"/>
      <c r="AM119" s="146">
        <f>AJ119+AM150</f>
        <v>267.755</v>
      </c>
      <c r="AN119" s="187">
        <f t="shared" ref="AN119:AP120" si="283">AM119+AN150</f>
        <v>267.755</v>
      </c>
      <c r="AO119" s="187">
        <f t="shared" si="283"/>
        <v>267.755</v>
      </c>
      <c r="AP119" s="187">
        <f t="shared" si="283"/>
        <v>267.755</v>
      </c>
      <c r="AQ119" s="553">
        <f>1.429+101.9</f>
        <v>103.32900000000001</v>
      </c>
      <c r="AR119" s="136"/>
      <c r="AS119" s="146">
        <f>+AQ119+AS150</f>
        <v>165.53899999999999</v>
      </c>
      <c r="AT119" s="146">
        <f t="shared" ref="AT119:AU123" si="284">+AS119+AT150</f>
        <v>61.999999999999986</v>
      </c>
      <c r="AU119" s="146">
        <f t="shared" si="284"/>
        <v>0</v>
      </c>
      <c r="AV119" s="146">
        <f t="shared" ref="AV119:AV124" si="285">AW119</f>
        <v>0.01</v>
      </c>
      <c r="AW119" s="555">
        <v>0.01</v>
      </c>
      <c r="AX119" s="136"/>
      <c r="AY119" s="188">
        <f>AV119+AY150</f>
        <v>0.01</v>
      </c>
      <c r="AZ119" s="187">
        <f t="shared" ref="AZ119:BA123" si="286">AY119+AZ150</f>
        <v>0.01</v>
      </c>
      <c r="BA119" s="187">
        <f t="shared" si="286"/>
        <v>0.01</v>
      </c>
      <c r="BB119" s="146">
        <f t="shared" ref="BB119:BB124" si="287">BC119</f>
        <v>0.4</v>
      </c>
      <c r="BC119" s="555">
        <v>0.4</v>
      </c>
      <c r="BD119" s="136"/>
      <c r="BE119" s="188">
        <f>BB119+BE150</f>
        <v>0</v>
      </c>
      <c r="BF119" s="187">
        <f t="shared" ref="BF119:BH123" si="288">BE119+BF150</f>
        <v>0</v>
      </c>
      <c r="BG119" s="187">
        <f t="shared" si="288"/>
        <v>0</v>
      </c>
      <c r="BH119" s="187">
        <f t="shared" si="288"/>
        <v>0</v>
      </c>
      <c r="BI119" s="188">
        <f>BH119</f>
        <v>0</v>
      </c>
      <c r="BJ119" s="136"/>
      <c r="BK119" s="188">
        <f>BH119+BK150</f>
        <v>0</v>
      </c>
      <c r="BL119" s="187">
        <f t="shared" ref="BL119:BN123" si="289">BK119+BL150</f>
        <v>0</v>
      </c>
      <c r="BM119" s="187">
        <f t="shared" si="289"/>
        <v>0</v>
      </c>
      <c r="BN119" s="187">
        <f t="shared" si="289"/>
        <v>0</v>
      </c>
      <c r="BO119" s="188">
        <f>BN119</f>
        <v>0</v>
      </c>
      <c r="BP119" s="136"/>
      <c r="BQ119" s="188">
        <f>BN119+BQ150</f>
        <v>0</v>
      </c>
      <c r="BR119" s="187">
        <f t="shared" ref="BR119:BT123" si="290">BQ119+BR150</f>
        <v>0</v>
      </c>
      <c r="BS119" s="187">
        <f t="shared" si="290"/>
        <v>0</v>
      </c>
      <c r="BT119" s="187">
        <f t="shared" si="290"/>
        <v>0</v>
      </c>
      <c r="BU119" s="188">
        <f>BT119</f>
        <v>0</v>
      </c>
      <c r="BV119" s="136"/>
      <c r="BW119" s="188">
        <f>BT119+BW150</f>
        <v>0</v>
      </c>
      <c r="BX119" s="187">
        <f t="shared" ref="BX119:BZ123" si="291">BW119+BX150</f>
        <v>0</v>
      </c>
      <c r="BY119" s="187">
        <f t="shared" si="291"/>
        <v>0</v>
      </c>
      <c r="BZ119" s="187">
        <f t="shared" si="291"/>
        <v>0</v>
      </c>
      <c r="CA119" s="188">
        <f>BZ119</f>
        <v>0</v>
      </c>
      <c r="CB119" s="136"/>
      <c r="CC119" s="188">
        <f>BZ119+CC150</f>
        <v>0</v>
      </c>
      <c r="CD119" s="187">
        <f t="shared" ref="CD119:CF123" si="292">CC119+CD150</f>
        <v>0</v>
      </c>
      <c r="CE119" s="187">
        <f t="shared" si="292"/>
        <v>0</v>
      </c>
      <c r="CF119" s="187">
        <f t="shared" si="292"/>
        <v>0</v>
      </c>
      <c r="CG119" s="188">
        <f>CF119</f>
        <v>0</v>
      </c>
    </row>
    <row r="120" spans="2:85" ht="12" customHeight="1" x14ac:dyDescent="0.2">
      <c r="B120" s="113" t="s">
        <v>313</v>
      </c>
      <c r="C120" s="182"/>
      <c r="D120" s="182"/>
      <c r="E120" s="182"/>
      <c r="F120" s="182"/>
      <c r="G120" s="189">
        <v>0.19700000000000001</v>
      </c>
      <c r="H120" s="183"/>
      <c r="I120" s="182"/>
      <c r="J120" s="182"/>
      <c r="K120" s="182"/>
      <c r="L120" s="182"/>
      <c r="M120" s="189">
        <v>0.16300000000000001</v>
      </c>
      <c r="N120" s="185"/>
      <c r="O120" s="182"/>
      <c r="P120" s="182"/>
      <c r="Q120" s="182"/>
      <c r="R120" s="182"/>
      <c r="S120" s="189">
        <v>0.15</v>
      </c>
      <c r="T120" s="183"/>
      <c r="U120" s="182"/>
      <c r="V120" s="182"/>
      <c r="W120" s="182"/>
      <c r="X120" s="182"/>
      <c r="Y120" s="189">
        <v>0.185</v>
      </c>
      <c r="Z120" s="183"/>
      <c r="AA120" s="190"/>
      <c r="AB120" s="187"/>
      <c r="AC120" s="187"/>
      <c r="AD120" s="187"/>
      <c r="AE120" s="189">
        <v>0.13500000000000001</v>
      </c>
      <c r="AF120" s="183"/>
      <c r="AG120" s="187">
        <f>+AE120</f>
        <v>0.13500000000000001</v>
      </c>
      <c r="AH120" s="187">
        <f t="shared" si="282"/>
        <v>0.13500000000000001</v>
      </c>
      <c r="AI120" s="187">
        <f t="shared" si="282"/>
        <v>0.13500000000000001</v>
      </c>
      <c r="AJ120" s="187">
        <f t="shared" si="282"/>
        <v>0.13500000000000001</v>
      </c>
      <c r="AK120" s="188">
        <f>AJ120</f>
        <v>0.13500000000000001</v>
      </c>
      <c r="AL120" s="136"/>
      <c r="AM120" s="146">
        <f>AJ120+AM151</f>
        <v>0.13500000000000001</v>
      </c>
      <c r="AN120" s="187">
        <f t="shared" si="283"/>
        <v>0.13500000000000001</v>
      </c>
      <c r="AO120" s="187">
        <f t="shared" si="283"/>
        <v>0.13500000000000001</v>
      </c>
      <c r="AP120" s="187">
        <f t="shared" si="283"/>
        <v>0.13500000000000001</v>
      </c>
      <c r="AQ120" s="553">
        <v>0</v>
      </c>
      <c r="AR120" s="136"/>
      <c r="AS120" s="146">
        <f>+AQ120+AS151</f>
        <v>0</v>
      </c>
      <c r="AT120" s="146">
        <f t="shared" si="284"/>
        <v>0</v>
      </c>
      <c r="AU120" s="146">
        <f t="shared" si="284"/>
        <v>0</v>
      </c>
      <c r="AV120" s="146">
        <f t="shared" si="285"/>
        <v>0</v>
      </c>
      <c r="AW120" s="555">
        <v>0</v>
      </c>
      <c r="AX120" s="136"/>
      <c r="AY120" s="188">
        <f>AV120+AY151</f>
        <v>0</v>
      </c>
      <c r="AZ120" s="187">
        <f t="shared" si="286"/>
        <v>0</v>
      </c>
      <c r="BA120" s="187">
        <f t="shared" si="286"/>
        <v>0</v>
      </c>
      <c r="BB120" s="146">
        <f t="shared" si="287"/>
        <v>0</v>
      </c>
      <c r="BC120" s="555">
        <v>0</v>
      </c>
      <c r="BD120" s="136"/>
      <c r="BE120" s="188">
        <f>BB120+BE151</f>
        <v>0</v>
      </c>
      <c r="BF120" s="187">
        <f t="shared" si="288"/>
        <v>0</v>
      </c>
      <c r="BG120" s="187">
        <f t="shared" si="288"/>
        <v>0</v>
      </c>
      <c r="BH120" s="187">
        <f t="shared" si="288"/>
        <v>0</v>
      </c>
      <c r="BI120" s="188">
        <f>BH120</f>
        <v>0</v>
      </c>
      <c r="BJ120" s="136"/>
      <c r="BK120" s="188">
        <f>BH120+BK151</f>
        <v>0</v>
      </c>
      <c r="BL120" s="187">
        <f t="shared" si="289"/>
        <v>0</v>
      </c>
      <c r="BM120" s="187">
        <f t="shared" si="289"/>
        <v>0</v>
      </c>
      <c r="BN120" s="187">
        <f t="shared" si="289"/>
        <v>0</v>
      </c>
      <c r="BO120" s="188">
        <f>BN120</f>
        <v>0</v>
      </c>
      <c r="BP120" s="136"/>
      <c r="BQ120" s="188">
        <f>BN120+BQ151</f>
        <v>0</v>
      </c>
      <c r="BR120" s="187">
        <f t="shared" si="290"/>
        <v>0</v>
      </c>
      <c r="BS120" s="187">
        <f t="shared" si="290"/>
        <v>0</v>
      </c>
      <c r="BT120" s="187">
        <f t="shared" si="290"/>
        <v>0</v>
      </c>
      <c r="BU120" s="188">
        <f>BT120</f>
        <v>0</v>
      </c>
      <c r="BV120" s="136"/>
      <c r="BW120" s="188">
        <f>BT120+BW151</f>
        <v>0</v>
      </c>
      <c r="BX120" s="187">
        <f t="shared" si="291"/>
        <v>0</v>
      </c>
      <c r="BY120" s="187">
        <f t="shared" si="291"/>
        <v>0</v>
      </c>
      <c r="BZ120" s="187">
        <f t="shared" si="291"/>
        <v>0</v>
      </c>
      <c r="CA120" s="188">
        <f>BZ120</f>
        <v>0</v>
      </c>
      <c r="CB120" s="136"/>
      <c r="CC120" s="188">
        <f>BZ120+CC151</f>
        <v>0</v>
      </c>
      <c r="CD120" s="187">
        <f t="shared" si="292"/>
        <v>0</v>
      </c>
      <c r="CE120" s="187">
        <f t="shared" si="292"/>
        <v>0</v>
      </c>
      <c r="CF120" s="187">
        <f t="shared" si="292"/>
        <v>0</v>
      </c>
      <c r="CG120" s="188">
        <f>CF120</f>
        <v>0</v>
      </c>
    </row>
    <row r="121" spans="2:85" ht="12" customHeight="1" x14ac:dyDescent="0.2">
      <c r="B121" s="113" t="s">
        <v>316</v>
      </c>
      <c r="C121" s="182"/>
      <c r="D121" s="182"/>
      <c r="E121" s="182"/>
      <c r="F121" s="182"/>
      <c r="G121" s="189">
        <v>0.28799999999999998</v>
      </c>
      <c r="H121" s="183"/>
      <c r="I121" s="182"/>
      <c r="J121" s="182"/>
      <c r="K121" s="182"/>
      <c r="L121" s="182"/>
      <c r="M121" s="189">
        <v>20.178000000000001</v>
      </c>
      <c r="N121" s="185"/>
      <c r="O121" s="182"/>
      <c r="P121" s="182"/>
      <c r="Q121" s="182"/>
      <c r="R121" s="182"/>
      <c r="S121" s="189">
        <v>9.7210000000000001</v>
      </c>
      <c r="T121" s="183"/>
      <c r="U121" s="182"/>
      <c r="V121" s="182"/>
      <c r="W121" s="182"/>
      <c r="X121" s="182"/>
      <c r="Y121" s="189">
        <v>4.1909999999999998</v>
      </c>
      <c r="Z121" s="183"/>
      <c r="AA121" s="188"/>
      <c r="AB121" s="187"/>
      <c r="AC121" s="187"/>
      <c r="AD121" s="187"/>
      <c r="AE121" s="189">
        <v>2.468</v>
      </c>
      <c r="AF121" s="183"/>
      <c r="AG121" s="187">
        <f>AG143-AG132-SUM(AG122:AG123,AG119:AG120)</f>
        <v>13.803999999999974</v>
      </c>
      <c r="AH121" s="187">
        <f t="shared" si="282"/>
        <v>13.803999999999974</v>
      </c>
      <c r="AI121" s="187">
        <f t="shared" si="282"/>
        <v>13.803999999999974</v>
      </c>
      <c r="AJ121" s="187">
        <f t="shared" si="282"/>
        <v>13.803999999999974</v>
      </c>
      <c r="AK121" s="188">
        <f>AJ121</f>
        <v>13.803999999999974</v>
      </c>
      <c r="AL121" s="136"/>
      <c r="AM121" s="146">
        <f>AM143-AM132-SUM(AM122:AM123,AM119:AM120)</f>
        <v>41.288999999999987</v>
      </c>
      <c r="AN121" s="146">
        <f>AN143-AN132-SUM(AN122:AN123,AN119:AN120)</f>
        <v>142.916</v>
      </c>
      <c r="AO121" s="146">
        <f>AO143-AO132-SUM(AO122:AO123,AO119:AO120)</f>
        <v>-3.2010000000000218</v>
      </c>
      <c r="AP121" s="146">
        <f>AP143-AP132-SUM(AP122:AP123,AP119:AP120)</f>
        <v>37.038000000000011</v>
      </c>
      <c r="AQ121" s="553">
        <v>0.56299999999999994</v>
      </c>
      <c r="AR121" s="136"/>
      <c r="AS121" s="146">
        <f>+AQ121+AS152</f>
        <v>6.6629999999999994</v>
      </c>
      <c r="AT121" s="146">
        <f t="shared" si="284"/>
        <v>5.2629999999999999</v>
      </c>
      <c r="AU121" s="146">
        <f t="shared" si="284"/>
        <v>5.2629999999999999</v>
      </c>
      <c r="AV121" s="146">
        <f t="shared" si="285"/>
        <v>1.712</v>
      </c>
      <c r="AW121" s="555">
        <v>1.712</v>
      </c>
      <c r="AX121" s="136"/>
      <c r="AY121" s="188">
        <f>AV121+AY152</f>
        <v>1.712</v>
      </c>
      <c r="AZ121" s="187">
        <f t="shared" si="286"/>
        <v>1.712</v>
      </c>
      <c r="BA121" s="187">
        <f t="shared" si="286"/>
        <v>1.712</v>
      </c>
      <c r="BB121" s="146">
        <f t="shared" si="287"/>
        <v>0</v>
      </c>
      <c r="BC121" s="555">
        <v>0</v>
      </c>
      <c r="BD121" s="136"/>
      <c r="BE121" s="188">
        <f>BB121+BE152</f>
        <v>0</v>
      </c>
      <c r="BF121" s="187">
        <f t="shared" si="288"/>
        <v>0</v>
      </c>
      <c r="BG121" s="187">
        <f t="shared" si="288"/>
        <v>0</v>
      </c>
      <c r="BH121" s="187">
        <f t="shared" si="288"/>
        <v>0</v>
      </c>
      <c r="BI121" s="188">
        <f>BH121</f>
        <v>0</v>
      </c>
      <c r="BJ121" s="136"/>
      <c r="BK121" s="188">
        <f>BH121+BK152</f>
        <v>0</v>
      </c>
      <c r="BL121" s="187">
        <f t="shared" si="289"/>
        <v>0</v>
      </c>
      <c r="BM121" s="187">
        <f t="shared" si="289"/>
        <v>0</v>
      </c>
      <c r="BN121" s="187">
        <f t="shared" si="289"/>
        <v>0</v>
      </c>
      <c r="BO121" s="188">
        <f>BN121</f>
        <v>0</v>
      </c>
      <c r="BP121" s="136"/>
      <c r="BQ121" s="188">
        <f>BN121+BQ152</f>
        <v>0</v>
      </c>
      <c r="BR121" s="187">
        <f t="shared" si="290"/>
        <v>0</v>
      </c>
      <c r="BS121" s="187">
        <f t="shared" si="290"/>
        <v>0</v>
      </c>
      <c r="BT121" s="187">
        <f t="shared" si="290"/>
        <v>0</v>
      </c>
      <c r="BU121" s="188">
        <f>BT121</f>
        <v>0</v>
      </c>
      <c r="BV121" s="136"/>
      <c r="BW121" s="188">
        <f>BT121+BW152</f>
        <v>0</v>
      </c>
      <c r="BX121" s="187">
        <f t="shared" si="291"/>
        <v>0</v>
      </c>
      <c r="BY121" s="187">
        <f t="shared" si="291"/>
        <v>0</v>
      </c>
      <c r="BZ121" s="187">
        <f t="shared" si="291"/>
        <v>0</v>
      </c>
      <c r="CA121" s="188">
        <f>BZ121</f>
        <v>0</v>
      </c>
      <c r="CB121" s="136"/>
      <c r="CC121" s="188">
        <f>BZ121+CC152</f>
        <v>0</v>
      </c>
      <c r="CD121" s="187">
        <f t="shared" si="292"/>
        <v>0</v>
      </c>
      <c r="CE121" s="187">
        <f t="shared" si="292"/>
        <v>0</v>
      </c>
      <c r="CF121" s="187">
        <f t="shared" si="292"/>
        <v>0</v>
      </c>
      <c r="CG121" s="188">
        <f>CF121</f>
        <v>0</v>
      </c>
    </row>
    <row r="122" spans="2:85" ht="12" customHeight="1" x14ac:dyDescent="0.2">
      <c r="B122" s="113" t="s">
        <v>329</v>
      </c>
      <c r="C122" s="182"/>
      <c r="D122" s="182"/>
      <c r="E122" s="182"/>
      <c r="F122" s="182"/>
      <c r="G122" s="189">
        <v>0</v>
      </c>
      <c r="H122" s="183"/>
      <c r="I122" s="182"/>
      <c r="J122" s="182"/>
      <c r="K122" s="182"/>
      <c r="L122" s="182"/>
      <c r="M122" s="189">
        <v>6.6000000000000003E-2</v>
      </c>
      <c r="N122" s="185"/>
      <c r="O122" s="182"/>
      <c r="P122" s="182"/>
      <c r="Q122" s="182"/>
      <c r="R122" s="182"/>
      <c r="S122" s="189">
        <v>0</v>
      </c>
      <c r="T122" s="183"/>
      <c r="U122" s="182"/>
      <c r="V122" s="182"/>
      <c r="W122" s="182"/>
      <c r="X122" s="182"/>
      <c r="Y122" s="189">
        <v>0</v>
      </c>
      <c r="Z122" s="183"/>
      <c r="AA122" s="190"/>
      <c r="AB122" s="187"/>
      <c r="AC122" s="187"/>
      <c r="AD122" s="187"/>
      <c r="AE122" s="189">
        <f>AD122</f>
        <v>0</v>
      </c>
      <c r="AF122" s="183"/>
      <c r="AG122" s="187">
        <f>+AE122</f>
        <v>0</v>
      </c>
      <c r="AH122" s="187">
        <f t="shared" si="282"/>
        <v>0</v>
      </c>
      <c r="AI122" s="187">
        <f t="shared" si="282"/>
        <v>0</v>
      </c>
      <c r="AJ122" s="187">
        <f t="shared" si="282"/>
        <v>0</v>
      </c>
      <c r="AK122" s="188">
        <f>AJ122</f>
        <v>0</v>
      </c>
      <c r="AL122" s="136"/>
      <c r="AM122" s="146">
        <f>AJ122+AM153</f>
        <v>0</v>
      </c>
      <c r="AN122" s="187">
        <f t="shared" ref="AN122:AP123" si="293">AM122+AN153</f>
        <v>0</v>
      </c>
      <c r="AO122" s="187">
        <f t="shared" si="293"/>
        <v>0</v>
      </c>
      <c r="AP122" s="187">
        <f t="shared" si="293"/>
        <v>0</v>
      </c>
      <c r="AQ122" s="553">
        <v>0</v>
      </c>
      <c r="AR122" s="136"/>
      <c r="AS122" s="146">
        <f>+AQ122+AS153</f>
        <v>0</v>
      </c>
      <c r="AT122" s="146">
        <f t="shared" si="284"/>
        <v>0</v>
      </c>
      <c r="AU122" s="146">
        <f t="shared" si="284"/>
        <v>0</v>
      </c>
      <c r="AV122" s="146">
        <f t="shared" si="285"/>
        <v>0</v>
      </c>
      <c r="AW122" s="553">
        <v>0</v>
      </c>
      <c r="AX122" s="136"/>
      <c r="AY122" s="188">
        <f>AV122+AY153</f>
        <v>0</v>
      </c>
      <c r="AZ122" s="187">
        <f t="shared" si="286"/>
        <v>0</v>
      </c>
      <c r="BA122" s="187">
        <f t="shared" si="286"/>
        <v>0</v>
      </c>
      <c r="BB122" s="146">
        <f t="shared" si="287"/>
        <v>0</v>
      </c>
      <c r="BC122" s="555">
        <v>0</v>
      </c>
      <c r="BD122" s="136"/>
      <c r="BE122" s="188">
        <f>BB122+BE153</f>
        <v>0</v>
      </c>
      <c r="BF122" s="187">
        <f t="shared" si="288"/>
        <v>0</v>
      </c>
      <c r="BG122" s="187">
        <f t="shared" si="288"/>
        <v>0</v>
      </c>
      <c r="BH122" s="187">
        <f t="shared" si="288"/>
        <v>0</v>
      </c>
      <c r="BI122" s="188">
        <f>BH122</f>
        <v>0</v>
      </c>
      <c r="BJ122" s="136"/>
      <c r="BK122" s="188">
        <f>BH122+BK153</f>
        <v>0</v>
      </c>
      <c r="BL122" s="187">
        <f t="shared" si="289"/>
        <v>0</v>
      </c>
      <c r="BM122" s="187">
        <f t="shared" si="289"/>
        <v>0</v>
      </c>
      <c r="BN122" s="187">
        <f t="shared" si="289"/>
        <v>0</v>
      </c>
      <c r="BO122" s="188">
        <f>BN122</f>
        <v>0</v>
      </c>
      <c r="BP122" s="136"/>
      <c r="BQ122" s="188">
        <f>BN122+BQ153</f>
        <v>0</v>
      </c>
      <c r="BR122" s="187">
        <f t="shared" si="290"/>
        <v>0</v>
      </c>
      <c r="BS122" s="187">
        <f t="shared" si="290"/>
        <v>0</v>
      </c>
      <c r="BT122" s="187">
        <f t="shared" si="290"/>
        <v>0</v>
      </c>
      <c r="BU122" s="188">
        <f>BT122</f>
        <v>0</v>
      </c>
      <c r="BV122" s="136"/>
      <c r="BW122" s="188">
        <f>BT122+BW153</f>
        <v>0</v>
      </c>
      <c r="BX122" s="187">
        <f t="shared" si="291"/>
        <v>0</v>
      </c>
      <c r="BY122" s="187">
        <f t="shared" si="291"/>
        <v>0</v>
      </c>
      <c r="BZ122" s="187">
        <f t="shared" si="291"/>
        <v>0</v>
      </c>
      <c r="CA122" s="188">
        <f>BZ122</f>
        <v>0</v>
      </c>
      <c r="CB122" s="136"/>
      <c r="CC122" s="188">
        <f>BZ122+CC153</f>
        <v>0</v>
      </c>
      <c r="CD122" s="187">
        <f t="shared" si="292"/>
        <v>0</v>
      </c>
      <c r="CE122" s="187">
        <f t="shared" si="292"/>
        <v>0</v>
      </c>
      <c r="CF122" s="187">
        <f t="shared" si="292"/>
        <v>0</v>
      </c>
      <c r="CG122" s="188">
        <f>CF122</f>
        <v>0</v>
      </c>
    </row>
    <row r="123" spans="2:85" ht="12" customHeight="1" x14ac:dyDescent="0.2">
      <c r="B123" s="113" t="s">
        <v>330</v>
      </c>
      <c r="C123" s="182"/>
      <c r="D123" s="182"/>
      <c r="E123" s="182"/>
      <c r="F123" s="182"/>
      <c r="G123" s="189">
        <v>0.161</v>
      </c>
      <c r="H123" s="183"/>
      <c r="I123" s="182"/>
      <c r="J123" s="182"/>
      <c r="K123" s="182"/>
      <c r="L123" s="182"/>
      <c r="M123" s="189">
        <v>1.3380000000000001</v>
      </c>
      <c r="N123" s="185"/>
      <c r="O123" s="182"/>
      <c r="P123" s="182"/>
      <c r="Q123" s="182"/>
      <c r="R123" s="182"/>
      <c r="S123" s="189">
        <v>0.38200000000000001</v>
      </c>
      <c r="T123" s="183"/>
      <c r="U123" s="182"/>
      <c r="V123" s="182"/>
      <c r="W123" s="182"/>
      <c r="X123" s="182"/>
      <c r="Y123" s="189">
        <v>0</v>
      </c>
      <c r="Z123" s="183"/>
      <c r="AA123" s="190"/>
      <c r="AB123" s="187"/>
      <c r="AC123" s="187"/>
      <c r="AD123" s="187"/>
      <c r="AE123" s="189">
        <v>4.9340000000000002</v>
      </c>
      <c r="AF123" s="183"/>
      <c r="AG123" s="187">
        <f>+AE123</f>
        <v>4.9340000000000002</v>
      </c>
      <c r="AH123" s="187">
        <f t="shared" si="282"/>
        <v>4.9340000000000002</v>
      </c>
      <c r="AI123" s="187">
        <f t="shared" si="282"/>
        <v>4.9340000000000002</v>
      </c>
      <c r="AJ123" s="187">
        <f t="shared" si="282"/>
        <v>4.9340000000000002</v>
      </c>
      <c r="AK123" s="188">
        <f>AJ123</f>
        <v>4.9340000000000002</v>
      </c>
      <c r="AL123" s="136"/>
      <c r="AM123" s="146">
        <f>AJ123+AM154</f>
        <v>4.9340000000000002</v>
      </c>
      <c r="AN123" s="187">
        <f t="shared" si="293"/>
        <v>4.9340000000000002</v>
      </c>
      <c r="AO123" s="187">
        <f t="shared" si="293"/>
        <v>4.9340000000000002</v>
      </c>
      <c r="AP123" s="187">
        <f t="shared" si="293"/>
        <v>4.9340000000000002</v>
      </c>
      <c r="AQ123" s="553">
        <v>1.3140000000000001</v>
      </c>
      <c r="AR123" s="136"/>
      <c r="AS123" s="146">
        <f>+AQ123+AS154</f>
        <v>1.3140000000000001</v>
      </c>
      <c r="AT123" s="146">
        <f t="shared" si="284"/>
        <v>1.3140000000000001</v>
      </c>
      <c r="AU123" s="146">
        <f t="shared" si="284"/>
        <v>1.2170000000000001</v>
      </c>
      <c r="AV123" s="146">
        <f t="shared" si="285"/>
        <v>1.2789999999999999</v>
      </c>
      <c r="AW123" s="553">
        <v>1.2789999999999999</v>
      </c>
      <c r="AX123" s="136"/>
      <c r="AY123" s="188">
        <f>AV123+AY154</f>
        <v>1.2789999999999999</v>
      </c>
      <c r="AZ123" s="187">
        <f t="shared" si="286"/>
        <v>1.2789999999999999</v>
      </c>
      <c r="BA123" s="187">
        <f t="shared" si="286"/>
        <v>1.2789999999999999</v>
      </c>
      <c r="BB123" s="146">
        <f t="shared" si="287"/>
        <v>2.5</v>
      </c>
      <c r="BC123" s="555">
        <v>2.5</v>
      </c>
      <c r="BD123" s="136"/>
      <c r="BE123" s="188">
        <f>BB123+BE154</f>
        <v>2.1</v>
      </c>
      <c r="BF123" s="187">
        <f t="shared" si="288"/>
        <v>2.1</v>
      </c>
      <c r="BG123" s="187">
        <f t="shared" si="288"/>
        <v>2.1</v>
      </c>
      <c r="BH123" s="187">
        <f t="shared" si="288"/>
        <v>2.1</v>
      </c>
      <c r="BI123" s="188">
        <f>BH123</f>
        <v>2.1</v>
      </c>
      <c r="BJ123" s="136"/>
      <c r="BK123" s="188">
        <f>BH123+BK154</f>
        <v>2.1</v>
      </c>
      <c r="BL123" s="187">
        <f t="shared" si="289"/>
        <v>2.1</v>
      </c>
      <c r="BM123" s="187">
        <f t="shared" si="289"/>
        <v>2.1</v>
      </c>
      <c r="BN123" s="187">
        <f t="shared" si="289"/>
        <v>2.1</v>
      </c>
      <c r="BO123" s="188">
        <f>BN123</f>
        <v>2.1</v>
      </c>
      <c r="BP123" s="136"/>
      <c r="BQ123" s="188">
        <f>BN123+BQ154</f>
        <v>2.1</v>
      </c>
      <c r="BR123" s="187">
        <f t="shared" si="290"/>
        <v>2.1</v>
      </c>
      <c r="BS123" s="187">
        <f t="shared" si="290"/>
        <v>2.1</v>
      </c>
      <c r="BT123" s="187">
        <f t="shared" si="290"/>
        <v>2.1</v>
      </c>
      <c r="BU123" s="188">
        <f>BT123</f>
        <v>2.1</v>
      </c>
      <c r="BV123" s="136"/>
      <c r="BW123" s="188">
        <f>BT123+BW154</f>
        <v>2.1</v>
      </c>
      <c r="BX123" s="187">
        <f t="shared" si="291"/>
        <v>2.1</v>
      </c>
      <c r="BY123" s="187">
        <f t="shared" si="291"/>
        <v>2.1</v>
      </c>
      <c r="BZ123" s="187">
        <f t="shared" si="291"/>
        <v>2.1</v>
      </c>
      <c r="CA123" s="188">
        <f>BZ123</f>
        <v>2.1</v>
      </c>
      <c r="CB123" s="136"/>
      <c r="CC123" s="188">
        <f>BZ123+CC154</f>
        <v>2.1</v>
      </c>
      <c r="CD123" s="187">
        <f t="shared" si="292"/>
        <v>2.1</v>
      </c>
      <c r="CE123" s="187">
        <f t="shared" si="292"/>
        <v>2.1</v>
      </c>
      <c r="CF123" s="187">
        <f t="shared" si="292"/>
        <v>2.1</v>
      </c>
      <c r="CG123" s="188">
        <f>CF123</f>
        <v>2.1</v>
      </c>
    </row>
    <row r="124" spans="2:85" ht="12" customHeight="1" x14ac:dyDescent="0.2">
      <c r="B124" s="114" t="s">
        <v>315</v>
      </c>
      <c r="C124" s="182"/>
      <c r="D124" s="182"/>
      <c r="E124" s="182"/>
      <c r="F124" s="182"/>
      <c r="G124" s="184">
        <f>SUM(G119:G123)</f>
        <v>1.056</v>
      </c>
      <c r="H124" s="183"/>
      <c r="I124" s="182"/>
      <c r="J124" s="182"/>
      <c r="K124" s="182"/>
      <c r="L124" s="182"/>
      <c r="M124" s="184">
        <f>SUM(M119:M123)</f>
        <v>21.815000000000001</v>
      </c>
      <c r="N124" s="185"/>
      <c r="O124" s="182"/>
      <c r="P124" s="182"/>
      <c r="Q124" s="182"/>
      <c r="R124" s="182"/>
      <c r="S124" s="184">
        <f>SUM(S119:S123)</f>
        <v>15.593999999999999</v>
      </c>
      <c r="T124" s="183"/>
      <c r="U124" s="182"/>
      <c r="V124" s="182"/>
      <c r="W124" s="182"/>
      <c r="X124" s="182"/>
      <c r="Y124" s="184">
        <f>SUM(Y119:Y123)</f>
        <v>5.2759999999999998</v>
      </c>
      <c r="Z124" s="183"/>
      <c r="AA124" s="184"/>
      <c r="AB124" s="187"/>
      <c r="AC124" s="187"/>
      <c r="AD124" s="187"/>
      <c r="AE124" s="184">
        <f>SUM(AE119:AE123)</f>
        <v>275.29200000000003</v>
      </c>
      <c r="AF124" s="187"/>
      <c r="AG124" s="187">
        <f>SUM(AG119:AG123)</f>
        <v>286.62799999999999</v>
      </c>
      <c r="AH124" s="187">
        <f>SUM(AH119:AH123)</f>
        <v>286.62799999999999</v>
      </c>
      <c r="AI124" s="187">
        <f>SUM(AI119:AI123)</f>
        <v>286.62799999999999</v>
      </c>
      <c r="AJ124" s="187">
        <f>SUM(AJ119:AJ123)</f>
        <v>286.62799999999999</v>
      </c>
      <c r="AK124" s="189">
        <v>297.55399999999997</v>
      </c>
      <c r="AL124" s="136"/>
      <c r="AM124" s="146">
        <f>SUM(AM119:AM123)</f>
        <v>314.113</v>
      </c>
      <c r="AN124" s="187">
        <f>SUM(AN119:AN123)</f>
        <v>415.74</v>
      </c>
      <c r="AO124" s="187">
        <f>SUM(AO119:AO123)</f>
        <v>269.62299999999999</v>
      </c>
      <c r="AP124" s="187">
        <f>SUM(AP119:AP123)</f>
        <v>309.86200000000002</v>
      </c>
      <c r="AQ124" s="554">
        <f>309.862-AQ132</f>
        <v>105.20600000000002</v>
      </c>
      <c r="AR124" s="136"/>
      <c r="AS124" s="146">
        <f>SUM(AS119:AS123)</f>
        <v>173.51599999999999</v>
      </c>
      <c r="AT124" s="187">
        <f>SUM(AT119:AT123)</f>
        <v>68.576999999999998</v>
      </c>
      <c r="AU124" s="187">
        <f>SUM(AU119:AU123)</f>
        <v>6.48</v>
      </c>
      <c r="AV124" s="146">
        <f t="shared" si="285"/>
        <v>3.0010000000000048</v>
      </c>
      <c r="AW124" s="554">
        <f>112.831-AW132</f>
        <v>3.0010000000000048</v>
      </c>
      <c r="AX124" s="136"/>
      <c r="AY124" s="188">
        <f>SUM(AY119:AY123)</f>
        <v>3.0009999999999999</v>
      </c>
      <c r="AZ124" s="187">
        <f>SUM(AZ119:AZ123)</f>
        <v>3.0009999999999999</v>
      </c>
      <c r="BA124" s="187">
        <f>SUM(BA119:BA123)</f>
        <v>3.0009999999999999</v>
      </c>
      <c r="BB124" s="146">
        <f t="shared" si="287"/>
        <v>2.9000000000000004</v>
      </c>
      <c r="BC124" s="554">
        <f>12.1-BC132</f>
        <v>2.9000000000000004</v>
      </c>
      <c r="BD124" s="136"/>
      <c r="BE124" s="188">
        <f>SUM(BE119:BE123)</f>
        <v>2.1</v>
      </c>
      <c r="BF124" s="187">
        <f>SUM(BF119:BF123)</f>
        <v>2.1</v>
      </c>
      <c r="BG124" s="187">
        <f>SUM(BG119:BG123)</f>
        <v>2.1</v>
      </c>
      <c r="BH124" s="187">
        <f>SUM(BH119:BH123)</f>
        <v>2.1</v>
      </c>
      <c r="BI124" s="188">
        <f>SUM(BI119:BI123)</f>
        <v>2.1</v>
      </c>
      <c r="BJ124" s="136"/>
      <c r="BK124" s="188">
        <f>SUM(BK119:BK123)</f>
        <v>2.1</v>
      </c>
      <c r="BL124" s="187">
        <f>SUM(BL119:BL123)</f>
        <v>2.1</v>
      </c>
      <c r="BM124" s="187">
        <f>SUM(BM119:BM123)</f>
        <v>2.1</v>
      </c>
      <c r="BN124" s="187">
        <f>SUM(BN119:BN123)</f>
        <v>2.1</v>
      </c>
      <c r="BO124" s="188">
        <f>SUM(BO119:BO123)</f>
        <v>2.1</v>
      </c>
      <c r="BP124" s="136"/>
      <c r="BQ124" s="188">
        <f>SUM(BQ119:BQ123)</f>
        <v>2.1</v>
      </c>
      <c r="BR124" s="187">
        <f>SUM(BR119:BR123)</f>
        <v>2.1</v>
      </c>
      <c r="BS124" s="187">
        <f>SUM(BS119:BS123)</f>
        <v>2.1</v>
      </c>
      <c r="BT124" s="187">
        <f>SUM(BT119:BT123)</f>
        <v>2.1</v>
      </c>
      <c r="BU124" s="188">
        <f>SUM(BU119:BU123)</f>
        <v>2.1</v>
      </c>
      <c r="BV124" s="136"/>
      <c r="BW124" s="188">
        <f>SUM(BW119:BW123)</f>
        <v>2.1</v>
      </c>
      <c r="BX124" s="187">
        <f>SUM(BX119:BX123)</f>
        <v>2.1</v>
      </c>
      <c r="BY124" s="187">
        <f>SUM(BY119:BY123)</f>
        <v>2.1</v>
      </c>
      <c r="BZ124" s="187">
        <f>SUM(BZ119:BZ123)</f>
        <v>2.1</v>
      </c>
      <c r="CA124" s="188">
        <f>SUM(CA119:CA123)</f>
        <v>2.1</v>
      </c>
      <c r="CB124" s="136"/>
      <c r="CC124" s="188">
        <f>SUM(CC119:CC123)</f>
        <v>2.1</v>
      </c>
      <c r="CD124" s="187">
        <f>SUM(CD119:CD123)</f>
        <v>2.1</v>
      </c>
      <c r="CE124" s="187">
        <f>SUM(CE119:CE123)</f>
        <v>2.1</v>
      </c>
      <c r="CF124" s="187">
        <f>SUM(CF119:CF123)</f>
        <v>2.1</v>
      </c>
      <c r="CG124" s="188">
        <f>SUM(CG119:CG123)</f>
        <v>2.1</v>
      </c>
    </row>
    <row r="125" spans="2:85" ht="3" customHeight="1" x14ac:dyDescent="0.2">
      <c r="B125" s="114"/>
      <c r="C125" s="182"/>
      <c r="D125" s="182"/>
      <c r="E125" s="182"/>
      <c r="F125" s="182"/>
      <c r="G125" s="184"/>
      <c r="H125" s="183"/>
      <c r="I125" s="182"/>
      <c r="J125" s="182"/>
      <c r="K125" s="182"/>
      <c r="L125" s="182"/>
      <c r="M125" s="184"/>
      <c r="N125" s="185"/>
      <c r="O125" s="182"/>
      <c r="P125" s="182"/>
      <c r="Q125" s="182"/>
      <c r="R125" s="182"/>
      <c r="S125" s="184"/>
      <c r="T125" s="183"/>
      <c r="U125" s="182"/>
      <c r="V125" s="182"/>
      <c r="W125" s="182"/>
      <c r="X125" s="182"/>
      <c r="Y125" s="184"/>
      <c r="Z125" s="183"/>
      <c r="AA125" s="186"/>
      <c r="AB125" s="187"/>
      <c r="AC125" s="187"/>
      <c r="AD125" s="187"/>
      <c r="AE125" s="188"/>
      <c r="AF125" s="183"/>
      <c r="AG125" s="187"/>
      <c r="AH125" s="187"/>
      <c r="AI125" s="187"/>
      <c r="AJ125" s="187"/>
      <c r="AK125" s="188"/>
      <c r="AL125" s="136"/>
      <c r="AM125" s="146"/>
      <c r="AN125" s="187"/>
      <c r="AO125" s="187"/>
      <c r="AP125" s="187"/>
      <c r="AQ125" s="188"/>
      <c r="AR125" s="136"/>
      <c r="AS125" s="146"/>
      <c r="AT125" s="187"/>
      <c r="AU125" s="187"/>
      <c r="AV125" s="187"/>
      <c r="AW125" s="188"/>
      <c r="AX125" s="136"/>
      <c r="AY125" s="188"/>
      <c r="AZ125" s="187"/>
      <c r="BA125" s="187"/>
      <c r="BB125" s="187"/>
      <c r="BC125" s="188"/>
      <c r="BD125" s="136"/>
      <c r="BE125" s="188"/>
      <c r="BF125" s="187"/>
      <c r="BG125" s="187"/>
      <c r="BH125" s="187"/>
      <c r="BI125" s="188"/>
      <c r="BJ125" s="136"/>
      <c r="BK125" s="188"/>
      <c r="BL125" s="187"/>
      <c r="BM125" s="187"/>
      <c r="BN125" s="187"/>
      <c r="BO125" s="188"/>
      <c r="BP125" s="136"/>
      <c r="BQ125" s="188"/>
      <c r="BR125" s="187"/>
      <c r="BS125" s="187"/>
      <c r="BT125" s="187"/>
      <c r="BU125" s="188"/>
      <c r="BV125" s="136"/>
      <c r="BW125" s="188"/>
      <c r="BX125" s="187"/>
      <c r="BY125" s="187"/>
      <c r="BZ125" s="187"/>
      <c r="CA125" s="188"/>
      <c r="CB125" s="136"/>
      <c r="CC125" s="188"/>
      <c r="CD125" s="187"/>
      <c r="CE125" s="187"/>
      <c r="CF125" s="187"/>
      <c r="CG125" s="188"/>
    </row>
    <row r="126" spans="2:85" ht="12" customHeight="1" x14ac:dyDescent="0.2">
      <c r="B126" s="11" t="s">
        <v>318</v>
      </c>
      <c r="C126" s="182"/>
      <c r="D126" s="182"/>
      <c r="E126" s="182"/>
      <c r="F126" s="182"/>
      <c r="G126" s="184"/>
      <c r="H126" s="183"/>
      <c r="I126" s="182"/>
      <c r="J126" s="182"/>
      <c r="K126" s="182"/>
      <c r="L126" s="182"/>
      <c r="M126" s="184"/>
      <c r="N126" s="185"/>
      <c r="O126" s="182"/>
      <c r="P126" s="182"/>
      <c r="Q126" s="182"/>
      <c r="R126" s="182"/>
      <c r="S126" s="184"/>
      <c r="T126" s="183"/>
      <c r="U126" s="182"/>
      <c r="V126" s="182"/>
      <c r="W126" s="182"/>
      <c r="X126" s="182"/>
      <c r="Y126" s="184"/>
      <c r="Z126" s="183"/>
      <c r="AA126" s="186"/>
      <c r="AB126" s="187"/>
      <c r="AC126" s="187"/>
      <c r="AD126" s="187"/>
      <c r="AE126" s="188"/>
      <c r="AF126" s="183"/>
      <c r="AG126" s="187"/>
      <c r="AH126" s="187"/>
      <c r="AI126" s="187"/>
      <c r="AJ126" s="187"/>
      <c r="AK126" s="188"/>
      <c r="AL126" s="136"/>
      <c r="AM126" s="146"/>
      <c r="AN126" s="187"/>
      <c r="AO126" s="187"/>
      <c r="AP126" s="187"/>
      <c r="AQ126" s="188"/>
      <c r="AR126" s="136"/>
      <c r="AS126" s="146"/>
      <c r="AT126" s="187"/>
      <c r="AU126" s="187"/>
      <c r="AV126" s="187"/>
      <c r="AW126" s="188"/>
      <c r="AX126" s="136"/>
      <c r="AY126" s="188"/>
      <c r="AZ126" s="187"/>
      <c r="BA126" s="187"/>
      <c r="BB126" s="187"/>
      <c r="BC126" s="188"/>
      <c r="BD126" s="136"/>
      <c r="BE126" s="188"/>
      <c r="BF126" s="187"/>
      <c r="BG126" s="187"/>
      <c r="BH126" s="187"/>
      <c r="BI126" s="188"/>
      <c r="BJ126" s="136"/>
      <c r="BK126" s="188"/>
      <c r="BL126" s="187"/>
      <c r="BM126" s="187"/>
      <c r="BN126" s="187"/>
      <c r="BO126" s="188"/>
      <c r="BP126" s="136"/>
      <c r="BQ126" s="188"/>
      <c r="BR126" s="187"/>
      <c r="BS126" s="187"/>
      <c r="BT126" s="187"/>
      <c r="BU126" s="188"/>
      <c r="BV126" s="136"/>
      <c r="BW126" s="188"/>
      <c r="BX126" s="187"/>
      <c r="BY126" s="187"/>
      <c r="BZ126" s="187"/>
      <c r="CA126" s="188"/>
      <c r="CB126" s="136"/>
      <c r="CC126" s="188"/>
      <c r="CD126" s="187"/>
      <c r="CE126" s="187"/>
      <c r="CF126" s="187"/>
      <c r="CG126" s="188"/>
    </row>
    <row r="127" spans="2:85" ht="12" customHeight="1" x14ac:dyDescent="0.2">
      <c r="B127" s="113" t="s">
        <v>312</v>
      </c>
      <c r="C127" s="182"/>
      <c r="D127" s="182"/>
      <c r="E127" s="182"/>
      <c r="F127" s="182"/>
      <c r="G127" s="189">
        <v>4.9000000000000002E-2</v>
      </c>
      <c r="H127" s="183"/>
      <c r="I127" s="182"/>
      <c r="J127" s="182"/>
      <c r="K127" s="182"/>
      <c r="L127" s="182"/>
      <c r="M127" s="189">
        <v>4.0000000000000001E-3</v>
      </c>
      <c r="N127" s="185"/>
      <c r="O127" s="182"/>
      <c r="P127" s="182"/>
      <c r="Q127" s="182"/>
      <c r="R127" s="182"/>
      <c r="S127" s="189">
        <v>0</v>
      </c>
      <c r="T127" s="183"/>
      <c r="U127" s="182"/>
      <c r="V127" s="182"/>
      <c r="W127" s="182"/>
      <c r="X127" s="182"/>
      <c r="Y127" s="189">
        <v>0</v>
      </c>
      <c r="Z127" s="183"/>
      <c r="AA127" s="190"/>
      <c r="AB127" s="187"/>
      <c r="AC127" s="187"/>
      <c r="AD127" s="187"/>
      <c r="AE127" s="189">
        <f>AD127</f>
        <v>0</v>
      </c>
      <c r="AF127" s="183"/>
      <c r="AG127" s="187">
        <f>+AE127</f>
        <v>0</v>
      </c>
      <c r="AH127" s="187">
        <f t="shared" ref="AH127:AJ128" si="294">AG127+AH158</f>
        <v>0</v>
      </c>
      <c r="AI127" s="187">
        <f t="shared" si="294"/>
        <v>0</v>
      </c>
      <c r="AJ127" s="187">
        <f t="shared" si="294"/>
        <v>0</v>
      </c>
      <c r="AK127" s="188">
        <f>AJ127</f>
        <v>0</v>
      </c>
      <c r="AL127" s="136"/>
      <c r="AM127" s="146">
        <f>AJ127+AM158</f>
        <v>0</v>
      </c>
      <c r="AN127" s="187">
        <f>AM127+AN158</f>
        <v>0</v>
      </c>
      <c r="AO127" s="187">
        <f>AN127+AO158</f>
        <v>0</v>
      </c>
      <c r="AP127" s="187"/>
      <c r="AQ127" s="188">
        <f>-SUM(AS158:AV158)</f>
        <v>83.8</v>
      </c>
      <c r="AR127" s="136"/>
      <c r="AS127" s="146">
        <f>-SUM(AT158:AV158,AY158)</f>
        <v>-126.00000000000001</v>
      </c>
      <c r="AT127" s="146">
        <f>-SUM(AU158:AV158,AY158:AZ158)</f>
        <v>1.9269999999999925</v>
      </c>
      <c r="AU127" s="146">
        <f>-SUM(AV158,AY158:BA158)</f>
        <v>-340.36899999999997</v>
      </c>
      <c r="AV127" s="146">
        <f t="shared" ref="AV127:AV132" si="295">AW127</f>
        <v>109.83</v>
      </c>
      <c r="AW127" s="553">
        <v>109.83</v>
      </c>
      <c r="AX127" s="136"/>
      <c r="AY127" s="146">
        <f>-SUM(AZ158:BB158,BE158)</f>
        <v>310.53100000000001</v>
      </c>
      <c r="AZ127" s="146">
        <f>-SUM(BA158:BB158,BE158:BF158)</f>
        <v>182.60399999999998</v>
      </c>
      <c r="BA127" s="146">
        <f>-SUM(BB158,BE158:BG158)</f>
        <v>524.89999999999986</v>
      </c>
      <c r="BB127" s="146">
        <f t="shared" ref="BB127:BB132" si="296">BC127</f>
        <v>9.1999999999999993</v>
      </c>
      <c r="BC127" s="553">
        <v>9.1999999999999993</v>
      </c>
      <c r="BD127" s="136"/>
      <c r="BE127" s="146">
        <f>-SUM(BF158:BH158,BK158)</f>
        <v>8.8000000000000007</v>
      </c>
      <c r="BF127" s="146">
        <f>-SUM(BG158:BH158,BK158:BL158)</f>
        <v>8.8000000000000007</v>
      </c>
      <c r="BG127" s="146">
        <f>-SUM(BH158,BK158:BM158)</f>
        <v>0</v>
      </c>
      <c r="BH127" s="146">
        <f>-SUM(BK158:BN158)</f>
        <v>0</v>
      </c>
      <c r="BI127" s="188">
        <f>BH127</f>
        <v>0</v>
      </c>
      <c r="BJ127" s="136"/>
      <c r="BK127" s="146">
        <f>-SUM(BL158:BN158,BQ158)</f>
        <v>75</v>
      </c>
      <c r="BL127" s="146">
        <f>-SUM(BM158:BN158,BQ158:BR158)</f>
        <v>75</v>
      </c>
      <c r="BM127" s="146">
        <f>-SUM(BN158,BQ158:BS158)</f>
        <v>83.8</v>
      </c>
      <c r="BN127" s="146">
        <f>-SUM(BQ158:BT158)</f>
        <v>83.8</v>
      </c>
      <c r="BO127" s="188">
        <f>BN127</f>
        <v>83.8</v>
      </c>
      <c r="BP127" s="136"/>
      <c r="BQ127" s="146">
        <f>-SUM(BR158:BT158,BW158)</f>
        <v>83.8</v>
      </c>
      <c r="BR127" s="146">
        <f>-SUM(BS158:BT158,BW158:BX158)</f>
        <v>83.8</v>
      </c>
      <c r="BS127" s="146">
        <f>-SUM(BT158,BW158:BY158)</f>
        <v>83.8</v>
      </c>
      <c r="BT127" s="146">
        <f>-SUM(BW158:BZ158)</f>
        <v>83.8</v>
      </c>
      <c r="BU127" s="188">
        <f>BT127</f>
        <v>83.8</v>
      </c>
      <c r="BV127" s="136"/>
      <c r="BW127" s="146">
        <f>-SUM(BX158:BZ158,CC158)</f>
        <v>83.8</v>
      </c>
      <c r="BX127" s="146">
        <f>-SUM(BY158:BZ158,CC158:CD158)</f>
        <v>83.8</v>
      </c>
      <c r="BY127" s="146">
        <f>-SUM(BZ158,CC158:CE158)</f>
        <v>83.8</v>
      </c>
      <c r="BZ127" s="146">
        <f>-SUM(CC158:CF158)</f>
        <v>83.8</v>
      </c>
      <c r="CA127" s="188">
        <f>BZ127</f>
        <v>83.8</v>
      </c>
      <c r="CB127" s="136"/>
      <c r="CC127" s="146">
        <f>-SUM(CD158:CF158,CI158)</f>
        <v>8.8000000000000007</v>
      </c>
      <c r="CD127" s="146">
        <f>-SUM(CE158:CF158,CI158:CJ158)</f>
        <v>8.8000000000000007</v>
      </c>
      <c r="CE127" s="146">
        <f>-SUM(CF158,CI158:CK158)</f>
        <v>0</v>
      </c>
      <c r="CF127" s="146">
        <f>-SUM(CI158:CL158)</f>
        <v>0</v>
      </c>
      <c r="CG127" s="188">
        <f>CF127</f>
        <v>0</v>
      </c>
    </row>
    <row r="128" spans="2:85" ht="12" customHeight="1" x14ac:dyDescent="0.2">
      <c r="B128" s="113" t="s">
        <v>331</v>
      </c>
      <c r="C128" s="182"/>
      <c r="D128" s="182"/>
      <c r="E128" s="182"/>
      <c r="F128" s="182"/>
      <c r="G128" s="189">
        <v>0</v>
      </c>
      <c r="H128" s="183"/>
      <c r="I128" s="182"/>
      <c r="J128" s="182"/>
      <c r="K128" s="182"/>
      <c r="L128" s="182"/>
      <c r="M128" s="189">
        <v>0</v>
      </c>
      <c r="N128" s="185"/>
      <c r="O128" s="182"/>
      <c r="P128" s="182"/>
      <c r="Q128" s="182"/>
      <c r="R128" s="182"/>
      <c r="S128" s="189">
        <v>62.844000000000001</v>
      </c>
      <c r="T128" s="183"/>
      <c r="U128" s="182"/>
      <c r="V128" s="182"/>
      <c r="W128" s="182"/>
      <c r="X128" s="182"/>
      <c r="Y128" s="189">
        <v>0</v>
      </c>
      <c r="Z128" s="183"/>
      <c r="AA128" s="190"/>
      <c r="AB128" s="187"/>
      <c r="AC128" s="187"/>
      <c r="AD128" s="187"/>
      <c r="AE128" s="189">
        <f>AD128</f>
        <v>0</v>
      </c>
      <c r="AF128" s="183"/>
      <c r="AG128" s="187">
        <f>+AE128</f>
        <v>0</v>
      </c>
      <c r="AH128" s="187">
        <f t="shared" si="294"/>
        <v>0</v>
      </c>
      <c r="AI128" s="187">
        <f t="shared" si="294"/>
        <v>0</v>
      </c>
      <c r="AJ128" s="187">
        <f t="shared" si="294"/>
        <v>0</v>
      </c>
      <c r="AK128" s="188">
        <f>AJ128</f>
        <v>0</v>
      </c>
      <c r="AL128" s="136"/>
      <c r="AM128" s="146">
        <f>AJ128+AM159</f>
        <v>0</v>
      </c>
      <c r="AN128" s="187">
        <f>AM128+AN159</f>
        <v>0</v>
      </c>
      <c r="AO128" s="187">
        <f>AN128+AO159</f>
        <v>0</v>
      </c>
      <c r="AP128" s="187"/>
      <c r="AQ128" s="188">
        <f>-SUM(AS159:AV159)</f>
        <v>0</v>
      </c>
      <c r="AR128" s="136"/>
      <c r="AS128" s="146">
        <f>-SUM(AT159:AV159,AY159)</f>
        <v>0</v>
      </c>
      <c r="AT128" s="146">
        <f>-SUM(AU159:AV159,AY159:AZ159)</f>
        <v>0</v>
      </c>
      <c r="AU128" s="146">
        <f>-SUM(AV159,AY159:BA159)</f>
        <v>0</v>
      </c>
      <c r="AV128" s="146">
        <f t="shared" si="295"/>
        <v>0</v>
      </c>
      <c r="AW128" s="188">
        <v>0</v>
      </c>
      <c r="AX128" s="136"/>
      <c r="AY128" s="146">
        <f>-SUM(AZ159:BB159,BE159)</f>
        <v>0</v>
      </c>
      <c r="AZ128" s="146">
        <f>-SUM(BA159:BB159,BE159:BF159)</f>
        <v>0</v>
      </c>
      <c r="BA128" s="146">
        <f>-SUM(BB159,BE159:BG159)</f>
        <v>0</v>
      </c>
      <c r="BB128" s="146">
        <f t="shared" si="296"/>
        <v>0</v>
      </c>
      <c r="BC128" s="553">
        <v>0</v>
      </c>
      <c r="BD128" s="136"/>
      <c r="BE128" s="146">
        <f>-SUM(BF159:BH159,BK159)</f>
        <v>0</v>
      </c>
      <c r="BF128" s="146">
        <f>-SUM(BG159:BH159,BK159:BL159)</f>
        <v>0</v>
      </c>
      <c r="BG128" s="146">
        <f>-SUM(BH159,BK159:BM159)</f>
        <v>0</v>
      </c>
      <c r="BH128" s="146">
        <f>-SUM(BK159:BN159)</f>
        <v>97.4</v>
      </c>
      <c r="BI128" s="188">
        <f>BH128</f>
        <v>97.4</v>
      </c>
      <c r="BJ128" s="136"/>
      <c r="BK128" s="146">
        <f>-SUM(BL159:BN159,BQ159)</f>
        <v>97.4</v>
      </c>
      <c r="BL128" s="146">
        <f>-SUM(BM159:BN159,BQ159:BR159)</f>
        <v>97.4</v>
      </c>
      <c r="BM128" s="146">
        <f>-SUM(BN159,BQ159:BS159)</f>
        <v>97.4</v>
      </c>
      <c r="BN128" s="146">
        <f>-SUM(BQ159:BT159)</f>
        <v>0</v>
      </c>
      <c r="BO128" s="188">
        <f>BN128</f>
        <v>0</v>
      </c>
      <c r="BP128" s="136"/>
      <c r="BQ128" s="146">
        <f>-SUM(BR159:BT159,BW159)</f>
        <v>0</v>
      </c>
      <c r="BR128" s="146">
        <f>-SUM(BS159:BT159,BW159:BX159)</f>
        <v>0</v>
      </c>
      <c r="BS128" s="146">
        <f>-SUM(BT159,BW159:BY159)</f>
        <v>0</v>
      </c>
      <c r="BT128" s="146">
        <f>-SUM(BW159:BZ159)</f>
        <v>0</v>
      </c>
      <c r="BU128" s="188">
        <f>BT128</f>
        <v>0</v>
      </c>
      <c r="BV128" s="136"/>
      <c r="BW128" s="146">
        <f>-SUM(BX159:BZ159,CC159)</f>
        <v>0</v>
      </c>
      <c r="BX128" s="146">
        <f>-SUM(BY159:BZ159,CC159:CD159)</f>
        <v>0</v>
      </c>
      <c r="BY128" s="146">
        <f>-SUM(BZ159,CC159:CE159)</f>
        <v>0</v>
      </c>
      <c r="BZ128" s="146">
        <f>-SUM(CC159:CF159)</f>
        <v>0</v>
      </c>
      <c r="CA128" s="188">
        <f>BZ128</f>
        <v>0</v>
      </c>
      <c r="CB128" s="136"/>
      <c r="CC128" s="146">
        <f>-SUM(CD159:CF159,CI159)</f>
        <v>0</v>
      </c>
      <c r="CD128" s="146">
        <f>-SUM(CE159:CF159,CI159:CJ159)</f>
        <v>0</v>
      </c>
      <c r="CE128" s="146">
        <f>-SUM(CF159,CI159:CK159)</f>
        <v>0</v>
      </c>
      <c r="CF128" s="146">
        <f>-SUM(CI159:CL159)</f>
        <v>0</v>
      </c>
      <c r="CG128" s="188">
        <f>CF128</f>
        <v>0</v>
      </c>
    </row>
    <row r="129" spans="2:85" ht="12" customHeight="1" x14ac:dyDescent="0.2">
      <c r="B129" s="113" t="s">
        <v>320</v>
      </c>
      <c r="C129" s="182"/>
      <c r="D129" s="182"/>
      <c r="E129" s="182"/>
      <c r="F129" s="182"/>
      <c r="G129" s="189"/>
      <c r="H129" s="183"/>
      <c r="I129" s="182"/>
      <c r="J129" s="182"/>
      <c r="K129" s="182"/>
      <c r="L129" s="182"/>
      <c r="M129" s="189"/>
      <c r="N129" s="185"/>
      <c r="O129" s="182"/>
      <c r="P129" s="182"/>
      <c r="Q129" s="182"/>
      <c r="R129" s="182"/>
      <c r="S129" s="189"/>
      <c r="T129" s="183"/>
      <c r="U129" s="182"/>
      <c r="V129" s="182"/>
      <c r="W129" s="182"/>
      <c r="X129" s="182"/>
      <c r="Y129" s="189"/>
      <c r="Z129" s="183"/>
      <c r="AA129" s="190"/>
      <c r="AB129" s="187"/>
      <c r="AC129" s="187"/>
      <c r="AD129" s="187"/>
      <c r="AE129" s="189"/>
      <c r="AF129" s="183"/>
      <c r="AG129" s="187"/>
      <c r="AH129" s="187"/>
      <c r="AI129" s="187"/>
      <c r="AJ129" s="187"/>
      <c r="AK129" s="188"/>
      <c r="AL129" s="136"/>
      <c r="AM129" s="146"/>
      <c r="AN129" s="187"/>
      <c r="AO129" s="187"/>
      <c r="AP129" s="187"/>
      <c r="AQ129" s="188">
        <f>-SUM(AS160:AV160)</f>
        <v>123.94400000000002</v>
      </c>
      <c r="AR129" s="136"/>
      <c r="AS129" s="146">
        <f>-SUM(AT160:AV160,AY160)</f>
        <v>123.94400000000002</v>
      </c>
      <c r="AT129" s="146">
        <f>-SUM(AU160:AV160,AY160:AZ160)</f>
        <v>123.94400000000002</v>
      </c>
      <c r="AU129" s="146">
        <f>-SUM(AV160,AY160:BA160)</f>
        <v>0</v>
      </c>
      <c r="AV129" s="146">
        <f t="shared" si="295"/>
        <v>0</v>
      </c>
      <c r="AW129" s="188">
        <v>0</v>
      </c>
      <c r="AX129" s="136"/>
      <c r="AY129" s="146">
        <f>-SUM(AZ160:BB160,BE160)</f>
        <v>0</v>
      </c>
      <c r="AZ129" s="146">
        <f>-SUM(BA160:BB160,BE160:BF160)</f>
        <v>0</v>
      </c>
      <c r="BA129" s="146">
        <f>-SUM(BB160,BE160:BG160)</f>
        <v>0</v>
      </c>
      <c r="BB129" s="146">
        <f t="shared" si="296"/>
        <v>0</v>
      </c>
      <c r="BC129" s="553">
        <v>0</v>
      </c>
      <c r="BD129" s="136"/>
      <c r="BE129" s="146">
        <f>-SUM(BF160:BH160,BK160)</f>
        <v>0</v>
      </c>
      <c r="BF129" s="146">
        <f>-SUM(BG160:BH160,BK160:BL160)</f>
        <v>0</v>
      </c>
      <c r="BG129" s="146">
        <f>-SUM(BH160,BK160:BM160)</f>
        <v>0</v>
      </c>
      <c r="BH129" s="146">
        <f>-SUM(BK160:BN160)</f>
        <v>0</v>
      </c>
      <c r="BI129" s="188"/>
      <c r="BJ129" s="136"/>
      <c r="BK129" s="146">
        <f>-SUM(BL160:BN160,BQ160)</f>
        <v>0</v>
      </c>
      <c r="BL129" s="146">
        <f>-SUM(BM160:BN160,BQ160:BR160)</f>
        <v>0</v>
      </c>
      <c r="BM129" s="146">
        <f>-SUM(BN160,BQ160:BS160)</f>
        <v>0</v>
      </c>
      <c r="BN129" s="146">
        <f>-SUM(BQ160:BT160)</f>
        <v>0</v>
      </c>
      <c r="BO129" s="188"/>
      <c r="BP129" s="136"/>
      <c r="BQ129" s="146">
        <f>-SUM(BR160:BT160,BW160)</f>
        <v>0</v>
      </c>
      <c r="BR129" s="146">
        <f>-SUM(BS160:BT160,BW160:BX160)</f>
        <v>0</v>
      </c>
      <c r="BS129" s="146">
        <f>-SUM(BT160,BW160:BY160)</f>
        <v>0</v>
      </c>
      <c r="BT129" s="146">
        <f>-SUM(BW160:BZ160)</f>
        <v>0</v>
      </c>
      <c r="BU129" s="188"/>
      <c r="BV129" s="136"/>
      <c r="BW129" s="146">
        <f>-SUM(BX160:BZ160,CC160)</f>
        <v>0</v>
      </c>
      <c r="BX129" s="146">
        <f>-SUM(BY160:BZ160,CC160:CD160)</f>
        <v>0</v>
      </c>
      <c r="BY129" s="146">
        <f>-SUM(BZ160,CC160:CE160)</f>
        <v>0</v>
      </c>
      <c r="BZ129" s="146">
        <f>-SUM(CC160:CF160)</f>
        <v>0</v>
      </c>
      <c r="CA129" s="188"/>
      <c r="CB129" s="136"/>
      <c r="CC129" s="146">
        <f>-SUM(CD160:CF160,CI160)</f>
        <v>0</v>
      </c>
      <c r="CD129" s="146">
        <f>-SUM(CE160:CF160,CI160:CJ160)</f>
        <v>0</v>
      </c>
      <c r="CE129" s="146">
        <f>-SUM(CF160,CI160:CK160)</f>
        <v>0</v>
      </c>
      <c r="CF129" s="146">
        <f>-SUM(CI160:CL160)</f>
        <v>0</v>
      </c>
      <c r="CG129" s="188"/>
    </row>
    <row r="130" spans="2:85" ht="12" customHeight="1" x14ac:dyDescent="0.2">
      <c r="B130" s="113" t="s">
        <v>316</v>
      </c>
      <c r="C130" s="182"/>
      <c r="D130" s="182"/>
      <c r="E130" s="182"/>
      <c r="F130" s="182"/>
      <c r="G130" s="189">
        <v>0.13900000000000001</v>
      </c>
      <c r="H130" s="183"/>
      <c r="I130" s="182"/>
      <c r="J130" s="182"/>
      <c r="K130" s="182"/>
      <c r="L130" s="182"/>
      <c r="M130" s="189">
        <v>3.976</v>
      </c>
      <c r="N130" s="185"/>
      <c r="O130" s="182"/>
      <c r="P130" s="182"/>
      <c r="Q130" s="182"/>
      <c r="R130" s="182"/>
      <c r="S130" s="189">
        <v>3.7360000000000002</v>
      </c>
      <c r="T130" s="183"/>
      <c r="U130" s="182"/>
      <c r="V130" s="182"/>
      <c r="W130" s="182"/>
      <c r="X130" s="182"/>
      <c r="Y130" s="189">
        <v>2.4780000000000002</v>
      </c>
      <c r="Z130" s="183"/>
      <c r="AA130" s="190"/>
      <c r="AB130" s="187"/>
      <c r="AC130" s="187"/>
      <c r="AD130" s="187"/>
      <c r="AE130" s="189">
        <v>1.325</v>
      </c>
      <c r="AF130" s="183"/>
      <c r="AG130" s="187">
        <f>+AE130</f>
        <v>1.325</v>
      </c>
      <c r="AH130" s="187">
        <f t="shared" ref="AH130:AJ131" si="297">AG130+AH161</f>
        <v>1.325</v>
      </c>
      <c r="AI130" s="187">
        <f t="shared" si="297"/>
        <v>1.325</v>
      </c>
      <c r="AJ130" s="187">
        <f t="shared" si="297"/>
        <v>1.325</v>
      </c>
      <c r="AK130" s="188">
        <f>AJ130</f>
        <v>1.325</v>
      </c>
      <c r="AL130" s="136"/>
      <c r="AM130" s="146">
        <f>AJ130+AM161</f>
        <v>1.325</v>
      </c>
      <c r="AN130" s="187">
        <f>AM130+AN161</f>
        <v>1.325</v>
      </c>
      <c r="AO130" s="187">
        <f>AN130+AO161</f>
        <v>1.325</v>
      </c>
      <c r="AP130" s="187"/>
      <c r="AQ130" s="188">
        <f>-SUM(AS161:AV161)</f>
        <v>0</v>
      </c>
      <c r="AR130" s="136"/>
      <c r="AS130" s="146">
        <f>-SUM(AT161:AV161,AY161)</f>
        <v>0</v>
      </c>
      <c r="AT130" s="146">
        <f>-SUM(AU161:AV161,AY161:AZ161)</f>
        <v>0</v>
      </c>
      <c r="AU130" s="146">
        <f>-SUM(AV161,AY161:BA161)</f>
        <v>0</v>
      </c>
      <c r="AV130" s="146">
        <f t="shared" si="295"/>
        <v>0</v>
      </c>
      <c r="AW130" s="188">
        <v>0</v>
      </c>
      <c r="AX130" s="136"/>
      <c r="AY130" s="146">
        <f>-SUM(AZ161:BB161,BE161)</f>
        <v>0</v>
      </c>
      <c r="AZ130" s="146">
        <f>-SUM(BA161:BB161,BE161:BF161)</f>
        <v>0</v>
      </c>
      <c r="BA130" s="146">
        <f>-SUM(BB161,BE161:BG161)</f>
        <v>0</v>
      </c>
      <c r="BB130" s="146">
        <f t="shared" si="296"/>
        <v>0</v>
      </c>
      <c r="BC130" s="553">
        <v>0</v>
      </c>
      <c r="BD130" s="136"/>
      <c r="BE130" s="146">
        <f>-SUM(BF161:BH161,BK161)</f>
        <v>0</v>
      </c>
      <c r="BF130" s="146">
        <f>-SUM(BG161:BH161,BK161:BL161)</f>
        <v>0</v>
      </c>
      <c r="BG130" s="146">
        <f>-SUM(BH161,BK161:BM161)</f>
        <v>0</v>
      </c>
      <c r="BH130" s="146">
        <f>-SUM(BK161:BN161)</f>
        <v>0</v>
      </c>
      <c r="BI130" s="188">
        <f>BH130</f>
        <v>0</v>
      </c>
      <c r="BJ130" s="136"/>
      <c r="BK130" s="146">
        <f>-SUM(BL161:BN161,BQ161)</f>
        <v>0</v>
      </c>
      <c r="BL130" s="146">
        <f>-SUM(BM161:BN161,BQ161:BR161)</f>
        <v>0</v>
      </c>
      <c r="BM130" s="146">
        <f>-SUM(BN161,BQ161:BS161)</f>
        <v>0</v>
      </c>
      <c r="BN130" s="146">
        <f>-SUM(BQ161:BT161)</f>
        <v>0</v>
      </c>
      <c r="BO130" s="188">
        <f>BN130</f>
        <v>0</v>
      </c>
      <c r="BP130" s="136"/>
      <c r="BQ130" s="146">
        <f>-SUM(BR161:BT161,BW161)</f>
        <v>0</v>
      </c>
      <c r="BR130" s="146">
        <f>-SUM(BS161:BT161,BW161:BX161)</f>
        <v>0</v>
      </c>
      <c r="BS130" s="146">
        <f>-SUM(BT161,BW161:BY161)</f>
        <v>0</v>
      </c>
      <c r="BT130" s="146">
        <f>-SUM(BW161:BZ161)</f>
        <v>0</v>
      </c>
      <c r="BU130" s="188">
        <f>BT130</f>
        <v>0</v>
      </c>
      <c r="BV130" s="136"/>
      <c r="BW130" s="146">
        <f>-SUM(BX161:BZ161,CC161)</f>
        <v>0</v>
      </c>
      <c r="BX130" s="146">
        <f>-SUM(BY161:BZ161,CC161:CD161)</f>
        <v>0</v>
      </c>
      <c r="BY130" s="146">
        <f>-SUM(BZ161,CC161:CE161)</f>
        <v>0</v>
      </c>
      <c r="BZ130" s="146">
        <f>-SUM(CC161:CF161)</f>
        <v>0</v>
      </c>
      <c r="CA130" s="188">
        <f>BZ130</f>
        <v>0</v>
      </c>
      <c r="CB130" s="136"/>
      <c r="CC130" s="146">
        <f>-SUM(CD161:CF161,CI161)</f>
        <v>0</v>
      </c>
      <c r="CD130" s="146">
        <f>-SUM(CE161:CF161,CI161:CJ161)</f>
        <v>0</v>
      </c>
      <c r="CE130" s="146">
        <f>-SUM(CF161,CI161:CK161)</f>
        <v>0</v>
      </c>
      <c r="CF130" s="146">
        <f>-SUM(CI161:CL161)</f>
        <v>0</v>
      </c>
      <c r="CG130" s="188">
        <f>CF130</f>
        <v>0</v>
      </c>
    </row>
    <row r="131" spans="2:85" ht="12" customHeight="1" x14ac:dyDescent="0.2">
      <c r="B131" s="113" t="s">
        <v>330</v>
      </c>
      <c r="C131" s="182"/>
      <c r="D131" s="182"/>
      <c r="E131" s="182"/>
      <c r="F131" s="182"/>
      <c r="G131" s="189"/>
      <c r="H131" s="183"/>
      <c r="I131" s="182"/>
      <c r="J131" s="182"/>
      <c r="K131" s="182"/>
      <c r="L131" s="182"/>
      <c r="M131" s="189"/>
      <c r="N131" s="185"/>
      <c r="O131" s="182"/>
      <c r="P131" s="182"/>
      <c r="Q131" s="182"/>
      <c r="R131" s="182"/>
      <c r="S131" s="189"/>
      <c r="T131" s="183"/>
      <c r="U131" s="182"/>
      <c r="V131" s="182"/>
      <c r="W131" s="182"/>
      <c r="X131" s="182"/>
      <c r="Y131" s="189">
        <v>0</v>
      </c>
      <c r="Z131" s="183"/>
      <c r="AA131" s="190"/>
      <c r="AB131" s="187"/>
      <c r="AC131" s="187"/>
      <c r="AD131" s="187"/>
      <c r="AE131" s="189">
        <v>8.4000000000000005E-2</v>
      </c>
      <c r="AF131" s="183"/>
      <c r="AG131" s="187">
        <f>+AE131</f>
        <v>8.4000000000000005E-2</v>
      </c>
      <c r="AH131" s="187">
        <f t="shared" si="297"/>
        <v>8.4000000000000005E-2</v>
      </c>
      <c r="AI131" s="187">
        <f t="shared" si="297"/>
        <v>8.4000000000000005E-2</v>
      </c>
      <c r="AJ131" s="187">
        <f t="shared" si="297"/>
        <v>8.4000000000000005E-2</v>
      </c>
      <c r="AK131" s="187">
        <f>AJ131+AK162</f>
        <v>8.4000000000000005E-2</v>
      </c>
      <c r="AL131" s="136"/>
      <c r="AM131" s="184">
        <f>AL131+AM162</f>
        <v>0</v>
      </c>
      <c r="AN131" s="187">
        <f>AM131+AN162</f>
        <v>0</v>
      </c>
      <c r="AO131" s="187">
        <f>AN131+AO162</f>
        <v>0</v>
      </c>
      <c r="AP131" s="187">
        <f>AO131+AP162</f>
        <v>0</v>
      </c>
      <c r="AQ131" s="188">
        <f>-SUM(AS162:AV162)</f>
        <v>0</v>
      </c>
      <c r="AR131" s="136"/>
      <c r="AS131" s="146">
        <f>-SUM(AT162:AV162,AY162)</f>
        <v>0</v>
      </c>
      <c r="AT131" s="146">
        <f>-SUM(AU162:AV162,AY162:AZ162)</f>
        <v>0</v>
      </c>
      <c r="AU131" s="146">
        <f>-SUM(AV162,AY162:BA162)</f>
        <v>0</v>
      </c>
      <c r="AV131" s="146">
        <f t="shared" si="295"/>
        <v>0</v>
      </c>
      <c r="AW131" s="187">
        <v>0</v>
      </c>
      <c r="AX131" s="136"/>
      <c r="AY131" s="146">
        <f>-SUM(AZ162:BB162,BE162)</f>
        <v>0</v>
      </c>
      <c r="AZ131" s="146">
        <f>-SUM(BA162:BB162,BE162:BF162)</f>
        <v>0</v>
      </c>
      <c r="BA131" s="146">
        <f>-SUM(BB162,BE162:BG162)</f>
        <v>0</v>
      </c>
      <c r="BB131" s="146">
        <f t="shared" si="296"/>
        <v>0</v>
      </c>
      <c r="BC131" s="553">
        <v>0</v>
      </c>
      <c r="BD131" s="136"/>
      <c r="BE131" s="146">
        <f>-SUM(BF162:BH162,BK162)</f>
        <v>0</v>
      </c>
      <c r="BF131" s="146">
        <f>-SUM(BG162:BH162,BK162:BL162)</f>
        <v>0</v>
      </c>
      <c r="BG131" s="146">
        <f>-SUM(BH162,BK162:BM162)</f>
        <v>0</v>
      </c>
      <c r="BH131" s="146">
        <f>-SUM(BK162:BN162)</f>
        <v>0</v>
      </c>
      <c r="BI131" s="187">
        <f>BH131+BI162</f>
        <v>0</v>
      </c>
      <c r="BJ131" s="136"/>
      <c r="BK131" s="146">
        <f>-SUM(BL162:BN162,BQ162)</f>
        <v>0</v>
      </c>
      <c r="BL131" s="146">
        <f>-SUM(BM162:BN162,BQ162:BR162)</f>
        <v>0</v>
      </c>
      <c r="BM131" s="146">
        <f>-SUM(BN162,BQ162:BS162)</f>
        <v>0</v>
      </c>
      <c r="BN131" s="146">
        <f>-SUM(BQ162:BT162)</f>
        <v>0</v>
      </c>
      <c r="BO131" s="187">
        <f>BN131+BO162</f>
        <v>0</v>
      </c>
      <c r="BP131" s="136"/>
      <c r="BQ131" s="146">
        <f>-SUM(BR162:BT162,BW162)</f>
        <v>0</v>
      </c>
      <c r="BR131" s="146">
        <f>-SUM(BS162:BT162,BW162:BX162)</f>
        <v>0</v>
      </c>
      <c r="BS131" s="146">
        <f>-SUM(BT162,BW162:BY162)</f>
        <v>0</v>
      </c>
      <c r="BT131" s="146">
        <f>-SUM(BW162:BZ162)</f>
        <v>0</v>
      </c>
      <c r="BU131" s="187">
        <f>BT131+BU162</f>
        <v>0</v>
      </c>
      <c r="BV131" s="136"/>
      <c r="BW131" s="146">
        <f>-SUM(BX162:BZ162,CC162)</f>
        <v>0</v>
      </c>
      <c r="BX131" s="146">
        <f>-SUM(BY162:BZ162,CC162:CD162)</f>
        <v>0</v>
      </c>
      <c r="BY131" s="146">
        <f>-SUM(BZ162,CC162:CE162)</f>
        <v>0</v>
      </c>
      <c r="BZ131" s="146">
        <f>-SUM(CC162:CF162)</f>
        <v>0</v>
      </c>
      <c r="CA131" s="187">
        <f>BZ131+CA162</f>
        <v>0</v>
      </c>
      <c r="CB131" s="136"/>
      <c r="CC131" s="146">
        <f>-SUM(CD162:CF162,CI162)</f>
        <v>0</v>
      </c>
      <c r="CD131" s="146">
        <f>-SUM(CE162:CF162,CI162:CJ162)</f>
        <v>0</v>
      </c>
      <c r="CE131" s="146">
        <f>-SUM(CF162,CI162:CK162)</f>
        <v>0</v>
      </c>
      <c r="CF131" s="146">
        <f>-SUM(CI162:CL162)</f>
        <v>0</v>
      </c>
      <c r="CG131" s="187">
        <f>CF131+CG162</f>
        <v>0</v>
      </c>
    </row>
    <row r="132" spans="2:85" ht="12" customHeight="1" x14ac:dyDescent="0.2">
      <c r="B132" s="114" t="s">
        <v>317</v>
      </c>
      <c r="C132" s="182"/>
      <c r="D132" s="182"/>
      <c r="E132" s="182"/>
      <c r="F132" s="182"/>
      <c r="G132" s="184">
        <f>SUM(G127:G130)</f>
        <v>0.188</v>
      </c>
      <c r="H132" s="183"/>
      <c r="I132" s="182"/>
      <c r="J132" s="182"/>
      <c r="K132" s="182"/>
      <c r="L132" s="182"/>
      <c r="M132" s="184">
        <f>SUM(M127:M130)</f>
        <v>3.98</v>
      </c>
      <c r="N132" s="185"/>
      <c r="O132" s="182"/>
      <c r="P132" s="182"/>
      <c r="Q132" s="182"/>
      <c r="R132" s="182"/>
      <c r="S132" s="184">
        <f>SUM(S127:S130)</f>
        <v>66.58</v>
      </c>
      <c r="T132" s="183"/>
      <c r="U132" s="182"/>
      <c r="V132" s="182"/>
      <c r="W132" s="182"/>
      <c r="X132" s="182"/>
      <c r="Y132" s="184">
        <f>SUM(Y127:Y131)</f>
        <v>2.4780000000000002</v>
      </c>
      <c r="Z132" s="183"/>
      <c r="AA132" s="184"/>
      <c r="AB132" s="184"/>
      <c r="AC132" s="184"/>
      <c r="AD132" s="184"/>
      <c r="AE132" s="187">
        <f>SUM(AE127:AE131)</f>
        <v>1.409</v>
      </c>
      <c r="AF132" s="187"/>
      <c r="AG132" s="188">
        <f>SUM(AG127:AG131)</f>
        <v>1.409</v>
      </c>
      <c r="AH132" s="188">
        <f>SUM(AH127:AH131)</f>
        <v>1.409</v>
      </c>
      <c r="AI132" s="188">
        <f>SUM(AI127:AI131)</f>
        <v>1.409</v>
      </c>
      <c r="AJ132" s="188">
        <f>SUM(AJ127:AJ131)</f>
        <v>1.409</v>
      </c>
      <c r="AK132" s="189">
        <v>1.409</v>
      </c>
      <c r="AL132" s="136"/>
      <c r="AM132" s="146">
        <f>SUM(AM127:AM131)</f>
        <v>1.325</v>
      </c>
      <c r="AN132" s="188">
        <f>SUM(AN127:AN131)</f>
        <v>1.325</v>
      </c>
      <c r="AO132" s="188">
        <f>SUM(AO127:AO131)</f>
        <v>1.325</v>
      </c>
      <c r="AP132" s="188">
        <f>SUM(AP127:AP131)</f>
        <v>0</v>
      </c>
      <c r="AQ132" s="189">
        <v>204.65600000000001</v>
      </c>
      <c r="AR132" s="136"/>
      <c r="AS132" s="146">
        <f>SUM(AS127:AS131)</f>
        <v>-2.0559999999999974</v>
      </c>
      <c r="AT132" s="188">
        <f>SUM(AT127:AT131)</f>
        <v>125.87100000000001</v>
      </c>
      <c r="AU132" s="188">
        <f>SUM(AU127:AU131)</f>
        <v>-340.36899999999997</v>
      </c>
      <c r="AV132" s="146">
        <f t="shared" si="295"/>
        <v>109.83</v>
      </c>
      <c r="AW132" s="555">
        <v>109.83</v>
      </c>
      <c r="AX132" s="188"/>
      <c r="AY132" s="188">
        <f>SUM(AY127:AY131)</f>
        <v>310.53100000000001</v>
      </c>
      <c r="AZ132" s="188">
        <f>SUM(AZ127:AZ131)</f>
        <v>182.60399999999998</v>
      </c>
      <c r="BA132" s="188">
        <f>SUM(BA127:BA131)</f>
        <v>524.89999999999986</v>
      </c>
      <c r="BB132" s="146">
        <f t="shared" si="296"/>
        <v>9.1999999999999993</v>
      </c>
      <c r="BC132" s="188">
        <f>SUM(BC127:BC131)</f>
        <v>9.1999999999999993</v>
      </c>
      <c r="BD132" s="188"/>
      <c r="BE132" s="188">
        <f>SUM(BE127:BE131)</f>
        <v>8.8000000000000007</v>
      </c>
      <c r="BF132" s="188">
        <f>SUM(BF127:BF131)</f>
        <v>8.8000000000000007</v>
      </c>
      <c r="BG132" s="188">
        <f>SUM(BG127:BG131)</f>
        <v>0</v>
      </c>
      <c r="BH132" s="188">
        <f>SUM(BH127:BH131)</f>
        <v>97.4</v>
      </c>
      <c r="BI132" s="188">
        <f>SUM(BI127:BI131)</f>
        <v>97.4</v>
      </c>
      <c r="BJ132" s="188"/>
      <c r="BK132" s="188">
        <f>SUM(BK127:BK131)</f>
        <v>172.4</v>
      </c>
      <c r="BL132" s="188">
        <f>SUM(BL127:BL131)</f>
        <v>172.4</v>
      </c>
      <c r="BM132" s="188">
        <f>SUM(BM127:BM131)</f>
        <v>181.2</v>
      </c>
      <c r="BN132" s="188">
        <f>SUM(BN127:BN131)</f>
        <v>83.8</v>
      </c>
      <c r="BO132" s="188">
        <f>SUM(BO127:BO131)</f>
        <v>83.8</v>
      </c>
      <c r="BP132" s="188"/>
      <c r="BQ132" s="188">
        <f>SUM(BQ127:BQ131)</f>
        <v>83.8</v>
      </c>
      <c r="BR132" s="188">
        <f>SUM(BR127:BR131)</f>
        <v>83.8</v>
      </c>
      <c r="BS132" s="188">
        <f>SUM(BS127:BS131)</f>
        <v>83.8</v>
      </c>
      <c r="BT132" s="188">
        <f>SUM(BT127:BT131)</f>
        <v>83.8</v>
      </c>
      <c r="BU132" s="188">
        <f>SUM(BU127:BU131)</f>
        <v>83.8</v>
      </c>
      <c r="BV132" s="188"/>
      <c r="BW132" s="188">
        <f>SUM(BW127:BW131)</f>
        <v>83.8</v>
      </c>
      <c r="BX132" s="188">
        <f>SUM(BX127:BX131)</f>
        <v>83.8</v>
      </c>
      <c r="BY132" s="188">
        <f>SUM(BY127:BY131)</f>
        <v>83.8</v>
      </c>
      <c r="BZ132" s="188">
        <f>SUM(BZ127:BZ131)</f>
        <v>83.8</v>
      </c>
      <c r="CA132" s="188">
        <f>SUM(CA127:CA131)</f>
        <v>83.8</v>
      </c>
      <c r="CB132" s="188"/>
      <c r="CC132" s="188">
        <f>SUM(CC127:CC131)</f>
        <v>8.8000000000000007</v>
      </c>
      <c r="CD132" s="188">
        <f>SUM(CD127:CD131)</f>
        <v>8.8000000000000007</v>
      </c>
      <c r="CE132" s="188">
        <f>SUM(CE127:CE131)</f>
        <v>0</v>
      </c>
      <c r="CF132" s="188">
        <f>SUM(CF127:CF131)</f>
        <v>0</v>
      </c>
      <c r="CG132" s="188">
        <f>SUM(CG127:CG131)</f>
        <v>0</v>
      </c>
    </row>
    <row r="133" spans="2:85" ht="3" customHeight="1" x14ac:dyDescent="0.2">
      <c r="B133" s="113"/>
      <c r="C133" s="182"/>
      <c r="D133" s="182"/>
      <c r="E133" s="182"/>
      <c r="F133" s="182"/>
      <c r="G133" s="184"/>
      <c r="H133" s="183"/>
      <c r="I133" s="182"/>
      <c r="J133" s="182"/>
      <c r="K133" s="182"/>
      <c r="L133" s="182"/>
      <c r="M133" s="184"/>
      <c r="N133" s="185"/>
      <c r="O133" s="182"/>
      <c r="P133" s="182"/>
      <c r="Q133" s="182"/>
      <c r="R133" s="182"/>
      <c r="S133" s="184"/>
      <c r="T133" s="183"/>
      <c r="U133" s="182"/>
      <c r="V133" s="182"/>
      <c r="W133" s="182"/>
      <c r="X133" s="182"/>
      <c r="Y133" s="184"/>
      <c r="Z133" s="183"/>
      <c r="AA133" s="186"/>
      <c r="AB133" s="187"/>
      <c r="AC133" s="187"/>
      <c r="AD133" s="187"/>
      <c r="AE133" s="188"/>
      <c r="AF133" s="183"/>
      <c r="AG133" s="187"/>
      <c r="AH133" s="187"/>
      <c r="AI133" s="187"/>
      <c r="AJ133" s="187"/>
      <c r="AK133" s="188"/>
      <c r="AL133" s="136"/>
      <c r="AM133" s="146"/>
      <c r="AN133" s="187"/>
      <c r="AO133" s="187"/>
      <c r="AP133" s="187"/>
      <c r="AQ133" s="188"/>
      <c r="AR133" s="136"/>
      <c r="AS133" s="146"/>
      <c r="AT133" s="187"/>
      <c r="AU133" s="187"/>
      <c r="AV133" s="187"/>
      <c r="AW133" s="188"/>
      <c r="AX133" s="136"/>
      <c r="AY133" s="188"/>
      <c r="AZ133" s="187"/>
      <c r="BA133" s="187"/>
      <c r="BB133" s="187"/>
      <c r="BC133" s="188"/>
      <c r="BD133" s="136"/>
      <c r="BE133" s="188"/>
      <c r="BF133" s="187"/>
      <c r="BG133" s="187"/>
      <c r="BH133" s="187"/>
      <c r="BI133" s="188"/>
      <c r="BJ133" s="136"/>
      <c r="BK133" s="188"/>
      <c r="BL133" s="187"/>
      <c r="BM133" s="187"/>
      <c r="BN133" s="187"/>
      <c r="BO133" s="188"/>
      <c r="BP133" s="136"/>
      <c r="BQ133" s="188"/>
      <c r="BR133" s="187"/>
      <c r="BS133" s="187"/>
      <c r="BT133" s="187"/>
      <c r="BU133" s="188"/>
      <c r="BV133" s="136"/>
      <c r="BW133" s="188"/>
      <c r="BX133" s="187"/>
      <c r="BY133" s="187"/>
      <c r="BZ133" s="187"/>
      <c r="CA133" s="188"/>
      <c r="CB133" s="136"/>
      <c r="CC133" s="188"/>
      <c r="CD133" s="187"/>
      <c r="CE133" s="187"/>
      <c r="CF133" s="187"/>
      <c r="CG133" s="188"/>
    </row>
    <row r="134" spans="2:85" ht="12" customHeight="1" x14ac:dyDescent="0.2">
      <c r="B134" s="115" t="s">
        <v>198</v>
      </c>
      <c r="C134" s="182"/>
      <c r="D134" s="182"/>
      <c r="E134" s="182"/>
      <c r="F134" s="182"/>
      <c r="G134" s="184"/>
      <c r="H134" s="183"/>
      <c r="I134" s="182"/>
      <c r="J134" s="182"/>
      <c r="K134" s="182"/>
      <c r="L134" s="182"/>
      <c r="M134" s="184"/>
      <c r="N134" s="185"/>
      <c r="O134" s="182"/>
      <c r="P134" s="182"/>
      <c r="Q134" s="182"/>
      <c r="R134" s="182"/>
      <c r="S134" s="184"/>
      <c r="T134" s="183"/>
      <c r="U134" s="182"/>
      <c r="V134" s="182"/>
      <c r="W134" s="182"/>
      <c r="X134" s="182"/>
      <c r="Y134" s="184"/>
      <c r="Z134" s="183"/>
      <c r="AA134" s="186"/>
      <c r="AB134" s="187"/>
      <c r="AC134" s="187"/>
      <c r="AD134" s="187"/>
      <c r="AE134" s="188"/>
      <c r="AF134" s="183"/>
      <c r="AG134" s="187"/>
      <c r="AH134" s="187"/>
      <c r="AI134" s="187"/>
      <c r="AJ134" s="187"/>
      <c r="AK134" s="188"/>
      <c r="AL134" s="136"/>
      <c r="AM134" s="146"/>
      <c r="AN134" s="187"/>
      <c r="AO134" s="187"/>
      <c r="AP134" s="187"/>
      <c r="AQ134" s="188">
        <f>+AQ132+AQ129+AQ127</f>
        <v>412.40000000000003</v>
      </c>
      <c r="AR134" s="136"/>
      <c r="AS134" s="146"/>
      <c r="AT134" s="187"/>
      <c r="AU134" s="187"/>
      <c r="AV134" s="187"/>
      <c r="AW134" s="188"/>
      <c r="AX134" s="136"/>
      <c r="AY134" s="188"/>
      <c r="AZ134" s="187"/>
      <c r="BA134" s="187"/>
      <c r="BB134" s="187"/>
      <c r="BC134" s="188"/>
      <c r="BD134" s="136"/>
      <c r="BE134" s="188"/>
      <c r="BF134" s="187"/>
      <c r="BG134" s="187"/>
      <c r="BH134" s="187"/>
      <c r="BI134" s="188"/>
      <c r="BJ134" s="136"/>
      <c r="BK134" s="188"/>
      <c r="BL134" s="187"/>
      <c r="BM134" s="187"/>
      <c r="BN134" s="187"/>
      <c r="BO134" s="188"/>
      <c r="BP134" s="136"/>
      <c r="BQ134" s="188"/>
      <c r="BR134" s="187"/>
      <c r="BS134" s="187"/>
      <c r="BT134" s="187"/>
      <c r="BU134" s="188"/>
      <c r="BV134" s="136"/>
      <c r="BW134" s="188"/>
      <c r="BX134" s="187"/>
      <c r="BY134" s="187"/>
      <c r="BZ134" s="187"/>
      <c r="CA134" s="188"/>
      <c r="CB134" s="136"/>
      <c r="CC134" s="188"/>
      <c r="CD134" s="187"/>
      <c r="CE134" s="187"/>
      <c r="CF134" s="187"/>
      <c r="CG134" s="188"/>
    </row>
    <row r="135" spans="2:85" ht="12" customHeight="1" x14ac:dyDescent="0.2">
      <c r="B135" s="113" t="s">
        <v>312</v>
      </c>
      <c r="C135" s="182"/>
      <c r="D135" s="182"/>
      <c r="E135" s="182"/>
      <c r="F135" s="182"/>
      <c r="G135" s="189">
        <v>256.11799999999999</v>
      </c>
      <c r="H135" s="183"/>
      <c r="I135" s="182"/>
      <c r="J135" s="182"/>
      <c r="K135" s="182"/>
      <c r="L135" s="182"/>
      <c r="M135" s="189">
        <v>152.97800000000001</v>
      </c>
      <c r="N135" s="185"/>
      <c r="O135" s="182"/>
      <c r="P135" s="182"/>
      <c r="Q135" s="182"/>
      <c r="R135" s="182"/>
      <c r="S135" s="189">
        <v>239.18199999999999</v>
      </c>
      <c r="T135" s="183"/>
      <c r="U135" s="182"/>
      <c r="V135" s="182"/>
      <c r="W135" s="182"/>
      <c r="X135" s="182"/>
      <c r="Y135" s="189">
        <v>371.63799999999998</v>
      </c>
      <c r="Z135" s="183"/>
      <c r="AA135" s="190"/>
      <c r="AB135" s="187"/>
      <c r="AC135" s="187"/>
      <c r="AD135" s="187"/>
      <c r="AE135" s="189">
        <v>1252.626</v>
      </c>
      <c r="AF135" s="183"/>
      <c r="AG135" s="187">
        <f>+AE135</f>
        <v>1252.626</v>
      </c>
      <c r="AH135" s="187">
        <f t="shared" ref="AH135:AJ139" si="298">AG135+AH167</f>
        <v>1206.5260000000001</v>
      </c>
      <c r="AI135" s="184">
        <f t="shared" si="298"/>
        <v>1130.5260000000001</v>
      </c>
      <c r="AJ135" s="187">
        <f t="shared" si="298"/>
        <v>1003.0260000000001</v>
      </c>
      <c r="AK135" s="188">
        <f>AJ135</f>
        <v>1003.0260000000001</v>
      </c>
      <c r="AL135" s="136"/>
      <c r="AM135" s="146">
        <f>AJ135+AM167</f>
        <v>928.02600000000007</v>
      </c>
      <c r="AN135" s="187">
        <f t="shared" ref="AN135:AP137" si="299">AM135+AN167</f>
        <v>853.02600000000007</v>
      </c>
      <c r="AO135" s="187">
        <f t="shared" si="299"/>
        <v>778.02600000000007</v>
      </c>
      <c r="AP135" s="187">
        <f t="shared" si="299"/>
        <v>703.02600000000007</v>
      </c>
      <c r="AQ135" s="188">
        <f>252.37+299.775+448.809+175</f>
        <v>1175.954</v>
      </c>
      <c r="AR135" s="136"/>
      <c r="AS135" s="146">
        <f>+AQ135+AS158+AS167</f>
        <v>1100.954</v>
      </c>
      <c r="AT135" s="146">
        <f>+AS135+AT158+AT167</f>
        <v>1100.954</v>
      </c>
      <c r="AU135" s="146">
        <f>+AT135+AU158+AU167</f>
        <v>1092.154</v>
      </c>
      <c r="AV135" s="146">
        <f t="shared" ref="AV135:AV140" si="300">AW135</f>
        <v>1090.7649999999999</v>
      </c>
      <c r="AW135" s="553">
        <f>175.689+299.861+166.25+448.965</f>
        <v>1090.7649999999999</v>
      </c>
      <c r="AX135" s="136"/>
      <c r="AY135" s="146">
        <f>+AW135+AY158+AY167</f>
        <v>1151.5059999999999</v>
      </c>
      <c r="AZ135" s="146">
        <f>+AY135+AZ158+AZ167</f>
        <v>1022.5349999999997</v>
      </c>
      <c r="BA135" s="146">
        <f>+AZ135+BA158+BA167</f>
        <v>980.1519999999997</v>
      </c>
      <c r="BB135" s="146">
        <f t="shared" ref="BB135:BB140" si="301">BC135</f>
        <v>828.1</v>
      </c>
      <c r="BC135" s="553">
        <f>75.1+299.9+157.5+295.6</f>
        <v>828.1</v>
      </c>
      <c r="BD135" s="136"/>
      <c r="BE135" s="146">
        <f>+BC135+BE158+BE167</f>
        <v>753.1</v>
      </c>
      <c r="BF135" s="146">
        <f t="shared" ref="BF135:BH136" si="302">+BE135+BF158+BF167</f>
        <v>753.1</v>
      </c>
      <c r="BG135" s="146">
        <f>+BF135+BG158+BG167</f>
        <v>744.30000000000007</v>
      </c>
      <c r="BH135" s="146">
        <f>+BG135+BH158+BH167</f>
        <v>744.30000000000007</v>
      </c>
      <c r="BI135" s="188">
        <f>BH135</f>
        <v>744.30000000000007</v>
      </c>
      <c r="BJ135" s="136"/>
      <c r="BK135" s="146">
        <f>+BI135+BK158+BK167</f>
        <v>744.30000000000007</v>
      </c>
      <c r="BL135" s="146">
        <f t="shared" ref="BL135:BN136" si="303">+BK135+BL158+BL167</f>
        <v>744.30000000000007</v>
      </c>
      <c r="BM135" s="146">
        <f t="shared" si="303"/>
        <v>744.30000000000007</v>
      </c>
      <c r="BN135" s="146">
        <f t="shared" si="303"/>
        <v>744.30000000000007</v>
      </c>
      <c r="BO135" s="188">
        <f>BN135</f>
        <v>744.30000000000007</v>
      </c>
      <c r="BP135" s="136"/>
      <c r="BQ135" s="146">
        <f>+BO135+BQ158+BQ167</f>
        <v>669.30000000000007</v>
      </c>
      <c r="BR135" s="146">
        <f t="shared" ref="BR135:BT136" si="304">+BQ135+BR158+BR167</f>
        <v>669.30000000000007</v>
      </c>
      <c r="BS135" s="146">
        <f t="shared" si="304"/>
        <v>660.50000000000011</v>
      </c>
      <c r="BT135" s="146">
        <f t="shared" si="304"/>
        <v>660.50000000000011</v>
      </c>
      <c r="BU135" s="188">
        <f>BT135</f>
        <v>660.50000000000011</v>
      </c>
      <c r="BV135" s="136"/>
      <c r="BW135" s="146">
        <f>+BU135+BW158+BW167</f>
        <v>585.50000000000011</v>
      </c>
      <c r="BX135" s="146">
        <f t="shared" ref="BX135:BZ136" si="305">+BW135+BX158+BX167</f>
        <v>585.50000000000011</v>
      </c>
      <c r="BY135" s="146">
        <f t="shared" si="305"/>
        <v>576.70000000000016</v>
      </c>
      <c r="BZ135" s="146">
        <f t="shared" si="305"/>
        <v>576.70000000000016</v>
      </c>
      <c r="CA135" s="188">
        <f>BZ135</f>
        <v>576.70000000000016</v>
      </c>
      <c r="CB135" s="136"/>
      <c r="CC135" s="146">
        <f>+CA135+CC158+CC167</f>
        <v>501.70000000000016</v>
      </c>
      <c r="CD135" s="146">
        <f t="shared" ref="CD135:CF136" si="306">+CC135+CD158+CD167</f>
        <v>501.70000000000016</v>
      </c>
      <c r="CE135" s="146">
        <f t="shared" si="306"/>
        <v>492.90000000000015</v>
      </c>
      <c r="CF135" s="146">
        <f t="shared" si="306"/>
        <v>492.90000000000015</v>
      </c>
      <c r="CG135" s="188">
        <f>CF135</f>
        <v>492.90000000000015</v>
      </c>
    </row>
    <row r="136" spans="2:85" ht="12" customHeight="1" x14ac:dyDescent="0.2">
      <c r="B136" s="113" t="s">
        <v>319</v>
      </c>
      <c r="C136" s="182"/>
      <c r="D136" s="182"/>
      <c r="E136" s="182"/>
      <c r="F136" s="182"/>
      <c r="G136" s="189">
        <v>57.267000000000003</v>
      </c>
      <c r="H136" s="183"/>
      <c r="I136" s="182"/>
      <c r="J136" s="182"/>
      <c r="K136" s="182"/>
      <c r="L136" s="182"/>
      <c r="M136" s="189">
        <v>114.316</v>
      </c>
      <c r="N136" s="185"/>
      <c r="O136" s="182"/>
      <c r="P136" s="182"/>
      <c r="Q136" s="182"/>
      <c r="R136" s="182"/>
      <c r="S136" s="189">
        <v>0</v>
      </c>
      <c r="T136" s="183"/>
      <c r="U136" s="182"/>
      <c r="V136" s="182"/>
      <c r="W136" s="182"/>
      <c r="X136" s="182"/>
      <c r="Y136" s="189">
        <v>69.56</v>
      </c>
      <c r="Z136" s="183"/>
      <c r="AA136" s="190"/>
      <c r="AB136" s="187"/>
      <c r="AC136" s="187"/>
      <c r="AD136" s="187"/>
      <c r="AE136" s="189">
        <v>69.197000000000003</v>
      </c>
      <c r="AF136" s="183"/>
      <c r="AG136" s="187">
        <f>+AE136</f>
        <v>69.197000000000003</v>
      </c>
      <c r="AH136" s="187">
        <f t="shared" si="298"/>
        <v>69.197000000000003</v>
      </c>
      <c r="AI136" s="187">
        <f t="shared" si="298"/>
        <v>69.197000000000003</v>
      </c>
      <c r="AJ136" s="187">
        <f t="shared" si="298"/>
        <v>69.197000000000003</v>
      </c>
      <c r="AK136" s="146">
        <v>70.027000000000001</v>
      </c>
      <c r="AL136" s="136"/>
      <c r="AM136" s="146">
        <f>AJ136+AM168</f>
        <v>69.197000000000003</v>
      </c>
      <c r="AN136" s="187">
        <f t="shared" si="299"/>
        <v>69.197000000000003</v>
      </c>
      <c r="AO136" s="187">
        <f t="shared" si="299"/>
        <v>69.197000000000003</v>
      </c>
      <c r="AP136" s="187">
        <f t="shared" si="299"/>
        <v>69.197000000000003</v>
      </c>
      <c r="AQ136" s="146">
        <v>72.828999999999994</v>
      </c>
      <c r="AR136" s="136"/>
      <c r="AS136" s="146">
        <f>+AQ136+AS159+AS168</f>
        <v>72.828999999999994</v>
      </c>
      <c r="AT136" s="146">
        <f>+AS136+AT159+AT168</f>
        <v>72.828999999999994</v>
      </c>
      <c r="AU136" s="146">
        <f>+AT136+AU159+AU168</f>
        <v>66.917457051747988</v>
      </c>
      <c r="AV136" s="146">
        <f t="shared" si="300"/>
        <v>65.399000000000001</v>
      </c>
      <c r="AW136" s="553">
        <v>65.399000000000001</v>
      </c>
      <c r="AX136" s="136"/>
      <c r="AY136" s="146">
        <f>+AW136+AY159+AY168</f>
        <v>65.399000000000001</v>
      </c>
      <c r="AZ136" s="146">
        <f>+AY136+AZ159+AZ168</f>
        <v>65.399000000000001</v>
      </c>
      <c r="BA136" s="146">
        <f>+AZ136+BA159+BA168</f>
        <v>65.399000000000001</v>
      </c>
      <c r="BB136" s="146">
        <f>BC136</f>
        <v>97.4</v>
      </c>
      <c r="BC136" s="553">
        <f>64.9+25+7.5</f>
        <v>97.4</v>
      </c>
      <c r="BD136" s="136"/>
      <c r="BE136" s="146">
        <f>+BC136+BE159+BE168</f>
        <v>97.4</v>
      </c>
      <c r="BF136" s="146">
        <f t="shared" si="302"/>
        <v>97.4</v>
      </c>
      <c r="BG136" s="146">
        <f>+BF136+BG159+BG168</f>
        <v>97.4</v>
      </c>
      <c r="BH136" s="146">
        <f t="shared" si="302"/>
        <v>97.4</v>
      </c>
      <c r="BI136" s="188">
        <f>BH136</f>
        <v>97.4</v>
      </c>
      <c r="BJ136" s="136"/>
      <c r="BK136" s="146">
        <f>+BI136+BK159+BK168</f>
        <v>97.4</v>
      </c>
      <c r="BL136" s="146">
        <f>+BK136+BL159+BL168</f>
        <v>97.4</v>
      </c>
      <c r="BM136" s="146">
        <f t="shared" si="303"/>
        <v>97.4</v>
      </c>
      <c r="BN136" s="146">
        <f t="shared" si="303"/>
        <v>0</v>
      </c>
      <c r="BO136" s="188">
        <f>BN136</f>
        <v>0</v>
      </c>
      <c r="BP136" s="136"/>
      <c r="BQ136" s="146">
        <f>+BO136+BQ159+BQ168</f>
        <v>0</v>
      </c>
      <c r="BR136" s="146">
        <f t="shared" si="304"/>
        <v>0</v>
      </c>
      <c r="BS136" s="146">
        <f t="shared" si="304"/>
        <v>0</v>
      </c>
      <c r="BT136" s="146">
        <f t="shared" si="304"/>
        <v>0</v>
      </c>
      <c r="BU136" s="188">
        <f>BT136</f>
        <v>0</v>
      </c>
      <c r="BV136" s="136"/>
      <c r="BW136" s="146">
        <f>+BU136+BW159+BW168</f>
        <v>0</v>
      </c>
      <c r="BX136" s="146">
        <f t="shared" si="305"/>
        <v>0</v>
      </c>
      <c r="BY136" s="146">
        <f t="shared" si="305"/>
        <v>0</v>
      </c>
      <c r="BZ136" s="146">
        <f t="shared" si="305"/>
        <v>0</v>
      </c>
      <c r="CA136" s="188">
        <f>BZ136</f>
        <v>0</v>
      </c>
      <c r="CB136" s="136"/>
      <c r="CC136" s="146">
        <f>+CA136+CC159+CC168</f>
        <v>0</v>
      </c>
      <c r="CD136" s="146">
        <f t="shared" si="306"/>
        <v>0</v>
      </c>
      <c r="CE136" s="146">
        <f t="shared" si="306"/>
        <v>0</v>
      </c>
      <c r="CF136" s="146">
        <f t="shared" si="306"/>
        <v>0</v>
      </c>
      <c r="CG136" s="188">
        <f>CF136</f>
        <v>0</v>
      </c>
    </row>
    <row r="137" spans="2:85" ht="12" customHeight="1" x14ac:dyDescent="0.2">
      <c r="B137" s="113" t="s">
        <v>330</v>
      </c>
      <c r="C137" s="182"/>
      <c r="D137" s="182"/>
      <c r="E137" s="182"/>
      <c r="F137" s="182"/>
      <c r="G137" s="189"/>
      <c r="H137" s="183"/>
      <c r="I137" s="182"/>
      <c r="J137" s="182"/>
      <c r="K137" s="182"/>
      <c r="L137" s="182"/>
      <c r="M137" s="189">
        <v>0</v>
      </c>
      <c r="N137" s="185"/>
      <c r="O137" s="182"/>
      <c r="P137" s="182"/>
      <c r="Q137" s="182"/>
      <c r="R137" s="182"/>
      <c r="S137" s="189">
        <v>0</v>
      </c>
      <c r="T137" s="183"/>
      <c r="U137" s="182"/>
      <c r="V137" s="182"/>
      <c r="W137" s="182"/>
      <c r="X137" s="182"/>
      <c r="Y137" s="189">
        <v>0</v>
      </c>
      <c r="Z137" s="183"/>
      <c r="AA137" s="190"/>
      <c r="AB137" s="187"/>
      <c r="AC137" s="187"/>
      <c r="AD137" s="187"/>
      <c r="AE137" s="189">
        <v>1.3919999999999999</v>
      </c>
      <c r="AF137" s="183"/>
      <c r="AG137" s="187">
        <f>+AE137</f>
        <v>1.3919999999999999</v>
      </c>
      <c r="AH137" s="187">
        <f t="shared" si="298"/>
        <v>1.3919999999999999</v>
      </c>
      <c r="AI137" s="187">
        <f t="shared" si="298"/>
        <v>1.3919999999999999</v>
      </c>
      <c r="AJ137" s="187">
        <f t="shared" si="298"/>
        <v>1.3919999999999999</v>
      </c>
      <c r="AK137" s="188">
        <f>AJ137</f>
        <v>1.3919999999999999</v>
      </c>
      <c r="AL137" s="136"/>
      <c r="AM137" s="146">
        <v>0</v>
      </c>
      <c r="AN137" s="187">
        <f t="shared" si="299"/>
        <v>0</v>
      </c>
      <c r="AO137" s="187">
        <f t="shared" si="299"/>
        <v>0</v>
      </c>
      <c r="AP137" s="187">
        <f t="shared" si="299"/>
        <v>0</v>
      </c>
      <c r="AQ137" s="188">
        <f>AP137</f>
        <v>0</v>
      </c>
      <c r="AR137" s="136"/>
      <c r="AS137" s="146">
        <v>0</v>
      </c>
      <c r="AT137" s="187">
        <f>AS137+AT169</f>
        <v>3.5009999999999999</v>
      </c>
      <c r="AU137" s="187">
        <f>AT137+AU169</f>
        <v>3.216823204192969</v>
      </c>
      <c r="AV137" s="146">
        <f t="shared" si="300"/>
        <v>0</v>
      </c>
      <c r="AW137" s="553">
        <v>0</v>
      </c>
      <c r="AX137" s="136"/>
      <c r="AY137" s="188">
        <f>AV137+AY169</f>
        <v>0</v>
      </c>
      <c r="AZ137" s="187">
        <f>AY137+AZ169</f>
        <v>0</v>
      </c>
      <c r="BA137" s="187">
        <f>AZ137+BA169</f>
        <v>0</v>
      </c>
      <c r="BB137" s="146">
        <f t="shared" si="301"/>
        <v>0</v>
      </c>
      <c r="BC137" s="553">
        <v>0</v>
      </c>
      <c r="BD137" s="136"/>
      <c r="BE137" s="188">
        <f>BB137+BE169</f>
        <v>0</v>
      </c>
      <c r="BF137" s="187">
        <f>BE137+BF169</f>
        <v>0</v>
      </c>
      <c r="BG137" s="187">
        <f>BF137+BG169</f>
        <v>0</v>
      </c>
      <c r="BH137" s="187">
        <f>BG137+BH169</f>
        <v>0</v>
      </c>
      <c r="BI137" s="188">
        <f>BH137</f>
        <v>0</v>
      </c>
      <c r="BJ137" s="136"/>
      <c r="BK137" s="188">
        <f>BH137+BK169</f>
        <v>0</v>
      </c>
      <c r="BL137" s="187">
        <f>BK137+BL169</f>
        <v>0</v>
      </c>
      <c r="BM137" s="187">
        <f>BL137+BM169</f>
        <v>0</v>
      </c>
      <c r="BN137" s="187">
        <f>BM137+BN169</f>
        <v>0</v>
      </c>
      <c r="BO137" s="188">
        <f>BN137</f>
        <v>0</v>
      </c>
      <c r="BP137" s="136"/>
      <c r="BQ137" s="188">
        <f>BN137+BQ169</f>
        <v>0</v>
      </c>
      <c r="BR137" s="187">
        <f>BQ137+BR169</f>
        <v>0</v>
      </c>
      <c r="BS137" s="187">
        <f>BR137+BS169</f>
        <v>0</v>
      </c>
      <c r="BT137" s="187">
        <f>BS137+BT169</f>
        <v>0</v>
      </c>
      <c r="BU137" s="188">
        <f>BT137</f>
        <v>0</v>
      </c>
      <c r="BV137" s="136"/>
      <c r="BW137" s="188">
        <f>BT137+BW169</f>
        <v>0</v>
      </c>
      <c r="BX137" s="187">
        <f>BW137+BX169</f>
        <v>0</v>
      </c>
      <c r="BY137" s="187">
        <f>BX137+BY169</f>
        <v>0</v>
      </c>
      <c r="BZ137" s="187">
        <f>BY137+BZ169</f>
        <v>0</v>
      </c>
      <c r="CA137" s="188">
        <f>BZ137</f>
        <v>0</v>
      </c>
      <c r="CB137" s="136"/>
      <c r="CC137" s="188">
        <f>BZ137+CC169</f>
        <v>0</v>
      </c>
      <c r="CD137" s="187">
        <f>CC137+CD169</f>
        <v>0</v>
      </c>
      <c r="CE137" s="187">
        <f>CD137+CE169</f>
        <v>0</v>
      </c>
      <c r="CF137" s="187">
        <f>CE137+CF169</f>
        <v>0</v>
      </c>
      <c r="CG137" s="188">
        <f>CF137</f>
        <v>0</v>
      </c>
    </row>
    <row r="138" spans="2:85" ht="12" customHeight="1" x14ac:dyDescent="0.2">
      <c r="B138" s="113" t="s">
        <v>320</v>
      </c>
      <c r="C138" s="182"/>
      <c r="D138" s="182"/>
      <c r="E138" s="182"/>
      <c r="F138" s="182"/>
      <c r="G138" s="189">
        <v>112.29600000000001</v>
      </c>
      <c r="H138" s="183"/>
      <c r="I138" s="182"/>
      <c r="J138" s="182"/>
      <c r="K138" s="182"/>
      <c r="L138" s="182"/>
      <c r="M138" s="189">
        <v>138.24700000000001</v>
      </c>
      <c r="N138" s="185"/>
      <c r="O138" s="182"/>
      <c r="P138" s="182"/>
      <c r="Q138" s="182"/>
      <c r="R138" s="182"/>
      <c r="S138" s="189">
        <v>134.77600000000001</v>
      </c>
      <c r="T138" s="183"/>
      <c r="U138" s="182"/>
      <c r="V138" s="182"/>
      <c r="W138" s="182"/>
      <c r="X138" s="182"/>
      <c r="Y138" s="189">
        <v>154.626</v>
      </c>
      <c r="Z138" s="183"/>
      <c r="AA138" s="188"/>
      <c r="AB138" s="187"/>
      <c r="AC138" s="187"/>
      <c r="AD138" s="187"/>
      <c r="AE138" s="189">
        <v>163.375</v>
      </c>
      <c r="AF138" s="183"/>
      <c r="AG138" s="187">
        <f>AG144+AG143-SUM(AG124,AG132,AG135:AG136,AG139)</f>
        <v>155.97399999999993</v>
      </c>
      <c r="AH138" s="187">
        <f t="shared" si="298"/>
        <v>155.97399999999993</v>
      </c>
      <c r="AI138" s="187">
        <f t="shared" si="298"/>
        <v>155.97399999999993</v>
      </c>
      <c r="AJ138" s="187">
        <f t="shared" si="298"/>
        <v>155.97399999999993</v>
      </c>
      <c r="AK138" s="188">
        <f>AJ138</f>
        <v>155.97399999999993</v>
      </c>
      <c r="AL138" s="136"/>
      <c r="AM138" s="146">
        <f>AM144+AM143-SUM(AM124,AM132,AM135:AM136,AM139)</f>
        <v>207.07899999999972</v>
      </c>
      <c r="AN138" s="146">
        <f>AN144+AN143-SUM(AN124,AN132,AN135:AN136,AN139)</f>
        <v>198.14899999999989</v>
      </c>
      <c r="AO138" s="146">
        <f>AO144+AO143-SUM(AO124,AO132,AO135:AO136,AO139)</f>
        <v>314.15099999999984</v>
      </c>
      <c r="AP138" s="146">
        <f>AP144+AP143-SUM(AP124,AP132,AP135:AP136,AP139)</f>
        <v>390.53500000000008</v>
      </c>
      <c r="AQ138" s="188">
        <v>119.21299999999999</v>
      </c>
      <c r="AR138" s="136"/>
      <c r="AS138" s="146">
        <f>+AQ138+AS160+AS170</f>
        <v>118.503</v>
      </c>
      <c r="AT138" s="146">
        <f>+AS138+AT160+AT170</f>
        <v>118.503</v>
      </c>
      <c r="AU138" s="146">
        <f>+AT138+AU160+AU170</f>
        <v>109.47008071135429</v>
      </c>
      <c r="AV138" s="146">
        <f t="shared" si="300"/>
        <v>104.705</v>
      </c>
      <c r="AW138" s="553">
        <v>104.705</v>
      </c>
      <c r="AX138" s="136"/>
      <c r="AY138" s="146">
        <f>+AW138+AY160+AY170</f>
        <v>104.705</v>
      </c>
      <c r="AZ138" s="146">
        <f>+AY138+AZ160+AZ170</f>
        <v>104.705</v>
      </c>
      <c r="BA138" s="146">
        <f>+AZ138+BA160+BA170</f>
        <v>104.705</v>
      </c>
      <c r="BB138" s="146">
        <f t="shared" si="301"/>
        <v>104.4</v>
      </c>
      <c r="BC138" s="553">
        <v>104.4</v>
      </c>
      <c r="BD138" s="136"/>
      <c r="BE138" s="146">
        <f>+BC138+BE160+BE170</f>
        <v>104.4</v>
      </c>
      <c r="BF138" s="146">
        <f>+BE138+BF160+BF170</f>
        <v>104.4</v>
      </c>
      <c r="BG138" s="146">
        <f>+BF138+BG160+BG170</f>
        <v>104.4</v>
      </c>
      <c r="BH138" s="146">
        <f>+BG138+BH160+BH170</f>
        <v>104.4</v>
      </c>
      <c r="BI138" s="188">
        <f>BH138</f>
        <v>104.4</v>
      </c>
      <c r="BJ138" s="136"/>
      <c r="BK138" s="146">
        <f>+BI138+BK160+BK170</f>
        <v>104.4</v>
      </c>
      <c r="BL138" s="146">
        <f>+BK138+BL160+BL170</f>
        <v>104.4</v>
      </c>
      <c r="BM138" s="146">
        <f>+BL138+BM160+BM170</f>
        <v>104.4</v>
      </c>
      <c r="BN138" s="146">
        <f>+BM138+BN160+BN170</f>
        <v>104.4</v>
      </c>
      <c r="BO138" s="188">
        <f>BN138</f>
        <v>104.4</v>
      </c>
      <c r="BP138" s="136"/>
      <c r="BQ138" s="146">
        <f>+BO138+BQ160+BQ170</f>
        <v>104.4</v>
      </c>
      <c r="BR138" s="146">
        <f>+BQ138+BR160+BR170</f>
        <v>104.4</v>
      </c>
      <c r="BS138" s="146">
        <f>+BR138+BS160+BS170</f>
        <v>104.4</v>
      </c>
      <c r="BT138" s="146">
        <f>+BS138+BT160+BT170</f>
        <v>104.4</v>
      </c>
      <c r="BU138" s="188">
        <f>BT138</f>
        <v>104.4</v>
      </c>
      <c r="BV138" s="136"/>
      <c r="BW138" s="146">
        <f>+BU138+BW160+BW170</f>
        <v>104.4</v>
      </c>
      <c r="BX138" s="146">
        <f>+BW138+BX160+BX170</f>
        <v>104.4</v>
      </c>
      <c r="BY138" s="146">
        <f>+BX138+BY160+BY170</f>
        <v>104.4</v>
      </c>
      <c r="BZ138" s="146">
        <f>+BY138+BZ160+BZ170</f>
        <v>104.4</v>
      </c>
      <c r="CA138" s="188">
        <f>BZ138</f>
        <v>104.4</v>
      </c>
      <c r="CB138" s="136"/>
      <c r="CC138" s="146">
        <f>+CA138+CC160+CC170</f>
        <v>104.4</v>
      </c>
      <c r="CD138" s="146">
        <f>+CC138+CD160+CD170</f>
        <v>104.4</v>
      </c>
      <c r="CE138" s="146">
        <f>+CD138+CE160+CE170</f>
        <v>104.4</v>
      </c>
      <c r="CF138" s="146">
        <f>+CE138+CF160+CF170</f>
        <v>104.4</v>
      </c>
      <c r="CG138" s="188">
        <f>CF138</f>
        <v>104.4</v>
      </c>
    </row>
    <row r="139" spans="2:85" ht="12" customHeight="1" x14ac:dyDescent="0.2">
      <c r="B139" s="113" t="s">
        <v>316</v>
      </c>
      <c r="C139" s="182"/>
      <c r="D139" s="182"/>
      <c r="E139" s="182"/>
      <c r="F139" s="182"/>
      <c r="G139" s="189">
        <v>56.381999999999998</v>
      </c>
      <c r="H139" s="183"/>
      <c r="I139" s="182"/>
      <c r="J139" s="182"/>
      <c r="K139" s="182"/>
      <c r="L139" s="182"/>
      <c r="M139" s="189">
        <v>18.138000000000002</v>
      </c>
      <c r="N139" s="185"/>
      <c r="O139" s="182"/>
      <c r="P139" s="182"/>
      <c r="Q139" s="182"/>
      <c r="R139" s="182"/>
      <c r="S139" s="189">
        <v>13.193</v>
      </c>
      <c r="T139" s="183"/>
      <c r="U139" s="182"/>
      <c r="V139" s="182"/>
      <c r="W139" s="182"/>
      <c r="X139" s="182"/>
      <c r="Y139" s="189">
        <v>8.1910000000000007</v>
      </c>
      <c r="Z139" s="183"/>
      <c r="AA139" s="190"/>
      <c r="AB139" s="187"/>
      <c r="AC139" s="187"/>
      <c r="AD139" s="187"/>
      <c r="AE139" s="189">
        <v>3.42</v>
      </c>
      <c r="AF139" s="183"/>
      <c r="AG139" s="187">
        <f>+AE139</f>
        <v>3.42</v>
      </c>
      <c r="AH139" s="187">
        <f t="shared" si="298"/>
        <v>3.42</v>
      </c>
      <c r="AI139" s="187">
        <f t="shared" si="298"/>
        <v>3.42</v>
      </c>
      <c r="AJ139" s="187">
        <f t="shared" si="298"/>
        <v>3.42</v>
      </c>
      <c r="AK139" s="188">
        <f>AJ139</f>
        <v>3.42</v>
      </c>
      <c r="AL139" s="136"/>
      <c r="AM139" s="146">
        <f>AJ139+AM171</f>
        <v>3.42</v>
      </c>
      <c r="AN139" s="187">
        <f>AM139+AN171</f>
        <v>3.42</v>
      </c>
      <c r="AO139" s="187">
        <f>AN139+AO171</f>
        <v>3.42</v>
      </c>
      <c r="AP139" s="187">
        <f>AO139+AP171</f>
        <v>3.42</v>
      </c>
      <c r="AQ139" s="188">
        <v>2.8380000000000001</v>
      </c>
      <c r="AR139" s="136"/>
      <c r="AS139" s="146">
        <f>+AQ139</f>
        <v>2.8380000000000001</v>
      </c>
      <c r="AT139" s="187">
        <f>AS139+AT171</f>
        <v>2.8380000000000001</v>
      </c>
      <c r="AU139" s="187">
        <f>AT139+AU171</f>
        <v>2.6076390327048404</v>
      </c>
      <c r="AV139" s="146">
        <f t="shared" si="300"/>
        <v>1.843</v>
      </c>
      <c r="AW139" s="553">
        <v>1.843</v>
      </c>
      <c r="AX139" s="136"/>
      <c r="AY139" s="188">
        <f>AV139+AY171</f>
        <v>1.843</v>
      </c>
      <c r="AZ139" s="187">
        <f>AY139+AZ171</f>
        <v>1.843</v>
      </c>
      <c r="BA139" s="187">
        <f>AZ139+BA171</f>
        <v>1.843</v>
      </c>
      <c r="BB139" s="146">
        <f t="shared" si="301"/>
        <v>123.6</v>
      </c>
      <c r="BC139" s="553">
        <f>105.3+16.3+2</f>
        <v>123.6</v>
      </c>
      <c r="BD139" s="136"/>
      <c r="BE139" s="188">
        <f>BB139+BE171</f>
        <v>123.6</v>
      </c>
      <c r="BF139" s="187">
        <f>BE139+BF171</f>
        <v>123.6</v>
      </c>
      <c r="BG139" s="187">
        <f>BF139+BG171</f>
        <v>123.6</v>
      </c>
      <c r="BH139" s="187">
        <f>BG139+BH171</f>
        <v>123.6</v>
      </c>
      <c r="BI139" s="188">
        <f>BH139</f>
        <v>123.6</v>
      </c>
      <c r="BJ139" s="136"/>
      <c r="BK139" s="188">
        <f>BH139+BK171</f>
        <v>123.6</v>
      </c>
      <c r="BL139" s="187">
        <f>BK139+BL171</f>
        <v>123.6</v>
      </c>
      <c r="BM139" s="187">
        <f>BL139+BM171</f>
        <v>123.6</v>
      </c>
      <c r="BN139" s="187">
        <f>BM139+BN171</f>
        <v>123.6</v>
      </c>
      <c r="BO139" s="188">
        <f>BN139</f>
        <v>123.6</v>
      </c>
      <c r="BP139" s="136"/>
      <c r="BQ139" s="188">
        <f>BN139+BQ171</f>
        <v>123.6</v>
      </c>
      <c r="BR139" s="187">
        <f>BQ139+BR171</f>
        <v>123.6</v>
      </c>
      <c r="BS139" s="187">
        <f>BR139+BS171</f>
        <v>123.6</v>
      </c>
      <c r="BT139" s="187">
        <f>BS139+BT171</f>
        <v>123.6</v>
      </c>
      <c r="BU139" s="188">
        <f>BT139</f>
        <v>123.6</v>
      </c>
      <c r="BV139" s="136"/>
      <c r="BW139" s="188">
        <f>BT139+BW171</f>
        <v>123.6</v>
      </c>
      <c r="BX139" s="187">
        <f>BW139+BX171</f>
        <v>123.6</v>
      </c>
      <c r="BY139" s="187">
        <f>BX139+BY171</f>
        <v>123.6</v>
      </c>
      <c r="BZ139" s="187">
        <f>BY139+BZ171</f>
        <v>123.6</v>
      </c>
      <c r="CA139" s="188">
        <f>BZ139</f>
        <v>123.6</v>
      </c>
      <c r="CB139" s="136"/>
      <c r="CC139" s="188">
        <f>BZ139+CC171</f>
        <v>123.6</v>
      </c>
      <c r="CD139" s="187">
        <f>CC139+CD171</f>
        <v>123.6</v>
      </c>
      <c r="CE139" s="187">
        <f>CD139+CE171</f>
        <v>123.6</v>
      </c>
      <c r="CF139" s="187">
        <f>CE139+CF171</f>
        <v>123.6</v>
      </c>
      <c r="CG139" s="188">
        <f>CF139</f>
        <v>123.6</v>
      </c>
    </row>
    <row r="140" spans="2:85" ht="12" customHeight="1" x14ac:dyDescent="0.2">
      <c r="B140" s="114" t="s">
        <v>321</v>
      </c>
      <c r="C140" s="182"/>
      <c r="D140" s="182"/>
      <c r="E140" s="182"/>
      <c r="F140" s="182"/>
      <c r="G140" s="184">
        <f>SUM(G135:G139)</f>
        <v>482.06299999999999</v>
      </c>
      <c r="H140" s="183"/>
      <c r="I140" s="182"/>
      <c r="J140" s="182"/>
      <c r="K140" s="182"/>
      <c r="L140" s="182"/>
      <c r="M140" s="184">
        <f>SUM(M135:M139)</f>
        <v>423.67899999999997</v>
      </c>
      <c r="N140" s="185"/>
      <c r="O140" s="182"/>
      <c r="P140" s="182"/>
      <c r="Q140" s="182"/>
      <c r="R140" s="182"/>
      <c r="S140" s="191">
        <f>SUM(S135:S139)</f>
        <v>387.15099999999995</v>
      </c>
      <c r="T140" s="183"/>
      <c r="U140" s="182"/>
      <c r="V140" s="182"/>
      <c r="W140" s="182"/>
      <c r="X140" s="182"/>
      <c r="Y140" s="184">
        <f>SUM(Y135:Y139)</f>
        <v>604.01499999999999</v>
      </c>
      <c r="Z140" s="183"/>
      <c r="AA140" s="188"/>
      <c r="AB140" s="188"/>
      <c r="AC140" s="188"/>
      <c r="AD140" s="188"/>
      <c r="AE140" s="187">
        <f>SUM(AE135:AE139)</f>
        <v>1490.01</v>
      </c>
      <c r="AF140" s="183"/>
      <c r="AG140" s="187">
        <f>SUM(AG135:AG139)</f>
        <v>1482.6089999999999</v>
      </c>
      <c r="AH140" s="187">
        <f>SUM(AH135:AH139)</f>
        <v>1436.509</v>
      </c>
      <c r="AI140" s="187">
        <f>SUM(AI135:AI139)</f>
        <v>1360.509</v>
      </c>
      <c r="AJ140" s="187">
        <f>SUM(AJ135:AJ139)</f>
        <v>1233.009</v>
      </c>
      <c r="AK140" s="189">
        <v>1222.0350000000001</v>
      </c>
      <c r="AL140" s="136"/>
      <c r="AM140" s="184">
        <f>SUM(AM135:AM139)</f>
        <v>1207.7219999999998</v>
      </c>
      <c r="AN140" s="187">
        <f>SUM(AN135:AN139)</f>
        <v>1123.7919999999999</v>
      </c>
      <c r="AO140" s="187">
        <f>SUM(AO135:AO139)</f>
        <v>1164.7939999999999</v>
      </c>
      <c r="AP140" s="187">
        <f>SUM(AP135:AP139)</f>
        <v>1166.1780000000003</v>
      </c>
      <c r="AQ140" s="189">
        <f>1166.178+AQ132</f>
        <v>1370.8340000000001</v>
      </c>
      <c r="AR140" s="136"/>
      <c r="AS140" s="184">
        <f>SUM(AS135:AS139)</f>
        <v>1295.1239999999998</v>
      </c>
      <c r="AT140" s="187">
        <f>SUM(AT135:AT139)</f>
        <v>1298.6249999999998</v>
      </c>
      <c r="AU140" s="187">
        <f>SUM(AU135:AU139)</f>
        <v>1274.366</v>
      </c>
      <c r="AV140" s="146">
        <f t="shared" si="300"/>
        <v>1262.712</v>
      </c>
      <c r="AW140" s="189">
        <f>1152.882+AW132</f>
        <v>1262.712</v>
      </c>
      <c r="AX140" s="136"/>
      <c r="AY140" s="187">
        <f>SUM(AY135:AY139)</f>
        <v>1323.4529999999997</v>
      </c>
      <c r="AZ140" s="187">
        <f>SUM(AZ135:AZ139)</f>
        <v>1194.4819999999997</v>
      </c>
      <c r="BA140" s="187">
        <f>SUM(BA135:BA139)</f>
        <v>1152.0989999999997</v>
      </c>
      <c r="BB140" s="146">
        <f t="shared" si="301"/>
        <v>1150.2</v>
      </c>
      <c r="BC140" s="189">
        <f>1141+BC132</f>
        <v>1150.2</v>
      </c>
      <c r="BD140" s="136"/>
      <c r="BE140" s="187">
        <f>SUM(BE135:BE139)</f>
        <v>1078.5</v>
      </c>
      <c r="BF140" s="187">
        <f>SUM(BF135:BF139)</f>
        <v>1078.5</v>
      </c>
      <c r="BG140" s="187">
        <f>SUM(BG135:BG139)</f>
        <v>1069.7</v>
      </c>
      <c r="BH140" s="187">
        <f>SUM(BH135:BH139)</f>
        <v>1069.7</v>
      </c>
      <c r="BI140" s="188">
        <f>SUM(BI135:BI139)</f>
        <v>1069.7</v>
      </c>
      <c r="BJ140" s="136"/>
      <c r="BK140" s="187">
        <f>SUM(BK135:BK139)</f>
        <v>1069.7</v>
      </c>
      <c r="BL140" s="187">
        <f>SUM(BL135:BL139)</f>
        <v>1069.7</v>
      </c>
      <c r="BM140" s="187">
        <f>SUM(BM135:BM139)</f>
        <v>1069.7</v>
      </c>
      <c r="BN140" s="187">
        <f>SUM(BN135:BN139)</f>
        <v>972.30000000000007</v>
      </c>
      <c r="BO140" s="188">
        <f>SUM(BO135:BO139)</f>
        <v>972.30000000000007</v>
      </c>
      <c r="BP140" s="136"/>
      <c r="BQ140" s="187">
        <f>SUM(BQ135:BQ139)</f>
        <v>897.30000000000007</v>
      </c>
      <c r="BR140" s="187">
        <f>SUM(BR135:BR139)</f>
        <v>897.30000000000007</v>
      </c>
      <c r="BS140" s="187">
        <f>SUM(BS135:BS139)</f>
        <v>888.50000000000011</v>
      </c>
      <c r="BT140" s="187">
        <f>SUM(BT135:BT139)</f>
        <v>888.50000000000011</v>
      </c>
      <c r="BU140" s="188">
        <f>SUM(BU135:BU139)</f>
        <v>888.50000000000011</v>
      </c>
      <c r="BV140" s="136"/>
      <c r="BW140" s="187">
        <f>SUM(BW135:BW139)</f>
        <v>813.50000000000011</v>
      </c>
      <c r="BX140" s="187">
        <f>SUM(BX135:BX139)</f>
        <v>813.50000000000011</v>
      </c>
      <c r="BY140" s="187">
        <f>SUM(BY135:BY139)</f>
        <v>804.70000000000016</v>
      </c>
      <c r="BZ140" s="187">
        <f>SUM(BZ135:BZ139)</f>
        <v>804.70000000000016</v>
      </c>
      <c r="CA140" s="188">
        <f>SUM(CA135:CA139)</f>
        <v>804.70000000000016</v>
      </c>
      <c r="CB140" s="136"/>
      <c r="CC140" s="187">
        <f>SUM(CC135:CC139)</f>
        <v>729.70000000000016</v>
      </c>
      <c r="CD140" s="187">
        <f>SUM(CD135:CD139)</f>
        <v>729.70000000000016</v>
      </c>
      <c r="CE140" s="187">
        <f>SUM(CE135:CE139)</f>
        <v>720.9000000000002</v>
      </c>
      <c r="CF140" s="187">
        <f>SUM(CF135:CF139)</f>
        <v>720.9000000000002</v>
      </c>
      <c r="CG140" s="188">
        <f>SUM(CG135:CG139)</f>
        <v>720.9000000000002</v>
      </c>
    </row>
    <row r="141" spans="2:85" ht="12" customHeight="1" x14ac:dyDescent="0.2">
      <c r="B141" s="109" t="s">
        <v>83</v>
      </c>
      <c r="C141" s="192"/>
      <c r="D141" s="192"/>
      <c r="E141" s="192"/>
      <c r="F141" s="192"/>
      <c r="G141" s="192">
        <f>G124+G132+G140</f>
        <v>483.30700000000002</v>
      </c>
      <c r="H141" s="193"/>
      <c r="I141" s="192"/>
      <c r="J141" s="192"/>
      <c r="K141" s="192"/>
      <c r="L141" s="192"/>
      <c r="M141" s="192">
        <f>M124+M132+M140</f>
        <v>449.47399999999999</v>
      </c>
      <c r="N141" s="193"/>
      <c r="O141" s="192"/>
      <c r="P141" s="192"/>
      <c r="Q141" s="192"/>
      <c r="R141" s="192"/>
      <c r="S141" s="192">
        <f>S124+S132+S140</f>
        <v>469.32499999999993</v>
      </c>
      <c r="T141" s="193"/>
      <c r="U141" s="192"/>
      <c r="V141" s="192"/>
      <c r="W141" s="192"/>
      <c r="X141" s="192"/>
      <c r="Y141" s="192">
        <f>Y124+Y132+Y140</f>
        <v>611.76900000000001</v>
      </c>
      <c r="Z141" s="193"/>
      <c r="AA141" s="192"/>
      <c r="AB141" s="192"/>
      <c r="AC141" s="192"/>
      <c r="AD141" s="192"/>
      <c r="AE141" s="192">
        <f>AE124+AE132+AE140</f>
        <v>1766.711</v>
      </c>
      <c r="AF141" s="193"/>
      <c r="AG141" s="192">
        <f>AG124+AG132+AG140</f>
        <v>1770.646</v>
      </c>
      <c r="AH141" s="192">
        <f>AH124+AH132+AH140</f>
        <v>1724.546</v>
      </c>
      <c r="AI141" s="192">
        <f>AI124+AI132+AI140</f>
        <v>1648.546</v>
      </c>
      <c r="AJ141" s="192">
        <f>AJ124+AJ132+AJ140</f>
        <v>1521.046</v>
      </c>
      <c r="AK141" s="192">
        <f>AK124+AK132+AK140</f>
        <v>1520.998</v>
      </c>
      <c r="AL141" s="165"/>
      <c r="AM141" s="192">
        <f>AM124+AM132+AM140</f>
        <v>1523.1599999999999</v>
      </c>
      <c r="AN141" s="192">
        <f>AN124+AN132+AN140</f>
        <v>1540.857</v>
      </c>
      <c r="AO141" s="192">
        <f>AO124+AO132+AO140</f>
        <v>1435.7419999999997</v>
      </c>
      <c r="AP141" s="192">
        <f>AP124+AP132+AP140</f>
        <v>1476.0400000000004</v>
      </c>
      <c r="AQ141" s="192">
        <f>AQ124+AQ140</f>
        <v>1476.04</v>
      </c>
      <c r="AR141" s="165"/>
      <c r="AS141" s="192">
        <f>AS124+AS140</f>
        <v>1468.6399999999999</v>
      </c>
      <c r="AT141" s="192">
        <f>AT124+AT140</f>
        <v>1367.2019999999998</v>
      </c>
      <c r="AU141" s="192">
        <f>AU124+AU140</f>
        <v>1280.846</v>
      </c>
      <c r="AV141" s="192">
        <f>AV124+AV140</f>
        <v>1265.713</v>
      </c>
      <c r="AW141" s="192">
        <f>AW124+AW140</f>
        <v>1265.713</v>
      </c>
      <c r="AX141" s="165"/>
      <c r="AY141" s="192">
        <f>AY124+AY140</f>
        <v>1326.4539999999997</v>
      </c>
      <c r="AZ141" s="192">
        <f>AZ124+AZ140</f>
        <v>1197.4829999999997</v>
      </c>
      <c r="BA141" s="192">
        <f>BA124+BA140</f>
        <v>1155.0999999999997</v>
      </c>
      <c r="BB141" s="192">
        <f>BB124+BB140</f>
        <v>1153.1000000000001</v>
      </c>
      <c r="BC141" s="192">
        <f>BC124+BC140</f>
        <v>1153.1000000000001</v>
      </c>
      <c r="BD141" s="165"/>
      <c r="BE141" s="192">
        <f>BE124+BE140</f>
        <v>1080.5999999999999</v>
      </c>
      <c r="BF141" s="192">
        <f>BF124+BF140</f>
        <v>1080.5999999999999</v>
      </c>
      <c r="BG141" s="192">
        <f>BG124+BG140</f>
        <v>1071.8</v>
      </c>
      <c r="BH141" s="192">
        <f>BH124+BH140</f>
        <v>1071.8</v>
      </c>
      <c r="BI141" s="192">
        <f>BI124+BI140</f>
        <v>1071.8</v>
      </c>
      <c r="BJ141" s="165"/>
      <c r="BK141" s="192">
        <f>BK124+BK140</f>
        <v>1071.8</v>
      </c>
      <c r="BL141" s="192">
        <f>BL124+BL140</f>
        <v>1071.8</v>
      </c>
      <c r="BM141" s="192">
        <f>BM124+BM140</f>
        <v>1071.8</v>
      </c>
      <c r="BN141" s="192">
        <f>BN124+BN140</f>
        <v>974.40000000000009</v>
      </c>
      <c r="BO141" s="192">
        <f>BO124+BO140</f>
        <v>974.40000000000009</v>
      </c>
      <c r="BP141" s="165"/>
      <c r="BQ141" s="192">
        <f>BQ124+BQ140</f>
        <v>899.40000000000009</v>
      </c>
      <c r="BR141" s="192">
        <f>BR124+BR140</f>
        <v>899.40000000000009</v>
      </c>
      <c r="BS141" s="192">
        <f>BS124+BS140</f>
        <v>890.60000000000014</v>
      </c>
      <c r="BT141" s="192">
        <f>BT124+BT140</f>
        <v>890.60000000000014</v>
      </c>
      <c r="BU141" s="192">
        <f>BU124+BU140</f>
        <v>890.60000000000014</v>
      </c>
      <c r="BV141" s="165"/>
      <c r="BW141" s="192">
        <f>BW124+BW140</f>
        <v>815.60000000000014</v>
      </c>
      <c r="BX141" s="192">
        <f>BX124+BX140</f>
        <v>815.60000000000014</v>
      </c>
      <c r="BY141" s="192">
        <f>BY124+BY140</f>
        <v>806.80000000000018</v>
      </c>
      <c r="BZ141" s="192">
        <f>BZ124+BZ140</f>
        <v>806.80000000000018</v>
      </c>
      <c r="CA141" s="192">
        <f>CA124+CA140</f>
        <v>806.80000000000018</v>
      </c>
      <c r="CB141" s="165"/>
      <c r="CC141" s="192">
        <f>CC124+CC140</f>
        <v>731.80000000000018</v>
      </c>
      <c r="CD141" s="192">
        <f>CD124+CD140</f>
        <v>731.80000000000018</v>
      </c>
      <c r="CE141" s="192">
        <f>CE124+CE140</f>
        <v>723.00000000000023</v>
      </c>
      <c r="CF141" s="192">
        <f>CF124+CF140</f>
        <v>723.00000000000023</v>
      </c>
      <c r="CG141" s="192">
        <f>CG124+CG140</f>
        <v>723.00000000000023</v>
      </c>
    </row>
    <row r="142" spans="2:85" ht="3" customHeight="1" x14ac:dyDescent="0.2">
      <c r="B142" s="110"/>
      <c r="C142" s="194"/>
      <c r="D142" s="194"/>
      <c r="E142" s="194"/>
      <c r="F142" s="194"/>
      <c r="G142" s="195"/>
      <c r="H142" s="194"/>
      <c r="I142" s="194"/>
      <c r="J142" s="194"/>
      <c r="K142" s="194"/>
      <c r="L142" s="194"/>
      <c r="M142" s="195"/>
      <c r="N142" s="194"/>
      <c r="O142" s="194"/>
      <c r="P142" s="194"/>
      <c r="Q142" s="194"/>
      <c r="R142" s="196"/>
      <c r="S142" s="195"/>
      <c r="T142" s="194"/>
      <c r="U142" s="196"/>
      <c r="V142" s="196"/>
      <c r="W142" s="196"/>
      <c r="X142" s="196"/>
      <c r="Y142" s="195"/>
      <c r="Z142" s="196"/>
      <c r="AA142" s="196"/>
      <c r="AB142" s="196"/>
      <c r="AC142" s="196"/>
      <c r="AD142" s="196"/>
      <c r="AE142" s="196"/>
      <c r="AF142" s="196"/>
      <c r="AG142" s="196"/>
      <c r="AH142" s="196"/>
      <c r="AI142" s="196"/>
      <c r="AJ142" s="196"/>
      <c r="AK142" s="196"/>
      <c r="AL142" s="196"/>
      <c r="AM142" s="196"/>
      <c r="AN142" s="196"/>
      <c r="AO142" s="196"/>
      <c r="AP142" s="196"/>
      <c r="AQ142" s="196"/>
      <c r="AR142" s="196"/>
      <c r="AS142" s="196"/>
      <c r="AT142" s="196"/>
      <c r="AU142" s="196"/>
      <c r="AV142" s="196"/>
      <c r="AW142" s="196"/>
      <c r="AX142" s="196"/>
      <c r="AY142" s="196"/>
      <c r="AZ142" s="196"/>
      <c r="BA142" s="196"/>
      <c r="BB142" s="196"/>
      <c r="BC142" s="196"/>
      <c r="BD142" s="196"/>
      <c r="BE142" s="196"/>
      <c r="BF142" s="196"/>
      <c r="BG142" s="196"/>
      <c r="BH142" s="196"/>
      <c r="BI142" s="196"/>
      <c r="BJ142" s="196"/>
      <c r="BK142" s="196"/>
      <c r="BL142" s="196"/>
      <c r="BM142" s="196"/>
      <c r="BN142" s="196"/>
      <c r="BO142" s="196"/>
      <c r="BP142" s="196"/>
      <c r="BQ142" s="196"/>
      <c r="BR142" s="196"/>
      <c r="BS142" s="196"/>
      <c r="BT142" s="196"/>
      <c r="BU142" s="196"/>
      <c r="BV142" s="196"/>
      <c r="BW142" s="196"/>
      <c r="BX142" s="196"/>
      <c r="BY142" s="196"/>
      <c r="BZ142" s="196"/>
      <c r="CA142" s="196"/>
      <c r="CB142" s="196"/>
      <c r="CC142" s="196"/>
      <c r="CD142" s="196"/>
      <c r="CE142" s="196"/>
      <c r="CF142" s="196"/>
      <c r="CG142" s="196"/>
    </row>
    <row r="143" spans="2:85" s="24" customFormat="1" ht="12" customHeight="1" x14ac:dyDescent="0.2">
      <c r="B143" s="43" t="s">
        <v>302</v>
      </c>
      <c r="C143" s="198"/>
      <c r="D143" s="198"/>
      <c r="E143" s="198"/>
      <c r="F143" s="198"/>
      <c r="G143" s="198">
        <f>G141-G144</f>
        <v>1.2440000000000282</v>
      </c>
      <c r="H143" s="193"/>
      <c r="I143" s="198"/>
      <c r="J143" s="198"/>
      <c r="K143" s="198"/>
      <c r="L143" s="198"/>
      <c r="M143" s="198">
        <f>M141-M144</f>
        <v>25.795000000000016</v>
      </c>
      <c r="N143" s="193"/>
      <c r="O143" s="198"/>
      <c r="P143" s="198"/>
      <c r="Q143" s="198"/>
      <c r="R143" s="198"/>
      <c r="S143" s="198">
        <f>S141-S144</f>
        <v>82.173999999999921</v>
      </c>
      <c r="T143" s="193"/>
      <c r="U143" s="198"/>
      <c r="V143" s="198"/>
      <c r="W143" s="198"/>
      <c r="X143" s="198"/>
      <c r="Y143" s="198">
        <f>Y141-Y144</f>
        <v>7.7540000000000191</v>
      </c>
      <c r="Z143" s="198"/>
      <c r="AA143" s="198"/>
      <c r="AB143" s="198"/>
      <c r="AC143" s="198"/>
      <c r="AD143" s="198"/>
      <c r="AE143" s="198">
        <f>AD143</f>
        <v>0</v>
      </c>
      <c r="AF143" s="193"/>
      <c r="AG143" s="991">
        <v>288.03699999999998</v>
      </c>
      <c r="AH143" s="991">
        <v>241.80099999999999</v>
      </c>
      <c r="AI143" s="991">
        <v>411.84</v>
      </c>
      <c r="AJ143" s="991">
        <v>298.96300000000002</v>
      </c>
      <c r="AK143" s="198">
        <f>AJ143</f>
        <v>298.96300000000002</v>
      </c>
      <c r="AL143" s="165"/>
      <c r="AM143" s="991">
        <v>315.43799999999999</v>
      </c>
      <c r="AN143" s="991">
        <v>417.065</v>
      </c>
      <c r="AO143" s="991">
        <v>270.94799999999998</v>
      </c>
      <c r="AP143" s="991">
        <v>309.86200000000002</v>
      </c>
      <c r="AQ143" s="198">
        <f>AP143</f>
        <v>309.86200000000002</v>
      </c>
      <c r="AR143" s="165"/>
      <c r="AS143" s="991">
        <v>403.14499999999998</v>
      </c>
      <c r="AT143" s="991">
        <v>301.29399999999998</v>
      </c>
      <c r="AU143" s="991">
        <v>115.253</v>
      </c>
      <c r="AV143" s="991">
        <v>112.831</v>
      </c>
      <c r="AW143" s="198">
        <f>AV143</f>
        <v>112.831</v>
      </c>
      <c r="AX143" s="165"/>
      <c r="AY143" s="991">
        <v>247.631</v>
      </c>
      <c r="AZ143" s="991">
        <v>119.70399999999999</v>
      </c>
      <c r="BA143" s="991">
        <v>453.2</v>
      </c>
      <c r="BB143" s="991">
        <v>12.1</v>
      </c>
      <c r="BC143" s="198">
        <f>BB143</f>
        <v>12.1</v>
      </c>
      <c r="BD143" s="165"/>
      <c r="BE143" s="198">
        <f>BE132+BE124</f>
        <v>10.9</v>
      </c>
      <c r="BF143" s="198">
        <f>BF132+BF124</f>
        <v>10.9</v>
      </c>
      <c r="BG143" s="198">
        <f>BG132+BG124</f>
        <v>2.1</v>
      </c>
      <c r="BH143" s="198">
        <f>BH132+BH124</f>
        <v>99.5</v>
      </c>
      <c r="BI143" s="198">
        <f>BH143</f>
        <v>99.5</v>
      </c>
      <c r="BJ143" s="165"/>
      <c r="BK143" s="198">
        <f>BK132+BK124</f>
        <v>174.5</v>
      </c>
      <c r="BL143" s="198">
        <f>BL132+BL124</f>
        <v>174.5</v>
      </c>
      <c r="BM143" s="198">
        <f>BM132+BM124</f>
        <v>183.29999999999998</v>
      </c>
      <c r="BN143" s="198">
        <f>BN132+BN124</f>
        <v>85.899999999999991</v>
      </c>
      <c r="BO143" s="198">
        <f>BN143</f>
        <v>85.899999999999991</v>
      </c>
      <c r="BP143" s="165"/>
      <c r="BQ143" s="198">
        <f>BQ132+BQ124</f>
        <v>85.899999999999991</v>
      </c>
      <c r="BR143" s="198">
        <f>BR132+BR124</f>
        <v>85.899999999999991</v>
      </c>
      <c r="BS143" s="198">
        <f>BS132+BS124</f>
        <v>85.899999999999991</v>
      </c>
      <c r="BT143" s="198">
        <f>BT132+BT124</f>
        <v>85.899999999999991</v>
      </c>
      <c r="BU143" s="198">
        <f>BT143</f>
        <v>85.899999999999991</v>
      </c>
      <c r="BV143" s="165"/>
      <c r="BW143" s="198">
        <f>BW132+BW124</f>
        <v>85.899999999999991</v>
      </c>
      <c r="BX143" s="198">
        <f>BX132+BX124</f>
        <v>85.899999999999991</v>
      </c>
      <c r="BY143" s="198">
        <f>BY132+BY124</f>
        <v>85.899999999999991</v>
      </c>
      <c r="BZ143" s="198">
        <f>BZ132+BZ124</f>
        <v>85.899999999999991</v>
      </c>
      <c r="CA143" s="198">
        <f>BZ143</f>
        <v>85.899999999999991</v>
      </c>
      <c r="CB143" s="165"/>
      <c r="CC143" s="198">
        <f>CC132+CC124</f>
        <v>10.9</v>
      </c>
      <c r="CD143" s="198">
        <f>CD132+CD124</f>
        <v>10.9</v>
      </c>
      <c r="CE143" s="198">
        <f>CE132+CE124</f>
        <v>2.1</v>
      </c>
      <c r="CF143" s="198">
        <f>CF132+CF124</f>
        <v>2.1</v>
      </c>
      <c r="CG143" s="198">
        <f>CF143</f>
        <v>2.1</v>
      </c>
    </row>
    <row r="144" spans="2:85" s="24" customFormat="1" ht="12" customHeight="1" x14ac:dyDescent="0.2">
      <c r="B144" s="43" t="s">
        <v>303</v>
      </c>
      <c r="C144" s="198"/>
      <c r="D144" s="198"/>
      <c r="E144" s="198"/>
      <c r="F144" s="991"/>
      <c r="G144" s="991">
        <v>482.06299999999999</v>
      </c>
      <c r="H144" s="992"/>
      <c r="I144" s="991"/>
      <c r="J144" s="991"/>
      <c r="K144" s="991"/>
      <c r="L144" s="991"/>
      <c r="M144" s="991">
        <v>423.67899999999997</v>
      </c>
      <c r="N144" s="992"/>
      <c r="O144" s="991"/>
      <c r="P144" s="991"/>
      <c r="Q144" s="991"/>
      <c r="R144" s="991"/>
      <c r="S144" s="991">
        <v>387.15100000000001</v>
      </c>
      <c r="T144" s="992"/>
      <c r="U144" s="991"/>
      <c r="V144" s="991"/>
      <c r="W144" s="991"/>
      <c r="X144" s="991"/>
      <c r="Y144" s="991">
        <v>604.01499999999999</v>
      </c>
      <c r="Z144" s="193"/>
      <c r="AA144" s="198"/>
      <c r="AB144" s="198"/>
      <c r="AC144" s="198"/>
      <c r="AD144" s="198"/>
      <c r="AE144" s="198">
        <f>AE141-AE143</f>
        <v>1766.711</v>
      </c>
      <c r="AF144" s="193"/>
      <c r="AG144" s="991">
        <v>1481.2170000000001</v>
      </c>
      <c r="AH144" s="991">
        <v>1482.7829999999999</v>
      </c>
      <c r="AI144" s="991">
        <v>1237.2439999999999</v>
      </c>
      <c r="AJ144" s="991">
        <v>1222.0350000000001</v>
      </c>
      <c r="AK144" s="198">
        <f>AK141-AK143</f>
        <v>1222.0350000000001</v>
      </c>
      <c r="AL144" s="165"/>
      <c r="AM144" s="991">
        <v>1207.722</v>
      </c>
      <c r="AN144" s="991">
        <v>1123.7919999999999</v>
      </c>
      <c r="AO144" s="991">
        <v>1164.7940000000001</v>
      </c>
      <c r="AP144" s="991">
        <v>1166.1780000000001</v>
      </c>
      <c r="AQ144" s="198">
        <f>AQ141-AQ143</f>
        <v>1166.1779999999999</v>
      </c>
      <c r="AR144" s="165"/>
      <c r="AS144" s="991">
        <v>1065.463</v>
      </c>
      <c r="AT144" s="991">
        <v>1065.8810000000001</v>
      </c>
      <c r="AU144" s="991">
        <v>1165.566</v>
      </c>
      <c r="AV144" s="991">
        <v>1152.8820000000001</v>
      </c>
      <c r="AW144" s="198">
        <f>AW141-AW143</f>
        <v>1152.8820000000001</v>
      </c>
      <c r="AX144" s="165"/>
      <c r="AY144" s="991">
        <v>1078.8230000000001</v>
      </c>
      <c r="AZ144" s="991">
        <v>1077.779</v>
      </c>
      <c r="BA144" s="991">
        <v>701.9</v>
      </c>
      <c r="BB144" s="991">
        <v>1141</v>
      </c>
      <c r="BC144" s="198">
        <f>BC141-BC143</f>
        <v>1141.0000000000002</v>
      </c>
      <c r="BD144" s="165"/>
      <c r="BE144" s="198">
        <f>BE141-BE143</f>
        <v>1069.6999999999998</v>
      </c>
      <c r="BF144" s="198">
        <f>BF141-BF143</f>
        <v>1069.6999999999998</v>
      </c>
      <c r="BG144" s="198">
        <f>BG141-BG143</f>
        <v>1069.7</v>
      </c>
      <c r="BH144" s="198">
        <f>BH141-BH143</f>
        <v>972.3</v>
      </c>
      <c r="BI144" s="198">
        <f>BI141-BI143</f>
        <v>972.3</v>
      </c>
      <c r="BJ144" s="165"/>
      <c r="BK144" s="198">
        <f>BK141-BK143</f>
        <v>897.3</v>
      </c>
      <c r="BL144" s="198">
        <f>BL141-BL143</f>
        <v>897.3</v>
      </c>
      <c r="BM144" s="198">
        <f>BM141-BM143</f>
        <v>888.5</v>
      </c>
      <c r="BN144" s="198">
        <f>BN141-BN143</f>
        <v>888.50000000000011</v>
      </c>
      <c r="BO144" s="198">
        <f>BO141-BO143</f>
        <v>888.50000000000011</v>
      </c>
      <c r="BP144" s="165"/>
      <c r="BQ144" s="198">
        <f>BQ141-BQ143</f>
        <v>813.50000000000011</v>
      </c>
      <c r="BR144" s="198">
        <f>BR141-BR143</f>
        <v>813.50000000000011</v>
      </c>
      <c r="BS144" s="198">
        <f>BS141-BS143</f>
        <v>804.70000000000016</v>
      </c>
      <c r="BT144" s="198">
        <f>BT141-BT143</f>
        <v>804.70000000000016</v>
      </c>
      <c r="BU144" s="198">
        <f>BU141-BU143</f>
        <v>804.70000000000016</v>
      </c>
      <c r="BV144" s="165"/>
      <c r="BW144" s="198">
        <f>BW141-BW143</f>
        <v>729.70000000000016</v>
      </c>
      <c r="BX144" s="198">
        <f>BX141-BX143</f>
        <v>729.70000000000016</v>
      </c>
      <c r="BY144" s="198">
        <f>BY141-BY143</f>
        <v>720.9000000000002</v>
      </c>
      <c r="BZ144" s="198">
        <f>BZ141-BZ143</f>
        <v>720.9000000000002</v>
      </c>
      <c r="CA144" s="198">
        <f>CA141-CA143</f>
        <v>720.9000000000002</v>
      </c>
      <c r="CB144" s="165"/>
      <c r="CC144" s="198">
        <f>CC141-CC143</f>
        <v>720.9000000000002</v>
      </c>
      <c r="CD144" s="198">
        <f>CD141-CD143</f>
        <v>720.9000000000002</v>
      </c>
      <c r="CE144" s="198">
        <f>CE141-CE143</f>
        <v>720.9000000000002</v>
      </c>
      <c r="CF144" s="198">
        <f>CF141-CF143</f>
        <v>720.9000000000002</v>
      </c>
      <c r="CG144" s="198">
        <f>CG141-CG143</f>
        <v>720.9000000000002</v>
      </c>
    </row>
    <row r="145" spans="2:85" ht="12" customHeight="1" x14ac:dyDescent="0.2">
      <c r="B145" s="11"/>
      <c r="C145" s="183"/>
      <c r="D145" s="183"/>
      <c r="E145" s="199"/>
      <c r="F145" s="199"/>
      <c r="G145" s="200"/>
      <c r="H145" s="183"/>
      <c r="I145" s="199"/>
      <c r="J145" s="199"/>
      <c r="K145" s="199"/>
      <c r="L145" s="199"/>
      <c r="M145" s="200"/>
      <c r="N145" s="183"/>
      <c r="O145" s="199"/>
      <c r="P145" s="199"/>
      <c r="Q145" s="199"/>
      <c r="R145" s="199"/>
      <c r="S145" s="200"/>
      <c r="T145" s="183"/>
      <c r="U145" s="199"/>
      <c r="V145" s="199"/>
      <c r="W145" s="199"/>
      <c r="X145" s="199"/>
      <c r="Y145" s="435"/>
      <c r="Z145" s="201"/>
      <c r="AA145" s="435"/>
      <c r="AB145" s="435"/>
      <c r="AC145" s="435"/>
      <c r="AD145" s="435"/>
      <c r="AE145" s="201"/>
      <c r="AF145" s="187"/>
      <c r="AG145" s="435"/>
      <c r="AH145" s="201"/>
      <c r="AI145" s="201"/>
      <c r="AJ145" s="506"/>
      <c r="AK145" s="201"/>
      <c r="AL145" s="202"/>
      <c r="AM145" s="201"/>
      <c r="AN145" s="201"/>
      <c r="AO145" s="201"/>
      <c r="AP145" s="201"/>
      <c r="AQ145" s="201"/>
      <c r="AR145" s="202"/>
      <c r="AS145" s="201"/>
      <c r="AT145" s="201"/>
      <c r="AU145" s="201"/>
      <c r="AV145" s="201"/>
      <c r="AW145" s="201"/>
      <c r="AX145" s="202"/>
      <c r="AY145" s="201"/>
      <c r="AZ145" s="201"/>
      <c r="BA145" s="201"/>
      <c r="BB145" s="201"/>
      <c r="BC145" s="201"/>
      <c r="BD145" s="202"/>
      <c r="BE145" s="201"/>
      <c r="BF145" s="201"/>
      <c r="BG145" s="201"/>
      <c r="BH145" s="201"/>
      <c r="BI145" s="201"/>
      <c r="BJ145" s="202"/>
      <c r="BK145" s="201"/>
      <c r="BL145" s="201"/>
      <c r="BM145" s="201"/>
      <c r="BN145" s="201"/>
      <c r="BO145" s="201"/>
      <c r="BP145" s="202"/>
      <c r="BQ145" s="201"/>
      <c r="BR145" s="201"/>
      <c r="BS145" s="201"/>
      <c r="BT145" s="201"/>
      <c r="BU145" s="201"/>
      <c r="BV145" s="202"/>
      <c r="BW145" s="201"/>
      <c r="BX145" s="201"/>
      <c r="BY145" s="201"/>
      <c r="BZ145" s="201"/>
      <c r="CA145" s="201"/>
      <c r="CB145" s="202"/>
      <c r="CC145" s="201"/>
      <c r="CD145" s="201"/>
      <c r="CE145" s="201"/>
      <c r="CF145" s="201"/>
      <c r="CG145" s="201"/>
    </row>
    <row r="146" spans="2:85" ht="12" customHeight="1" x14ac:dyDescent="0.2">
      <c r="B146" s="11"/>
      <c r="C146" s="183"/>
      <c r="D146" s="183"/>
      <c r="E146" s="197"/>
      <c r="F146" s="197"/>
      <c r="G146" s="198"/>
      <c r="H146" s="183"/>
      <c r="I146" s="197"/>
      <c r="J146" s="197"/>
      <c r="K146" s="197"/>
      <c r="L146" s="197"/>
      <c r="M146" s="198"/>
      <c r="N146" s="183"/>
      <c r="O146" s="197"/>
      <c r="P146" s="197"/>
      <c r="Q146" s="197"/>
      <c r="R146" s="197"/>
      <c r="S146" s="198"/>
      <c r="T146" s="183"/>
      <c r="U146" s="197"/>
      <c r="V146" s="197"/>
      <c r="W146" s="197"/>
      <c r="X146" s="197"/>
      <c r="Y146" s="195"/>
      <c r="Z146" s="194"/>
      <c r="AA146" s="195"/>
      <c r="AB146" s="195"/>
      <c r="AC146" s="195"/>
      <c r="AD146" s="195"/>
      <c r="AE146" s="183"/>
      <c r="AF146" s="183"/>
      <c r="AG146" s="195"/>
      <c r="AH146" s="183"/>
      <c r="AI146" s="183"/>
      <c r="AJ146" s="183"/>
      <c r="AK146" s="183"/>
      <c r="AL146" s="136"/>
      <c r="AM146" s="183"/>
      <c r="AN146" s="183"/>
      <c r="AO146" s="183"/>
      <c r="AP146" s="183"/>
      <c r="AQ146" s="201"/>
      <c r="AR146" s="136"/>
      <c r="AS146" s="201"/>
      <c r="AT146" s="201"/>
      <c r="AU146" s="201"/>
      <c r="AV146" s="488"/>
      <c r="AW146" s="201"/>
      <c r="AX146" s="136"/>
      <c r="AY146" s="183"/>
      <c r="AZ146" s="183"/>
      <c r="BA146" s="183"/>
      <c r="BB146" s="183"/>
      <c r="BC146" s="183"/>
      <c r="BD146" s="136"/>
      <c r="BE146" s="183"/>
      <c r="BF146" s="183"/>
      <c r="BG146" s="183"/>
      <c r="BH146" s="183"/>
      <c r="BI146" s="183"/>
      <c r="BJ146" s="136"/>
      <c r="BK146" s="183"/>
      <c r="BL146" s="183"/>
      <c r="BM146" s="183"/>
      <c r="BN146" s="183"/>
      <c r="BO146" s="183"/>
      <c r="BP146" s="136"/>
      <c r="BQ146" s="183"/>
      <c r="BR146" s="183"/>
      <c r="BS146" s="183"/>
      <c r="BT146" s="183"/>
      <c r="BU146" s="183"/>
      <c r="BV146" s="136"/>
      <c r="BW146" s="183"/>
      <c r="BX146" s="183"/>
      <c r="BY146" s="183"/>
      <c r="BZ146" s="183"/>
      <c r="CA146" s="183"/>
      <c r="CB146" s="136"/>
      <c r="CC146" s="183"/>
      <c r="CD146" s="183"/>
      <c r="CE146" s="183"/>
      <c r="CF146" s="183"/>
      <c r="CG146" s="183"/>
    </row>
    <row r="147" spans="2:85" ht="12" customHeight="1" x14ac:dyDescent="0.2">
      <c r="B147" s="108" t="s">
        <v>304</v>
      </c>
      <c r="C147" s="183"/>
      <c r="D147" s="183"/>
      <c r="E147" s="183"/>
      <c r="F147" s="183"/>
      <c r="G147" s="193"/>
      <c r="H147" s="183"/>
      <c r="I147" s="183"/>
      <c r="J147" s="183"/>
      <c r="K147" s="183"/>
      <c r="L147" s="183"/>
      <c r="M147" s="193"/>
      <c r="N147" s="183"/>
      <c r="O147" s="183"/>
      <c r="P147" s="183"/>
      <c r="Q147" s="183"/>
      <c r="R147" s="183"/>
      <c r="S147" s="193"/>
      <c r="T147" s="183"/>
      <c r="U147" s="183"/>
      <c r="V147" s="183"/>
      <c r="W147" s="183"/>
      <c r="X147" s="183"/>
      <c r="Y147" s="436"/>
      <c r="Z147" s="194"/>
      <c r="AA147" s="194"/>
      <c r="AB147" s="194"/>
      <c r="AC147" s="437"/>
      <c r="AD147" s="437"/>
      <c r="AE147" s="199"/>
      <c r="AF147" s="183"/>
      <c r="AG147" s="437"/>
      <c r="AH147" s="183"/>
      <c r="AI147" s="183"/>
      <c r="AJ147" s="183"/>
      <c r="AK147" s="204"/>
      <c r="AL147" s="136"/>
      <c r="AM147" s="183"/>
      <c r="AN147" s="183"/>
      <c r="AO147" s="183"/>
      <c r="AP147" s="183"/>
      <c r="AQ147" s="183"/>
      <c r="AR147" s="136"/>
      <c r="AS147" s="204"/>
      <c r="AT147" s="543"/>
      <c r="AU147" s="183"/>
      <c r="AV147" s="183"/>
      <c r="AW147" s="183"/>
      <c r="AX147" s="136"/>
      <c r="AY147" s="183"/>
      <c r="AZ147" s="183"/>
      <c r="BA147" s="183"/>
      <c r="BB147" s="183"/>
      <c r="BC147" s="183"/>
      <c r="BD147" s="136"/>
      <c r="BE147" s="183"/>
      <c r="BF147" s="183"/>
      <c r="BG147" s="183"/>
      <c r="BH147" s="183"/>
      <c r="BI147" s="183"/>
      <c r="BJ147" s="136"/>
      <c r="BK147" s="183"/>
      <c r="BL147" s="183"/>
      <c r="BM147" s="183"/>
      <c r="BN147" s="183"/>
      <c r="BO147" s="183"/>
      <c r="BP147" s="136"/>
      <c r="BQ147" s="183"/>
      <c r="BR147" s="183"/>
      <c r="BS147" s="183"/>
      <c r="BT147" s="183"/>
      <c r="BU147" s="183"/>
      <c r="BV147" s="136"/>
      <c r="BW147" s="183"/>
      <c r="BX147" s="183"/>
      <c r="BY147" s="183"/>
      <c r="BZ147" s="183"/>
      <c r="CA147" s="183"/>
      <c r="CB147" s="136"/>
      <c r="CC147" s="183"/>
      <c r="CD147" s="183"/>
      <c r="CE147" s="183"/>
      <c r="CF147" s="183"/>
      <c r="CG147" s="183"/>
    </row>
    <row r="148" spans="2:85" ht="12" customHeight="1" x14ac:dyDescent="0.2">
      <c r="B148" s="11"/>
      <c r="C148" s="187"/>
      <c r="D148" s="187"/>
      <c r="E148" s="187"/>
      <c r="F148" s="182"/>
      <c r="G148" s="184"/>
      <c r="H148" s="183"/>
      <c r="I148" s="187"/>
      <c r="J148" s="187"/>
      <c r="K148" s="187"/>
      <c r="L148" s="182"/>
      <c r="M148" s="184"/>
      <c r="N148" s="183"/>
      <c r="O148" s="187"/>
      <c r="P148" s="187"/>
      <c r="Q148" s="187"/>
      <c r="R148" s="182"/>
      <c r="S148" s="184"/>
      <c r="T148" s="183"/>
      <c r="U148" s="183"/>
      <c r="V148" s="183"/>
      <c r="W148" s="183"/>
      <c r="X148" s="183"/>
      <c r="Y148" s="193"/>
      <c r="Z148" s="183"/>
      <c r="AA148" s="197"/>
      <c r="AB148" s="183"/>
      <c r="AC148" s="183"/>
      <c r="AD148" s="183"/>
      <c r="AE148" s="183"/>
      <c r="AF148" s="183"/>
      <c r="AG148" s="199"/>
      <c r="AH148" s="183"/>
      <c r="AI148" s="183"/>
      <c r="AJ148" s="183"/>
      <c r="AK148" s="183"/>
      <c r="AL148" s="136"/>
      <c r="AM148" s="183"/>
      <c r="AN148" s="183"/>
      <c r="AO148" s="183"/>
      <c r="AP148" s="197"/>
      <c r="AQ148" s="183"/>
      <c r="AR148" s="136"/>
      <c r="AS148" s="183"/>
      <c r="AT148" s="204"/>
      <c r="AU148" s="183"/>
      <c r="AV148" s="183"/>
      <c r="AW148" s="183"/>
      <c r="AX148" s="136"/>
      <c r="AY148" s="183"/>
      <c r="AZ148" s="183"/>
      <c r="BA148" s="183"/>
      <c r="BB148" s="183"/>
      <c r="BC148" s="183"/>
      <c r="BD148" s="136"/>
      <c r="BE148" s="183"/>
      <c r="BF148" s="183"/>
      <c r="BG148" s="183"/>
      <c r="BH148" s="183"/>
      <c r="BI148" s="183"/>
      <c r="BJ148" s="136"/>
      <c r="BK148" s="183"/>
      <c r="BL148" s="183"/>
      <c r="BM148" s="183"/>
      <c r="BN148" s="183"/>
      <c r="BO148" s="183"/>
      <c r="BP148" s="136"/>
      <c r="BQ148" s="183"/>
      <c r="BR148" s="183"/>
      <c r="BS148" s="183"/>
      <c r="BT148" s="183"/>
      <c r="BU148" s="183"/>
      <c r="BV148" s="136"/>
      <c r="BW148" s="183"/>
      <c r="BX148" s="183"/>
      <c r="BY148" s="183"/>
      <c r="BZ148" s="183"/>
      <c r="CA148" s="183"/>
      <c r="CB148" s="136"/>
      <c r="CC148" s="183"/>
      <c r="CD148" s="183"/>
      <c r="CE148" s="183"/>
      <c r="CF148" s="183"/>
      <c r="CG148" s="183"/>
    </row>
    <row r="149" spans="2:85" ht="12" customHeight="1" x14ac:dyDescent="0.2">
      <c r="B149" s="11" t="s">
        <v>311</v>
      </c>
      <c r="C149" s="197"/>
      <c r="D149" s="197"/>
      <c r="E149" s="197"/>
      <c r="F149" s="197"/>
      <c r="G149" s="198"/>
      <c r="H149" s="183"/>
      <c r="I149" s="197"/>
      <c r="J149" s="197"/>
      <c r="K149" s="197"/>
      <c r="L149" s="197"/>
      <c r="M149" s="198"/>
      <c r="N149" s="183"/>
      <c r="O149" s="197"/>
      <c r="P149" s="197"/>
      <c r="Q149" s="197"/>
      <c r="R149" s="197"/>
      <c r="S149" s="198"/>
      <c r="T149" s="183"/>
      <c r="U149" s="197"/>
      <c r="V149" s="197"/>
      <c r="W149" s="197"/>
      <c r="X149" s="197"/>
      <c r="Y149" s="198"/>
      <c r="Z149" s="197"/>
      <c r="AA149" s="197"/>
      <c r="AB149" s="203"/>
      <c r="AC149" s="203"/>
      <c r="AD149" s="203"/>
      <c r="AE149" s="197"/>
      <c r="AF149" s="183"/>
      <c r="AG149" s="203"/>
      <c r="AH149" s="203"/>
      <c r="AI149" s="203"/>
      <c r="AJ149" s="203"/>
      <c r="AK149" s="204"/>
      <c r="AL149" s="136"/>
      <c r="AM149" s="203"/>
      <c r="AN149" s="203"/>
      <c r="AO149" s="203"/>
      <c r="AP149" s="203"/>
      <c r="AQ149" s="204"/>
      <c r="AR149" s="136"/>
      <c r="AS149" s="203"/>
      <c r="AT149" s="542"/>
      <c r="AU149" s="203"/>
      <c r="AV149" s="203"/>
      <c r="AW149" s="204"/>
      <c r="AX149" s="136"/>
      <c r="AY149" s="203"/>
      <c r="AZ149" s="203"/>
      <c r="BA149" s="203"/>
      <c r="BB149" s="203"/>
      <c r="BC149" s="204"/>
      <c r="BD149" s="136"/>
      <c r="BE149" s="203"/>
      <c r="BF149" s="203"/>
      <c r="BG149" s="203"/>
      <c r="BH149" s="203"/>
      <c r="BI149" s="204"/>
      <c r="BJ149" s="136"/>
      <c r="BK149" s="203"/>
      <c r="BL149" s="203"/>
      <c r="BM149" s="203"/>
      <c r="BN149" s="203"/>
      <c r="BO149" s="204"/>
      <c r="BP149" s="136"/>
      <c r="BQ149" s="203"/>
      <c r="BR149" s="203"/>
      <c r="BS149" s="203"/>
      <c r="BT149" s="203"/>
      <c r="BU149" s="204"/>
      <c r="BV149" s="136"/>
      <c r="BW149" s="203"/>
      <c r="BX149" s="203"/>
      <c r="BY149" s="203"/>
      <c r="BZ149" s="203"/>
      <c r="CA149" s="204"/>
      <c r="CB149" s="136"/>
      <c r="CC149" s="203"/>
      <c r="CD149" s="203"/>
      <c r="CE149" s="203"/>
      <c r="CF149" s="203"/>
      <c r="CG149" s="204"/>
    </row>
    <row r="150" spans="2:85" ht="12" customHeight="1" x14ac:dyDescent="0.2">
      <c r="B150" s="113" t="s">
        <v>312</v>
      </c>
      <c r="C150" s="197"/>
      <c r="D150" s="197"/>
      <c r="E150" s="197"/>
      <c r="F150" s="197"/>
      <c r="G150" s="198"/>
      <c r="H150" s="183"/>
      <c r="I150" s="197"/>
      <c r="J150" s="197"/>
      <c r="K150" s="197"/>
      <c r="L150" s="197"/>
      <c r="M150" s="198">
        <f>M119-G119</f>
        <v>-0.33999999999999997</v>
      </c>
      <c r="N150" s="183"/>
      <c r="O150" s="197"/>
      <c r="P150" s="197"/>
      <c r="Q150" s="197"/>
      <c r="R150" s="197"/>
      <c r="S150" s="198">
        <f>S119-M119</f>
        <v>5.2709999999999999</v>
      </c>
      <c r="T150" s="183"/>
      <c r="U150" s="197"/>
      <c r="V150" s="197"/>
      <c r="W150" s="197"/>
      <c r="X150" s="197"/>
      <c r="Y150" s="198">
        <f>Y119-S119</f>
        <v>-4.4409999999999998</v>
      </c>
      <c r="Z150" s="229"/>
      <c r="AA150" s="197"/>
      <c r="AB150" s="197"/>
      <c r="AC150" s="197"/>
      <c r="AD150" s="197"/>
      <c r="AE150" s="198">
        <f>AE119-Y119</f>
        <v>266.85500000000002</v>
      </c>
      <c r="AF150" s="183"/>
      <c r="AG150" s="197">
        <f>AG119-AE119</f>
        <v>0</v>
      </c>
      <c r="AH150" s="197">
        <v>0</v>
      </c>
      <c r="AI150" s="197">
        <v>0</v>
      </c>
      <c r="AJ150" s="197">
        <v>0</v>
      </c>
      <c r="AK150" s="204">
        <f>SUM(AG150:AJ150)</f>
        <v>0</v>
      </c>
      <c r="AL150" s="136"/>
      <c r="AM150" s="197">
        <v>0</v>
      </c>
      <c r="AN150" s="197">
        <v>0</v>
      </c>
      <c r="AO150" s="197">
        <v>0</v>
      </c>
      <c r="AP150" s="197">
        <v>0</v>
      </c>
      <c r="AQ150" s="204">
        <f>SUM(AM150:AP150)</f>
        <v>0</v>
      </c>
      <c r="AR150" s="136"/>
      <c r="AS150" s="430">
        <f>164.6-2.4-99.99</f>
        <v>62.209999999999994</v>
      </c>
      <c r="AT150" s="430">
        <v>-103.539</v>
      </c>
      <c r="AU150" s="430">
        <v>-61.999999999999986</v>
      </c>
      <c r="AV150" s="430">
        <v>0</v>
      </c>
      <c r="AW150" s="197">
        <f>SUM(AS150:AV150)</f>
        <v>-103.32899999999999</v>
      </c>
      <c r="AX150" s="136"/>
      <c r="AY150" s="430">
        <v>0</v>
      </c>
      <c r="AZ150" s="430">
        <v>0</v>
      </c>
      <c r="BA150" s="430">
        <v>0</v>
      </c>
      <c r="BB150" s="430">
        <v>0</v>
      </c>
      <c r="BC150" s="197">
        <f>SUM(AY150:BB150)</f>
        <v>0</v>
      </c>
      <c r="BD150" s="136"/>
      <c r="BE150" s="430">
        <f>-BC119</f>
        <v>-0.4</v>
      </c>
      <c r="BF150" s="430">
        <v>0</v>
      </c>
      <c r="BG150" s="430">
        <v>0</v>
      </c>
      <c r="BH150" s="430">
        <v>0</v>
      </c>
      <c r="BI150" s="197">
        <f>SUM(BE150:BH150)</f>
        <v>-0.4</v>
      </c>
      <c r="BJ150" s="136"/>
      <c r="BK150" s="430">
        <v>0</v>
      </c>
      <c r="BL150" s="430">
        <v>0</v>
      </c>
      <c r="BM150" s="430">
        <v>0</v>
      </c>
      <c r="BN150" s="430">
        <v>0</v>
      </c>
      <c r="BO150" s="197">
        <f>SUM(BK150:BN150)</f>
        <v>0</v>
      </c>
      <c r="BP150" s="136"/>
      <c r="BQ150" s="430">
        <v>0</v>
      </c>
      <c r="BR150" s="430">
        <v>0</v>
      </c>
      <c r="BS150" s="430">
        <v>0</v>
      </c>
      <c r="BT150" s="430">
        <v>0</v>
      </c>
      <c r="BU150" s="197">
        <f>SUM(BQ150:BT150)</f>
        <v>0</v>
      </c>
      <c r="BV150" s="136"/>
      <c r="BW150" s="430">
        <v>0</v>
      </c>
      <c r="BX150" s="430">
        <v>0</v>
      </c>
      <c r="BY150" s="430">
        <v>0</v>
      </c>
      <c r="BZ150" s="430">
        <v>0</v>
      </c>
      <c r="CA150" s="197">
        <f>SUM(BW150:BZ150)</f>
        <v>0</v>
      </c>
      <c r="CB150" s="136"/>
      <c r="CC150" s="430">
        <v>0</v>
      </c>
      <c r="CD150" s="430">
        <v>0</v>
      </c>
      <c r="CE150" s="430">
        <v>0</v>
      </c>
      <c r="CF150" s="430">
        <v>0</v>
      </c>
      <c r="CG150" s="197">
        <f>SUM(CC150:CF150)</f>
        <v>0</v>
      </c>
    </row>
    <row r="151" spans="2:85" ht="12" customHeight="1" x14ac:dyDescent="0.2">
      <c r="B151" s="113" t="s">
        <v>313</v>
      </c>
      <c r="C151" s="197"/>
      <c r="D151" s="197"/>
      <c r="E151" s="197"/>
      <c r="F151" s="197"/>
      <c r="G151" s="198"/>
      <c r="H151" s="183"/>
      <c r="I151" s="197"/>
      <c r="J151" s="197"/>
      <c r="K151" s="197"/>
      <c r="L151" s="197"/>
      <c r="M151" s="198">
        <f>M120-G120</f>
        <v>-3.4000000000000002E-2</v>
      </c>
      <c r="N151" s="183"/>
      <c r="O151" s="197"/>
      <c r="P151" s="197"/>
      <c r="Q151" s="197"/>
      <c r="R151" s="197"/>
      <c r="S151" s="198">
        <f>S120-M120</f>
        <v>-1.3000000000000012E-2</v>
      </c>
      <c r="T151" s="183"/>
      <c r="U151" s="197"/>
      <c r="V151" s="197"/>
      <c r="W151" s="197"/>
      <c r="X151" s="197"/>
      <c r="Y151" s="198">
        <f>Y120-S120</f>
        <v>3.5000000000000003E-2</v>
      </c>
      <c r="Z151" s="229"/>
      <c r="AA151" s="197"/>
      <c r="AB151" s="197"/>
      <c r="AC151" s="197"/>
      <c r="AD151" s="197"/>
      <c r="AE151" s="198">
        <f>AE120-Y120</f>
        <v>-4.9999999999999989E-2</v>
      </c>
      <c r="AF151" s="183"/>
      <c r="AG151" s="197">
        <f>AG120-AE120</f>
        <v>0</v>
      </c>
      <c r="AH151" s="197">
        <v>0</v>
      </c>
      <c r="AI151" s="197">
        <v>0</v>
      </c>
      <c r="AJ151" s="197">
        <v>0</v>
      </c>
      <c r="AK151" s="204">
        <f>SUM(AG151:AJ151)</f>
        <v>0</v>
      </c>
      <c r="AL151" s="136"/>
      <c r="AM151" s="197">
        <v>0</v>
      </c>
      <c r="AN151" s="197">
        <v>0</v>
      </c>
      <c r="AO151" s="197">
        <v>0</v>
      </c>
      <c r="AP151" s="197">
        <v>0</v>
      </c>
      <c r="AQ151" s="204">
        <f>SUM(AM151:AP151)</f>
        <v>0</v>
      </c>
      <c r="AR151" s="136"/>
      <c r="AS151" s="430">
        <v>0</v>
      </c>
      <c r="AT151" s="430">
        <v>0</v>
      </c>
      <c r="AU151" s="430">
        <v>0</v>
      </c>
      <c r="AV151" s="430">
        <v>0</v>
      </c>
      <c r="AW151" s="197">
        <f>SUM(AS151:AV151)</f>
        <v>0</v>
      </c>
      <c r="AX151" s="136"/>
      <c r="AY151" s="430">
        <v>0</v>
      </c>
      <c r="AZ151" s="430">
        <v>0</v>
      </c>
      <c r="BA151" s="430">
        <v>0</v>
      </c>
      <c r="BB151" s="430">
        <v>0</v>
      </c>
      <c r="BC151" s="197">
        <f>SUM(AY151:BB151)</f>
        <v>0</v>
      </c>
      <c r="BD151" s="136"/>
      <c r="BE151" s="430">
        <v>0</v>
      </c>
      <c r="BF151" s="430">
        <v>0</v>
      </c>
      <c r="BG151" s="430">
        <v>0</v>
      </c>
      <c r="BH151" s="430">
        <v>0</v>
      </c>
      <c r="BI151" s="197">
        <f>SUM(BE151:BH151)</f>
        <v>0</v>
      </c>
      <c r="BJ151" s="136"/>
      <c r="BK151" s="430">
        <v>0</v>
      </c>
      <c r="BL151" s="430">
        <v>0</v>
      </c>
      <c r="BM151" s="430">
        <v>0</v>
      </c>
      <c r="BN151" s="430">
        <v>0</v>
      </c>
      <c r="BO151" s="197">
        <f>SUM(BK151:BN151)</f>
        <v>0</v>
      </c>
      <c r="BP151" s="136"/>
      <c r="BQ151" s="430">
        <v>0</v>
      </c>
      <c r="BR151" s="430">
        <v>0</v>
      </c>
      <c r="BS151" s="430">
        <v>0</v>
      </c>
      <c r="BT151" s="430">
        <v>0</v>
      </c>
      <c r="BU151" s="197">
        <f>SUM(BQ151:BT151)</f>
        <v>0</v>
      </c>
      <c r="BV151" s="136"/>
      <c r="BW151" s="430">
        <v>0</v>
      </c>
      <c r="BX151" s="430">
        <v>0</v>
      </c>
      <c r="BY151" s="430">
        <v>0</v>
      </c>
      <c r="BZ151" s="430">
        <v>0</v>
      </c>
      <c r="CA151" s="197">
        <f>SUM(BW151:BZ151)</f>
        <v>0</v>
      </c>
      <c r="CB151" s="136"/>
      <c r="CC151" s="430">
        <v>0</v>
      </c>
      <c r="CD151" s="430">
        <v>0</v>
      </c>
      <c r="CE151" s="430">
        <v>0</v>
      </c>
      <c r="CF151" s="430">
        <v>0</v>
      </c>
      <c r="CG151" s="197">
        <f>SUM(CC151:CF151)</f>
        <v>0</v>
      </c>
    </row>
    <row r="152" spans="2:85" ht="12" customHeight="1" x14ac:dyDescent="0.2">
      <c r="B152" s="113" t="s">
        <v>316</v>
      </c>
      <c r="C152" s="197"/>
      <c r="D152" s="197"/>
      <c r="E152" s="197"/>
      <c r="F152" s="197"/>
      <c r="G152" s="198"/>
      <c r="H152" s="183"/>
      <c r="I152" s="197"/>
      <c r="J152" s="197"/>
      <c r="K152" s="197"/>
      <c r="L152" s="197"/>
      <c r="M152" s="198">
        <f>M121-G121</f>
        <v>19.89</v>
      </c>
      <c r="N152" s="183"/>
      <c r="O152" s="197"/>
      <c r="P152" s="197"/>
      <c r="Q152" s="197"/>
      <c r="R152" s="197"/>
      <c r="S152" s="198">
        <f>S121-M121</f>
        <v>-10.457000000000001</v>
      </c>
      <c r="T152" s="183"/>
      <c r="U152" s="197"/>
      <c r="V152" s="197"/>
      <c r="W152" s="197"/>
      <c r="X152" s="197"/>
      <c r="Y152" s="198">
        <f>Y121-S121</f>
        <v>-5.53</v>
      </c>
      <c r="Z152" s="229"/>
      <c r="AA152" s="197"/>
      <c r="AB152" s="197"/>
      <c r="AC152" s="197"/>
      <c r="AD152" s="197"/>
      <c r="AE152" s="198">
        <f>AE121-Y121</f>
        <v>-1.7229999999999999</v>
      </c>
      <c r="AF152" s="183"/>
      <c r="AG152" s="197">
        <f>AG121-AE121</f>
        <v>11.335999999999974</v>
      </c>
      <c r="AH152" s="197">
        <v>0</v>
      </c>
      <c r="AI152" s="197">
        <v>0</v>
      </c>
      <c r="AJ152" s="197">
        <v>0</v>
      </c>
      <c r="AK152" s="204">
        <f>SUM(AG152:AJ152)</f>
        <v>11.335999999999974</v>
      </c>
      <c r="AL152" s="136"/>
      <c r="AM152" s="197">
        <v>0</v>
      </c>
      <c r="AN152" s="197">
        <v>0</v>
      </c>
      <c r="AO152" s="197">
        <v>0</v>
      </c>
      <c r="AP152" s="197">
        <v>0</v>
      </c>
      <c r="AQ152" s="204">
        <f>SUM(AM152:AP152)</f>
        <v>0</v>
      </c>
      <c r="AR152" s="136"/>
      <c r="AS152" s="430">
        <v>6.1</v>
      </c>
      <c r="AT152" s="430">
        <v>-1.4</v>
      </c>
      <c r="AU152" s="430">
        <v>0</v>
      </c>
      <c r="AV152" s="430">
        <v>0</v>
      </c>
      <c r="AW152" s="197">
        <f>SUM(AS152:AV152)</f>
        <v>4.6999999999999993</v>
      </c>
      <c r="AX152" s="136"/>
      <c r="AY152" s="430">
        <v>0</v>
      </c>
      <c r="AZ152" s="430">
        <v>0</v>
      </c>
      <c r="BA152" s="430">
        <v>0</v>
      </c>
      <c r="BB152" s="430">
        <v>0</v>
      </c>
      <c r="BC152" s="197">
        <f>SUM(AY152:BB152)</f>
        <v>0</v>
      </c>
      <c r="BD152" s="136"/>
      <c r="BE152" s="430">
        <v>0</v>
      </c>
      <c r="BF152" s="430">
        <v>0</v>
      </c>
      <c r="BG152" s="430">
        <v>0</v>
      </c>
      <c r="BH152" s="430">
        <v>0</v>
      </c>
      <c r="BI152" s="197">
        <f>SUM(BE152:BH152)</f>
        <v>0</v>
      </c>
      <c r="BJ152" s="136"/>
      <c r="BK152" s="430">
        <v>0</v>
      </c>
      <c r="BL152" s="430">
        <v>0</v>
      </c>
      <c r="BM152" s="430">
        <v>0</v>
      </c>
      <c r="BN152" s="430">
        <v>0</v>
      </c>
      <c r="BO152" s="197">
        <f>SUM(BK152:BN152)</f>
        <v>0</v>
      </c>
      <c r="BP152" s="136"/>
      <c r="BQ152" s="430">
        <v>0</v>
      </c>
      <c r="BR152" s="430">
        <v>0</v>
      </c>
      <c r="BS152" s="430">
        <v>0</v>
      </c>
      <c r="BT152" s="430">
        <v>0</v>
      </c>
      <c r="BU152" s="197">
        <f>SUM(BQ152:BT152)</f>
        <v>0</v>
      </c>
      <c r="BV152" s="136"/>
      <c r="BW152" s="430">
        <v>0</v>
      </c>
      <c r="BX152" s="430">
        <v>0</v>
      </c>
      <c r="BY152" s="430">
        <v>0</v>
      </c>
      <c r="BZ152" s="430">
        <v>0</v>
      </c>
      <c r="CA152" s="197">
        <f>SUM(BW152:BZ152)</f>
        <v>0</v>
      </c>
      <c r="CB152" s="136"/>
      <c r="CC152" s="430">
        <v>0</v>
      </c>
      <c r="CD152" s="430">
        <v>0</v>
      </c>
      <c r="CE152" s="430">
        <v>0</v>
      </c>
      <c r="CF152" s="430">
        <v>0</v>
      </c>
      <c r="CG152" s="197">
        <f>SUM(CC152:CF152)</f>
        <v>0</v>
      </c>
    </row>
    <row r="153" spans="2:85" ht="12" customHeight="1" x14ac:dyDescent="0.2">
      <c r="B153" s="113" t="s">
        <v>329</v>
      </c>
      <c r="C153" s="197"/>
      <c r="D153" s="197"/>
      <c r="E153" s="197"/>
      <c r="F153" s="197"/>
      <c r="G153" s="198"/>
      <c r="H153" s="183"/>
      <c r="I153" s="197"/>
      <c r="J153" s="197"/>
      <c r="K153" s="197"/>
      <c r="L153" s="197"/>
      <c r="M153" s="198">
        <f>M122-G122</f>
        <v>6.6000000000000003E-2</v>
      </c>
      <c r="N153" s="183"/>
      <c r="O153" s="197"/>
      <c r="P153" s="197"/>
      <c r="Q153" s="197"/>
      <c r="R153" s="197"/>
      <c r="S153" s="198">
        <f>S122-M122</f>
        <v>-6.6000000000000003E-2</v>
      </c>
      <c r="T153" s="183"/>
      <c r="U153" s="197"/>
      <c r="V153" s="197"/>
      <c r="W153" s="197"/>
      <c r="X153" s="197"/>
      <c r="Y153" s="198">
        <f>Y122-S122</f>
        <v>0</v>
      </c>
      <c r="Z153" s="229"/>
      <c r="AA153" s="197"/>
      <c r="AB153" s="197"/>
      <c r="AC153" s="197"/>
      <c r="AD153" s="197"/>
      <c r="AE153" s="198">
        <f>AE122-Y122</f>
        <v>0</v>
      </c>
      <c r="AF153" s="183"/>
      <c r="AG153" s="197">
        <f>AG122-AE122</f>
        <v>0</v>
      </c>
      <c r="AH153" s="197">
        <v>0</v>
      </c>
      <c r="AI153" s="197">
        <v>0</v>
      </c>
      <c r="AJ153" s="197">
        <v>0</v>
      </c>
      <c r="AK153" s="204">
        <f>SUM(AG153:AJ153)</f>
        <v>0</v>
      </c>
      <c r="AL153" s="136"/>
      <c r="AM153" s="197">
        <v>0</v>
      </c>
      <c r="AN153" s="197">
        <v>0</v>
      </c>
      <c r="AO153" s="197">
        <v>0</v>
      </c>
      <c r="AP153" s="197">
        <v>0</v>
      </c>
      <c r="AQ153" s="204">
        <f>SUM(AM153:AP153)</f>
        <v>0</v>
      </c>
      <c r="AR153" s="136"/>
      <c r="AS153" s="430">
        <v>0</v>
      </c>
      <c r="AT153" s="430">
        <v>0</v>
      </c>
      <c r="AU153" s="430">
        <v>0</v>
      </c>
      <c r="AV153" s="430">
        <v>0</v>
      </c>
      <c r="AW153" s="197">
        <f>SUM(AS153:AV153)</f>
        <v>0</v>
      </c>
      <c r="AX153" s="136"/>
      <c r="AY153" s="430">
        <v>0</v>
      </c>
      <c r="AZ153" s="430">
        <v>0</v>
      </c>
      <c r="BA153" s="430">
        <v>0</v>
      </c>
      <c r="BB153" s="430">
        <v>0</v>
      </c>
      <c r="BC153" s="197">
        <f>SUM(AY153:BB153)</f>
        <v>0</v>
      </c>
      <c r="BD153" s="136"/>
      <c r="BE153" s="430">
        <v>0</v>
      </c>
      <c r="BF153" s="430">
        <v>0</v>
      </c>
      <c r="BG153" s="430">
        <v>0</v>
      </c>
      <c r="BH153" s="430">
        <v>0</v>
      </c>
      <c r="BI153" s="197">
        <f>SUM(BE153:BH153)</f>
        <v>0</v>
      </c>
      <c r="BJ153" s="136"/>
      <c r="BK153" s="430">
        <v>0</v>
      </c>
      <c r="BL153" s="430">
        <v>0</v>
      </c>
      <c r="BM153" s="430">
        <v>0</v>
      </c>
      <c r="BN153" s="430">
        <v>0</v>
      </c>
      <c r="BO153" s="197">
        <f>SUM(BK153:BN153)</f>
        <v>0</v>
      </c>
      <c r="BP153" s="136"/>
      <c r="BQ153" s="430">
        <v>0</v>
      </c>
      <c r="BR153" s="430">
        <v>0</v>
      </c>
      <c r="BS153" s="430">
        <v>0</v>
      </c>
      <c r="BT153" s="430">
        <v>0</v>
      </c>
      <c r="BU153" s="197">
        <f>SUM(BQ153:BT153)</f>
        <v>0</v>
      </c>
      <c r="BV153" s="136"/>
      <c r="BW153" s="430">
        <v>0</v>
      </c>
      <c r="BX153" s="430">
        <v>0</v>
      </c>
      <c r="BY153" s="430">
        <v>0</v>
      </c>
      <c r="BZ153" s="430">
        <v>0</v>
      </c>
      <c r="CA153" s="197">
        <f>SUM(BW153:BZ153)</f>
        <v>0</v>
      </c>
      <c r="CB153" s="136"/>
      <c r="CC153" s="430">
        <v>0</v>
      </c>
      <c r="CD153" s="430">
        <v>0</v>
      </c>
      <c r="CE153" s="430">
        <v>0</v>
      </c>
      <c r="CF153" s="430">
        <v>0</v>
      </c>
      <c r="CG153" s="197">
        <f>SUM(CC153:CF153)</f>
        <v>0</v>
      </c>
    </row>
    <row r="154" spans="2:85" ht="12" customHeight="1" x14ac:dyDescent="0.2">
      <c r="B154" s="113" t="s">
        <v>330</v>
      </c>
      <c r="C154" s="197"/>
      <c r="D154" s="197"/>
      <c r="E154" s="197"/>
      <c r="F154" s="197"/>
      <c r="G154" s="198"/>
      <c r="H154" s="183"/>
      <c r="I154" s="197"/>
      <c r="J154" s="197"/>
      <c r="K154" s="197"/>
      <c r="L154" s="197"/>
      <c r="M154" s="198">
        <f>M123-G123</f>
        <v>1.177</v>
      </c>
      <c r="N154" s="183"/>
      <c r="O154" s="197"/>
      <c r="P154" s="197"/>
      <c r="Q154" s="197"/>
      <c r="R154" s="197"/>
      <c r="S154" s="198">
        <f>S123-M123</f>
        <v>-0.95600000000000007</v>
      </c>
      <c r="T154" s="183"/>
      <c r="U154" s="197"/>
      <c r="V154" s="197"/>
      <c r="W154" s="197"/>
      <c r="X154" s="197"/>
      <c r="Y154" s="198">
        <f>Y123-S123</f>
        <v>-0.38200000000000001</v>
      </c>
      <c r="Z154" s="229"/>
      <c r="AA154" s="197"/>
      <c r="AB154" s="197"/>
      <c r="AC154" s="197"/>
      <c r="AD154" s="197"/>
      <c r="AE154" s="198">
        <f>AE123-Y123</f>
        <v>4.9340000000000002</v>
      </c>
      <c r="AF154" s="183"/>
      <c r="AG154" s="197">
        <f>AG123-AE123</f>
        <v>0</v>
      </c>
      <c r="AH154" s="197">
        <v>0</v>
      </c>
      <c r="AI154" s="197">
        <v>0</v>
      </c>
      <c r="AJ154" s="197">
        <v>0</v>
      </c>
      <c r="AK154" s="204">
        <f>SUM(AG154:AJ154)</f>
        <v>0</v>
      </c>
      <c r="AL154" s="136"/>
      <c r="AM154" s="197">
        <v>0</v>
      </c>
      <c r="AN154" s="197">
        <v>0</v>
      </c>
      <c r="AO154" s="197">
        <v>0</v>
      </c>
      <c r="AP154" s="197">
        <v>0</v>
      </c>
      <c r="AQ154" s="204">
        <f>SUM(AM154:AP154)</f>
        <v>0</v>
      </c>
      <c r="AR154" s="136"/>
      <c r="AS154" s="430">
        <v>0</v>
      </c>
      <c r="AT154" s="430">
        <v>0</v>
      </c>
      <c r="AU154" s="430">
        <v>-9.7000000000000003E-2</v>
      </c>
      <c r="AV154" s="430">
        <v>0</v>
      </c>
      <c r="AW154" s="197">
        <f>SUM(AS154:AV154)</f>
        <v>-9.7000000000000003E-2</v>
      </c>
      <c r="AX154" s="136"/>
      <c r="AY154" s="430">
        <v>0</v>
      </c>
      <c r="AZ154" s="430">
        <v>0</v>
      </c>
      <c r="BA154" s="430">
        <v>0</v>
      </c>
      <c r="BB154" s="430">
        <v>0</v>
      </c>
      <c r="BC154" s="197">
        <f>SUM(AY154:BB154)</f>
        <v>0</v>
      </c>
      <c r="BD154" s="136"/>
      <c r="BE154" s="430">
        <v>-0.4</v>
      </c>
      <c r="BF154" s="430">
        <v>0</v>
      </c>
      <c r="BG154" s="430">
        <v>0</v>
      </c>
      <c r="BH154" s="430">
        <v>0</v>
      </c>
      <c r="BI154" s="197">
        <f>SUM(BE154:BH154)</f>
        <v>-0.4</v>
      </c>
      <c r="BJ154" s="136"/>
      <c r="BK154" s="430">
        <v>0</v>
      </c>
      <c r="BL154" s="430">
        <v>0</v>
      </c>
      <c r="BM154" s="430">
        <v>0</v>
      </c>
      <c r="BN154" s="430">
        <v>0</v>
      </c>
      <c r="BO154" s="197">
        <f>SUM(BK154:BN154)</f>
        <v>0</v>
      </c>
      <c r="BP154" s="136"/>
      <c r="BQ154" s="430">
        <v>0</v>
      </c>
      <c r="BR154" s="430">
        <v>0</v>
      </c>
      <c r="BS154" s="430">
        <v>0</v>
      </c>
      <c r="BT154" s="430">
        <v>0</v>
      </c>
      <c r="BU154" s="197">
        <f>SUM(BQ154:BT154)</f>
        <v>0</v>
      </c>
      <c r="BV154" s="136"/>
      <c r="BW154" s="430">
        <v>0</v>
      </c>
      <c r="BX154" s="430">
        <v>0</v>
      </c>
      <c r="BY154" s="430">
        <v>0</v>
      </c>
      <c r="BZ154" s="430">
        <v>0</v>
      </c>
      <c r="CA154" s="197">
        <f>SUM(BW154:BZ154)</f>
        <v>0</v>
      </c>
      <c r="CB154" s="136"/>
      <c r="CC154" s="430">
        <v>0</v>
      </c>
      <c r="CD154" s="430">
        <v>0</v>
      </c>
      <c r="CE154" s="430">
        <v>0</v>
      </c>
      <c r="CF154" s="430">
        <v>0</v>
      </c>
      <c r="CG154" s="197">
        <f>SUM(CC154:CF154)</f>
        <v>0</v>
      </c>
    </row>
    <row r="155" spans="2:85" ht="12" customHeight="1" x14ac:dyDescent="0.2">
      <c r="B155" s="114" t="s">
        <v>315</v>
      </c>
      <c r="C155" s="197"/>
      <c r="D155" s="197"/>
      <c r="E155" s="197"/>
      <c r="F155" s="197"/>
      <c r="G155" s="198"/>
      <c r="H155" s="183"/>
      <c r="I155" s="197"/>
      <c r="J155" s="197"/>
      <c r="K155" s="197"/>
      <c r="L155" s="197"/>
      <c r="M155" s="198">
        <f>SUM(M150:M154)</f>
        <v>20.759</v>
      </c>
      <c r="N155" s="183"/>
      <c r="O155" s="197"/>
      <c r="P155" s="197"/>
      <c r="Q155" s="197"/>
      <c r="R155" s="197"/>
      <c r="S155" s="198">
        <f>SUM(S150:S154)</f>
        <v>-6.221000000000001</v>
      </c>
      <c r="T155" s="183"/>
      <c r="U155" s="197"/>
      <c r="V155" s="197"/>
      <c r="W155" s="197"/>
      <c r="X155" s="197"/>
      <c r="Y155" s="198">
        <f>SUM(Y150:Y154)</f>
        <v>-10.318</v>
      </c>
      <c r="Z155" s="229"/>
      <c r="AA155" s="197"/>
      <c r="AB155" s="197"/>
      <c r="AC155" s="197"/>
      <c r="AD155" s="197"/>
      <c r="AE155" s="197">
        <f>SUM(AE150:AE154)</f>
        <v>270.01600000000002</v>
      </c>
      <c r="AF155" s="183"/>
      <c r="AG155" s="197">
        <f>SUM(AG150:AG154)</f>
        <v>11.335999999999974</v>
      </c>
      <c r="AH155" s="197">
        <f>SUM(AH150:AH154)</f>
        <v>0</v>
      </c>
      <c r="AI155" s="197">
        <f>SUM(AI150:AI154)</f>
        <v>0</v>
      </c>
      <c r="AJ155" s="197">
        <f>SUM(AJ150:AJ154)</f>
        <v>0</v>
      </c>
      <c r="AK155" s="204">
        <f>SUM(AK150:AK154)</f>
        <v>11.335999999999974</v>
      </c>
      <c r="AL155" s="136"/>
      <c r="AM155" s="197">
        <f>SUM(AM150:AM154)</f>
        <v>0</v>
      </c>
      <c r="AN155" s="197">
        <f>SUM(AN150:AN154)</f>
        <v>0</v>
      </c>
      <c r="AO155" s="197">
        <f>SUM(AO150:AO154)</f>
        <v>0</v>
      </c>
      <c r="AP155" s="197">
        <f>SUM(AP150:AP154)</f>
        <v>0</v>
      </c>
      <c r="AQ155" s="204">
        <f>SUM(AQ150:AQ154)</f>
        <v>0</v>
      </c>
      <c r="AR155" s="136"/>
      <c r="AS155" s="197">
        <f>SUM(AS150:AS154)</f>
        <v>68.309999999999988</v>
      </c>
      <c r="AT155" s="197">
        <f>SUM(AT150:AT154)</f>
        <v>-104.93900000000001</v>
      </c>
      <c r="AU155" s="197">
        <f>SUM(AU150:AU154)</f>
        <v>-62.096999999999987</v>
      </c>
      <c r="AV155" s="197">
        <f>SUM(AV150:AV154)</f>
        <v>0</v>
      </c>
      <c r="AW155" s="197">
        <f>SUM(AW150:AW154)</f>
        <v>-98.725999999999985</v>
      </c>
      <c r="AX155" s="136"/>
      <c r="AY155" s="197">
        <f>SUM(AY150:AY154)</f>
        <v>0</v>
      </c>
      <c r="AZ155" s="197">
        <f>SUM(AZ150:AZ154)</f>
        <v>0</v>
      </c>
      <c r="BA155" s="197">
        <f>SUM(BA150:BA154)</f>
        <v>0</v>
      </c>
      <c r="BB155" s="197">
        <f>SUM(BB150:BB154)</f>
        <v>0</v>
      </c>
      <c r="BC155" s="197">
        <f>SUM(BC150:BC154)</f>
        <v>0</v>
      </c>
      <c r="BD155" s="136"/>
      <c r="BE155" s="197">
        <f>SUM(BE150:BE154)</f>
        <v>-0.8</v>
      </c>
      <c r="BF155" s="197">
        <f>SUM(BF150:BF154)</f>
        <v>0</v>
      </c>
      <c r="BG155" s="197">
        <f>SUM(BG150:BG154)</f>
        <v>0</v>
      </c>
      <c r="BH155" s="197">
        <f>SUM(BH150:BH154)</f>
        <v>0</v>
      </c>
      <c r="BI155" s="197">
        <f>SUM(BI150:BI154)</f>
        <v>-0.8</v>
      </c>
      <c r="BJ155" s="136"/>
      <c r="BK155" s="197">
        <f>SUM(BK150:BK154)</f>
        <v>0</v>
      </c>
      <c r="BL155" s="197">
        <f>SUM(BL150:BL154)</f>
        <v>0</v>
      </c>
      <c r="BM155" s="197">
        <f>SUM(BM150:BM154)</f>
        <v>0</v>
      </c>
      <c r="BN155" s="197">
        <f>SUM(BN150:BN154)</f>
        <v>0</v>
      </c>
      <c r="BO155" s="197">
        <f>SUM(BO150:BO154)</f>
        <v>0</v>
      </c>
      <c r="BP155" s="136"/>
      <c r="BQ155" s="197">
        <f>SUM(BQ150:BQ154)</f>
        <v>0</v>
      </c>
      <c r="BR155" s="197">
        <f>SUM(BR150:BR154)</f>
        <v>0</v>
      </c>
      <c r="BS155" s="197">
        <f>SUM(BS150:BS154)</f>
        <v>0</v>
      </c>
      <c r="BT155" s="197">
        <f>SUM(BT150:BT154)</f>
        <v>0</v>
      </c>
      <c r="BU155" s="197">
        <f>SUM(BU150:BU154)</f>
        <v>0</v>
      </c>
      <c r="BV155" s="136"/>
      <c r="BW155" s="197">
        <f>SUM(BW150:BW154)</f>
        <v>0</v>
      </c>
      <c r="BX155" s="197">
        <f>SUM(BX150:BX154)</f>
        <v>0</v>
      </c>
      <c r="BY155" s="197">
        <f>SUM(BY150:BY154)</f>
        <v>0</v>
      </c>
      <c r="BZ155" s="197">
        <f>SUM(BZ150:BZ154)</f>
        <v>0</v>
      </c>
      <c r="CA155" s="197">
        <f>SUM(CA150:CA154)</f>
        <v>0</v>
      </c>
      <c r="CB155" s="136"/>
      <c r="CC155" s="197">
        <f>SUM(CC150:CC154)</f>
        <v>0</v>
      </c>
      <c r="CD155" s="197">
        <f>SUM(CD150:CD154)</f>
        <v>0</v>
      </c>
      <c r="CE155" s="197">
        <f>SUM(CE150:CE154)</f>
        <v>0</v>
      </c>
      <c r="CF155" s="197">
        <f>SUM(CF150:CF154)</f>
        <v>0</v>
      </c>
      <c r="CG155" s="197">
        <f>SUM(CG150:CG154)</f>
        <v>0</v>
      </c>
    </row>
    <row r="156" spans="2:85" ht="12" customHeight="1" x14ac:dyDescent="0.2">
      <c r="B156" s="114"/>
      <c r="C156" s="197"/>
      <c r="D156" s="197"/>
      <c r="E156" s="197"/>
      <c r="F156" s="197"/>
      <c r="G156" s="198"/>
      <c r="H156" s="183"/>
      <c r="I156" s="197"/>
      <c r="J156" s="197"/>
      <c r="K156" s="197"/>
      <c r="L156" s="197"/>
      <c r="M156" s="198"/>
      <c r="N156" s="183"/>
      <c r="O156" s="197"/>
      <c r="P156" s="197"/>
      <c r="Q156" s="197"/>
      <c r="R156" s="197"/>
      <c r="S156" s="198"/>
      <c r="T156" s="183"/>
      <c r="U156" s="197"/>
      <c r="V156" s="197"/>
      <c r="W156" s="197"/>
      <c r="X156" s="197"/>
      <c r="Y156" s="198"/>
      <c r="Z156" s="229"/>
      <c r="AA156" s="197"/>
      <c r="AB156" s="197"/>
      <c r="AC156" s="197"/>
      <c r="AD156" s="197"/>
      <c r="AE156" s="197"/>
      <c r="AF156" s="183"/>
      <c r="AG156" s="197"/>
      <c r="AH156" s="197"/>
      <c r="AI156" s="197"/>
      <c r="AJ156" s="197"/>
      <c r="AK156" s="204"/>
      <c r="AL156" s="136"/>
      <c r="AM156" s="197"/>
      <c r="AN156" s="197"/>
      <c r="AO156" s="197"/>
      <c r="AP156" s="197"/>
      <c r="AQ156" s="204"/>
      <c r="AR156" s="136"/>
      <c r="AS156" s="197"/>
      <c r="AT156" s="197"/>
      <c r="AU156" s="197"/>
      <c r="AV156" s="197"/>
      <c r="AW156" s="204"/>
      <c r="AX156" s="136"/>
      <c r="AY156" s="197"/>
      <c r="AZ156" s="197"/>
      <c r="BA156" s="197"/>
      <c r="BB156" s="197"/>
      <c r="BC156" s="204"/>
      <c r="BD156" s="136"/>
      <c r="BE156" s="197"/>
      <c r="BF156" s="197"/>
      <c r="BG156" s="197"/>
      <c r="BH156" s="197"/>
      <c r="BI156" s="204"/>
      <c r="BJ156" s="136"/>
      <c r="BK156" s="197"/>
      <c r="BL156" s="197"/>
      <c r="BM156" s="197"/>
      <c r="BN156" s="197"/>
      <c r="BO156" s="204"/>
      <c r="BP156" s="136"/>
      <c r="BQ156" s="197"/>
      <c r="BR156" s="197"/>
      <c r="BS156" s="197"/>
      <c r="BT156" s="197"/>
      <c r="BU156" s="204"/>
      <c r="BV156" s="136"/>
      <c r="BW156" s="197"/>
      <c r="BX156" s="197"/>
      <c r="BY156" s="197"/>
      <c r="BZ156" s="197"/>
      <c r="CA156" s="204"/>
      <c r="CB156" s="136"/>
      <c r="CC156" s="197"/>
      <c r="CD156" s="197"/>
      <c r="CE156" s="197"/>
      <c r="CF156" s="197"/>
      <c r="CG156" s="204"/>
    </row>
    <row r="157" spans="2:85" ht="12" customHeight="1" x14ac:dyDescent="0.2">
      <c r="B157" s="11" t="s">
        <v>318</v>
      </c>
      <c r="C157" s="197"/>
      <c r="D157" s="197"/>
      <c r="E157" s="197"/>
      <c r="F157" s="197"/>
      <c r="G157" s="198"/>
      <c r="H157" s="183"/>
      <c r="I157" s="197"/>
      <c r="J157" s="197"/>
      <c r="K157" s="197"/>
      <c r="L157" s="197"/>
      <c r="M157" s="198"/>
      <c r="N157" s="183"/>
      <c r="O157" s="197"/>
      <c r="P157" s="197"/>
      <c r="Q157" s="197"/>
      <c r="R157" s="197"/>
      <c r="S157" s="198"/>
      <c r="T157" s="183"/>
      <c r="U157" s="197"/>
      <c r="V157" s="197"/>
      <c r="W157" s="197"/>
      <c r="X157" s="197"/>
      <c r="Y157" s="198"/>
      <c r="Z157" s="229"/>
      <c r="AA157" s="197"/>
      <c r="AB157" s="197"/>
      <c r="AC157" s="197"/>
      <c r="AD157" s="197"/>
      <c r="AE157" s="197"/>
      <c r="AF157" s="183"/>
      <c r="AG157" s="197"/>
      <c r="AH157" s="197"/>
      <c r="AI157" s="197"/>
      <c r="AJ157" s="197"/>
      <c r="AK157" s="204"/>
      <c r="AL157" s="136"/>
      <c r="AM157" s="197"/>
      <c r="AN157" s="197"/>
      <c r="AO157" s="197"/>
      <c r="AP157" s="197"/>
      <c r="AQ157" s="204"/>
      <c r="AR157" s="136"/>
      <c r="AS157" s="197"/>
      <c r="AT157" s="197"/>
      <c r="AU157" s="197"/>
      <c r="AV157" s="197"/>
      <c r="AW157" s="204"/>
      <c r="AX157" s="136"/>
      <c r="AY157" s="197"/>
      <c r="AZ157" s="197"/>
      <c r="BA157" s="197"/>
      <c r="BB157" s="197"/>
      <c r="BC157" s="204"/>
      <c r="BD157" s="136"/>
      <c r="BE157" s="197"/>
      <c r="BF157" s="197"/>
      <c r="BG157" s="197"/>
      <c r="BH157" s="197"/>
      <c r="BI157" s="204"/>
      <c r="BJ157" s="136"/>
      <c r="BK157" s="197"/>
      <c r="BL157" s="197"/>
      <c r="BM157" s="197"/>
      <c r="BN157" s="197"/>
      <c r="BO157" s="204"/>
      <c r="BP157" s="136"/>
      <c r="BQ157" s="197"/>
      <c r="BR157" s="197"/>
      <c r="BS157" s="197"/>
      <c r="BT157" s="197"/>
      <c r="BU157" s="204"/>
      <c r="BV157" s="136"/>
      <c r="BW157" s="197"/>
      <c r="BX157" s="197"/>
      <c r="BY157" s="197"/>
      <c r="BZ157" s="197"/>
      <c r="CA157" s="204"/>
      <c r="CB157" s="136"/>
      <c r="CC157" s="197"/>
      <c r="CD157" s="197"/>
      <c r="CE157" s="197"/>
      <c r="CF157" s="197"/>
      <c r="CG157" s="204"/>
    </row>
    <row r="158" spans="2:85" ht="12" customHeight="1" x14ac:dyDescent="0.2">
      <c r="B158" s="113" t="s">
        <v>312</v>
      </c>
      <c r="C158" s="197"/>
      <c r="D158" s="197"/>
      <c r="E158" s="197"/>
      <c r="F158" s="197"/>
      <c r="G158" s="198"/>
      <c r="H158" s="183"/>
      <c r="I158" s="197"/>
      <c r="J158" s="197"/>
      <c r="K158" s="197"/>
      <c r="L158" s="197"/>
      <c r="M158" s="198">
        <f>M127-G127</f>
        <v>-4.4999999999999998E-2</v>
      </c>
      <c r="N158" s="183"/>
      <c r="O158" s="197"/>
      <c r="P158" s="197"/>
      <c r="Q158" s="197"/>
      <c r="R158" s="197"/>
      <c r="S158" s="198">
        <f>S127-M127</f>
        <v>-4.0000000000000001E-3</v>
      </c>
      <c r="T158" s="183"/>
      <c r="U158" s="197"/>
      <c r="V158" s="197"/>
      <c r="W158" s="197"/>
      <c r="X158" s="197"/>
      <c r="Y158" s="198">
        <f>Y127-S127</f>
        <v>0</v>
      </c>
      <c r="Z158" s="229"/>
      <c r="AA158" s="197"/>
      <c r="AB158" s="197"/>
      <c r="AC158" s="197"/>
      <c r="AD158" s="197"/>
      <c r="AE158" s="198">
        <f>AE127-Y127</f>
        <v>0</v>
      </c>
      <c r="AF158" s="183"/>
      <c r="AG158" s="197">
        <f>AG127-AE127</f>
        <v>0</v>
      </c>
      <c r="AH158" s="197">
        <v>0</v>
      </c>
      <c r="AI158" s="197">
        <v>0</v>
      </c>
      <c r="AJ158" s="197">
        <v>0</v>
      </c>
      <c r="AK158" s="204">
        <f>SUM(AG158:AJ158)</f>
        <v>0</v>
      </c>
      <c r="AL158" s="136"/>
      <c r="AM158" s="197">
        <v>0</v>
      </c>
      <c r="AN158" s="197">
        <v>0</v>
      </c>
      <c r="AO158" s="197">
        <v>0</v>
      </c>
      <c r="AP158" s="197">
        <v>0</v>
      </c>
      <c r="AQ158" s="204">
        <f>SUM(AM158:AP158)</f>
        <v>0</v>
      </c>
      <c r="AR158" s="136"/>
      <c r="AS158" s="430">
        <v>-75</v>
      </c>
      <c r="AT158" s="430">
        <v>0</v>
      </c>
      <c r="AU158" s="430">
        <f>-8.8</f>
        <v>-8.8000000000000007</v>
      </c>
      <c r="AV158" s="430">
        <v>0</v>
      </c>
      <c r="AW158" s="197">
        <f>SUM(AS158:AV158)</f>
        <v>-83.8</v>
      </c>
      <c r="AX158" s="136"/>
      <c r="AY158" s="1189">
        <f>AY143-AV143</f>
        <v>134.80000000000001</v>
      </c>
      <c r="AZ158" s="1189">
        <f>AZ143-AY143</f>
        <v>-127.92700000000001</v>
      </c>
      <c r="BA158" s="1189">
        <f>BA143-AZ143</f>
        <v>333.49599999999998</v>
      </c>
      <c r="BB158" s="1189">
        <f>BB143-BA143</f>
        <v>-441.09999999999997</v>
      </c>
      <c r="BC158" s="197">
        <f>SUM(AY158:BB158)</f>
        <v>-100.73099999999999</v>
      </c>
      <c r="BD158" s="136"/>
      <c r="BE158" s="430">
        <v>-75</v>
      </c>
      <c r="BF158" s="430">
        <v>0</v>
      </c>
      <c r="BG158" s="430">
        <v>-8.8000000000000007</v>
      </c>
      <c r="BH158" s="430">
        <v>0</v>
      </c>
      <c r="BI158" s="197">
        <f>SUM(BE158:BH158)</f>
        <v>-83.8</v>
      </c>
      <c r="BJ158" s="136"/>
      <c r="BK158" s="430">
        <v>0</v>
      </c>
      <c r="BL158" s="430">
        <v>0</v>
      </c>
      <c r="BM158" s="430">
        <v>0</v>
      </c>
      <c r="BN158" s="430">
        <v>0</v>
      </c>
      <c r="BO158" s="197">
        <f>SUM(BK158:BN158)</f>
        <v>0</v>
      </c>
      <c r="BP158" s="136"/>
      <c r="BQ158" s="430">
        <v>-75</v>
      </c>
      <c r="BR158" s="430">
        <v>0</v>
      </c>
      <c r="BS158" s="430">
        <v>-8.8000000000000007</v>
      </c>
      <c r="BT158" s="430">
        <v>0</v>
      </c>
      <c r="BU158" s="197">
        <f>SUM(BQ158:BT158)</f>
        <v>-83.8</v>
      </c>
      <c r="BV158" s="136"/>
      <c r="BW158" s="430">
        <v>-75</v>
      </c>
      <c r="BX158" s="430">
        <v>0</v>
      </c>
      <c r="BY158" s="430">
        <v>-8.8000000000000007</v>
      </c>
      <c r="BZ158" s="430">
        <v>0</v>
      </c>
      <c r="CA158" s="197">
        <f>SUM(BW158:BZ158)</f>
        <v>-83.8</v>
      </c>
      <c r="CB158" s="136"/>
      <c r="CC158" s="430">
        <v>-75</v>
      </c>
      <c r="CD158" s="430">
        <v>0</v>
      </c>
      <c r="CE158" s="430">
        <v>-8.8000000000000007</v>
      </c>
      <c r="CF158" s="430">
        <v>0</v>
      </c>
      <c r="CG158" s="197">
        <f>SUM(CC158:CF158)</f>
        <v>-83.8</v>
      </c>
    </row>
    <row r="159" spans="2:85" ht="12" customHeight="1" x14ac:dyDescent="0.2">
      <c r="B159" s="113" t="s">
        <v>331</v>
      </c>
      <c r="C159" s="197"/>
      <c r="D159" s="197"/>
      <c r="E159" s="197"/>
      <c r="F159" s="197"/>
      <c r="G159" s="198"/>
      <c r="H159" s="183"/>
      <c r="I159" s="197"/>
      <c r="J159" s="197"/>
      <c r="K159" s="197"/>
      <c r="L159" s="197"/>
      <c r="M159" s="198">
        <f>M128-G128</f>
        <v>0</v>
      </c>
      <c r="N159" s="183"/>
      <c r="O159" s="197"/>
      <c r="P159" s="197"/>
      <c r="Q159" s="197"/>
      <c r="R159" s="197"/>
      <c r="S159" s="198">
        <f>S128-M128</f>
        <v>62.844000000000001</v>
      </c>
      <c r="T159" s="183"/>
      <c r="U159" s="197"/>
      <c r="V159" s="197"/>
      <c r="W159" s="197"/>
      <c r="X159" s="197"/>
      <c r="Y159" s="198">
        <f>Y128-S128</f>
        <v>-62.844000000000001</v>
      </c>
      <c r="Z159" s="229"/>
      <c r="AA159" s="197"/>
      <c r="AB159" s="197"/>
      <c r="AC159" s="197"/>
      <c r="AD159" s="197"/>
      <c r="AE159" s="198">
        <f>AE128-Y128</f>
        <v>0</v>
      </c>
      <c r="AF159" s="183"/>
      <c r="AG159" s="197">
        <f>AG128-AE128</f>
        <v>0</v>
      </c>
      <c r="AH159" s="197">
        <v>0</v>
      </c>
      <c r="AI159" s="197">
        <v>0</v>
      </c>
      <c r="AJ159" s="197">
        <v>0</v>
      </c>
      <c r="AK159" s="204">
        <f>SUM(AG159:AJ159)</f>
        <v>0</v>
      </c>
      <c r="AL159" s="136"/>
      <c r="AM159" s="197">
        <v>0</v>
      </c>
      <c r="AN159" s="197">
        <v>0</v>
      </c>
      <c r="AO159" s="197">
        <v>0</v>
      </c>
      <c r="AP159" s="197">
        <v>0</v>
      </c>
      <c r="AQ159" s="204">
        <f>SUM(AM159:AP159)</f>
        <v>0</v>
      </c>
      <c r="AR159" s="136"/>
      <c r="AS159" s="430">
        <v>0</v>
      </c>
      <c r="AT159" s="430">
        <v>0</v>
      </c>
      <c r="AU159" s="430">
        <v>0</v>
      </c>
      <c r="AV159" s="430">
        <v>0</v>
      </c>
      <c r="AW159" s="197">
        <f>SUM(AS159:AV159)</f>
        <v>0</v>
      </c>
      <c r="AX159" s="136"/>
      <c r="AY159" s="430">
        <v>0</v>
      </c>
      <c r="AZ159" s="430">
        <v>0</v>
      </c>
      <c r="BA159" s="430">
        <v>0</v>
      </c>
      <c r="BB159" s="430">
        <v>0</v>
      </c>
      <c r="BC159" s="197">
        <f>SUM(AY159:BB159)</f>
        <v>0</v>
      </c>
      <c r="BD159" s="136"/>
      <c r="BE159" s="430">
        <v>0</v>
      </c>
      <c r="BF159" s="430">
        <v>0</v>
      </c>
      <c r="BG159" s="430">
        <v>0</v>
      </c>
      <c r="BH159" s="430">
        <v>0</v>
      </c>
      <c r="BI159" s="197">
        <f>SUM(BE159:BH159)</f>
        <v>0</v>
      </c>
      <c r="BJ159" s="136"/>
      <c r="BK159" s="430">
        <v>0</v>
      </c>
      <c r="BL159" s="430">
        <v>0</v>
      </c>
      <c r="BM159" s="430">
        <v>0</v>
      </c>
      <c r="BN159" s="430">
        <f>-BM136</f>
        <v>-97.4</v>
      </c>
      <c r="BO159" s="197">
        <f>SUM(BK159:BN159)</f>
        <v>-97.4</v>
      </c>
      <c r="BP159" s="136"/>
      <c r="BQ159" s="430">
        <v>0</v>
      </c>
      <c r="BR159" s="430">
        <v>0</v>
      </c>
      <c r="BS159" s="430">
        <f>-BR136</f>
        <v>0</v>
      </c>
      <c r="BT159" s="430">
        <v>0</v>
      </c>
      <c r="BU159" s="197">
        <f>SUM(BQ159:BT159)</f>
        <v>0</v>
      </c>
      <c r="BV159" s="136"/>
      <c r="BW159" s="430">
        <v>0</v>
      </c>
      <c r="BX159" s="430">
        <v>0</v>
      </c>
      <c r="BY159" s="430">
        <f>-BX136</f>
        <v>0</v>
      </c>
      <c r="BZ159" s="430">
        <v>0</v>
      </c>
      <c r="CA159" s="197">
        <f>SUM(BW159:BZ159)</f>
        <v>0</v>
      </c>
      <c r="CB159" s="136"/>
      <c r="CC159" s="430">
        <v>0</v>
      </c>
      <c r="CD159" s="430">
        <v>0</v>
      </c>
      <c r="CE159" s="430">
        <f>-CD136</f>
        <v>0</v>
      </c>
      <c r="CF159" s="430">
        <v>0</v>
      </c>
      <c r="CG159" s="197">
        <f>SUM(CC159:CF159)</f>
        <v>0</v>
      </c>
    </row>
    <row r="160" spans="2:85" ht="12" customHeight="1" x14ac:dyDescent="0.2">
      <c r="B160" s="113" t="s">
        <v>320</v>
      </c>
      <c r="C160" s="197"/>
      <c r="D160" s="197"/>
      <c r="E160" s="197"/>
      <c r="F160" s="197"/>
      <c r="G160" s="198"/>
      <c r="H160" s="183"/>
      <c r="I160" s="197"/>
      <c r="J160" s="197"/>
      <c r="K160" s="197"/>
      <c r="L160" s="197"/>
      <c r="M160" s="198"/>
      <c r="N160" s="183"/>
      <c r="O160" s="197"/>
      <c r="P160" s="197"/>
      <c r="Q160" s="197"/>
      <c r="R160" s="197"/>
      <c r="S160" s="198"/>
      <c r="T160" s="183"/>
      <c r="U160" s="197"/>
      <c r="V160" s="197"/>
      <c r="W160" s="197"/>
      <c r="X160" s="197"/>
      <c r="Y160" s="198"/>
      <c r="Z160" s="229"/>
      <c r="AA160" s="197"/>
      <c r="AB160" s="197"/>
      <c r="AC160" s="197"/>
      <c r="AD160" s="197"/>
      <c r="AE160" s="198"/>
      <c r="AF160" s="183"/>
      <c r="AG160" s="197"/>
      <c r="AH160" s="197"/>
      <c r="AI160" s="197"/>
      <c r="AJ160" s="197"/>
      <c r="AK160" s="204">
        <f>SUM(AG160:AJ160)</f>
        <v>0</v>
      </c>
      <c r="AL160" s="136"/>
      <c r="AM160" s="197">
        <v>0</v>
      </c>
      <c r="AN160" s="197">
        <v>0</v>
      </c>
      <c r="AO160" s="197">
        <v>0</v>
      </c>
      <c r="AP160" s="197">
        <v>0</v>
      </c>
      <c r="AQ160" s="204">
        <f>SUM(AM160:AP160)</f>
        <v>0</v>
      </c>
      <c r="AR160" s="136"/>
      <c r="AS160" s="430">
        <v>0</v>
      </c>
      <c r="AT160" s="430">
        <v>0</v>
      </c>
      <c r="AU160" s="430">
        <f>-119.213-1.64300000000003-3.088</f>
        <v>-123.94400000000002</v>
      </c>
      <c r="AV160" s="430">
        <v>0</v>
      </c>
      <c r="AW160" s="197">
        <f>SUM(AS160:AV160)</f>
        <v>-123.94400000000002</v>
      </c>
      <c r="AX160" s="136"/>
      <c r="AY160" s="430">
        <v>0</v>
      </c>
      <c r="AZ160" s="430">
        <v>0</v>
      </c>
      <c r="BA160" s="430">
        <v>0</v>
      </c>
      <c r="BB160" s="430">
        <v>0</v>
      </c>
      <c r="BC160" s="197">
        <f>SUM(AY160:BB160)</f>
        <v>0</v>
      </c>
      <c r="BD160" s="136"/>
      <c r="BE160" s="430">
        <v>0</v>
      </c>
      <c r="BF160" s="430">
        <v>0</v>
      </c>
      <c r="BG160" s="430">
        <v>0</v>
      </c>
      <c r="BH160" s="430">
        <v>0</v>
      </c>
      <c r="BI160" s="197">
        <f>SUM(BE160:BH160)</f>
        <v>0</v>
      </c>
      <c r="BJ160" s="136"/>
      <c r="BK160" s="430">
        <v>0</v>
      </c>
      <c r="BL160" s="430">
        <v>0</v>
      </c>
      <c r="BM160" s="430">
        <v>0</v>
      </c>
      <c r="BN160" s="430">
        <v>0</v>
      </c>
      <c r="BO160" s="197">
        <f>SUM(BK160:BN160)</f>
        <v>0</v>
      </c>
      <c r="BP160" s="136"/>
      <c r="BQ160" s="430">
        <v>0</v>
      </c>
      <c r="BR160" s="430">
        <v>0</v>
      </c>
      <c r="BS160" s="430">
        <v>0</v>
      </c>
      <c r="BT160" s="430">
        <v>0</v>
      </c>
      <c r="BU160" s="197">
        <f>SUM(BQ160:BT160)</f>
        <v>0</v>
      </c>
      <c r="BV160" s="136"/>
      <c r="BW160" s="430">
        <v>0</v>
      </c>
      <c r="BX160" s="430">
        <v>0</v>
      </c>
      <c r="BY160" s="430">
        <v>0</v>
      </c>
      <c r="BZ160" s="430">
        <v>0</v>
      </c>
      <c r="CA160" s="197">
        <f>SUM(BW160:BZ160)</f>
        <v>0</v>
      </c>
      <c r="CB160" s="136"/>
      <c r="CC160" s="430">
        <v>0</v>
      </c>
      <c r="CD160" s="430">
        <v>0</v>
      </c>
      <c r="CE160" s="430">
        <v>0</v>
      </c>
      <c r="CF160" s="430">
        <v>0</v>
      </c>
      <c r="CG160" s="197">
        <f>SUM(CC160:CF160)</f>
        <v>0</v>
      </c>
    </row>
    <row r="161" spans="2:85" ht="12" customHeight="1" x14ac:dyDescent="0.2">
      <c r="B161" s="113" t="s">
        <v>316</v>
      </c>
      <c r="C161" s="197"/>
      <c r="D161" s="197"/>
      <c r="E161" s="197"/>
      <c r="F161" s="197"/>
      <c r="G161" s="198"/>
      <c r="H161" s="183"/>
      <c r="I161" s="197"/>
      <c r="J161" s="197"/>
      <c r="K161" s="197"/>
      <c r="L161" s="197"/>
      <c r="M161" s="198">
        <f>M130-G130</f>
        <v>3.8369999999999997</v>
      </c>
      <c r="N161" s="183"/>
      <c r="O161" s="197"/>
      <c r="P161" s="197"/>
      <c r="Q161" s="197"/>
      <c r="R161" s="197"/>
      <c r="S161" s="198">
        <f>S130-M130</f>
        <v>-0.23999999999999977</v>
      </c>
      <c r="T161" s="183"/>
      <c r="U161" s="197"/>
      <c r="V161" s="197"/>
      <c r="W161" s="197"/>
      <c r="X161" s="197"/>
      <c r="Y161" s="198">
        <f>Y130-S130</f>
        <v>-1.258</v>
      </c>
      <c r="Z161" s="229"/>
      <c r="AA161" s="197"/>
      <c r="AB161" s="197"/>
      <c r="AC161" s="197"/>
      <c r="AD161" s="197"/>
      <c r="AE161" s="198">
        <f>AE130-Y130</f>
        <v>-1.1530000000000002</v>
      </c>
      <c r="AF161" s="183"/>
      <c r="AG161" s="197">
        <f>AG130-AE130</f>
        <v>0</v>
      </c>
      <c r="AH161" s="197">
        <v>0</v>
      </c>
      <c r="AI161" s="197">
        <v>0</v>
      </c>
      <c r="AJ161" s="197">
        <v>0</v>
      </c>
      <c r="AK161" s="204">
        <f>SUM(AG161:AJ161)</f>
        <v>0</v>
      </c>
      <c r="AL161" s="136"/>
      <c r="AM161" s="197">
        <v>0</v>
      </c>
      <c r="AN161" s="197">
        <v>0</v>
      </c>
      <c r="AO161" s="197">
        <v>0</v>
      </c>
      <c r="AP161" s="197">
        <v>0</v>
      </c>
      <c r="AQ161" s="204">
        <f>SUM(AM161:AP161)</f>
        <v>0</v>
      </c>
      <c r="AR161" s="136"/>
      <c r="AS161" s="430">
        <v>0</v>
      </c>
      <c r="AT161" s="430">
        <v>0</v>
      </c>
      <c r="AU161" s="430">
        <v>0</v>
      </c>
      <c r="AV161" s="430">
        <v>0</v>
      </c>
      <c r="AW161" s="197">
        <f>SUM(AS161:AV161)</f>
        <v>0</v>
      </c>
      <c r="AX161" s="136"/>
      <c r="AY161" s="430">
        <v>0</v>
      </c>
      <c r="AZ161" s="430">
        <v>0</v>
      </c>
      <c r="BA161" s="430">
        <v>0</v>
      </c>
      <c r="BB161" s="430">
        <v>0</v>
      </c>
      <c r="BC161" s="197">
        <f>SUM(AY161:BB161)</f>
        <v>0</v>
      </c>
      <c r="BD161" s="136"/>
      <c r="BE161" s="430">
        <v>0</v>
      </c>
      <c r="BF161" s="430">
        <v>0</v>
      </c>
      <c r="BG161" s="430">
        <v>0</v>
      </c>
      <c r="BH161" s="430">
        <v>0</v>
      </c>
      <c r="BI161" s="197">
        <f>SUM(BE161:BH161)</f>
        <v>0</v>
      </c>
      <c r="BJ161" s="136"/>
      <c r="BK161" s="430">
        <v>0</v>
      </c>
      <c r="BL161" s="430">
        <v>0</v>
      </c>
      <c r="BM161" s="430">
        <v>0</v>
      </c>
      <c r="BN161" s="430">
        <v>0</v>
      </c>
      <c r="BO161" s="197">
        <f>SUM(BK161:BN161)</f>
        <v>0</v>
      </c>
      <c r="BP161" s="136"/>
      <c r="BQ161" s="430">
        <v>0</v>
      </c>
      <c r="BR161" s="430">
        <v>0</v>
      </c>
      <c r="BS161" s="430">
        <v>0</v>
      </c>
      <c r="BT161" s="430">
        <v>0</v>
      </c>
      <c r="BU161" s="197">
        <f>SUM(BQ161:BT161)</f>
        <v>0</v>
      </c>
      <c r="BV161" s="136"/>
      <c r="BW161" s="430">
        <v>0</v>
      </c>
      <c r="BX161" s="430">
        <v>0</v>
      </c>
      <c r="BY161" s="430">
        <v>0</v>
      </c>
      <c r="BZ161" s="430">
        <v>0</v>
      </c>
      <c r="CA161" s="197">
        <f>SUM(BW161:BZ161)</f>
        <v>0</v>
      </c>
      <c r="CB161" s="136"/>
      <c r="CC161" s="430">
        <v>0</v>
      </c>
      <c r="CD161" s="430">
        <v>0</v>
      </c>
      <c r="CE161" s="430">
        <v>0</v>
      </c>
      <c r="CF161" s="430">
        <v>0</v>
      </c>
      <c r="CG161" s="197">
        <f>SUM(CC161:CF161)</f>
        <v>0</v>
      </c>
    </row>
    <row r="162" spans="2:85" ht="12" customHeight="1" x14ac:dyDescent="0.2">
      <c r="B162" s="113" t="s">
        <v>330</v>
      </c>
      <c r="C162" s="197"/>
      <c r="D162" s="197"/>
      <c r="E162" s="197"/>
      <c r="F162" s="197"/>
      <c r="G162" s="198"/>
      <c r="H162" s="183"/>
      <c r="I162" s="197"/>
      <c r="J162" s="197"/>
      <c r="K162" s="197"/>
      <c r="L162" s="197"/>
      <c r="M162" s="198">
        <f>M131-G131</f>
        <v>0</v>
      </c>
      <c r="N162" s="183"/>
      <c r="O162" s="197"/>
      <c r="P162" s="197"/>
      <c r="Q162" s="197"/>
      <c r="R162" s="197"/>
      <c r="S162" s="198">
        <f>S131-M131</f>
        <v>0</v>
      </c>
      <c r="T162" s="183"/>
      <c r="U162" s="197"/>
      <c r="V162" s="197"/>
      <c r="W162" s="197"/>
      <c r="X162" s="197"/>
      <c r="Y162" s="198">
        <f>Y131-S131</f>
        <v>0</v>
      </c>
      <c r="Z162" s="229"/>
      <c r="AA162" s="197"/>
      <c r="AB162" s="197"/>
      <c r="AC162" s="197"/>
      <c r="AD162" s="197"/>
      <c r="AE162" s="198">
        <f>AE131-Y131</f>
        <v>8.4000000000000005E-2</v>
      </c>
      <c r="AF162" s="183"/>
      <c r="AG162" s="197">
        <f>AG131-AE131</f>
        <v>0</v>
      </c>
      <c r="AH162" s="197">
        <v>0</v>
      </c>
      <c r="AI162" s="197">
        <v>0</v>
      </c>
      <c r="AJ162" s="197">
        <v>0</v>
      </c>
      <c r="AK162" s="204">
        <f>SUM(AG162:AJ162)</f>
        <v>0</v>
      </c>
      <c r="AL162" s="136"/>
      <c r="AM162" s="197">
        <v>0</v>
      </c>
      <c r="AN162" s="197">
        <v>0</v>
      </c>
      <c r="AO162" s="197">
        <v>0</v>
      </c>
      <c r="AP162" s="197">
        <v>0</v>
      </c>
      <c r="AQ162" s="204">
        <f>SUM(AM162:AP162)</f>
        <v>0</v>
      </c>
      <c r="AR162" s="136"/>
      <c r="AS162" s="430">
        <v>0</v>
      </c>
      <c r="AT162" s="430">
        <v>0</v>
      </c>
      <c r="AU162" s="430">
        <v>0</v>
      </c>
      <c r="AV162" s="430">
        <v>0</v>
      </c>
      <c r="AW162" s="197">
        <f>SUM(AS162:AV162)</f>
        <v>0</v>
      </c>
      <c r="AX162" s="136"/>
      <c r="AY162" s="430">
        <v>0</v>
      </c>
      <c r="AZ162" s="430">
        <v>0</v>
      </c>
      <c r="BA162" s="430">
        <v>0</v>
      </c>
      <c r="BB162" s="430">
        <v>0</v>
      </c>
      <c r="BC162" s="197">
        <f>SUM(AY162:BB162)</f>
        <v>0</v>
      </c>
      <c r="BD162" s="136"/>
      <c r="BE162" s="430">
        <v>0</v>
      </c>
      <c r="BF162" s="430">
        <v>0</v>
      </c>
      <c r="BG162" s="430">
        <v>0</v>
      </c>
      <c r="BH162" s="430">
        <v>0</v>
      </c>
      <c r="BI162" s="197">
        <f>SUM(BE162:BH162)</f>
        <v>0</v>
      </c>
      <c r="BJ162" s="136"/>
      <c r="BK162" s="430">
        <v>0</v>
      </c>
      <c r="BL162" s="430">
        <v>0</v>
      </c>
      <c r="BM162" s="430">
        <v>0</v>
      </c>
      <c r="BN162" s="430">
        <v>0</v>
      </c>
      <c r="BO162" s="197">
        <f>SUM(BK162:BN162)</f>
        <v>0</v>
      </c>
      <c r="BP162" s="136"/>
      <c r="BQ162" s="430">
        <v>0</v>
      </c>
      <c r="BR162" s="430">
        <v>0</v>
      </c>
      <c r="BS162" s="430">
        <v>0</v>
      </c>
      <c r="BT162" s="430">
        <v>0</v>
      </c>
      <c r="BU162" s="197">
        <f>SUM(BQ162:BT162)</f>
        <v>0</v>
      </c>
      <c r="BV162" s="136"/>
      <c r="BW162" s="430">
        <v>0</v>
      </c>
      <c r="BX162" s="430">
        <v>0</v>
      </c>
      <c r="BY162" s="430">
        <v>0</v>
      </c>
      <c r="BZ162" s="430">
        <v>0</v>
      </c>
      <c r="CA162" s="197">
        <f>SUM(BW162:BZ162)</f>
        <v>0</v>
      </c>
      <c r="CB162" s="136"/>
      <c r="CC162" s="430">
        <v>0</v>
      </c>
      <c r="CD162" s="430">
        <v>0</v>
      </c>
      <c r="CE162" s="430">
        <v>0</v>
      </c>
      <c r="CF162" s="430">
        <v>0</v>
      </c>
      <c r="CG162" s="197">
        <f>SUM(CC162:CF162)</f>
        <v>0</v>
      </c>
    </row>
    <row r="163" spans="2:85" ht="12" customHeight="1" x14ac:dyDescent="0.2">
      <c r="B163" s="537" t="s">
        <v>317</v>
      </c>
      <c r="C163" s="538"/>
      <c r="D163" s="538"/>
      <c r="E163" s="538"/>
      <c r="F163" s="538"/>
      <c r="G163" s="539"/>
      <c r="H163" s="540"/>
      <c r="I163" s="538"/>
      <c r="J163" s="538"/>
      <c r="K163" s="538"/>
      <c r="L163" s="538"/>
      <c r="M163" s="539">
        <f>SUM(M158:M161)</f>
        <v>3.7919999999999998</v>
      </c>
      <c r="N163" s="540"/>
      <c r="O163" s="538"/>
      <c r="P163" s="538"/>
      <c r="Q163" s="538"/>
      <c r="R163" s="538"/>
      <c r="S163" s="539">
        <f>SUM(S158:S161)</f>
        <v>62.6</v>
      </c>
      <c r="T163" s="540"/>
      <c r="U163" s="538"/>
      <c r="V163" s="538"/>
      <c r="W163" s="538"/>
      <c r="X163" s="538"/>
      <c r="Y163" s="539">
        <f>SUM(Y158:Y162)</f>
        <v>-64.102000000000004</v>
      </c>
      <c r="Z163" s="541"/>
      <c r="AA163" s="538"/>
      <c r="AB163" s="538"/>
      <c r="AC163" s="538"/>
      <c r="AD163" s="538"/>
      <c r="AE163" s="538">
        <f>SUM(AE158:AE162)</f>
        <v>-1.0690000000000002</v>
      </c>
      <c r="AF163" s="540"/>
      <c r="AG163" s="538">
        <f>SUM(AG158:AG162)</f>
        <v>0</v>
      </c>
      <c r="AH163" s="538">
        <f>SUM(AH158:AH162)</f>
        <v>0</v>
      </c>
      <c r="AI163" s="538">
        <f>SUM(AI158:AI162)</f>
        <v>0</v>
      </c>
      <c r="AJ163" s="538">
        <f>SUM(AJ158:AJ162)</f>
        <v>0</v>
      </c>
      <c r="AK163" s="538">
        <f>SUM(AK158:AK162)</f>
        <v>0</v>
      </c>
      <c r="AL163" s="538"/>
      <c r="AM163" s="538">
        <f>SUM(AM158:AM162)</f>
        <v>0</v>
      </c>
      <c r="AN163" s="538">
        <f>SUM(AN158:AN162)</f>
        <v>0</v>
      </c>
      <c r="AO163" s="538">
        <f>SUM(AO158:AO162)</f>
        <v>0</v>
      </c>
      <c r="AP163" s="538">
        <f>SUM(AP158:AP162)</f>
        <v>0</v>
      </c>
      <c r="AQ163" s="538">
        <f>SUM(AQ158:AQ162)</f>
        <v>0</v>
      </c>
      <c r="AR163" s="538"/>
      <c r="AS163" s="430">
        <f t="shared" ref="AS163:BH163" si="307">SUM(AS158:AS162)</f>
        <v>-75</v>
      </c>
      <c r="AT163" s="430">
        <f t="shared" si="307"/>
        <v>0</v>
      </c>
      <c r="AU163" s="430">
        <f t="shared" si="307"/>
        <v>-132.74400000000003</v>
      </c>
      <c r="AV163" s="430">
        <f t="shared" si="307"/>
        <v>0</v>
      </c>
      <c r="AW163" s="538">
        <f t="shared" si="307"/>
        <v>-207.74400000000003</v>
      </c>
      <c r="AX163" s="538">
        <f t="shared" si="307"/>
        <v>0</v>
      </c>
      <c r="AY163" s="430">
        <f t="shared" si="307"/>
        <v>134.80000000000001</v>
      </c>
      <c r="AZ163" s="430">
        <f t="shared" si="307"/>
        <v>-127.92700000000001</v>
      </c>
      <c r="BA163" s="430">
        <f t="shared" si="307"/>
        <v>333.49599999999998</v>
      </c>
      <c r="BB163" s="430">
        <f t="shared" si="307"/>
        <v>-441.09999999999997</v>
      </c>
      <c r="BC163" s="538">
        <f t="shared" si="307"/>
        <v>-100.73099999999999</v>
      </c>
      <c r="BD163" s="538">
        <f t="shared" si="307"/>
        <v>0</v>
      </c>
      <c r="BE163" s="430">
        <f t="shared" si="307"/>
        <v>-75</v>
      </c>
      <c r="BF163" s="430">
        <f t="shared" si="307"/>
        <v>0</v>
      </c>
      <c r="BG163" s="430">
        <f t="shared" si="307"/>
        <v>-8.8000000000000007</v>
      </c>
      <c r="BH163" s="430">
        <f t="shared" si="307"/>
        <v>0</v>
      </c>
      <c r="BI163" s="538">
        <f>SUM(BI158:BI162)</f>
        <v>-83.8</v>
      </c>
      <c r="BJ163" s="538">
        <f t="shared" ref="BJ163:BO163" si="308">SUM(BJ158:BJ162)</f>
        <v>0</v>
      </c>
      <c r="BK163" s="430">
        <f t="shared" si="308"/>
        <v>0</v>
      </c>
      <c r="BL163" s="430">
        <f t="shared" si="308"/>
        <v>0</v>
      </c>
      <c r="BM163" s="430">
        <f t="shared" si="308"/>
        <v>0</v>
      </c>
      <c r="BN163" s="430">
        <f t="shared" si="308"/>
        <v>-97.4</v>
      </c>
      <c r="BO163" s="538">
        <f t="shared" si="308"/>
        <v>-97.4</v>
      </c>
      <c r="BP163" s="538">
        <f t="shared" ref="BP163:CG163" si="309">SUM(BP158:BP162)</f>
        <v>0</v>
      </c>
      <c r="BQ163" s="430">
        <f t="shared" si="309"/>
        <v>-75</v>
      </c>
      <c r="BR163" s="430">
        <f t="shared" si="309"/>
        <v>0</v>
      </c>
      <c r="BS163" s="430">
        <f t="shared" si="309"/>
        <v>-8.8000000000000007</v>
      </c>
      <c r="BT163" s="430">
        <f t="shared" si="309"/>
        <v>0</v>
      </c>
      <c r="BU163" s="538">
        <f t="shared" si="309"/>
        <v>-83.8</v>
      </c>
      <c r="BV163" s="538">
        <f t="shared" si="309"/>
        <v>0</v>
      </c>
      <c r="BW163" s="430">
        <f t="shared" si="309"/>
        <v>-75</v>
      </c>
      <c r="BX163" s="430">
        <f t="shared" si="309"/>
        <v>0</v>
      </c>
      <c r="BY163" s="430">
        <f t="shared" si="309"/>
        <v>-8.8000000000000007</v>
      </c>
      <c r="BZ163" s="430">
        <f t="shared" si="309"/>
        <v>0</v>
      </c>
      <c r="CA163" s="538">
        <f t="shared" si="309"/>
        <v>-83.8</v>
      </c>
      <c r="CB163" s="538">
        <f t="shared" si="309"/>
        <v>0</v>
      </c>
      <c r="CC163" s="430">
        <f t="shared" si="309"/>
        <v>-75</v>
      </c>
      <c r="CD163" s="430">
        <f t="shared" si="309"/>
        <v>0</v>
      </c>
      <c r="CE163" s="430">
        <f t="shared" si="309"/>
        <v>-8.8000000000000007</v>
      </c>
      <c r="CF163" s="430">
        <f t="shared" si="309"/>
        <v>0</v>
      </c>
      <c r="CG163" s="538">
        <f t="shared" si="309"/>
        <v>-83.8</v>
      </c>
    </row>
    <row r="164" spans="2:85" ht="12" customHeight="1" x14ac:dyDescent="0.2">
      <c r="B164" s="181" t="s">
        <v>333</v>
      </c>
      <c r="C164" s="205"/>
      <c r="D164" s="205"/>
      <c r="E164" s="205"/>
      <c r="F164" s="205"/>
      <c r="G164" s="206"/>
      <c r="H164" s="207"/>
      <c r="I164" s="205"/>
      <c r="J164" s="205"/>
      <c r="K164" s="205"/>
      <c r="L164" s="205"/>
      <c r="M164" s="206">
        <f>M155+M163</f>
        <v>24.551000000000002</v>
      </c>
      <c r="N164" s="207"/>
      <c r="O164" s="205"/>
      <c r="P164" s="205"/>
      <c r="Q164" s="205"/>
      <c r="R164" s="205"/>
      <c r="S164" s="206">
        <f>S155+S163</f>
        <v>56.378999999999998</v>
      </c>
      <c r="T164" s="207"/>
      <c r="U164" s="205"/>
      <c r="V164" s="205"/>
      <c r="W164" s="205"/>
      <c r="X164" s="205"/>
      <c r="Y164" s="206">
        <f>Y163+Y155</f>
        <v>-74.42</v>
      </c>
      <c r="Z164" s="230"/>
      <c r="AA164" s="205"/>
      <c r="AB164" s="205"/>
      <c r="AC164" s="205"/>
      <c r="AD164" s="205"/>
      <c r="AE164" s="205">
        <f>AE163+AE155</f>
        <v>268.947</v>
      </c>
      <c r="AF164" s="207"/>
      <c r="AG164" s="205">
        <f>AG163+AG155</f>
        <v>11.335999999999974</v>
      </c>
      <c r="AH164" s="205">
        <f>AH163+AH155</f>
        <v>0</v>
      </c>
      <c r="AI164" s="205">
        <f>AI163+AI155</f>
        <v>0</v>
      </c>
      <c r="AJ164" s="205">
        <f>AJ163+AJ155</f>
        <v>0</v>
      </c>
      <c r="AK164" s="208">
        <f>AK163+AK155</f>
        <v>11.335999999999974</v>
      </c>
      <c r="AL164" s="209"/>
      <c r="AM164" s="205">
        <f>AM163+AM155</f>
        <v>0</v>
      </c>
      <c r="AN164" s="205">
        <f>AN163+AN155</f>
        <v>0</v>
      </c>
      <c r="AO164" s="205">
        <f>AO163+AO155</f>
        <v>0</v>
      </c>
      <c r="AP164" s="205">
        <f>AP163+AP155</f>
        <v>0</v>
      </c>
      <c r="AQ164" s="208">
        <f>AQ163+AQ155</f>
        <v>0</v>
      </c>
      <c r="AR164" s="209"/>
      <c r="AS164" s="205">
        <f>AS163+AS155</f>
        <v>-6.6900000000000119</v>
      </c>
      <c r="AT164" s="205">
        <f>AT163+AT155</f>
        <v>-104.93900000000001</v>
      </c>
      <c r="AU164" s="205">
        <f>AU163+AU155</f>
        <v>-194.84100000000001</v>
      </c>
      <c r="AV164" s="205">
        <f>AV163+AV155</f>
        <v>0</v>
      </c>
      <c r="AW164" s="205">
        <f>AW163+AW155</f>
        <v>-306.47000000000003</v>
      </c>
      <c r="AX164" s="209"/>
      <c r="AY164" s="205">
        <f>AY163+AY155</f>
        <v>134.80000000000001</v>
      </c>
      <c r="AZ164" s="205">
        <f>AZ163+AZ155</f>
        <v>-127.92700000000001</v>
      </c>
      <c r="BA164" s="205">
        <f>BA163+BA155</f>
        <v>333.49599999999998</v>
      </c>
      <c r="BB164" s="205">
        <f>BB163+BB155</f>
        <v>-441.09999999999997</v>
      </c>
      <c r="BC164" s="205">
        <f>BC163+BC155</f>
        <v>-100.73099999999999</v>
      </c>
      <c r="BD164" s="209"/>
      <c r="BE164" s="205">
        <f>BE163+BE155</f>
        <v>-75.8</v>
      </c>
      <c r="BF164" s="205">
        <f>BF163+BF155</f>
        <v>0</v>
      </c>
      <c r="BG164" s="205">
        <f>BG163+BG155</f>
        <v>-8.8000000000000007</v>
      </c>
      <c r="BH164" s="205">
        <f>BH163+BH155</f>
        <v>0</v>
      </c>
      <c r="BI164" s="205">
        <f>BI163+BI155</f>
        <v>-84.6</v>
      </c>
      <c r="BJ164" s="209"/>
      <c r="BK164" s="205">
        <f>BK163+BK155</f>
        <v>0</v>
      </c>
      <c r="BL164" s="205">
        <f>BL163+BL155</f>
        <v>0</v>
      </c>
      <c r="BM164" s="205">
        <f>BM163+BM155</f>
        <v>0</v>
      </c>
      <c r="BN164" s="205">
        <f>BN163+BN155</f>
        <v>-97.4</v>
      </c>
      <c r="BO164" s="205">
        <f>BO163+BO155</f>
        <v>-97.4</v>
      </c>
      <c r="BP164" s="209"/>
      <c r="BQ164" s="205">
        <f>BQ163+BQ155</f>
        <v>-75</v>
      </c>
      <c r="BR164" s="205">
        <f>BR163+BR155</f>
        <v>0</v>
      </c>
      <c r="BS164" s="205">
        <f>BS163+BS155</f>
        <v>-8.8000000000000007</v>
      </c>
      <c r="BT164" s="205">
        <f>BT163+BT155</f>
        <v>0</v>
      </c>
      <c r="BU164" s="205">
        <f>BU163+BU155</f>
        <v>-83.8</v>
      </c>
      <c r="BV164" s="209"/>
      <c r="BW164" s="205">
        <f>BW163+BW155</f>
        <v>-75</v>
      </c>
      <c r="BX164" s="205">
        <f>BX163+BX155</f>
        <v>0</v>
      </c>
      <c r="BY164" s="205">
        <f>BY163+BY155</f>
        <v>-8.8000000000000007</v>
      </c>
      <c r="BZ164" s="205">
        <f>BZ163+BZ155</f>
        <v>0</v>
      </c>
      <c r="CA164" s="205">
        <f>CA163+CA155</f>
        <v>-83.8</v>
      </c>
      <c r="CB164" s="209"/>
      <c r="CC164" s="205">
        <f>CC163+CC155</f>
        <v>-75</v>
      </c>
      <c r="CD164" s="205">
        <f>CD163+CD155</f>
        <v>0</v>
      </c>
      <c r="CE164" s="205">
        <f>CE163+CE155</f>
        <v>-8.8000000000000007</v>
      </c>
      <c r="CF164" s="205">
        <f>CF163+CF155</f>
        <v>0</v>
      </c>
      <c r="CG164" s="205">
        <f>CG163+CG155</f>
        <v>-83.8</v>
      </c>
    </row>
    <row r="165" spans="2:85" ht="12" customHeight="1" x14ac:dyDescent="0.2">
      <c r="B165" s="113"/>
      <c r="C165" s="197"/>
      <c r="D165" s="197"/>
      <c r="E165" s="197"/>
      <c r="F165" s="197"/>
      <c r="G165" s="198"/>
      <c r="H165" s="183"/>
      <c r="I165" s="197"/>
      <c r="J165" s="197"/>
      <c r="K165" s="197"/>
      <c r="L165" s="197"/>
      <c r="M165" s="198"/>
      <c r="N165" s="183"/>
      <c r="O165" s="197"/>
      <c r="P165" s="197"/>
      <c r="Q165" s="197"/>
      <c r="R165" s="197"/>
      <c r="S165" s="198"/>
      <c r="T165" s="183"/>
      <c r="U165" s="197"/>
      <c r="V165" s="197"/>
      <c r="W165" s="197"/>
      <c r="X165" s="197"/>
      <c r="Y165" s="198"/>
      <c r="Z165" s="229"/>
      <c r="AA165" s="197"/>
      <c r="AB165" s="197"/>
      <c r="AC165" s="197"/>
      <c r="AD165" s="197"/>
      <c r="AE165" s="197"/>
      <c r="AF165" s="183"/>
      <c r="AG165" s="197"/>
      <c r="AH165" s="197"/>
      <c r="AI165" s="197"/>
      <c r="AJ165" s="197"/>
      <c r="AK165" s="204"/>
      <c r="AL165" s="136"/>
      <c r="AM165" s="197"/>
      <c r="AN165" s="197"/>
      <c r="AO165" s="197"/>
      <c r="AP165" s="197"/>
      <c r="AQ165" s="204"/>
      <c r="AR165" s="136"/>
      <c r="AS165" s="197"/>
      <c r="AT165" s="197"/>
      <c r="AU165" s="197"/>
      <c r="AV165" s="197"/>
      <c r="AW165" s="204"/>
      <c r="AX165" s="136"/>
      <c r="AY165" s="197"/>
      <c r="AZ165" s="197"/>
      <c r="BA165" s="197"/>
      <c r="BB165" s="197"/>
      <c r="BC165" s="204"/>
      <c r="BD165" s="136"/>
      <c r="BE165" s="197"/>
      <c r="BF165" s="197"/>
      <c r="BG165" s="197"/>
      <c r="BH165" s="197"/>
      <c r="BI165" s="204"/>
      <c r="BJ165" s="136"/>
      <c r="BK165" s="197"/>
      <c r="BL165" s="197"/>
      <c r="BM165" s="197"/>
      <c r="BN165" s="197"/>
      <c r="BO165" s="204"/>
      <c r="BP165" s="136"/>
      <c r="BQ165" s="197"/>
      <c r="BR165" s="197"/>
      <c r="BS165" s="197"/>
      <c r="BT165" s="197"/>
      <c r="BU165" s="204"/>
      <c r="BV165" s="136"/>
      <c r="BW165" s="197"/>
      <c r="BX165" s="197"/>
      <c r="BY165" s="197"/>
      <c r="BZ165" s="197"/>
      <c r="CA165" s="204"/>
      <c r="CB165" s="136"/>
      <c r="CC165" s="197"/>
      <c r="CD165" s="197"/>
      <c r="CE165" s="197"/>
      <c r="CF165" s="197"/>
      <c r="CG165" s="204"/>
    </row>
    <row r="166" spans="2:85" ht="12" customHeight="1" x14ac:dyDescent="0.2">
      <c r="B166" s="115" t="s">
        <v>198</v>
      </c>
      <c r="C166" s="197"/>
      <c r="D166" s="197"/>
      <c r="E166" s="197"/>
      <c r="F166" s="197"/>
      <c r="G166" s="198"/>
      <c r="H166" s="183"/>
      <c r="I166" s="197"/>
      <c r="J166" s="197"/>
      <c r="K166" s="197"/>
      <c r="L166" s="197"/>
      <c r="M166" s="198"/>
      <c r="N166" s="183"/>
      <c r="O166" s="197"/>
      <c r="P166" s="197"/>
      <c r="Q166" s="197"/>
      <c r="R166" s="197"/>
      <c r="S166" s="198"/>
      <c r="T166" s="183"/>
      <c r="U166" s="197"/>
      <c r="V166" s="197"/>
      <c r="W166" s="197"/>
      <c r="X166" s="197"/>
      <c r="Y166" s="198"/>
      <c r="Z166" s="229"/>
      <c r="AA166" s="197"/>
      <c r="AB166" s="197"/>
      <c r="AC166" s="197"/>
      <c r="AD166" s="197"/>
      <c r="AE166" s="197"/>
      <c r="AF166" s="183"/>
      <c r="AG166" s="197"/>
      <c r="AH166" s="197"/>
      <c r="AI166" s="197"/>
      <c r="AJ166" s="197"/>
      <c r="AK166" s="204"/>
      <c r="AL166" s="136"/>
      <c r="AM166" s="197"/>
      <c r="AN166" s="197"/>
      <c r="AO166" s="197"/>
      <c r="AP166" s="197"/>
      <c r="AQ166" s="204"/>
      <c r="AR166" s="136"/>
      <c r="AS166" s="197"/>
      <c r="AT166" s="197"/>
      <c r="AU166" s="197"/>
      <c r="AV166" s="197"/>
      <c r="AW166" s="204"/>
      <c r="AX166" s="136"/>
      <c r="AY166" s="197"/>
      <c r="AZ166" s="197"/>
      <c r="BA166" s="197"/>
      <c r="BB166" s="197"/>
      <c r="BC166" s="204"/>
      <c r="BD166" s="136"/>
      <c r="BE166" s="197"/>
      <c r="BF166" s="197"/>
      <c r="BG166" s="197"/>
      <c r="BH166" s="197"/>
      <c r="BI166" s="204"/>
      <c r="BJ166" s="136"/>
      <c r="BK166" s="197"/>
      <c r="BL166" s="197"/>
      <c r="BM166" s="197"/>
      <c r="BN166" s="197"/>
      <c r="BO166" s="204"/>
      <c r="BP166" s="136"/>
      <c r="BQ166" s="197"/>
      <c r="BR166" s="197"/>
      <c r="BS166" s="197"/>
      <c r="BT166" s="197"/>
      <c r="BU166" s="204"/>
      <c r="BV166" s="136"/>
      <c r="BW166" s="197"/>
      <c r="BX166" s="197"/>
      <c r="BY166" s="197"/>
      <c r="BZ166" s="197"/>
      <c r="CA166" s="204"/>
      <c r="CB166" s="136"/>
      <c r="CC166" s="197"/>
      <c r="CD166" s="197"/>
      <c r="CE166" s="197"/>
      <c r="CF166" s="197"/>
      <c r="CG166" s="204"/>
    </row>
    <row r="167" spans="2:85" ht="12" customHeight="1" x14ac:dyDescent="0.2">
      <c r="B167" s="113" t="s">
        <v>312</v>
      </c>
      <c r="C167" s="197"/>
      <c r="D167" s="197"/>
      <c r="E167" s="197"/>
      <c r="F167" s="197"/>
      <c r="G167" s="198"/>
      <c r="H167" s="183"/>
      <c r="I167" s="197"/>
      <c r="J167" s="197"/>
      <c r="K167" s="197"/>
      <c r="L167" s="197"/>
      <c r="M167" s="198">
        <f>M135-G135</f>
        <v>-103.13999999999999</v>
      </c>
      <c r="N167" s="183"/>
      <c r="O167" s="197"/>
      <c r="P167" s="197"/>
      <c r="Q167" s="197"/>
      <c r="R167" s="197"/>
      <c r="S167" s="198">
        <f>S135-M135</f>
        <v>86.203999999999979</v>
      </c>
      <c r="T167" s="183"/>
      <c r="U167" s="197"/>
      <c r="V167" s="197"/>
      <c r="W167" s="197"/>
      <c r="X167" s="197"/>
      <c r="Y167" s="198">
        <f>Y135-S135</f>
        <v>132.45599999999999</v>
      </c>
      <c r="Z167" s="229"/>
      <c r="AA167" s="197"/>
      <c r="AB167" s="197"/>
      <c r="AC167" s="196"/>
      <c r="AD167" s="430"/>
      <c r="AE167" s="197">
        <f>SUM(AA167:AD167)</f>
        <v>0</v>
      </c>
      <c r="AF167" s="183"/>
      <c r="AG167" s="430">
        <v>-100</v>
      </c>
      <c r="AH167" s="430">
        <v>-46.1</v>
      </c>
      <c r="AI167" s="430">
        <v>-76</v>
      </c>
      <c r="AJ167" s="430">
        <f>-75-52.5</f>
        <v>-127.5</v>
      </c>
      <c r="AK167" s="204">
        <f>SUM(AG167:AJ167)</f>
        <v>-349.6</v>
      </c>
      <c r="AL167" s="136"/>
      <c r="AM167" s="430">
        <v>-75</v>
      </c>
      <c r="AN167" s="430">
        <v>-75</v>
      </c>
      <c r="AO167" s="430">
        <v>-75</v>
      </c>
      <c r="AP167" s="430">
        <v>-75</v>
      </c>
      <c r="AQ167" s="204">
        <f>SUM(AM167:AP167)</f>
        <v>-300</v>
      </c>
      <c r="AR167" s="136"/>
      <c r="AS167" s="430">
        <v>0</v>
      </c>
      <c r="AT167" s="430">
        <v>0</v>
      </c>
      <c r="AU167" s="430">
        <v>0</v>
      </c>
      <c r="AV167" s="430">
        <v>0</v>
      </c>
      <c r="AW167" s="197">
        <f>SUM(AS167:AV167)</f>
        <v>0</v>
      </c>
      <c r="AX167" s="136"/>
      <c r="AY167" s="1189">
        <f>AY144-AV144</f>
        <v>-74.058999999999969</v>
      </c>
      <c r="AZ167" s="1189">
        <f>AZ144-AY144</f>
        <v>-1.0440000000000964</v>
      </c>
      <c r="BA167" s="1189">
        <f>BA144-AZ144</f>
        <v>-375.87900000000002</v>
      </c>
      <c r="BB167" s="1189">
        <f>BB144-BA144</f>
        <v>439.1</v>
      </c>
      <c r="BC167" s="197">
        <f>SUM(AY167:BB167)</f>
        <v>-11.882000000000062</v>
      </c>
      <c r="BD167" s="136"/>
      <c r="BE167" s="430">
        <v>0</v>
      </c>
      <c r="BF167" s="430">
        <v>0</v>
      </c>
      <c r="BG167" s="430">
        <v>0</v>
      </c>
      <c r="BH167" s="430">
        <v>0</v>
      </c>
      <c r="BI167" s="197">
        <f>SUM(BE167:BH167)</f>
        <v>0</v>
      </c>
      <c r="BJ167" s="136"/>
      <c r="BK167" s="430">
        <v>0</v>
      </c>
      <c r="BL167" s="430">
        <v>0</v>
      </c>
      <c r="BM167" s="430">
        <v>0</v>
      </c>
      <c r="BN167" s="430">
        <v>0</v>
      </c>
      <c r="BO167" s="197">
        <f>SUM(BK167:BN167)</f>
        <v>0</v>
      </c>
      <c r="BP167" s="136"/>
      <c r="BQ167" s="430">
        <v>0</v>
      </c>
      <c r="BR167" s="430">
        <v>0</v>
      </c>
      <c r="BS167" s="430">
        <v>0</v>
      </c>
      <c r="BT167" s="430">
        <v>0</v>
      </c>
      <c r="BU167" s="197">
        <f>SUM(BQ167:BT167)</f>
        <v>0</v>
      </c>
      <c r="BV167" s="136"/>
      <c r="BW167" s="430">
        <v>0</v>
      </c>
      <c r="BX167" s="430">
        <v>0</v>
      </c>
      <c r="BY167" s="430">
        <v>0</v>
      </c>
      <c r="BZ167" s="430">
        <v>0</v>
      </c>
      <c r="CA167" s="197">
        <f>SUM(BW167:BZ167)</f>
        <v>0</v>
      </c>
      <c r="CB167" s="136"/>
      <c r="CC167" s="430">
        <v>0</v>
      </c>
      <c r="CD167" s="430">
        <v>0</v>
      </c>
      <c r="CE167" s="430">
        <v>0</v>
      </c>
      <c r="CF167" s="430">
        <v>0</v>
      </c>
      <c r="CG167" s="197">
        <f>SUM(CC167:CF167)</f>
        <v>0</v>
      </c>
    </row>
    <row r="168" spans="2:85" ht="12" customHeight="1" x14ac:dyDescent="0.2">
      <c r="B168" s="113" t="s">
        <v>319</v>
      </c>
      <c r="C168" s="197"/>
      <c r="D168" s="197"/>
      <c r="E168" s="197"/>
      <c r="F168" s="197"/>
      <c r="G168" s="198"/>
      <c r="H168" s="183"/>
      <c r="I168" s="197"/>
      <c r="J168" s="197"/>
      <c r="K168" s="197"/>
      <c r="L168" s="197"/>
      <c r="M168" s="198">
        <f>M136-G136</f>
        <v>57.048999999999999</v>
      </c>
      <c r="N168" s="183"/>
      <c r="O168" s="197"/>
      <c r="P168" s="197"/>
      <c r="Q168" s="197"/>
      <c r="R168" s="197"/>
      <c r="S168" s="198">
        <f>S136-M136</f>
        <v>-114.316</v>
      </c>
      <c r="T168" s="183"/>
      <c r="U168" s="197"/>
      <c r="V168" s="197"/>
      <c r="W168" s="197"/>
      <c r="X168" s="197"/>
      <c r="Y168" s="198">
        <f>Y136-S136</f>
        <v>69.56</v>
      </c>
      <c r="Z168" s="229"/>
      <c r="AA168" s="197"/>
      <c r="AB168" s="197"/>
      <c r="AC168" s="197"/>
      <c r="AD168" s="197"/>
      <c r="AE168" s="197">
        <f>SUM(AA168:AD168)</f>
        <v>0</v>
      </c>
      <c r="AF168" s="183"/>
      <c r="AG168" s="197">
        <f>AG136-AE136</f>
        <v>0</v>
      </c>
      <c r="AH168" s="197">
        <v>0</v>
      </c>
      <c r="AI168" s="197">
        <v>0</v>
      </c>
      <c r="AJ168" s="197">
        <v>0</v>
      </c>
      <c r="AK168" s="204">
        <f>SUM(AG168:AJ168)</f>
        <v>0</v>
      </c>
      <c r="AL168" s="136"/>
      <c r="AM168" s="197">
        <v>0</v>
      </c>
      <c r="AN168" s="197">
        <v>0</v>
      </c>
      <c r="AO168" s="197">
        <v>0</v>
      </c>
      <c r="AP168" s="197">
        <v>0</v>
      </c>
      <c r="AQ168" s="204">
        <f>SUM(AM168:AP168)</f>
        <v>0</v>
      </c>
      <c r="AR168" s="136"/>
      <c r="AS168" s="430">
        <v>0</v>
      </c>
      <c r="AT168" s="430"/>
      <c r="AU168" s="430">
        <v>-5.9115429482519986</v>
      </c>
      <c r="AV168" s="430">
        <v>0</v>
      </c>
      <c r="AW168" s="197">
        <f>SUM(AS168:AV168)</f>
        <v>-5.9115429482519986</v>
      </c>
      <c r="AX168" s="136"/>
      <c r="AY168" s="430">
        <v>0</v>
      </c>
      <c r="AZ168" s="430">
        <v>0</v>
      </c>
      <c r="BA168" s="430">
        <v>0</v>
      </c>
      <c r="BB168" s="430">
        <v>0</v>
      </c>
      <c r="BC168" s="197">
        <f>SUM(AY168:BB168)</f>
        <v>0</v>
      </c>
      <c r="BD168" s="136"/>
      <c r="BE168" s="430">
        <v>0</v>
      </c>
      <c r="BF168" s="430">
        <v>0</v>
      </c>
      <c r="BG168" s="430">
        <v>0</v>
      </c>
      <c r="BH168" s="430">
        <v>0</v>
      </c>
      <c r="BI168" s="197">
        <f>SUM(BE168:BH168)</f>
        <v>0</v>
      </c>
      <c r="BJ168" s="136"/>
      <c r="BK168" s="430">
        <v>0</v>
      </c>
      <c r="BL168" s="430">
        <v>0</v>
      </c>
      <c r="BM168" s="430">
        <v>0</v>
      </c>
      <c r="BN168" s="430">
        <v>0</v>
      </c>
      <c r="BO168" s="197">
        <f>SUM(BK168:BN168)</f>
        <v>0</v>
      </c>
      <c r="BP168" s="136"/>
      <c r="BQ168" s="430">
        <v>0</v>
      </c>
      <c r="BR168" s="430">
        <v>0</v>
      </c>
      <c r="BS168" s="430">
        <v>0</v>
      </c>
      <c r="BT168" s="430">
        <v>0</v>
      </c>
      <c r="BU168" s="197">
        <f>SUM(BQ168:BT168)</f>
        <v>0</v>
      </c>
      <c r="BV168" s="136"/>
      <c r="BW168" s="430">
        <v>0</v>
      </c>
      <c r="BX168" s="430">
        <v>0</v>
      </c>
      <c r="BY168" s="430">
        <v>0</v>
      </c>
      <c r="BZ168" s="430">
        <v>0</v>
      </c>
      <c r="CA168" s="197">
        <f>SUM(BW168:BZ168)</f>
        <v>0</v>
      </c>
      <c r="CB168" s="136"/>
      <c r="CC168" s="430">
        <v>0</v>
      </c>
      <c r="CD168" s="430">
        <v>0</v>
      </c>
      <c r="CE168" s="430">
        <v>0</v>
      </c>
      <c r="CF168" s="430">
        <v>0</v>
      </c>
      <c r="CG168" s="197">
        <f>SUM(CC168:CF168)</f>
        <v>0</v>
      </c>
    </row>
    <row r="169" spans="2:85" ht="12" customHeight="1" x14ac:dyDescent="0.2">
      <c r="B169" s="113" t="s">
        <v>330</v>
      </c>
      <c r="C169" s="197"/>
      <c r="D169" s="197"/>
      <c r="E169" s="197"/>
      <c r="F169" s="197"/>
      <c r="G169" s="198"/>
      <c r="H169" s="183"/>
      <c r="I169" s="197"/>
      <c r="J169" s="197"/>
      <c r="K169" s="197"/>
      <c r="L169" s="197"/>
      <c r="M169" s="198">
        <f>M137-G137</f>
        <v>0</v>
      </c>
      <c r="N169" s="183"/>
      <c r="O169" s="197"/>
      <c r="P169" s="197"/>
      <c r="Q169" s="197"/>
      <c r="R169" s="197"/>
      <c r="S169" s="198">
        <f>S137-M137</f>
        <v>0</v>
      </c>
      <c r="T169" s="183"/>
      <c r="U169" s="197"/>
      <c r="V169" s="197"/>
      <c r="W169" s="197"/>
      <c r="X169" s="197"/>
      <c r="Y169" s="198">
        <f>Y137-S137</f>
        <v>0</v>
      </c>
      <c r="Z169" s="229"/>
      <c r="AA169" s="197"/>
      <c r="AB169" s="197"/>
      <c r="AC169" s="197"/>
      <c r="AD169" s="197"/>
      <c r="AE169" s="197"/>
      <c r="AF169" s="183"/>
      <c r="AG169" s="197">
        <f>AG137-AE137</f>
        <v>0</v>
      </c>
      <c r="AH169" s="197">
        <v>0</v>
      </c>
      <c r="AI169" s="197">
        <v>0</v>
      </c>
      <c r="AJ169" s="197">
        <v>0</v>
      </c>
      <c r="AK169" s="204">
        <f>SUM(AG169:AJ169)</f>
        <v>0</v>
      </c>
      <c r="AL169" s="136"/>
      <c r="AM169" s="197">
        <v>0</v>
      </c>
      <c r="AN169" s="197">
        <v>0</v>
      </c>
      <c r="AO169" s="197">
        <v>0</v>
      </c>
      <c r="AP169" s="197">
        <v>0</v>
      </c>
      <c r="AQ169" s="204">
        <f>SUM(AM169:AP169)</f>
        <v>0</v>
      </c>
      <c r="AR169" s="136"/>
      <c r="AS169" s="430">
        <v>0</v>
      </c>
      <c r="AT169" s="430">
        <v>3.5009999999999999</v>
      </c>
      <c r="AU169" s="430">
        <v>-0.28417679580703081</v>
      </c>
      <c r="AV169" s="430">
        <v>0</v>
      </c>
      <c r="AW169" s="197">
        <f>SUM(AS169:AV169)</f>
        <v>3.216823204192969</v>
      </c>
      <c r="AX169" s="136"/>
      <c r="AY169" s="430">
        <v>0</v>
      </c>
      <c r="AZ169" s="430">
        <v>0</v>
      </c>
      <c r="BA169" s="430">
        <v>0</v>
      </c>
      <c r="BB169" s="430">
        <v>0</v>
      </c>
      <c r="BC169" s="197">
        <f>SUM(AY169:BB169)</f>
        <v>0</v>
      </c>
      <c r="BD169" s="136"/>
      <c r="BE169" s="430">
        <v>0</v>
      </c>
      <c r="BF169" s="430">
        <v>0</v>
      </c>
      <c r="BG169" s="430">
        <v>0</v>
      </c>
      <c r="BH169" s="430">
        <v>0</v>
      </c>
      <c r="BI169" s="197">
        <f>SUM(BE169:BH169)</f>
        <v>0</v>
      </c>
      <c r="BJ169" s="136"/>
      <c r="BK169" s="430">
        <v>0</v>
      </c>
      <c r="BL169" s="430">
        <v>0</v>
      </c>
      <c r="BM169" s="430">
        <v>0</v>
      </c>
      <c r="BN169" s="430">
        <v>0</v>
      </c>
      <c r="BO169" s="197">
        <f>SUM(BK169:BN169)</f>
        <v>0</v>
      </c>
      <c r="BP169" s="136"/>
      <c r="BQ169" s="430">
        <v>0</v>
      </c>
      <c r="BR169" s="430">
        <v>0</v>
      </c>
      <c r="BS169" s="430">
        <v>0</v>
      </c>
      <c r="BT169" s="430">
        <v>0</v>
      </c>
      <c r="BU169" s="197">
        <f>SUM(BQ169:BT169)</f>
        <v>0</v>
      </c>
      <c r="BV169" s="136"/>
      <c r="BW169" s="430">
        <v>0</v>
      </c>
      <c r="BX169" s="430">
        <v>0</v>
      </c>
      <c r="BY169" s="430">
        <v>0</v>
      </c>
      <c r="BZ169" s="430">
        <v>0</v>
      </c>
      <c r="CA169" s="197">
        <f>SUM(BW169:BZ169)</f>
        <v>0</v>
      </c>
      <c r="CB169" s="136"/>
      <c r="CC169" s="430">
        <v>0</v>
      </c>
      <c r="CD169" s="430">
        <v>0</v>
      </c>
      <c r="CE169" s="430">
        <v>0</v>
      </c>
      <c r="CF169" s="430">
        <v>0</v>
      </c>
      <c r="CG169" s="197">
        <f>SUM(CC169:CF169)</f>
        <v>0</v>
      </c>
    </row>
    <row r="170" spans="2:85" ht="12" customHeight="1" x14ac:dyDescent="0.2">
      <c r="B170" s="113" t="s">
        <v>320</v>
      </c>
      <c r="C170" s="197"/>
      <c r="D170" s="197"/>
      <c r="E170" s="197"/>
      <c r="F170" s="197"/>
      <c r="G170" s="198"/>
      <c r="H170" s="183"/>
      <c r="I170" s="197"/>
      <c r="J170" s="197"/>
      <c r="K170" s="197"/>
      <c r="L170" s="197"/>
      <c r="M170" s="198">
        <f>M138-G138</f>
        <v>25.951000000000008</v>
      </c>
      <c r="N170" s="183"/>
      <c r="O170" s="197"/>
      <c r="P170" s="197"/>
      <c r="Q170" s="197"/>
      <c r="R170" s="197"/>
      <c r="S170" s="198">
        <f>S138-M138</f>
        <v>-3.4710000000000036</v>
      </c>
      <c r="T170" s="183"/>
      <c r="U170" s="197"/>
      <c r="V170" s="197"/>
      <c r="W170" s="197"/>
      <c r="X170" s="197"/>
      <c r="Y170" s="198">
        <f>Y138-S138</f>
        <v>19.849999999999994</v>
      </c>
      <c r="Z170" s="229"/>
      <c r="AA170" s="197"/>
      <c r="AB170" s="197"/>
      <c r="AC170" s="197"/>
      <c r="AD170" s="197"/>
      <c r="AE170" s="197">
        <f>SUM(AA170:AD170)</f>
        <v>0</v>
      </c>
      <c r="AF170" s="183"/>
      <c r="AG170" s="197">
        <f>AG138-AE138</f>
        <v>-7.4010000000000673</v>
      </c>
      <c r="AH170" s="197">
        <v>0</v>
      </c>
      <c r="AI170" s="197">
        <v>0</v>
      </c>
      <c r="AJ170" s="197">
        <v>0</v>
      </c>
      <c r="AK170" s="204">
        <f>SUM(AG170:AJ170)</f>
        <v>-7.4010000000000673</v>
      </c>
      <c r="AL170" s="136"/>
      <c r="AM170" s="197">
        <v>0</v>
      </c>
      <c r="AN170" s="197">
        <v>0</v>
      </c>
      <c r="AO170" s="197">
        <v>0</v>
      </c>
      <c r="AP170" s="197">
        <v>0</v>
      </c>
      <c r="AQ170" s="204">
        <f>SUM(AM170:AP170)</f>
        <v>0</v>
      </c>
      <c r="AR170" s="136"/>
      <c r="AS170" s="430">
        <v>-0.71</v>
      </c>
      <c r="AT170" s="430">
        <v>0</v>
      </c>
      <c r="AU170" s="430">
        <f>12600/109.65</f>
        <v>114.9110807113543</v>
      </c>
      <c r="AV170" s="430">
        <v>0</v>
      </c>
      <c r="AW170" s="197">
        <f>SUM(AS170:AV170)</f>
        <v>114.20108071135431</v>
      </c>
      <c r="AX170" s="136"/>
      <c r="AY170" s="430">
        <v>0</v>
      </c>
      <c r="AZ170" s="430">
        <v>0</v>
      </c>
      <c r="BA170" s="430">
        <v>0</v>
      </c>
      <c r="BB170" s="430">
        <v>0</v>
      </c>
      <c r="BC170" s="197">
        <f>SUM(AY170:BB170)</f>
        <v>0</v>
      </c>
      <c r="BD170" s="136"/>
      <c r="BE170" s="430">
        <v>0</v>
      </c>
      <c r="BF170" s="430">
        <v>0</v>
      </c>
      <c r="BG170" s="430">
        <v>0</v>
      </c>
      <c r="BH170" s="430">
        <v>0</v>
      </c>
      <c r="BI170" s="197">
        <f>SUM(BE170:BH170)</f>
        <v>0</v>
      </c>
      <c r="BJ170" s="136"/>
      <c r="BK170" s="430">
        <v>0</v>
      </c>
      <c r="BL170" s="430">
        <v>0</v>
      </c>
      <c r="BM170" s="430">
        <v>0</v>
      </c>
      <c r="BN170" s="430">
        <v>0</v>
      </c>
      <c r="BO170" s="197">
        <f>SUM(BK170:BN170)</f>
        <v>0</v>
      </c>
      <c r="BP170" s="136"/>
      <c r="BQ170" s="430">
        <v>0</v>
      </c>
      <c r="BR170" s="430">
        <v>0</v>
      </c>
      <c r="BS170" s="430">
        <v>0</v>
      </c>
      <c r="BT170" s="430">
        <v>0</v>
      </c>
      <c r="BU170" s="197">
        <f>SUM(BQ170:BT170)</f>
        <v>0</v>
      </c>
      <c r="BV170" s="136"/>
      <c r="BW170" s="430">
        <v>0</v>
      </c>
      <c r="BX170" s="430">
        <v>0</v>
      </c>
      <c r="BY170" s="430">
        <v>0</v>
      </c>
      <c r="BZ170" s="430">
        <v>0</v>
      </c>
      <c r="CA170" s="197">
        <f>SUM(BW170:BZ170)</f>
        <v>0</v>
      </c>
      <c r="CB170" s="136"/>
      <c r="CC170" s="430">
        <v>0</v>
      </c>
      <c r="CD170" s="430">
        <v>0</v>
      </c>
      <c r="CE170" s="430">
        <v>0</v>
      </c>
      <c r="CF170" s="430">
        <v>0</v>
      </c>
      <c r="CG170" s="197">
        <f>SUM(CC170:CF170)</f>
        <v>0</v>
      </c>
    </row>
    <row r="171" spans="2:85" ht="12" customHeight="1" x14ac:dyDescent="0.2">
      <c r="B171" s="113" t="s">
        <v>316</v>
      </c>
      <c r="C171" s="197"/>
      <c r="D171" s="197"/>
      <c r="E171" s="197"/>
      <c r="F171" s="197"/>
      <c r="G171" s="198"/>
      <c r="H171" s="183"/>
      <c r="I171" s="197"/>
      <c r="J171" s="197"/>
      <c r="K171" s="197"/>
      <c r="L171" s="197"/>
      <c r="M171" s="198">
        <f>M139-G139</f>
        <v>-38.244</v>
      </c>
      <c r="N171" s="183"/>
      <c r="O171" s="197"/>
      <c r="P171" s="197"/>
      <c r="Q171" s="197"/>
      <c r="R171" s="197"/>
      <c r="S171" s="198">
        <f>S139-M139</f>
        <v>-4.9450000000000021</v>
      </c>
      <c r="T171" s="183"/>
      <c r="U171" s="197"/>
      <c r="V171" s="197"/>
      <c r="W171" s="197"/>
      <c r="X171" s="197"/>
      <c r="Y171" s="198">
        <f>Y139-S139</f>
        <v>-5.0019999999999989</v>
      </c>
      <c r="Z171" s="229"/>
      <c r="AA171" s="197"/>
      <c r="AB171" s="197"/>
      <c r="AC171" s="197"/>
      <c r="AD171" s="197"/>
      <c r="AE171" s="197">
        <f>SUM(AA171:AD171)</f>
        <v>0</v>
      </c>
      <c r="AF171" s="183"/>
      <c r="AG171" s="197">
        <f>AG139-AE139</f>
        <v>0</v>
      </c>
      <c r="AH171" s="197">
        <v>0</v>
      </c>
      <c r="AI171" s="197">
        <v>0</v>
      </c>
      <c r="AJ171" s="197">
        <v>0</v>
      </c>
      <c r="AK171" s="204">
        <f>SUM(AG171:AJ171)</f>
        <v>0</v>
      </c>
      <c r="AL171" s="136"/>
      <c r="AM171" s="197">
        <v>0</v>
      </c>
      <c r="AN171" s="197">
        <v>0</v>
      </c>
      <c r="AO171" s="197">
        <v>0</v>
      </c>
      <c r="AP171" s="197">
        <v>0</v>
      </c>
      <c r="AQ171" s="204">
        <f>SUM(AM171:AP171)</f>
        <v>0</v>
      </c>
      <c r="AR171" s="136"/>
      <c r="AS171" s="430">
        <v>0</v>
      </c>
      <c r="AT171" s="430">
        <v>0</v>
      </c>
      <c r="AU171" s="430">
        <v>-0.23036096729515954</v>
      </c>
      <c r="AV171" s="430">
        <v>0</v>
      </c>
      <c r="AW171" s="197">
        <f>SUM(AS171:AV171)</f>
        <v>-0.23036096729515954</v>
      </c>
      <c r="AX171" s="136"/>
      <c r="AY171" s="430">
        <v>0</v>
      </c>
      <c r="AZ171" s="430">
        <v>0</v>
      </c>
      <c r="BA171" s="430">
        <v>0</v>
      </c>
      <c r="BB171" s="430">
        <v>0</v>
      </c>
      <c r="BC171" s="197">
        <f>SUM(AY171:BB171)</f>
        <v>0</v>
      </c>
      <c r="BD171" s="136"/>
      <c r="BE171" s="430">
        <v>0</v>
      </c>
      <c r="BF171" s="430">
        <v>0</v>
      </c>
      <c r="BG171" s="430">
        <v>0</v>
      </c>
      <c r="BH171" s="430">
        <v>0</v>
      </c>
      <c r="BI171" s="197">
        <f>SUM(BE171:BH171)</f>
        <v>0</v>
      </c>
      <c r="BJ171" s="136"/>
      <c r="BK171" s="430">
        <v>0</v>
      </c>
      <c r="BL171" s="430">
        <v>0</v>
      </c>
      <c r="BM171" s="430">
        <v>0</v>
      </c>
      <c r="BN171" s="430">
        <v>0</v>
      </c>
      <c r="BO171" s="197">
        <f>SUM(BK171:BN171)</f>
        <v>0</v>
      </c>
      <c r="BP171" s="136"/>
      <c r="BQ171" s="430">
        <v>0</v>
      </c>
      <c r="BR171" s="430">
        <v>0</v>
      </c>
      <c r="BS171" s="430">
        <v>0</v>
      </c>
      <c r="BT171" s="430">
        <v>0</v>
      </c>
      <c r="BU171" s="197">
        <f>SUM(BQ171:BT171)</f>
        <v>0</v>
      </c>
      <c r="BV171" s="136"/>
      <c r="BW171" s="430">
        <v>0</v>
      </c>
      <c r="BX171" s="430">
        <v>0</v>
      </c>
      <c r="BY171" s="430">
        <v>0</v>
      </c>
      <c r="BZ171" s="430">
        <v>0</v>
      </c>
      <c r="CA171" s="197">
        <f>SUM(BW171:BZ171)</f>
        <v>0</v>
      </c>
      <c r="CB171" s="136"/>
      <c r="CC171" s="430">
        <v>0</v>
      </c>
      <c r="CD171" s="430">
        <v>0</v>
      </c>
      <c r="CE171" s="430">
        <v>0</v>
      </c>
      <c r="CF171" s="430">
        <v>0</v>
      </c>
      <c r="CG171" s="197">
        <f>SUM(CC171:CF171)</f>
        <v>0</v>
      </c>
    </row>
    <row r="172" spans="2:85" ht="12" customHeight="1" x14ac:dyDescent="0.2">
      <c r="B172" s="109" t="s">
        <v>321</v>
      </c>
      <c r="C172" s="192"/>
      <c r="D172" s="192"/>
      <c r="E172" s="192"/>
      <c r="F172" s="192"/>
      <c r="G172" s="192"/>
      <c r="H172" s="193"/>
      <c r="I172" s="192"/>
      <c r="J172" s="192"/>
      <c r="K172" s="192"/>
      <c r="L172" s="192"/>
      <c r="M172" s="192">
        <f>SUM(M167:M171)</f>
        <v>-58.383999999999979</v>
      </c>
      <c r="N172" s="193"/>
      <c r="O172" s="192"/>
      <c r="P172" s="192"/>
      <c r="Q172" s="192"/>
      <c r="R172" s="192"/>
      <c r="S172" s="192">
        <f>SUM(S167:S171)</f>
        <v>-36.528000000000027</v>
      </c>
      <c r="T172" s="193"/>
      <c r="U172" s="192"/>
      <c r="V172" s="192"/>
      <c r="W172" s="192"/>
      <c r="X172" s="192"/>
      <c r="Y172" s="192">
        <f>SUM(Y167:Y171)</f>
        <v>216.86399999999998</v>
      </c>
      <c r="Z172" s="193"/>
      <c r="AA172" s="192"/>
      <c r="AB172" s="192"/>
      <c r="AC172" s="192"/>
      <c r="AD172" s="192"/>
      <c r="AE172" s="192">
        <f>SUM(AE167:AE171)</f>
        <v>0</v>
      </c>
      <c r="AF172" s="193"/>
      <c r="AG172" s="192">
        <f>SUM(AG167:AG171)</f>
        <v>-107.40100000000007</v>
      </c>
      <c r="AH172" s="192">
        <f>SUM(AH167:AH171)</f>
        <v>-46.1</v>
      </c>
      <c r="AI172" s="192">
        <f>SUM(AI167:AI171)</f>
        <v>-76</v>
      </c>
      <c r="AJ172" s="192">
        <f>SUM(AJ167:AJ171)</f>
        <v>-127.5</v>
      </c>
      <c r="AK172" s="192">
        <f>SUM(AK167:AK171)</f>
        <v>-357.00100000000009</v>
      </c>
      <c r="AL172" s="165"/>
      <c r="AM172" s="192">
        <f>SUM(AM167:AM171)</f>
        <v>-75</v>
      </c>
      <c r="AN172" s="192">
        <f>SUM(AN167:AN171)</f>
        <v>-75</v>
      </c>
      <c r="AO172" s="192">
        <f>SUM(AO167:AO171)</f>
        <v>-75</v>
      </c>
      <c r="AP172" s="192">
        <f>SUM(AP167:AP171)</f>
        <v>-75</v>
      </c>
      <c r="AQ172" s="192">
        <f>SUM(AQ167:AQ171)</f>
        <v>-300</v>
      </c>
      <c r="AR172" s="165"/>
      <c r="AS172" s="192">
        <f>SUM(AS167:AS171)</f>
        <v>-0.71</v>
      </c>
      <c r="AT172" s="192">
        <f>SUM(AT167:AT171)</f>
        <v>3.5009999999999999</v>
      </c>
      <c r="AU172" s="192">
        <f>SUM(AU167:AU171)</f>
        <v>108.48500000000011</v>
      </c>
      <c r="AV172" s="192">
        <f>SUM(AV167:AV171)</f>
        <v>0</v>
      </c>
      <c r="AW172" s="192">
        <f>SUM(AW167:AW171)</f>
        <v>111.27600000000012</v>
      </c>
      <c r="AX172" s="165"/>
      <c r="AY172" s="192">
        <f>SUM(AY167:AY171)</f>
        <v>-74.058999999999969</v>
      </c>
      <c r="AZ172" s="192">
        <f>SUM(AZ167:AZ171)</f>
        <v>-1.0440000000000964</v>
      </c>
      <c r="BA172" s="192">
        <f>SUM(BA167:BA171)</f>
        <v>-375.87900000000002</v>
      </c>
      <c r="BB172" s="192">
        <f>SUM(BB167:BB171)</f>
        <v>439.1</v>
      </c>
      <c r="BC172" s="192">
        <f>SUM(BC167:BC171)</f>
        <v>-11.882000000000062</v>
      </c>
      <c r="BD172" s="165"/>
      <c r="BE172" s="192">
        <f>SUM(BE167:BE171)</f>
        <v>0</v>
      </c>
      <c r="BF172" s="192">
        <f>SUM(BF167:BF171)</f>
        <v>0</v>
      </c>
      <c r="BG172" s="192">
        <f>SUM(BG167:BG171)</f>
        <v>0</v>
      </c>
      <c r="BH172" s="192">
        <f>SUM(BH167:BH171)</f>
        <v>0</v>
      </c>
      <c r="BI172" s="192">
        <f>SUM(BI167:BI171)</f>
        <v>0</v>
      </c>
      <c r="BJ172" s="165"/>
      <c r="BK172" s="192">
        <f>SUM(BK167:BK171)</f>
        <v>0</v>
      </c>
      <c r="BL172" s="192">
        <f>SUM(BL167:BL171)</f>
        <v>0</v>
      </c>
      <c r="BM172" s="192">
        <f>SUM(BM167:BM171)</f>
        <v>0</v>
      </c>
      <c r="BN172" s="192">
        <f>SUM(BN167:BN171)</f>
        <v>0</v>
      </c>
      <c r="BO172" s="192">
        <f>SUM(BO167:BO171)</f>
        <v>0</v>
      </c>
      <c r="BP172" s="165"/>
      <c r="BQ172" s="192">
        <f>SUM(BQ167:BQ171)</f>
        <v>0</v>
      </c>
      <c r="BR172" s="192">
        <f>SUM(BR167:BR171)</f>
        <v>0</v>
      </c>
      <c r="BS172" s="192">
        <f>SUM(BS167:BS171)</f>
        <v>0</v>
      </c>
      <c r="BT172" s="192">
        <f>SUM(BT167:BT171)</f>
        <v>0</v>
      </c>
      <c r="BU172" s="192">
        <f>SUM(BU167:BU171)</f>
        <v>0</v>
      </c>
      <c r="BV172" s="165"/>
      <c r="BW172" s="192">
        <f>SUM(BW167:BW171)</f>
        <v>0</v>
      </c>
      <c r="BX172" s="192">
        <f>SUM(BX167:BX171)</f>
        <v>0</v>
      </c>
      <c r="BY172" s="192">
        <f>SUM(BY167:BY171)</f>
        <v>0</v>
      </c>
      <c r="BZ172" s="192">
        <f>SUM(BZ167:BZ171)</f>
        <v>0</v>
      </c>
      <c r="CA172" s="192">
        <f>SUM(CA167:CA171)</f>
        <v>0</v>
      </c>
      <c r="CB172" s="165"/>
      <c r="CC172" s="192">
        <f>SUM(CC167:CC171)</f>
        <v>0</v>
      </c>
      <c r="CD172" s="192">
        <f>SUM(CD167:CD171)</f>
        <v>0</v>
      </c>
      <c r="CE172" s="192">
        <f>SUM(CE167:CE171)</f>
        <v>0</v>
      </c>
      <c r="CF172" s="192">
        <f>SUM(CF167:CF171)</f>
        <v>0</v>
      </c>
      <c r="CG172" s="192">
        <f>SUM(CG167:CG171)</f>
        <v>0</v>
      </c>
    </row>
    <row r="173" spans="2:85" ht="12" customHeight="1" x14ac:dyDescent="0.2">
      <c r="B173" s="111"/>
      <c r="C173" s="210"/>
      <c r="D173" s="210"/>
      <c r="E173" s="210"/>
      <c r="F173" s="210"/>
      <c r="G173" s="211"/>
      <c r="H173" s="183"/>
      <c r="I173" s="210"/>
      <c r="J173" s="210"/>
      <c r="K173" s="210"/>
      <c r="L173" s="210"/>
      <c r="M173" s="211"/>
      <c r="N173" s="183"/>
      <c r="O173" s="210"/>
      <c r="P173" s="210"/>
      <c r="Q173" s="210"/>
      <c r="R173" s="210"/>
      <c r="S173" s="211"/>
      <c r="T173" s="183"/>
      <c r="U173" s="210"/>
      <c r="V173" s="210"/>
      <c r="W173" s="211"/>
      <c r="X173" s="211"/>
      <c r="Y173" s="211"/>
      <c r="Z173" s="211"/>
      <c r="AA173" s="211"/>
      <c r="AB173" s="211"/>
      <c r="AC173" s="211"/>
      <c r="AD173" s="211"/>
      <c r="AE173" s="211"/>
      <c r="AF173" s="211"/>
      <c r="AG173" s="211"/>
      <c r="AH173" s="211"/>
      <c r="AI173" s="211"/>
      <c r="AJ173" s="211"/>
      <c r="AK173" s="211"/>
      <c r="AL173" s="211"/>
      <c r="AM173" s="211"/>
      <c r="AN173" s="211"/>
      <c r="AO173" s="211"/>
      <c r="AP173" s="211"/>
      <c r="AQ173" s="211"/>
      <c r="AR173" s="211"/>
      <c r="AS173" s="211"/>
      <c r="AT173" s="211"/>
      <c r="AU173" s="211"/>
      <c r="AV173" s="211"/>
      <c r="AW173" s="211"/>
      <c r="AX173" s="211"/>
      <c r="AY173" s="211"/>
      <c r="AZ173" s="211"/>
      <c r="BA173" s="211"/>
      <c r="BB173" s="211"/>
      <c r="BC173" s="211"/>
      <c r="BD173" s="211"/>
      <c r="BE173" s="211"/>
      <c r="BF173" s="211"/>
      <c r="BG173" s="211"/>
      <c r="BH173" s="211"/>
      <c r="BI173" s="211"/>
      <c r="BJ173" s="211"/>
      <c r="BK173" s="211"/>
      <c r="BL173" s="211"/>
      <c r="BM173" s="211"/>
      <c r="BN173" s="211"/>
      <c r="BO173" s="211"/>
      <c r="BP173" s="211"/>
      <c r="BQ173" s="211"/>
      <c r="BR173" s="211"/>
      <c r="BS173" s="211"/>
      <c r="BT173" s="211"/>
      <c r="BU173" s="211"/>
      <c r="BV173" s="211"/>
      <c r="BW173" s="211"/>
      <c r="BX173" s="211"/>
      <c r="BY173" s="211"/>
      <c r="BZ173" s="211"/>
      <c r="CA173" s="211"/>
      <c r="CB173" s="211"/>
      <c r="CC173" s="211"/>
      <c r="CD173" s="211"/>
      <c r="CE173" s="211"/>
      <c r="CF173" s="211"/>
      <c r="CG173" s="211"/>
    </row>
    <row r="174" spans="2:85" ht="12" customHeight="1" x14ac:dyDescent="0.2">
      <c r="B174" s="108" t="s">
        <v>305</v>
      </c>
      <c r="C174" s="183"/>
      <c r="D174" s="183"/>
      <c r="E174" s="183"/>
      <c r="F174" s="183"/>
      <c r="G174" s="193"/>
      <c r="H174" s="183"/>
      <c r="I174" s="183"/>
      <c r="J174" s="183"/>
      <c r="K174" s="183"/>
      <c r="L174" s="183"/>
      <c r="M174" s="193"/>
      <c r="N174" s="183"/>
      <c r="O174" s="183"/>
      <c r="P174" s="183"/>
      <c r="Q174" s="183"/>
      <c r="R174" s="183"/>
      <c r="S174" s="193"/>
      <c r="T174" s="183"/>
      <c r="U174" s="183"/>
      <c r="V174" s="183"/>
      <c r="W174" s="212"/>
      <c r="X174" s="183"/>
      <c r="Y174" s="193"/>
      <c r="Z174" s="183"/>
      <c r="AA174" s="183"/>
      <c r="AB174" s="183"/>
      <c r="AC174" s="183"/>
      <c r="AD174" s="183"/>
      <c r="AE174" s="183"/>
      <c r="AF174" s="183"/>
      <c r="AG174" s="183"/>
      <c r="AH174" s="183"/>
      <c r="AI174" s="183"/>
      <c r="AJ174" s="183"/>
      <c r="AK174" s="183"/>
      <c r="AL174" s="136"/>
      <c r="AM174" s="183"/>
      <c r="AN174" s="183"/>
      <c r="AO174" s="183"/>
      <c r="AP174" s="183"/>
      <c r="AQ174" s="183"/>
      <c r="AR174" s="136"/>
      <c r="AS174" s="183"/>
      <c r="AT174" s="183"/>
      <c r="AU174" s="183"/>
      <c r="AV174" s="183"/>
      <c r="AW174" s="183"/>
      <c r="AX174" s="136"/>
      <c r="AY174" s="183"/>
      <c r="AZ174" s="183"/>
      <c r="BA174" s="183"/>
      <c r="BB174" s="183"/>
      <c r="BC174" s="183"/>
      <c r="BD174" s="136"/>
      <c r="BE174" s="183"/>
      <c r="BF174" s="183"/>
      <c r="BG174" s="183"/>
      <c r="BH174" s="183"/>
      <c r="BI174" s="183"/>
      <c r="BJ174" s="136"/>
      <c r="BK174" s="183"/>
      <c r="BL174" s="183"/>
      <c r="BM174" s="183"/>
      <c r="BN174" s="183"/>
      <c r="BO174" s="183"/>
      <c r="BP174" s="136"/>
      <c r="BQ174" s="183"/>
      <c r="BR174" s="183"/>
      <c r="BS174" s="183"/>
      <c r="BT174" s="183"/>
      <c r="BU174" s="183"/>
      <c r="BV174" s="136"/>
      <c r="BW174" s="183"/>
      <c r="BX174" s="183"/>
      <c r="BY174" s="183"/>
      <c r="BZ174" s="183"/>
      <c r="CA174" s="183"/>
      <c r="CB174" s="136"/>
      <c r="CC174" s="183"/>
      <c r="CD174" s="183"/>
      <c r="CE174" s="183"/>
      <c r="CF174" s="183"/>
      <c r="CG174" s="183"/>
    </row>
    <row r="175" spans="2:85" ht="12" customHeight="1" x14ac:dyDescent="0.2">
      <c r="B175" s="11"/>
      <c r="C175" s="183"/>
      <c r="D175" s="183"/>
      <c r="E175" s="183"/>
      <c r="F175" s="183"/>
      <c r="G175" s="193"/>
      <c r="H175" s="183"/>
      <c r="I175" s="183"/>
      <c r="J175" s="183"/>
      <c r="K175" s="183"/>
      <c r="L175" s="183"/>
      <c r="M175" s="193"/>
      <c r="N175" s="183"/>
      <c r="O175" s="183"/>
      <c r="P175" s="183"/>
      <c r="Q175" s="183"/>
      <c r="R175" s="183"/>
      <c r="S175" s="193"/>
      <c r="T175" s="183"/>
      <c r="U175" s="183"/>
      <c r="V175" s="183"/>
      <c r="W175" s="212"/>
      <c r="X175" s="183"/>
      <c r="Y175" s="193"/>
      <c r="Z175" s="183"/>
      <c r="AA175" s="183"/>
      <c r="AB175" s="183"/>
      <c r="AC175" s="183"/>
      <c r="AD175" s="183"/>
      <c r="AE175" s="183"/>
      <c r="AF175" s="183"/>
      <c r="AG175" s="183"/>
      <c r="AH175" s="183"/>
      <c r="AI175" s="183"/>
      <c r="AJ175" s="183"/>
      <c r="AK175" s="183"/>
      <c r="AL175" s="136"/>
      <c r="AM175" s="183"/>
      <c r="AN175" s="183"/>
      <c r="AO175" s="183"/>
      <c r="AP175" s="183"/>
      <c r="AQ175" s="183"/>
      <c r="AR175" s="136"/>
      <c r="AS175" s="183"/>
      <c r="AT175" s="183"/>
      <c r="AU175" s="183"/>
      <c r="AV175" s="183"/>
      <c r="AW175" s="183"/>
      <c r="AX175" s="136"/>
      <c r="AY175" s="183"/>
      <c r="AZ175" s="183"/>
      <c r="BA175" s="183"/>
      <c r="BB175" s="183"/>
      <c r="BC175" s="183"/>
      <c r="BD175" s="136"/>
      <c r="BE175" s="183"/>
      <c r="BF175" s="183"/>
      <c r="BG175" s="183"/>
      <c r="BH175" s="183"/>
      <c r="BI175" s="183"/>
      <c r="BJ175" s="136"/>
      <c r="BK175" s="183"/>
      <c r="BL175" s="183"/>
      <c r="BM175" s="183"/>
      <c r="BN175" s="183"/>
      <c r="BO175" s="183"/>
      <c r="BP175" s="136"/>
      <c r="BQ175" s="183"/>
      <c r="BR175" s="183"/>
      <c r="BS175" s="183"/>
      <c r="BT175" s="183"/>
      <c r="BU175" s="183"/>
      <c r="BV175" s="136"/>
      <c r="BW175" s="183"/>
      <c r="BX175" s="183"/>
      <c r="BY175" s="183"/>
      <c r="BZ175" s="183"/>
      <c r="CA175" s="183"/>
      <c r="CB175" s="136"/>
      <c r="CC175" s="183"/>
      <c r="CD175" s="183"/>
      <c r="CE175" s="183"/>
      <c r="CF175" s="183"/>
      <c r="CG175" s="183"/>
    </row>
    <row r="176" spans="2:85" ht="12" customHeight="1" x14ac:dyDescent="0.2">
      <c r="B176" s="11" t="s">
        <v>311</v>
      </c>
      <c r="C176" s="182"/>
      <c r="D176" s="182"/>
      <c r="E176" s="182"/>
      <c r="F176" s="182"/>
      <c r="G176" s="165"/>
      <c r="H176" s="183"/>
      <c r="I176" s="182"/>
      <c r="J176" s="182"/>
      <c r="K176" s="182"/>
      <c r="L176" s="182"/>
      <c r="M176" s="165"/>
      <c r="N176" s="185"/>
      <c r="O176" s="182"/>
      <c r="P176" s="182"/>
      <c r="Q176" s="182"/>
      <c r="R176" s="182"/>
      <c r="S176" s="165"/>
      <c r="T176" s="183"/>
      <c r="U176" s="182"/>
      <c r="V176" s="182"/>
      <c r="W176" s="182"/>
      <c r="X176" s="182"/>
      <c r="Y176" s="165"/>
      <c r="Z176" s="183"/>
      <c r="AA176" s="186"/>
      <c r="AB176" s="187"/>
      <c r="AC176" s="187"/>
      <c r="AD176" s="187"/>
      <c r="AE176" s="188"/>
      <c r="AF176" s="183"/>
      <c r="AG176" s="188"/>
      <c r="AH176" s="187"/>
      <c r="AI176" s="187"/>
      <c r="AJ176" s="187"/>
      <c r="AK176" s="188"/>
      <c r="AL176" s="136"/>
      <c r="AM176" s="188"/>
      <c r="AN176" s="187"/>
      <c r="AO176" s="187"/>
      <c r="AP176" s="187"/>
      <c r="AQ176" s="188"/>
      <c r="AR176" s="136"/>
      <c r="AS176" s="188"/>
      <c r="AT176" s="187"/>
      <c r="AU176" s="187"/>
      <c r="AV176" s="187"/>
      <c r="AW176" s="188"/>
      <c r="AX176" s="136"/>
      <c r="AY176" s="188"/>
      <c r="AZ176" s="187"/>
      <c r="BA176" s="187"/>
      <c r="BB176" s="187"/>
      <c r="BC176" s="188"/>
      <c r="BD176" s="136"/>
      <c r="BE176" s="188"/>
      <c r="BF176" s="187"/>
      <c r="BG176" s="187"/>
      <c r="BH176" s="187"/>
      <c r="BI176" s="188"/>
      <c r="BJ176" s="136"/>
      <c r="BK176" s="188"/>
      <c r="BL176" s="187"/>
      <c r="BM176" s="187"/>
      <c r="BN176" s="187"/>
      <c r="BO176" s="188"/>
      <c r="BP176" s="136"/>
      <c r="BQ176" s="188"/>
      <c r="BR176" s="187"/>
      <c r="BS176" s="187"/>
      <c r="BT176" s="187"/>
      <c r="BU176" s="188"/>
      <c r="BV176" s="136"/>
      <c r="BW176" s="188"/>
      <c r="BX176" s="187"/>
      <c r="BY176" s="187"/>
      <c r="BZ176" s="187"/>
      <c r="CA176" s="188"/>
      <c r="CB176" s="136"/>
      <c r="CC176" s="188"/>
      <c r="CD176" s="187"/>
      <c r="CE176" s="187"/>
      <c r="CF176" s="187"/>
      <c r="CG176" s="188"/>
    </row>
    <row r="177" spans="2:85" ht="12" customHeight="1" x14ac:dyDescent="0.2">
      <c r="B177" s="116" t="s">
        <v>312</v>
      </c>
      <c r="C177" s="213"/>
      <c r="D177" s="213"/>
      <c r="E177" s="213"/>
      <c r="F177" s="213"/>
      <c r="G177" s="214">
        <v>5.5999999999999999E-3</v>
      </c>
      <c r="H177" s="215"/>
      <c r="I177" s="213"/>
      <c r="J177" s="213"/>
      <c r="K177" s="213"/>
      <c r="L177" s="213"/>
      <c r="M177" s="214">
        <v>0</v>
      </c>
      <c r="N177" s="213"/>
      <c r="O177" s="213"/>
      <c r="P177" s="213"/>
      <c r="Q177" s="213"/>
      <c r="R177" s="213"/>
      <c r="S177" s="214">
        <v>3.04E-2</v>
      </c>
      <c r="T177" s="215"/>
      <c r="U177" s="213"/>
      <c r="V177" s="213"/>
      <c r="W177" s="213"/>
      <c r="X177" s="213"/>
      <c r="Y177" s="214">
        <v>2.3E-2</v>
      </c>
      <c r="Z177" s="215"/>
      <c r="AA177" s="216"/>
      <c r="AB177" s="213"/>
      <c r="AC177" s="213"/>
      <c r="AD177" s="213"/>
      <c r="AE177" s="214">
        <v>5.0000000000000001E-3</v>
      </c>
      <c r="AF177" s="215"/>
      <c r="AG177" s="216">
        <v>2.3E-2</v>
      </c>
      <c r="AH177" s="213">
        <v>2.3E-2</v>
      </c>
      <c r="AI177" s="213">
        <v>2.3E-2</v>
      </c>
      <c r="AJ177" s="213">
        <v>2.3E-2</v>
      </c>
      <c r="AK177" s="214">
        <v>2.3E-2</v>
      </c>
      <c r="AL177" s="217"/>
      <c r="AM177" s="216">
        <v>3.5000000000000003E-2</v>
      </c>
      <c r="AN177" s="216">
        <v>3.5000000000000003E-2</v>
      </c>
      <c r="AO177" s="216">
        <v>3.5000000000000003E-2</v>
      </c>
      <c r="AP177" s="216">
        <v>3.5000000000000003E-2</v>
      </c>
      <c r="AQ177" s="216">
        <v>3.5000000000000003E-2</v>
      </c>
      <c r="AR177" s="217"/>
      <c r="AS177" s="216">
        <v>0.03</v>
      </c>
      <c r="AT177" s="213">
        <v>0.03</v>
      </c>
      <c r="AU177" s="213">
        <v>0.03</v>
      </c>
      <c r="AV177" s="213">
        <v>0.03</v>
      </c>
      <c r="AW177" s="214">
        <v>0.03</v>
      </c>
      <c r="AX177" s="217"/>
      <c r="AY177" s="216">
        <v>0.03</v>
      </c>
      <c r="AZ177" s="213">
        <v>0.03</v>
      </c>
      <c r="BA177" s="213">
        <v>0.03</v>
      </c>
      <c r="BB177" s="213">
        <v>0.03</v>
      </c>
      <c r="BC177" s="214">
        <v>0.03</v>
      </c>
      <c r="BD177" s="217"/>
      <c r="BE177" s="216">
        <v>0.03</v>
      </c>
      <c r="BF177" s="213">
        <v>0.03</v>
      </c>
      <c r="BG177" s="213">
        <v>0.03</v>
      </c>
      <c r="BH177" s="213">
        <v>0.03</v>
      </c>
      <c r="BI177" s="214">
        <v>0.03</v>
      </c>
      <c r="BJ177" s="217"/>
      <c r="BK177" s="216">
        <v>0.03</v>
      </c>
      <c r="BL177" s="213">
        <v>0.03</v>
      </c>
      <c r="BM177" s="213">
        <v>0.03</v>
      </c>
      <c r="BN177" s="213">
        <v>0.03</v>
      </c>
      <c r="BO177" s="214">
        <v>0.03</v>
      </c>
      <c r="BP177" s="217"/>
      <c r="BQ177" s="216">
        <v>0.03</v>
      </c>
      <c r="BR177" s="213">
        <v>0.03</v>
      </c>
      <c r="BS177" s="213">
        <v>0.03</v>
      </c>
      <c r="BT177" s="213">
        <v>0.03</v>
      </c>
      <c r="BU177" s="214">
        <v>0.03</v>
      </c>
      <c r="BV177" s="217"/>
      <c r="BW177" s="216">
        <v>0.03</v>
      </c>
      <c r="BX177" s="213">
        <v>0.03</v>
      </c>
      <c r="BY177" s="213">
        <v>0.03</v>
      </c>
      <c r="BZ177" s="213">
        <v>0.03</v>
      </c>
      <c r="CA177" s="214">
        <v>0.03</v>
      </c>
      <c r="CB177" s="217"/>
      <c r="CC177" s="216">
        <v>0.03</v>
      </c>
      <c r="CD177" s="213">
        <v>0.03</v>
      </c>
      <c r="CE177" s="213">
        <v>0.03</v>
      </c>
      <c r="CF177" s="213">
        <v>0.03</v>
      </c>
      <c r="CG177" s="214">
        <v>0.03</v>
      </c>
    </row>
    <row r="178" spans="2:85" ht="12" customHeight="1" x14ac:dyDescent="0.2">
      <c r="B178" s="116" t="s">
        <v>313</v>
      </c>
      <c r="C178" s="213"/>
      <c r="D178" s="213"/>
      <c r="E178" s="213"/>
      <c r="F178" s="213"/>
      <c r="G178" s="214">
        <v>0</v>
      </c>
      <c r="H178" s="215"/>
      <c r="I178" s="213"/>
      <c r="J178" s="213"/>
      <c r="K178" s="213"/>
      <c r="L178" s="213"/>
      <c r="M178" s="214">
        <v>0</v>
      </c>
      <c r="N178" s="213"/>
      <c r="O178" s="213"/>
      <c r="P178" s="213"/>
      <c r="Q178" s="213"/>
      <c r="R178" s="213"/>
      <c r="S178" s="214">
        <v>0</v>
      </c>
      <c r="T178" s="215"/>
      <c r="U178" s="213"/>
      <c r="V178" s="213"/>
      <c r="W178" s="213"/>
      <c r="X178" s="213"/>
      <c r="Y178" s="214">
        <v>0</v>
      </c>
      <c r="Z178" s="215"/>
      <c r="AA178" s="216"/>
      <c r="AB178" s="213"/>
      <c r="AC178" s="213"/>
      <c r="AD178" s="213"/>
      <c r="AE178" s="214">
        <v>0</v>
      </c>
      <c r="AF178" s="215"/>
      <c r="AG178" s="216">
        <v>0</v>
      </c>
      <c r="AH178" s="213">
        <v>0</v>
      </c>
      <c r="AI178" s="213">
        <v>0</v>
      </c>
      <c r="AJ178" s="213">
        <v>0</v>
      </c>
      <c r="AK178" s="214">
        <v>0</v>
      </c>
      <c r="AL178" s="217"/>
      <c r="AM178" s="216">
        <v>0</v>
      </c>
      <c r="AN178" s="213">
        <v>0</v>
      </c>
      <c r="AO178" s="213">
        <v>0</v>
      </c>
      <c r="AP178" s="213">
        <v>0</v>
      </c>
      <c r="AQ178" s="214">
        <v>0</v>
      </c>
      <c r="AR178" s="217"/>
      <c r="AS178" s="216">
        <v>0</v>
      </c>
      <c r="AT178" s="213">
        <v>0</v>
      </c>
      <c r="AU178" s="213">
        <v>0</v>
      </c>
      <c r="AV178" s="213">
        <v>0</v>
      </c>
      <c r="AW178" s="214">
        <v>0</v>
      </c>
      <c r="AX178" s="217"/>
      <c r="AY178" s="216">
        <v>0</v>
      </c>
      <c r="AZ178" s="213">
        <v>0</v>
      </c>
      <c r="BA178" s="213">
        <v>0</v>
      </c>
      <c r="BB178" s="213">
        <v>0</v>
      </c>
      <c r="BC178" s="214">
        <v>0</v>
      </c>
      <c r="BD178" s="217"/>
      <c r="BE178" s="216">
        <v>0</v>
      </c>
      <c r="BF178" s="213">
        <v>0</v>
      </c>
      <c r="BG178" s="213">
        <v>0</v>
      </c>
      <c r="BH178" s="213">
        <v>0</v>
      </c>
      <c r="BI178" s="214">
        <v>0</v>
      </c>
      <c r="BJ178" s="217"/>
      <c r="BK178" s="216">
        <v>0</v>
      </c>
      <c r="BL178" s="213">
        <v>0</v>
      </c>
      <c r="BM178" s="213">
        <v>0</v>
      </c>
      <c r="BN178" s="213">
        <v>0</v>
      </c>
      <c r="BO178" s="214">
        <v>0</v>
      </c>
      <c r="BP178" s="217"/>
      <c r="BQ178" s="216">
        <v>0</v>
      </c>
      <c r="BR178" s="213">
        <v>0</v>
      </c>
      <c r="BS178" s="213">
        <v>0</v>
      </c>
      <c r="BT178" s="213">
        <v>0</v>
      </c>
      <c r="BU178" s="214">
        <v>0</v>
      </c>
      <c r="BV178" s="217"/>
      <c r="BW178" s="216">
        <v>0</v>
      </c>
      <c r="BX178" s="213">
        <v>0</v>
      </c>
      <c r="BY178" s="213">
        <v>0</v>
      </c>
      <c r="BZ178" s="213">
        <v>0</v>
      </c>
      <c r="CA178" s="214">
        <v>0</v>
      </c>
      <c r="CB178" s="217"/>
      <c r="CC178" s="216">
        <v>0</v>
      </c>
      <c r="CD178" s="213">
        <v>0</v>
      </c>
      <c r="CE178" s="213">
        <v>0</v>
      </c>
      <c r="CF178" s="213">
        <v>0</v>
      </c>
      <c r="CG178" s="214">
        <v>0</v>
      </c>
    </row>
    <row r="179" spans="2:85" ht="12" customHeight="1" x14ac:dyDescent="0.2">
      <c r="B179" s="116" t="s">
        <v>316</v>
      </c>
      <c r="C179" s="213"/>
      <c r="D179" s="213"/>
      <c r="E179" s="213"/>
      <c r="F179" s="213"/>
      <c r="G179" s="214">
        <v>5.1700000000000003E-2</v>
      </c>
      <c r="H179" s="215"/>
      <c r="I179" s="213"/>
      <c r="J179" s="213"/>
      <c r="K179" s="213"/>
      <c r="L179" s="213"/>
      <c r="M179" s="214">
        <v>4.3400000000000001E-2</v>
      </c>
      <c r="N179" s="213"/>
      <c r="O179" s="213"/>
      <c r="P179" s="213"/>
      <c r="Q179" s="213"/>
      <c r="R179" s="213"/>
      <c r="S179" s="214">
        <v>2.53E-2</v>
      </c>
      <c r="T179" s="215"/>
      <c r="U179" s="213"/>
      <c r="V179" s="213"/>
      <c r="W179" s="213"/>
      <c r="X179" s="213"/>
      <c r="Y179" s="214">
        <v>2.5000000000000001E-2</v>
      </c>
      <c r="Z179" s="215"/>
      <c r="AA179" s="216"/>
      <c r="AB179" s="213"/>
      <c r="AC179" s="213"/>
      <c r="AD179" s="213"/>
      <c r="AE179" s="214">
        <v>3.3000000000000002E-2</v>
      </c>
      <c r="AF179" s="215"/>
      <c r="AG179" s="214">
        <v>3.3000000000000002E-2</v>
      </c>
      <c r="AH179" s="214">
        <v>3.3000000000000002E-2</v>
      </c>
      <c r="AI179" s="214">
        <v>3.3000000000000002E-2</v>
      </c>
      <c r="AJ179" s="214">
        <v>3.3000000000000002E-2</v>
      </c>
      <c r="AK179" s="214">
        <v>3.3000000000000002E-2</v>
      </c>
      <c r="AL179" s="217"/>
      <c r="AM179" s="214">
        <v>3.3000000000000002E-2</v>
      </c>
      <c r="AN179" s="214">
        <v>3.3000000000000002E-2</v>
      </c>
      <c r="AO179" s="214">
        <v>3.3000000000000002E-2</v>
      </c>
      <c r="AP179" s="214">
        <v>3.3000000000000002E-2</v>
      </c>
      <c r="AQ179" s="214">
        <v>3.3000000000000002E-2</v>
      </c>
      <c r="AR179" s="217"/>
      <c r="AS179" s="214">
        <v>3.3000000000000002E-2</v>
      </c>
      <c r="AT179" s="214">
        <v>3.3000000000000002E-2</v>
      </c>
      <c r="AU179" s="214">
        <v>3.3000000000000002E-2</v>
      </c>
      <c r="AV179" s="214">
        <v>3.3000000000000002E-2</v>
      </c>
      <c r="AW179" s="214">
        <v>3.3000000000000002E-2</v>
      </c>
      <c r="AX179" s="217"/>
      <c r="AY179" s="214">
        <v>3.3000000000000002E-2</v>
      </c>
      <c r="AZ179" s="214">
        <v>3.3000000000000002E-2</v>
      </c>
      <c r="BA179" s="214">
        <v>3.3000000000000002E-2</v>
      </c>
      <c r="BB179" s="214">
        <v>3.3000000000000002E-2</v>
      </c>
      <c r="BC179" s="214">
        <v>3.3000000000000002E-2</v>
      </c>
      <c r="BD179" s="217"/>
      <c r="BE179" s="214">
        <v>3.3000000000000002E-2</v>
      </c>
      <c r="BF179" s="214">
        <v>3.3000000000000002E-2</v>
      </c>
      <c r="BG179" s="214">
        <v>3.3000000000000002E-2</v>
      </c>
      <c r="BH179" s="214">
        <v>3.3000000000000002E-2</v>
      </c>
      <c r="BI179" s="214">
        <v>3.3000000000000002E-2</v>
      </c>
      <c r="BJ179" s="217"/>
      <c r="BK179" s="214">
        <v>3.3000000000000002E-2</v>
      </c>
      <c r="BL179" s="214">
        <v>3.3000000000000002E-2</v>
      </c>
      <c r="BM179" s="214">
        <v>3.3000000000000002E-2</v>
      </c>
      <c r="BN179" s="214">
        <v>3.3000000000000002E-2</v>
      </c>
      <c r="BO179" s="214">
        <v>3.3000000000000002E-2</v>
      </c>
      <c r="BP179" s="217"/>
      <c r="BQ179" s="214">
        <v>3.3000000000000002E-2</v>
      </c>
      <c r="BR179" s="214">
        <v>3.3000000000000002E-2</v>
      </c>
      <c r="BS179" s="214">
        <v>3.3000000000000002E-2</v>
      </c>
      <c r="BT179" s="214">
        <v>3.3000000000000002E-2</v>
      </c>
      <c r="BU179" s="214">
        <v>3.3000000000000002E-2</v>
      </c>
      <c r="BV179" s="217"/>
      <c r="BW179" s="214">
        <v>3.3000000000000002E-2</v>
      </c>
      <c r="BX179" s="214">
        <v>3.3000000000000002E-2</v>
      </c>
      <c r="BY179" s="214">
        <v>3.3000000000000002E-2</v>
      </c>
      <c r="BZ179" s="214">
        <v>3.3000000000000002E-2</v>
      </c>
      <c r="CA179" s="214">
        <v>3.3000000000000002E-2</v>
      </c>
      <c r="CB179" s="217"/>
      <c r="CC179" s="214">
        <v>3.3000000000000002E-2</v>
      </c>
      <c r="CD179" s="214">
        <v>3.3000000000000002E-2</v>
      </c>
      <c r="CE179" s="214">
        <v>3.3000000000000002E-2</v>
      </c>
      <c r="CF179" s="214">
        <v>3.3000000000000002E-2</v>
      </c>
      <c r="CG179" s="214">
        <v>3.3000000000000002E-2</v>
      </c>
    </row>
    <row r="180" spans="2:85" ht="12" customHeight="1" x14ac:dyDescent="0.2">
      <c r="B180" s="116" t="s">
        <v>329</v>
      </c>
      <c r="C180" s="213"/>
      <c r="D180" s="213"/>
      <c r="E180" s="213"/>
      <c r="F180" s="213"/>
      <c r="G180" s="214">
        <v>0</v>
      </c>
      <c r="H180" s="215"/>
      <c r="I180" s="213"/>
      <c r="J180" s="213"/>
      <c r="K180" s="213"/>
      <c r="L180" s="213"/>
      <c r="M180" s="214">
        <v>8.6900000000000005E-2</v>
      </c>
      <c r="N180" s="213"/>
      <c r="O180" s="213"/>
      <c r="P180" s="213"/>
      <c r="Q180" s="213"/>
      <c r="R180" s="213"/>
      <c r="S180" s="214">
        <v>8.6900000000000005E-2</v>
      </c>
      <c r="T180" s="215"/>
      <c r="U180" s="213"/>
      <c r="V180" s="213"/>
      <c r="W180" s="213"/>
      <c r="X180" s="213"/>
      <c r="Y180" s="214">
        <v>8.6900000000000005E-2</v>
      </c>
      <c r="Z180" s="215"/>
      <c r="AA180" s="214"/>
      <c r="AB180" s="214"/>
      <c r="AC180" s="214"/>
      <c r="AD180" s="214"/>
      <c r="AE180" s="214">
        <v>8.6900000000000005E-2</v>
      </c>
      <c r="AF180" s="215"/>
      <c r="AG180" s="214">
        <v>8.6900000000000005E-2</v>
      </c>
      <c r="AH180" s="214">
        <v>8.6900000000000005E-2</v>
      </c>
      <c r="AI180" s="214">
        <v>8.6900000000000005E-2</v>
      </c>
      <c r="AJ180" s="214">
        <v>8.6900000000000005E-2</v>
      </c>
      <c r="AK180" s="214">
        <v>8.6900000000000005E-2</v>
      </c>
      <c r="AL180" s="217"/>
      <c r="AM180" s="214">
        <v>8.6900000000000005E-2</v>
      </c>
      <c r="AN180" s="214">
        <v>8.6900000000000005E-2</v>
      </c>
      <c r="AO180" s="214">
        <v>8.6900000000000005E-2</v>
      </c>
      <c r="AP180" s="214">
        <v>8.6900000000000005E-2</v>
      </c>
      <c r="AQ180" s="214">
        <v>8.6900000000000005E-2</v>
      </c>
      <c r="AR180" s="217"/>
      <c r="AS180" s="214">
        <v>8.6900000000000005E-2</v>
      </c>
      <c r="AT180" s="214">
        <v>8.6900000000000005E-2</v>
      </c>
      <c r="AU180" s="214">
        <v>8.6900000000000005E-2</v>
      </c>
      <c r="AV180" s="214">
        <v>8.6900000000000005E-2</v>
      </c>
      <c r="AW180" s="214">
        <v>8.6900000000000005E-2</v>
      </c>
      <c r="AX180" s="217"/>
      <c r="AY180" s="214">
        <v>8.6900000000000005E-2</v>
      </c>
      <c r="AZ180" s="214">
        <v>8.6900000000000005E-2</v>
      </c>
      <c r="BA180" s="214">
        <v>8.6900000000000005E-2</v>
      </c>
      <c r="BB180" s="214">
        <v>8.6900000000000005E-2</v>
      </c>
      <c r="BC180" s="214">
        <v>8.6900000000000005E-2</v>
      </c>
      <c r="BD180" s="217"/>
      <c r="BE180" s="214">
        <v>8.6900000000000005E-2</v>
      </c>
      <c r="BF180" s="214">
        <v>8.6900000000000005E-2</v>
      </c>
      <c r="BG180" s="214">
        <v>8.6900000000000005E-2</v>
      </c>
      <c r="BH180" s="214">
        <v>8.6900000000000005E-2</v>
      </c>
      <c r="BI180" s="214">
        <v>8.6900000000000005E-2</v>
      </c>
      <c r="BJ180" s="217"/>
      <c r="BK180" s="214">
        <v>8.6900000000000005E-2</v>
      </c>
      <c r="BL180" s="214">
        <v>8.6900000000000005E-2</v>
      </c>
      <c r="BM180" s="214">
        <v>8.6900000000000005E-2</v>
      </c>
      <c r="BN180" s="214">
        <v>8.6900000000000005E-2</v>
      </c>
      <c r="BO180" s="214">
        <v>8.6900000000000005E-2</v>
      </c>
      <c r="BP180" s="217"/>
      <c r="BQ180" s="214">
        <v>8.6900000000000005E-2</v>
      </c>
      <c r="BR180" s="214">
        <v>8.6900000000000005E-2</v>
      </c>
      <c r="BS180" s="214">
        <v>8.6900000000000005E-2</v>
      </c>
      <c r="BT180" s="214">
        <v>8.6900000000000005E-2</v>
      </c>
      <c r="BU180" s="214">
        <v>8.6900000000000005E-2</v>
      </c>
      <c r="BV180" s="217"/>
      <c r="BW180" s="214">
        <v>8.6900000000000005E-2</v>
      </c>
      <c r="BX180" s="214">
        <v>8.6900000000000005E-2</v>
      </c>
      <c r="BY180" s="214">
        <v>8.6900000000000005E-2</v>
      </c>
      <c r="BZ180" s="214">
        <v>8.6900000000000005E-2</v>
      </c>
      <c r="CA180" s="214">
        <v>8.6900000000000005E-2</v>
      </c>
      <c r="CB180" s="217"/>
      <c r="CC180" s="214">
        <v>8.6900000000000005E-2</v>
      </c>
      <c r="CD180" s="214">
        <v>8.6900000000000005E-2</v>
      </c>
      <c r="CE180" s="214">
        <v>8.6900000000000005E-2</v>
      </c>
      <c r="CF180" s="214">
        <v>8.6900000000000005E-2</v>
      </c>
      <c r="CG180" s="214">
        <v>8.6900000000000005E-2</v>
      </c>
    </row>
    <row r="181" spans="2:85" ht="12" customHeight="1" x14ac:dyDescent="0.2">
      <c r="B181" s="116" t="s">
        <v>314</v>
      </c>
      <c r="C181" s="213"/>
      <c r="D181" s="213"/>
      <c r="E181" s="213"/>
      <c r="F181" s="213"/>
      <c r="G181" s="214">
        <v>0.11700000000000001</v>
      </c>
      <c r="H181" s="215"/>
      <c r="I181" s="213"/>
      <c r="J181" s="213"/>
      <c r="K181" s="213"/>
      <c r="L181" s="213"/>
      <c r="M181" s="214">
        <v>0.19869999999999999</v>
      </c>
      <c r="N181" s="213"/>
      <c r="O181" s="213"/>
      <c r="P181" s="213"/>
      <c r="Q181" s="213"/>
      <c r="R181" s="213"/>
      <c r="S181" s="214">
        <v>0.1343</v>
      </c>
      <c r="T181" s="215"/>
      <c r="U181" s="213"/>
      <c r="V181" s="213"/>
      <c r="W181" s="213"/>
      <c r="X181" s="213"/>
      <c r="Y181" s="214">
        <v>0.1343</v>
      </c>
      <c r="Z181" s="215"/>
      <c r="AA181" s="214"/>
      <c r="AB181" s="214"/>
      <c r="AC181" s="214"/>
      <c r="AD181" s="214"/>
      <c r="AE181" s="214">
        <v>0.14000000000000001</v>
      </c>
      <c r="AF181" s="215"/>
      <c r="AG181" s="214">
        <v>0.14000000000000001</v>
      </c>
      <c r="AH181" s="214">
        <v>0.14000000000000001</v>
      </c>
      <c r="AI181" s="214">
        <v>0.14000000000000001</v>
      </c>
      <c r="AJ181" s="214">
        <v>0.14000000000000001</v>
      </c>
      <c r="AK181" s="214">
        <v>0.14000000000000001</v>
      </c>
      <c r="AL181" s="217"/>
      <c r="AM181" s="214">
        <v>0.14000000000000001</v>
      </c>
      <c r="AN181" s="214">
        <v>0.14000000000000001</v>
      </c>
      <c r="AO181" s="214">
        <v>0.14000000000000001</v>
      </c>
      <c r="AP181" s="214">
        <v>0.14000000000000001</v>
      </c>
      <c r="AQ181" s="214">
        <v>0.14000000000000001</v>
      </c>
      <c r="AR181" s="217"/>
      <c r="AS181" s="214">
        <v>0.14000000000000001</v>
      </c>
      <c r="AT181" s="214">
        <v>0.14000000000000001</v>
      </c>
      <c r="AU181" s="214">
        <v>0.14000000000000001</v>
      </c>
      <c r="AV181" s="214">
        <v>0.14000000000000001</v>
      </c>
      <c r="AW181" s="214">
        <v>0.14000000000000001</v>
      </c>
      <c r="AX181" s="217"/>
      <c r="AY181" s="214">
        <v>0.14000000000000001</v>
      </c>
      <c r="AZ181" s="214">
        <v>0.14000000000000001</v>
      </c>
      <c r="BA181" s="214">
        <v>0.14000000000000001</v>
      </c>
      <c r="BB181" s="214">
        <v>0.14000000000000001</v>
      </c>
      <c r="BC181" s="214">
        <v>0.14000000000000001</v>
      </c>
      <c r="BD181" s="217"/>
      <c r="BE181" s="214">
        <v>0.14000000000000001</v>
      </c>
      <c r="BF181" s="214">
        <v>0.14000000000000001</v>
      </c>
      <c r="BG181" s="214">
        <v>0.14000000000000001</v>
      </c>
      <c r="BH181" s="214">
        <v>0.14000000000000001</v>
      </c>
      <c r="BI181" s="214">
        <v>0.14000000000000001</v>
      </c>
      <c r="BJ181" s="217"/>
      <c r="BK181" s="214">
        <v>0.14000000000000001</v>
      </c>
      <c r="BL181" s="214">
        <v>0.14000000000000001</v>
      </c>
      <c r="BM181" s="214">
        <v>0.14000000000000001</v>
      </c>
      <c r="BN181" s="214">
        <v>0.14000000000000001</v>
      </c>
      <c r="BO181" s="214">
        <v>0.14000000000000001</v>
      </c>
      <c r="BP181" s="217"/>
      <c r="BQ181" s="214">
        <v>0.14000000000000001</v>
      </c>
      <c r="BR181" s="214">
        <v>0.14000000000000001</v>
      </c>
      <c r="BS181" s="214">
        <v>0.14000000000000001</v>
      </c>
      <c r="BT181" s="214">
        <v>0.14000000000000001</v>
      </c>
      <c r="BU181" s="214">
        <v>0.14000000000000001</v>
      </c>
      <c r="BV181" s="217"/>
      <c r="BW181" s="214">
        <v>0.14000000000000001</v>
      </c>
      <c r="BX181" s="214">
        <v>0.14000000000000001</v>
      </c>
      <c r="BY181" s="214">
        <v>0.14000000000000001</v>
      </c>
      <c r="BZ181" s="214">
        <v>0.14000000000000001</v>
      </c>
      <c r="CA181" s="214">
        <v>0.14000000000000001</v>
      </c>
      <c r="CB181" s="217"/>
      <c r="CC181" s="214">
        <v>0.14000000000000001</v>
      </c>
      <c r="CD181" s="214">
        <v>0.14000000000000001</v>
      </c>
      <c r="CE181" s="214">
        <v>0.14000000000000001</v>
      </c>
      <c r="CF181" s="214">
        <v>0.14000000000000001</v>
      </c>
      <c r="CG181" s="214">
        <v>0.14000000000000001</v>
      </c>
    </row>
    <row r="182" spans="2:85" ht="12" customHeight="1" x14ac:dyDescent="0.2">
      <c r="B182" s="118" t="s">
        <v>322</v>
      </c>
      <c r="C182" s="213"/>
      <c r="D182" s="213"/>
      <c r="E182" s="213"/>
      <c r="F182" s="213"/>
      <c r="G182" s="214">
        <v>3.4200000000000001E-2</v>
      </c>
      <c r="H182" s="215"/>
      <c r="I182" s="213"/>
      <c r="J182" s="213"/>
      <c r="K182" s="213"/>
      <c r="L182" s="213"/>
      <c r="M182" s="214">
        <v>5.2600000000000001E-2</v>
      </c>
      <c r="N182" s="213"/>
      <c r="O182" s="213"/>
      <c r="P182" s="213"/>
      <c r="Q182" s="213"/>
      <c r="R182" s="213"/>
      <c r="S182" s="214">
        <v>2.9499999999999998E-2</v>
      </c>
      <c r="T182" s="215"/>
      <c r="U182" s="213"/>
      <c r="V182" s="213"/>
      <c r="W182" s="213"/>
      <c r="X182" s="213"/>
      <c r="Y182" s="214">
        <v>2.4E-2</v>
      </c>
      <c r="Z182" s="215"/>
      <c r="AA182" s="216"/>
      <c r="AB182" s="213"/>
      <c r="AC182" s="213"/>
      <c r="AD182" s="213"/>
      <c r="AE182" s="214">
        <v>8.0000000000000002E-3</v>
      </c>
      <c r="AF182" s="215"/>
      <c r="AG182" s="216"/>
      <c r="AH182" s="213"/>
      <c r="AI182" s="213"/>
      <c r="AJ182" s="213"/>
      <c r="AK182" s="214"/>
      <c r="AL182" s="217"/>
      <c r="AM182" s="216"/>
      <c r="AN182" s="213"/>
      <c r="AO182" s="213"/>
      <c r="AP182" s="213"/>
      <c r="AQ182" s="214"/>
      <c r="AR182" s="217"/>
      <c r="AS182" s="216"/>
      <c r="AT182" s="213"/>
      <c r="AU182" s="213"/>
      <c r="AV182" s="213"/>
      <c r="AW182" s="214"/>
      <c r="AX182" s="217"/>
      <c r="AY182" s="216"/>
      <c r="AZ182" s="213"/>
      <c r="BA182" s="213"/>
      <c r="BB182" s="213"/>
      <c r="BC182" s="214"/>
      <c r="BD182" s="217"/>
      <c r="BE182" s="216"/>
      <c r="BF182" s="213"/>
      <c r="BG182" s="213"/>
      <c r="BH182" s="213"/>
      <c r="BI182" s="214"/>
      <c r="BJ182" s="217"/>
      <c r="BK182" s="216"/>
      <c r="BL182" s="213"/>
      <c r="BM182" s="213"/>
      <c r="BN182" s="213"/>
      <c r="BO182" s="214"/>
      <c r="BP182" s="217"/>
      <c r="BQ182" s="216"/>
      <c r="BR182" s="213"/>
      <c r="BS182" s="213"/>
      <c r="BT182" s="213"/>
      <c r="BU182" s="214"/>
      <c r="BV182" s="217"/>
      <c r="BW182" s="216"/>
      <c r="BX182" s="213"/>
      <c r="BY182" s="213"/>
      <c r="BZ182" s="213"/>
      <c r="CA182" s="214"/>
      <c r="CB182" s="217"/>
      <c r="CC182" s="216"/>
      <c r="CD182" s="213"/>
      <c r="CE182" s="213"/>
      <c r="CF182" s="213"/>
      <c r="CG182" s="214"/>
    </row>
    <row r="183" spans="2:85" ht="12" customHeight="1" x14ac:dyDescent="0.2">
      <c r="B183" s="361"/>
      <c r="C183" s="218"/>
      <c r="D183" s="218"/>
      <c r="E183" s="218"/>
      <c r="F183" s="218"/>
      <c r="G183" s="362"/>
      <c r="H183" s="220"/>
      <c r="I183" s="218"/>
      <c r="J183" s="218"/>
      <c r="K183" s="218"/>
      <c r="L183" s="218"/>
      <c r="M183" s="362"/>
      <c r="N183" s="221"/>
      <c r="O183" s="218"/>
      <c r="P183" s="218"/>
      <c r="Q183" s="218"/>
      <c r="R183" s="218"/>
      <c r="S183" s="362"/>
      <c r="T183" s="220"/>
      <c r="U183" s="218"/>
      <c r="V183" s="218"/>
      <c r="W183" s="218"/>
      <c r="X183" s="218"/>
      <c r="Y183" s="362"/>
      <c r="Z183" s="220"/>
      <c r="AA183" s="222"/>
      <c r="AB183" s="218"/>
      <c r="AC183" s="218"/>
      <c r="AD183" s="218"/>
      <c r="AE183" s="362"/>
      <c r="AF183" s="220"/>
      <c r="AG183" s="222"/>
      <c r="AH183" s="218"/>
      <c r="AI183" s="218"/>
      <c r="AJ183" s="218"/>
      <c r="AK183" s="362"/>
      <c r="AL183" s="223"/>
      <c r="AM183" s="222"/>
      <c r="AN183" s="218"/>
      <c r="AO183" s="218"/>
      <c r="AP183" s="218"/>
      <c r="AQ183" s="362"/>
      <c r="AR183" s="223"/>
      <c r="AS183" s="222"/>
      <c r="AT183" s="218"/>
      <c r="AU183" s="218"/>
      <c r="AV183" s="218"/>
      <c r="AW183" s="362"/>
      <c r="AX183" s="223"/>
      <c r="AY183" s="222"/>
      <c r="AZ183" s="218"/>
      <c r="BA183" s="218"/>
      <c r="BB183" s="218"/>
      <c r="BC183" s="362"/>
      <c r="BD183" s="223"/>
      <c r="BE183" s="222"/>
      <c r="BF183" s="218"/>
      <c r="BG183" s="218"/>
      <c r="BH183" s="218"/>
      <c r="BI183" s="362"/>
      <c r="BJ183" s="223"/>
      <c r="BK183" s="222"/>
      <c r="BL183" s="218"/>
      <c r="BM183" s="218"/>
      <c r="BN183" s="218"/>
      <c r="BO183" s="362"/>
      <c r="BP183" s="223"/>
      <c r="BQ183" s="222"/>
      <c r="BR183" s="218"/>
      <c r="BS183" s="218"/>
      <c r="BT183" s="218"/>
      <c r="BU183" s="362"/>
      <c r="BV183" s="223"/>
      <c r="BW183" s="222"/>
      <c r="BX183" s="218"/>
      <c r="BY183" s="218"/>
      <c r="BZ183" s="218"/>
      <c r="CA183" s="362"/>
      <c r="CB183" s="223"/>
      <c r="CC183" s="222"/>
      <c r="CD183" s="218"/>
      <c r="CE183" s="218"/>
      <c r="CF183" s="218"/>
      <c r="CG183" s="362"/>
    </row>
    <row r="184" spans="2:85" ht="12" customHeight="1" x14ac:dyDescent="0.2">
      <c r="B184" s="363" t="s">
        <v>318</v>
      </c>
      <c r="C184" s="218"/>
      <c r="D184" s="218"/>
      <c r="E184" s="218"/>
      <c r="F184" s="218"/>
      <c r="G184" s="362"/>
      <c r="H184" s="220"/>
      <c r="I184" s="218"/>
      <c r="J184" s="218"/>
      <c r="K184" s="218"/>
      <c r="L184" s="218"/>
      <c r="M184" s="362"/>
      <c r="N184" s="221"/>
      <c r="O184" s="218"/>
      <c r="P184" s="218"/>
      <c r="Q184" s="218"/>
      <c r="R184" s="218"/>
      <c r="S184" s="362"/>
      <c r="T184" s="220"/>
      <c r="U184" s="218"/>
      <c r="V184" s="218"/>
      <c r="W184" s="218"/>
      <c r="X184" s="218"/>
      <c r="Y184" s="362"/>
      <c r="Z184" s="220"/>
      <c r="AA184" s="222"/>
      <c r="AB184" s="218"/>
      <c r="AC184" s="218"/>
      <c r="AD184" s="218"/>
      <c r="AE184" s="362"/>
      <c r="AF184" s="220"/>
      <c r="AG184" s="222"/>
      <c r="AH184" s="218"/>
      <c r="AI184" s="218"/>
      <c r="AJ184" s="218"/>
      <c r="AK184" s="362"/>
      <c r="AL184" s="223"/>
      <c r="AM184" s="222"/>
      <c r="AN184" s="218"/>
      <c r="AO184" s="218"/>
      <c r="AP184" s="218"/>
      <c r="AQ184" s="362"/>
      <c r="AR184" s="223"/>
      <c r="AS184" s="222"/>
      <c r="AT184" s="218"/>
      <c r="AU184" s="218"/>
      <c r="AV184" s="218"/>
      <c r="AW184" s="362"/>
      <c r="AX184" s="223"/>
      <c r="AY184" s="222"/>
      <c r="AZ184" s="218"/>
      <c r="BA184" s="218"/>
      <c r="BB184" s="218"/>
      <c r="BC184" s="362"/>
      <c r="BD184" s="223"/>
      <c r="BE184" s="222"/>
      <c r="BF184" s="218"/>
      <c r="BG184" s="218"/>
      <c r="BH184" s="218"/>
      <c r="BI184" s="362"/>
      <c r="BJ184" s="223"/>
      <c r="BK184" s="222"/>
      <c r="BL184" s="218"/>
      <c r="BM184" s="218"/>
      <c r="BN184" s="218"/>
      <c r="BO184" s="362"/>
      <c r="BP184" s="223"/>
      <c r="BQ184" s="222"/>
      <c r="BR184" s="218"/>
      <c r="BS184" s="218"/>
      <c r="BT184" s="218"/>
      <c r="BU184" s="362"/>
      <c r="BV184" s="223"/>
      <c r="BW184" s="222"/>
      <c r="BX184" s="218"/>
      <c r="BY184" s="218"/>
      <c r="BZ184" s="218"/>
      <c r="CA184" s="362"/>
      <c r="CB184" s="223"/>
      <c r="CC184" s="222"/>
      <c r="CD184" s="218"/>
      <c r="CE184" s="218"/>
      <c r="CF184" s="218"/>
      <c r="CG184" s="362"/>
    </row>
    <row r="185" spans="2:85" ht="12" customHeight="1" x14ac:dyDescent="0.2">
      <c r="B185" s="117" t="s">
        <v>312</v>
      </c>
      <c r="C185" s="218"/>
      <c r="D185" s="218"/>
      <c r="E185" s="218"/>
      <c r="F185" s="218"/>
      <c r="G185" s="219">
        <v>6.7500000000000004E-2</v>
      </c>
      <c r="H185" s="220"/>
      <c r="I185" s="218"/>
      <c r="J185" s="218"/>
      <c r="K185" s="218"/>
      <c r="L185" s="218"/>
      <c r="M185" s="219">
        <v>0.1013</v>
      </c>
      <c r="N185" s="221"/>
      <c r="O185" s="218"/>
      <c r="P185" s="218"/>
      <c r="Q185" s="218"/>
      <c r="R185" s="218"/>
      <c r="S185" s="219">
        <v>0</v>
      </c>
      <c r="T185" s="220"/>
      <c r="U185" s="218"/>
      <c r="V185" s="218"/>
      <c r="W185" s="218"/>
      <c r="X185" s="218"/>
      <c r="Y185" s="219">
        <v>0</v>
      </c>
      <c r="Z185" s="220"/>
      <c r="AA185" s="222"/>
      <c r="AB185" s="218"/>
      <c r="AC185" s="218"/>
      <c r="AD185" s="218"/>
      <c r="AE185" s="219">
        <v>0</v>
      </c>
      <c r="AF185" s="220"/>
      <c r="AG185" s="222">
        <v>0</v>
      </c>
      <c r="AH185" s="218">
        <v>0</v>
      </c>
      <c r="AI185" s="218">
        <v>0</v>
      </c>
      <c r="AJ185" s="218">
        <v>0</v>
      </c>
      <c r="AK185" s="219">
        <v>0</v>
      </c>
      <c r="AL185" s="223"/>
      <c r="AM185" s="222">
        <v>0</v>
      </c>
      <c r="AN185" s="218">
        <v>0</v>
      </c>
      <c r="AO185" s="218">
        <v>0</v>
      </c>
      <c r="AP185" s="218">
        <v>0</v>
      </c>
      <c r="AQ185" s="219">
        <v>0</v>
      </c>
      <c r="AR185" s="223"/>
      <c r="AS185" s="222">
        <v>0</v>
      </c>
      <c r="AT185" s="218">
        <v>0</v>
      </c>
      <c r="AU185" s="218">
        <v>0</v>
      </c>
      <c r="AV185" s="218">
        <v>0</v>
      </c>
      <c r="AW185" s="219">
        <v>0</v>
      </c>
      <c r="AX185" s="223"/>
      <c r="AY185" s="222">
        <v>0</v>
      </c>
      <c r="AZ185" s="218">
        <v>0</v>
      </c>
      <c r="BA185" s="218">
        <v>0</v>
      </c>
      <c r="BB185" s="218">
        <v>0</v>
      </c>
      <c r="BC185" s="219">
        <v>0</v>
      </c>
      <c r="BD185" s="223"/>
      <c r="BE185" s="222">
        <v>0</v>
      </c>
      <c r="BF185" s="218">
        <v>0</v>
      </c>
      <c r="BG185" s="218">
        <v>0</v>
      </c>
      <c r="BH185" s="218">
        <v>0</v>
      </c>
      <c r="BI185" s="219">
        <v>0</v>
      </c>
      <c r="BJ185" s="223"/>
      <c r="BK185" s="222">
        <v>0</v>
      </c>
      <c r="BL185" s="218">
        <v>0</v>
      </c>
      <c r="BM185" s="218">
        <v>0</v>
      </c>
      <c r="BN185" s="218">
        <v>0</v>
      </c>
      <c r="BO185" s="219">
        <v>0</v>
      </c>
      <c r="BP185" s="223"/>
      <c r="BQ185" s="222">
        <v>0</v>
      </c>
      <c r="BR185" s="218">
        <v>0</v>
      </c>
      <c r="BS185" s="218">
        <v>0</v>
      </c>
      <c r="BT185" s="218">
        <v>0</v>
      </c>
      <c r="BU185" s="219">
        <v>0</v>
      </c>
      <c r="BV185" s="223"/>
      <c r="BW185" s="222">
        <v>0</v>
      </c>
      <c r="BX185" s="218">
        <v>0</v>
      </c>
      <c r="BY185" s="218">
        <v>0</v>
      </c>
      <c r="BZ185" s="218">
        <v>0</v>
      </c>
      <c r="CA185" s="219">
        <v>0</v>
      </c>
      <c r="CB185" s="223"/>
      <c r="CC185" s="222">
        <v>0</v>
      </c>
      <c r="CD185" s="218">
        <v>0</v>
      </c>
      <c r="CE185" s="218">
        <v>0</v>
      </c>
      <c r="CF185" s="218">
        <v>0</v>
      </c>
      <c r="CG185" s="219">
        <v>0</v>
      </c>
    </row>
    <row r="186" spans="2:85" ht="12" customHeight="1" x14ac:dyDescent="0.2">
      <c r="B186" s="117" t="s">
        <v>331</v>
      </c>
      <c r="C186" s="218"/>
      <c r="D186" s="218"/>
      <c r="E186" s="218"/>
      <c r="F186" s="218"/>
      <c r="G186" s="219">
        <v>6.0000000000000001E-3</v>
      </c>
      <c r="H186" s="220"/>
      <c r="I186" s="218"/>
      <c r="J186" s="218"/>
      <c r="K186" s="218"/>
      <c r="L186" s="218"/>
      <c r="M186" s="219">
        <v>6.0000000000000001E-3</v>
      </c>
      <c r="N186" s="221"/>
      <c r="O186" s="218"/>
      <c r="P186" s="218"/>
      <c r="Q186" s="218"/>
      <c r="R186" s="218"/>
      <c r="S186" s="219">
        <v>6.0000000000000001E-3</v>
      </c>
      <c r="T186" s="220"/>
      <c r="U186" s="218"/>
      <c r="V186" s="218"/>
      <c r="W186" s="218"/>
      <c r="X186" s="218"/>
      <c r="Y186" s="219">
        <v>6.0000000000000001E-3</v>
      </c>
      <c r="Z186" s="220"/>
      <c r="AA186" s="219"/>
      <c r="AB186" s="219"/>
      <c r="AC186" s="219"/>
      <c r="AD186" s="219"/>
      <c r="AE186" s="219">
        <v>0</v>
      </c>
      <c r="AF186" s="220"/>
      <c r="AG186" s="219">
        <v>0</v>
      </c>
      <c r="AH186" s="219">
        <v>0</v>
      </c>
      <c r="AI186" s="219">
        <v>0</v>
      </c>
      <c r="AJ186" s="219">
        <v>0</v>
      </c>
      <c r="AK186" s="219">
        <v>0</v>
      </c>
      <c r="AL186" s="223"/>
      <c r="AM186" s="219">
        <v>0</v>
      </c>
      <c r="AN186" s="219">
        <v>0</v>
      </c>
      <c r="AO186" s="219">
        <v>0</v>
      </c>
      <c r="AP186" s="219">
        <v>0</v>
      </c>
      <c r="AQ186" s="219">
        <v>0</v>
      </c>
      <c r="AR186" s="223"/>
      <c r="AS186" s="219">
        <v>0</v>
      </c>
      <c r="AT186" s="219">
        <v>0</v>
      </c>
      <c r="AU186" s="219">
        <v>0</v>
      </c>
      <c r="AV186" s="219">
        <v>0</v>
      </c>
      <c r="AW186" s="219">
        <v>0</v>
      </c>
      <c r="AX186" s="223"/>
      <c r="AY186" s="219">
        <v>0</v>
      </c>
      <c r="AZ186" s="219">
        <v>0</v>
      </c>
      <c r="BA186" s="219">
        <v>0</v>
      </c>
      <c r="BB186" s="219">
        <v>0</v>
      </c>
      <c r="BC186" s="219">
        <v>0</v>
      </c>
      <c r="BD186" s="223"/>
      <c r="BE186" s="219">
        <v>0</v>
      </c>
      <c r="BF186" s="219">
        <v>0</v>
      </c>
      <c r="BG186" s="219">
        <v>0</v>
      </c>
      <c r="BH186" s="219">
        <v>0</v>
      </c>
      <c r="BI186" s="219">
        <v>0</v>
      </c>
      <c r="BJ186" s="223"/>
      <c r="BK186" s="219">
        <v>0</v>
      </c>
      <c r="BL186" s="219">
        <v>0</v>
      </c>
      <c r="BM186" s="219">
        <v>0</v>
      </c>
      <c r="BN186" s="219">
        <v>0</v>
      </c>
      <c r="BO186" s="219">
        <v>0</v>
      </c>
      <c r="BP186" s="223"/>
      <c r="BQ186" s="219">
        <v>0</v>
      </c>
      <c r="BR186" s="219">
        <v>0</v>
      </c>
      <c r="BS186" s="219">
        <v>0</v>
      </c>
      <c r="BT186" s="219">
        <v>0</v>
      </c>
      <c r="BU186" s="219">
        <v>0</v>
      </c>
      <c r="BV186" s="223"/>
      <c r="BW186" s="219">
        <v>0</v>
      </c>
      <c r="BX186" s="219">
        <v>0</v>
      </c>
      <c r="BY186" s="219">
        <v>0</v>
      </c>
      <c r="BZ186" s="219">
        <v>0</v>
      </c>
      <c r="CA186" s="219">
        <v>0</v>
      </c>
      <c r="CB186" s="223"/>
      <c r="CC186" s="219">
        <v>0</v>
      </c>
      <c r="CD186" s="219">
        <v>0</v>
      </c>
      <c r="CE186" s="219">
        <v>0</v>
      </c>
      <c r="CF186" s="219">
        <v>0</v>
      </c>
      <c r="CG186" s="219">
        <v>0</v>
      </c>
    </row>
    <row r="187" spans="2:85" ht="12" customHeight="1" x14ac:dyDescent="0.2">
      <c r="B187" s="117" t="s">
        <v>316</v>
      </c>
      <c r="C187" s="218"/>
      <c r="D187" s="218"/>
      <c r="E187" s="218"/>
      <c r="F187" s="218"/>
      <c r="G187" s="219">
        <v>2.8899999999999999E-2</v>
      </c>
      <c r="H187" s="220"/>
      <c r="I187" s="218"/>
      <c r="J187" s="218"/>
      <c r="K187" s="218"/>
      <c r="L187" s="218"/>
      <c r="M187" s="219">
        <v>4.2799999999999998E-2</v>
      </c>
      <c r="N187" s="221"/>
      <c r="O187" s="218"/>
      <c r="P187" s="218"/>
      <c r="Q187" s="218"/>
      <c r="R187" s="218"/>
      <c r="S187" s="219">
        <v>1.5900000000000001E-2</v>
      </c>
      <c r="T187" s="220"/>
      <c r="U187" s="218"/>
      <c r="V187" s="218"/>
      <c r="W187" s="218"/>
      <c r="X187" s="218"/>
      <c r="Y187" s="219">
        <v>1.9E-2</v>
      </c>
      <c r="Z187" s="220"/>
      <c r="AA187" s="222"/>
      <c r="AB187" s="218"/>
      <c r="AC187" s="218"/>
      <c r="AD187" s="218"/>
      <c r="AE187" s="219">
        <v>2.3E-2</v>
      </c>
      <c r="AF187" s="220"/>
      <c r="AG187" s="219">
        <v>2.3E-2</v>
      </c>
      <c r="AH187" s="219">
        <v>2.3E-2</v>
      </c>
      <c r="AI187" s="219">
        <v>2.3E-2</v>
      </c>
      <c r="AJ187" s="219">
        <v>2.3E-2</v>
      </c>
      <c r="AK187" s="219">
        <v>2.3E-2</v>
      </c>
      <c r="AL187" s="223"/>
      <c r="AM187" s="219">
        <v>2.3E-2</v>
      </c>
      <c r="AN187" s="219">
        <v>2.3E-2</v>
      </c>
      <c r="AO187" s="219">
        <v>2.3E-2</v>
      </c>
      <c r="AP187" s="219">
        <v>2.3E-2</v>
      </c>
      <c r="AQ187" s="219">
        <v>2.3E-2</v>
      </c>
      <c r="AR187" s="223"/>
      <c r="AS187" s="219">
        <v>2.3E-2</v>
      </c>
      <c r="AT187" s="219">
        <v>2.3E-2</v>
      </c>
      <c r="AU187" s="219">
        <v>2.3E-2</v>
      </c>
      <c r="AV187" s="219">
        <v>2.3E-2</v>
      </c>
      <c r="AW187" s="219">
        <v>2.3E-2</v>
      </c>
      <c r="AX187" s="223"/>
      <c r="AY187" s="219">
        <v>2.3E-2</v>
      </c>
      <c r="AZ187" s="219">
        <v>2.3E-2</v>
      </c>
      <c r="BA187" s="219">
        <v>2.3E-2</v>
      </c>
      <c r="BB187" s="219">
        <v>2.3E-2</v>
      </c>
      <c r="BC187" s="219">
        <v>2.3E-2</v>
      </c>
      <c r="BD187" s="223"/>
      <c r="BE187" s="219">
        <v>2.3E-2</v>
      </c>
      <c r="BF187" s="219">
        <v>2.3E-2</v>
      </c>
      <c r="BG187" s="219">
        <v>2.3E-2</v>
      </c>
      <c r="BH187" s="219">
        <v>2.3E-2</v>
      </c>
      <c r="BI187" s="219">
        <v>2.3E-2</v>
      </c>
      <c r="BJ187" s="223"/>
      <c r="BK187" s="219">
        <v>2.3E-2</v>
      </c>
      <c r="BL187" s="219">
        <v>2.3E-2</v>
      </c>
      <c r="BM187" s="219">
        <v>2.3E-2</v>
      </c>
      <c r="BN187" s="219">
        <v>2.3E-2</v>
      </c>
      <c r="BO187" s="219">
        <v>2.3E-2</v>
      </c>
      <c r="BP187" s="223"/>
      <c r="BQ187" s="219">
        <v>2.3E-2</v>
      </c>
      <c r="BR187" s="219">
        <v>2.3E-2</v>
      </c>
      <c r="BS187" s="219">
        <v>2.3E-2</v>
      </c>
      <c r="BT187" s="219">
        <v>2.3E-2</v>
      </c>
      <c r="BU187" s="219">
        <v>2.3E-2</v>
      </c>
      <c r="BV187" s="223"/>
      <c r="BW187" s="219">
        <v>2.3E-2</v>
      </c>
      <c r="BX187" s="219">
        <v>2.3E-2</v>
      </c>
      <c r="BY187" s="219">
        <v>2.3E-2</v>
      </c>
      <c r="BZ187" s="219">
        <v>2.3E-2</v>
      </c>
      <c r="CA187" s="219">
        <v>2.3E-2</v>
      </c>
      <c r="CB187" s="223"/>
      <c r="CC187" s="219">
        <v>2.3E-2</v>
      </c>
      <c r="CD187" s="219">
        <v>2.3E-2</v>
      </c>
      <c r="CE187" s="219">
        <v>2.3E-2</v>
      </c>
      <c r="CF187" s="219">
        <v>2.3E-2</v>
      </c>
      <c r="CG187" s="219">
        <v>2.3E-2</v>
      </c>
    </row>
    <row r="188" spans="2:85" ht="12" customHeight="1" x14ac:dyDescent="0.2">
      <c r="B188" s="113" t="s">
        <v>330</v>
      </c>
      <c r="C188" s="218"/>
      <c r="D188" s="218"/>
      <c r="E188" s="218"/>
      <c r="F188" s="218"/>
      <c r="G188" s="219"/>
      <c r="H188" s="220"/>
      <c r="I188" s="218"/>
      <c r="J188" s="218"/>
      <c r="K188" s="218"/>
      <c r="L188" s="218"/>
      <c r="M188" s="219">
        <v>0</v>
      </c>
      <c r="N188" s="221"/>
      <c r="O188" s="218"/>
      <c r="P188" s="218"/>
      <c r="Q188" s="218"/>
      <c r="R188" s="218"/>
      <c r="S188" s="219">
        <v>0</v>
      </c>
      <c r="T188" s="220"/>
      <c r="U188" s="218"/>
      <c r="V188" s="218"/>
      <c r="W188" s="218"/>
      <c r="X188" s="218"/>
      <c r="Y188" s="219">
        <v>0</v>
      </c>
      <c r="Z188" s="220"/>
      <c r="AA188" s="222"/>
      <c r="AB188" s="218"/>
      <c r="AC188" s="218"/>
      <c r="AD188" s="218"/>
      <c r="AE188" s="219">
        <v>0.11</v>
      </c>
      <c r="AF188" s="220"/>
      <c r="AG188" s="219">
        <v>0.11</v>
      </c>
      <c r="AH188" s="219">
        <v>0.11</v>
      </c>
      <c r="AI188" s="219">
        <v>0.11</v>
      </c>
      <c r="AJ188" s="219">
        <v>0.11</v>
      </c>
      <c r="AK188" s="219">
        <v>0.11</v>
      </c>
      <c r="AL188" s="223"/>
      <c r="AM188" s="219">
        <v>0.11</v>
      </c>
      <c r="AN188" s="219">
        <v>0.11</v>
      </c>
      <c r="AO188" s="219">
        <v>0.11</v>
      </c>
      <c r="AP188" s="219">
        <v>0.11</v>
      </c>
      <c r="AQ188" s="219">
        <v>0.11</v>
      </c>
      <c r="AR188" s="223"/>
      <c r="AS188" s="219">
        <v>0.11</v>
      </c>
      <c r="AT188" s="219">
        <v>0.11</v>
      </c>
      <c r="AU188" s="219">
        <v>0.11</v>
      </c>
      <c r="AV188" s="219">
        <v>0.11</v>
      </c>
      <c r="AW188" s="219">
        <v>0.11</v>
      </c>
      <c r="AX188" s="223"/>
      <c r="AY188" s="219">
        <v>0.11</v>
      </c>
      <c r="AZ188" s="219">
        <v>0.11</v>
      </c>
      <c r="BA188" s="219">
        <v>0.11</v>
      </c>
      <c r="BB188" s="219">
        <v>0.11</v>
      </c>
      <c r="BC188" s="219">
        <v>0.11</v>
      </c>
      <c r="BD188" s="223"/>
      <c r="BE188" s="219">
        <v>0.11</v>
      </c>
      <c r="BF188" s="219">
        <v>0.11</v>
      </c>
      <c r="BG188" s="219">
        <v>0.11</v>
      </c>
      <c r="BH188" s="219">
        <v>0.11</v>
      </c>
      <c r="BI188" s="219">
        <v>0.11</v>
      </c>
      <c r="BJ188" s="223"/>
      <c r="BK188" s="219">
        <v>0.11</v>
      </c>
      <c r="BL188" s="219">
        <v>0.11</v>
      </c>
      <c r="BM188" s="219">
        <v>0.11</v>
      </c>
      <c r="BN188" s="219">
        <v>0.11</v>
      </c>
      <c r="BO188" s="219">
        <v>0.11</v>
      </c>
      <c r="BP188" s="223"/>
      <c r="BQ188" s="219">
        <v>0.11</v>
      </c>
      <c r="BR188" s="219">
        <v>0.11</v>
      </c>
      <c r="BS188" s="219">
        <v>0.11</v>
      </c>
      <c r="BT188" s="219">
        <v>0.11</v>
      </c>
      <c r="BU188" s="219">
        <v>0.11</v>
      </c>
      <c r="BV188" s="223"/>
      <c r="BW188" s="219">
        <v>0.11</v>
      </c>
      <c r="BX188" s="219">
        <v>0.11</v>
      </c>
      <c r="BY188" s="219">
        <v>0.11</v>
      </c>
      <c r="BZ188" s="219">
        <v>0.11</v>
      </c>
      <c r="CA188" s="219">
        <v>0.11</v>
      </c>
      <c r="CB188" s="223"/>
      <c r="CC188" s="219">
        <v>0.11</v>
      </c>
      <c r="CD188" s="219">
        <v>0.11</v>
      </c>
      <c r="CE188" s="219">
        <v>0.11</v>
      </c>
      <c r="CF188" s="219">
        <v>0.11</v>
      </c>
      <c r="CG188" s="219">
        <v>0.11</v>
      </c>
    </row>
    <row r="189" spans="2:85" ht="12" customHeight="1" x14ac:dyDescent="0.2">
      <c r="B189" s="118" t="s">
        <v>323</v>
      </c>
      <c r="C189" s="218"/>
      <c r="D189" s="218"/>
      <c r="E189" s="218"/>
      <c r="F189" s="218"/>
      <c r="G189" s="219">
        <v>3.9E-2</v>
      </c>
      <c r="H189" s="220"/>
      <c r="I189" s="218"/>
      <c r="J189" s="218"/>
      <c r="K189" s="218"/>
      <c r="L189" s="218"/>
      <c r="M189" s="219">
        <v>4.2799999999999998E-2</v>
      </c>
      <c r="N189" s="221"/>
      <c r="O189" s="218"/>
      <c r="P189" s="218"/>
      <c r="Q189" s="218"/>
      <c r="R189" s="218"/>
      <c r="S189" s="219">
        <v>6.6E-3</v>
      </c>
      <c r="T189" s="220"/>
      <c r="U189" s="218"/>
      <c r="V189" s="218"/>
      <c r="W189" s="218"/>
      <c r="X189" s="218"/>
      <c r="Y189" s="219">
        <v>1.9E-2</v>
      </c>
      <c r="Z189" s="220"/>
      <c r="AA189" s="222"/>
      <c r="AB189" s="218"/>
      <c r="AC189" s="218"/>
      <c r="AD189" s="218"/>
      <c r="AE189" s="219">
        <v>2.8000000000000001E-2</v>
      </c>
      <c r="AF189" s="220"/>
      <c r="AG189" s="222"/>
      <c r="AH189" s="218"/>
      <c r="AI189" s="218"/>
      <c r="AJ189" s="218"/>
      <c r="AK189" s="219"/>
      <c r="AL189" s="223"/>
      <c r="AM189" s="222"/>
      <c r="AN189" s="218"/>
      <c r="AO189" s="218"/>
      <c r="AP189" s="218"/>
      <c r="AQ189" s="219"/>
      <c r="AR189" s="223"/>
      <c r="AS189" s="222"/>
      <c r="AT189" s="218"/>
      <c r="AU189" s="218"/>
      <c r="AV189" s="218"/>
      <c r="AW189" s="219"/>
      <c r="AX189" s="223"/>
      <c r="AY189" s="222"/>
      <c r="AZ189" s="218"/>
      <c r="BA189" s="218"/>
      <c r="BB189" s="218"/>
      <c r="BC189" s="219"/>
      <c r="BD189" s="223"/>
      <c r="BE189" s="222"/>
      <c r="BF189" s="218"/>
      <c r="BG189" s="218"/>
      <c r="BH189" s="218"/>
      <c r="BI189" s="219"/>
      <c r="BJ189" s="223"/>
      <c r="BK189" s="222"/>
      <c r="BL189" s="218"/>
      <c r="BM189" s="218"/>
      <c r="BN189" s="218"/>
      <c r="BO189" s="219"/>
      <c r="BP189" s="223"/>
      <c r="BQ189" s="222"/>
      <c r="BR189" s="218"/>
      <c r="BS189" s="218"/>
      <c r="BT189" s="218"/>
      <c r="BU189" s="219"/>
      <c r="BV189" s="223"/>
      <c r="BW189" s="222"/>
      <c r="BX189" s="218"/>
      <c r="BY189" s="218"/>
      <c r="BZ189" s="218"/>
      <c r="CA189" s="219"/>
      <c r="CB189" s="223"/>
      <c r="CC189" s="222"/>
      <c r="CD189" s="218"/>
      <c r="CE189" s="218"/>
      <c r="CF189" s="218"/>
      <c r="CG189" s="219"/>
    </row>
    <row r="190" spans="2:85" ht="12" customHeight="1" x14ac:dyDescent="0.2">
      <c r="B190" s="117"/>
      <c r="C190" s="218"/>
      <c r="D190" s="218"/>
      <c r="E190" s="218"/>
      <c r="F190" s="218"/>
      <c r="G190" s="362"/>
      <c r="H190" s="220"/>
      <c r="I190" s="218"/>
      <c r="J190" s="218"/>
      <c r="K190" s="218"/>
      <c r="L190" s="218"/>
      <c r="M190" s="362"/>
      <c r="N190" s="221"/>
      <c r="O190" s="218"/>
      <c r="P190" s="218"/>
      <c r="Q190" s="218"/>
      <c r="R190" s="218"/>
      <c r="S190" s="362"/>
      <c r="T190" s="220"/>
      <c r="U190" s="218"/>
      <c r="V190" s="218"/>
      <c r="W190" s="218"/>
      <c r="X190" s="218"/>
      <c r="Y190" s="362"/>
      <c r="Z190" s="220"/>
      <c r="AA190" s="222"/>
      <c r="AB190" s="218"/>
      <c r="AC190" s="218"/>
      <c r="AD190" s="218"/>
      <c r="AE190" s="362"/>
      <c r="AF190" s="220"/>
      <c r="AG190" s="222"/>
      <c r="AH190" s="218"/>
      <c r="AI190" s="218"/>
      <c r="AJ190" s="218"/>
      <c r="AK190" s="362"/>
      <c r="AL190" s="223"/>
      <c r="AM190" s="222"/>
      <c r="AN190" s="218"/>
      <c r="AO190" s="218"/>
      <c r="AP190" s="218"/>
      <c r="AQ190" s="362"/>
      <c r="AR190" s="223"/>
      <c r="AS190" s="222"/>
      <c r="AT190" s="218"/>
      <c r="AU190" s="218"/>
      <c r="AV190" s="218"/>
      <c r="AW190" s="362"/>
      <c r="AX190" s="223"/>
      <c r="AY190" s="222"/>
      <c r="AZ190" s="218"/>
      <c r="BA190" s="218"/>
      <c r="BB190" s="218"/>
      <c r="BC190" s="362"/>
      <c r="BD190" s="223"/>
      <c r="BE190" s="222"/>
      <c r="BF190" s="218"/>
      <c r="BG190" s="218"/>
      <c r="BH190" s="218"/>
      <c r="BI190" s="362"/>
      <c r="BJ190" s="223"/>
      <c r="BK190" s="222"/>
      <c r="BL190" s="218"/>
      <c r="BM190" s="218"/>
      <c r="BN190" s="218"/>
      <c r="BO190" s="362"/>
      <c r="BP190" s="223"/>
      <c r="BQ190" s="222"/>
      <c r="BR190" s="218"/>
      <c r="BS190" s="218"/>
      <c r="BT190" s="218"/>
      <c r="BU190" s="362"/>
      <c r="BV190" s="223"/>
      <c r="BW190" s="222"/>
      <c r="BX190" s="218"/>
      <c r="BY190" s="218"/>
      <c r="BZ190" s="218"/>
      <c r="CA190" s="362"/>
      <c r="CB190" s="223"/>
      <c r="CC190" s="222"/>
      <c r="CD190" s="218"/>
      <c r="CE190" s="218"/>
      <c r="CF190" s="218"/>
      <c r="CG190" s="362"/>
    </row>
    <row r="191" spans="2:85" ht="12" customHeight="1" x14ac:dyDescent="0.2">
      <c r="B191" s="364" t="s">
        <v>198</v>
      </c>
      <c r="C191" s="218"/>
      <c r="D191" s="218"/>
      <c r="E191" s="218"/>
      <c r="F191" s="218"/>
      <c r="G191" s="362"/>
      <c r="H191" s="220"/>
      <c r="I191" s="218"/>
      <c r="J191" s="218"/>
      <c r="K191" s="218"/>
      <c r="L191" s="218"/>
      <c r="M191" s="362"/>
      <c r="N191" s="221"/>
      <c r="O191" s="218"/>
      <c r="P191" s="218"/>
      <c r="Q191" s="218"/>
      <c r="R191" s="218"/>
      <c r="S191" s="362"/>
      <c r="T191" s="220"/>
      <c r="U191" s="218"/>
      <c r="V191" s="218"/>
      <c r="W191" s="218"/>
      <c r="X191" s="218"/>
      <c r="Y191" s="362"/>
      <c r="Z191" s="220"/>
      <c r="AA191" s="222"/>
      <c r="AB191" s="218"/>
      <c r="AC191" s="218"/>
      <c r="AD191" s="218"/>
      <c r="AE191" s="362"/>
      <c r="AF191" s="220"/>
      <c r="AG191" s="222"/>
      <c r="AH191" s="218"/>
      <c r="AI191" s="218"/>
      <c r="AJ191" s="218"/>
      <c r="AK191" s="362"/>
      <c r="AL191" s="223"/>
      <c r="AM191" s="222"/>
      <c r="AN191" s="218"/>
      <c r="AO191" s="218"/>
      <c r="AP191" s="218"/>
      <c r="AQ191" s="362"/>
      <c r="AR191" s="223"/>
      <c r="AS191" s="222"/>
      <c r="AT191" s="218"/>
      <c r="AU191" s="218"/>
      <c r="AV191" s="218"/>
      <c r="AW191" s="362"/>
      <c r="AX191" s="223"/>
      <c r="AY191" s="222"/>
      <c r="AZ191" s="218"/>
      <c r="BA191" s="218"/>
      <c r="BB191" s="218"/>
      <c r="BC191" s="362"/>
      <c r="BD191" s="223"/>
      <c r="BE191" s="222"/>
      <c r="BF191" s="218"/>
      <c r="BG191" s="218"/>
      <c r="BH191" s="218"/>
      <c r="BI191" s="362"/>
      <c r="BJ191" s="223"/>
      <c r="BK191" s="222"/>
      <c r="BL191" s="218"/>
      <c r="BM191" s="218"/>
      <c r="BN191" s="218"/>
      <c r="BO191" s="362"/>
      <c r="BP191" s="223"/>
      <c r="BQ191" s="222"/>
      <c r="BR191" s="218"/>
      <c r="BS191" s="218"/>
      <c r="BT191" s="218"/>
      <c r="BU191" s="362"/>
      <c r="BV191" s="223"/>
      <c r="BW191" s="222"/>
      <c r="BX191" s="218"/>
      <c r="BY191" s="218"/>
      <c r="BZ191" s="218"/>
      <c r="CA191" s="362"/>
      <c r="CB191" s="223"/>
      <c r="CC191" s="222"/>
      <c r="CD191" s="218"/>
      <c r="CE191" s="218"/>
      <c r="CF191" s="218"/>
      <c r="CG191" s="362"/>
    </row>
    <row r="192" spans="2:85" ht="12" customHeight="1" x14ac:dyDescent="0.2">
      <c r="B192" s="117" t="s">
        <v>312</v>
      </c>
      <c r="C192" s="218"/>
      <c r="D192" s="218"/>
      <c r="E192" s="218"/>
      <c r="F192" s="218"/>
      <c r="G192" s="219">
        <v>5.3999999999999999E-2</v>
      </c>
      <c r="H192" s="220"/>
      <c r="I192" s="218"/>
      <c r="J192" s="218"/>
      <c r="K192" s="218"/>
      <c r="L192" s="218"/>
      <c r="M192" s="219">
        <v>2.2499999999999999E-2</v>
      </c>
      <c r="N192" s="221"/>
      <c r="O192" s="218"/>
      <c r="P192" s="218"/>
      <c r="Q192" s="218"/>
      <c r="R192" s="218"/>
      <c r="S192" s="219">
        <v>4.5999999999999999E-3</v>
      </c>
      <c r="T192" s="220"/>
      <c r="U192" s="218"/>
      <c r="V192" s="218"/>
      <c r="W192" s="218"/>
      <c r="X192" s="218"/>
      <c r="Y192" s="219">
        <v>2.9000000000000001E-2</v>
      </c>
      <c r="Z192" s="220"/>
      <c r="AA192" s="222"/>
      <c r="AB192" s="218"/>
      <c r="AC192" s="412"/>
      <c r="AD192" s="412"/>
      <c r="AE192" s="219">
        <v>3.4000000000000002E-2</v>
      </c>
      <c r="AF192" s="220"/>
      <c r="AG192" s="219">
        <v>3.5000000000000003E-2</v>
      </c>
      <c r="AH192" s="219">
        <v>3.5000000000000003E-2</v>
      </c>
      <c r="AI192" s="219">
        <v>3.5000000000000003E-2</v>
      </c>
      <c r="AJ192" s="219">
        <v>3.5000000000000003E-2</v>
      </c>
      <c r="AK192" s="219">
        <v>3.5000000000000003E-2</v>
      </c>
      <c r="AL192" s="223"/>
      <c r="AM192" s="219">
        <v>2.9000000000000001E-2</v>
      </c>
      <c r="AN192" s="218">
        <v>2.9000000000000001E-2</v>
      </c>
      <c r="AO192" s="218">
        <v>2.9000000000000001E-2</v>
      </c>
      <c r="AP192" s="218">
        <v>2.9000000000000001E-2</v>
      </c>
      <c r="AQ192" s="219">
        <v>3.5000000000000003E-2</v>
      </c>
      <c r="AR192" s="223"/>
      <c r="AS192" s="222">
        <v>2.9000000000000001E-2</v>
      </c>
      <c r="AT192" s="218">
        <v>2.9000000000000001E-2</v>
      </c>
      <c r="AU192" s="218">
        <v>2.9000000000000001E-2</v>
      </c>
      <c r="AV192" s="218">
        <v>2.9000000000000001E-2</v>
      </c>
      <c r="AW192" s="218">
        <v>3.5000000000000003E-2</v>
      </c>
      <c r="AX192" s="223"/>
      <c r="AY192" s="222">
        <v>2.9000000000000001E-2</v>
      </c>
      <c r="AZ192" s="218">
        <v>2.9000000000000001E-2</v>
      </c>
      <c r="BA192" s="218">
        <v>2.9000000000000001E-2</v>
      </c>
      <c r="BB192" s="218">
        <v>2.9000000000000001E-2</v>
      </c>
      <c r="BC192" s="412">
        <v>3.5000000000000003E-2</v>
      </c>
      <c r="BD192" s="223"/>
      <c r="BE192" s="222">
        <v>0.03</v>
      </c>
      <c r="BF192" s="222">
        <v>0.03</v>
      </c>
      <c r="BG192" s="222">
        <v>2.1000000000000001E-2</v>
      </c>
      <c r="BH192" s="222">
        <f>+BG192</f>
        <v>2.1000000000000001E-2</v>
      </c>
      <c r="BI192" s="412">
        <f>+BH192</f>
        <v>2.1000000000000001E-2</v>
      </c>
      <c r="BJ192" s="223"/>
      <c r="BK192" s="222">
        <f>+BH192</f>
        <v>2.1000000000000001E-2</v>
      </c>
      <c r="BL192" s="218">
        <f t="shared" ref="BL192:BO193" si="310">+BK192</f>
        <v>2.1000000000000001E-2</v>
      </c>
      <c r="BM192" s="218">
        <f t="shared" si="310"/>
        <v>2.1000000000000001E-2</v>
      </c>
      <c r="BN192" s="218">
        <f t="shared" si="310"/>
        <v>2.1000000000000001E-2</v>
      </c>
      <c r="BO192" s="412">
        <f t="shared" si="310"/>
        <v>2.1000000000000001E-2</v>
      </c>
      <c r="BP192" s="223"/>
      <c r="BQ192" s="222">
        <f t="shared" ref="BQ192" si="311">+BN192</f>
        <v>2.1000000000000001E-2</v>
      </c>
      <c r="BR192" s="218">
        <f t="shared" ref="BR192:BU193" si="312">+BQ192</f>
        <v>2.1000000000000001E-2</v>
      </c>
      <c r="BS192" s="218">
        <f t="shared" si="312"/>
        <v>2.1000000000000001E-2</v>
      </c>
      <c r="BT192" s="218">
        <f t="shared" si="312"/>
        <v>2.1000000000000001E-2</v>
      </c>
      <c r="BU192" s="412">
        <f t="shared" si="312"/>
        <v>2.1000000000000001E-2</v>
      </c>
      <c r="BV192" s="223"/>
      <c r="BW192" s="222">
        <f t="shared" ref="BW192" si="313">+BT192</f>
        <v>2.1000000000000001E-2</v>
      </c>
      <c r="BX192" s="218">
        <f t="shared" ref="BX192:CA193" si="314">+BW192</f>
        <v>2.1000000000000001E-2</v>
      </c>
      <c r="BY192" s="218">
        <f t="shared" si="314"/>
        <v>2.1000000000000001E-2</v>
      </c>
      <c r="BZ192" s="218">
        <f t="shared" si="314"/>
        <v>2.1000000000000001E-2</v>
      </c>
      <c r="CA192" s="412">
        <f t="shared" si="314"/>
        <v>2.1000000000000001E-2</v>
      </c>
      <c r="CB192" s="223"/>
      <c r="CC192" s="222">
        <f t="shared" ref="CC192" si="315">+BZ192</f>
        <v>2.1000000000000001E-2</v>
      </c>
      <c r="CD192" s="218">
        <f t="shared" ref="CD192:CG193" si="316">+CC192</f>
        <v>2.1000000000000001E-2</v>
      </c>
      <c r="CE192" s="218">
        <f t="shared" si="316"/>
        <v>2.1000000000000001E-2</v>
      </c>
      <c r="CF192" s="218">
        <f t="shared" si="316"/>
        <v>2.1000000000000001E-2</v>
      </c>
      <c r="CG192" s="412">
        <f t="shared" si="316"/>
        <v>2.1000000000000001E-2</v>
      </c>
    </row>
    <row r="193" spans="2:85" ht="12" customHeight="1" x14ac:dyDescent="0.2">
      <c r="B193" s="117" t="s">
        <v>319</v>
      </c>
      <c r="C193" s="218"/>
      <c r="D193" s="218"/>
      <c r="E193" s="218"/>
      <c r="F193" s="218"/>
      <c r="G193" s="219">
        <v>3.1E-2</v>
      </c>
      <c r="H193" s="220"/>
      <c r="I193" s="218"/>
      <c r="J193" s="218"/>
      <c r="K193" s="218"/>
      <c r="L193" s="218"/>
      <c r="M193" s="219">
        <v>1.21E-2</v>
      </c>
      <c r="N193" s="221"/>
      <c r="O193" s="218"/>
      <c r="P193" s="218"/>
      <c r="Q193" s="218"/>
      <c r="R193" s="218"/>
      <c r="S193" s="219">
        <v>0</v>
      </c>
      <c r="T193" s="220"/>
      <c r="U193" s="218"/>
      <c r="V193" s="218"/>
      <c r="W193" s="218"/>
      <c r="X193" s="218"/>
      <c r="Y193" s="219">
        <v>1.7000000000000001E-2</v>
      </c>
      <c r="Z193" s="220"/>
      <c r="AA193" s="222"/>
      <c r="AB193" s="218"/>
      <c r="AC193" s="218"/>
      <c r="AD193" s="218"/>
      <c r="AE193" s="219">
        <v>1.2E-2</v>
      </c>
      <c r="AF193" s="220"/>
      <c r="AG193" s="219">
        <v>1.2E-2</v>
      </c>
      <c r="AH193" s="219">
        <v>1.2E-2</v>
      </c>
      <c r="AI193" s="219">
        <v>1.2E-2</v>
      </c>
      <c r="AJ193" s="219">
        <v>1.2E-2</v>
      </c>
      <c r="AK193" s="219">
        <v>1.2E-2</v>
      </c>
      <c r="AL193" s="223"/>
      <c r="AM193" s="219">
        <v>1.2E-2</v>
      </c>
      <c r="AN193" s="219">
        <v>1.2E-2</v>
      </c>
      <c r="AO193" s="219">
        <v>1.2E-2</v>
      </c>
      <c r="AP193" s="219">
        <v>1.2E-2</v>
      </c>
      <c r="AQ193" s="219">
        <v>1.2E-2</v>
      </c>
      <c r="AR193" s="223"/>
      <c r="AS193" s="219">
        <v>1.2E-2</v>
      </c>
      <c r="AT193" s="219">
        <v>1.2E-2</v>
      </c>
      <c r="AU193" s="219">
        <v>1.2E-2</v>
      </c>
      <c r="AV193" s="219">
        <v>1.2E-2</v>
      </c>
      <c r="AW193" s="219">
        <v>1.2E-2</v>
      </c>
      <c r="AX193" s="223"/>
      <c r="AY193" s="219">
        <v>1.2E-2</v>
      </c>
      <c r="AZ193" s="219">
        <v>1.2E-2</v>
      </c>
      <c r="BA193" s="219">
        <v>1.2E-2</v>
      </c>
      <c r="BB193" s="219">
        <v>1.2E-2</v>
      </c>
      <c r="BC193" s="219">
        <v>1.2E-2</v>
      </c>
      <c r="BD193" s="223"/>
      <c r="BE193" s="219">
        <v>1.2E-2</v>
      </c>
      <c r="BF193" s="219">
        <v>1.2E-2</v>
      </c>
      <c r="BG193" s="219">
        <v>1.4999999999999999E-2</v>
      </c>
      <c r="BH193" s="222">
        <f>+BG193</f>
        <v>1.4999999999999999E-2</v>
      </c>
      <c r="BI193" s="412">
        <f>+BH193</f>
        <v>1.4999999999999999E-2</v>
      </c>
      <c r="BJ193" s="223"/>
      <c r="BK193" s="222">
        <f>+BH193</f>
        <v>1.4999999999999999E-2</v>
      </c>
      <c r="BL193" s="218">
        <f t="shared" si="310"/>
        <v>1.4999999999999999E-2</v>
      </c>
      <c r="BM193" s="218">
        <f t="shared" si="310"/>
        <v>1.4999999999999999E-2</v>
      </c>
      <c r="BN193" s="218">
        <f t="shared" si="310"/>
        <v>1.4999999999999999E-2</v>
      </c>
      <c r="BO193" s="412">
        <f t="shared" si="310"/>
        <v>1.4999999999999999E-2</v>
      </c>
      <c r="BP193" s="223"/>
      <c r="BQ193" s="222">
        <f t="shared" ref="BQ193" si="317">+BN193</f>
        <v>1.4999999999999999E-2</v>
      </c>
      <c r="BR193" s="218">
        <f t="shared" si="312"/>
        <v>1.4999999999999999E-2</v>
      </c>
      <c r="BS193" s="218">
        <f t="shared" si="312"/>
        <v>1.4999999999999999E-2</v>
      </c>
      <c r="BT193" s="218">
        <f t="shared" si="312"/>
        <v>1.4999999999999999E-2</v>
      </c>
      <c r="BU193" s="412">
        <f t="shared" si="312"/>
        <v>1.4999999999999999E-2</v>
      </c>
      <c r="BV193" s="223"/>
      <c r="BW193" s="222">
        <f t="shared" ref="BW193" si="318">+BT193</f>
        <v>1.4999999999999999E-2</v>
      </c>
      <c r="BX193" s="218">
        <f t="shared" si="314"/>
        <v>1.4999999999999999E-2</v>
      </c>
      <c r="BY193" s="218">
        <f t="shared" si="314"/>
        <v>1.4999999999999999E-2</v>
      </c>
      <c r="BZ193" s="218">
        <f t="shared" si="314"/>
        <v>1.4999999999999999E-2</v>
      </c>
      <c r="CA193" s="412">
        <f t="shared" si="314"/>
        <v>1.4999999999999999E-2</v>
      </c>
      <c r="CB193" s="223"/>
      <c r="CC193" s="222">
        <f t="shared" ref="CC193" si="319">+BZ193</f>
        <v>1.4999999999999999E-2</v>
      </c>
      <c r="CD193" s="218">
        <f t="shared" si="316"/>
        <v>1.4999999999999999E-2</v>
      </c>
      <c r="CE193" s="218">
        <f t="shared" si="316"/>
        <v>1.4999999999999999E-2</v>
      </c>
      <c r="CF193" s="218">
        <f t="shared" si="316"/>
        <v>1.4999999999999999E-2</v>
      </c>
      <c r="CG193" s="412">
        <f t="shared" si="316"/>
        <v>1.4999999999999999E-2</v>
      </c>
    </row>
    <row r="194" spans="2:85" ht="12" customHeight="1" x14ac:dyDescent="0.2">
      <c r="B194" s="113" t="s">
        <v>330</v>
      </c>
      <c r="C194" s="218"/>
      <c r="D194" s="218"/>
      <c r="E194" s="218"/>
      <c r="F194" s="218"/>
      <c r="G194" s="219"/>
      <c r="H194" s="220"/>
      <c r="I194" s="218"/>
      <c r="J194" s="218"/>
      <c r="K194" s="218"/>
      <c r="L194" s="218"/>
      <c r="M194" s="219">
        <v>0</v>
      </c>
      <c r="N194" s="221"/>
      <c r="O194" s="218"/>
      <c r="P194" s="218"/>
      <c r="Q194" s="218"/>
      <c r="R194" s="218"/>
      <c r="S194" s="219">
        <v>0</v>
      </c>
      <c r="T194" s="220"/>
      <c r="U194" s="218"/>
      <c r="V194" s="218"/>
      <c r="W194" s="218"/>
      <c r="X194" s="218"/>
      <c r="Y194" s="219">
        <v>0</v>
      </c>
      <c r="Z194" s="220"/>
      <c r="AA194" s="222"/>
      <c r="AB194" s="218"/>
      <c r="AC194" s="218"/>
      <c r="AD194" s="218"/>
      <c r="AE194" s="219">
        <v>6.6000000000000003E-2</v>
      </c>
      <c r="AF194" s="220"/>
      <c r="AG194" s="219">
        <v>6.6000000000000003E-2</v>
      </c>
      <c r="AH194" s="219">
        <v>6.6000000000000003E-2</v>
      </c>
      <c r="AI194" s="219">
        <v>6.6000000000000003E-2</v>
      </c>
      <c r="AJ194" s="219">
        <v>6.6000000000000003E-2</v>
      </c>
      <c r="AK194" s="219">
        <v>6.6000000000000003E-2</v>
      </c>
      <c r="AL194" s="223"/>
      <c r="AM194" s="219">
        <v>6.6000000000000003E-2</v>
      </c>
      <c r="AN194" s="219">
        <v>6.6000000000000003E-2</v>
      </c>
      <c r="AO194" s="219">
        <v>6.6000000000000003E-2</v>
      </c>
      <c r="AP194" s="219">
        <v>6.6000000000000003E-2</v>
      </c>
      <c r="AQ194" s="219">
        <v>6.6000000000000003E-2</v>
      </c>
      <c r="AR194" s="223"/>
      <c r="AS194" s="219">
        <v>6.6000000000000003E-2</v>
      </c>
      <c r="AT194" s="219">
        <v>6.6000000000000003E-2</v>
      </c>
      <c r="AU194" s="219">
        <v>6.6000000000000003E-2</v>
      </c>
      <c r="AV194" s="219">
        <v>6.6000000000000003E-2</v>
      </c>
      <c r="AW194" s="219">
        <v>6.6000000000000003E-2</v>
      </c>
      <c r="AX194" s="223"/>
      <c r="AY194" s="219">
        <v>6.6000000000000003E-2</v>
      </c>
      <c r="AZ194" s="219">
        <v>6.6000000000000003E-2</v>
      </c>
      <c r="BA194" s="219">
        <v>6.6000000000000003E-2</v>
      </c>
      <c r="BB194" s="219">
        <v>6.6000000000000003E-2</v>
      </c>
      <c r="BC194" s="219">
        <v>6.6000000000000003E-2</v>
      </c>
      <c r="BD194" s="223"/>
      <c r="BE194" s="219">
        <v>6.6000000000000003E-2</v>
      </c>
      <c r="BF194" s="219">
        <v>6.6000000000000003E-2</v>
      </c>
      <c r="BG194" s="219">
        <v>6.6000000000000003E-2</v>
      </c>
      <c r="BH194" s="219">
        <v>6.6000000000000003E-2</v>
      </c>
      <c r="BI194" s="219">
        <v>6.6000000000000003E-2</v>
      </c>
      <c r="BJ194" s="223"/>
      <c r="BK194" s="219">
        <v>6.6000000000000003E-2</v>
      </c>
      <c r="BL194" s="219">
        <v>6.6000000000000003E-2</v>
      </c>
      <c r="BM194" s="219">
        <v>6.6000000000000003E-2</v>
      </c>
      <c r="BN194" s="219">
        <v>6.6000000000000003E-2</v>
      </c>
      <c r="BO194" s="219">
        <v>6.6000000000000003E-2</v>
      </c>
      <c r="BP194" s="223"/>
      <c r="BQ194" s="219">
        <v>6.6000000000000003E-2</v>
      </c>
      <c r="BR194" s="219">
        <v>6.6000000000000003E-2</v>
      </c>
      <c r="BS194" s="219">
        <v>6.6000000000000003E-2</v>
      </c>
      <c r="BT194" s="219">
        <v>6.6000000000000003E-2</v>
      </c>
      <c r="BU194" s="219">
        <v>6.6000000000000003E-2</v>
      </c>
      <c r="BV194" s="223"/>
      <c r="BW194" s="219">
        <v>6.6000000000000003E-2</v>
      </c>
      <c r="BX194" s="219">
        <v>6.6000000000000003E-2</v>
      </c>
      <c r="BY194" s="219">
        <v>6.6000000000000003E-2</v>
      </c>
      <c r="BZ194" s="219">
        <v>6.6000000000000003E-2</v>
      </c>
      <c r="CA194" s="219">
        <v>6.6000000000000003E-2</v>
      </c>
      <c r="CB194" s="223"/>
      <c r="CC194" s="219">
        <v>6.6000000000000003E-2</v>
      </c>
      <c r="CD194" s="219">
        <v>6.6000000000000003E-2</v>
      </c>
      <c r="CE194" s="219">
        <v>6.6000000000000003E-2</v>
      </c>
      <c r="CF194" s="219">
        <v>6.6000000000000003E-2</v>
      </c>
      <c r="CG194" s="219">
        <v>6.6000000000000003E-2</v>
      </c>
    </row>
    <row r="195" spans="2:85" ht="12" customHeight="1" x14ac:dyDescent="0.2">
      <c r="B195" s="117" t="s">
        <v>320</v>
      </c>
      <c r="C195" s="218"/>
      <c r="D195" s="218"/>
      <c r="E195" s="218"/>
      <c r="F195" s="218"/>
      <c r="G195" s="219">
        <v>1.32E-2</v>
      </c>
      <c r="H195" s="220"/>
      <c r="I195" s="218"/>
      <c r="J195" s="218"/>
      <c r="K195" s="218"/>
      <c r="L195" s="218"/>
      <c r="M195" s="219">
        <v>1.61E-2</v>
      </c>
      <c r="N195" s="221"/>
      <c r="O195" s="218"/>
      <c r="P195" s="218"/>
      <c r="Q195" s="218"/>
      <c r="R195" s="218"/>
      <c r="S195" s="219">
        <v>0.01</v>
      </c>
      <c r="T195" s="220"/>
      <c r="U195" s="218"/>
      <c r="V195" s="218"/>
      <c r="W195" s="218"/>
      <c r="X195" s="218"/>
      <c r="Y195" s="219">
        <v>8.9999999999999993E-3</v>
      </c>
      <c r="Z195" s="220"/>
      <c r="AA195" s="222"/>
      <c r="AB195" s="218"/>
      <c r="AC195" s="218"/>
      <c r="AD195" s="218"/>
      <c r="AE195" s="219">
        <v>1.0999999999999999E-2</v>
      </c>
      <c r="AF195" s="220"/>
      <c r="AG195" s="219">
        <v>1.0999999999999999E-2</v>
      </c>
      <c r="AH195" s="219">
        <v>1.0999999999999999E-2</v>
      </c>
      <c r="AI195" s="219">
        <v>1.0999999999999999E-2</v>
      </c>
      <c r="AJ195" s="219">
        <v>1.0999999999999999E-2</v>
      </c>
      <c r="AK195" s="219">
        <v>1.0999999999999999E-2</v>
      </c>
      <c r="AL195" s="223"/>
      <c r="AM195" s="219">
        <v>1.0999999999999999E-2</v>
      </c>
      <c r="AN195" s="219">
        <v>1.0999999999999999E-2</v>
      </c>
      <c r="AO195" s="219">
        <v>1.0999999999999999E-2</v>
      </c>
      <c r="AP195" s="219">
        <v>1.0999999999999999E-2</v>
      </c>
      <c r="AQ195" s="219">
        <v>1.0999999999999999E-2</v>
      </c>
      <c r="AR195" s="223"/>
      <c r="AS195" s="219">
        <v>1.0999999999999999E-2</v>
      </c>
      <c r="AT195" s="219">
        <v>1.0999999999999999E-2</v>
      </c>
      <c r="AU195" s="219">
        <v>1.0999999999999999E-2</v>
      </c>
      <c r="AV195" s="219">
        <v>1.0999999999999999E-2</v>
      </c>
      <c r="AW195" s="219">
        <v>1.0999999999999999E-2</v>
      </c>
      <c r="AX195" s="223"/>
      <c r="AY195" s="219">
        <v>1.0999999999999999E-2</v>
      </c>
      <c r="AZ195" s="219">
        <v>1.0999999999999999E-2</v>
      </c>
      <c r="BA195" s="219">
        <v>1.0999999999999999E-2</v>
      </c>
      <c r="BB195" s="219">
        <v>1.0999999999999999E-2</v>
      </c>
      <c r="BC195" s="219">
        <v>1.0999999999999999E-2</v>
      </c>
      <c r="BD195" s="223"/>
      <c r="BE195" s="219">
        <v>1.0999999999999999E-2</v>
      </c>
      <c r="BF195" s="219">
        <v>1.0999999999999999E-2</v>
      </c>
      <c r="BG195" s="219">
        <v>1.0999999999999999E-2</v>
      </c>
      <c r="BH195" s="219">
        <v>1.0999999999999999E-2</v>
      </c>
      <c r="BI195" s="219">
        <v>1.0999999999999999E-2</v>
      </c>
      <c r="BJ195" s="223"/>
      <c r="BK195" s="219">
        <v>1.0999999999999999E-2</v>
      </c>
      <c r="BL195" s="219">
        <v>1.0999999999999999E-2</v>
      </c>
      <c r="BM195" s="219">
        <v>1.0999999999999999E-2</v>
      </c>
      <c r="BN195" s="219">
        <v>1.0999999999999999E-2</v>
      </c>
      <c r="BO195" s="219">
        <v>1.0999999999999999E-2</v>
      </c>
      <c r="BP195" s="223"/>
      <c r="BQ195" s="219">
        <v>1.0999999999999999E-2</v>
      </c>
      <c r="BR195" s="219">
        <v>1.0999999999999999E-2</v>
      </c>
      <c r="BS195" s="219">
        <v>1.0999999999999999E-2</v>
      </c>
      <c r="BT195" s="219">
        <v>1.0999999999999999E-2</v>
      </c>
      <c r="BU195" s="219">
        <v>1.0999999999999999E-2</v>
      </c>
      <c r="BV195" s="223"/>
      <c r="BW195" s="219">
        <v>1.0999999999999999E-2</v>
      </c>
      <c r="BX195" s="219">
        <v>1.0999999999999999E-2</v>
      </c>
      <c r="BY195" s="219">
        <v>1.0999999999999999E-2</v>
      </c>
      <c r="BZ195" s="219">
        <v>1.0999999999999999E-2</v>
      </c>
      <c r="CA195" s="219">
        <v>1.0999999999999999E-2</v>
      </c>
      <c r="CB195" s="223"/>
      <c r="CC195" s="219">
        <v>1.0999999999999999E-2</v>
      </c>
      <c r="CD195" s="219">
        <v>1.0999999999999999E-2</v>
      </c>
      <c r="CE195" s="219">
        <v>1.0999999999999999E-2</v>
      </c>
      <c r="CF195" s="219">
        <v>1.0999999999999999E-2</v>
      </c>
      <c r="CG195" s="219">
        <v>1.0999999999999999E-2</v>
      </c>
    </row>
    <row r="196" spans="2:85" ht="12" customHeight="1" x14ac:dyDescent="0.2">
      <c r="B196" s="117" t="s">
        <v>316</v>
      </c>
      <c r="C196" s="218"/>
      <c r="D196" s="218"/>
      <c r="E196" s="218"/>
      <c r="F196" s="218"/>
      <c r="G196" s="219">
        <v>4.9599999999999998E-2</v>
      </c>
      <c r="H196" s="220"/>
      <c r="I196" s="218"/>
      <c r="J196" s="218"/>
      <c r="K196" s="218"/>
      <c r="L196" s="218"/>
      <c r="M196" s="219">
        <v>4.1399999999999999E-2</v>
      </c>
      <c r="N196" s="221"/>
      <c r="O196" s="218"/>
      <c r="P196" s="218"/>
      <c r="Q196" s="218"/>
      <c r="R196" s="218"/>
      <c r="S196" s="219">
        <v>2.7300000000000001E-2</v>
      </c>
      <c r="T196" s="220"/>
      <c r="U196" s="218"/>
      <c r="V196" s="218"/>
      <c r="W196" s="218"/>
      <c r="X196" s="218"/>
      <c r="Y196" s="219">
        <v>3.3000000000000002E-2</v>
      </c>
      <c r="Z196" s="220"/>
      <c r="AA196" s="222"/>
      <c r="AB196" s="218"/>
      <c r="AC196" s="218"/>
      <c r="AD196" s="218"/>
      <c r="AE196" s="219">
        <v>0.03</v>
      </c>
      <c r="AF196" s="220"/>
      <c r="AG196" s="219">
        <v>0.03</v>
      </c>
      <c r="AH196" s="219">
        <v>0.03</v>
      </c>
      <c r="AI196" s="219">
        <v>0.03</v>
      </c>
      <c r="AJ196" s="219">
        <v>0.03</v>
      </c>
      <c r="AK196" s="219">
        <v>0.03</v>
      </c>
      <c r="AL196" s="223"/>
      <c r="AM196" s="219">
        <v>0.03</v>
      </c>
      <c r="AN196" s="219">
        <v>0.03</v>
      </c>
      <c r="AO196" s="219">
        <v>0.03</v>
      </c>
      <c r="AP196" s="219">
        <v>0.03</v>
      </c>
      <c r="AQ196" s="219">
        <v>0.03</v>
      </c>
      <c r="AR196" s="223"/>
      <c r="AS196" s="219">
        <v>0.03</v>
      </c>
      <c r="AT196" s="219">
        <v>0.03</v>
      </c>
      <c r="AU196" s="219">
        <v>0.03</v>
      </c>
      <c r="AV196" s="219">
        <v>0.03</v>
      </c>
      <c r="AW196" s="219">
        <v>0.03</v>
      </c>
      <c r="AX196" s="223"/>
      <c r="AY196" s="219">
        <v>0.03</v>
      </c>
      <c r="AZ196" s="219">
        <v>0.03</v>
      </c>
      <c r="BA196" s="219">
        <v>0.03</v>
      </c>
      <c r="BB196" s="219">
        <v>0.03</v>
      </c>
      <c r="BC196" s="219">
        <v>0.03</v>
      </c>
      <c r="BD196" s="223"/>
      <c r="BE196" s="219">
        <v>0.03</v>
      </c>
      <c r="BF196" s="219">
        <v>0.03</v>
      </c>
      <c r="BG196" s="219">
        <v>0.03</v>
      </c>
      <c r="BH196" s="219">
        <v>0.03</v>
      </c>
      <c r="BI196" s="219">
        <v>0.03</v>
      </c>
      <c r="BJ196" s="223"/>
      <c r="BK196" s="219">
        <v>0.03</v>
      </c>
      <c r="BL196" s="219">
        <v>0.03</v>
      </c>
      <c r="BM196" s="219">
        <v>0.03</v>
      </c>
      <c r="BN196" s="219">
        <v>0.03</v>
      </c>
      <c r="BO196" s="219">
        <v>0.03</v>
      </c>
      <c r="BP196" s="223"/>
      <c r="BQ196" s="219">
        <v>0.03</v>
      </c>
      <c r="BR196" s="219">
        <v>0.03</v>
      </c>
      <c r="BS196" s="219">
        <v>0.03</v>
      </c>
      <c r="BT196" s="219">
        <v>0.03</v>
      </c>
      <c r="BU196" s="219">
        <v>0.03</v>
      </c>
      <c r="BV196" s="223"/>
      <c r="BW196" s="219">
        <v>0.03</v>
      </c>
      <c r="BX196" s="219">
        <v>0.03</v>
      </c>
      <c r="BY196" s="219">
        <v>0.03</v>
      </c>
      <c r="BZ196" s="219">
        <v>0.03</v>
      </c>
      <c r="CA196" s="219">
        <v>0.03</v>
      </c>
      <c r="CB196" s="223"/>
      <c r="CC196" s="219">
        <v>0.03</v>
      </c>
      <c r="CD196" s="219">
        <v>0.03</v>
      </c>
      <c r="CE196" s="219">
        <v>0.03</v>
      </c>
      <c r="CF196" s="219">
        <v>0.03</v>
      </c>
      <c r="CG196" s="219">
        <v>0.03</v>
      </c>
    </row>
    <row r="197" spans="2:85" ht="12" customHeight="1" x14ac:dyDescent="0.2">
      <c r="B197" s="117" t="s">
        <v>324</v>
      </c>
      <c r="C197" s="218"/>
      <c r="D197" s="218"/>
      <c r="E197" s="218"/>
      <c r="F197" s="218"/>
      <c r="G197" s="219">
        <v>4.1300000000000003E-2</v>
      </c>
      <c r="H197" s="220"/>
      <c r="I197" s="218"/>
      <c r="J197" s="218"/>
      <c r="K197" s="218"/>
      <c r="L197" s="218"/>
      <c r="M197" s="219">
        <v>1.84E-2</v>
      </c>
      <c r="N197" s="221"/>
      <c r="O197" s="218"/>
      <c r="P197" s="218"/>
      <c r="Q197" s="218"/>
      <c r="R197" s="218"/>
      <c r="S197" s="219">
        <v>7.1999999999999998E-3</v>
      </c>
      <c r="T197" s="220"/>
      <c r="U197" s="218"/>
      <c r="V197" s="218"/>
      <c r="W197" s="218"/>
      <c r="X197" s="218"/>
      <c r="Y197" s="219">
        <v>2.3E-2</v>
      </c>
      <c r="Z197" s="220"/>
      <c r="AA197" s="222"/>
      <c r="AB197" s="218"/>
      <c r="AC197" s="218"/>
      <c r="AD197" s="218"/>
      <c r="AE197" s="219">
        <v>0.03</v>
      </c>
      <c r="AF197" s="220"/>
      <c r="AG197" s="222"/>
      <c r="AH197" s="218"/>
      <c r="AI197" s="218"/>
      <c r="AJ197" s="218"/>
      <c r="AK197" s="219"/>
      <c r="AL197" s="223"/>
      <c r="AM197" s="222"/>
      <c r="AN197" s="218"/>
      <c r="AO197" s="218"/>
      <c r="AP197" s="218"/>
      <c r="AQ197" s="219"/>
      <c r="AR197" s="223"/>
      <c r="AS197" s="222"/>
      <c r="AT197" s="218"/>
      <c r="AU197" s="218"/>
      <c r="AV197" s="218"/>
      <c r="AW197" s="219"/>
      <c r="AX197" s="223"/>
      <c r="AY197" s="222"/>
      <c r="AZ197" s="218"/>
      <c r="BA197" s="218"/>
      <c r="BB197" s="218"/>
      <c r="BC197" s="219"/>
      <c r="BD197" s="223"/>
      <c r="BE197" s="222"/>
      <c r="BF197" s="218"/>
      <c r="BG197" s="218"/>
      <c r="BH197" s="218"/>
      <c r="BI197" s="219"/>
      <c r="BJ197" s="223"/>
      <c r="BK197" s="222"/>
      <c r="BL197" s="218"/>
      <c r="BM197" s="218"/>
      <c r="BN197" s="218"/>
      <c r="BO197" s="219"/>
      <c r="BP197" s="223"/>
      <c r="BQ197" s="222"/>
      <c r="BR197" s="218"/>
      <c r="BS197" s="218"/>
      <c r="BT197" s="218"/>
      <c r="BU197" s="219"/>
      <c r="BV197" s="223"/>
      <c r="BW197" s="222"/>
      <c r="BX197" s="218"/>
      <c r="BY197" s="218"/>
      <c r="BZ197" s="218"/>
      <c r="CA197" s="219"/>
      <c r="CB197" s="223"/>
      <c r="CC197" s="222"/>
      <c r="CD197" s="218"/>
      <c r="CE197" s="218"/>
      <c r="CF197" s="218"/>
      <c r="CG197" s="219"/>
    </row>
    <row r="198" spans="2:85" ht="12" customHeight="1" x14ac:dyDescent="0.2">
      <c r="B198" s="365" t="s">
        <v>306</v>
      </c>
      <c r="C198" s="366"/>
      <c r="D198" s="366"/>
      <c r="E198" s="366"/>
      <c r="F198" s="366"/>
      <c r="G198" s="367"/>
      <c r="H198" s="220"/>
      <c r="I198" s="366"/>
      <c r="J198" s="366"/>
      <c r="K198" s="366"/>
      <c r="L198" s="366"/>
      <c r="M198" s="367"/>
      <c r="N198" s="220"/>
      <c r="O198" s="366"/>
      <c r="P198" s="366"/>
      <c r="Q198" s="366"/>
      <c r="R198" s="366"/>
      <c r="S198" s="367"/>
      <c r="T198" s="220"/>
      <c r="U198" s="366"/>
      <c r="V198" s="366"/>
      <c r="W198" s="366"/>
      <c r="X198" s="366"/>
      <c r="Y198" s="367"/>
      <c r="Z198" s="220"/>
      <c r="AA198" s="368"/>
      <c r="AB198" s="368"/>
      <c r="AC198" s="368"/>
      <c r="AD198" s="368"/>
      <c r="AE198" s="368"/>
      <c r="AF198" s="220"/>
      <c r="AG198" s="368"/>
      <c r="AH198" s="368"/>
      <c r="AI198" s="368"/>
      <c r="AJ198" s="368"/>
      <c r="AK198" s="368"/>
      <c r="AL198" s="223"/>
      <c r="AM198" s="368"/>
      <c r="AN198" s="368"/>
      <c r="AO198" s="368"/>
      <c r="AP198" s="368"/>
      <c r="AQ198" s="368"/>
      <c r="AR198" s="223"/>
      <c r="AS198" s="368"/>
      <c r="AT198" s="368"/>
      <c r="AU198" s="368"/>
      <c r="AV198" s="368"/>
      <c r="AW198" s="368"/>
      <c r="AX198" s="223"/>
      <c r="AY198" s="368"/>
      <c r="AZ198" s="368"/>
      <c r="BA198" s="368"/>
      <c r="BB198" s="368"/>
      <c r="BC198" s="368"/>
      <c r="BD198" s="223"/>
      <c r="BE198" s="368"/>
      <c r="BF198" s="368"/>
      <c r="BG198" s="368"/>
      <c r="BH198" s="368"/>
      <c r="BI198" s="368"/>
      <c r="BJ198" s="223"/>
      <c r="BK198" s="368"/>
      <c r="BL198" s="368"/>
      <c r="BM198" s="368"/>
      <c r="BN198" s="368"/>
      <c r="BO198" s="368"/>
      <c r="BP198" s="223"/>
      <c r="BQ198" s="368"/>
      <c r="BR198" s="368"/>
      <c r="BS198" s="368"/>
      <c r="BT198" s="368"/>
      <c r="BU198" s="368"/>
      <c r="BV198" s="223"/>
      <c r="BW198" s="368"/>
      <c r="BX198" s="368"/>
      <c r="BY198" s="368"/>
      <c r="BZ198" s="368"/>
      <c r="CA198" s="368"/>
      <c r="CB198" s="223"/>
      <c r="CC198" s="368"/>
      <c r="CD198" s="368"/>
      <c r="CE198" s="368"/>
      <c r="CF198" s="368"/>
      <c r="CG198" s="368"/>
    </row>
    <row r="199" spans="2:85" ht="12" customHeight="1" x14ac:dyDescent="0.2">
      <c r="B199" s="11"/>
      <c r="C199" s="183"/>
      <c r="D199" s="183"/>
      <c r="E199" s="183"/>
      <c r="F199" s="183"/>
      <c r="G199" s="193"/>
      <c r="H199" s="183"/>
      <c r="I199" s="183"/>
      <c r="J199" s="183"/>
      <c r="K199" s="183"/>
      <c r="L199" s="183"/>
      <c r="M199" s="193"/>
      <c r="N199" s="183"/>
      <c r="O199" s="183"/>
      <c r="P199" s="183"/>
      <c r="Q199" s="183"/>
      <c r="R199" s="183"/>
      <c r="S199" s="193"/>
      <c r="T199" s="183"/>
      <c r="U199" s="183"/>
      <c r="V199" s="183"/>
      <c r="W199" s="183"/>
      <c r="X199" s="183"/>
      <c r="Y199" s="193"/>
      <c r="Z199" s="183"/>
      <c r="AA199" s="183"/>
      <c r="AB199" s="183"/>
      <c r="AC199" s="183"/>
      <c r="AD199" s="183"/>
      <c r="AE199" s="183"/>
      <c r="AF199" s="183"/>
      <c r="AG199" s="183"/>
      <c r="AH199" s="183"/>
      <c r="AI199" s="183"/>
      <c r="AJ199" s="183"/>
      <c r="AK199" s="183"/>
      <c r="AL199" s="136"/>
      <c r="AM199" s="183"/>
      <c r="AN199" s="183"/>
      <c r="AO199" s="183"/>
      <c r="AP199" s="183"/>
      <c r="AQ199" s="183"/>
      <c r="AR199" s="136"/>
      <c r="AS199" s="183"/>
      <c r="AT199" s="183"/>
      <c r="AU199" s="183"/>
      <c r="AV199" s="183"/>
      <c r="AW199" s="183"/>
      <c r="AX199" s="136"/>
      <c r="AY199" s="183"/>
      <c r="AZ199" s="183"/>
      <c r="BA199" s="183"/>
      <c r="BB199" s="183"/>
      <c r="BC199" s="183"/>
      <c r="BD199" s="136"/>
      <c r="BE199" s="183"/>
      <c r="BF199" s="183"/>
      <c r="BG199" s="183"/>
      <c r="BH199" s="183"/>
      <c r="BI199" s="183"/>
      <c r="BJ199" s="136"/>
      <c r="BK199" s="183"/>
      <c r="BL199" s="183"/>
      <c r="BM199" s="183"/>
      <c r="BN199" s="183"/>
      <c r="BO199" s="183"/>
      <c r="BP199" s="136"/>
      <c r="BQ199" s="183"/>
      <c r="BR199" s="183"/>
      <c r="BS199" s="183"/>
      <c r="BT199" s="183"/>
      <c r="BU199" s="183"/>
      <c r="BV199" s="136"/>
      <c r="BW199" s="183"/>
      <c r="BX199" s="183"/>
      <c r="BY199" s="183"/>
      <c r="BZ199" s="183"/>
      <c r="CA199" s="183"/>
      <c r="CB199" s="136"/>
      <c r="CC199" s="183"/>
      <c r="CD199" s="183"/>
      <c r="CE199" s="183"/>
      <c r="CF199" s="183"/>
      <c r="CG199" s="183"/>
    </row>
    <row r="200" spans="2:85" ht="12" customHeight="1" x14ac:dyDescent="0.2">
      <c r="B200" s="108" t="s">
        <v>139</v>
      </c>
      <c r="C200" s="187"/>
      <c r="D200" s="187"/>
      <c r="E200" s="187"/>
      <c r="F200" s="187"/>
      <c r="G200" s="184"/>
      <c r="H200" s="183"/>
      <c r="I200" s="187"/>
      <c r="J200" s="187"/>
      <c r="K200" s="187"/>
      <c r="L200" s="187"/>
      <c r="M200" s="184"/>
      <c r="N200" s="183"/>
      <c r="O200" s="187"/>
      <c r="P200" s="187"/>
      <c r="Q200" s="187"/>
      <c r="R200" s="187"/>
      <c r="S200" s="184"/>
      <c r="T200" s="183"/>
      <c r="U200" s="187"/>
      <c r="V200" s="187"/>
      <c r="W200" s="187"/>
      <c r="X200" s="187"/>
      <c r="Y200" s="184"/>
      <c r="Z200" s="183"/>
      <c r="AA200" s="187"/>
      <c r="AB200" s="187"/>
      <c r="AC200" s="187"/>
      <c r="AD200" s="187"/>
      <c r="AE200" s="187"/>
      <c r="AF200" s="183"/>
      <c r="AG200" s="187"/>
      <c r="AH200" s="187"/>
      <c r="AI200" s="187"/>
      <c r="AJ200" s="187"/>
      <c r="AK200" s="187"/>
      <c r="AL200" s="136"/>
      <c r="AM200" s="187"/>
      <c r="AN200" s="187"/>
      <c r="AO200" s="187"/>
      <c r="AP200" s="187"/>
      <c r="AQ200" s="187"/>
      <c r="AR200" s="136"/>
      <c r="AS200" s="187"/>
      <c r="AT200" s="187"/>
      <c r="AU200" s="187"/>
      <c r="AV200" s="187"/>
      <c r="AW200" s="187"/>
      <c r="AX200" s="136"/>
      <c r="AY200" s="187"/>
      <c r="AZ200" s="187"/>
      <c r="BA200" s="187"/>
      <c r="BB200" s="187"/>
      <c r="BC200" s="187"/>
      <c r="BD200" s="136"/>
      <c r="BE200" s="187"/>
      <c r="BF200" s="187"/>
      <c r="BG200" s="187"/>
      <c r="BH200" s="187"/>
      <c r="BI200" s="187"/>
      <c r="BJ200" s="136"/>
      <c r="BK200" s="187"/>
      <c r="BL200" s="187"/>
      <c r="BM200" s="187"/>
      <c r="BN200" s="187"/>
      <c r="BO200" s="187"/>
      <c r="BP200" s="136"/>
      <c r="BQ200" s="187"/>
      <c r="BR200" s="187"/>
      <c r="BS200" s="187"/>
      <c r="BT200" s="187"/>
      <c r="BU200" s="187"/>
      <c r="BV200" s="136"/>
      <c r="BW200" s="187"/>
      <c r="BX200" s="187"/>
      <c r="BY200" s="187"/>
      <c r="BZ200" s="187"/>
      <c r="CA200" s="187"/>
      <c r="CB200" s="136"/>
      <c r="CC200" s="187"/>
      <c r="CD200" s="187"/>
      <c r="CE200" s="187"/>
      <c r="CF200" s="187"/>
      <c r="CG200" s="187"/>
    </row>
    <row r="201" spans="2:85" ht="12" customHeight="1" x14ac:dyDescent="0.2">
      <c r="B201" s="11"/>
      <c r="C201" s="187"/>
      <c r="D201" s="187"/>
      <c r="E201" s="187"/>
      <c r="F201" s="187"/>
      <c r="G201" s="184"/>
      <c r="H201" s="183"/>
      <c r="I201" s="187"/>
      <c r="J201" s="187"/>
      <c r="K201" s="187"/>
      <c r="L201" s="187"/>
      <c r="M201" s="184"/>
      <c r="N201" s="183"/>
      <c r="O201" s="187"/>
      <c r="P201" s="187"/>
      <c r="Q201" s="187"/>
      <c r="R201" s="187"/>
      <c r="S201" s="184"/>
      <c r="T201" s="183"/>
      <c r="U201" s="187"/>
      <c r="V201" s="187"/>
      <c r="W201" s="187"/>
      <c r="X201" s="187"/>
      <c r="Y201" s="184"/>
      <c r="Z201" s="183"/>
      <c r="AA201" s="187"/>
      <c r="AB201" s="187"/>
      <c r="AC201" s="187"/>
      <c r="AD201" s="187"/>
      <c r="AE201" s="187"/>
      <c r="AF201" s="183"/>
      <c r="AG201" s="187"/>
      <c r="AH201" s="187"/>
      <c r="AI201" s="187"/>
      <c r="AJ201" s="187"/>
      <c r="AK201" s="187"/>
      <c r="AL201" s="136"/>
      <c r="AM201" s="187"/>
      <c r="AN201" s="187"/>
      <c r="AO201" s="187"/>
      <c r="AP201" s="187"/>
      <c r="AQ201" s="187"/>
      <c r="AR201" s="136"/>
      <c r="AS201" s="187"/>
      <c r="AT201" s="187"/>
      <c r="AU201" s="187"/>
      <c r="AV201" s="187"/>
      <c r="AW201" s="187"/>
      <c r="AX201" s="136"/>
      <c r="AY201" s="187"/>
      <c r="AZ201" s="187"/>
      <c r="BA201" s="187"/>
      <c r="BB201" s="187"/>
      <c r="BC201" s="187"/>
      <c r="BD201" s="136"/>
      <c r="BE201" s="187"/>
      <c r="BF201" s="187"/>
      <c r="BG201" s="187"/>
      <c r="BH201" s="187"/>
      <c r="BI201" s="187"/>
      <c r="BJ201" s="136"/>
      <c r="BK201" s="187"/>
      <c r="BL201" s="187"/>
      <c r="BM201" s="187"/>
      <c r="BN201" s="187"/>
      <c r="BO201" s="187"/>
      <c r="BP201" s="136"/>
      <c r="BQ201" s="187"/>
      <c r="BR201" s="187"/>
      <c r="BS201" s="187"/>
      <c r="BT201" s="187"/>
      <c r="BU201" s="187"/>
      <c r="BV201" s="136"/>
      <c r="BW201" s="187"/>
      <c r="BX201" s="187"/>
      <c r="BY201" s="187"/>
      <c r="BZ201" s="187"/>
      <c r="CA201" s="187"/>
      <c r="CB201" s="136"/>
      <c r="CC201" s="187"/>
      <c r="CD201" s="187"/>
      <c r="CE201" s="187"/>
      <c r="CF201" s="187"/>
      <c r="CG201" s="187"/>
    </row>
    <row r="202" spans="2:85" ht="12" customHeight="1" x14ac:dyDescent="0.2">
      <c r="B202" s="11" t="s">
        <v>311</v>
      </c>
      <c r="C202" s="187"/>
      <c r="D202" s="187"/>
      <c r="E202" s="187"/>
      <c r="F202" s="187"/>
      <c r="G202" s="184"/>
      <c r="H202" s="183"/>
      <c r="I202" s="187"/>
      <c r="J202" s="187"/>
      <c r="K202" s="187"/>
      <c r="L202" s="187"/>
      <c r="M202" s="184"/>
      <c r="N202" s="183"/>
      <c r="O202" s="187"/>
      <c r="P202" s="187"/>
      <c r="Q202" s="187"/>
      <c r="R202" s="187"/>
      <c r="S202" s="184"/>
      <c r="T202" s="183"/>
      <c r="U202" s="187"/>
      <c r="V202" s="187"/>
      <c r="W202" s="187"/>
      <c r="X202" s="187"/>
      <c r="Y202" s="184"/>
      <c r="Z202" s="183"/>
      <c r="AA202" s="187"/>
      <c r="AB202" s="187"/>
      <c r="AC202" s="187"/>
      <c r="AD202" s="187"/>
      <c r="AE202" s="187"/>
      <c r="AF202" s="183"/>
      <c r="AG202" s="187"/>
      <c r="AH202" s="187"/>
      <c r="AI202" s="187"/>
      <c r="AJ202" s="187"/>
      <c r="AK202" s="187"/>
      <c r="AL202" s="136"/>
      <c r="AM202" s="187"/>
      <c r="AN202" s="187"/>
      <c r="AO202" s="187"/>
      <c r="AP202" s="187"/>
      <c r="AQ202" s="187"/>
      <c r="AR202" s="136"/>
      <c r="AS202" s="187"/>
      <c r="AT202" s="187"/>
      <c r="AU202" s="187"/>
      <c r="AV202" s="187"/>
      <c r="AW202" s="187"/>
      <c r="AX202" s="136"/>
      <c r="AY202" s="187"/>
      <c r="AZ202" s="187"/>
      <c r="BA202" s="187"/>
      <c r="BB202" s="187"/>
      <c r="BC202" s="187"/>
      <c r="BD202" s="136"/>
      <c r="BE202" s="187"/>
      <c r="BF202" s="187"/>
      <c r="BG202" s="187"/>
      <c r="BH202" s="187"/>
      <c r="BI202" s="187"/>
      <c r="BJ202" s="136"/>
      <c r="BK202" s="187"/>
      <c r="BL202" s="187"/>
      <c r="BM202" s="187"/>
      <c r="BN202" s="187"/>
      <c r="BO202" s="187"/>
      <c r="BP202" s="136"/>
      <c r="BQ202" s="187"/>
      <c r="BR202" s="187"/>
      <c r="BS202" s="187"/>
      <c r="BT202" s="187"/>
      <c r="BU202" s="187"/>
      <c r="BV202" s="136"/>
      <c r="BW202" s="187"/>
      <c r="BX202" s="187"/>
      <c r="BY202" s="187"/>
      <c r="BZ202" s="187"/>
      <c r="CA202" s="187"/>
      <c r="CB202" s="136"/>
      <c r="CC202" s="187"/>
      <c r="CD202" s="187"/>
      <c r="CE202" s="187"/>
      <c r="CF202" s="187"/>
      <c r="CG202" s="187"/>
    </row>
    <row r="203" spans="2:85" ht="12" customHeight="1" x14ac:dyDescent="0.2">
      <c r="B203" s="350" t="s">
        <v>312</v>
      </c>
      <c r="C203" s="236"/>
      <c r="D203" s="236"/>
      <c r="E203" s="236"/>
      <c r="F203" s="236"/>
      <c r="G203" s="237"/>
      <c r="H203" s="349"/>
      <c r="I203" s="236"/>
      <c r="J203" s="236"/>
      <c r="K203" s="236"/>
      <c r="L203" s="236"/>
      <c r="M203" s="237">
        <f>AVERAGE(G119,M119)*M177</f>
        <v>0</v>
      </c>
      <c r="N203" s="349"/>
      <c r="O203" s="236"/>
      <c r="P203" s="236"/>
      <c r="Q203" s="236"/>
      <c r="R203" s="236"/>
      <c r="S203" s="237">
        <f>AVERAGE(M119,S119)*S177</f>
        <v>8.2247200000000006E-2</v>
      </c>
      <c r="T203" s="349"/>
      <c r="U203" s="236"/>
      <c r="V203" s="236"/>
      <c r="W203" s="236"/>
      <c r="X203" s="236"/>
      <c r="Y203" s="237">
        <f>AVERAGE(S119,Y119)*Y177</f>
        <v>7.1771500000000002E-2</v>
      </c>
      <c r="Z203" s="349"/>
      <c r="AA203" s="236"/>
      <c r="AB203" s="236"/>
      <c r="AC203" s="236"/>
      <c r="AD203" s="236"/>
      <c r="AE203" s="237">
        <f>AVERAGE(Y119,AE119)*AE177</f>
        <v>0.6716375</v>
      </c>
      <c r="AF203" s="349"/>
      <c r="AG203" s="236">
        <f>AVERAGE(AE119,AG119)*AG177*0.25</f>
        <v>1.53959125</v>
      </c>
      <c r="AH203" s="236">
        <f t="shared" ref="AH203:AJ207" si="320">AVERAGE(AG119,AH119)*AH177*0.25</f>
        <v>1.53959125</v>
      </c>
      <c r="AI203" s="236">
        <f t="shared" si="320"/>
        <v>1.53959125</v>
      </c>
      <c r="AJ203" s="236">
        <f t="shared" si="320"/>
        <v>1.53959125</v>
      </c>
      <c r="AK203" s="236">
        <f>SUM(AG203:AJ203)</f>
        <v>6.1583649999999999</v>
      </c>
      <c r="AL203" s="351"/>
      <c r="AM203" s="236">
        <f>AVERAGE(AK119,AM119)*AM177*0.25</f>
        <v>2.3428562500000001</v>
      </c>
      <c r="AN203" s="236">
        <f t="shared" ref="AN203:AP207" si="321">AVERAGE(AM119,AN119)*AN177*0.25</f>
        <v>2.3428562500000001</v>
      </c>
      <c r="AO203" s="236">
        <f t="shared" si="321"/>
        <v>2.3428562500000001</v>
      </c>
      <c r="AP203" s="236">
        <f t="shared" si="321"/>
        <v>2.3428562500000001</v>
      </c>
      <c r="AQ203" s="236">
        <f>SUM(AM203:AP203)</f>
        <v>9.3714250000000003</v>
      </c>
      <c r="AR203" s="351"/>
      <c r="AS203" s="236">
        <f>AVERAGE(AQ119,AS119)*AS177*0.25</f>
        <v>1.0082549999999999</v>
      </c>
      <c r="AT203" s="236">
        <f t="shared" ref="AT203:AV207" si="322">AVERAGE(AS119,AT119)*AT177*0.25</f>
        <v>0.85327124999999993</v>
      </c>
      <c r="AU203" s="236">
        <f t="shared" si="322"/>
        <v>0.23249999999999993</v>
      </c>
      <c r="AV203" s="236">
        <f t="shared" si="322"/>
        <v>3.7499999999999997E-5</v>
      </c>
      <c r="AW203" s="236">
        <f>SUM(AS203:AV203)</f>
        <v>2.0940637499999997</v>
      </c>
      <c r="AX203" s="351"/>
      <c r="AY203" s="236">
        <f>AVERAGE(AW119,AY119)*AY177*0.25</f>
        <v>7.4999999999999993E-5</v>
      </c>
      <c r="AZ203" s="236">
        <f t="shared" ref="AZ203:BB207" si="323">AVERAGE(AY119,AZ119)*AZ177*0.25</f>
        <v>7.4999999999999993E-5</v>
      </c>
      <c r="BA203" s="236">
        <f t="shared" si="323"/>
        <v>7.4999999999999993E-5</v>
      </c>
      <c r="BB203" s="236">
        <f t="shared" si="323"/>
        <v>1.5375E-3</v>
      </c>
      <c r="BC203" s="236">
        <f>SUM(AY203:BB203)</f>
        <v>1.7625E-3</v>
      </c>
      <c r="BD203" s="351"/>
      <c r="BE203" s="236">
        <f>AVERAGE(BC119,BE119)*BE177*0.25</f>
        <v>1.5E-3</v>
      </c>
      <c r="BF203" s="236">
        <f t="shared" ref="BF203:BH207" si="324">AVERAGE(BE119,BF119)*BF177*0.25</f>
        <v>0</v>
      </c>
      <c r="BG203" s="236">
        <f t="shared" si="324"/>
        <v>0</v>
      </c>
      <c r="BH203" s="236">
        <f t="shared" si="324"/>
        <v>0</v>
      </c>
      <c r="BI203" s="236">
        <f>SUM(BE203:BH203)</f>
        <v>1.5E-3</v>
      </c>
      <c r="BJ203" s="351"/>
      <c r="BK203" s="236">
        <f>AVERAGE(BI119,BK119)*BK177*0.25</f>
        <v>0</v>
      </c>
      <c r="BL203" s="236">
        <f t="shared" ref="BL203:BN207" si="325">AVERAGE(BK119,BL119)*BL177*0.25</f>
        <v>0</v>
      </c>
      <c r="BM203" s="236">
        <f t="shared" si="325"/>
        <v>0</v>
      </c>
      <c r="BN203" s="236">
        <f t="shared" si="325"/>
        <v>0</v>
      </c>
      <c r="BO203" s="236">
        <f>SUM(BK203:BN203)</f>
        <v>0</v>
      </c>
      <c r="BP203" s="351"/>
      <c r="BQ203" s="236">
        <f>AVERAGE(BO119,BQ119)*BQ177*0.25</f>
        <v>0</v>
      </c>
      <c r="BR203" s="236">
        <f t="shared" ref="BR203:BT207" si="326">AVERAGE(BQ119,BR119)*BR177*0.25</f>
        <v>0</v>
      </c>
      <c r="BS203" s="236">
        <f t="shared" si="326"/>
        <v>0</v>
      </c>
      <c r="BT203" s="236">
        <f t="shared" si="326"/>
        <v>0</v>
      </c>
      <c r="BU203" s="236">
        <f>SUM(BQ203:BT203)</f>
        <v>0</v>
      </c>
      <c r="BV203" s="351"/>
      <c r="BW203" s="236">
        <f>AVERAGE(BU119,BW119)*BW177*0.25</f>
        <v>0</v>
      </c>
      <c r="BX203" s="236">
        <f t="shared" ref="BX203:BZ207" si="327">AVERAGE(BW119,BX119)*BX177*0.25</f>
        <v>0</v>
      </c>
      <c r="BY203" s="236">
        <f t="shared" si="327"/>
        <v>0</v>
      </c>
      <c r="BZ203" s="236">
        <f t="shared" si="327"/>
        <v>0</v>
      </c>
      <c r="CA203" s="236">
        <f>SUM(BW203:BZ203)</f>
        <v>0</v>
      </c>
      <c r="CB203" s="351"/>
      <c r="CC203" s="236">
        <f>AVERAGE(CA119,CC119)*CC177*0.25</f>
        <v>0</v>
      </c>
      <c r="CD203" s="236">
        <f t="shared" ref="CD203:CF207" si="328">AVERAGE(CC119,CD119)*CD177*0.25</f>
        <v>0</v>
      </c>
      <c r="CE203" s="236">
        <f t="shared" si="328"/>
        <v>0</v>
      </c>
      <c r="CF203" s="236">
        <f t="shared" si="328"/>
        <v>0</v>
      </c>
      <c r="CG203" s="236">
        <f>SUM(CC203:CF203)</f>
        <v>0</v>
      </c>
    </row>
    <row r="204" spans="2:85" ht="12" customHeight="1" x14ac:dyDescent="0.2">
      <c r="B204" s="350" t="s">
        <v>313</v>
      </c>
      <c r="C204" s="236"/>
      <c r="D204" s="236"/>
      <c r="E204" s="236"/>
      <c r="F204" s="236"/>
      <c r="G204" s="237"/>
      <c r="H204" s="349"/>
      <c r="I204" s="236"/>
      <c r="J204" s="236"/>
      <c r="K204" s="236"/>
      <c r="L204" s="236"/>
      <c r="M204" s="237">
        <f>AVERAGE(G120,M120)*M178</f>
        <v>0</v>
      </c>
      <c r="N204" s="349"/>
      <c r="O204" s="236"/>
      <c r="P204" s="236"/>
      <c r="Q204" s="236"/>
      <c r="R204" s="236"/>
      <c r="S204" s="237">
        <f>AVERAGE(M120,S120)*S178</f>
        <v>0</v>
      </c>
      <c r="T204" s="349"/>
      <c r="U204" s="236"/>
      <c r="V204" s="236"/>
      <c r="W204" s="236"/>
      <c r="X204" s="236"/>
      <c r="Y204" s="237">
        <f>AVERAGE(S120,Y120)*Y178</f>
        <v>0</v>
      </c>
      <c r="Z204" s="349"/>
      <c r="AA204" s="236"/>
      <c r="AB204" s="236"/>
      <c r="AC204" s="236"/>
      <c r="AD204" s="236"/>
      <c r="AE204" s="237">
        <f>AVERAGE(Y120,AE120)*AE178</f>
        <v>0</v>
      </c>
      <c r="AF204" s="349"/>
      <c r="AG204" s="236">
        <f>AVERAGE(AE120,AG120)*AG178*0.25</f>
        <v>0</v>
      </c>
      <c r="AH204" s="236">
        <f t="shared" si="320"/>
        <v>0</v>
      </c>
      <c r="AI204" s="236">
        <f t="shared" si="320"/>
        <v>0</v>
      </c>
      <c r="AJ204" s="236">
        <f t="shared" si="320"/>
        <v>0</v>
      </c>
      <c r="AK204" s="236">
        <f>SUM(AG204:AJ204)</f>
        <v>0</v>
      </c>
      <c r="AL204" s="351"/>
      <c r="AM204" s="236">
        <f>AVERAGE(AK120,AM120)*AM178*0.25</f>
        <v>0</v>
      </c>
      <c r="AN204" s="236">
        <f t="shared" si="321"/>
        <v>0</v>
      </c>
      <c r="AO204" s="236">
        <f t="shared" si="321"/>
        <v>0</v>
      </c>
      <c r="AP204" s="236">
        <f t="shared" si="321"/>
        <v>0</v>
      </c>
      <c r="AQ204" s="236">
        <f>SUM(AM204:AP204)</f>
        <v>0</v>
      </c>
      <c r="AR204" s="351"/>
      <c r="AS204" s="236">
        <f>AVERAGE(AQ120,AS120)*AS178*0.25</f>
        <v>0</v>
      </c>
      <c r="AT204" s="236">
        <f t="shared" si="322"/>
        <v>0</v>
      </c>
      <c r="AU204" s="236">
        <f t="shared" si="322"/>
        <v>0</v>
      </c>
      <c r="AV204" s="236">
        <f t="shared" si="322"/>
        <v>0</v>
      </c>
      <c r="AW204" s="236">
        <f>SUM(AS204:AV204)</f>
        <v>0</v>
      </c>
      <c r="AX204" s="351"/>
      <c r="AY204" s="236">
        <f>AVERAGE(AW120,AY120)*AY178*0.25</f>
        <v>0</v>
      </c>
      <c r="AZ204" s="236">
        <f t="shared" si="323"/>
        <v>0</v>
      </c>
      <c r="BA204" s="236">
        <f t="shared" si="323"/>
        <v>0</v>
      </c>
      <c r="BB204" s="236">
        <f t="shared" si="323"/>
        <v>0</v>
      </c>
      <c r="BC204" s="236">
        <f>SUM(AY204:BB204)</f>
        <v>0</v>
      </c>
      <c r="BD204" s="351"/>
      <c r="BE204" s="236">
        <f>AVERAGE(BC120,BE120)*BE178*0.25</f>
        <v>0</v>
      </c>
      <c r="BF204" s="236">
        <f t="shared" si="324"/>
        <v>0</v>
      </c>
      <c r="BG204" s="236">
        <f t="shared" si="324"/>
        <v>0</v>
      </c>
      <c r="BH204" s="236">
        <f t="shared" si="324"/>
        <v>0</v>
      </c>
      <c r="BI204" s="236">
        <f>SUM(BE204:BH204)</f>
        <v>0</v>
      </c>
      <c r="BJ204" s="351"/>
      <c r="BK204" s="236">
        <f>AVERAGE(BI120,BK120)*BK178*0.25</f>
        <v>0</v>
      </c>
      <c r="BL204" s="236">
        <f t="shared" si="325"/>
        <v>0</v>
      </c>
      <c r="BM204" s="236">
        <f t="shared" si="325"/>
        <v>0</v>
      </c>
      <c r="BN204" s="236">
        <f t="shared" si="325"/>
        <v>0</v>
      </c>
      <c r="BO204" s="236">
        <f>SUM(BK204:BN204)</f>
        <v>0</v>
      </c>
      <c r="BP204" s="351"/>
      <c r="BQ204" s="236">
        <f>AVERAGE(BO120,BQ120)*BQ178*0.25</f>
        <v>0</v>
      </c>
      <c r="BR204" s="236">
        <f t="shared" si="326"/>
        <v>0</v>
      </c>
      <c r="BS204" s="236">
        <f t="shared" si="326"/>
        <v>0</v>
      </c>
      <c r="BT204" s="236">
        <f t="shared" si="326"/>
        <v>0</v>
      </c>
      <c r="BU204" s="236">
        <f>SUM(BQ204:BT204)</f>
        <v>0</v>
      </c>
      <c r="BV204" s="351"/>
      <c r="BW204" s="236">
        <f>AVERAGE(BU120,BW120)*BW178*0.25</f>
        <v>0</v>
      </c>
      <c r="BX204" s="236">
        <f t="shared" si="327"/>
        <v>0</v>
      </c>
      <c r="BY204" s="236">
        <f t="shared" si="327"/>
        <v>0</v>
      </c>
      <c r="BZ204" s="236">
        <f t="shared" si="327"/>
        <v>0</v>
      </c>
      <c r="CA204" s="236">
        <f>SUM(BW204:BZ204)</f>
        <v>0</v>
      </c>
      <c r="CB204" s="351"/>
      <c r="CC204" s="236">
        <f>AVERAGE(CA120,CC120)*CC178*0.25</f>
        <v>0</v>
      </c>
      <c r="CD204" s="236">
        <f t="shared" si="328"/>
        <v>0</v>
      </c>
      <c r="CE204" s="236">
        <f t="shared" si="328"/>
        <v>0</v>
      </c>
      <c r="CF204" s="236">
        <f t="shared" si="328"/>
        <v>0</v>
      </c>
      <c r="CG204" s="236">
        <f>SUM(CC204:CF204)</f>
        <v>0</v>
      </c>
    </row>
    <row r="205" spans="2:85" ht="12" customHeight="1" x14ac:dyDescent="0.2">
      <c r="B205" s="350" t="s">
        <v>316</v>
      </c>
      <c r="C205" s="236"/>
      <c r="D205" s="236"/>
      <c r="E205" s="236"/>
      <c r="F205" s="236"/>
      <c r="G205" s="237"/>
      <c r="H205" s="349"/>
      <c r="I205" s="236"/>
      <c r="J205" s="236"/>
      <c r="K205" s="236"/>
      <c r="L205" s="236"/>
      <c r="M205" s="237">
        <f>AVERAGE(G121,M121)*M179</f>
        <v>0.44411220000000001</v>
      </c>
      <c r="N205" s="349"/>
      <c r="O205" s="236"/>
      <c r="P205" s="236"/>
      <c r="Q205" s="236"/>
      <c r="R205" s="236"/>
      <c r="S205" s="237">
        <f>AVERAGE(M121,S121)*S179</f>
        <v>0.37822234999999998</v>
      </c>
      <c r="T205" s="349"/>
      <c r="U205" s="236"/>
      <c r="V205" s="236"/>
      <c r="W205" s="236"/>
      <c r="X205" s="236"/>
      <c r="Y205" s="237">
        <f>AVERAGE(S121,Y121)*Y179</f>
        <v>0.1739</v>
      </c>
      <c r="Z205" s="349"/>
      <c r="AA205" s="236"/>
      <c r="AB205" s="236"/>
      <c r="AC205" s="236"/>
      <c r="AD205" s="236"/>
      <c r="AE205" s="237">
        <f>AVERAGE(Y121,AE121)*AE179</f>
        <v>0.1098735</v>
      </c>
      <c r="AF205" s="349"/>
      <c r="AG205" s="236">
        <f>AVERAGE(AE121,AG121)*AG179*0.25</f>
        <v>6.712199999999989E-2</v>
      </c>
      <c r="AH205" s="236">
        <f t="shared" si="320"/>
        <v>0.11388299999999979</v>
      </c>
      <c r="AI205" s="236">
        <f t="shared" si="320"/>
        <v>0.11388299999999979</v>
      </c>
      <c r="AJ205" s="236">
        <f t="shared" si="320"/>
        <v>0.11388299999999979</v>
      </c>
      <c r="AK205" s="236">
        <f>SUM(AG205:AJ205)</f>
        <v>0.40877099999999927</v>
      </c>
      <c r="AL205" s="351"/>
      <c r="AM205" s="236">
        <f>AVERAGE(AK121,AM121)*AM179*0.25</f>
        <v>0.22725862499999985</v>
      </c>
      <c r="AN205" s="236">
        <f t="shared" si="321"/>
        <v>0.75984562499999997</v>
      </c>
      <c r="AO205" s="236">
        <f t="shared" si="321"/>
        <v>0.57632437499999989</v>
      </c>
      <c r="AP205" s="236">
        <f t="shared" si="321"/>
        <v>0.13957762499999996</v>
      </c>
      <c r="AQ205" s="236">
        <f>SUM(AM205:AP205)</f>
        <v>1.7030062499999998</v>
      </c>
      <c r="AR205" s="351"/>
      <c r="AS205" s="236">
        <f>AVERAGE(AQ121,AS121)*AS179*0.25</f>
        <v>2.9807249999999997E-2</v>
      </c>
      <c r="AT205" s="236">
        <f t="shared" si="322"/>
        <v>4.9194749999999995E-2</v>
      </c>
      <c r="AU205" s="236">
        <f t="shared" si="322"/>
        <v>4.341975E-2</v>
      </c>
      <c r="AV205" s="236">
        <f t="shared" si="322"/>
        <v>2.8771874999999999E-2</v>
      </c>
      <c r="AW205" s="236">
        <f>SUM(AS205:AV205)</f>
        <v>0.151193625</v>
      </c>
      <c r="AX205" s="351"/>
      <c r="AY205" s="236">
        <f>AVERAGE(AW121,AY121)*AY179*0.25</f>
        <v>1.4124000000000001E-2</v>
      </c>
      <c r="AZ205" s="236">
        <f t="shared" si="323"/>
        <v>1.4124000000000001E-2</v>
      </c>
      <c r="BA205" s="236">
        <f t="shared" si="323"/>
        <v>1.4124000000000001E-2</v>
      </c>
      <c r="BB205" s="236">
        <f t="shared" si="323"/>
        <v>7.0620000000000006E-3</v>
      </c>
      <c r="BC205" s="236">
        <f>SUM(AY205:BB205)</f>
        <v>4.9434000000000006E-2</v>
      </c>
      <c r="BD205" s="351"/>
      <c r="BE205" s="236">
        <f>AVERAGE(BC121,BE121)*BE179*0.25</f>
        <v>0</v>
      </c>
      <c r="BF205" s="236">
        <f t="shared" si="324"/>
        <v>0</v>
      </c>
      <c r="BG205" s="236">
        <f t="shared" si="324"/>
        <v>0</v>
      </c>
      <c r="BH205" s="236">
        <f t="shared" si="324"/>
        <v>0</v>
      </c>
      <c r="BI205" s="236">
        <f>SUM(BE205:BH205)</f>
        <v>0</v>
      </c>
      <c r="BJ205" s="351"/>
      <c r="BK205" s="236">
        <f>AVERAGE(BI121,BK121)*BK179*0.25</f>
        <v>0</v>
      </c>
      <c r="BL205" s="236">
        <f t="shared" si="325"/>
        <v>0</v>
      </c>
      <c r="BM205" s="236">
        <f t="shared" si="325"/>
        <v>0</v>
      </c>
      <c r="BN205" s="236">
        <f t="shared" si="325"/>
        <v>0</v>
      </c>
      <c r="BO205" s="236">
        <f>SUM(BK205:BN205)</f>
        <v>0</v>
      </c>
      <c r="BP205" s="351"/>
      <c r="BQ205" s="236">
        <f>AVERAGE(BO121,BQ121)*BQ179*0.25</f>
        <v>0</v>
      </c>
      <c r="BR205" s="236">
        <f t="shared" si="326"/>
        <v>0</v>
      </c>
      <c r="BS205" s="236">
        <f t="shared" si="326"/>
        <v>0</v>
      </c>
      <c r="BT205" s="236">
        <f t="shared" si="326"/>
        <v>0</v>
      </c>
      <c r="BU205" s="236">
        <f>SUM(BQ205:BT205)</f>
        <v>0</v>
      </c>
      <c r="BV205" s="351"/>
      <c r="BW205" s="236">
        <f>AVERAGE(BU121,BW121)*BW179*0.25</f>
        <v>0</v>
      </c>
      <c r="BX205" s="236">
        <f t="shared" si="327"/>
        <v>0</v>
      </c>
      <c r="BY205" s="236">
        <f t="shared" si="327"/>
        <v>0</v>
      </c>
      <c r="BZ205" s="236">
        <f t="shared" si="327"/>
        <v>0</v>
      </c>
      <c r="CA205" s="236">
        <f>SUM(BW205:BZ205)</f>
        <v>0</v>
      </c>
      <c r="CB205" s="351"/>
      <c r="CC205" s="236">
        <f>AVERAGE(CA121,CC121)*CC179*0.25</f>
        <v>0</v>
      </c>
      <c r="CD205" s="236">
        <f t="shared" si="328"/>
        <v>0</v>
      </c>
      <c r="CE205" s="236">
        <f t="shared" si="328"/>
        <v>0</v>
      </c>
      <c r="CF205" s="236">
        <f t="shared" si="328"/>
        <v>0</v>
      </c>
      <c r="CG205" s="236">
        <f>SUM(CC205:CF205)</f>
        <v>0</v>
      </c>
    </row>
    <row r="206" spans="2:85" ht="12" customHeight="1" x14ac:dyDescent="0.2">
      <c r="B206" s="352" t="s">
        <v>329</v>
      </c>
      <c r="C206" s="236"/>
      <c r="D206" s="236"/>
      <c r="E206" s="236"/>
      <c r="F206" s="236"/>
      <c r="G206" s="237"/>
      <c r="H206" s="349"/>
      <c r="I206" s="236"/>
      <c r="J206" s="236"/>
      <c r="K206" s="236"/>
      <c r="L206" s="236"/>
      <c r="M206" s="237">
        <f>AVERAGE(G122,M122)*M180</f>
        <v>2.8677000000000004E-3</v>
      </c>
      <c r="N206" s="349"/>
      <c r="O206" s="236"/>
      <c r="P206" s="236"/>
      <c r="Q206" s="236"/>
      <c r="R206" s="236"/>
      <c r="S206" s="237">
        <f>AVERAGE(M122,S122)*S180</f>
        <v>2.8677000000000004E-3</v>
      </c>
      <c r="T206" s="349"/>
      <c r="U206" s="236"/>
      <c r="V206" s="236"/>
      <c r="W206" s="236"/>
      <c r="X206" s="236"/>
      <c r="Y206" s="237">
        <f>AVERAGE(S122,Y122)*Y180</f>
        <v>0</v>
      </c>
      <c r="Z206" s="349"/>
      <c r="AA206" s="236"/>
      <c r="AB206" s="236"/>
      <c r="AC206" s="236"/>
      <c r="AD206" s="236"/>
      <c r="AE206" s="237">
        <f>AVERAGE(Y122,AE122)*AE180</f>
        <v>0</v>
      </c>
      <c r="AF206" s="349"/>
      <c r="AG206" s="236">
        <f>AVERAGE(AE122,AG122)*AG180*0.25</f>
        <v>0</v>
      </c>
      <c r="AH206" s="236">
        <f t="shared" si="320"/>
        <v>0</v>
      </c>
      <c r="AI206" s="236">
        <f t="shared" si="320"/>
        <v>0</v>
      </c>
      <c r="AJ206" s="236">
        <f t="shared" si="320"/>
        <v>0</v>
      </c>
      <c r="AK206" s="236">
        <f>SUM(AG206:AJ206)</f>
        <v>0</v>
      </c>
      <c r="AL206" s="351"/>
      <c r="AM206" s="236">
        <f>AVERAGE(AK122,AM122)*AM180*0.25</f>
        <v>0</v>
      </c>
      <c r="AN206" s="236">
        <f t="shared" si="321"/>
        <v>0</v>
      </c>
      <c r="AO206" s="236">
        <f t="shared" si="321"/>
        <v>0</v>
      </c>
      <c r="AP206" s="236">
        <f t="shared" si="321"/>
        <v>0</v>
      </c>
      <c r="AQ206" s="236">
        <f>SUM(AM206:AP206)</f>
        <v>0</v>
      </c>
      <c r="AR206" s="351"/>
      <c r="AS206" s="236">
        <f>AVERAGE(AQ122,AS122)*AS180*0.25</f>
        <v>0</v>
      </c>
      <c r="AT206" s="236">
        <f t="shared" si="322"/>
        <v>0</v>
      </c>
      <c r="AU206" s="236">
        <f t="shared" si="322"/>
        <v>0</v>
      </c>
      <c r="AV206" s="236">
        <f t="shared" si="322"/>
        <v>0</v>
      </c>
      <c r="AW206" s="236">
        <f>SUM(AS206:AV206)</f>
        <v>0</v>
      </c>
      <c r="AX206" s="351"/>
      <c r="AY206" s="236">
        <f>AVERAGE(AW122,AY122)*AY180*0.25</f>
        <v>0</v>
      </c>
      <c r="AZ206" s="236">
        <f t="shared" si="323"/>
        <v>0</v>
      </c>
      <c r="BA206" s="236">
        <f t="shared" si="323"/>
        <v>0</v>
      </c>
      <c r="BB206" s="236">
        <f t="shared" si="323"/>
        <v>0</v>
      </c>
      <c r="BC206" s="236">
        <f>SUM(AY206:BB206)</f>
        <v>0</v>
      </c>
      <c r="BD206" s="351"/>
      <c r="BE206" s="236">
        <f>AVERAGE(BC122,BE122)*BE180*0.25</f>
        <v>0</v>
      </c>
      <c r="BF206" s="236">
        <f t="shared" si="324"/>
        <v>0</v>
      </c>
      <c r="BG206" s="236">
        <f t="shared" si="324"/>
        <v>0</v>
      </c>
      <c r="BH206" s="236">
        <f t="shared" si="324"/>
        <v>0</v>
      </c>
      <c r="BI206" s="236">
        <f>SUM(BE206:BH206)</f>
        <v>0</v>
      </c>
      <c r="BJ206" s="351"/>
      <c r="BK206" s="236">
        <f>AVERAGE(BI122,BK122)*BK180*0.25</f>
        <v>0</v>
      </c>
      <c r="BL206" s="236">
        <f t="shared" si="325"/>
        <v>0</v>
      </c>
      <c r="BM206" s="236">
        <f t="shared" si="325"/>
        <v>0</v>
      </c>
      <c r="BN206" s="236">
        <f t="shared" si="325"/>
        <v>0</v>
      </c>
      <c r="BO206" s="236">
        <f>SUM(BK206:BN206)</f>
        <v>0</v>
      </c>
      <c r="BP206" s="351"/>
      <c r="BQ206" s="236">
        <f>AVERAGE(BO122,BQ122)*BQ180*0.25</f>
        <v>0</v>
      </c>
      <c r="BR206" s="236">
        <f t="shared" si="326"/>
        <v>0</v>
      </c>
      <c r="BS206" s="236">
        <f t="shared" si="326"/>
        <v>0</v>
      </c>
      <c r="BT206" s="236">
        <f t="shared" si="326"/>
        <v>0</v>
      </c>
      <c r="BU206" s="236">
        <f>SUM(BQ206:BT206)</f>
        <v>0</v>
      </c>
      <c r="BV206" s="351"/>
      <c r="BW206" s="236">
        <f>AVERAGE(BU122,BW122)*BW180*0.25</f>
        <v>0</v>
      </c>
      <c r="BX206" s="236">
        <f t="shared" si="327"/>
        <v>0</v>
      </c>
      <c r="BY206" s="236">
        <f t="shared" si="327"/>
        <v>0</v>
      </c>
      <c r="BZ206" s="236">
        <f t="shared" si="327"/>
        <v>0</v>
      </c>
      <c r="CA206" s="236">
        <f>SUM(BW206:BZ206)</f>
        <v>0</v>
      </c>
      <c r="CB206" s="351"/>
      <c r="CC206" s="236">
        <f>AVERAGE(CA122,CC122)*CC180*0.25</f>
        <v>0</v>
      </c>
      <c r="CD206" s="236">
        <f t="shared" si="328"/>
        <v>0</v>
      </c>
      <c r="CE206" s="236">
        <f t="shared" si="328"/>
        <v>0</v>
      </c>
      <c r="CF206" s="236">
        <f t="shared" si="328"/>
        <v>0</v>
      </c>
      <c r="CG206" s="236">
        <f>SUM(CC206:CF206)</f>
        <v>0</v>
      </c>
    </row>
    <row r="207" spans="2:85" ht="12" customHeight="1" x14ac:dyDescent="0.2">
      <c r="B207" s="350" t="s">
        <v>314</v>
      </c>
      <c r="C207" s="236"/>
      <c r="D207" s="236"/>
      <c r="E207" s="236"/>
      <c r="F207" s="236"/>
      <c r="G207" s="237"/>
      <c r="H207" s="349"/>
      <c r="I207" s="236"/>
      <c r="J207" s="236"/>
      <c r="K207" s="236"/>
      <c r="L207" s="236"/>
      <c r="M207" s="237">
        <f>AVERAGE(G123,M123)*M181</f>
        <v>0.14892564999999999</v>
      </c>
      <c r="N207" s="349"/>
      <c r="O207" s="236"/>
      <c r="P207" s="236"/>
      <c r="Q207" s="236"/>
      <c r="R207" s="236"/>
      <c r="S207" s="237">
        <f>AVERAGE(M123,S123)*S181</f>
        <v>0.11549800000000002</v>
      </c>
      <c r="T207" s="349"/>
      <c r="U207" s="236"/>
      <c r="V207" s="236"/>
      <c r="W207" s="236"/>
      <c r="X207" s="236"/>
      <c r="Y207" s="237">
        <f>AVERAGE(S123,Y123)*Y181</f>
        <v>2.5651300000000002E-2</v>
      </c>
      <c r="Z207" s="349"/>
      <c r="AA207" s="236"/>
      <c r="AB207" s="236"/>
      <c r="AC207" s="236"/>
      <c r="AD207" s="236"/>
      <c r="AE207" s="237">
        <f>AVERAGE(Y123,AE123)*AE181</f>
        <v>0.34538000000000002</v>
      </c>
      <c r="AF207" s="349"/>
      <c r="AG207" s="236">
        <f>AVERAGE(AE123,AG123)*AG181*0.25</f>
        <v>0.17269000000000001</v>
      </c>
      <c r="AH207" s="236">
        <f t="shared" si="320"/>
        <v>0.17269000000000001</v>
      </c>
      <c r="AI207" s="236">
        <f t="shared" si="320"/>
        <v>0.17269000000000001</v>
      </c>
      <c r="AJ207" s="236">
        <f t="shared" si="320"/>
        <v>0.17269000000000001</v>
      </c>
      <c r="AK207" s="236">
        <f>SUM(AG207:AJ207)</f>
        <v>0.69076000000000004</v>
      </c>
      <c r="AL207" s="351"/>
      <c r="AM207" s="236">
        <f>AVERAGE(AK123,AM123)*AM181*0.25</f>
        <v>0.17269000000000001</v>
      </c>
      <c r="AN207" s="236">
        <f t="shared" si="321"/>
        <v>0.17269000000000001</v>
      </c>
      <c r="AO207" s="236">
        <f t="shared" si="321"/>
        <v>0.17269000000000001</v>
      </c>
      <c r="AP207" s="236">
        <f t="shared" si="321"/>
        <v>0.17269000000000001</v>
      </c>
      <c r="AQ207" s="236">
        <f>SUM(AM207:AP207)</f>
        <v>0.69076000000000004</v>
      </c>
      <c r="AR207" s="351"/>
      <c r="AS207" s="236">
        <f>AVERAGE(AQ123,AS123)*AS181*0.25</f>
        <v>4.5990000000000003E-2</v>
      </c>
      <c r="AT207" s="236">
        <f t="shared" si="322"/>
        <v>4.5990000000000003E-2</v>
      </c>
      <c r="AU207" s="236">
        <f t="shared" si="322"/>
        <v>4.4292500000000005E-2</v>
      </c>
      <c r="AV207" s="236">
        <f t="shared" si="322"/>
        <v>4.3680000000000004E-2</v>
      </c>
      <c r="AW207" s="236">
        <f>SUM(AS207:AV207)</f>
        <v>0.17995250000000002</v>
      </c>
      <c r="AX207" s="351"/>
      <c r="AY207" s="236">
        <f>AVERAGE(AW123,AY123)*AY181*0.25</f>
        <v>4.4764999999999999E-2</v>
      </c>
      <c r="AZ207" s="236">
        <f t="shared" si="323"/>
        <v>4.4764999999999999E-2</v>
      </c>
      <c r="BA207" s="236">
        <f t="shared" si="323"/>
        <v>4.4764999999999999E-2</v>
      </c>
      <c r="BB207" s="236">
        <f t="shared" si="323"/>
        <v>6.6132500000000011E-2</v>
      </c>
      <c r="BC207" s="236">
        <f>SUM(AY207:BB207)</f>
        <v>0.20042750000000001</v>
      </c>
      <c r="BD207" s="351"/>
      <c r="BE207" s="236">
        <f>AVERAGE(BC123,BE123)*BE181*0.25</f>
        <v>8.0500000000000002E-2</v>
      </c>
      <c r="BF207" s="236">
        <f t="shared" si="324"/>
        <v>7.350000000000001E-2</v>
      </c>
      <c r="BG207" s="236">
        <f t="shared" si="324"/>
        <v>7.350000000000001E-2</v>
      </c>
      <c r="BH207" s="236">
        <f t="shared" si="324"/>
        <v>7.350000000000001E-2</v>
      </c>
      <c r="BI207" s="236">
        <f>SUM(BE207:BH207)</f>
        <v>0.30100000000000005</v>
      </c>
      <c r="BJ207" s="351"/>
      <c r="BK207" s="236">
        <f>AVERAGE(BI123,BK123)*BK181*0.25</f>
        <v>7.350000000000001E-2</v>
      </c>
      <c r="BL207" s="236">
        <f t="shared" si="325"/>
        <v>7.350000000000001E-2</v>
      </c>
      <c r="BM207" s="236">
        <f t="shared" si="325"/>
        <v>7.350000000000001E-2</v>
      </c>
      <c r="BN207" s="236">
        <f t="shared" si="325"/>
        <v>7.350000000000001E-2</v>
      </c>
      <c r="BO207" s="236">
        <f>SUM(BK207:BN207)</f>
        <v>0.29400000000000004</v>
      </c>
      <c r="BP207" s="351"/>
      <c r="BQ207" s="236">
        <f>AVERAGE(BO123,BQ123)*BQ181*0.25</f>
        <v>7.350000000000001E-2</v>
      </c>
      <c r="BR207" s="236">
        <f t="shared" si="326"/>
        <v>7.350000000000001E-2</v>
      </c>
      <c r="BS207" s="236">
        <f t="shared" si="326"/>
        <v>7.350000000000001E-2</v>
      </c>
      <c r="BT207" s="236">
        <f t="shared" si="326"/>
        <v>7.350000000000001E-2</v>
      </c>
      <c r="BU207" s="236">
        <f>SUM(BQ207:BT207)</f>
        <v>0.29400000000000004</v>
      </c>
      <c r="BV207" s="351"/>
      <c r="BW207" s="236">
        <f>AVERAGE(BU123,BW123)*BW181*0.25</f>
        <v>7.350000000000001E-2</v>
      </c>
      <c r="BX207" s="236">
        <f t="shared" si="327"/>
        <v>7.350000000000001E-2</v>
      </c>
      <c r="BY207" s="236">
        <f t="shared" si="327"/>
        <v>7.350000000000001E-2</v>
      </c>
      <c r="BZ207" s="236">
        <f t="shared" si="327"/>
        <v>7.350000000000001E-2</v>
      </c>
      <c r="CA207" s="236">
        <f>SUM(BW207:BZ207)</f>
        <v>0.29400000000000004</v>
      </c>
      <c r="CB207" s="351"/>
      <c r="CC207" s="236">
        <f>AVERAGE(CA123,CC123)*CC181*0.25</f>
        <v>7.350000000000001E-2</v>
      </c>
      <c r="CD207" s="236">
        <f t="shared" si="328"/>
        <v>7.350000000000001E-2</v>
      </c>
      <c r="CE207" s="236">
        <f t="shared" si="328"/>
        <v>7.350000000000001E-2</v>
      </c>
      <c r="CF207" s="236">
        <f t="shared" si="328"/>
        <v>7.350000000000001E-2</v>
      </c>
      <c r="CG207" s="236">
        <f>SUM(CC207:CF207)</f>
        <v>0.29400000000000004</v>
      </c>
    </row>
    <row r="208" spans="2:85" ht="12" customHeight="1" x14ac:dyDescent="0.2">
      <c r="B208" s="353" t="s">
        <v>325</v>
      </c>
      <c r="C208" s="241"/>
      <c r="D208" s="241"/>
      <c r="E208" s="241"/>
      <c r="F208" s="241"/>
      <c r="G208" s="246"/>
      <c r="H208" s="354"/>
      <c r="I208" s="241"/>
      <c r="J208" s="241"/>
      <c r="K208" s="241"/>
      <c r="L208" s="241"/>
      <c r="M208" s="246">
        <f>SUM(M203:M207)</f>
        <v>0.59590555000000001</v>
      </c>
      <c r="N208" s="354"/>
      <c r="O208" s="241"/>
      <c r="P208" s="241"/>
      <c r="Q208" s="241"/>
      <c r="R208" s="241"/>
      <c r="S208" s="246">
        <f>SUM(S203:S207)</f>
        <v>0.57883525000000002</v>
      </c>
      <c r="T208" s="354"/>
      <c r="U208" s="241"/>
      <c r="V208" s="241"/>
      <c r="W208" s="241"/>
      <c r="X208" s="241"/>
      <c r="Y208" s="246">
        <f>SUM(Y203:Y207)</f>
        <v>0.27132279999999998</v>
      </c>
      <c r="Z208" s="354"/>
      <c r="AA208" s="241"/>
      <c r="AB208" s="241"/>
      <c r="AC208" s="241"/>
      <c r="AD208" s="241"/>
      <c r="AE208" s="241">
        <f>SUM(AE203:AE207)</f>
        <v>1.1268910000000001</v>
      </c>
      <c r="AF208" s="354"/>
      <c r="AG208" s="241">
        <f>SUM(AG203:AG207)</f>
        <v>1.7794032499999999</v>
      </c>
      <c r="AH208" s="241">
        <f>SUM(AH203:AH207)</f>
        <v>1.8261642499999997</v>
      </c>
      <c r="AI208" s="241">
        <f>SUM(AI203:AI207)</f>
        <v>1.8261642499999997</v>
      </c>
      <c r="AJ208" s="241">
        <f>SUM(AJ203:AJ207)</f>
        <v>1.8261642499999997</v>
      </c>
      <c r="AK208" s="241">
        <f>SUM(AK203:AK207)</f>
        <v>7.2578959999999988</v>
      </c>
      <c r="AL208" s="355"/>
      <c r="AM208" s="241">
        <f>SUM(AM203:AM207)</f>
        <v>2.742804875</v>
      </c>
      <c r="AN208" s="241">
        <f>SUM(AN203:AN207)</f>
        <v>3.2753918750000004</v>
      </c>
      <c r="AO208" s="241">
        <f>SUM(AO203:AO207)</f>
        <v>3.0918706250000003</v>
      </c>
      <c r="AP208" s="241">
        <f>SUM(AP203:AP207)</f>
        <v>2.6551238750000001</v>
      </c>
      <c r="AQ208" s="241">
        <f>SUM(AQ203:AQ207)</f>
        <v>11.765191250000001</v>
      </c>
      <c r="AR208" s="355"/>
      <c r="AS208" s="241">
        <f>SUM(AS203:AS207)</f>
        <v>1.0840522499999998</v>
      </c>
      <c r="AT208" s="241">
        <f>SUM(AT203:AT207)</f>
        <v>0.94845599999999985</v>
      </c>
      <c r="AU208" s="241">
        <f>SUM(AU203:AU207)</f>
        <v>0.32021224999999992</v>
      </c>
      <c r="AV208" s="241">
        <f>SUM(AV203:AV207)</f>
        <v>7.2489374999999995E-2</v>
      </c>
      <c r="AW208" s="241">
        <f>SUM(AW203:AW207)</f>
        <v>2.4252098749999997</v>
      </c>
      <c r="AX208" s="355"/>
      <c r="AY208" s="241">
        <f>SUM(AY203:AY207)</f>
        <v>5.8964000000000003E-2</v>
      </c>
      <c r="AZ208" s="241">
        <f>SUM(AZ203:AZ207)</f>
        <v>5.8964000000000003E-2</v>
      </c>
      <c r="BA208" s="241">
        <f>SUM(BA203:BA207)</f>
        <v>5.8964000000000003E-2</v>
      </c>
      <c r="BB208" s="241">
        <f>SUM(BB203:BB207)</f>
        <v>7.4732000000000007E-2</v>
      </c>
      <c r="BC208" s="241">
        <f>SUM(BC203:BC207)</f>
        <v>0.25162400000000001</v>
      </c>
      <c r="BD208" s="355"/>
      <c r="BE208" s="241">
        <f>SUM(BE203:BE207)</f>
        <v>8.2000000000000003E-2</v>
      </c>
      <c r="BF208" s="241">
        <f>SUM(BF203:BF207)</f>
        <v>7.350000000000001E-2</v>
      </c>
      <c r="BG208" s="241">
        <f>SUM(BG203:BG207)</f>
        <v>7.350000000000001E-2</v>
      </c>
      <c r="BH208" s="241">
        <f>SUM(BH203:BH207)</f>
        <v>7.350000000000001E-2</v>
      </c>
      <c r="BI208" s="241">
        <f>SUM(BI203:BI207)</f>
        <v>0.30250000000000005</v>
      </c>
      <c r="BJ208" s="355"/>
      <c r="BK208" s="241">
        <f>SUM(BK203:BK207)</f>
        <v>7.350000000000001E-2</v>
      </c>
      <c r="BL208" s="241">
        <f>SUM(BL203:BL207)</f>
        <v>7.350000000000001E-2</v>
      </c>
      <c r="BM208" s="241">
        <f>SUM(BM203:BM207)</f>
        <v>7.350000000000001E-2</v>
      </c>
      <c r="BN208" s="241">
        <f>SUM(BN203:BN207)</f>
        <v>7.350000000000001E-2</v>
      </c>
      <c r="BO208" s="241">
        <f>SUM(BO203:BO207)</f>
        <v>0.29400000000000004</v>
      </c>
      <c r="BP208" s="355"/>
      <c r="BQ208" s="241">
        <f>SUM(BQ203:BQ207)</f>
        <v>7.350000000000001E-2</v>
      </c>
      <c r="BR208" s="241">
        <f>SUM(BR203:BR207)</f>
        <v>7.350000000000001E-2</v>
      </c>
      <c r="BS208" s="241">
        <f>SUM(BS203:BS207)</f>
        <v>7.350000000000001E-2</v>
      </c>
      <c r="BT208" s="241">
        <f>SUM(BT203:BT207)</f>
        <v>7.350000000000001E-2</v>
      </c>
      <c r="BU208" s="241">
        <f>SUM(BU203:BU207)</f>
        <v>0.29400000000000004</v>
      </c>
      <c r="BV208" s="355"/>
      <c r="BW208" s="241">
        <f>SUM(BW203:BW207)</f>
        <v>7.350000000000001E-2</v>
      </c>
      <c r="BX208" s="241">
        <f>SUM(BX203:BX207)</f>
        <v>7.350000000000001E-2</v>
      </c>
      <c r="BY208" s="241">
        <f>SUM(BY203:BY207)</f>
        <v>7.350000000000001E-2</v>
      </c>
      <c r="BZ208" s="241">
        <f>SUM(BZ203:BZ207)</f>
        <v>7.350000000000001E-2</v>
      </c>
      <c r="CA208" s="241">
        <f>SUM(CA203:CA207)</f>
        <v>0.29400000000000004</v>
      </c>
      <c r="CB208" s="355"/>
      <c r="CC208" s="241">
        <f>SUM(CC203:CC207)</f>
        <v>7.350000000000001E-2</v>
      </c>
      <c r="CD208" s="241">
        <f>SUM(CD203:CD207)</f>
        <v>7.350000000000001E-2</v>
      </c>
      <c r="CE208" s="241">
        <f>SUM(CE203:CE207)</f>
        <v>7.350000000000001E-2</v>
      </c>
      <c r="CF208" s="241">
        <f>SUM(CF203:CF207)</f>
        <v>7.350000000000001E-2</v>
      </c>
      <c r="CG208" s="241">
        <f>SUM(CG203:CG207)</f>
        <v>0.29400000000000004</v>
      </c>
    </row>
    <row r="209" spans="2:85" ht="12" customHeight="1" x14ac:dyDescent="0.2">
      <c r="B209" s="356"/>
      <c r="C209" s="236"/>
      <c r="D209" s="236"/>
      <c r="E209" s="236"/>
      <c r="F209" s="236"/>
      <c r="G209" s="237"/>
      <c r="H209" s="349"/>
      <c r="I209" s="236"/>
      <c r="J209" s="236"/>
      <c r="K209" s="236"/>
      <c r="L209" s="236"/>
      <c r="M209" s="237"/>
      <c r="N209" s="349"/>
      <c r="O209" s="236"/>
      <c r="P209" s="236"/>
      <c r="Q209" s="236"/>
      <c r="R209" s="236"/>
      <c r="S209" s="237"/>
      <c r="T209" s="349"/>
      <c r="U209" s="236"/>
      <c r="V209" s="236"/>
      <c r="W209" s="236"/>
      <c r="X209" s="236"/>
      <c r="Y209" s="237"/>
      <c r="Z209" s="349"/>
      <c r="AA209" s="236"/>
      <c r="AB209" s="236"/>
      <c r="AC209" s="236"/>
      <c r="AD209" s="236"/>
      <c r="AE209" s="236"/>
      <c r="AF209" s="349"/>
      <c r="AG209" s="236"/>
      <c r="AH209" s="236"/>
      <c r="AI209" s="236"/>
      <c r="AJ209" s="236"/>
      <c r="AK209" s="236"/>
      <c r="AL209" s="351"/>
      <c r="AM209" s="236"/>
      <c r="AN209" s="236"/>
      <c r="AO209" s="236"/>
      <c r="AP209" s="236"/>
      <c r="AQ209" s="236"/>
      <c r="AR209" s="351"/>
      <c r="AS209" s="236"/>
      <c r="AT209" s="236"/>
      <c r="AU209" s="236"/>
      <c r="AV209" s="236"/>
      <c r="AW209" s="236"/>
      <c r="AX209" s="351"/>
      <c r="AY209" s="236"/>
      <c r="AZ209" s="236"/>
      <c r="BA209" s="236"/>
      <c r="BB209" s="236"/>
      <c r="BC209" s="236"/>
      <c r="BD209" s="351"/>
      <c r="BE209" s="236"/>
      <c r="BF209" s="236"/>
      <c r="BG209" s="236"/>
      <c r="BH209" s="236"/>
      <c r="BI209" s="236"/>
      <c r="BJ209" s="351"/>
      <c r="BK209" s="236"/>
      <c r="BL209" s="236"/>
      <c r="BM209" s="236"/>
      <c r="BN209" s="236"/>
      <c r="BO209" s="236"/>
      <c r="BP209" s="351"/>
      <c r="BQ209" s="236"/>
      <c r="BR209" s="236"/>
      <c r="BS209" s="236"/>
      <c r="BT209" s="236"/>
      <c r="BU209" s="236"/>
      <c r="BV209" s="351"/>
      <c r="BW209" s="236"/>
      <c r="BX209" s="236"/>
      <c r="BY209" s="236"/>
      <c r="BZ209" s="236"/>
      <c r="CA209" s="236"/>
      <c r="CB209" s="351"/>
      <c r="CC209" s="236"/>
      <c r="CD209" s="236"/>
      <c r="CE209" s="236"/>
      <c r="CF209" s="236"/>
      <c r="CG209" s="236"/>
    </row>
    <row r="210" spans="2:85" ht="12" customHeight="1" x14ac:dyDescent="0.2">
      <c r="B210" s="357" t="s">
        <v>318</v>
      </c>
      <c r="C210" s="236"/>
      <c r="D210" s="236"/>
      <c r="E210" s="236"/>
      <c r="F210" s="236"/>
      <c r="G210" s="237"/>
      <c r="H210" s="349"/>
      <c r="I210" s="236"/>
      <c r="J210" s="236"/>
      <c r="K210" s="236"/>
      <c r="L210" s="236"/>
      <c r="M210" s="237"/>
      <c r="N210" s="349"/>
      <c r="O210" s="236"/>
      <c r="P210" s="236"/>
      <c r="Q210" s="236"/>
      <c r="R210" s="236"/>
      <c r="S210" s="237"/>
      <c r="T210" s="349"/>
      <c r="U210" s="236"/>
      <c r="V210" s="236"/>
      <c r="W210" s="236"/>
      <c r="X210" s="236"/>
      <c r="Y210" s="237"/>
      <c r="Z210" s="349"/>
      <c r="AA210" s="236"/>
      <c r="AB210" s="236"/>
      <c r="AC210" s="236"/>
      <c r="AD210" s="236"/>
      <c r="AE210" s="236"/>
      <c r="AF210" s="349"/>
      <c r="AG210" s="236"/>
      <c r="AH210" s="236"/>
      <c r="AI210" s="236"/>
      <c r="AJ210" s="236"/>
      <c r="AK210" s="236"/>
      <c r="AL210" s="351"/>
      <c r="AM210" s="236"/>
      <c r="AN210" s="236"/>
      <c r="AO210" s="236"/>
      <c r="AP210" s="236"/>
      <c r="AQ210" s="236"/>
      <c r="AR210" s="351"/>
      <c r="AS210" s="236"/>
      <c r="AT210" s="236"/>
      <c r="AU210" s="236"/>
      <c r="AV210" s="236"/>
      <c r="AW210" s="236"/>
      <c r="AX210" s="351"/>
      <c r="AY210" s="236"/>
      <c r="AZ210" s="236"/>
      <c r="BA210" s="236"/>
      <c r="BB210" s="236"/>
      <c r="BC210" s="236"/>
      <c r="BD210" s="351"/>
      <c r="BE210" s="236"/>
      <c r="BF210" s="236"/>
      <c r="BG210" s="236"/>
      <c r="BH210" s="236"/>
      <c r="BI210" s="236"/>
      <c r="BJ210" s="351"/>
      <c r="BK210" s="236"/>
      <c r="BL210" s="236"/>
      <c r="BM210" s="236"/>
      <c r="BN210" s="236"/>
      <c r="BO210" s="236"/>
      <c r="BP210" s="351"/>
      <c r="BQ210" s="236"/>
      <c r="BR210" s="236"/>
      <c r="BS210" s="236"/>
      <c r="BT210" s="236"/>
      <c r="BU210" s="236"/>
      <c r="BV210" s="351"/>
      <c r="BW210" s="236"/>
      <c r="BX210" s="236"/>
      <c r="BY210" s="236"/>
      <c r="BZ210" s="236"/>
      <c r="CA210" s="236"/>
      <c r="CB210" s="351"/>
      <c r="CC210" s="236"/>
      <c r="CD210" s="236"/>
      <c r="CE210" s="236"/>
      <c r="CF210" s="236"/>
      <c r="CG210" s="236"/>
    </row>
    <row r="211" spans="2:85" ht="12" customHeight="1" x14ac:dyDescent="0.2">
      <c r="B211" s="352" t="s">
        <v>312</v>
      </c>
      <c r="C211" s="236"/>
      <c r="D211" s="236"/>
      <c r="E211" s="236"/>
      <c r="F211" s="236"/>
      <c r="G211" s="237"/>
      <c r="H211" s="349"/>
      <c r="I211" s="236"/>
      <c r="J211" s="236"/>
      <c r="K211" s="236"/>
      <c r="L211" s="236"/>
      <c r="M211" s="237">
        <f>AVERAGE(G127,M127)*M185</f>
        <v>2.6844500000000001E-3</v>
      </c>
      <c r="N211" s="349"/>
      <c r="O211" s="236"/>
      <c r="P211" s="236"/>
      <c r="Q211" s="236"/>
      <c r="R211" s="236"/>
      <c r="S211" s="237">
        <f>AVERAGE(M127,S127)*S185</f>
        <v>0</v>
      </c>
      <c r="T211" s="349"/>
      <c r="U211" s="236"/>
      <c r="V211" s="236"/>
      <c r="W211" s="236"/>
      <c r="X211" s="236"/>
      <c r="Y211" s="237">
        <f>AVERAGE(S127,Y127)*Y185</f>
        <v>0</v>
      </c>
      <c r="Z211" s="349"/>
      <c r="AA211" s="236"/>
      <c r="AB211" s="236"/>
      <c r="AC211" s="236"/>
      <c r="AD211" s="236"/>
      <c r="AE211" s="237">
        <f>AVERAGE(Y127,AE127)*AE185</f>
        <v>0</v>
      </c>
      <c r="AF211" s="349"/>
      <c r="AG211" s="236">
        <f>AVERAGE(AE127,AG127)*AG185*0.25</f>
        <v>0</v>
      </c>
      <c r="AH211" s="236">
        <f t="shared" ref="AH211:AJ212" si="329">AVERAGE(AG127,AH127)*AH185*0.25</f>
        <v>0</v>
      </c>
      <c r="AI211" s="236">
        <f t="shared" si="329"/>
        <v>0</v>
      </c>
      <c r="AJ211" s="236">
        <f t="shared" si="329"/>
        <v>0</v>
      </c>
      <c r="AK211" s="236">
        <f>SUM(AG211:AJ211)</f>
        <v>0</v>
      </c>
      <c r="AL211" s="351"/>
      <c r="AM211" s="236">
        <f>AVERAGE(AK127,AM127)*AM185*0.25</f>
        <v>0</v>
      </c>
      <c r="AN211" s="236">
        <f t="shared" ref="AN211:AP212" si="330">AVERAGE(AM127,AN127)*AN185*0.25</f>
        <v>0</v>
      </c>
      <c r="AO211" s="236">
        <f t="shared" si="330"/>
        <v>0</v>
      </c>
      <c r="AP211" s="236">
        <f t="shared" si="330"/>
        <v>0</v>
      </c>
      <c r="AQ211" s="236">
        <f>SUM(AM211:AP211)</f>
        <v>0</v>
      </c>
      <c r="AR211" s="351"/>
      <c r="AS211" s="236">
        <f>AVERAGE(AQ127,AS127)*AS185*0.25</f>
        <v>0</v>
      </c>
      <c r="AT211" s="236">
        <f t="shared" ref="AT211:AV212" si="331">AVERAGE(AS127,AT127)*AT185*0.25</f>
        <v>0</v>
      </c>
      <c r="AU211" s="236">
        <f t="shared" si="331"/>
        <v>0</v>
      </c>
      <c r="AV211" s="236">
        <f t="shared" si="331"/>
        <v>0</v>
      </c>
      <c r="AW211" s="236">
        <f>SUM(AS211:AV211)</f>
        <v>0</v>
      </c>
      <c r="AX211" s="351"/>
      <c r="AY211" s="236">
        <f>AVERAGE(AW127,AY127)*AY185*0.25</f>
        <v>0</v>
      </c>
      <c r="AZ211" s="236">
        <f t="shared" ref="AZ211:BB212" si="332">AVERAGE(AY127,AZ127)*AZ185*0.25</f>
        <v>0</v>
      </c>
      <c r="BA211" s="236">
        <f t="shared" si="332"/>
        <v>0</v>
      </c>
      <c r="BB211" s="236">
        <f t="shared" si="332"/>
        <v>0</v>
      </c>
      <c r="BC211" s="236">
        <f>SUM(AY211:BB211)</f>
        <v>0</v>
      </c>
      <c r="BD211" s="351"/>
      <c r="BE211" s="236">
        <f>AVERAGE(BC127,BE127)*BE185*0.25</f>
        <v>0</v>
      </c>
      <c r="BF211" s="236">
        <f t="shared" ref="BF211:BH212" si="333">AVERAGE(BE127,BF127)*BF185*0.25</f>
        <v>0</v>
      </c>
      <c r="BG211" s="236">
        <f t="shared" si="333"/>
        <v>0</v>
      </c>
      <c r="BH211" s="236">
        <f t="shared" si="333"/>
        <v>0</v>
      </c>
      <c r="BI211" s="236">
        <f>SUM(BE211:BH211)</f>
        <v>0</v>
      </c>
      <c r="BJ211" s="351"/>
      <c r="BK211" s="236">
        <f>AVERAGE(BI127,BK127)*BK185*0.25</f>
        <v>0</v>
      </c>
      <c r="BL211" s="236">
        <f t="shared" ref="BL211:BN212" si="334">AVERAGE(BK127,BL127)*BL185*0.25</f>
        <v>0</v>
      </c>
      <c r="BM211" s="236">
        <f t="shared" si="334"/>
        <v>0</v>
      </c>
      <c r="BN211" s="236">
        <f t="shared" si="334"/>
        <v>0</v>
      </c>
      <c r="BO211" s="236">
        <f>SUM(BK211:BN211)</f>
        <v>0</v>
      </c>
      <c r="BP211" s="351"/>
      <c r="BQ211" s="236">
        <f>AVERAGE(BO127,BQ127)*BQ185*0.25</f>
        <v>0</v>
      </c>
      <c r="BR211" s="236">
        <f t="shared" ref="BR211:BT212" si="335">AVERAGE(BQ127,BR127)*BR185*0.25</f>
        <v>0</v>
      </c>
      <c r="BS211" s="236">
        <f t="shared" si="335"/>
        <v>0</v>
      </c>
      <c r="BT211" s="236">
        <f t="shared" si="335"/>
        <v>0</v>
      </c>
      <c r="BU211" s="236">
        <f>SUM(BQ211:BT211)</f>
        <v>0</v>
      </c>
      <c r="BV211" s="351"/>
      <c r="BW211" s="236">
        <f>AVERAGE(BU127,BW127)*BW185*0.25</f>
        <v>0</v>
      </c>
      <c r="BX211" s="236">
        <f t="shared" ref="BX211:BZ212" si="336">AVERAGE(BW127,BX127)*BX185*0.25</f>
        <v>0</v>
      </c>
      <c r="BY211" s="236">
        <f t="shared" si="336"/>
        <v>0</v>
      </c>
      <c r="BZ211" s="236">
        <f t="shared" si="336"/>
        <v>0</v>
      </c>
      <c r="CA211" s="236">
        <f>SUM(BW211:BZ211)</f>
        <v>0</v>
      </c>
      <c r="CB211" s="351"/>
      <c r="CC211" s="236">
        <f>AVERAGE(CA127,CC127)*CC185*0.25</f>
        <v>0</v>
      </c>
      <c r="CD211" s="236">
        <f t="shared" ref="CD211:CF212" si="337">AVERAGE(CC127,CD127)*CD185*0.25</f>
        <v>0</v>
      </c>
      <c r="CE211" s="236">
        <f t="shared" si="337"/>
        <v>0</v>
      </c>
      <c r="CF211" s="236">
        <f t="shared" si="337"/>
        <v>0</v>
      </c>
      <c r="CG211" s="236">
        <f>SUM(CC211:CF211)</f>
        <v>0</v>
      </c>
    </row>
    <row r="212" spans="2:85" ht="12" customHeight="1" x14ac:dyDescent="0.2">
      <c r="B212" s="352" t="s">
        <v>331</v>
      </c>
      <c r="C212" s="236"/>
      <c r="D212" s="236"/>
      <c r="E212" s="236"/>
      <c r="F212" s="236"/>
      <c r="G212" s="237"/>
      <c r="H212" s="349"/>
      <c r="I212" s="236"/>
      <c r="J212" s="236"/>
      <c r="K212" s="236"/>
      <c r="L212" s="236"/>
      <c r="M212" s="237">
        <f>AVERAGE(G128,M128)*M186</f>
        <v>0</v>
      </c>
      <c r="N212" s="349"/>
      <c r="O212" s="236"/>
      <c r="P212" s="236"/>
      <c r="Q212" s="236"/>
      <c r="R212" s="236"/>
      <c r="S212" s="237">
        <f>AVERAGE(M128,S128)*S186</f>
        <v>0.18853200000000001</v>
      </c>
      <c r="T212" s="349"/>
      <c r="U212" s="236"/>
      <c r="V212" s="236"/>
      <c r="W212" s="236"/>
      <c r="X212" s="236"/>
      <c r="Y212" s="237">
        <f>AVERAGE(S128,Y128)*Y186</f>
        <v>0.18853200000000001</v>
      </c>
      <c r="Z212" s="349"/>
      <c r="AA212" s="236"/>
      <c r="AB212" s="236"/>
      <c r="AC212" s="236"/>
      <c r="AD212" s="236"/>
      <c r="AE212" s="237">
        <f>AVERAGE(Y128,AE128)*AE186</f>
        <v>0</v>
      </c>
      <c r="AF212" s="349"/>
      <c r="AG212" s="236">
        <f>AVERAGE(AE128,AG128)*AG186*0.25</f>
        <v>0</v>
      </c>
      <c r="AH212" s="236">
        <f t="shared" si="329"/>
        <v>0</v>
      </c>
      <c r="AI212" s="236">
        <f t="shared" si="329"/>
        <v>0</v>
      </c>
      <c r="AJ212" s="236">
        <f t="shared" si="329"/>
        <v>0</v>
      </c>
      <c r="AK212" s="236">
        <f>SUM(AG212:AJ212)</f>
        <v>0</v>
      </c>
      <c r="AL212" s="351"/>
      <c r="AM212" s="236">
        <f>AVERAGE(AK128,AM128)*AM186*0.25</f>
        <v>0</v>
      </c>
      <c r="AN212" s="236">
        <f t="shared" si="330"/>
        <v>0</v>
      </c>
      <c r="AO212" s="236">
        <f t="shared" si="330"/>
        <v>0</v>
      </c>
      <c r="AP212" s="236">
        <f t="shared" si="330"/>
        <v>0</v>
      </c>
      <c r="AQ212" s="236">
        <f>SUM(AM212:AP212)</f>
        <v>0</v>
      </c>
      <c r="AR212" s="351"/>
      <c r="AS212" s="236">
        <f>AVERAGE(AQ128,AS128)*AS186*0.25</f>
        <v>0</v>
      </c>
      <c r="AT212" s="236">
        <f t="shared" si="331"/>
        <v>0</v>
      </c>
      <c r="AU212" s="236">
        <f t="shared" si="331"/>
        <v>0</v>
      </c>
      <c r="AV212" s="236">
        <f t="shared" si="331"/>
        <v>0</v>
      </c>
      <c r="AW212" s="236">
        <f>SUM(AS212:AV212)</f>
        <v>0</v>
      </c>
      <c r="AX212" s="351"/>
      <c r="AY212" s="236">
        <f>AVERAGE(AW128,AY128)*AY186*0.25</f>
        <v>0</v>
      </c>
      <c r="AZ212" s="236">
        <f t="shared" si="332"/>
        <v>0</v>
      </c>
      <c r="BA212" s="236">
        <f t="shared" si="332"/>
        <v>0</v>
      </c>
      <c r="BB212" s="236">
        <f t="shared" si="332"/>
        <v>0</v>
      </c>
      <c r="BC212" s="236">
        <f>SUM(AY212:BB212)</f>
        <v>0</v>
      </c>
      <c r="BD212" s="351"/>
      <c r="BE212" s="236">
        <f>AVERAGE(BC128,BE128)*BE186*0.25</f>
        <v>0</v>
      </c>
      <c r="BF212" s="236">
        <f t="shared" si="333"/>
        <v>0</v>
      </c>
      <c r="BG212" s="236">
        <f t="shared" si="333"/>
        <v>0</v>
      </c>
      <c r="BH212" s="236">
        <f t="shared" si="333"/>
        <v>0</v>
      </c>
      <c r="BI212" s="236">
        <f>SUM(BE212:BH212)</f>
        <v>0</v>
      </c>
      <c r="BJ212" s="351"/>
      <c r="BK212" s="236">
        <f>AVERAGE(BI128,BK128)*BK186*0.25</f>
        <v>0</v>
      </c>
      <c r="BL212" s="236">
        <f t="shared" si="334"/>
        <v>0</v>
      </c>
      <c r="BM212" s="236">
        <f t="shared" si="334"/>
        <v>0</v>
      </c>
      <c r="BN212" s="236">
        <f t="shared" si="334"/>
        <v>0</v>
      </c>
      <c r="BO212" s="236">
        <f>SUM(BK212:BN212)</f>
        <v>0</v>
      </c>
      <c r="BP212" s="351"/>
      <c r="BQ212" s="236">
        <f>AVERAGE(BO128,BQ128)*BQ186*0.25</f>
        <v>0</v>
      </c>
      <c r="BR212" s="236">
        <f t="shared" si="335"/>
        <v>0</v>
      </c>
      <c r="BS212" s="236">
        <f t="shared" si="335"/>
        <v>0</v>
      </c>
      <c r="BT212" s="236">
        <f t="shared" si="335"/>
        <v>0</v>
      </c>
      <c r="BU212" s="236">
        <f>SUM(BQ212:BT212)</f>
        <v>0</v>
      </c>
      <c r="BV212" s="351"/>
      <c r="BW212" s="236">
        <f>AVERAGE(BU128,BW128)*BW186*0.25</f>
        <v>0</v>
      </c>
      <c r="BX212" s="236">
        <f t="shared" si="336"/>
        <v>0</v>
      </c>
      <c r="BY212" s="236">
        <f t="shared" si="336"/>
        <v>0</v>
      </c>
      <c r="BZ212" s="236">
        <f t="shared" si="336"/>
        <v>0</v>
      </c>
      <c r="CA212" s="236">
        <f>SUM(BW212:BZ212)</f>
        <v>0</v>
      </c>
      <c r="CB212" s="351"/>
      <c r="CC212" s="236">
        <f>AVERAGE(CA128,CC128)*CC186*0.25</f>
        <v>0</v>
      </c>
      <c r="CD212" s="236">
        <f t="shared" si="337"/>
        <v>0</v>
      </c>
      <c r="CE212" s="236">
        <f t="shared" si="337"/>
        <v>0</v>
      </c>
      <c r="CF212" s="236">
        <f t="shared" si="337"/>
        <v>0</v>
      </c>
      <c r="CG212" s="236">
        <f>SUM(CC212:CF212)</f>
        <v>0</v>
      </c>
    </row>
    <row r="213" spans="2:85" ht="12" customHeight="1" x14ac:dyDescent="0.2">
      <c r="B213" s="352" t="s">
        <v>316</v>
      </c>
      <c r="C213" s="236"/>
      <c r="D213" s="236"/>
      <c r="E213" s="236"/>
      <c r="F213" s="236"/>
      <c r="G213" s="237"/>
      <c r="H213" s="349"/>
      <c r="I213" s="236"/>
      <c r="J213" s="236"/>
      <c r="K213" s="236"/>
      <c r="L213" s="236"/>
      <c r="M213" s="237">
        <f>AVERAGE(G130,M130)*M187</f>
        <v>8.8061E-2</v>
      </c>
      <c r="N213" s="349"/>
      <c r="O213" s="236"/>
      <c r="P213" s="236"/>
      <c r="Q213" s="236"/>
      <c r="R213" s="236"/>
      <c r="S213" s="237">
        <f>AVERAGE(M130,S130)*S187</f>
        <v>6.1310400000000001E-2</v>
      </c>
      <c r="T213" s="349"/>
      <c r="U213" s="236"/>
      <c r="V213" s="236"/>
      <c r="W213" s="236"/>
      <c r="X213" s="236"/>
      <c r="Y213" s="237">
        <f>AVERAGE(S130,Y130)*Y187</f>
        <v>5.9033000000000002E-2</v>
      </c>
      <c r="Z213" s="349"/>
      <c r="AA213" s="236"/>
      <c r="AB213" s="236"/>
      <c r="AC213" s="236"/>
      <c r="AD213" s="236"/>
      <c r="AE213" s="237">
        <f>AVERAGE(Y130,AE130)*AE187</f>
        <v>4.3734499999999996E-2</v>
      </c>
      <c r="AF213" s="349"/>
      <c r="AG213" s="236">
        <f>AVERAGE(AE130,AG130)*AG187*0.25</f>
        <v>7.6187499999999997E-3</v>
      </c>
      <c r="AH213" s="236">
        <f t="shared" ref="AH213:AJ214" si="338">AVERAGE(AG130,AH130)*AH187*0.25</f>
        <v>7.6187499999999997E-3</v>
      </c>
      <c r="AI213" s="236">
        <f t="shared" si="338"/>
        <v>7.6187499999999997E-3</v>
      </c>
      <c r="AJ213" s="236">
        <f t="shared" si="338"/>
        <v>7.6187499999999997E-3</v>
      </c>
      <c r="AK213" s="236">
        <f>SUM(AG213:AJ213)</f>
        <v>3.0474999999999999E-2</v>
      </c>
      <c r="AL213" s="351"/>
      <c r="AM213" s="236">
        <f>AVERAGE(AK130,AM130)*AM187*0.25</f>
        <v>7.6187499999999997E-3</v>
      </c>
      <c r="AN213" s="236">
        <f t="shared" ref="AN213:AP214" si="339">AVERAGE(AM130,AN130)*AN187*0.25</f>
        <v>7.6187499999999997E-3</v>
      </c>
      <c r="AO213" s="236">
        <f t="shared" si="339"/>
        <v>7.6187499999999997E-3</v>
      </c>
      <c r="AP213" s="236">
        <f t="shared" si="339"/>
        <v>7.6187499999999997E-3</v>
      </c>
      <c r="AQ213" s="236">
        <f>SUM(AM213:AP213)</f>
        <v>3.0474999999999999E-2</v>
      </c>
      <c r="AR213" s="351"/>
      <c r="AS213" s="236">
        <f>AVERAGE(AQ130,AS130)*AS187*0.25</f>
        <v>0</v>
      </c>
      <c r="AT213" s="236">
        <f t="shared" ref="AT213:AV214" si="340">AVERAGE(AS130,AT130)*AT187*0.25</f>
        <v>0</v>
      </c>
      <c r="AU213" s="236">
        <f t="shared" si="340"/>
        <v>0</v>
      </c>
      <c r="AV213" s="236">
        <f t="shared" si="340"/>
        <v>0</v>
      </c>
      <c r="AW213" s="236">
        <f>SUM(AS213:AV213)</f>
        <v>0</v>
      </c>
      <c r="AX213" s="351"/>
      <c r="AY213" s="236">
        <f>AVERAGE(AW130,AY130)*AY187*0.25</f>
        <v>0</v>
      </c>
      <c r="AZ213" s="236">
        <f t="shared" ref="AZ213:BB214" si="341">AVERAGE(AY130,AZ130)*AZ187*0.25</f>
        <v>0</v>
      </c>
      <c r="BA213" s="236">
        <f t="shared" si="341"/>
        <v>0</v>
      </c>
      <c r="BB213" s="236">
        <f t="shared" si="341"/>
        <v>0</v>
      </c>
      <c r="BC213" s="236">
        <f>SUM(AY213:BB213)</f>
        <v>0</v>
      </c>
      <c r="BD213" s="351"/>
      <c r="BE213" s="236">
        <f>AVERAGE(BC130,BE130)*BE187*0.25</f>
        <v>0</v>
      </c>
      <c r="BF213" s="236">
        <f t="shared" ref="BF213:BH214" si="342">AVERAGE(BE130,BF130)*BF187*0.25</f>
        <v>0</v>
      </c>
      <c r="BG213" s="236">
        <f t="shared" si="342"/>
        <v>0</v>
      </c>
      <c r="BH213" s="236">
        <f t="shared" si="342"/>
        <v>0</v>
      </c>
      <c r="BI213" s="236">
        <f>SUM(BE213:BH213)</f>
        <v>0</v>
      </c>
      <c r="BJ213" s="351"/>
      <c r="BK213" s="236">
        <f>AVERAGE(BI130,BK130)*BK187*0.25</f>
        <v>0</v>
      </c>
      <c r="BL213" s="236">
        <f t="shared" ref="BL213:BN214" si="343">AVERAGE(BK130,BL130)*BL187*0.25</f>
        <v>0</v>
      </c>
      <c r="BM213" s="236">
        <f t="shared" si="343"/>
        <v>0</v>
      </c>
      <c r="BN213" s="236">
        <f t="shared" si="343"/>
        <v>0</v>
      </c>
      <c r="BO213" s="236">
        <f>SUM(BK213:BN213)</f>
        <v>0</v>
      </c>
      <c r="BP213" s="351"/>
      <c r="BQ213" s="236">
        <f>AVERAGE(BO130,BQ130)*BQ187*0.25</f>
        <v>0</v>
      </c>
      <c r="BR213" s="236">
        <f t="shared" ref="BR213:BT214" si="344">AVERAGE(BQ130,BR130)*BR187*0.25</f>
        <v>0</v>
      </c>
      <c r="BS213" s="236">
        <f t="shared" si="344"/>
        <v>0</v>
      </c>
      <c r="BT213" s="236">
        <f t="shared" si="344"/>
        <v>0</v>
      </c>
      <c r="BU213" s="236">
        <f>SUM(BQ213:BT213)</f>
        <v>0</v>
      </c>
      <c r="BV213" s="351"/>
      <c r="BW213" s="236">
        <f>AVERAGE(BU130,BW130)*BW187*0.25</f>
        <v>0</v>
      </c>
      <c r="BX213" s="236">
        <f t="shared" ref="BX213:BZ214" si="345">AVERAGE(BW130,BX130)*BX187*0.25</f>
        <v>0</v>
      </c>
      <c r="BY213" s="236">
        <f t="shared" si="345"/>
        <v>0</v>
      </c>
      <c r="BZ213" s="236">
        <f t="shared" si="345"/>
        <v>0</v>
      </c>
      <c r="CA213" s="236">
        <f>SUM(BW213:BZ213)</f>
        <v>0</v>
      </c>
      <c r="CB213" s="351"/>
      <c r="CC213" s="236">
        <f>AVERAGE(CA130,CC130)*CC187*0.25</f>
        <v>0</v>
      </c>
      <c r="CD213" s="236">
        <f t="shared" ref="CD213:CF214" si="346">AVERAGE(CC130,CD130)*CD187*0.25</f>
        <v>0</v>
      </c>
      <c r="CE213" s="236">
        <f t="shared" si="346"/>
        <v>0</v>
      </c>
      <c r="CF213" s="236">
        <f t="shared" si="346"/>
        <v>0</v>
      </c>
      <c r="CG213" s="236">
        <f>SUM(CC213:CF213)</f>
        <v>0</v>
      </c>
    </row>
    <row r="214" spans="2:85" ht="12" customHeight="1" x14ac:dyDescent="0.2">
      <c r="B214" s="113" t="s">
        <v>330</v>
      </c>
      <c r="C214" s="236"/>
      <c r="D214" s="236"/>
      <c r="E214" s="236"/>
      <c r="F214" s="236"/>
      <c r="G214" s="237"/>
      <c r="H214" s="349"/>
      <c r="I214" s="236"/>
      <c r="J214" s="236"/>
      <c r="K214" s="236"/>
      <c r="L214" s="236"/>
      <c r="M214" s="237"/>
      <c r="N214" s="349"/>
      <c r="O214" s="236"/>
      <c r="P214" s="236"/>
      <c r="Q214" s="236"/>
      <c r="R214" s="236"/>
      <c r="S214" s="237"/>
      <c r="T214" s="349"/>
      <c r="U214" s="236"/>
      <c r="V214" s="236"/>
      <c r="W214" s="236"/>
      <c r="X214" s="236"/>
      <c r="Y214" s="237">
        <f>AVERAGE(S131,Y131)*Y188</f>
        <v>0</v>
      </c>
      <c r="Z214" s="349"/>
      <c r="AA214" s="236"/>
      <c r="AB214" s="236"/>
      <c r="AC214" s="236"/>
      <c r="AD214" s="236"/>
      <c r="AE214" s="237">
        <f>AVERAGE(Y131,AE131)*AE188</f>
        <v>4.62E-3</v>
      </c>
      <c r="AF214" s="349"/>
      <c r="AG214" s="236">
        <f>AVERAGE(AE131,AG131)*AG188*0.25</f>
        <v>2.31E-3</v>
      </c>
      <c r="AH214" s="236">
        <f t="shared" si="338"/>
        <v>2.31E-3</v>
      </c>
      <c r="AI214" s="236">
        <f t="shared" si="338"/>
        <v>2.31E-3</v>
      </c>
      <c r="AJ214" s="236">
        <f t="shared" si="338"/>
        <v>2.31E-3</v>
      </c>
      <c r="AK214" s="236">
        <f>SUM(AG214:AJ214)</f>
        <v>9.2399999999999999E-3</v>
      </c>
      <c r="AL214" s="351"/>
      <c r="AM214" s="236">
        <f>AVERAGE(AK131,AM131)*AM188*0.25</f>
        <v>1.155E-3</v>
      </c>
      <c r="AN214" s="236">
        <f t="shared" si="339"/>
        <v>0</v>
      </c>
      <c r="AO214" s="236">
        <f t="shared" si="339"/>
        <v>0</v>
      </c>
      <c r="AP214" s="236">
        <f t="shared" si="339"/>
        <v>0</v>
      </c>
      <c r="AQ214" s="236">
        <f>SUM(AM214:AP214)</f>
        <v>1.155E-3</v>
      </c>
      <c r="AR214" s="351"/>
      <c r="AS214" s="236">
        <f>AVERAGE(AQ131,AS131)*AS188*0.25</f>
        <v>0</v>
      </c>
      <c r="AT214" s="236">
        <f t="shared" si="340"/>
        <v>0</v>
      </c>
      <c r="AU214" s="236">
        <f t="shared" si="340"/>
        <v>0</v>
      </c>
      <c r="AV214" s="236">
        <f t="shared" si="340"/>
        <v>0</v>
      </c>
      <c r="AW214" s="236">
        <f>SUM(AS214:AV214)</f>
        <v>0</v>
      </c>
      <c r="AX214" s="351"/>
      <c r="AY214" s="236">
        <f>AVERAGE(AW131,AY131)*AY188*0.25</f>
        <v>0</v>
      </c>
      <c r="AZ214" s="236">
        <f t="shared" si="341"/>
        <v>0</v>
      </c>
      <c r="BA214" s="236">
        <f t="shared" si="341"/>
        <v>0</v>
      </c>
      <c r="BB214" s="236">
        <f t="shared" si="341"/>
        <v>0</v>
      </c>
      <c r="BC214" s="236">
        <f>SUM(AY214:BB214)</f>
        <v>0</v>
      </c>
      <c r="BD214" s="351"/>
      <c r="BE214" s="236">
        <f>AVERAGE(BC131,BE131)*BE188*0.25</f>
        <v>0</v>
      </c>
      <c r="BF214" s="236">
        <f t="shared" si="342"/>
        <v>0</v>
      </c>
      <c r="BG214" s="236">
        <f t="shared" si="342"/>
        <v>0</v>
      </c>
      <c r="BH214" s="236">
        <f t="shared" si="342"/>
        <v>0</v>
      </c>
      <c r="BI214" s="236">
        <f>SUM(BE214:BH214)</f>
        <v>0</v>
      </c>
      <c r="BJ214" s="351"/>
      <c r="BK214" s="236">
        <f>AVERAGE(BI131,BK131)*BK188*0.25</f>
        <v>0</v>
      </c>
      <c r="BL214" s="236">
        <f t="shared" si="343"/>
        <v>0</v>
      </c>
      <c r="BM214" s="236">
        <f t="shared" si="343"/>
        <v>0</v>
      </c>
      <c r="BN214" s="236">
        <f t="shared" si="343"/>
        <v>0</v>
      </c>
      <c r="BO214" s="236">
        <f>SUM(BK214:BN214)</f>
        <v>0</v>
      </c>
      <c r="BP214" s="351"/>
      <c r="BQ214" s="236">
        <f>AVERAGE(BO131,BQ131)*BQ188*0.25</f>
        <v>0</v>
      </c>
      <c r="BR214" s="236">
        <f t="shared" si="344"/>
        <v>0</v>
      </c>
      <c r="BS214" s="236">
        <f t="shared" si="344"/>
        <v>0</v>
      </c>
      <c r="BT214" s="236">
        <f t="shared" si="344"/>
        <v>0</v>
      </c>
      <c r="BU214" s="236">
        <f>SUM(BQ214:BT214)</f>
        <v>0</v>
      </c>
      <c r="BV214" s="351"/>
      <c r="BW214" s="236">
        <f>AVERAGE(BU131,BW131)*BW188*0.25</f>
        <v>0</v>
      </c>
      <c r="BX214" s="236">
        <f t="shared" si="345"/>
        <v>0</v>
      </c>
      <c r="BY214" s="236">
        <f t="shared" si="345"/>
        <v>0</v>
      </c>
      <c r="BZ214" s="236">
        <f t="shared" si="345"/>
        <v>0</v>
      </c>
      <c r="CA214" s="236">
        <f>SUM(BW214:BZ214)</f>
        <v>0</v>
      </c>
      <c r="CB214" s="351"/>
      <c r="CC214" s="236">
        <f>AVERAGE(CA131,CC131)*CC188*0.25</f>
        <v>0</v>
      </c>
      <c r="CD214" s="236">
        <f t="shared" si="346"/>
        <v>0</v>
      </c>
      <c r="CE214" s="236">
        <f t="shared" si="346"/>
        <v>0</v>
      </c>
      <c r="CF214" s="236">
        <f t="shared" si="346"/>
        <v>0</v>
      </c>
      <c r="CG214" s="236">
        <f>SUM(CC214:CF214)</f>
        <v>0</v>
      </c>
    </row>
    <row r="215" spans="2:85" ht="12" customHeight="1" x14ac:dyDescent="0.2">
      <c r="B215" s="353" t="s">
        <v>326</v>
      </c>
      <c r="C215" s="241"/>
      <c r="D215" s="241"/>
      <c r="E215" s="241"/>
      <c r="F215" s="241"/>
      <c r="G215" s="246"/>
      <c r="H215" s="354"/>
      <c r="I215" s="241"/>
      <c r="J215" s="241"/>
      <c r="K215" s="241"/>
      <c r="L215" s="241"/>
      <c r="M215" s="246">
        <f>SUM(M211:M213)</f>
        <v>9.0745450000000005E-2</v>
      </c>
      <c r="N215" s="354"/>
      <c r="O215" s="241"/>
      <c r="P215" s="241"/>
      <c r="Q215" s="241"/>
      <c r="R215" s="241"/>
      <c r="S215" s="246">
        <f>SUM(S211:S213)</f>
        <v>0.24984240000000002</v>
      </c>
      <c r="T215" s="354"/>
      <c r="U215" s="241"/>
      <c r="V215" s="241"/>
      <c r="W215" s="241"/>
      <c r="X215" s="241"/>
      <c r="Y215" s="246">
        <f>SUM(Y211:Y213)</f>
        <v>0.24756500000000001</v>
      </c>
      <c r="Z215" s="354"/>
      <c r="AA215" s="241"/>
      <c r="AB215" s="241"/>
      <c r="AC215" s="241"/>
      <c r="AD215" s="241"/>
      <c r="AE215" s="241">
        <f>SUM(AE211:AE214)</f>
        <v>4.8354499999999995E-2</v>
      </c>
      <c r="AF215" s="354"/>
      <c r="AG215" s="241">
        <f>SUM(AG211:AG213)</f>
        <v>7.6187499999999997E-3</v>
      </c>
      <c r="AH215" s="241">
        <f>SUM(AH211:AH213)</f>
        <v>7.6187499999999997E-3</v>
      </c>
      <c r="AI215" s="241">
        <f>SUM(AI211:AI213)</f>
        <v>7.6187499999999997E-3</v>
      </c>
      <c r="AJ215" s="241">
        <f>SUM(AJ211:AJ213)</f>
        <v>7.6187499999999997E-3</v>
      </c>
      <c r="AK215" s="241">
        <f>SUM(AK211:AK213)</f>
        <v>3.0474999999999999E-2</v>
      </c>
      <c r="AL215" s="355"/>
      <c r="AM215" s="241">
        <f>SUM(AM211:AM213)</f>
        <v>7.6187499999999997E-3</v>
      </c>
      <c r="AN215" s="241">
        <f>SUM(AN211:AN213)</f>
        <v>7.6187499999999997E-3</v>
      </c>
      <c r="AO215" s="241">
        <f>SUM(AO211:AO213)</f>
        <v>7.6187499999999997E-3</v>
      </c>
      <c r="AP215" s="241">
        <f>SUM(AP211:AP213)</f>
        <v>7.6187499999999997E-3</v>
      </c>
      <c r="AQ215" s="241">
        <f>SUM(AQ211:AQ213)</f>
        <v>3.0474999999999999E-2</v>
      </c>
      <c r="AR215" s="355"/>
      <c r="AS215" s="241">
        <f>SUM(AS211:AS213)</f>
        <v>0</v>
      </c>
      <c r="AT215" s="241">
        <f>SUM(AT211:AT213)</f>
        <v>0</v>
      </c>
      <c r="AU215" s="241">
        <f>SUM(AU211:AU213)</f>
        <v>0</v>
      </c>
      <c r="AV215" s="241">
        <f>SUM(AV211:AV213)</f>
        <v>0</v>
      </c>
      <c r="AW215" s="241">
        <f>SUM(AW211:AW213)</f>
        <v>0</v>
      </c>
      <c r="AX215" s="355"/>
      <c r="AY215" s="241">
        <f>SUM(AY211:AY213)</f>
        <v>0</v>
      </c>
      <c r="AZ215" s="241">
        <f>SUM(AZ211:AZ213)</f>
        <v>0</v>
      </c>
      <c r="BA215" s="241">
        <f>SUM(BA211:BA213)</f>
        <v>0</v>
      </c>
      <c r="BB215" s="241">
        <f>SUM(BB211:BB213)</f>
        <v>0</v>
      </c>
      <c r="BC215" s="241">
        <f>SUM(BC211:BC213)</f>
        <v>0</v>
      </c>
      <c r="BD215" s="355"/>
      <c r="BE215" s="241">
        <f>SUM(BE211:BE213)</f>
        <v>0</v>
      </c>
      <c r="BF215" s="241">
        <f>SUM(BF211:BF213)</f>
        <v>0</v>
      </c>
      <c r="BG215" s="241">
        <f>SUM(BG211:BG213)</f>
        <v>0</v>
      </c>
      <c r="BH215" s="241">
        <f>SUM(BH211:BH213)</f>
        <v>0</v>
      </c>
      <c r="BI215" s="241">
        <f>SUM(BI211:BI213)</f>
        <v>0</v>
      </c>
      <c r="BJ215" s="355"/>
      <c r="BK215" s="241">
        <f>SUM(BK211:BK213)</f>
        <v>0</v>
      </c>
      <c r="BL215" s="241">
        <f>SUM(BL211:BL213)</f>
        <v>0</v>
      </c>
      <c r="BM215" s="241">
        <f>SUM(BM211:BM213)</f>
        <v>0</v>
      </c>
      <c r="BN215" s="241">
        <f>SUM(BN211:BN213)</f>
        <v>0</v>
      </c>
      <c r="BO215" s="241">
        <f>SUM(BO211:BO213)</f>
        <v>0</v>
      </c>
      <c r="BP215" s="355"/>
      <c r="BQ215" s="241">
        <f>SUM(BQ211:BQ213)</f>
        <v>0</v>
      </c>
      <c r="BR215" s="241">
        <f>SUM(BR211:BR213)</f>
        <v>0</v>
      </c>
      <c r="BS215" s="241">
        <f>SUM(BS211:BS213)</f>
        <v>0</v>
      </c>
      <c r="BT215" s="241">
        <f>SUM(BT211:BT213)</f>
        <v>0</v>
      </c>
      <c r="BU215" s="241">
        <f>SUM(BU211:BU213)</f>
        <v>0</v>
      </c>
      <c r="BV215" s="355"/>
      <c r="BW215" s="241">
        <f>SUM(BW211:BW213)</f>
        <v>0</v>
      </c>
      <c r="BX215" s="241">
        <f>SUM(BX211:BX213)</f>
        <v>0</v>
      </c>
      <c r="BY215" s="241">
        <f>SUM(BY211:BY213)</f>
        <v>0</v>
      </c>
      <c r="BZ215" s="241">
        <f>SUM(BZ211:BZ213)</f>
        <v>0</v>
      </c>
      <c r="CA215" s="241">
        <f>SUM(CA211:CA213)</f>
        <v>0</v>
      </c>
      <c r="CB215" s="355"/>
      <c r="CC215" s="241">
        <f>SUM(CC211:CC213)</f>
        <v>0</v>
      </c>
      <c r="CD215" s="241">
        <f>SUM(CD211:CD213)</f>
        <v>0</v>
      </c>
      <c r="CE215" s="241">
        <f>SUM(CE211:CE213)</f>
        <v>0</v>
      </c>
      <c r="CF215" s="241">
        <f>SUM(CF211:CF213)</f>
        <v>0</v>
      </c>
      <c r="CG215" s="241">
        <f>SUM(CG211:CG213)</f>
        <v>0</v>
      </c>
    </row>
    <row r="216" spans="2:85" ht="12" customHeight="1" x14ac:dyDescent="0.2">
      <c r="B216" s="352"/>
      <c r="C216" s="236"/>
      <c r="D216" s="236"/>
      <c r="E216" s="236"/>
      <c r="F216" s="236"/>
      <c r="G216" s="237"/>
      <c r="H216" s="349"/>
      <c r="I216" s="236"/>
      <c r="J216" s="236"/>
      <c r="K216" s="236"/>
      <c r="L216" s="236"/>
      <c r="M216" s="237"/>
      <c r="N216" s="349"/>
      <c r="O216" s="236"/>
      <c r="P216" s="236"/>
      <c r="Q216" s="236"/>
      <c r="R216" s="236"/>
      <c r="S216" s="237"/>
      <c r="T216" s="349"/>
      <c r="U216" s="236"/>
      <c r="V216" s="236"/>
      <c r="W216" s="236"/>
      <c r="X216" s="236"/>
      <c r="Y216" s="237"/>
      <c r="Z216" s="349"/>
      <c r="AA216" s="236"/>
      <c r="AB216" s="236"/>
      <c r="AC216" s="236"/>
      <c r="AD216" s="236"/>
      <c r="AE216" s="236"/>
      <c r="AF216" s="349"/>
      <c r="AG216" s="236"/>
      <c r="AH216" s="236"/>
      <c r="AI216" s="236"/>
      <c r="AJ216" s="236"/>
      <c r="AK216" s="236"/>
      <c r="AL216" s="351"/>
      <c r="AM216" s="236"/>
      <c r="AN216" s="236"/>
      <c r="AO216" s="236"/>
      <c r="AP216" s="236"/>
      <c r="AQ216" s="236"/>
      <c r="AR216" s="351"/>
      <c r="AS216" s="236"/>
      <c r="AT216" s="236"/>
      <c r="AU216" s="236"/>
      <c r="AV216" s="236"/>
      <c r="AW216" s="236"/>
      <c r="AX216" s="351"/>
      <c r="AY216" s="236"/>
      <c r="AZ216" s="236"/>
      <c r="BA216" s="236"/>
      <c r="BB216" s="236"/>
      <c r="BC216" s="236"/>
      <c r="BD216" s="351"/>
      <c r="BE216" s="236"/>
      <c r="BF216" s="236"/>
      <c r="BG216" s="236"/>
      <c r="BH216" s="236"/>
      <c r="BI216" s="236"/>
      <c r="BJ216" s="351"/>
      <c r="BK216" s="236"/>
      <c r="BL216" s="236"/>
      <c r="BM216" s="236"/>
      <c r="BN216" s="236"/>
      <c r="BO216" s="236"/>
      <c r="BP216" s="351"/>
      <c r="BQ216" s="236"/>
      <c r="BR216" s="236"/>
      <c r="BS216" s="236"/>
      <c r="BT216" s="236"/>
      <c r="BU216" s="236"/>
      <c r="BV216" s="351"/>
      <c r="BW216" s="236"/>
      <c r="BX216" s="236"/>
      <c r="BY216" s="236"/>
      <c r="BZ216" s="236"/>
      <c r="CA216" s="236"/>
      <c r="CB216" s="351"/>
      <c r="CC216" s="236"/>
      <c r="CD216" s="236"/>
      <c r="CE216" s="236"/>
      <c r="CF216" s="236"/>
      <c r="CG216" s="236"/>
    </row>
    <row r="217" spans="2:85" ht="12" customHeight="1" x14ac:dyDescent="0.2">
      <c r="B217" s="358" t="s">
        <v>198</v>
      </c>
      <c r="C217" s="236"/>
      <c r="D217" s="236"/>
      <c r="E217" s="236"/>
      <c r="F217" s="236"/>
      <c r="G217" s="237"/>
      <c r="H217" s="349"/>
      <c r="I217" s="236"/>
      <c r="J217" s="236"/>
      <c r="K217" s="236"/>
      <c r="L217" s="236"/>
      <c r="M217" s="237"/>
      <c r="N217" s="349"/>
      <c r="O217" s="236"/>
      <c r="P217" s="236"/>
      <c r="Q217" s="236"/>
      <c r="R217" s="236"/>
      <c r="S217" s="237"/>
      <c r="T217" s="349"/>
      <c r="U217" s="236"/>
      <c r="V217" s="236"/>
      <c r="W217" s="236"/>
      <c r="X217" s="236"/>
      <c r="Y217" s="237"/>
      <c r="Z217" s="349"/>
      <c r="AA217" s="236"/>
      <c r="AB217" s="236"/>
      <c r="AC217" s="236"/>
      <c r="AD217" s="236"/>
      <c r="AE217" s="236"/>
      <c r="AF217" s="349"/>
      <c r="AG217" s="236"/>
      <c r="AH217" s="236"/>
      <c r="AI217" s="236"/>
      <c r="AJ217" s="236"/>
      <c r="AK217" s="236"/>
      <c r="AL217" s="351"/>
      <c r="AM217" s="236"/>
      <c r="AN217" s="236"/>
      <c r="AO217" s="236"/>
      <c r="AP217" s="236"/>
      <c r="AQ217" s="236"/>
      <c r="AR217" s="351"/>
      <c r="AS217" s="236"/>
      <c r="AT217" s="236"/>
      <c r="AU217" s="236"/>
      <c r="AV217" s="236"/>
      <c r="AW217" s="236"/>
      <c r="AX217" s="351"/>
      <c r="AY217" s="236"/>
      <c r="AZ217" s="236"/>
      <c r="BA217" s="236"/>
      <c r="BB217" s="236"/>
      <c r="BC217" s="236"/>
      <c r="BD217" s="351"/>
      <c r="BE217" s="236"/>
      <c r="BF217" s="236"/>
      <c r="BG217" s="236"/>
      <c r="BH217" s="236"/>
      <c r="BI217" s="236"/>
      <c r="BJ217" s="351"/>
      <c r="BK217" s="236"/>
      <c r="BL217" s="236"/>
      <c r="BM217" s="236"/>
      <c r="BN217" s="236"/>
      <c r="BO217" s="236"/>
      <c r="BP217" s="351"/>
      <c r="BQ217" s="236"/>
      <c r="BR217" s="236"/>
      <c r="BS217" s="236"/>
      <c r="BT217" s="236"/>
      <c r="BU217" s="236"/>
      <c r="BV217" s="351"/>
      <c r="BW217" s="236"/>
      <c r="BX217" s="236"/>
      <c r="BY217" s="236"/>
      <c r="BZ217" s="236"/>
      <c r="CA217" s="236"/>
      <c r="CB217" s="351"/>
      <c r="CC217" s="236"/>
      <c r="CD217" s="236"/>
      <c r="CE217" s="236"/>
      <c r="CF217" s="236"/>
      <c r="CG217" s="236"/>
    </row>
    <row r="218" spans="2:85" ht="12" customHeight="1" x14ac:dyDescent="0.2">
      <c r="B218" s="352" t="s">
        <v>312</v>
      </c>
      <c r="C218" s="236"/>
      <c r="D218" s="236"/>
      <c r="E218" s="236"/>
      <c r="F218" s="236"/>
      <c r="G218" s="237"/>
      <c r="H218" s="349"/>
      <c r="I218" s="236"/>
      <c r="J218" s="236"/>
      <c r="K218" s="236"/>
      <c r="L218" s="236"/>
      <c r="M218" s="237">
        <f>AVERAGE(G135,M135)*M192</f>
        <v>4.6023300000000003</v>
      </c>
      <c r="N218" s="349"/>
      <c r="O218" s="236"/>
      <c r="P218" s="236"/>
      <c r="Q218" s="236"/>
      <c r="R218" s="236"/>
      <c r="S218" s="237">
        <f>AVERAGE(M135,S135)*S192</f>
        <v>0.90196799999999988</v>
      </c>
      <c r="T218" s="349"/>
      <c r="U218" s="236"/>
      <c r="V218" s="236"/>
      <c r="W218" s="236"/>
      <c r="X218" s="236"/>
      <c r="Y218" s="237">
        <f>AVERAGE(S135,Y135)*Y192</f>
        <v>8.8568899999999999</v>
      </c>
      <c r="Z218" s="349"/>
      <c r="AA218" s="236"/>
      <c r="AB218" s="236"/>
      <c r="AC218" s="236"/>
      <c r="AD218" s="236"/>
      <c r="AE218" s="237">
        <f>AVERAGE(Y135,AE135)*AE192</f>
        <v>27.612487999999999</v>
      </c>
      <c r="AF218" s="349"/>
      <c r="AG218" s="236">
        <f>AVERAGE(AE135,AG135)*AG192*0.25</f>
        <v>10.960477500000001</v>
      </c>
      <c r="AH218" s="236">
        <f t="shared" ref="AH218:AJ222" si="347">AVERAGE(AG135,AH135)*AH192*0.25</f>
        <v>10.758790000000001</v>
      </c>
      <c r="AI218" s="236">
        <f t="shared" si="347"/>
        <v>10.224602500000001</v>
      </c>
      <c r="AJ218" s="236">
        <f t="shared" si="347"/>
        <v>9.3342900000000011</v>
      </c>
      <c r="AK218" s="236">
        <f t="shared" ref="AK218:AK223" si="348">SUM(AG218:AJ218)</f>
        <v>41.278160000000007</v>
      </c>
      <c r="AL218" s="351"/>
      <c r="AM218" s="236">
        <f>AVERAGE(AK135,AM135)*AM192*0.25</f>
        <v>7.0000635000000004</v>
      </c>
      <c r="AN218" s="236">
        <f t="shared" ref="AN218:AP222" si="349">AVERAGE(AM135,AN135)*AN192*0.25</f>
        <v>6.4563135000000011</v>
      </c>
      <c r="AO218" s="236">
        <f t="shared" si="349"/>
        <v>5.912563500000001</v>
      </c>
      <c r="AP218" s="236">
        <f t="shared" si="349"/>
        <v>5.3688135000000008</v>
      </c>
      <c r="AQ218" s="236">
        <f t="shared" ref="AQ218:AQ223" si="350">SUM(AM218:AP218)</f>
        <v>24.737754000000002</v>
      </c>
      <c r="AR218" s="351"/>
      <c r="AS218" s="236">
        <f>AVERAGE(AQ135,AS135)*AS192*0.25</f>
        <v>8.2537915000000002</v>
      </c>
      <c r="AT218" s="236">
        <f t="shared" ref="AT218:AV222" si="351">AVERAGE(AS135,AT135)*AT192*0.25</f>
        <v>7.9819164999999996</v>
      </c>
      <c r="AU218" s="236">
        <f t="shared" si="351"/>
        <v>7.9500165000000012</v>
      </c>
      <c r="AV218" s="236">
        <f t="shared" si="351"/>
        <v>7.913081375</v>
      </c>
      <c r="AW218" s="236">
        <f t="shared" ref="AW218:AW223" si="352">SUM(AS218:AV218)</f>
        <v>32.098805874999996</v>
      </c>
      <c r="AX218" s="351"/>
      <c r="AY218" s="236">
        <f>AVERAGE(AW135,AY135)*AY192*0.25</f>
        <v>8.1282323749999996</v>
      </c>
      <c r="AZ218" s="236">
        <f t="shared" ref="AZ218:BB222" si="353">AVERAGE(AY135,AZ135)*AZ192*0.25</f>
        <v>7.8808986249999995</v>
      </c>
      <c r="BA218" s="236">
        <f t="shared" si="353"/>
        <v>7.259740374999998</v>
      </c>
      <c r="BB218" s="236">
        <f t="shared" si="353"/>
        <v>6.5549134999999996</v>
      </c>
      <c r="BC218" s="236">
        <f t="shared" ref="BC218:BC223" si="354">SUM(AY218:BB218)</f>
        <v>29.823784874999994</v>
      </c>
      <c r="BD218" s="351"/>
      <c r="BE218" s="236">
        <f>AVERAGE(BC135,BE135)*BE192*0.25</f>
        <v>5.9295</v>
      </c>
      <c r="BF218" s="236">
        <f t="shared" ref="BF218:BH222" si="355">AVERAGE(BE135,BF135)*BF192*0.25</f>
        <v>5.64825</v>
      </c>
      <c r="BG218" s="236">
        <f t="shared" si="355"/>
        <v>3.9306750000000004</v>
      </c>
      <c r="BH218" s="236">
        <f t="shared" si="355"/>
        <v>3.9075750000000005</v>
      </c>
      <c r="BI218" s="236">
        <f t="shared" ref="BI218:BI223" si="356">SUM(BE218:BH218)</f>
        <v>19.416</v>
      </c>
      <c r="BJ218" s="351"/>
      <c r="BK218" s="236">
        <f>AVERAGE(BI135,BK135)*BK192*0.25</f>
        <v>3.9075750000000005</v>
      </c>
      <c r="BL218" s="236">
        <f t="shared" ref="BL218:BN222" si="357">AVERAGE(BK135,BL135)*BL192*0.25</f>
        <v>3.9075750000000005</v>
      </c>
      <c r="BM218" s="236">
        <f t="shared" si="357"/>
        <v>3.9075750000000005</v>
      </c>
      <c r="BN218" s="236">
        <f t="shared" si="357"/>
        <v>3.9075750000000005</v>
      </c>
      <c r="BO218" s="236">
        <f t="shared" ref="BO218:BO223" si="358">SUM(BK218:BN218)</f>
        <v>15.630300000000002</v>
      </c>
      <c r="BP218" s="351"/>
      <c r="BQ218" s="236">
        <f>AVERAGE(BO135,BQ135)*BQ192*0.25</f>
        <v>3.7107000000000006</v>
      </c>
      <c r="BR218" s="236">
        <f t="shared" ref="BR218:BT222" si="359">AVERAGE(BQ135,BR135)*BR192*0.25</f>
        <v>3.5138250000000006</v>
      </c>
      <c r="BS218" s="236">
        <f t="shared" si="359"/>
        <v>3.4907250000000007</v>
      </c>
      <c r="BT218" s="236">
        <f t="shared" si="359"/>
        <v>3.4676250000000008</v>
      </c>
      <c r="BU218" s="236">
        <f t="shared" ref="BU218:BU223" si="360">SUM(BQ218:BT218)</f>
        <v>14.182875000000003</v>
      </c>
      <c r="BV218" s="351"/>
      <c r="BW218" s="236">
        <f>AVERAGE(BU135,BW135)*BW192*0.25</f>
        <v>3.2707500000000009</v>
      </c>
      <c r="BX218" s="236">
        <f t="shared" ref="BX218:BZ222" si="361">AVERAGE(BW135,BX135)*BX192*0.25</f>
        <v>3.0738750000000006</v>
      </c>
      <c r="BY218" s="236">
        <f t="shared" si="361"/>
        <v>3.0507750000000011</v>
      </c>
      <c r="BZ218" s="236">
        <f t="shared" si="361"/>
        <v>3.0276750000000012</v>
      </c>
      <c r="CA218" s="236">
        <f t="shared" ref="CA218:CA223" si="362">SUM(BW218:BZ218)</f>
        <v>12.423075000000004</v>
      </c>
      <c r="CB218" s="351"/>
      <c r="CC218" s="236">
        <f>AVERAGE(CA135,CC135)*CC192*0.25</f>
        <v>2.8308000000000009</v>
      </c>
      <c r="CD218" s="236">
        <f t="shared" ref="CD218:CF222" si="363">AVERAGE(CC135,CD135)*CD192*0.25</f>
        <v>2.633925000000001</v>
      </c>
      <c r="CE218" s="236">
        <f t="shared" si="363"/>
        <v>2.6108250000000011</v>
      </c>
      <c r="CF218" s="236">
        <f t="shared" si="363"/>
        <v>2.5877250000000007</v>
      </c>
      <c r="CG218" s="236">
        <f t="shared" ref="CG218:CG223" si="364">SUM(CC218:CF218)</f>
        <v>10.663275000000004</v>
      </c>
    </row>
    <row r="219" spans="2:85" ht="12" customHeight="1" x14ac:dyDescent="0.2">
      <c r="B219" s="352" t="s">
        <v>319</v>
      </c>
      <c r="C219" s="236"/>
      <c r="D219" s="236"/>
      <c r="E219" s="236"/>
      <c r="F219" s="236"/>
      <c r="G219" s="237"/>
      <c r="H219" s="349"/>
      <c r="I219" s="236"/>
      <c r="J219" s="236"/>
      <c r="K219" s="236"/>
      <c r="L219" s="236"/>
      <c r="M219" s="237">
        <f>AVERAGE(G136,M136)*M193</f>
        <v>1.0380771499999999</v>
      </c>
      <c r="N219" s="349"/>
      <c r="O219" s="236"/>
      <c r="P219" s="236"/>
      <c r="Q219" s="236"/>
      <c r="R219" s="236"/>
      <c r="S219" s="237">
        <f>AVERAGE(M136,S136)*S193</f>
        <v>0</v>
      </c>
      <c r="T219" s="349"/>
      <c r="U219" s="236"/>
      <c r="V219" s="236"/>
      <c r="W219" s="236"/>
      <c r="X219" s="236"/>
      <c r="Y219" s="237">
        <f>AVERAGE(S136,Y136)*Y193</f>
        <v>0.59126000000000001</v>
      </c>
      <c r="Z219" s="349"/>
      <c r="AA219" s="236"/>
      <c r="AB219" s="236"/>
      <c r="AC219" s="236"/>
      <c r="AD219" s="236"/>
      <c r="AE219" s="237">
        <f>AVERAGE(Y136,AE136)*AE193</f>
        <v>0.832542</v>
      </c>
      <c r="AF219" s="349"/>
      <c r="AG219" s="236">
        <f>AVERAGE(AE136,AG136)*AG193*0.25</f>
        <v>0.20759100000000003</v>
      </c>
      <c r="AH219" s="236">
        <f t="shared" si="347"/>
        <v>0.20759100000000003</v>
      </c>
      <c r="AI219" s="236">
        <f t="shared" si="347"/>
        <v>0.20759100000000003</v>
      </c>
      <c r="AJ219" s="236">
        <f t="shared" si="347"/>
        <v>0.20759100000000003</v>
      </c>
      <c r="AK219" s="236">
        <f t="shared" si="348"/>
        <v>0.8303640000000001</v>
      </c>
      <c r="AL219" s="351"/>
      <c r="AM219" s="236">
        <f>AVERAGE(AK136,AM136)*AM193*0.25</f>
        <v>0.20883599999999999</v>
      </c>
      <c r="AN219" s="236">
        <f t="shared" si="349"/>
        <v>0.20759100000000003</v>
      </c>
      <c r="AO219" s="236">
        <f t="shared" si="349"/>
        <v>0.20759100000000003</v>
      </c>
      <c r="AP219" s="236">
        <f t="shared" si="349"/>
        <v>0.20759100000000003</v>
      </c>
      <c r="AQ219" s="236">
        <f t="shared" si="350"/>
        <v>0.83160900000000004</v>
      </c>
      <c r="AR219" s="351"/>
      <c r="AS219" s="236">
        <f>AVERAGE(AQ136,AS136)*AS193*0.25</f>
        <v>0.21848699999999999</v>
      </c>
      <c r="AT219" s="236">
        <f t="shared" si="351"/>
        <v>0.21848699999999999</v>
      </c>
      <c r="AU219" s="236">
        <f t="shared" si="351"/>
        <v>0.20961968557762201</v>
      </c>
      <c r="AV219" s="236">
        <f t="shared" si="351"/>
        <v>0.19847468557762199</v>
      </c>
      <c r="AW219" s="236">
        <f t="shared" si="352"/>
        <v>0.84506837115524402</v>
      </c>
      <c r="AX219" s="351"/>
      <c r="AY219" s="236">
        <f>AVERAGE(AW136,AY136)*AY193*0.25</f>
        <v>0.19619700000000001</v>
      </c>
      <c r="AZ219" s="236">
        <f t="shared" si="353"/>
        <v>0.19619700000000001</v>
      </c>
      <c r="BA219" s="236">
        <f t="shared" si="353"/>
        <v>0.19619700000000001</v>
      </c>
      <c r="BB219" s="236">
        <f t="shared" si="353"/>
        <v>0.24419850000000001</v>
      </c>
      <c r="BC219" s="236">
        <f t="shared" si="354"/>
        <v>0.83278950000000007</v>
      </c>
      <c r="BD219" s="351"/>
      <c r="BE219" s="236">
        <f>AVERAGE(BC136,BE136)*BE193*0.25</f>
        <v>0.29220000000000002</v>
      </c>
      <c r="BF219" s="236">
        <f t="shared" si="355"/>
        <v>0.29220000000000002</v>
      </c>
      <c r="BG219" s="236">
        <f t="shared" si="355"/>
        <v>0.36525000000000002</v>
      </c>
      <c r="BH219" s="236">
        <f t="shared" si="355"/>
        <v>0.36525000000000002</v>
      </c>
      <c r="BI219" s="236">
        <f t="shared" si="356"/>
        <v>1.3149000000000002</v>
      </c>
      <c r="BJ219" s="351"/>
      <c r="BK219" s="236">
        <f>AVERAGE(BI136,BK136)*BK193*0.25</f>
        <v>0.36525000000000002</v>
      </c>
      <c r="BL219" s="236">
        <f t="shared" si="357"/>
        <v>0.36525000000000002</v>
      </c>
      <c r="BM219" s="236">
        <f t="shared" si="357"/>
        <v>0.36525000000000002</v>
      </c>
      <c r="BN219" s="236">
        <f t="shared" si="357"/>
        <v>0.18262500000000001</v>
      </c>
      <c r="BO219" s="236">
        <f t="shared" si="358"/>
        <v>1.278375</v>
      </c>
      <c r="BP219" s="351"/>
      <c r="BQ219" s="236">
        <f>AVERAGE(BO136,BQ136)*BQ193*0.25</f>
        <v>0</v>
      </c>
      <c r="BR219" s="236">
        <f t="shared" si="359"/>
        <v>0</v>
      </c>
      <c r="BS219" s="236">
        <f t="shared" si="359"/>
        <v>0</v>
      </c>
      <c r="BT219" s="236">
        <f t="shared" si="359"/>
        <v>0</v>
      </c>
      <c r="BU219" s="236">
        <f t="shared" si="360"/>
        <v>0</v>
      </c>
      <c r="BV219" s="351"/>
      <c r="BW219" s="236">
        <f>AVERAGE(BU136,BW136)*BW193*0.25</f>
        <v>0</v>
      </c>
      <c r="BX219" s="236">
        <f t="shared" si="361"/>
        <v>0</v>
      </c>
      <c r="BY219" s="236">
        <f t="shared" si="361"/>
        <v>0</v>
      </c>
      <c r="BZ219" s="236">
        <f t="shared" si="361"/>
        <v>0</v>
      </c>
      <c r="CA219" s="236">
        <f t="shared" si="362"/>
        <v>0</v>
      </c>
      <c r="CB219" s="351"/>
      <c r="CC219" s="236">
        <f>AVERAGE(CA136,CC136)*CC193*0.25</f>
        <v>0</v>
      </c>
      <c r="CD219" s="236">
        <f t="shared" si="363"/>
        <v>0</v>
      </c>
      <c r="CE219" s="236">
        <f t="shared" si="363"/>
        <v>0</v>
      </c>
      <c r="CF219" s="236">
        <f t="shared" si="363"/>
        <v>0</v>
      </c>
      <c r="CG219" s="236">
        <f t="shared" si="364"/>
        <v>0</v>
      </c>
    </row>
    <row r="220" spans="2:85" ht="12" customHeight="1" x14ac:dyDescent="0.2">
      <c r="B220" s="113" t="s">
        <v>330</v>
      </c>
      <c r="C220" s="236"/>
      <c r="D220" s="236"/>
      <c r="E220" s="236"/>
      <c r="F220" s="236"/>
      <c r="G220" s="237"/>
      <c r="H220" s="349"/>
      <c r="I220" s="236"/>
      <c r="J220" s="236"/>
      <c r="K220" s="236"/>
      <c r="L220" s="236"/>
      <c r="M220" s="237"/>
      <c r="N220" s="349"/>
      <c r="O220" s="236"/>
      <c r="P220" s="236"/>
      <c r="Q220" s="236"/>
      <c r="R220" s="236"/>
      <c r="S220" s="237"/>
      <c r="T220" s="349"/>
      <c r="U220" s="236"/>
      <c r="V220" s="236"/>
      <c r="W220" s="236"/>
      <c r="X220" s="236"/>
      <c r="Y220" s="237">
        <f>AVERAGE(S137,Y137)*Y194</f>
        <v>0</v>
      </c>
      <c r="Z220" s="349"/>
      <c r="AA220" s="236"/>
      <c r="AB220" s="236"/>
      <c r="AC220" s="236"/>
      <c r="AD220" s="236"/>
      <c r="AE220" s="237">
        <f>AVERAGE(Y137,AE137)*AE194</f>
        <v>4.5935999999999998E-2</v>
      </c>
      <c r="AF220" s="349"/>
      <c r="AG220" s="236">
        <f>AVERAGE(AE137,AG137)*AG194*0.25</f>
        <v>2.2967999999999999E-2</v>
      </c>
      <c r="AH220" s="236">
        <f t="shared" si="347"/>
        <v>2.2967999999999999E-2</v>
      </c>
      <c r="AI220" s="236">
        <f t="shared" si="347"/>
        <v>2.2967999999999999E-2</v>
      </c>
      <c r="AJ220" s="236">
        <f t="shared" si="347"/>
        <v>2.2967999999999999E-2</v>
      </c>
      <c r="AK220" s="236">
        <f t="shared" si="348"/>
        <v>9.1871999999999995E-2</v>
      </c>
      <c r="AL220" s="351"/>
      <c r="AM220" s="236">
        <f>AVERAGE(AK137,AM137)*AM194*0.25</f>
        <v>1.1483999999999999E-2</v>
      </c>
      <c r="AN220" s="236">
        <f t="shared" si="349"/>
        <v>0</v>
      </c>
      <c r="AO220" s="236">
        <f t="shared" si="349"/>
        <v>0</v>
      </c>
      <c r="AP220" s="236">
        <f t="shared" si="349"/>
        <v>0</v>
      </c>
      <c r="AQ220" s="236">
        <f t="shared" si="350"/>
        <v>1.1483999999999999E-2</v>
      </c>
      <c r="AR220" s="351"/>
      <c r="AS220" s="236">
        <f>AVERAGE(AQ137,AS137)*AS194*0.25</f>
        <v>0</v>
      </c>
      <c r="AT220" s="236">
        <f t="shared" si="351"/>
        <v>2.8883249999999999E-2</v>
      </c>
      <c r="AU220" s="236">
        <f t="shared" si="351"/>
        <v>5.5422041434592E-2</v>
      </c>
      <c r="AV220" s="236">
        <f t="shared" si="351"/>
        <v>2.6538791434591997E-2</v>
      </c>
      <c r="AW220" s="236">
        <f t="shared" si="352"/>
        <v>0.110844082869184</v>
      </c>
      <c r="AX220" s="351"/>
      <c r="AY220" s="236">
        <f>AVERAGE(AW137,AY137)*AY194*0.25</f>
        <v>0</v>
      </c>
      <c r="AZ220" s="236">
        <f t="shared" si="353"/>
        <v>0</v>
      </c>
      <c r="BA220" s="236">
        <f t="shared" si="353"/>
        <v>0</v>
      </c>
      <c r="BB220" s="236">
        <f t="shared" si="353"/>
        <v>0</v>
      </c>
      <c r="BC220" s="236">
        <f t="shared" si="354"/>
        <v>0</v>
      </c>
      <c r="BD220" s="351"/>
      <c r="BE220" s="236">
        <f>AVERAGE(BC137,BE137)*BE194*0.25</f>
        <v>0</v>
      </c>
      <c r="BF220" s="236">
        <f t="shared" si="355"/>
        <v>0</v>
      </c>
      <c r="BG220" s="236">
        <f t="shared" si="355"/>
        <v>0</v>
      </c>
      <c r="BH220" s="236">
        <f t="shared" si="355"/>
        <v>0</v>
      </c>
      <c r="BI220" s="236">
        <f t="shared" si="356"/>
        <v>0</v>
      </c>
      <c r="BJ220" s="351"/>
      <c r="BK220" s="236">
        <f>AVERAGE(BI137,BK137)*BK194*0.25</f>
        <v>0</v>
      </c>
      <c r="BL220" s="236">
        <f t="shared" si="357"/>
        <v>0</v>
      </c>
      <c r="BM220" s="236">
        <f t="shared" si="357"/>
        <v>0</v>
      </c>
      <c r="BN220" s="236">
        <f t="shared" si="357"/>
        <v>0</v>
      </c>
      <c r="BO220" s="236">
        <f t="shared" si="358"/>
        <v>0</v>
      </c>
      <c r="BP220" s="351"/>
      <c r="BQ220" s="236">
        <f>AVERAGE(BO137,BQ137)*BQ194*0.25</f>
        <v>0</v>
      </c>
      <c r="BR220" s="236">
        <f t="shared" si="359"/>
        <v>0</v>
      </c>
      <c r="BS220" s="236">
        <f t="shared" si="359"/>
        <v>0</v>
      </c>
      <c r="BT220" s="236">
        <f t="shared" si="359"/>
        <v>0</v>
      </c>
      <c r="BU220" s="236">
        <f t="shared" si="360"/>
        <v>0</v>
      </c>
      <c r="BV220" s="351"/>
      <c r="BW220" s="236">
        <f>AVERAGE(BU137,BW137)*BW194*0.25</f>
        <v>0</v>
      </c>
      <c r="BX220" s="236">
        <f t="shared" si="361"/>
        <v>0</v>
      </c>
      <c r="BY220" s="236">
        <f t="shared" si="361"/>
        <v>0</v>
      </c>
      <c r="BZ220" s="236">
        <f t="shared" si="361"/>
        <v>0</v>
      </c>
      <c r="CA220" s="236">
        <f t="shared" si="362"/>
        <v>0</v>
      </c>
      <c r="CB220" s="351"/>
      <c r="CC220" s="236">
        <f>AVERAGE(CA137,CC137)*CC194*0.25</f>
        <v>0</v>
      </c>
      <c r="CD220" s="236">
        <f t="shared" si="363"/>
        <v>0</v>
      </c>
      <c r="CE220" s="236">
        <f t="shared" si="363"/>
        <v>0</v>
      </c>
      <c r="CF220" s="236">
        <f t="shared" si="363"/>
        <v>0</v>
      </c>
      <c r="CG220" s="236">
        <f t="shared" si="364"/>
        <v>0</v>
      </c>
    </row>
    <row r="221" spans="2:85" ht="12" customHeight="1" x14ac:dyDescent="0.2">
      <c r="B221" s="352" t="s">
        <v>320</v>
      </c>
      <c r="C221" s="236"/>
      <c r="D221" s="236"/>
      <c r="E221" s="236"/>
      <c r="F221" s="236"/>
      <c r="G221" s="237"/>
      <c r="H221" s="349"/>
      <c r="I221" s="236"/>
      <c r="J221" s="236"/>
      <c r="K221" s="236"/>
      <c r="L221" s="236"/>
      <c r="M221" s="237">
        <f>AVERAGE(G138,M138)*M195</f>
        <v>2.0168711500000001</v>
      </c>
      <c r="N221" s="349"/>
      <c r="O221" s="236"/>
      <c r="P221" s="236"/>
      <c r="Q221" s="236"/>
      <c r="R221" s="236"/>
      <c r="S221" s="237">
        <f>AVERAGE(M138,S138)*S195</f>
        <v>1.3651150000000001</v>
      </c>
      <c r="T221" s="349"/>
      <c r="U221" s="236"/>
      <c r="V221" s="236"/>
      <c r="W221" s="236"/>
      <c r="X221" s="236"/>
      <c r="Y221" s="237">
        <f>AVERAGE(S138,Y138)*Y195</f>
        <v>1.3023090000000002</v>
      </c>
      <c r="Z221" s="349"/>
      <c r="AA221" s="236"/>
      <c r="AB221" s="236"/>
      <c r="AC221" s="236"/>
      <c r="AD221" s="236"/>
      <c r="AE221" s="237">
        <f>AVERAGE(Y138,AE138)*AE195</f>
        <v>1.7490054999999998</v>
      </c>
      <c r="AF221" s="349"/>
      <c r="AG221" s="236">
        <f>AVERAGE(AE138,AG138)*AG195*0.25</f>
        <v>0.43910487499999989</v>
      </c>
      <c r="AH221" s="236">
        <f t="shared" si="347"/>
        <v>0.42892849999999977</v>
      </c>
      <c r="AI221" s="236">
        <f t="shared" si="347"/>
        <v>0.42892849999999977</v>
      </c>
      <c r="AJ221" s="236">
        <f t="shared" si="347"/>
        <v>0.42892849999999977</v>
      </c>
      <c r="AK221" s="236">
        <f t="shared" si="348"/>
        <v>1.7258903749999992</v>
      </c>
      <c r="AL221" s="351"/>
      <c r="AM221" s="236">
        <f>AVERAGE(AK138,AM138)*AM195*0.25</f>
        <v>0.49919787499999951</v>
      </c>
      <c r="AN221" s="236">
        <f t="shared" si="349"/>
        <v>0.55718849999999942</v>
      </c>
      <c r="AO221" s="236">
        <f t="shared" si="349"/>
        <v>0.70441249999999955</v>
      </c>
      <c r="AP221" s="236">
        <f t="shared" si="349"/>
        <v>0.96894324999999981</v>
      </c>
      <c r="AQ221" s="236">
        <f t="shared" si="350"/>
        <v>2.7297421249999982</v>
      </c>
      <c r="AR221" s="351"/>
      <c r="AS221" s="236">
        <f>AVERAGE(AQ138,AS138)*AS195*0.25</f>
        <v>0.32685949999999997</v>
      </c>
      <c r="AT221" s="236">
        <f t="shared" si="351"/>
        <v>0.32588324999999996</v>
      </c>
      <c r="AU221" s="236">
        <f t="shared" si="351"/>
        <v>0.31346298597811212</v>
      </c>
      <c r="AV221" s="236">
        <f t="shared" si="351"/>
        <v>0.29449073597811209</v>
      </c>
      <c r="AW221" s="236">
        <f t="shared" si="352"/>
        <v>1.2606964719562241</v>
      </c>
      <c r="AX221" s="351"/>
      <c r="AY221" s="236">
        <f>AVERAGE(AW138,AY138)*AY195*0.25</f>
        <v>0.28793874999999997</v>
      </c>
      <c r="AZ221" s="236">
        <f t="shared" si="353"/>
        <v>0.28793874999999997</v>
      </c>
      <c r="BA221" s="236">
        <f t="shared" si="353"/>
        <v>0.28793874999999997</v>
      </c>
      <c r="BB221" s="236">
        <f t="shared" si="353"/>
        <v>0.28751937500000002</v>
      </c>
      <c r="BC221" s="236">
        <f t="shared" si="354"/>
        <v>1.151335625</v>
      </c>
      <c r="BD221" s="351"/>
      <c r="BE221" s="236">
        <f>AVERAGE(BC138,BE138)*BE195*0.25</f>
        <v>0.28710000000000002</v>
      </c>
      <c r="BF221" s="236">
        <f t="shared" si="355"/>
        <v>0.28710000000000002</v>
      </c>
      <c r="BG221" s="236">
        <f t="shared" si="355"/>
        <v>0.28710000000000002</v>
      </c>
      <c r="BH221" s="236">
        <f t="shared" si="355"/>
        <v>0.28710000000000002</v>
      </c>
      <c r="BI221" s="236">
        <f t="shared" si="356"/>
        <v>1.1484000000000001</v>
      </c>
      <c r="BJ221" s="351"/>
      <c r="BK221" s="236">
        <f>AVERAGE(BI138,BK138)*BK195*0.25</f>
        <v>0.28710000000000002</v>
      </c>
      <c r="BL221" s="236">
        <f t="shared" si="357"/>
        <v>0.28710000000000002</v>
      </c>
      <c r="BM221" s="236">
        <f t="shared" si="357"/>
        <v>0.28710000000000002</v>
      </c>
      <c r="BN221" s="236">
        <f t="shared" si="357"/>
        <v>0.28710000000000002</v>
      </c>
      <c r="BO221" s="236">
        <f t="shared" si="358"/>
        <v>1.1484000000000001</v>
      </c>
      <c r="BP221" s="351"/>
      <c r="BQ221" s="236">
        <f>AVERAGE(BO138,BQ138)*BQ195*0.25</f>
        <v>0.28710000000000002</v>
      </c>
      <c r="BR221" s="236">
        <f t="shared" si="359"/>
        <v>0.28710000000000002</v>
      </c>
      <c r="BS221" s="236">
        <f t="shared" si="359"/>
        <v>0.28710000000000002</v>
      </c>
      <c r="BT221" s="236">
        <f t="shared" si="359"/>
        <v>0.28710000000000002</v>
      </c>
      <c r="BU221" s="236">
        <f t="shared" si="360"/>
        <v>1.1484000000000001</v>
      </c>
      <c r="BV221" s="351"/>
      <c r="BW221" s="236">
        <f>AVERAGE(BU138,BW138)*BW195*0.25</f>
        <v>0.28710000000000002</v>
      </c>
      <c r="BX221" s="236">
        <f t="shared" si="361"/>
        <v>0.28710000000000002</v>
      </c>
      <c r="BY221" s="236">
        <f t="shared" si="361"/>
        <v>0.28710000000000002</v>
      </c>
      <c r="BZ221" s="236">
        <f t="shared" si="361"/>
        <v>0.28710000000000002</v>
      </c>
      <c r="CA221" s="236">
        <f t="shared" si="362"/>
        <v>1.1484000000000001</v>
      </c>
      <c r="CB221" s="351"/>
      <c r="CC221" s="236">
        <f>AVERAGE(CA138,CC138)*CC195*0.25</f>
        <v>0.28710000000000002</v>
      </c>
      <c r="CD221" s="236">
        <f t="shared" si="363"/>
        <v>0.28710000000000002</v>
      </c>
      <c r="CE221" s="236">
        <f t="shared" si="363"/>
        <v>0.28710000000000002</v>
      </c>
      <c r="CF221" s="236">
        <f t="shared" si="363"/>
        <v>0.28710000000000002</v>
      </c>
      <c r="CG221" s="236">
        <f t="shared" si="364"/>
        <v>1.1484000000000001</v>
      </c>
    </row>
    <row r="222" spans="2:85" ht="12" customHeight="1" x14ac:dyDescent="0.2">
      <c r="B222" s="352" t="s">
        <v>316</v>
      </c>
      <c r="C222" s="236"/>
      <c r="D222" s="236"/>
      <c r="E222" s="236"/>
      <c r="F222" s="236"/>
      <c r="G222" s="237"/>
      <c r="H222" s="349"/>
      <c r="I222" s="236"/>
      <c r="J222" s="236"/>
      <c r="K222" s="236"/>
      <c r="L222" s="236"/>
      <c r="M222" s="237">
        <f>AVERAGE(G139,M139)*M196</f>
        <v>1.5425639999999998</v>
      </c>
      <c r="N222" s="349"/>
      <c r="O222" s="236"/>
      <c r="P222" s="236"/>
      <c r="Q222" s="236"/>
      <c r="R222" s="236"/>
      <c r="S222" s="237">
        <f>AVERAGE(M139,S139)*S196</f>
        <v>0.42766815000000008</v>
      </c>
      <c r="T222" s="349"/>
      <c r="U222" s="236"/>
      <c r="V222" s="236"/>
      <c r="W222" s="236"/>
      <c r="X222" s="236"/>
      <c r="Y222" s="237">
        <f>AVERAGE(S139,Y139)*Y196</f>
        <v>0.35283600000000004</v>
      </c>
      <c r="Z222" s="349"/>
      <c r="AA222" s="236"/>
      <c r="AB222" s="236"/>
      <c r="AC222" s="236"/>
      <c r="AD222" s="236"/>
      <c r="AE222" s="237">
        <f>AVERAGE(Y139,AE139)*AE196</f>
        <v>0.17416500000000001</v>
      </c>
      <c r="AF222" s="349"/>
      <c r="AG222" s="236">
        <f>AVERAGE(AE139,AG139)*AG196*0.25</f>
        <v>2.5649999999999999E-2</v>
      </c>
      <c r="AH222" s="236">
        <f t="shared" si="347"/>
        <v>2.5649999999999999E-2</v>
      </c>
      <c r="AI222" s="236">
        <f t="shared" si="347"/>
        <v>2.5649999999999999E-2</v>
      </c>
      <c r="AJ222" s="236">
        <f t="shared" si="347"/>
        <v>2.5649999999999999E-2</v>
      </c>
      <c r="AK222" s="236">
        <f t="shared" si="348"/>
        <v>0.1026</v>
      </c>
      <c r="AL222" s="351"/>
      <c r="AM222" s="236">
        <f>AVERAGE(AK139,AM139)*AM196*0.25</f>
        <v>2.5649999999999999E-2</v>
      </c>
      <c r="AN222" s="236">
        <f t="shared" si="349"/>
        <v>2.5649999999999999E-2</v>
      </c>
      <c r="AO222" s="236">
        <f t="shared" si="349"/>
        <v>2.5649999999999999E-2</v>
      </c>
      <c r="AP222" s="236">
        <f t="shared" si="349"/>
        <v>2.5649999999999999E-2</v>
      </c>
      <c r="AQ222" s="236">
        <f t="shared" si="350"/>
        <v>0.1026</v>
      </c>
      <c r="AR222" s="351"/>
      <c r="AS222" s="236">
        <f>AVERAGE(AQ139,AS139)*AS196*0.25</f>
        <v>2.1284999999999998E-2</v>
      </c>
      <c r="AT222" s="236">
        <f t="shared" si="351"/>
        <v>2.1284999999999998E-2</v>
      </c>
      <c r="AU222" s="236">
        <f t="shared" si="351"/>
        <v>2.042114637264315E-2</v>
      </c>
      <c r="AV222" s="236">
        <f t="shared" si="351"/>
        <v>1.6689896372643152E-2</v>
      </c>
      <c r="AW222" s="236">
        <f t="shared" si="352"/>
        <v>7.9681042745286298E-2</v>
      </c>
      <c r="AX222" s="351"/>
      <c r="AY222" s="236">
        <f>AVERAGE(AW139,AY139)*AY196*0.25</f>
        <v>1.38225E-2</v>
      </c>
      <c r="AZ222" s="236">
        <f t="shared" si="353"/>
        <v>1.38225E-2</v>
      </c>
      <c r="BA222" s="236">
        <f t="shared" si="353"/>
        <v>1.38225E-2</v>
      </c>
      <c r="BB222" s="236">
        <f t="shared" si="353"/>
        <v>0.47041124999999995</v>
      </c>
      <c r="BC222" s="236">
        <f t="shared" si="354"/>
        <v>0.51187874999999994</v>
      </c>
      <c r="BD222" s="351"/>
      <c r="BE222" s="236">
        <f>AVERAGE(BC139,BE139)*BE196*0.25</f>
        <v>0.92699999999999994</v>
      </c>
      <c r="BF222" s="236">
        <f t="shared" si="355"/>
        <v>0.92699999999999994</v>
      </c>
      <c r="BG222" s="236">
        <f t="shared" si="355"/>
        <v>0.92699999999999994</v>
      </c>
      <c r="BH222" s="236">
        <f t="shared" si="355"/>
        <v>0.92699999999999994</v>
      </c>
      <c r="BI222" s="236">
        <f t="shared" si="356"/>
        <v>3.7079999999999997</v>
      </c>
      <c r="BJ222" s="351"/>
      <c r="BK222" s="236">
        <f>AVERAGE(BI139,BK139)*BK196*0.25</f>
        <v>0.92699999999999994</v>
      </c>
      <c r="BL222" s="236">
        <f t="shared" si="357"/>
        <v>0.92699999999999994</v>
      </c>
      <c r="BM222" s="236">
        <f t="shared" si="357"/>
        <v>0.92699999999999994</v>
      </c>
      <c r="BN222" s="236">
        <f t="shared" si="357"/>
        <v>0.92699999999999994</v>
      </c>
      <c r="BO222" s="236">
        <f t="shared" si="358"/>
        <v>3.7079999999999997</v>
      </c>
      <c r="BP222" s="351"/>
      <c r="BQ222" s="236">
        <f>AVERAGE(BO139,BQ139)*BQ196*0.25</f>
        <v>0.92699999999999994</v>
      </c>
      <c r="BR222" s="236">
        <f t="shared" si="359"/>
        <v>0.92699999999999994</v>
      </c>
      <c r="BS222" s="236">
        <f t="shared" si="359"/>
        <v>0.92699999999999994</v>
      </c>
      <c r="BT222" s="236">
        <f t="shared" si="359"/>
        <v>0.92699999999999994</v>
      </c>
      <c r="BU222" s="236">
        <f t="shared" si="360"/>
        <v>3.7079999999999997</v>
      </c>
      <c r="BV222" s="351"/>
      <c r="BW222" s="236">
        <f>AVERAGE(BU139,BW139)*BW196*0.25</f>
        <v>0.92699999999999994</v>
      </c>
      <c r="BX222" s="236">
        <f t="shared" si="361"/>
        <v>0.92699999999999994</v>
      </c>
      <c r="BY222" s="236">
        <f t="shared" si="361"/>
        <v>0.92699999999999994</v>
      </c>
      <c r="BZ222" s="236">
        <f t="shared" si="361"/>
        <v>0.92699999999999994</v>
      </c>
      <c r="CA222" s="236">
        <f t="shared" si="362"/>
        <v>3.7079999999999997</v>
      </c>
      <c r="CB222" s="351"/>
      <c r="CC222" s="236">
        <f>AVERAGE(CA139,CC139)*CC196*0.25</f>
        <v>0.92699999999999994</v>
      </c>
      <c r="CD222" s="236">
        <f t="shared" si="363"/>
        <v>0.92699999999999994</v>
      </c>
      <c r="CE222" s="236">
        <f t="shared" si="363"/>
        <v>0.92699999999999994</v>
      </c>
      <c r="CF222" s="236">
        <f t="shared" si="363"/>
        <v>0.92699999999999994</v>
      </c>
      <c r="CG222" s="236">
        <f t="shared" si="364"/>
        <v>3.7079999999999997</v>
      </c>
    </row>
    <row r="223" spans="2:85" ht="12" customHeight="1" x14ac:dyDescent="0.2">
      <c r="B223" s="11" t="s">
        <v>340</v>
      </c>
      <c r="C223" s="236"/>
      <c r="D223" s="236"/>
      <c r="E223" s="236"/>
      <c r="F223" s="236"/>
      <c r="G223" s="237"/>
      <c r="H223" s="349"/>
      <c r="I223" s="236"/>
      <c r="J223" s="236"/>
      <c r="K223" s="236"/>
      <c r="L223" s="236"/>
      <c r="M223" s="236">
        <f>M227-SUM(M218:M222,M215,M208)</f>
        <v>22.640506700000003</v>
      </c>
      <c r="N223" s="349"/>
      <c r="O223" s="236"/>
      <c r="P223" s="236"/>
      <c r="Q223" s="236"/>
      <c r="R223" s="236"/>
      <c r="S223" s="236">
        <f>S227-SUM(S218:S222,S215,S208)</f>
        <v>18.372571199999999</v>
      </c>
      <c r="T223" s="349"/>
      <c r="U223" s="236"/>
      <c r="V223" s="236"/>
      <c r="W223" s="236"/>
      <c r="X223" s="236"/>
      <c r="Y223" s="236">
        <f>Y227-SUM(Y218:Y222,Y215,Y208)</f>
        <v>13.466817199999999</v>
      </c>
      <c r="Z223" s="349"/>
      <c r="AA223" s="236"/>
      <c r="AB223" s="235"/>
      <c r="AC223" s="235"/>
      <c r="AD223" s="235"/>
      <c r="AE223" s="236">
        <f>AE227-SUM(AE218:AE222,AE215,AE208)</f>
        <v>12.224618000000003</v>
      </c>
      <c r="AF223" s="349"/>
      <c r="AG223" s="235">
        <v>3</v>
      </c>
      <c r="AH223" s="235">
        <v>3</v>
      </c>
      <c r="AI223" s="235">
        <v>3</v>
      </c>
      <c r="AJ223" s="235">
        <v>3</v>
      </c>
      <c r="AK223" s="236">
        <f t="shared" si="348"/>
        <v>12</v>
      </c>
      <c r="AL223" s="349"/>
      <c r="AM223" s="235">
        <v>3</v>
      </c>
      <c r="AN223" s="235">
        <v>3</v>
      </c>
      <c r="AO223" s="235">
        <v>3</v>
      </c>
      <c r="AP223" s="235">
        <v>3</v>
      </c>
      <c r="AQ223" s="236">
        <f t="shared" si="350"/>
        <v>12</v>
      </c>
      <c r="AR223" s="349"/>
      <c r="AS223" s="235">
        <v>3</v>
      </c>
      <c r="AT223" s="235">
        <v>3</v>
      </c>
      <c r="AU223" s="235">
        <v>3</v>
      </c>
      <c r="AV223" s="235">
        <v>3</v>
      </c>
      <c r="AW223" s="236">
        <f t="shared" si="352"/>
        <v>12</v>
      </c>
      <c r="AX223" s="349"/>
      <c r="AY223" s="235">
        <v>3</v>
      </c>
      <c r="AZ223" s="235">
        <v>3</v>
      </c>
      <c r="BA223" s="235">
        <v>3</v>
      </c>
      <c r="BB223" s="235">
        <v>3</v>
      </c>
      <c r="BC223" s="236">
        <f t="shared" si="354"/>
        <v>12</v>
      </c>
      <c r="BD223" s="349"/>
      <c r="BE223" s="235">
        <v>3</v>
      </c>
      <c r="BF223" s="235">
        <v>3</v>
      </c>
      <c r="BG223" s="235">
        <v>3</v>
      </c>
      <c r="BH223" s="235">
        <v>3</v>
      </c>
      <c r="BI223" s="236">
        <f t="shared" si="356"/>
        <v>12</v>
      </c>
      <c r="BJ223" s="349"/>
      <c r="BK223" s="235">
        <v>3</v>
      </c>
      <c r="BL223" s="235">
        <v>3</v>
      </c>
      <c r="BM223" s="235">
        <v>3</v>
      </c>
      <c r="BN223" s="235">
        <v>3</v>
      </c>
      <c r="BO223" s="236">
        <f t="shared" si="358"/>
        <v>12</v>
      </c>
      <c r="BP223" s="349"/>
      <c r="BQ223" s="235">
        <v>3</v>
      </c>
      <c r="BR223" s="235">
        <v>3</v>
      </c>
      <c r="BS223" s="235">
        <v>3</v>
      </c>
      <c r="BT223" s="235">
        <v>3</v>
      </c>
      <c r="BU223" s="236">
        <f t="shared" si="360"/>
        <v>12</v>
      </c>
      <c r="BV223" s="349"/>
      <c r="BW223" s="235">
        <v>3</v>
      </c>
      <c r="BX223" s="235">
        <v>3</v>
      </c>
      <c r="BY223" s="235">
        <v>3</v>
      </c>
      <c r="BZ223" s="235">
        <v>3</v>
      </c>
      <c r="CA223" s="236">
        <f t="shared" si="362"/>
        <v>12</v>
      </c>
      <c r="CB223" s="349"/>
      <c r="CC223" s="235">
        <v>3</v>
      </c>
      <c r="CD223" s="235">
        <v>3</v>
      </c>
      <c r="CE223" s="235">
        <v>3</v>
      </c>
      <c r="CF223" s="235">
        <v>3</v>
      </c>
      <c r="CG223" s="236">
        <f t="shared" si="364"/>
        <v>12</v>
      </c>
    </row>
    <row r="224" spans="2:85" ht="12" customHeight="1" x14ac:dyDescent="0.2">
      <c r="B224" s="369" t="s">
        <v>327</v>
      </c>
      <c r="C224" s="370"/>
      <c r="D224" s="370"/>
      <c r="E224" s="370"/>
      <c r="F224" s="370"/>
      <c r="G224" s="371"/>
      <c r="H224" s="349"/>
      <c r="I224" s="370"/>
      <c r="J224" s="370"/>
      <c r="K224" s="370"/>
      <c r="L224" s="370"/>
      <c r="M224" s="370">
        <f>SUM(M218:M223)</f>
        <v>31.840349000000003</v>
      </c>
      <c r="N224" s="349"/>
      <c r="O224" s="370"/>
      <c r="P224" s="370"/>
      <c r="Q224" s="370"/>
      <c r="R224" s="370"/>
      <c r="S224" s="370">
        <f>SUM(S218:S223)</f>
        <v>21.067322349999998</v>
      </c>
      <c r="T224" s="349"/>
      <c r="U224" s="370"/>
      <c r="V224" s="370"/>
      <c r="W224" s="370"/>
      <c r="X224" s="370"/>
      <c r="Y224" s="370">
        <f>SUM(Y218:Y223)</f>
        <v>24.570112199999997</v>
      </c>
      <c r="Z224" s="349"/>
      <c r="AA224" s="370"/>
      <c r="AB224" s="370"/>
      <c r="AC224" s="370"/>
      <c r="AD224" s="370"/>
      <c r="AE224" s="370">
        <f>SUM(AE218:AE223)</f>
        <v>42.638754500000005</v>
      </c>
      <c r="AF224" s="349"/>
      <c r="AG224" s="370">
        <f>SUM(AG218:AG223)</f>
        <v>14.655791375000003</v>
      </c>
      <c r="AH224" s="370">
        <f>SUM(AH218:AH223)</f>
        <v>14.443927500000003</v>
      </c>
      <c r="AI224" s="370">
        <f>SUM(AI218:AI223)</f>
        <v>13.909740000000003</v>
      </c>
      <c r="AJ224" s="370">
        <f>SUM(AJ218:AJ223)</f>
        <v>13.019427500000003</v>
      </c>
      <c r="AK224" s="370">
        <f>SUM(AK218:AK223)</f>
        <v>56.028886375000013</v>
      </c>
      <c r="AL224" s="351"/>
      <c r="AM224" s="370">
        <f>SUM(AM218:AM223)</f>
        <v>10.745231374999999</v>
      </c>
      <c r="AN224" s="370">
        <f>SUM(AN218:AN223)</f>
        <v>10.246743</v>
      </c>
      <c r="AO224" s="370">
        <f>SUM(AO218:AO223)</f>
        <v>9.8502170000000007</v>
      </c>
      <c r="AP224" s="370">
        <f>SUM(AP218:AP223)</f>
        <v>9.5709977500000001</v>
      </c>
      <c r="AQ224" s="370">
        <f>SUM(AQ218:AQ223)</f>
        <v>40.413189125000002</v>
      </c>
      <c r="AR224" s="351"/>
      <c r="AS224" s="370">
        <f>SUM(AS218:AS223)</f>
        <v>11.820423</v>
      </c>
      <c r="AT224" s="370">
        <f>SUM(AT218:AT223)</f>
        <v>11.576455000000001</v>
      </c>
      <c r="AU224" s="370">
        <f>SUM(AU218:AU223)</f>
        <v>11.548942359362972</v>
      </c>
      <c r="AV224" s="370">
        <f>SUM(AV218:AV223)</f>
        <v>11.449275484362968</v>
      </c>
      <c r="AW224" s="370">
        <f>SUM(AW218:AW223)</f>
        <v>46.395095843725933</v>
      </c>
      <c r="AX224" s="351"/>
      <c r="AY224" s="370">
        <f>SUM(AY218:AY223)</f>
        <v>11.626190625</v>
      </c>
      <c r="AZ224" s="370">
        <f>SUM(AZ218:AZ223)</f>
        <v>11.378856875</v>
      </c>
      <c r="BA224" s="370">
        <f>SUM(BA218:BA223)</f>
        <v>10.757698624999998</v>
      </c>
      <c r="BB224" s="370">
        <f>SUM(BB218:BB223)</f>
        <v>10.557042624999999</v>
      </c>
      <c r="BC224" s="370">
        <f>SUM(BC218:BC223)</f>
        <v>44.319788749999994</v>
      </c>
      <c r="BD224" s="351"/>
      <c r="BE224" s="370">
        <f>SUM(BE218:BE223)</f>
        <v>10.4358</v>
      </c>
      <c r="BF224" s="370">
        <f>SUM(BF218:BF223)</f>
        <v>10.15455</v>
      </c>
      <c r="BG224" s="370">
        <f>SUM(BG218:BG223)</f>
        <v>8.5100249999999988</v>
      </c>
      <c r="BH224" s="370">
        <f>SUM(BH218:BH223)</f>
        <v>8.4869249999999994</v>
      </c>
      <c r="BI224" s="370">
        <f>SUM(BI218:BI223)</f>
        <v>37.587299999999999</v>
      </c>
      <c r="BJ224" s="351"/>
      <c r="BK224" s="370">
        <f>SUM(BK218:BK223)</f>
        <v>8.4869249999999994</v>
      </c>
      <c r="BL224" s="370">
        <f>SUM(BL218:BL223)</f>
        <v>8.4869249999999994</v>
      </c>
      <c r="BM224" s="370">
        <f>SUM(BM218:BM223)</f>
        <v>8.4869249999999994</v>
      </c>
      <c r="BN224" s="370">
        <f>SUM(BN218:BN223)</f>
        <v>8.3042999999999996</v>
      </c>
      <c r="BO224" s="370">
        <f>SUM(BO218:BO223)</f>
        <v>33.765074999999996</v>
      </c>
      <c r="BP224" s="351"/>
      <c r="BQ224" s="370">
        <f>SUM(BQ218:BQ223)</f>
        <v>7.9248000000000003</v>
      </c>
      <c r="BR224" s="370">
        <f>SUM(BR218:BR223)</f>
        <v>7.7279250000000008</v>
      </c>
      <c r="BS224" s="370">
        <f>SUM(BS218:BS223)</f>
        <v>7.7048250000000005</v>
      </c>
      <c r="BT224" s="370">
        <f>SUM(BT218:BT223)</f>
        <v>7.681725000000001</v>
      </c>
      <c r="BU224" s="370">
        <f>SUM(BU218:BU223)</f>
        <v>31.039275000000004</v>
      </c>
      <c r="BV224" s="351"/>
      <c r="BW224" s="370">
        <f>SUM(BW218:BW223)</f>
        <v>7.4848500000000007</v>
      </c>
      <c r="BX224" s="370">
        <f>SUM(BX218:BX223)</f>
        <v>7.2879750000000003</v>
      </c>
      <c r="BY224" s="370">
        <f>SUM(BY218:BY223)</f>
        <v>7.2648750000000009</v>
      </c>
      <c r="BZ224" s="370">
        <f>SUM(BZ218:BZ223)</f>
        <v>7.2417750000000014</v>
      </c>
      <c r="CA224" s="370">
        <f>SUM(CA218:CA223)</f>
        <v>29.279475000000005</v>
      </c>
      <c r="CB224" s="351"/>
      <c r="CC224" s="370">
        <f>SUM(CC218:CC223)</f>
        <v>7.0449000000000011</v>
      </c>
      <c r="CD224" s="370">
        <f>SUM(CD218:CD223)</f>
        <v>6.8480250000000016</v>
      </c>
      <c r="CE224" s="370">
        <f>SUM(CE218:CE223)</f>
        <v>6.8249250000000012</v>
      </c>
      <c r="CF224" s="370">
        <f>SUM(CF218:CF223)</f>
        <v>6.8018250000000009</v>
      </c>
      <c r="CG224" s="370">
        <f>SUM(CG218:CG223)</f>
        <v>27.519675000000007</v>
      </c>
    </row>
    <row r="225" spans="1:91" ht="12" customHeight="1" x14ac:dyDescent="0.2">
      <c r="B225" s="359" t="s">
        <v>328</v>
      </c>
      <c r="C225" s="241"/>
      <c r="D225" s="241"/>
      <c r="E225" s="241"/>
      <c r="F225" s="241"/>
      <c r="G225" s="246"/>
      <c r="H225" s="354"/>
      <c r="I225" s="241"/>
      <c r="J225" s="241"/>
      <c r="K225" s="241"/>
      <c r="L225" s="241"/>
      <c r="M225" s="241">
        <f>M208+M215+M224</f>
        <v>32.527000000000001</v>
      </c>
      <c r="N225" s="354"/>
      <c r="O225" s="241"/>
      <c r="P225" s="241"/>
      <c r="Q225" s="241"/>
      <c r="R225" s="241"/>
      <c r="S225" s="241">
        <f>S208+S215+S224</f>
        <v>21.895999999999997</v>
      </c>
      <c r="T225" s="354"/>
      <c r="U225" s="241"/>
      <c r="V225" s="241"/>
      <c r="W225" s="241"/>
      <c r="X225" s="241"/>
      <c r="Y225" s="241">
        <f>Y208+Y215+Y224</f>
        <v>25.088999999999999</v>
      </c>
      <c r="Z225" s="354"/>
      <c r="AA225" s="241"/>
      <c r="AB225" s="241"/>
      <c r="AC225" s="241"/>
      <c r="AD225" s="241"/>
      <c r="AE225" s="241">
        <f>AE208+AE215+AE224</f>
        <v>43.814000000000007</v>
      </c>
      <c r="AF225" s="354"/>
      <c r="AG225" s="241">
        <f>AG208+AG215+AG224</f>
        <v>16.442813375000004</v>
      </c>
      <c r="AH225" s="241">
        <f>AH208+AH215+AH224</f>
        <v>16.277710500000001</v>
      </c>
      <c r="AI225" s="241">
        <f>AI208+AI215+AI224</f>
        <v>15.743523000000003</v>
      </c>
      <c r="AJ225" s="241">
        <f>AJ208+AJ215+AJ224</f>
        <v>14.853210500000003</v>
      </c>
      <c r="AK225" s="241">
        <f>AK208+AK215+AK224</f>
        <v>63.317257375000011</v>
      </c>
      <c r="AL225" s="351"/>
      <c r="AM225" s="241">
        <f>AM208+AM215+AM224</f>
        <v>13.495654999999999</v>
      </c>
      <c r="AN225" s="241">
        <f>AN208+AN215+AN224</f>
        <v>13.529753625000001</v>
      </c>
      <c r="AO225" s="241">
        <f>AO208+AO215+AO224</f>
        <v>12.949706375000002</v>
      </c>
      <c r="AP225" s="241">
        <f>AP208+AP215+AP224</f>
        <v>12.233740375</v>
      </c>
      <c r="AQ225" s="241">
        <f>AQ208+AQ215+AQ224</f>
        <v>52.208855374999999</v>
      </c>
      <c r="AR225" s="351"/>
      <c r="AS225" s="241">
        <f>AS208+AS215+AS224</f>
        <v>12.904475249999999</v>
      </c>
      <c r="AT225" s="241">
        <f>AT208+AT215+AT224</f>
        <v>12.524911000000001</v>
      </c>
      <c r="AU225" s="241">
        <f>AU208+AU215+AU224</f>
        <v>11.869154609362971</v>
      </c>
      <c r="AV225" s="241">
        <f>AV208+AV215+AV224</f>
        <v>11.521764859362968</v>
      </c>
      <c r="AW225" s="241">
        <f>AW208+AW215+AW224</f>
        <v>48.820305718725933</v>
      </c>
      <c r="AX225" s="351"/>
      <c r="AY225" s="241">
        <f>AY208+AY215+AY224</f>
        <v>11.685154624999999</v>
      </c>
      <c r="AZ225" s="241">
        <f>AZ208+AZ215+AZ224</f>
        <v>11.437820875</v>
      </c>
      <c r="BA225" s="241">
        <f>BA208+BA215+BA224</f>
        <v>10.816662624999998</v>
      </c>
      <c r="BB225" s="241">
        <f>BB208+BB215+BB224</f>
        <v>10.631774624999998</v>
      </c>
      <c r="BC225" s="241">
        <f>BC208+BC215+BC224</f>
        <v>44.571412749999993</v>
      </c>
      <c r="BD225" s="351"/>
      <c r="BE225" s="241">
        <f>BE208+BE215+BE224</f>
        <v>10.517800000000001</v>
      </c>
      <c r="BF225" s="241">
        <f>BF208+BF215+BF224</f>
        <v>10.22805</v>
      </c>
      <c r="BG225" s="241">
        <f>BG208+BG215+BG224</f>
        <v>8.5835249999999981</v>
      </c>
      <c r="BH225" s="241">
        <f>BH208+BH215+BH224</f>
        <v>8.5604249999999986</v>
      </c>
      <c r="BI225" s="241">
        <f>BI208+BI215+BI224</f>
        <v>37.889800000000001</v>
      </c>
      <c r="BJ225" s="351"/>
      <c r="BK225" s="241">
        <f>BK208+BK215+BK224</f>
        <v>8.5604249999999986</v>
      </c>
      <c r="BL225" s="241">
        <f>BL208+BL215+BL224</f>
        <v>8.5604249999999986</v>
      </c>
      <c r="BM225" s="241">
        <f>BM208+BM215+BM224</f>
        <v>8.5604249999999986</v>
      </c>
      <c r="BN225" s="241">
        <f>BN208+BN215+BN224</f>
        <v>8.3777999999999988</v>
      </c>
      <c r="BO225" s="241">
        <f>BO208+BO215+BO224</f>
        <v>34.059074999999993</v>
      </c>
      <c r="BP225" s="351"/>
      <c r="BQ225" s="241">
        <f>BQ208+BQ215+BQ224</f>
        <v>7.9983000000000004</v>
      </c>
      <c r="BR225" s="241">
        <f>BR208+BR215+BR224</f>
        <v>7.8014250000000009</v>
      </c>
      <c r="BS225" s="241">
        <f>BS208+BS215+BS224</f>
        <v>7.7783250000000006</v>
      </c>
      <c r="BT225" s="241">
        <f>BT208+BT215+BT224</f>
        <v>7.7552250000000011</v>
      </c>
      <c r="BU225" s="241">
        <f>BU208+BU215+BU224</f>
        <v>31.333275000000004</v>
      </c>
      <c r="BV225" s="351"/>
      <c r="BW225" s="241">
        <f>BW208+BW215+BW224</f>
        <v>7.5583500000000008</v>
      </c>
      <c r="BX225" s="241">
        <f>BX208+BX215+BX224</f>
        <v>7.3614750000000004</v>
      </c>
      <c r="BY225" s="241">
        <f>BY208+BY215+BY224</f>
        <v>7.338375000000001</v>
      </c>
      <c r="BZ225" s="241">
        <f>BZ208+BZ215+BZ224</f>
        <v>7.3152750000000015</v>
      </c>
      <c r="CA225" s="241">
        <f>CA208+CA215+CA224</f>
        <v>29.573475000000006</v>
      </c>
      <c r="CB225" s="351"/>
      <c r="CC225" s="241">
        <f>CC208+CC215+CC224</f>
        <v>7.1184000000000012</v>
      </c>
      <c r="CD225" s="241">
        <f>CD208+CD215+CD224</f>
        <v>6.9215250000000017</v>
      </c>
      <c r="CE225" s="241">
        <f>CE208+CE215+CE224</f>
        <v>6.8984250000000014</v>
      </c>
      <c r="CF225" s="241">
        <f>CF208+CF215+CF224</f>
        <v>6.875325000000001</v>
      </c>
      <c r="CG225" s="241">
        <f>CG208+CG215+CG224</f>
        <v>27.813675000000007</v>
      </c>
    </row>
    <row r="226" spans="1:91" ht="12" customHeight="1" x14ac:dyDescent="0.2">
      <c r="B226" s="357"/>
      <c r="C226" s="349"/>
      <c r="D226" s="349"/>
      <c r="E226" s="349"/>
      <c r="F226" s="349"/>
      <c r="G226" s="68"/>
      <c r="H226" s="349"/>
      <c r="I226" s="349"/>
      <c r="J226" s="349"/>
      <c r="K226" s="349"/>
      <c r="L226" s="349"/>
      <c r="M226" s="68"/>
      <c r="N226" s="349"/>
      <c r="O226" s="349"/>
      <c r="P226" s="349"/>
      <c r="Q226" s="349"/>
      <c r="R226" s="349"/>
      <c r="S226" s="68"/>
      <c r="T226" s="349"/>
      <c r="U226" s="349"/>
      <c r="V226" s="349"/>
      <c r="W226" s="349"/>
      <c r="X226" s="349"/>
      <c r="Y226" s="68"/>
      <c r="Z226" s="349"/>
      <c r="AA226" s="349"/>
      <c r="AB226" s="349"/>
      <c r="AC226" s="349"/>
      <c r="AD226" s="349"/>
      <c r="AE226" s="349"/>
      <c r="AF226" s="349"/>
      <c r="AG226" s="349"/>
      <c r="AH226" s="349"/>
      <c r="AI226" s="349"/>
      <c r="AJ226" s="349"/>
      <c r="AK226" s="349"/>
      <c r="AL226" s="351"/>
      <c r="AM226" s="349"/>
      <c r="AN226" s="349"/>
      <c r="AO226" s="349"/>
      <c r="AP226" s="349"/>
      <c r="AQ226" s="349"/>
      <c r="AR226" s="351"/>
      <c r="AS226" s="349"/>
      <c r="AT226" s="349"/>
      <c r="AU226" s="349"/>
      <c r="AV226" s="349"/>
      <c r="AW226" s="349"/>
      <c r="AX226" s="351"/>
      <c r="AY226" s="349"/>
      <c r="AZ226" s="349"/>
      <c r="BA226" s="349"/>
      <c r="BB226" s="349"/>
      <c r="BC226" s="349"/>
      <c r="BD226" s="351"/>
      <c r="BE226" s="349"/>
      <c r="BF226" s="349"/>
      <c r="BG226" s="349"/>
      <c r="BH226" s="349"/>
      <c r="BI226" s="349"/>
      <c r="BJ226" s="351"/>
      <c r="BK226" s="349"/>
      <c r="BL226" s="349"/>
      <c r="BM226" s="349"/>
      <c r="BN226" s="349"/>
      <c r="BO226" s="349"/>
      <c r="BP226" s="351"/>
      <c r="BQ226" s="349"/>
      <c r="BR226" s="349"/>
      <c r="BS226" s="349"/>
      <c r="BT226" s="349"/>
      <c r="BU226" s="349"/>
      <c r="BV226" s="351"/>
      <c r="BW226" s="349"/>
      <c r="BX226" s="349"/>
      <c r="BY226" s="349"/>
      <c r="BZ226" s="349"/>
      <c r="CA226" s="349"/>
      <c r="CB226" s="351"/>
      <c r="CC226" s="349"/>
      <c r="CD226" s="349"/>
      <c r="CE226" s="349"/>
      <c r="CF226" s="349"/>
      <c r="CG226" s="349"/>
    </row>
    <row r="227" spans="1:91" ht="12" customHeight="1" x14ac:dyDescent="0.2">
      <c r="B227" s="360" t="s">
        <v>307</v>
      </c>
      <c r="C227" s="349">
        <f>-'P&amp;L'!C21</f>
        <v>4.4560000000000004</v>
      </c>
      <c r="D227" s="349">
        <f>-'P&amp;L'!D21</f>
        <v>5.2089999999999996</v>
      </c>
      <c r="E227" s="349">
        <f>-'P&amp;L'!E21</f>
        <v>7.1379999999999999</v>
      </c>
      <c r="F227" s="349">
        <f>-'P&amp;L'!F21</f>
        <v>6.980000000000004</v>
      </c>
      <c r="G227" s="349">
        <f>SUM(C227:F227)</f>
        <v>23.783000000000001</v>
      </c>
      <c r="H227" s="349"/>
      <c r="I227" s="349">
        <f>-'P&amp;L'!I21</f>
        <v>8.2520000000000007</v>
      </c>
      <c r="J227" s="349">
        <f>-'P&amp;L'!J21</f>
        <v>7.9009999999999998</v>
      </c>
      <c r="K227" s="349">
        <f>-'P&amp;L'!K21</f>
        <v>9.2840000000000007</v>
      </c>
      <c r="L227" s="349">
        <f>-'P&amp;L'!L21</f>
        <v>7.0900000000000034</v>
      </c>
      <c r="M227" s="349">
        <f>SUM(I227:L227)</f>
        <v>32.527000000000001</v>
      </c>
      <c r="N227" s="349"/>
      <c r="O227" s="349">
        <f>-'P&amp;L'!O21</f>
        <v>6.1529999999999996</v>
      </c>
      <c r="P227" s="349">
        <f>-'P&amp;L'!P21</f>
        <v>5.2679999999999998</v>
      </c>
      <c r="Q227" s="349">
        <f>-'P&amp;L'!Q21</f>
        <v>5.4560000000000004</v>
      </c>
      <c r="R227" s="349">
        <f>-'P&amp;L'!R21</f>
        <v>5.0190000000000019</v>
      </c>
      <c r="S227" s="349">
        <f>SUM(O227:R227)</f>
        <v>21.896000000000001</v>
      </c>
      <c r="T227" s="349"/>
      <c r="U227" s="349">
        <f>-'P&amp;L'!U21</f>
        <v>5.72</v>
      </c>
      <c r="V227" s="349">
        <f>-'P&amp;L'!V21</f>
        <v>6.6859999999999999</v>
      </c>
      <c r="W227" s="349">
        <f>-'P&amp;L'!W21</f>
        <v>5.9989999999999997</v>
      </c>
      <c r="X227" s="349">
        <f>-'P&amp;L'!X21</f>
        <v>6.6840000000000011</v>
      </c>
      <c r="Y227" s="349">
        <f>SUM(U227:X227)</f>
        <v>25.088999999999999</v>
      </c>
      <c r="Z227" s="349"/>
      <c r="AA227" s="349">
        <f>-'P&amp;L'!AA21</f>
        <v>5.343</v>
      </c>
      <c r="AB227" s="349">
        <f>-'P&amp;L'!AB21</f>
        <v>5.57</v>
      </c>
      <c r="AC227" s="349">
        <f>-'P&amp;L'!AC21</f>
        <v>16.062000000000001</v>
      </c>
      <c r="AD227" s="349">
        <f>-'P&amp;L'!AD21</f>
        <v>16.838999999999999</v>
      </c>
      <c r="AE227" s="349">
        <f>SUM(AA227:AD227)</f>
        <v>43.814</v>
      </c>
      <c r="AF227" s="349"/>
      <c r="AG227" s="349">
        <f>-'P&amp;L'!AG21</f>
        <v>15.782</v>
      </c>
      <c r="AH227" s="349">
        <f>-'P&amp;L'!AH21</f>
        <v>14.584</v>
      </c>
      <c r="AI227" s="349">
        <f>-'P&amp;L'!AI21</f>
        <v>15.632</v>
      </c>
      <c r="AJ227" s="349">
        <f>-'P&amp;L'!AJ21</f>
        <v>10.853000000000002</v>
      </c>
      <c r="AK227" s="349">
        <f>SUM(AG227:AJ227)</f>
        <v>56.850999999999999</v>
      </c>
      <c r="AL227" s="351"/>
      <c r="AM227" s="349">
        <f>-'P&amp;L'!AM21</f>
        <v>15.221</v>
      </c>
      <c r="AN227" s="349">
        <f>-'P&amp;L'!AN21</f>
        <v>11.507</v>
      </c>
      <c r="AO227" s="349">
        <f>-'P&amp;L'!AO21</f>
        <v>11.442</v>
      </c>
      <c r="AP227" s="349">
        <f>-'P&amp;L'!AP21</f>
        <v>11.455000000000002</v>
      </c>
      <c r="AQ227" s="349">
        <f>SUM(AM227:AP227)</f>
        <v>49.625</v>
      </c>
      <c r="AR227" s="351"/>
      <c r="AS227" s="349">
        <f>-'P&amp;L'!AS21</f>
        <v>10.955</v>
      </c>
      <c r="AT227" s="349">
        <f>-'P&amp;L'!AT21</f>
        <v>11.798</v>
      </c>
      <c r="AU227" s="349">
        <f>-'P&amp;L'!AU21</f>
        <v>12.664999999999999</v>
      </c>
      <c r="AV227" s="349">
        <f>-'P&amp;L'!AV21</f>
        <v>11.491999999999997</v>
      </c>
      <c r="AW227" s="349">
        <f>SUM(AS227:AV227)</f>
        <v>46.91</v>
      </c>
      <c r="AX227" s="351"/>
      <c r="AY227" s="349">
        <f>-'P&amp;L'!AY21</f>
        <v>10.667999999999999</v>
      </c>
      <c r="AZ227" s="349">
        <f>-'P&amp;L'!AZ21</f>
        <v>9.8239999999999998</v>
      </c>
      <c r="BA227" s="349">
        <f>-'P&amp;L'!BA21</f>
        <v>12.16</v>
      </c>
      <c r="BB227" s="349">
        <f>-'P&amp;L'!BB21</f>
        <v>8.86</v>
      </c>
      <c r="BC227" s="349">
        <f>SUM(AY227:BB227)</f>
        <v>41.512</v>
      </c>
      <c r="BD227" s="351"/>
      <c r="BE227" s="349">
        <f>-'P&amp;L'!BE21</f>
        <v>5.3</v>
      </c>
      <c r="BF227" s="349">
        <f>-'P&amp;L'!BF21</f>
        <v>9.3000000000000007</v>
      </c>
      <c r="BG227" s="349">
        <f>-'P&amp;L'!BG21</f>
        <v>8.4</v>
      </c>
      <c r="BH227" s="349">
        <f>-'P&amp;L'!BH21</f>
        <v>8</v>
      </c>
      <c r="BI227" s="349">
        <f>SUM(BE227:BH227)</f>
        <v>31</v>
      </c>
      <c r="BJ227" s="351"/>
      <c r="BK227" s="349">
        <f>-'P&amp;L'!BK21</f>
        <v>7.8</v>
      </c>
      <c r="BL227" s="349">
        <f>-'P&amp;L'!BL21</f>
        <v>16.3</v>
      </c>
      <c r="BM227" s="349">
        <f>-'P&amp;L'!BM21</f>
        <v>10.9</v>
      </c>
      <c r="BN227" s="349">
        <f>-'P&amp;L'!BN21</f>
        <v>10.199999999999999</v>
      </c>
      <c r="BO227" s="349">
        <f>SUM(BK227:BN227)</f>
        <v>45.2</v>
      </c>
      <c r="BP227" s="351"/>
      <c r="BQ227" s="349">
        <f>-'P&amp;L'!BQ21</f>
        <v>6.5667999999999997</v>
      </c>
      <c r="BR227" s="349">
        <f>-'P&amp;L'!BR21</f>
        <v>6.5232000000000001</v>
      </c>
      <c r="BS227" s="349">
        <f>-'P&amp;L'!BS21</f>
        <v>6.5232000000000001</v>
      </c>
      <c r="BT227" s="349">
        <f>-'P&amp;L'!BT21</f>
        <v>6.5232000000000001</v>
      </c>
      <c r="BU227" s="349">
        <f>SUM(BQ227:BT227)</f>
        <v>26.136399999999998</v>
      </c>
      <c r="BV227" s="351"/>
      <c r="BW227" s="349">
        <f>-'P&amp;L'!BW21</f>
        <v>6.5232000000000001</v>
      </c>
      <c r="BX227" s="349">
        <f>-'P&amp;L'!BX21</f>
        <v>6.5232000000000001</v>
      </c>
      <c r="BY227" s="349">
        <f>-'P&amp;L'!BY21</f>
        <v>6.5232000000000001</v>
      </c>
      <c r="BZ227" s="349">
        <f>-'P&amp;L'!BZ21</f>
        <v>6.5232000000000001</v>
      </c>
      <c r="CA227" s="349">
        <f>SUM(BW227:BZ227)</f>
        <v>26.0928</v>
      </c>
      <c r="CB227" s="351"/>
      <c r="CC227" s="349">
        <f>-'P&amp;L'!CC21</f>
        <v>6.5232000000000001</v>
      </c>
      <c r="CD227" s="349">
        <f>-'P&amp;L'!CD21</f>
        <v>6.5232000000000001</v>
      </c>
      <c r="CE227" s="349">
        <f>-'P&amp;L'!CE21</f>
        <v>6.5232000000000001</v>
      </c>
      <c r="CF227" s="349">
        <f>-'P&amp;L'!CF21</f>
        <v>6.5232000000000001</v>
      </c>
      <c r="CG227" s="349">
        <f>SUM(CC227:CF227)</f>
        <v>26.0928</v>
      </c>
    </row>
    <row r="228" spans="1:91" ht="12" customHeight="1" x14ac:dyDescent="0.2">
      <c r="B228" s="11"/>
      <c r="C228" s="183"/>
      <c r="D228" s="183"/>
      <c r="E228" s="183"/>
      <c r="F228" s="183"/>
      <c r="G228" s="198"/>
      <c r="H228" s="183"/>
      <c r="I228" s="183"/>
      <c r="J228" s="183"/>
      <c r="K228" s="183"/>
      <c r="L228" s="183"/>
      <c r="M228" s="198"/>
      <c r="N228" s="183"/>
      <c r="O228" s="183"/>
      <c r="P228" s="183"/>
      <c r="Q228" s="183"/>
      <c r="R228" s="183"/>
      <c r="S228" s="198"/>
      <c r="T228" s="183"/>
      <c r="U228" s="183"/>
      <c r="V228" s="183"/>
      <c r="W228" s="183"/>
      <c r="X228" s="183"/>
      <c r="Y228" s="198"/>
      <c r="Z228" s="183"/>
      <c r="AA228" s="183"/>
      <c r="AB228" s="183"/>
      <c r="AC228" s="183"/>
      <c r="AD228" s="183"/>
      <c r="AE228" s="183"/>
      <c r="AF228" s="183"/>
      <c r="AG228" s="183"/>
      <c r="AH228" s="183"/>
      <c r="AI228" s="183"/>
      <c r="AJ228" s="183"/>
      <c r="AK228" s="183"/>
      <c r="AL228" s="136"/>
      <c r="AM228" s="183"/>
      <c r="AN228" s="183"/>
      <c r="AO228" s="183"/>
      <c r="AP228" s="183"/>
      <c r="AQ228" s="183"/>
      <c r="AR228" s="136"/>
      <c r="AS228" s="183"/>
      <c r="AT228" s="183"/>
      <c r="AU228" s="183"/>
      <c r="AV228" s="183"/>
      <c r="AW228" s="183"/>
      <c r="AX228" s="136"/>
      <c r="AY228" s="183"/>
      <c r="AZ228" s="183"/>
      <c r="BA228" s="183"/>
      <c r="BB228" s="183"/>
      <c r="BC228" s="183"/>
      <c r="BD228" s="136"/>
      <c r="BE228" s="183"/>
      <c r="BF228" s="183"/>
      <c r="BG228" s="183"/>
      <c r="BH228" s="183"/>
      <c r="BI228" s="183"/>
      <c r="BJ228" s="136"/>
      <c r="BK228" s="183"/>
      <c r="BL228" s="183"/>
      <c r="BM228" s="183"/>
      <c r="BN228" s="183"/>
      <c r="BO228" s="183"/>
      <c r="BP228" s="136"/>
      <c r="BQ228" s="183"/>
      <c r="BR228" s="183"/>
      <c r="BS228" s="183"/>
      <c r="BT228" s="183"/>
      <c r="BU228" s="183"/>
      <c r="BV228" s="136"/>
      <c r="BW228" s="183"/>
      <c r="BX228" s="183"/>
      <c r="BY228" s="183"/>
      <c r="BZ228" s="183"/>
      <c r="CA228" s="183"/>
      <c r="CB228" s="136"/>
      <c r="CC228" s="183"/>
      <c r="CD228" s="183"/>
      <c r="CE228" s="183"/>
      <c r="CF228" s="183"/>
      <c r="CG228" s="183"/>
    </row>
    <row r="230" spans="1:91" s="646" customFormat="1" ht="12" customHeight="1" x14ac:dyDescent="0.2">
      <c r="B230" s="663"/>
      <c r="C230" s="660"/>
      <c r="D230" s="660"/>
      <c r="E230" s="660"/>
      <c r="F230" s="660"/>
      <c r="G230" s="660"/>
      <c r="H230" s="660"/>
      <c r="I230" s="660"/>
      <c r="J230" s="660"/>
      <c r="K230" s="660"/>
      <c r="L230" s="660"/>
      <c r="M230" s="660"/>
      <c r="N230" s="660"/>
      <c r="O230" s="660"/>
      <c r="P230" s="660"/>
      <c r="Q230" s="660"/>
      <c r="R230" s="660"/>
      <c r="S230" s="660"/>
      <c r="T230" s="660"/>
      <c r="U230" s="660"/>
      <c r="V230" s="660"/>
      <c r="W230" s="660"/>
      <c r="X230" s="660"/>
      <c r="Y230" s="660"/>
      <c r="Z230" s="660"/>
      <c r="AA230" s="660"/>
      <c r="AB230" s="660"/>
      <c r="AC230" s="660"/>
      <c r="AD230" s="660"/>
      <c r="AE230" s="660"/>
      <c r="AF230" s="660"/>
      <c r="AG230" s="660"/>
      <c r="AH230" s="660"/>
      <c r="AI230" s="660"/>
      <c r="AJ230" s="660"/>
      <c r="AK230" s="660"/>
      <c r="AL230" s="664"/>
      <c r="AM230" s="660"/>
      <c r="AN230" s="660"/>
      <c r="AO230" s="660"/>
      <c r="AP230" s="660"/>
      <c r="AQ230" s="660"/>
      <c r="AR230" s="664"/>
      <c r="AS230" s="660"/>
      <c r="AT230" s="660"/>
      <c r="AU230" s="660"/>
      <c r="AV230" s="660"/>
      <c r="AW230" s="660"/>
      <c r="AX230" s="664"/>
      <c r="AY230" s="660"/>
      <c r="AZ230" s="660"/>
      <c r="BA230" s="660"/>
      <c r="BB230" s="660"/>
      <c r="BC230" s="660"/>
      <c r="BD230" s="664"/>
      <c r="BE230" s="660"/>
      <c r="BF230" s="660"/>
      <c r="BG230" s="660"/>
      <c r="BH230" s="660"/>
      <c r="BI230" s="660"/>
      <c r="BJ230" s="664"/>
      <c r="BK230" s="660"/>
      <c r="BL230" s="660"/>
      <c r="BM230" s="660"/>
      <c r="BN230" s="660"/>
      <c r="BO230" s="660"/>
      <c r="BP230" s="664"/>
      <c r="BQ230" s="660"/>
      <c r="BR230" s="660"/>
      <c r="BS230" s="660"/>
      <c r="BT230" s="660"/>
      <c r="BU230" s="660"/>
      <c r="BV230" s="664"/>
      <c r="BW230" s="660"/>
      <c r="BX230" s="660"/>
      <c r="BY230" s="660"/>
      <c r="BZ230" s="660"/>
      <c r="CA230" s="660"/>
      <c r="CB230" s="664"/>
      <c r="CC230" s="660"/>
      <c r="CD230" s="660"/>
      <c r="CE230" s="660"/>
      <c r="CF230" s="660"/>
      <c r="CG230" s="660"/>
    </row>
    <row r="232" spans="1:91" s="757" customFormat="1" ht="12" customHeight="1" x14ac:dyDescent="0.2">
      <c r="A232" s="1341"/>
      <c r="B232" s="1354" t="s">
        <v>489</v>
      </c>
      <c r="C232" s="1713" t="s">
        <v>68</v>
      </c>
      <c r="D232" s="1713"/>
      <c r="E232" s="1713"/>
      <c r="F232" s="1713"/>
      <c r="G232" s="1713"/>
      <c r="H232" s="107"/>
      <c r="I232" s="1713" t="s">
        <v>69</v>
      </c>
      <c r="J232" s="1713"/>
      <c r="K232" s="1713"/>
      <c r="L232" s="1713"/>
      <c r="M232" s="1713"/>
      <c r="N232" s="107"/>
      <c r="O232" s="1713" t="s">
        <v>70</v>
      </c>
      <c r="P232" s="1713"/>
      <c r="Q232" s="1713"/>
      <c r="R232" s="1713"/>
      <c r="S232" s="1713"/>
      <c r="T232" s="107"/>
      <c r="U232" s="1712" t="s">
        <v>142</v>
      </c>
      <c r="V232" s="1712"/>
      <c r="W232" s="1712"/>
      <c r="X232" s="1712"/>
      <c r="Y232" s="1712"/>
      <c r="Z232" s="107"/>
      <c r="AA232" s="1712" t="s">
        <v>186</v>
      </c>
      <c r="AB232" s="1712"/>
      <c r="AC232" s="1712"/>
      <c r="AD232" s="1712"/>
      <c r="AE232" s="1712"/>
      <c r="AG232" s="1712" t="s">
        <v>187</v>
      </c>
      <c r="AH232" s="1712"/>
      <c r="AI232" s="1712"/>
      <c r="AJ232" s="1712"/>
      <c r="AK232" s="1712"/>
      <c r="AL232" s="107"/>
      <c r="AM232" s="1712" t="s">
        <v>188</v>
      </c>
      <c r="AN232" s="1712"/>
      <c r="AO232" s="1712"/>
      <c r="AP232" s="1712"/>
      <c r="AQ232" s="1712"/>
      <c r="AR232" s="107"/>
      <c r="AS232" s="1712" t="s">
        <v>376</v>
      </c>
      <c r="AT232" s="1712"/>
      <c r="AU232" s="1712"/>
      <c r="AV232" s="1712"/>
      <c r="AW232" s="1712"/>
      <c r="AX232" s="107"/>
      <c r="AY232" s="1712" t="s">
        <v>529</v>
      </c>
      <c r="AZ232" s="1712"/>
      <c r="BA232" s="1712"/>
      <c r="BB232" s="1712"/>
      <c r="BC232" s="1712"/>
      <c r="BD232" s="107"/>
      <c r="BE232" s="1712" t="s">
        <v>218</v>
      </c>
      <c r="BF232" s="1712"/>
      <c r="BG232" s="1712"/>
      <c r="BH232" s="1712"/>
      <c r="BI232" s="1712"/>
      <c r="BJ232" s="107"/>
      <c r="BK232" s="1712" t="s">
        <v>379</v>
      </c>
      <c r="BL232" s="1712"/>
      <c r="BM232" s="1712"/>
      <c r="BN232" s="1712"/>
      <c r="BO232" s="1712"/>
      <c r="BP232" s="107"/>
      <c r="BQ232" s="1712" t="s">
        <v>393</v>
      </c>
      <c r="BR232" s="1712"/>
      <c r="BS232" s="1712"/>
      <c r="BT232" s="1712"/>
      <c r="BU232" s="1712"/>
      <c r="BV232" s="107"/>
      <c r="BW232" s="1712" t="s">
        <v>394</v>
      </c>
      <c r="BX232" s="1712"/>
      <c r="BY232" s="1712"/>
      <c r="BZ232" s="1712"/>
      <c r="CA232" s="1712"/>
      <c r="CB232" s="107"/>
      <c r="CC232" s="1712" t="s">
        <v>395</v>
      </c>
      <c r="CD232" s="1712"/>
      <c r="CE232" s="1712"/>
      <c r="CF232" s="1712"/>
      <c r="CG232" s="1712"/>
      <c r="CH232" s="107"/>
      <c r="CI232" s="1712" t="s">
        <v>495</v>
      </c>
      <c r="CJ232" s="1712"/>
      <c r="CK232" s="1712"/>
      <c r="CL232" s="1712"/>
      <c r="CM232" s="1712"/>
    </row>
    <row r="233" spans="1:91" ht="12" customHeight="1" x14ac:dyDescent="0.2">
      <c r="B233" s="587" t="s">
        <v>301</v>
      </c>
      <c r="C233" s="2">
        <v>39082</v>
      </c>
      <c r="D233" s="2">
        <v>39172</v>
      </c>
      <c r="E233" s="2">
        <v>39263</v>
      </c>
      <c r="F233" s="2">
        <v>39355</v>
      </c>
      <c r="G233" s="599" t="s">
        <v>68</v>
      </c>
      <c r="H233" s="523"/>
      <c r="I233" s="524">
        <v>39447</v>
      </c>
      <c r="J233" s="524">
        <v>39538</v>
      </c>
      <c r="K233" s="524">
        <v>39629</v>
      </c>
      <c r="L233" s="524">
        <v>39721</v>
      </c>
      <c r="M233" s="599" t="s">
        <v>69</v>
      </c>
      <c r="N233" s="523"/>
      <c r="O233" s="524">
        <v>39813</v>
      </c>
      <c r="P233" s="524">
        <v>39903</v>
      </c>
      <c r="Q233" s="524">
        <v>39994</v>
      </c>
      <c r="R233" s="524">
        <v>40086</v>
      </c>
      <c r="S233" s="599" t="s">
        <v>70</v>
      </c>
      <c r="T233" s="523"/>
      <c r="U233" s="524">
        <v>40178</v>
      </c>
      <c r="V233" s="524">
        <v>40268</v>
      </c>
      <c r="W233" s="524">
        <v>40359</v>
      </c>
      <c r="X233" s="524">
        <v>40451</v>
      </c>
      <c r="Y233" s="599" t="s">
        <v>142</v>
      </c>
      <c r="Z233" s="523"/>
      <c r="AA233" s="524">
        <v>40543</v>
      </c>
      <c r="AB233" s="524">
        <v>40633</v>
      </c>
      <c r="AC233" s="524">
        <v>40724</v>
      </c>
      <c r="AD233" s="524">
        <v>40816</v>
      </c>
      <c r="AE233" s="597" t="s">
        <v>186</v>
      </c>
      <c r="AF233" s="523"/>
      <c r="AG233" s="524">
        <v>40908</v>
      </c>
      <c r="AH233" s="524">
        <v>40999</v>
      </c>
      <c r="AI233" s="524">
        <v>41090</v>
      </c>
      <c r="AJ233" s="524">
        <v>41182</v>
      </c>
      <c r="AK233" s="597">
        <v>0</v>
      </c>
      <c r="AL233" s="523"/>
      <c r="AM233" s="524">
        <v>41273.25</v>
      </c>
      <c r="AN233" s="524">
        <v>41364.25</v>
      </c>
      <c r="AO233" s="524">
        <v>41455.25</v>
      </c>
      <c r="AP233" s="524">
        <v>41547.25</v>
      </c>
      <c r="AQ233" s="597">
        <v>0</v>
      </c>
      <c r="AR233" s="523"/>
      <c r="AS233" s="524">
        <v>41639</v>
      </c>
      <c r="AT233" s="524">
        <v>41729</v>
      </c>
      <c r="AU233" s="524">
        <v>41820</v>
      </c>
      <c r="AV233" s="524">
        <v>41912</v>
      </c>
      <c r="AW233" s="597">
        <v>0</v>
      </c>
      <c r="AX233" s="523"/>
      <c r="AY233" s="524">
        <v>42004</v>
      </c>
      <c r="AZ233" s="524">
        <v>42094</v>
      </c>
      <c r="BA233" s="524">
        <v>42185</v>
      </c>
      <c r="BB233" s="524">
        <v>42277</v>
      </c>
      <c r="BC233" s="597">
        <v>0</v>
      </c>
      <c r="BD233" s="523"/>
      <c r="BE233" s="524">
        <v>42369</v>
      </c>
      <c r="BF233" s="598">
        <v>42460</v>
      </c>
      <c r="BG233" s="598">
        <v>42551</v>
      </c>
      <c r="BH233" s="598">
        <v>42643</v>
      </c>
      <c r="BI233" s="597">
        <v>0</v>
      </c>
      <c r="BJ233" s="523"/>
      <c r="BK233" s="598">
        <v>42734.25</v>
      </c>
      <c r="BL233" s="598">
        <v>42825.25</v>
      </c>
      <c r="BM233" s="598">
        <v>42916.25</v>
      </c>
      <c r="BN233" s="598">
        <v>43008.25</v>
      </c>
      <c r="BO233" s="597">
        <v>0</v>
      </c>
      <c r="BP233" s="523"/>
      <c r="BQ233" s="598">
        <v>43099.5</v>
      </c>
      <c r="BR233" s="598">
        <v>43190.5</v>
      </c>
      <c r="BS233" s="598">
        <v>43281.5</v>
      </c>
      <c r="BT233" s="598">
        <v>43373.5</v>
      </c>
      <c r="BU233" s="597">
        <v>0</v>
      </c>
      <c r="BV233" s="523"/>
      <c r="BW233" s="598">
        <v>43464.75</v>
      </c>
      <c r="BX233" s="598">
        <v>43555.75</v>
      </c>
      <c r="BY233" s="598">
        <v>43646.75</v>
      </c>
      <c r="BZ233" s="598">
        <v>43738.75</v>
      </c>
      <c r="CA233" s="597">
        <v>0</v>
      </c>
      <c r="CB233" s="523"/>
      <c r="CC233" s="598">
        <v>43830</v>
      </c>
      <c r="CD233" s="598">
        <v>43921</v>
      </c>
      <c r="CE233" s="598">
        <v>44012</v>
      </c>
      <c r="CF233" s="598">
        <v>44104</v>
      </c>
      <c r="CG233" s="597">
        <v>0</v>
      </c>
      <c r="CH233" s="523"/>
      <c r="CI233" s="598">
        <v>44195.25</v>
      </c>
      <c r="CJ233" s="598">
        <v>44286.25</v>
      </c>
      <c r="CK233" s="598">
        <v>44377.25</v>
      </c>
      <c r="CL233" s="598">
        <v>44469.25</v>
      </c>
      <c r="CM233" s="597">
        <v>0</v>
      </c>
    </row>
    <row r="234" spans="1:91" ht="12" customHeight="1" x14ac:dyDescent="0.2">
      <c r="B234" s="589"/>
      <c r="C234" s="609"/>
      <c r="D234" s="609"/>
      <c r="E234" s="609"/>
      <c r="F234" s="609"/>
      <c r="G234" s="590"/>
      <c r="H234" s="30"/>
      <c r="I234" s="609"/>
      <c r="J234" s="609"/>
      <c r="K234" s="609"/>
      <c r="L234" s="609"/>
      <c r="M234" s="590"/>
      <c r="N234" s="643"/>
      <c r="O234" s="609"/>
      <c r="P234" s="609"/>
      <c r="Q234" s="609"/>
      <c r="R234" s="609"/>
      <c r="S234" s="590"/>
      <c r="T234" s="30"/>
      <c r="U234" s="609"/>
      <c r="V234" s="609"/>
      <c r="W234" s="609"/>
      <c r="X234" s="609"/>
      <c r="Y234" s="590"/>
      <c r="Z234" s="30"/>
      <c r="AA234" s="609"/>
      <c r="AB234" s="609"/>
      <c r="AC234" s="608"/>
      <c r="AD234" s="608"/>
      <c r="AE234" s="622"/>
      <c r="AF234" s="30"/>
      <c r="AG234" s="622"/>
      <c r="AH234" s="608"/>
      <c r="AI234" s="608"/>
      <c r="AJ234" s="608"/>
      <c r="AK234" s="622"/>
      <c r="AL234" s="31"/>
      <c r="AM234" s="622"/>
      <c r="AN234" s="608"/>
      <c r="AO234" s="608"/>
      <c r="AP234" s="608"/>
      <c r="AQ234" s="622"/>
      <c r="AR234" s="31"/>
      <c r="AS234" s="622"/>
      <c r="AT234" s="608"/>
      <c r="AU234" s="608"/>
      <c r="AV234" s="608"/>
      <c r="AW234" s="622"/>
      <c r="AX234" s="31"/>
      <c r="AY234" s="622"/>
      <c r="AZ234" s="608"/>
      <c r="BA234" s="608"/>
      <c r="BB234" s="608"/>
      <c r="BC234" s="622"/>
      <c r="BD234" s="31"/>
      <c r="BE234" s="622"/>
      <c r="BF234" s="608"/>
      <c r="BG234" s="608"/>
      <c r="BH234" s="608"/>
      <c r="BI234" s="622"/>
      <c r="BJ234" s="31"/>
      <c r="BK234" s="622"/>
      <c r="BL234" s="608"/>
      <c r="BM234" s="608"/>
      <c r="BN234" s="608"/>
      <c r="BO234" s="622"/>
      <c r="BP234" s="31"/>
      <c r="BQ234" s="622"/>
      <c r="BR234" s="608"/>
      <c r="BS234" s="608"/>
      <c r="BT234" s="608"/>
      <c r="BU234" s="622"/>
      <c r="BV234" s="31"/>
      <c r="BW234" s="622"/>
      <c r="BX234" s="608"/>
      <c r="BY234" s="608"/>
      <c r="BZ234" s="608"/>
      <c r="CA234" s="622"/>
      <c r="CB234" s="31"/>
      <c r="CC234" s="622"/>
      <c r="CD234" s="608"/>
      <c r="CE234" s="608"/>
      <c r="CF234" s="608"/>
      <c r="CG234" s="622"/>
      <c r="CH234" s="31"/>
      <c r="CI234" s="622"/>
      <c r="CJ234" s="608"/>
      <c r="CK234" s="608"/>
      <c r="CL234" s="608"/>
      <c r="CM234" s="622"/>
    </row>
    <row r="235" spans="1:91" ht="12" customHeight="1" x14ac:dyDescent="0.2">
      <c r="B235" s="387" t="s">
        <v>434</v>
      </c>
      <c r="C235" s="609">
        <f>21.346-1.565</f>
        <v>19.780999999999999</v>
      </c>
      <c r="D235" s="609">
        <f>12.864-3.551</f>
        <v>9.3130000000000006</v>
      </c>
      <c r="E235" s="609">
        <f>13.882-4.097</f>
        <v>9.7850000000000001</v>
      </c>
      <c r="F235" s="609">
        <f>23.041-11.573</f>
        <v>11.468</v>
      </c>
      <c r="G235" s="590">
        <f>F235</f>
        <v>11.468</v>
      </c>
      <c r="H235" s="30"/>
      <c r="I235" s="609">
        <f>6.043-4.476</f>
        <v>1.5670000000000002</v>
      </c>
      <c r="J235" s="609">
        <f>6.25-4.596</f>
        <v>1.6539999999999999</v>
      </c>
      <c r="K235" s="609">
        <f>6.475-4.794</f>
        <v>1.681</v>
      </c>
      <c r="L235" s="609">
        <f>9.093-7.263</f>
        <v>1.83</v>
      </c>
      <c r="M235" s="590">
        <f>L235</f>
        <v>1.83</v>
      </c>
      <c r="N235" s="643"/>
      <c r="O235" s="609">
        <f>94.248-93.103</f>
        <v>1.1450000000000102</v>
      </c>
      <c r="P235" s="609">
        <f>81.002-80.963</f>
        <v>3.9000000000001478E-2</v>
      </c>
      <c r="Q235" s="609">
        <f>5.929-2.983</f>
        <v>2.9460000000000002</v>
      </c>
      <c r="R235" s="609">
        <v>1.907</v>
      </c>
      <c r="S235" s="590">
        <f>R235</f>
        <v>1.907</v>
      </c>
      <c r="T235" s="30"/>
      <c r="U235" s="609">
        <v>3.1320000000000001</v>
      </c>
      <c r="V235" s="609">
        <v>2.988</v>
      </c>
      <c r="W235" s="609">
        <v>3.8740000000000001</v>
      </c>
      <c r="X235" s="609">
        <v>2.6160000000000001</v>
      </c>
      <c r="Y235" s="590">
        <f>X235</f>
        <v>2.6160000000000001</v>
      </c>
      <c r="Z235" s="30"/>
      <c r="AA235" s="609">
        <v>367.81900000000002</v>
      </c>
      <c r="AB235" s="609">
        <v>382.22300000000001</v>
      </c>
      <c r="AC235" s="609">
        <v>389.26799999999997</v>
      </c>
      <c r="AD235" s="609">
        <f>368.403</f>
        <v>368.40300000000002</v>
      </c>
      <c r="AE235" s="622">
        <f>AD235</f>
        <v>368.40300000000002</v>
      </c>
      <c r="AF235" s="30"/>
      <c r="AG235" s="609">
        <f>51.101+3.64</f>
        <v>54.741</v>
      </c>
      <c r="AH235" s="609">
        <v>2.2970000000000002</v>
      </c>
      <c r="AI235" s="609">
        <v>3.7469999999999999</v>
      </c>
      <c r="AJ235" s="609">
        <v>0.20799999999999999</v>
      </c>
      <c r="AK235" s="622">
        <f>AJ235</f>
        <v>0.20799999999999999</v>
      </c>
      <c r="AL235" s="31"/>
      <c r="AM235" s="609">
        <v>0.14899999999999999</v>
      </c>
      <c r="AN235" s="609">
        <v>0.10299999999999999</v>
      </c>
      <c r="AO235" s="609">
        <v>0.111</v>
      </c>
      <c r="AP235" s="609">
        <v>0.17699999999999999</v>
      </c>
      <c r="AQ235" s="622">
        <f>AP235</f>
        <v>0.17699999999999999</v>
      </c>
      <c r="AR235" s="31"/>
      <c r="AS235" s="609">
        <v>0.222</v>
      </c>
      <c r="AT235" s="609">
        <v>1.6</v>
      </c>
      <c r="AU235" s="610">
        <v>1.5</v>
      </c>
      <c r="AV235" s="610">
        <v>1.5</v>
      </c>
      <c r="AW235" s="622">
        <f>AV235</f>
        <v>1.5</v>
      </c>
      <c r="AX235" s="31"/>
      <c r="AY235" s="609">
        <v>24</v>
      </c>
      <c r="AZ235" s="609">
        <v>23.2</v>
      </c>
      <c r="BA235" s="609">
        <v>23.4</v>
      </c>
      <c r="BB235" s="609">
        <v>23.1</v>
      </c>
      <c r="BC235" s="622">
        <f>BB235</f>
        <v>23.1</v>
      </c>
      <c r="BD235" s="31"/>
      <c r="BE235" s="609">
        <v>0</v>
      </c>
      <c r="BF235" s="608">
        <f>BE235+BF244</f>
        <v>0</v>
      </c>
      <c r="BG235" s="608">
        <f>BF235+BG244</f>
        <v>0</v>
      </c>
      <c r="BH235" s="608">
        <f>BG235+BH244</f>
        <v>0</v>
      </c>
      <c r="BI235" s="622">
        <f>BH235</f>
        <v>0</v>
      </c>
      <c r="BJ235" s="31"/>
      <c r="BK235" s="622">
        <f>BH235+BK244</f>
        <v>0</v>
      </c>
      <c r="BL235" s="608">
        <f>BK235+BL244</f>
        <v>0</v>
      </c>
      <c r="BM235" s="608">
        <f>BL235+BM244</f>
        <v>0</v>
      </c>
      <c r="BN235" s="608">
        <f>BM235+BN244</f>
        <v>0</v>
      </c>
      <c r="BO235" s="622">
        <f>BN235</f>
        <v>0</v>
      </c>
      <c r="BP235" s="31"/>
      <c r="BQ235" s="622">
        <f>BN235+BQ244</f>
        <v>0</v>
      </c>
      <c r="BR235" s="608">
        <f>BQ235+BR244</f>
        <v>0</v>
      </c>
      <c r="BS235" s="608">
        <f>BR235+BS244</f>
        <v>0</v>
      </c>
      <c r="BT235" s="608">
        <f>BS235+BT244</f>
        <v>0</v>
      </c>
      <c r="BU235" s="622">
        <f>BT235</f>
        <v>0</v>
      </c>
      <c r="BV235" s="31"/>
      <c r="BW235" s="622">
        <f>BT235+BW244</f>
        <v>0</v>
      </c>
      <c r="BX235" s="608">
        <f>BW235+BX244</f>
        <v>0</v>
      </c>
      <c r="BY235" s="608">
        <f>BX235+BY244</f>
        <v>0</v>
      </c>
      <c r="BZ235" s="608">
        <f>BY235+BZ244</f>
        <v>0</v>
      </c>
      <c r="CA235" s="622">
        <f>BZ235</f>
        <v>0</v>
      </c>
      <c r="CB235" s="31"/>
      <c r="CC235" s="622">
        <f>BZ235+CC244</f>
        <v>0</v>
      </c>
      <c r="CD235" s="608">
        <f>CC235+CD244</f>
        <v>0</v>
      </c>
      <c r="CE235" s="608">
        <f>CD235+CE244</f>
        <v>0</v>
      </c>
      <c r="CF235" s="608">
        <f>CE235+CF244</f>
        <v>0</v>
      </c>
      <c r="CG235" s="622">
        <f>CF235</f>
        <v>0</v>
      </c>
      <c r="CH235" s="31"/>
      <c r="CI235" s="622">
        <f>CF235+CI244</f>
        <v>0</v>
      </c>
      <c r="CJ235" s="608">
        <f>CI235+CJ244</f>
        <v>0</v>
      </c>
      <c r="CK235" s="608">
        <f>CJ235+CK244</f>
        <v>0</v>
      </c>
      <c r="CL235" s="608">
        <f>CK235+CL244</f>
        <v>0</v>
      </c>
      <c r="CM235" s="622">
        <f>CL235</f>
        <v>0</v>
      </c>
    </row>
    <row r="236" spans="1:91" ht="12" customHeight="1" x14ac:dyDescent="0.2">
      <c r="B236" s="30" t="s">
        <v>433</v>
      </c>
      <c r="C236" s="31"/>
      <c r="D236" s="31"/>
      <c r="E236" s="31"/>
      <c r="F236" s="31"/>
      <c r="G236" s="590"/>
      <c r="H236" s="30"/>
      <c r="I236" s="31"/>
      <c r="J236" s="31"/>
      <c r="K236" s="31"/>
      <c r="L236" s="31"/>
      <c r="M236" s="590"/>
      <c r="N236" s="643"/>
      <c r="O236" s="31"/>
      <c r="P236" s="31"/>
      <c r="Q236" s="31"/>
      <c r="R236" s="31"/>
      <c r="S236" s="590"/>
      <c r="T236" s="30"/>
      <c r="U236" s="31"/>
      <c r="V236" s="31"/>
      <c r="W236" s="31"/>
      <c r="X236" s="31"/>
      <c r="Y236" s="590"/>
      <c r="Z236" s="30"/>
      <c r="AA236" s="609"/>
      <c r="AB236" s="609"/>
      <c r="AC236" s="608"/>
      <c r="AD236" s="608"/>
      <c r="AE236" s="622"/>
      <c r="AF236" s="30"/>
      <c r="AG236" s="31"/>
      <c r="AH236" s="31"/>
      <c r="AI236" s="31"/>
      <c r="AJ236" s="31"/>
      <c r="AK236" s="622">
        <f>AJ236</f>
        <v>0</v>
      </c>
      <c r="AL236" s="31"/>
      <c r="AM236" s="31"/>
      <c r="AN236" s="31"/>
      <c r="AO236" s="31"/>
      <c r="AP236" s="31"/>
      <c r="AQ236" s="622"/>
      <c r="AR236" s="31"/>
      <c r="AS236" s="31"/>
      <c r="AT236" s="608"/>
      <c r="AU236" s="608"/>
      <c r="AV236" s="608"/>
      <c r="AW236" s="622"/>
      <c r="AX236" s="31"/>
      <c r="AY236" s="31"/>
      <c r="AZ236" s="608"/>
      <c r="BA236" s="608"/>
      <c r="BB236" s="608"/>
      <c r="BC236" s="622"/>
      <c r="BD236" s="31"/>
      <c r="BE236" s="622"/>
      <c r="BF236" s="608"/>
      <c r="BG236" s="608"/>
      <c r="BH236" s="608"/>
      <c r="BI236" s="622"/>
      <c r="BJ236" s="31"/>
      <c r="BK236" s="622"/>
      <c r="BL236" s="608"/>
      <c r="BM236" s="608"/>
      <c r="BN236" s="608"/>
      <c r="BO236" s="622"/>
      <c r="BP236" s="31"/>
      <c r="BQ236" s="622"/>
      <c r="BR236" s="608"/>
      <c r="BS236" s="608"/>
      <c r="BT236" s="608"/>
      <c r="BU236" s="622"/>
      <c r="BV236" s="31"/>
      <c r="BW236" s="622"/>
      <c r="BX236" s="608"/>
      <c r="BY236" s="608"/>
      <c r="BZ236" s="608"/>
      <c r="CA236" s="622"/>
      <c r="CB236" s="31"/>
      <c r="CC236" s="622"/>
      <c r="CD236" s="608"/>
      <c r="CE236" s="608"/>
      <c r="CF236" s="608"/>
      <c r="CG236" s="622"/>
      <c r="CH236" s="31"/>
      <c r="CI236" s="622"/>
      <c r="CJ236" s="608"/>
      <c r="CK236" s="608"/>
      <c r="CL236" s="608"/>
      <c r="CM236" s="622"/>
    </row>
    <row r="237" spans="1:91" ht="12" customHeight="1" x14ac:dyDescent="0.2">
      <c r="B237" s="625" t="s">
        <v>432</v>
      </c>
      <c r="C237" s="609">
        <v>150.102</v>
      </c>
      <c r="D237" s="609">
        <v>150.78899999999999</v>
      </c>
      <c r="E237" s="609">
        <v>150.65700000000001</v>
      </c>
      <c r="F237" s="609">
        <v>153.066</v>
      </c>
      <c r="G237" s="590">
        <f>F237</f>
        <v>153.066</v>
      </c>
      <c r="H237" s="30"/>
      <c r="I237" s="609">
        <v>150.727</v>
      </c>
      <c r="J237" s="609">
        <v>150.566</v>
      </c>
      <c r="K237" s="609">
        <v>150.78399999999999</v>
      </c>
      <c r="L237" s="609">
        <v>151.31700000000001</v>
      </c>
      <c r="M237" s="590">
        <f>L237</f>
        <v>151.31700000000001</v>
      </c>
      <c r="N237" s="643"/>
      <c r="O237" s="609">
        <v>152.541</v>
      </c>
      <c r="P237" s="609">
        <v>150.631</v>
      </c>
      <c r="Q237" s="609">
        <v>128.078</v>
      </c>
      <c r="R237" s="609">
        <v>127.986</v>
      </c>
      <c r="S237" s="590">
        <f>R237</f>
        <v>127.986</v>
      </c>
      <c r="T237" s="30"/>
      <c r="U237" s="609">
        <v>127.917</v>
      </c>
      <c r="V237" s="609">
        <v>105</v>
      </c>
      <c r="W237" s="609">
        <v>105</v>
      </c>
      <c r="X237" s="609">
        <v>105.063</v>
      </c>
      <c r="Y237" s="590">
        <f>X237</f>
        <v>105.063</v>
      </c>
      <c r="Z237" s="30"/>
      <c r="AA237" s="609">
        <v>0</v>
      </c>
      <c r="AB237" s="609">
        <v>0</v>
      </c>
      <c r="AC237" s="609">
        <v>0</v>
      </c>
      <c r="AD237" s="609">
        <v>0</v>
      </c>
      <c r="AE237" s="622">
        <f>AD237</f>
        <v>0</v>
      </c>
      <c r="AF237" s="30"/>
      <c r="AG237" s="609">
        <v>75.27</v>
      </c>
      <c r="AH237" s="609">
        <v>75.265000000000001</v>
      </c>
      <c r="AI237" s="609">
        <v>75.27</v>
      </c>
      <c r="AJ237" s="609">
        <v>75.27</v>
      </c>
      <c r="AK237" s="622">
        <f>AJ237</f>
        <v>75.27</v>
      </c>
      <c r="AL237" s="31"/>
      <c r="AM237" s="609">
        <v>75.27</v>
      </c>
      <c r="AN237" s="609">
        <v>75.241</v>
      </c>
      <c r="AO237" s="609">
        <v>75.27</v>
      </c>
      <c r="AP237" s="609">
        <v>75.27</v>
      </c>
      <c r="AQ237" s="622">
        <f>AP237</f>
        <v>75.27</v>
      </c>
      <c r="AR237" s="31"/>
      <c r="AS237" s="609">
        <v>75.257999999999996</v>
      </c>
      <c r="AT237" s="609">
        <v>78</v>
      </c>
      <c r="AU237" s="609">
        <v>78</v>
      </c>
      <c r="AV237" s="609">
        <v>78</v>
      </c>
      <c r="AW237" s="622">
        <f>AV237</f>
        <v>78</v>
      </c>
      <c r="AX237" s="31"/>
      <c r="AY237" s="609">
        <v>55.5</v>
      </c>
      <c r="AZ237" s="609">
        <v>55.4</v>
      </c>
      <c r="BA237" s="609">
        <v>57</v>
      </c>
      <c r="BB237" s="609">
        <v>57.1</v>
      </c>
      <c r="BC237" s="622">
        <f>BB237</f>
        <v>57.1</v>
      </c>
      <c r="BD237" s="31"/>
      <c r="BE237" s="609">
        <v>99.400000000000105</v>
      </c>
      <c r="BF237" s="608">
        <f t="shared" ref="BF237:BH239" si="365">BE237+BF246</f>
        <v>99.400000000000105</v>
      </c>
      <c r="BG237" s="608">
        <f t="shared" si="365"/>
        <v>99.400000000000105</v>
      </c>
      <c r="BH237" s="608">
        <f t="shared" si="365"/>
        <v>99.400000000000105</v>
      </c>
      <c r="BI237" s="622">
        <f>BH237</f>
        <v>99.400000000000105</v>
      </c>
      <c r="BJ237" s="31"/>
      <c r="BK237" s="622">
        <f>BH237+BK246</f>
        <v>99.400000000000105</v>
      </c>
      <c r="BL237" s="608">
        <f t="shared" ref="BL237:BN239" si="366">BK237+BL246</f>
        <v>99.400000000000105</v>
      </c>
      <c r="BM237" s="608">
        <f t="shared" si="366"/>
        <v>99.400000000000105</v>
      </c>
      <c r="BN237" s="608">
        <f t="shared" si="366"/>
        <v>99.400000000000105</v>
      </c>
      <c r="BO237" s="622">
        <f>BN237</f>
        <v>99.400000000000105</v>
      </c>
      <c r="BP237" s="31"/>
      <c r="BQ237" s="622">
        <f>BN237+BQ246</f>
        <v>99.400000000000105</v>
      </c>
      <c r="BR237" s="608">
        <f t="shared" ref="BR237:BT239" si="367">BQ237+BR246</f>
        <v>99.400000000000105</v>
      </c>
      <c r="BS237" s="608">
        <f t="shared" si="367"/>
        <v>99.400000000000105</v>
      </c>
      <c r="BT237" s="608">
        <f t="shared" si="367"/>
        <v>99.400000000000105</v>
      </c>
      <c r="BU237" s="622">
        <f>BT237</f>
        <v>99.400000000000105</v>
      </c>
      <c r="BV237" s="31"/>
      <c r="BW237" s="622">
        <f>BT237+BW246</f>
        <v>99.400000000000105</v>
      </c>
      <c r="BX237" s="608">
        <f t="shared" ref="BX237:BZ239" si="368">BW237+BX246</f>
        <v>99.400000000000105</v>
      </c>
      <c r="BY237" s="608">
        <f t="shared" si="368"/>
        <v>99.400000000000105</v>
      </c>
      <c r="BZ237" s="608">
        <f t="shared" si="368"/>
        <v>99.400000000000105</v>
      </c>
      <c r="CA237" s="622">
        <f>BZ237</f>
        <v>99.400000000000105</v>
      </c>
      <c r="CB237" s="31"/>
      <c r="CC237" s="622">
        <f>BZ237+CC246</f>
        <v>99.400000000000105</v>
      </c>
      <c r="CD237" s="608">
        <f t="shared" ref="CD237:CF239" si="369">CC237+CD246</f>
        <v>99.400000000000105</v>
      </c>
      <c r="CE237" s="608">
        <f t="shared" si="369"/>
        <v>99.400000000000105</v>
      </c>
      <c r="CF237" s="608">
        <f t="shared" si="369"/>
        <v>99.400000000000105</v>
      </c>
      <c r="CG237" s="622">
        <f>CF237</f>
        <v>99.400000000000105</v>
      </c>
      <c r="CH237" s="31"/>
      <c r="CI237" s="622">
        <f>CF237+CI246</f>
        <v>99.400000000000105</v>
      </c>
      <c r="CJ237" s="608">
        <f t="shared" ref="CJ237:CL239" si="370">CI237+CJ246</f>
        <v>99.400000000000105</v>
      </c>
      <c r="CK237" s="608">
        <f t="shared" si="370"/>
        <v>99.400000000000105</v>
      </c>
      <c r="CL237" s="608">
        <f t="shared" si="370"/>
        <v>99.400000000000105</v>
      </c>
      <c r="CM237" s="622">
        <f>CL237</f>
        <v>99.400000000000105</v>
      </c>
    </row>
    <row r="238" spans="1:91" ht="12" customHeight="1" x14ac:dyDescent="0.2">
      <c r="B238" s="625" t="s">
        <v>431</v>
      </c>
      <c r="C238" s="609">
        <v>362.08800000000002</v>
      </c>
      <c r="D238" s="609">
        <v>366.72500000000002</v>
      </c>
      <c r="E238" s="609">
        <v>372.81099999999998</v>
      </c>
      <c r="F238" s="609">
        <v>396.69200000000001</v>
      </c>
      <c r="G238" s="590">
        <f>F238</f>
        <v>396.69200000000001</v>
      </c>
      <c r="H238" s="30"/>
      <c r="I238" s="609">
        <v>406.42</v>
      </c>
      <c r="J238" s="609">
        <v>436.64</v>
      </c>
      <c r="K238" s="609">
        <v>436.09699999999998</v>
      </c>
      <c r="L238" s="609">
        <v>398.15600000000001</v>
      </c>
      <c r="M238" s="590">
        <f>L238</f>
        <v>398.15600000000001</v>
      </c>
      <c r="N238" s="643"/>
      <c r="O238" s="609">
        <v>393.63299999999998</v>
      </c>
      <c r="P238" s="609">
        <v>368.32900000000001</v>
      </c>
      <c r="Q238" s="609">
        <v>331.50400000000002</v>
      </c>
      <c r="R238" s="609">
        <v>343.87200000000001</v>
      </c>
      <c r="S238" s="590">
        <f>R238</f>
        <v>343.87200000000001</v>
      </c>
      <c r="T238" s="30"/>
      <c r="U238" s="609">
        <v>337.92500000000001</v>
      </c>
      <c r="V238" s="609">
        <v>259.33600000000001</v>
      </c>
      <c r="W238" s="609">
        <v>236.52500000000001</v>
      </c>
      <c r="X238" s="609">
        <v>263.05700000000002</v>
      </c>
      <c r="Y238" s="590">
        <f>X238</f>
        <v>263.05700000000002</v>
      </c>
      <c r="Z238" s="30"/>
      <c r="AA238" s="609">
        <v>0</v>
      </c>
      <c r="AB238" s="609">
        <v>0</v>
      </c>
      <c r="AC238" s="609">
        <v>0</v>
      </c>
      <c r="AD238" s="609">
        <v>0</v>
      </c>
      <c r="AE238" s="622">
        <f>AD238</f>
        <v>0</v>
      </c>
      <c r="AF238" s="30"/>
      <c r="AG238" s="609">
        <v>0</v>
      </c>
      <c r="AH238" s="609">
        <v>0</v>
      </c>
      <c r="AI238" s="609">
        <v>0</v>
      </c>
      <c r="AJ238" s="609">
        <v>0</v>
      </c>
      <c r="AK238" s="622">
        <f>AJ238</f>
        <v>0</v>
      </c>
      <c r="AL238" s="31"/>
      <c r="AM238" s="609">
        <v>0</v>
      </c>
      <c r="AN238" s="609">
        <v>0</v>
      </c>
      <c r="AO238" s="609">
        <v>0</v>
      </c>
      <c r="AP238" s="609">
        <v>0</v>
      </c>
      <c r="AQ238" s="622">
        <f>AP238</f>
        <v>0</v>
      </c>
      <c r="AR238" s="31"/>
      <c r="AS238" s="609">
        <v>0</v>
      </c>
      <c r="AT238" s="609">
        <v>0</v>
      </c>
      <c r="AU238" s="609">
        <v>0</v>
      </c>
      <c r="AV238" s="609">
        <v>0</v>
      </c>
      <c r="AW238" s="622">
        <f>AV238</f>
        <v>0</v>
      </c>
      <c r="AX238" s="31"/>
      <c r="AY238" s="609">
        <v>0</v>
      </c>
      <c r="AZ238" s="609">
        <v>0</v>
      </c>
      <c r="BA238" s="609">
        <v>0</v>
      </c>
      <c r="BB238" s="609">
        <v>0</v>
      </c>
      <c r="BC238" s="622">
        <f>BB238</f>
        <v>0</v>
      </c>
      <c r="BD238" s="31"/>
      <c r="BE238" s="609">
        <v>0</v>
      </c>
      <c r="BF238" s="608">
        <f t="shared" si="365"/>
        <v>0</v>
      </c>
      <c r="BG238" s="608">
        <f t="shared" si="365"/>
        <v>0</v>
      </c>
      <c r="BH238" s="608">
        <f t="shared" si="365"/>
        <v>0</v>
      </c>
      <c r="BI238" s="622">
        <f>BH238</f>
        <v>0</v>
      </c>
      <c r="BJ238" s="31"/>
      <c r="BK238" s="622">
        <f>BH238+BK247</f>
        <v>0</v>
      </c>
      <c r="BL238" s="608">
        <f t="shared" si="366"/>
        <v>0</v>
      </c>
      <c r="BM238" s="608">
        <f t="shared" si="366"/>
        <v>0</v>
      </c>
      <c r="BN238" s="608">
        <f t="shared" si="366"/>
        <v>0</v>
      </c>
      <c r="BO238" s="622">
        <f>BN238</f>
        <v>0</v>
      </c>
      <c r="BP238" s="31"/>
      <c r="BQ238" s="622">
        <f>BN238+BQ247</f>
        <v>0</v>
      </c>
      <c r="BR238" s="608">
        <f t="shared" si="367"/>
        <v>0</v>
      </c>
      <c r="BS238" s="608">
        <f t="shared" si="367"/>
        <v>0</v>
      </c>
      <c r="BT238" s="608">
        <f t="shared" si="367"/>
        <v>0</v>
      </c>
      <c r="BU238" s="622">
        <f>BT238</f>
        <v>0</v>
      </c>
      <c r="BV238" s="31"/>
      <c r="BW238" s="622">
        <f>BT238+BW247</f>
        <v>0</v>
      </c>
      <c r="BX238" s="608">
        <f t="shared" si="368"/>
        <v>0</v>
      </c>
      <c r="BY238" s="608">
        <f t="shared" si="368"/>
        <v>0</v>
      </c>
      <c r="BZ238" s="608">
        <f t="shared" si="368"/>
        <v>0</v>
      </c>
      <c r="CA238" s="622">
        <f>BZ238</f>
        <v>0</v>
      </c>
      <c r="CB238" s="31"/>
      <c r="CC238" s="622">
        <f>BZ238+CC247</f>
        <v>0</v>
      </c>
      <c r="CD238" s="608">
        <f t="shared" si="369"/>
        <v>0</v>
      </c>
      <c r="CE238" s="608">
        <f t="shared" si="369"/>
        <v>0</v>
      </c>
      <c r="CF238" s="608">
        <f t="shared" si="369"/>
        <v>0</v>
      </c>
      <c r="CG238" s="622">
        <f>CF238</f>
        <v>0</v>
      </c>
      <c r="CH238" s="31"/>
      <c r="CI238" s="622">
        <f>CF238+CI247</f>
        <v>0</v>
      </c>
      <c r="CJ238" s="608">
        <f t="shared" si="370"/>
        <v>0</v>
      </c>
      <c r="CK238" s="608">
        <f t="shared" si="370"/>
        <v>0</v>
      </c>
      <c r="CL238" s="608">
        <f t="shared" si="370"/>
        <v>0</v>
      </c>
      <c r="CM238" s="622">
        <f>CL238</f>
        <v>0</v>
      </c>
    </row>
    <row r="239" spans="1:91" ht="12" customHeight="1" x14ac:dyDescent="0.2">
      <c r="B239" s="624" t="s">
        <v>430</v>
      </c>
      <c r="C239" s="609">
        <v>1.853</v>
      </c>
      <c r="D239" s="609">
        <v>1.87</v>
      </c>
      <c r="E239" s="609">
        <v>1.8520000000000001</v>
      </c>
      <c r="F239" s="609">
        <v>1.958</v>
      </c>
      <c r="G239" s="590">
        <f>F239</f>
        <v>1.958</v>
      </c>
      <c r="H239" s="30"/>
      <c r="I239" s="609">
        <v>2.0190000000000001</v>
      </c>
      <c r="J239" s="609">
        <v>2.165</v>
      </c>
      <c r="K239" s="609">
        <v>2.1379999999999999</v>
      </c>
      <c r="L239" s="609">
        <v>2.14</v>
      </c>
      <c r="M239" s="590">
        <f>L239</f>
        <v>2.14</v>
      </c>
      <c r="N239" s="643"/>
      <c r="O239" s="609">
        <v>1.141</v>
      </c>
      <c r="P239" s="609">
        <v>1.0449999999999999</v>
      </c>
      <c r="Q239" s="609">
        <v>1.073</v>
      </c>
      <c r="R239" s="609">
        <v>1.147</v>
      </c>
      <c r="S239" s="590">
        <f>R239</f>
        <v>1.147</v>
      </c>
      <c r="T239" s="30"/>
      <c r="U239" s="609">
        <v>1.1100000000000001</v>
      </c>
      <c r="V239" s="609">
        <v>0</v>
      </c>
      <c r="W239" s="609">
        <v>0</v>
      </c>
      <c r="X239" s="609">
        <v>0</v>
      </c>
      <c r="Y239" s="590">
        <f>X239</f>
        <v>0</v>
      </c>
      <c r="Z239" s="30"/>
      <c r="AA239" s="609">
        <v>0</v>
      </c>
      <c r="AB239" s="609">
        <v>0</v>
      </c>
      <c r="AC239" s="609">
        <v>0</v>
      </c>
      <c r="AD239" s="609">
        <v>0</v>
      </c>
      <c r="AE239" s="622">
        <f>AD239</f>
        <v>0</v>
      </c>
      <c r="AF239" s="30"/>
      <c r="AG239" s="609">
        <v>0</v>
      </c>
      <c r="AH239" s="609">
        <v>0</v>
      </c>
      <c r="AI239" s="609">
        <v>0</v>
      </c>
      <c r="AJ239" s="609">
        <v>0</v>
      </c>
      <c r="AK239" s="622">
        <f>AJ239</f>
        <v>0</v>
      </c>
      <c r="AL239" s="31"/>
      <c r="AM239" s="609">
        <v>0</v>
      </c>
      <c r="AN239" s="609">
        <v>0</v>
      </c>
      <c r="AO239" s="609">
        <v>0</v>
      </c>
      <c r="AP239" s="609">
        <v>0</v>
      </c>
      <c r="AQ239" s="622">
        <f>AP239</f>
        <v>0</v>
      </c>
      <c r="AR239" s="31"/>
      <c r="AS239" s="609">
        <v>0</v>
      </c>
      <c r="AT239" s="609">
        <v>0</v>
      </c>
      <c r="AU239" s="609">
        <v>0</v>
      </c>
      <c r="AV239" s="609">
        <v>0</v>
      </c>
      <c r="AW239" s="622">
        <f>AV239</f>
        <v>0</v>
      </c>
      <c r="AX239" s="31"/>
      <c r="AY239" s="609">
        <v>0</v>
      </c>
      <c r="AZ239" s="609">
        <v>0</v>
      </c>
      <c r="BA239" s="609">
        <v>0</v>
      </c>
      <c r="BB239" s="609">
        <v>0</v>
      </c>
      <c r="BC239" s="622">
        <f>BB239</f>
        <v>0</v>
      </c>
      <c r="BD239" s="31"/>
      <c r="BE239" s="609">
        <v>0</v>
      </c>
      <c r="BF239" s="608">
        <f t="shared" si="365"/>
        <v>0</v>
      </c>
      <c r="BG239" s="608">
        <f t="shared" si="365"/>
        <v>0</v>
      </c>
      <c r="BH239" s="608">
        <f t="shared" si="365"/>
        <v>0</v>
      </c>
      <c r="BI239" s="622">
        <f>BH239</f>
        <v>0</v>
      </c>
      <c r="BJ239" s="31"/>
      <c r="BK239" s="622">
        <f>BH239+BK248</f>
        <v>0</v>
      </c>
      <c r="BL239" s="608">
        <f t="shared" si="366"/>
        <v>0</v>
      </c>
      <c r="BM239" s="608">
        <f t="shared" si="366"/>
        <v>0</v>
      </c>
      <c r="BN239" s="608">
        <f t="shared" si="366"/>
        <v>0</v>
      </c>
      <c r="BO239" s="622">
        <f>BN239</f>
        <v>0</v>
      </c>
      <c r="BP239" s="31"/>
      <c r="BQ239" s="622">
        <f>BN239+BQ248</f>
        <v>0</v>
      </c>
      <c r="BR239" s="608">
        <f t="shared" si="367"/>
        <v>0</v>
      </c>
      <c r="BS239" s="608">
        <f t="shared" si="367"/>
        <v>0</v>
      </c>
      <c r="BT239" s="608">
        <f t="shared" si="367"/>
        <v>0</v>
      </c>
      <c r="BU239" s="622">
        <f>BT239</f>
        <v>0</v>
      </c>
      <c r="BV239" s="31"/>
      <c r="BW239" s="622">
        <f>BT239+BW248</f>
        <v>0</v>
      </c>
      <c r="BX239" s="608">
        <f t="shared" si="368"/>
        <v>0</v>
      </c>
      <c r="BY239" s="608">
        <f t="shared" si="368"/>
        <v>0</v>
      </c>
      <c r="BZ239" s="608">
        <f t="shared" si="368"/>
        <v>0</v>
      </c>
      <c r="CA239" s="622">
        <f>BZ239</f>
        <v>0</v>
      </c>
      <c r="CB239" s="31"/>
      <c r="CC239" s="622">
        <f>BZ239+CC248</f>
        <v>0</v>
      </c>
      <c r="CD239" s="608">
        <f t="shared" si="369"/>
        <v>0</v>
      </c>
      <c r="CE239" s="608">
        <f t="shared" si="369"/>
        <v>0</v>
      </c>
      <c r="CF239" s="608">
        <f t="shared" si="369"/>
        <v>0</v>
      </c>
      <c r="CG239" s="622">
        <f>CF239</f>
        <v>0</v>
      </c>
      <c r="CH239" s="31"/>
      <c r="CI239" s="622">
        <f>CF239+CI248</f>
        <v>0</v>
      </c>
      <c r="CJ239" s="608">
        <f t="shared" si="370"/>
        <v>0</v>
      </c>
      <c r="CK239" s="608">
        <f t="shared" si="370"/>
        <v>0</v>
      </c>
      <c r="CL239" s="608">
        <f t="shared" si="370"/>
        <v>0</v>
      </c>
      <c r="CM239" s="622">
        <f>CL239</f>
        <v>0</v>
      </c>
    </row>
    <row r="240" spans="1:91" ht="12" customHeight="1" x14ac:dyDescent="0.2">
      <c r="B240" s="109" t="s">
        <v>83</v>
      </c>
      <c r="C240" s="642">
        <f>SUM(C235:C239)</f>
        <v>533.82399999999996</v>
      </c>
      <c r="D240" s="642">
        <f>SUM(D235:D239)</f>
        <v>528.697</v>
      </c>
      <c r="E240" s="642">
        <f>SUM(E235:E239)</f>
        <v>535.1049999999999</v>
      </c>
      <c r="F240" s="642">
        <f>SUM(F235:F239)</f>
        <v>563.18399999999997</v>
      </c>
      <c r="G240" s="642">
        <f>SUM(G235:G239)</f>
        <v>563.18399999999997</v>
      </c>
      <c r="H240" s="37"/>
      <c r="I240" s="642">
        <f>SUM(I235:I239)</f>
        <v>560.73300000000006</v>
      </c>
      <c r="J240" s="642">
        <f>SUM(J235:J239)</f>
        <v>591.02499999999998</v>
      </c>
      <c r="K240" s="642">
        <f>SUM(K235:K239)</f>
        <v>590.70000000000005</v>
      </c>
      <c r="L240" s="642">
        <f>SUM(L235:L239)</f>
        <v>553.44299999999998</v>
      </c>
      <c r="M240" s="642">
        <f>SUM(M235:M239)</f>
        <v>553.44299999999998</v>
      </c>
      <c r="N240" s="623"/>
      <c r="O240" s="642">
        <f>SUM(O235:O239)</f>
        <v>548.45999999999992</v>
      </c>
      <c r="P240" s="642">
        <f>SUM(P235:P239)</f>
        <v>520.04399999999998</v>
      </c>
      <c r="Q240" s="642">
        <f>SUM(Q235:Q239)</f>
        <v>463.601</v>
      </c>
      <c r="R240" s="642">
        <f>SUM(R235:R239)</f>
        <v>474.91199999999998</v>
      </c>
      <c r="S240" s="642">
        <f>SUM(S235:S239)</f>
        <v>474.91199999999998</v>
      </c>
      <c r="T240" s="37"/>
      <c r="U240" s="642">
        <f>SUM(U235:U239)</f>
        <v>470.08400000000006</v>
      </c>
      <c r="V240" s="642">
        <f>SUM(V235:V239)</f>
        <v>367.32400000000001</v>
      </c>
      <c r="W240" s="642">
        <f>SUM(W235:W239)</f>
        <v>345.399</v>
      </c>
      <c r="X240" s="642">
        <f>SUM(X235:X239)</f>
        <v>370.73599999999999</v>
      </c>
      <c r="Y240" s="642">
        <f>SUM(Y235:Y239)</f>
        <v>370.73599999999999</v>
      </c>
      <c r="Z240" s="37"/>
      <c r="AA240" s="642">
        <f>SUM(AA235:AA239)</f>
        <v>367.81900000000002</v>
      </c>
      <c r="AB240" s="642">
        <f>SUM(AB235:AB239)</f>
        <v>382.22300000000001</v>
      </c>
      <c r="AC240" s="642">
        <f>SUM(AC235:AC239)</f>
        <v>389.26799999999997</v>
      </c>
      <c r="AD240" s="642">
        <f>SUM(AD235:AD239)</f>
        <v>368.40300000000002</v>
      </c>
      <c r="AE240" s="642">
        <f>SUM(AE235:AE239)</f>
        <v>368.40300000000002</v>
      </c>
      <c r="AF240" s="37"/>
      <c r="AG240" s="642">
        <f>SUM(AG235:AG239)</f>
        <v>130.011</v>
      </c>
      <c r="AH240" s="642">
        <f>SUM(AH235:AH239)</f>
        <v>77.561999999999998</v>
      </c>
      <c r="AI240" s="642">
        <f>SUM(AI235:AI239)</f>
        <v>79.016999999999996</v>
      </c>
      <c r="AJ240" s="642">
        <f>SUM(AJ235:AJ239)</f>
        <v>75.477999999999994</v>
      </c>
      <c r="AK240" s="642">
        <f>SUM(AK235:AK239)</f>
        <v>75.477999999999994</v>
      </c>
      <c r="AL240" s="28"/>
      <c r="AM240" s="642">
        <f>SUM(AM235:AM239)</f>
        <v>75.418999999999997</v>
      </c>
      <c r="AN240" s="642">
        <f>SUM(AN235:AN239)</f>
        <v>75.343999999999994</v>
      </c>
      <c r="AO240" s="642">
        <f>SUM(AO235:AO239)</f>
        <v>75.381</v>
      </c>
      <c r="AP240" s="642">
        <f>SUM(AP235:AP239)</f>
        <v>75.447000000000003</v>
      </c>
      <c r="AQ240" s="642">
        <f>SUM(AQ235:AQ239)</f>
        <v>75.447000000000003</v>
      </c>
      <c r="AR240" s="28"/>
      <c r="AS240" s="642">
        <f>SUM(AS235:AS239)</f>
        <v>75.47999999999999</v>
      </c>
      <c r="AT240" s="642">
        <f>SUM(AT235:AT239)</f>
        <v>79.599999999999994</v>
      </c>
      <c r="AU240" s="642">
        <f>SUM(AU235:AU239)</f>
        <v>79.5</v>
      </c>
      <c r="AV240" s="642">
        <f>SUM(AV235:AV239)</f>
        <v>79.5</v>
      </c>
      <c r="AW240" s="642">
        <f>SUM(AW235:AW239)</f>
        <v>79.5</v>
      </c>
      <c r="AX240" s="28"/>
      <c r="AY240" s="642">
        <f>SUM(AY235:AY239)</f>
        <v>79.5</v>
      </c>
      <c r="AZ240" s="642">
        <f>SUM(AZ235:AZ239)</f>
        <v>78.599999999999994</v>
      </c>
      <c r="BA240" s="642">
        <f>SUM(BA235:BA239)</f>
        <v>80.400000000000006</v>
      </c>
      <c r="BB240" s="642">
        <f>SUM(BB235:BB239)</f>
        <v>80.2</v>
      </c>
      <c r="BC240" s="642">
        <f>SUM(BC235:BC239)</f>
        <v>80.2</v>
      </c>
      <c r="BD240" s="28"/>
      <c r="BE240" s="642">
        <f>SUM(BE235:BE239)</f>
        <v>99.400000000000105</v>
      </c>
      <c r="BF240" s="642">
        <f>SUM(BF235:BF239)</f>
        <v>99.400000000000105</v>
      </c>
      <c r="BG240" s="642">
        <f>SUM(BG235:BG239)</f>
        <v>99.400000000000105</v>
      </c>
      <c r="BH240" s="642">
        <f>SUM(BH235:BH239)</f>
        <v>99.400000000000105</v>
      </c>
      <c r="BI240" s="642">
        <f>SUM(BI235:BI239)</f>
        <v>99.400000000000105</v>
      </c>
      <c r="BJ240" s="28"/>
      <c r="BK240" s="642">
        <f>SUM(BK235:BK239)</f>
        <v>99.400000000000105</v>
      </c>
      <c r="BL240" s="642">
        <f>SUM(BL235:BL239)</f>
        <v>99.400000000000105</v>
      </c>
      <c r="BM240" s="642">
        <f>SUM(BM235:BM239)</f>
        <v>99.400000000000105</v>
      </c>
      <c r="BN240" s="642">
        <f>SUM(BN235:BN239)</f>
        <v>99.400000000000105</v>
      </c>
      <c r="BO240" s="642">
        <f>SUM(BO235:BO239)</f>
        <v>99.400000000000105</v>
      </c>
      <c r="BP240" s="28"/>
      <c r="BQ240" s="642">
        <f>SUM(BQ235:BQ239)</f>
        <v>99.400000000000105</v>
      </c>
      <c r="BR240" s="642">
        <f>SUM(BR235:BR239)</f>
        <v>99.400000000000105</v>
      </c>
      <c r="BS240" s="642">
        <f>SUM(BS235:BS239)</f>
        <v>99.400000000000105</v>
      </c>
      <c r="BT240" s="642">
        <f>SUM(BT235:BT239)</f>
        <v>99.400000000000105</v>
      </c>
      <c r="BU240" s="642">
        <f>SUM(BU235:BU239)</f>
        <v>99.400000000000105</v>
      </c>
      <c r="BV240" s="28"/>
      <c r="BW240" s="642">
        <f>SUM(BW235:BW239)</f>
        <v>99.400000000000105</v>
      </c>
      <c r="BX240" s="642">
        <f>SUM(BX235:BX239)</f>
        <v>99.400000000000105</v>
      </c>
      <c r="BY240" s="642">
        <f>SUM(BY235:BY239)</f>
        <v>99.400000000000105</v>
      </c>
      <c r="BZ240" s="642">
        <f>SUM(BZ235:BZ239)</f>
        <v>99.400000000000105</v>
      </c>
      <c r="CA240" s="642">
        <f>SUM(CA235:CA239)</f>
        <v>99.400000000000105</v>
      </c>
      <c r="CB240" s="28"/>
      <c r="CC240" s="642">
        <f>SUM(CC235:CC239)</f>
        <v>99.400000000000105</v>
      </c>
      <c r="CD240" s="642">
        <f>SUM(CD235:CD239)</f>
        <v>99.400000000000105</v>
      </c>
      <c r="CE240" s="642">
        <f>SUM(CE235:CE239)</f>
        <v>99.400000000000105</v>
      </c>
      <c r="CF240" s="642">
        <f>SUM(CF235:CF239)</f>
        <v>99.400000000000105</v>
      </c>
      <c r="CG240" s="642">
        <f>SUM(CG235:CG239)</f>
        <v>99.400000000000105</v>
      </c>
      <c r="CH240" s="28"/>
      <c r="CI240" s="642">
        <f>SUM(CI235:CI239)</f>
        <v>99.400000000000105</v>
      </c>
      <c r="CJ240" s="642">
        <f>SUM(CJ235:CJ239)</f>
        <v>99.400000000000105</v>
      </c>
      <c r="CK240" s="642">
        <f>SUM(CK235:CK239)</f>
        <v>99.400000000000105</v>
      </c>
      <c r="CL240" s="642">
        <f>SUM(CL235:CL239)</f>
        <v>99.400000000000105</v>
      </c>
      <c r="CM240" s="642">
        <f>SUM(CM235:CM239)</f>
        <v>99.400000000000105</v>
      </c>
    </row>
    <row r="241" spans="2:91" ht="12" customHeight="1" x14ac:dyDescent="0.2">
      <c r="B241" s="28"/>
      <c r="C241" s="592"/>
      <c r="D241" s="592"/>
      <c r="E241" s="592"/>
      <c r="F241" s="592"/>
      <c r="G241" s="592"/>
      <c r="H241" s="26"/>
      <c r="I241" s="592"/>
      <c r="J241" s="592"/>
      <c r="K241" s="592"/>
      <c r="L241" s="592"/>
      <c r="M241" s="592"/>
      <c r="N241" s="26"/>
      <c r="O241" s="592"/>
      <c r="P241" s="592"/>
      <c r="Q241" s="592"/>
      <c r="R241" s="592"/>
      <c r="S241" s="592"/>
      <c r="T241" s="26"/>
      <c r="U241" s="592"/>
      <c r="V241" s="592"/>
      <c r="W241" s="592"/>
      <c r="X241" s="592"/>
      <c r="Y241" s="592"/>
      <c r="Z241" s="26"/>
      <c r="AA241" s="592"/>
      <c r="AB241" s="592"/>
      <c r="AC241" s="592"/>
      <c r="AD241" s="592"/>
      <c r="AE241" s="592"/>
      <c r="AF241" s="26"/>
      <c r="AG241" s="592"/>
      <c r="AH241" s="592"/>
      <c r="AI241" s="592"/>
      <c r="AJ241" s="592"/>
      <c r="AK241" s="592"/>
      <c r="AL241" s="52"/>
      <c r="AM241" s="592"/>
      <c r="AN241" s="592"/>
      <c r="AO241" s="592"/>
      <c r="AP241" s="592"/>
      <c r="AQ241" s="592"/>
      <c r="AR241" s="52"/>
      <c r="AS241" s="592"/>
      <c r="AT241" s="592"/>
      <c r="AU241" s="592"/>
      <c r="AV241" s="592"/>
      <c r="AW241" s="592"/>
      <c r="AX241" s="52"/>
      <c r="AY241" s="592"/>
      <c r="AZ241" s="592"/>
      <c r="BA241" s="592"/>
      <c r="BB241" s="592"/>
      <c r="BC241" s="592"/>
      <c r="BD241" s="52"/>
      <c r="BE241" s="592"/>
      <c r="BF241" s="592"/>
      <c r="BG241" s="592"/>
      <c r="BH241" s="592"/>
      <c r="BI241" s="592"/>
      <c r="BJ241" s="52"/>
      <c r="BK241" s="592"/>
      <c r="BL241" s="592"/>
      <c r="BM241" s="592"/>
      <c r="BN241" s="592"/>
      <c r="BO241" s="592"/>
      <c r="BP241" s="52"/>
      <c r="BQ241" s="592"/>
      <c r="BR241" s="592"/>
      <c r="BS241" s="592"/>
      <c r="BT241" s="592"/>
      <c r="BU241" s="592"/>
      <c r="BV241" s="52"/>
      <c r="BW241" s="592"/>
      <c r="BX241" s="592"/>
      <c r="BY241" s="592"/>
      <c r="BZ241" s="592"/>
      <c r="CA241" s="592"/>
      <c r="CB241" s="52"/>
      <c r="CC241" s="592"/>
      <c r="CD241" s="592"/>
      <c r="CE241" s="592"/>
      <c r="CF241" s="592"/>
      <c r="CG241" s="592"/>
      <c r="CH241" s="52"/>
      <c r="CI241" s="592"/>
      <c r="CJ241" s="592"/>
      <c r="CK241" s="592"/>
      <c r="CL241" s="592"/>
      <c r="CM241" s="592"/>
    </row>
    <row r="242" spans="2:91" ht="12" customHeight="1" x14ac:dyDescent="0.2">
      <c r="B242" s="587" t="s">
        <v>304</v>
      </c>
      <c r="C242" s="30"/>
      <c r="D242" s="30"/>
      <c r="E242" s="30"/>
      <c r="F242" s="30"/>
      <c r="G242" s="30"/>
      <c r="H242" s="30"/>
      <c r="I242" s="30"/>
      <c r="J242" s="30"/>
      <c r="K242" s="30"/>
      <c r="L242" s="30"/>
      <c r="M242" s="30"/>
      <c r="N242" s="30"/>
      <c r="O242" s="30"/>
      <c r="P242" s="30"/>
      <c r="Q242" s="30"/>
      <c r="R242" s="30"/>
      <c r="S242" s="30"/>
      <c r="T242" s="30"/>
      <c r="U242" s="30"/>
      <c r="V242" s="30"/>
      <c r="W242" s="30"/>
      <c r="X242" s="30"/>
      <c r="Y242" s="30"/>
      <c r="Z242" s="30"/>
      <c r="AA242" s="30"/>
      <c r="AB242" s="30"/>
      <c r="AC242" s="30"/>
      <c r="AD242" s="30"/>
      <c r="AE242" s="30"/>
      <c r="AF242" s="30"/>
      <c r="AG242" s="30"/>
      <c r="AH242" s="30"/>
      <c r="AI242" s="30"/>
      <c r="AJ242" s="30"/>
      <c r="AK242" s="30"/>
      <c r="AL242" s="31"/>
      <c r="AM242" s="30"/>
      <c r="AN242" s="30"/>
      <c r="AO242" s="30"/>
      <c r="AP242" s="30"/>
      <c r="AQ242" s="30"/>
      <c r="AR242" s="31"/>
      <c r="AS242" s="30"/>
      <c r="AT242" s="30"/>
      <c r="AU242" s="30"/>
      <c r="AV242" s="30"/>
      <c r="AW242" s="30"/>
      <c r="AX242" s="31"/>
      <c r="AY242" s="641"/>
      <c r="AZ242" s="591"/>
      <c r="BA242" s="30"/>
      <c r="BB242" s="30"/>
      <c r="BC242" s="30"/>
      <c r="BD242" s="31"/>
      <c r="BE242" s="30"/>
      <c r="BF242" s="30"/>
      <c r="BG242" s="30"/>
      <c r="BH242" s="30"/>
      <c r="BI242" s="30"/>
      <c r="BJ242" s="31"/>
      <c r="BK242" s="30"/>
      <c r="BL242" s="30"/>
      <c r="BM242" s="30"/>
      <c r="BN242" s="30"/>
      <c r="BO242" s="30"/>
      <c r="BP242" s="31"/>
      <c r="BQ242" s="30"/>
      <c r="BR242" s="30"/>
      <c r="BS242" s="30"/>
      <c r="BT242" s="30"/>
      <c r="BU242" s="30"/>
      <c r="BV242" s="31"/>
      <c r="BW242" s="30"/>
      <c r="BX242" s="30"/>
      <c r="BY242" s="30"/>
      <c r="BZ242" s="30"/>
      <c r="CA242" s="30"/>
      <c r="CB242" s="31"/>
      <c r="CC242" s="30"/>
      <c r="CD242" s="30"/>
      <c r="CE242" s="30"/>
      <c r="CF242" s="30"/>
      <c r="CG242" s="30"/>
      <c r="CH242" s="31"/>
      <c r="CI242" s="30"/>
      <c r="CJ242" s="30"/>
      <c r="CK242" s="30"/>
      <c r="CL242" s="30"/>
      <c r="CM242" s="30"/>
    </row>
    <row r="243" spans="2:91" ht="12" customHeight="1" x14ac:dyDescent="0.2">
      <c r="B243" s="587"/>
      <c r="C243" s="30"/>
      <c r="D243" s="30"/>
      <c r="E243" s="30"/>
      <c r="F243" s="30"/>
      <c r="G243" s="30"/>
      <c r="H243" s="30"/>
      <c r="I243" s="30"/>
      <c r="J243" s="30"/>
      <c r="K243" s="30"/>
      <c r="L243" s="30"/>
      <c r="M243" s="30"/>
      <c r="N243" s="30"/>
      <c r="O243" s="30"/>
      <c r="P243" s="30"/>
      <c r="Q243" s="30"/>
      <c r="R243" s="30"/>
      <c r="S243" s="30"/>
      <c r="T243" s="30"/>
      <c r="U243" s="30"/>
      <c r="V243" s="30"/>
      <c r="W243" s="30"/>
      <c r="X243" s="30"/>
      <c r="Y243" s="30"/>
      <c r="Z243" s="30"/>
      <c r="AA243" s="30"/>
      <c r="AB243" s="30"/>
      <c r="AC243" s="30"/>
      <c r="AD243" s="30"/>
      <c r="AE243" s="30"/>
      <c r="AF243" s="30"/>
      <c r="AG243" s="30"/>
      <c r="AH243" s="30"/>
      <c r="AI243" s="30"/>
      <c r="AJ243" s="30"/>
      <c r="AK243" s="30"/>
      <c r="AL243" s="31"/>
      <c r="AM243" s="30"/>
      <c r="AN243" s="30"/>
      <c r="AO243" s="30"/>
      <c r="AP243" s="30"/>
      <c r="AQ243" s="30"/>
      <c r="AR243" s="31"/>
      <c r="AS243" s="30"/>
      <c r="AT243" s="30"/>
      <c r="AU243" s="30"/>
      <c r="AV243" s="30"/>
      <c r="AW243" s="30"/>
      <c r="AX243" s="31"/>
      <c r="AY243" s="30"/>
      <c r="AZ243" s="30"/>
      <c r="BA243" s="30"/>
      <c r="BB243" s="30"/>
      <c r="BC243" s="30"/>
      <c r="BD243" s="31"/>
      <c r="BE243" s="30"/>
      <c r="BF243" s="30"/>
      <c r="BG243" s="30"/>
      <c r="BH243" s="30"/>
      <c r="BI243" s="30"/>
      <c r="BJ243" s="31"/>
      <c r="BK243" s="30"/>
      <c r="BL243" s="30"/>
      <c r="BM243" s="30"/>
      <c r="BN243" s="30"/>
      <c r="BO243" s="30"/>
      <c r="BP243" s="31"/>
      <c r="BQ243" s="30"/>
      <c r="BR243" s="30"/>
      <c r="BS243" s="30"/>
      <c r="BT243" s="30"/>
      <c r="BU243" s="30"/>
      <c r="BV243" s="31"/>
      <c r="BW243" s="30"/>
      <c r="BX243" s="30"/>
      <c r="BY243" s="30"/>
      <c r="BZ243" s="30"/>
      <c r="CA243" s="30"/>
      <c r="CB243" s="31"/>
      <c r="CC243" s="30"/>
      <c r="CD243" s="30"/>
      <c r="CE243" s="30"/>
      <c r="CF243" s="30"/>
      <c r="CG243" s="30"/>
      <c r="CH243" s="31"/>
      <c r="CI243" s="30"/>
      <c r="CJ243" s="30"/>
      <c r="CK243" s="30"/>
      <c r="CL243" s="30"/>
      <c r="CM243" s="30"/>
    </row>
    <row r="244" spans="2:91" ht="12" customHeight="1" x14ac:dyDescent="0.2">
      <c r="B244" s="387" t="s">
        <v>434</v>
      </c>
      <c r="C244" s="30"/>
      <c r="D244" s="591">
        <f>D235-C235</f>
        <v>-10.467999999999998</v>
      </c>
      <c r="E244" s="591">
        <f>E235-D235</f>
        <v>0.47199999999999953</v>
      </c>
      <c r="F244" s="591">
        <f>F235-E235</f>
        <v>1.6829999999999998</v>
      </c>
      <c r="G244" s="30"/>
      <c r="H244" s="30"/>
      <c r="I244" s="591">
        <f>I235-F235</f>
        <v>-9.9009999999999998</v>
      </c>
      <c r="J244" s="591">
        <f>J235-I235</f>
        <v>8.6999999999999744E-2</v>
      </c>
      <c r="K244" s="591">
        <f>K235-J235</f>
        <v>2.7000000000000135E-2</v>
      </c>
      <c r="L244" s="591">
        <f>L235-K235</f>
        <v>0.14900000000000002</v>
      </c>
      <c r="M244" s="591">
        <f>SUM(I244:L244)</f>
        <v>-9.6379999999999981</v>
      </c>
      <c r="N244" s="30"/>
      <c r="O244" s="591">
        <f>O235-L235</f>
        <v>-0.68499999999998984</v>
      </c>
      <c r="P244" s="591">
        <f>P235-O235</f>
        <v>-1.1060000000000088</v>
      </c>
      <c r="Q244" s="591">
        <f>Q235-P235</f>
        <v>2.9069999999999987</v>
      </c>
      <c r="R244" s="591">
        <f>R235-Q235</f>
        <v>-1.0390000000000001</v>
      </c>
      <c r="S244" s="591">
        <f>SUM(O244:R244)</f>
        <v>7.6999999999999957E-2</v>
      </c>
      <c r="T244" s="30"/>
      <c r="U244" s="591">
        <f>U235-R235</f>
        <v>1.2250000000000001</v>
      </c>
      <c r="V244" s="591">
        <f>V235-U235</f>
        <v>-0.14400000000000013</v>
      </c>
      <c r="W244" s="591">
        <f>W235-V235</f>
        <v>0.88600000000000012</v>
      </c>
      <c r="X244" s="591">
        <f>X235-W235</f>
        <v>-1.258</v>
      </c>
      <c r="Y244" s="591">
        <f>SUM(U244:X244)</f>
        <v>0.70900000000000007</v>
      </c>
      <c r="Z244" s="30"/>
      <c r="AA244" s="591">
        <f>AA235-X235</f>
        <v>365.20300000000003</v>
      </c>
      <c r="AB244" s="591">
        <f>AB235-AA235</f>
        <v>14.403999999999996</v>
      </c>
      <c r="AC244" s="591">
        <f>AC235-AB235</f>
        <v>7.0449999999999591</v>
      </c>
      <c r="AD244" s="639">
        <f>AD235-AC235</f>
        <v>-20.864999999999952</v>
      </c>
      <c r="AE244" s="591">
        <f>SUM(AA244:AD244)</f>
        <v>365.78700000000003</v>
      </c>
      <c r="AF244" s="30"/>
      <c r="AG244" s="591">
        <f>AG235-AD235</f>
        <v>-313.66200000000003</v>
      </c>
      <c r="AH244" s="591">
        <f>AH235-AG235</f>
        <v>-52.444000000000003</v>
      </c>
      <c r="AI244" s="591">
        <f>AI235-AH235</f>
        <v>1.4499999999999997</v>
      </c>
      <c r="AJ244" s="639">
        <f>AJ235-AI235</f>
        <v>-3.5389999999999997</v>
      </c>
      <c r="AK244" s="591">
        <f>SUM(AG244:AJ244)</f>
        <v>-368.19500000000005</v>
      </c>
      <c r="AL244" s="31"/>
      <c r="AM244" s="591">
        <f>AM235-AJ235</f>
        <v>-5.8999999999999997E-2</v>
      </c>
      <c r="AN244" s="591">
        <f>AN235-AM235</f>
        <v>-4.5999999999999999E-2</v>
      </c>
      <c r="AO244" s="591">
        <f>AO235-AN235</f>
        <v>8.0000000000000071E-3</v>
      </c>
      <c r="AP244" s="639">
        <f>AP235-AO235</f>
        <v>6.5999999999999989E-2</v>
      </c>
      <c r="AQ244" s="591">
        <f>SUM(AM244:AP244)</f>
        <v>-3.1E-2</v>
      </c>
      <c r="AR244" s="31"/>
      <c r="AS244" s="591">
        <f>AS235-AP235</f>
        <v>4.5000000000000012E-2</v>
      </c>
      <c r="AT244" s="591">
        <f>AT235-AS235</f>
        <v>1.3780000000000001</v>
      </c>
      <c r="AU244" s="591">
        <f>AU235-AT235</f>
        <v>-0.10000000000000009</v>
      </c>
      <c r="AV244" s="591">
        <f>AV235-AU235</f>
        <v>0</v>
      </c>
      <c r="AW244" s="591">
        <f>SUM(AS244:AV244)</f>
        <v>1.323</v>
      </c>
      <c r="AX244" s="31"/>
      <c r="AY244" s="591">
        <f>AY235-AV235</f>
        <v>22.5</v>
      </c>
      <c r="AZ244" s="591">
        <f>AZ235-AY235</f>
        <v>-0.80000000000000071</v>
      </c>
      <c r="BA244" s="591">
        <f>BA235-AZ235</f>
        <v>0.19999999999999929</v>
      </c>
      <c r="BB244" s="591">
        <f>BB235-BA235</f>
        <v>-0.29999999999999716</v>
      </c>
      <c r="BC244" s="591">
        <f>SUM(AY244:BB244)</f>
        <v>21.6</v>
      </c>
      <c r="BD244" s="31"/>
      <c r="BE244" s="591">
        <f>BE235-BB235</f>
        <v>-23.1</v>
      </c>
      <c r="BF244" s="638">
        <v>0</v>
      </c>
      <c r="BG244" s="638">
        <v>0</v>
      </c>
      <c r="BH244" s="638">
        <v>0</v>
      </c>
      <c r="BI244" s="591">
        <f>SUM(BE244:BH244)</f>
        <v>-23.1</v>
      </c>
      <c r="BJ244" s="31"/>
      <c r="BK244" s="638">
        <v>0</v>
      </c>
      <c r="BL244" s="638">
        <v>0</v>
      </c>
      <c r="BM244" s="638">
        <v>0</v>
      </c>
      <c r="BN244" s="638">
        <v>0</v>
      </c>
      <c r="BO244" s="591">
        <f>SUM(BK244:BN244)</f>
        <v>0</v>
      </c>
      <c r="BP244" s="31"/>
      <c r="BQ244" s="638">
        <v>0</v>
      </c>
      <c r="BR244" s="638">
        <v>0</v>
      </c>
      <c r="BS244" s="638">
        <v>0</v>
      </c>
      <c r="BT244" s="638">
        <v>0</v>
      </c>
      <c r="BU244" s="591">
        <f>SUM(BQ244:BT244)</f>
        <v>0</v>
      </c>
      <c r="BV244" s="31"/>
      <c r="BW244" s="638">
        <v>0</v>
      </c>
      <c r="BX244" s="638">
        <v>0</v>
      </c>
      <c r="BY244" s="638">
        <v>0</v>
      </c>
      <c r="BZ244" s="638">
        <v>0</v>
      </c>
      <c r="CA244" s="591">
        <f>SUM(BW244:BZ244)</f>
        <v>0</v>
      </c>
      <c r="CB244" s="31"/>
      <c r="CC244" s="638">
        <v>0</v>
      </c>
      <c r="CD244" s="638">
        <v>0</v>
      </c>
      <c r="CE244" s="638">
        <v>0</v>
      </c>
      <c r="CF244" s="638">
        <v>0</v>
      </c>
      <c r="CG244" s="591">
        <f>SUM(CC244:CF244)</f>
        <v>0</v>
      </c>
      <c r="CH244" s="31"/>
      <c r="CI244" s="638">
        <v>0</v>
      </c>
      <c r="CJ244" s="638">
        <v>0</v>
      </c>
      <c r="CK244" s="638">
        <v>0</v>
      </c>
      <c r="CL244" s="638">
        <v>0</v>
      </c>
      <c r="CM244" s="591">
        <f>SUM(CI244:CL244)</f>
        <v>0</v>
      </c>
    </row>
    <row r="245" spans="2:91" ht="12" customHeight="1" x14ac:dyDescent="0.2">
      <c r="B245" s="30" t="s">
        <v>433</v>
      </c>
      <c r="C245" s="30"/>
      <c r="D245" s="30"/>
      <c r="E245" s="30"/>
      <c r="F245" s="30"/>
      <c r="G245" s="30"/>
      <c r="H245" s="30"/>
      <c r="I245" s="30"/>
      <c r="J245" s="30"/>
      <c r="K245" s="30"/>
      <c r="L245" s="30"/>
      <c r="M245" s="30"/>
      <c r="N245" s="30"/>
      <c r="O245" s="30"/>
      <c r="P245" s="30"/>
      <c r="Q245" s="30"/>
      <c r="R245" s="30"/>
      <c r="S245" s="30"/>
      <c r="T245" s="30"/>
      <c r="U245" s="30"/>
      <c r="V245" s="30"/>
      <c r="W245" s="30"/>
      <c r="X245" s="30"/>
      <c r="Y245" s="30"/>
      <c r="Z245" s="30"/>
      <c r="AA245" s="30"/>
      <c r="AB245" s="30"/>
      <c r="AC245" s="30"/>
      <c r="AD245" s="638"/>
      <c r="AE245" s="30"/>
      <c r="AF245" s="30"/>
      <c r="AG245" s="30"/>
      <c r="AH245" s="30"/>
      <c r="AI245" s="30"/>
      <c r="AJ245" s="638"/>
      <c r="AK245" s="30"/>
      <c r="AL245" s="31"/>
      <c r="AM245" s="30"/>
      <c r="AN245" s="30"/>
      <c r="AO245" s="30"/>
      <c r="AP245" s="639"/>
      <c r="AQ245" s="30"/>
      <c r="AR245" s="31"/>
      <c r="AS245" s="30"/>
      <c r="AT245" s="30"/>
      <c r="AU245" s="638"/>
      <c r="AV245" s="638"/>
      <c r="AW245" s="30"/>
      <c r="AX245" s="31"/>
      <c r="AY245" s="30"/>
      <c r="AZ245" s="638"/>
      <c r="BA245" s="638"/>
      <c r="BB245" s="638"/>
      <c r="BC245" s="30"/>
      <c r="BD245" s="31"/>
      <c r="BE245" s="640"/>
      <c r="BF245" s="638"/>
      <c r="BG245" s="638"/>
      <c r="BH245" s="638"/>
      <c r="BI245" s="30"/>
      <c r="BJ245" s="31"/>
      <c r="BK245" s="638"/>
      <c r="BL245" s="638"/>
      <c r="BM245" s="638"/>
      <c r="BN245" s="638"/>
      <c r="BO245" s="30"/>
      <c r="BP245" s="31"/>
      <c r="BQ245" s="638"/>
      <c r="BR245" s="638"/>
      <c r="BS245" s="638"/>
      <c r="BT245" s="638"/>
      <c r="BU245" s="30"/>
      <c r="BV245" s="31"/>
      <c r="BW245" s="638"/>
      <c r="BX245" s="638"/>
      <c r="BY245" s="638"/>
      <c r="BZ245" s="638"/>
      <c r="CA245" s="30"/>
      <c r="CB245" s="31"/>
      <c r="CC245" s="638"/>
      <c r="CD245" s="638"/>
      <c r="CE245" s="638"/>
      <c r="CF245" s="638"/>
      <c r="CG245" s="30"/>
      <c r="CH245" s="31"/>
      <c r="CI245" s="638"/>
      <c r="CJ245" s="638"/>
      <c r="CK245" s="638"/>
      <c r="CL245" s="638"/>
      <c r="CM245" s="30"/>
    </row>
    <row r="246" spans="2:91" ht="12" customHeight="1" x14ac:dyDescent="0.2">
      <c r="B246" s="625" t="s">
        <v>432</v>
      </c>
      <c r="C246" s="30"/>
      <c r="D246" s="591">
        <f t="shared" ref="D246:F248" si="371">D237-C237</f>
        <v>0.6869999999999834</v>
      </c>
      <c r="E246" s="591">
        <f t="shared" si="371"/>
        <v>-0.13199999999997658</v>
      </c>
      <c r="F246" s="591">
        <f t="shared" si="371"/>
        <v>2.4089999999999918</v>
      </c>
      <c r="G246" s="30"/>
      <c r="H246" s="30"/>
      <c r="I246" s="591">
        <f>I237-F237</f>
        <v>-2.3389999999999986</v>
      </c>
      <c r="J246" s="591">
        <f t="shared" ref="J246:L248" si="372">J237-I237</f>
        <v>-0.16100000000000136</v>
      </c>
      <c r="K246" s="591">
        <f t="shared" si="372"/>
        <v>0.21799999999998931</v>
      </c>
      <c r="L246" s="591">
        <f t="shared" si="372"/>
        <v>0.53300000000001546</v>
      </c>
      <c r="M246" s="591">
        <f>SUM(I246:L246)</f>
        <v>-1.7489999999999952</v>
      </c>
      <c r="N246" s="30"/>
      <c r="O246" s="591">
        <f>O237-L237</f>
        <v>1.2239999999999895</v>
      </c>
      <c r="P246" s="591">
        <f t="shared" ref="P246:R248" si="373">P237-O237</f>
        <v>-1.9099999999999966</v>
      </c>
      <c r="Q246" s="591">
        <f t="shared" si="373"/>
        <v>-22.552999999999997</v>
      </c>
      <c r="R246" s="591">
        <f t="shared" si="373"/>
        <v>-9.1999999999998749E-2</v>
      </c>
      <c r="S246" s="591">
        <f>SUM(O246:R246)</f>
        <v>-23.331000000000003</v>
      </c>
      <c r="T246" s="30"/>
      <c r="U246" s="591">
        <f>U237-R237</f>
        <v>-6.9000000000002615E-2</v>
      </c>
      <c r="V246" s="591">
        <f t="shared" ref="V246:X248" si="374">V237-U237</f>
        <v>-22.917000000000002</v>
      </c>
      <c r="W246" s="591">
        <f t="shared" si="374"/>
        <v>0</v>
      </c>
      <c r="X246" s="591">
        <f t="shared" si="374"/>
        <v>6.3000000000002387E-2</v>
      </c>
      <c r="Y246" s="591">
        <f>SUM(U246:X246)</f>
        <v>-22.923000000000002</v>
      </c>
      <c r="Z246" s="30"/>
      <c r="AA246" s="591">
        <f>AA237-X237</f>
        <v>-105.063</v>
      </c>
      <c r="AB246" s="591">
        <f t="shared" ref="AB246:AD248" si="375">AB237-AA237</f>
        <v>0</v>
      </c>
      <c r="AC246" s="591">
        <f t="shared" si="375"/>
        <v>0</v>
      </c>
      <c r="AD246" s="638">
        <f t="shared" si="375"/>
        <v>0</v>
      </c>
      <c r="AE246" s="591">
        <f>SUM(AA246:AD246)</f>
        <v>-105.063</v>
      </c>
      <c r="AF246" s="30"/>
      <c r="AG246" s="591">
        <f>AG237-AD237</f>
        <v>75.27</v>
      </c>
      <c r="AH246" s="591">
        <f t="shared" ref="AH246:AJ248" si="376">AH237-AG237</f>
        <v>-4.9999999999954525E-3</v>
      </c>
      <c r="AI246" s="591">
        <f t="shared" si="376"/>
        <v>4.9999999999954525E-3</v>
      </c>
      <c r="AJ246" s="638">
        <f t="shared" si="376"/>
        <v>0</v>
      </c>
      <c r="AK246" s="591">
        <f>SUM(AG246:AJ246)</f>
        <v>75.27</v>
      </c>
      <c r="AL246" s="31"/>
      <c r="AM246" s="591">
        <f>AM237-AJ237</f>
        <v>0</v>
      </c>
      <c r="AN246" s="591">
        <f t="shared" ref="AN246:AP248" si="377">AN237-AM237</f>
        <v>-2.8999999999996362E-2</v>
      </c>
      <c r="AO246" s="591">
        <f t="shared" si="377"/>
        <v>2.8999999999996362E-2</v>
      </c>
      <c r="AP246" s="639">
        <f t="shared" si="377"/>
        <v>0</v>
      </c>
      <c r="AQ246" s="591">
        <f>SUM(AM246:AP246)</f>
        <v>0</v>
      </c>
      <c r="AR246" s="31"/>
      <c r="AS246" s="591">
        <f>AS237-AP237</f>
        <v>-1.2000000000000455E-2</v>
      </c>
      <c r="AT246" s="591">
        <f>AT237-AS237</f>
        <v>2.7420000000000044</v>
      </c>
      <c r="AU246" s="638">
        <v>0</v>
      </c>
      <c r="AV246" s="638">
        <v>0</v>
      </c>
      <c r="AW246" s="591">
        <f>SUM(AS246:AV246)</f>
        <v>2.730000000000004</v>
      </c>
      <c r="AX246" s="31"/>
      <c r="AY246" s="591">
        <f>AY237-AV237</f>
        <v>-22.5</v>
      </c>
      <c r="AZ246" s="591">
        <f t="shared" ref="AZ246:BA248" si="378">AZ237-AY237</f>
        <v>-0.10000000000000142</v>
      </c>
      <c r="BA246" s="591">
        <f t="shared" si="378"/>
        <v>1.6000000000000014</v>
      </c>
      <c r="BB246" s="638">
        <v>0</v>
      </c>
      <c r="BC246" s="591">
        <f>SUM(AY246:BB246)</f>
        <v>-21</v>
      </c>
      <c r="BD246" s="31"/>
      <c r="BE246" s="591">
        <f>BE237-BB237</f>
        <v>42.300000000000104</v>
      </c>
      <c r="BF246" s="638">
        <v>0</v>
      </c>
      <c r="BG246" s="638">
        <v>0</v>
      </c>
      <c r="BH246" s="638">
        <v>0</v>
      </c>
      <c r="BI246" s="591">
        <f>SUM(BE246:BH246)</f>
        <v>42.300000000000104</v>
      </c>
      <c r="BJ246" s="31"/>
      <c r="BK246" s="638">
        <v>0</v>
      </c>
      <c r="BL246" s="638">
        <v>0</v>
      </c>
      <c r="BM246" s="638">
        <v>0</v>
      </c>
      <c r="BN246" s="638">
        <v>0</v>
      </c>
      <c r="BO246" s="591">
        <f>SUM(BK246:BN246)</f>
        <v>0</v>
      </c>
      <c r="BP246" s="31"/>
      <c r="BQ246" s="638">
        <v>0</v>
      </c>
      <c r="BR246" s="638">
        <v>0</v>
      </c>
      <c r="BS246" s="638">
        <v>0</v>
      </c>
      <c r="BT246" s="638">
        <v>0</v>
      </c>
      <c r="BU246" s="591">
        <f>SUM(BQ246:BT246)</f>
        <v>0</v>
      </c>
      <c r="BV246" s="31"/>
      <c r="BW246" s="638">
        <v>0</v>
      </c>
      <c r="BX246" s="638">
        <v>0</v>
      </c>
      <c r="BY246" s="638">
        <v>0</v>
      </c>
      <c r="BZ246" s="638">
        <v>0</v>
      </c>
      <c r="CA246" s="591">
        <f>SUM(BW246:BZ246)</f>
        <v>0</v>
      </c>
      <c r="CB246" s="31"/>
      <c r="CC246" s="638">
        <v>0</v>
      </c>
      <c r="CD246" s="638">
        <v>0</v>
      </c>
      <c r="CE246" s="638">
        <v>0</v>
      </c>
      <c r="CF246" s="638">
        <v>0</v>
      </c>
      <c r="CG246" s="591">
        <f>SUM(CC246:CF246)</f>
        <v>0</v>
      </c>
      <c r="CH246" s="31"/>
      <c r="CI246" s="638">
        <v>0</v>
      </c>
      <c r="CJ246" s="638">
        <v>0</v>
      </c>
      <c r="CK246" s="638">
        <v>0</v>
      </c>
      <c r="CL246" s="638">
        <v>0</v>
      </c>
      <c r="CM246" s="591">
        <f>SUM(CI246:CL246)</f>
        <v>0</v>
      </c>
    </row>
    <row r="247" spans="2:91" ht="12" customHeight="1" x14ac:dyDescent="0.2">
      <c r="B247" s="625" t="s">
        <v>431</v>
      </c>
      <c r="C247" s="30"/>
      <c r="D247" s="591">
        <f t="shared" si="371"/>
        <v>4.6370000000000005</v>
      </c>
      <c r="E247" s="591">
        <f t="shared" si="371"/>
        <v>6.0859999999999559</v>
      </c>
      <c r="F247" s="591">
        <f t="shared" si="371"/>
        <v>23.881000000000029</v>
      </c>
      <c r="G247" s="30"/>
      <c r="H247" s="30"/>
      <c r="I247" s="591">
        <f>I238-F238</f>
        <v>9.7280000000000086</v>
      </c>
      <c r="J247" s="591">
        <f t="shared" si="372"/>
        <v>30.21999999999997</v>
      </c>
      <c r="K247" s="591">
        <f t="shared" si="372"/>
        <v>-0.54300000000000637</v>
      </c>
      <c r="L247" s="591">
        <f t="shared" si="372"/>
        <v>-37.940999999999974</v>
      </c>
      <c r="M247" s="591">
        <f>SUM(I247:L247)</f>
        <v>1.4639999999999986</v>
      </c>
      <c r="N247" s="30"/>
      <c r="O247" s="591">
        <f>O238-L238</f>
        <v>-4.5230000000000246</v>
      </c>
      <c r="P247" s="591">
        <f t="shared" si="373"/>
        <v>-25.303999999999974</v>
      </c>
      <c r="Q247" s="591">
        <f t="shared" si="373"/>
        <v>-36.824999999999989</v>
      </c>
      <c r="R247" s="591">
        <f t="shared" si="373"/>
        <v>12.367999999999995</v>
      </c>
      <c r="S247" s="591">
        <f>SUM(O247:R247)</f>
        <v>-54.283999999999992</v>
      </c>
      <c r="T247" s="30"/>
      <c r="U247" s="591">
        <f>U238-R238</f>
        <v>-5.9470000000000027</v>
      </c>
      <c r="V247" s="591">
        <f t="shared" si="374"/>
        <v>-78.588999999999999</v>
      </c>
      <c r="W247" s="591">
        <f t="shared" si="374"/>
        <v>-22.811000000000007</v>
      </c>
      <c r="X247" s="591">
        <f t="shared" si="374"/>
        <v>26.532000000000011</v>
      </c>
      <c r="Y247" s="591">
        <f>SUM(U247:X247)</f>
        <v>-80.814999999999998</v>
      </c>
      <c r="Z247" s="30"/>
      <c r="AA247" s="591">
        <f>AA238-X238</f>
        <v>-263.05700000000002</v>
      </c>
      <c r="AB247" s="591">
        <f t="shared" si="375"/>
        <v>0</v>
      </c>
      <c r="AC247" s="591">
        <f t="shared" si="375"/>
        <v>0</v>
      </c>
      <c r="AD247" s="638">
        <f t="shared" si="375"/>
        <v>0</v>
      </c>
      <c r="AE247" s="591">
        <f>SUM(AA247:AD247)</f>
        <v>-263.05700000000002</v>
      </c>
      <c r="AF247" s="30"/>
      <c r="AG247" s="591">
        <f>AG238-AD238</f>
        <v>0</v>
      </c>
      <c r="AH247" s="591">
        <f t="shared" si="376"/>
        <v>0</v>
      </c>
      <c r="AI247" s="591">
        <f t="shared" si="376"/>
        <v>0</v>
      </c>
      <c r="AJ247" s="638">
        <f t="shared" si="376"/>
        <v>0</v>
      </c>
      <c r="AK247" s="591">
        <f>SUM(AG247:AJ247)</f>
        <v>0</v>
      </c>
      <c r="AL247" s="31"/>
      <c r="AM247" s="591">
        <f>AM238-AJ238</f>
        <v>0</v>
      </c>
      <c r="AN247" s="591">
        <f t="shared" si="377"/>
        <v>0</v>
      </c>
      <c r="AO247" s="591">
        <f t="shared" si="377"/>
        <v>0</v>
      </c>
      <c r="AP247" s="639">
        <f t="shared" si="377"/>
        <v>0</v>
      </c>
      <c r="AQ247" s="591">
        <f>SUM(AM247:AP247)</f>
        <v>0</v>
      </c>
      <c r="AR247" s="31"/>
      <c r="AS247" s="591">
        <f>AS238-AP238</f>
        <v>0</v>
      </c>
      <c r="AT247" s="591">
        <f>AT238-AS238</f>
        <v>0</v>
      </c>
      <c r="AU247" s="638">
        <v>0</v>
      </c>
      <c r="AV247" s="638">
        <v>0</v>
      </c>
      <c r="AW247" s="591">
        <f>SUM(AS247:AV247)</f>
        <v>0</v>
      </c>
      <c r="AX247" s="31"/>
      <c r="AY247" s="591">
        <f>AY238-AV238</f>
        <v>0</v>
      </c>
      <c r="AZ247" s="591">
        <f t="shared" si="378"/>
        <v>0</v>
      </c>
      <c r="BA247" s="591">
        <f t="shared" si="378"/>
        <v>0</v>
      </c>
      <c r="BB247" s="638">
        <v>0</v>
      </c>
      <c r="BC247" s="591">
        <f>SUM(AY247:BB247)</f>
        <v>0</v>
      </c>
      <c r="BD247" s="31"/>
      <c r="BE247" s="591">
        <f>BE238-BB238</f>
        <v>0</v>
      </c>
      <c r="BF247" s="638">
        <v>0</v>
      </c>
      <c r="BG247" s="638">
        <v>0</v>
      </c>
      <c r="BH247" s="638">
        <v>0</v>
      </c>
      <c r="BI247" s="591">
        <f>SUM(BE247:BH247)</f>
        <v>0</v>
      </c>
      <c r="BJ247" s="31"/>
      <c r="BK247" s="638">
        <v>0</v>
      </c>
      <c r="BL247" s="638">
        <v>0</v>
      </c>
      <c r="BM247" s="638">
        <v>0</v>
      </c>
      <c r="BN247" s="638">
        <v>0</v>
      </c>
      <c r="BO247" s="591">
        <f>SUM(BK247:BN247)</f>
        <v>0</v>
      </c>
      <c r="BP247" s="31"/>
      <c r="BQ247" s="638">
        <v>0</v>
      </c>
      <c r="BR247" s="638">
        <v>0</v>
      </c>
      <c r="BS247" s="638">
        <v>0</v>
      </c>
      <c r="BT247" s="638">
        <v>0</v>
      </c>
      <c r="BU247" s="591">
        <f>SUM(BQ247:BT247)</f>
        <v>0</v>
      </c>
      <c r="BV247" s="31"/>
      <c r="BW247" s="638">
        <v>0</v>
      </c>
      <c r="BX247" s="638">
        <v>0</v>
      </c>
      <c r="BY247" s="638">
        <v>0</v>
      </c>
      <c r="BZ247" s="638">
        <v>0</v>
      </c>
      <c r="CA247" s="591">
        <f>SUM(BW247:BZ247)</f>
        <v>0</v>
      </c>
      <c r="CB247" s="31"/>
      <c r="CC247" s="638">
        <v>0</v>
      </c>
      <c r="CD247" s="638">
        <v>0</v>
      </c>
      <c r="CE247" s="638">
        <v>0</v>
      </c>
      <c r="CF247" s="638">
        <v>0</v>
      </c>
      <c r="CG247" s="591">
        <f>SUM(CC247:CF247)</f>
        <v>0</v>
      </c>
      <c r="CH247" s="31"/>
      <c r="CI247" s="638">
        <v>0</v>
      </c>
      <c r="CJ247" s="638">
        <v>0</v>
      </c>
      <c r="CK247" s="638">
        <v>0</v>
      </c>
      <c r="CL247" s="638">
        <v>0</v>
      </c>
      <c r="CM247" s="591">
        <f>SUM(CI247:CL247)</f>
        <v>0</v>
      </c>
    </row>
    <row r="248" spans="2:91" ht="12" customHeight="1" x14ac:dyDescent="0.2">
      <c r="B248" s="624" t="s">
        <v>430</v>
      </c>
      <c r="C248" s="30"/>
      <c r="D248" s="591">
        <f t="shared" si="371"/>
        <v>1.7000000000000126E-2</v>
      </c>
      <c r="E248" s="591">
        <f t="shared" si="371"/>
        <v>-1.8000000000000016E-2</v>
      </c>
      <c r="F248" s="591">
        <f t="shared" si="371"/>
        <v>0.10599999999999987</v>
      </c>
      <c r="G248" s="30"/>
      <c r="H248" s="30"/>
      <c r="I248" s="591">
        <f>I239-F239</f>
        <v>6.1000000000000165E-2</v>
      </c>
      <c r="J248" s="591">
        <f t="shared" si="372"/>
        <v>0.14599999999999991</v>
      </c>
      <c r="K248" s="591">
        <f t="shared" si="372"/>
        <v>-2.7000000000000135E-2</v>
      </c>
      <c r="L248" s="591">
        <f t="shared" si="372"/>
        <v>2.0000000000002238E-3</v>
      </c>
      <c r="M248" s="591">
        <f>SUM(I248:L248)</f>
        <v>0.18200000000000016</v>
      </c>
      <c r="N248" s="30"/>
      <c r="O248" s="591">
        <f>O239-L239</f>
        <v>-0.99900000000000011</v>
      </c>
      <c r="P248" s="591">
        <f t="shared" si="373"/>
        <v>-9.6000000000000085E-2</v>
      </c>
      <c r="Q248" s="591">
        <f t="shared" si="373"/>
        <v>2.8000000000000025E-2</v>
      </c>
      <c r="R248" s="591">
        <f t="shared" si="373"/>
        <v>7.4000000000000066E-2</v>
      </c>
      <c r="S248" s="591">
        <f>SUM(O248:R248)</f>
        <v>-0.9930000000000001</v>
      </c>
      <c r="T248" s="30"/>
      <c r="U248" s="591">
        <f>U239-R239</f>
        <v>-3.6999999999999922E-2</v>
      </c>
      <c r="V248" s="591">
        <f t="shared" si="374"/>
        <v>-1.1100000000000001</v>
      </c>
      <c r="W248" s="591">
        <f t="shared" si="374"/>
        <v>0</v>
      </c>
      <c r="X248" s="591">
        <f t="shared" si="374"/>
        <v>0</v>
      </c>
      <c r="Y248" s="591">
        <f>SUM(U248:X248)</f>
        <v>-1.147</v>
      </c>
      <c r="Z248" s="30"/>
      <c r="AA248" s="591">
        <f>AA239-X239</f>
        <v>0</v>
      </c>
      <c r="AB248" s="591">
        <f t="shared" si="375"/>
        <v>0</v>
      </c>
      <c r="AC248" s="591">
        <f t="shared" si="375"/>
        <v>0</v>
      </c>
      <c r="AD248" s="638">
        <f t="shared" si="375"/>
        <v>0</v>
      </c>
      <c r="AE248" s="591">
        <f>SUM(AA248:AD248)</f>
        <v>0</v>
      </c>
      <c r="AF248" s="30"/>
      <c r="AG248" s="591">
        <f>AG239-AD239</f>
        <v>0</v>
      </c>
      <c r="AH248" s="591">
        <f t="shared" si="376"/>
        <v>0</v>
      </c>
      <c r="AI248" s="591">
        <f t="shared" si="376"/>
        <v>0</v>
      </c>
      <c r="AJ248" s="638">
        <f t="shared" si="376"/>
        <v>0</v>
      </c>
      <c r="AK248" s="591">
        <f>SUM(AG248:AJ248)</f>
        <v>0</v>
      </c>
      <c r="AL248" s="31"/>
      <c r="AM248" s="591">
        <f>AM239-AJ239</f>
        <v>0</v>
      </c>
      <c r="AN248" s="591">
        <f t="shared" si="377"/>
        <v>0</v>
      </c>
      <c r="AO248" s="591">
        <f t="shared" si="377"/>
        <v>0</v>
      </c>
      <c r="AP248" s="639">
        <f t="shared" si="377"/>
        <v>0</v>
      </c>
      <c r="AQ248" s="591">
        <f>SUM(AM248:AP248)</f>
        <v>0</v>
      </c>
      <c r="AR248" s="31"/>
      <c r="AS248" s="591">
        <f>AS239-AP239</f>
        <v>0</v>
      </c>
      <c r="AT248" s="591">
        <f>AT239-AS239</f>
        <v>0</v>
      </c>
      <c r="AU248" s="638">
        <v>0</v>
      </c>
      <c r="AV248" s="638">
        <v>0</v>
      </c>
      <c r="AW248" s="591">
        <f>SUM(AS248:AV248)</f>
        <v>0</v>
      </c>
      <c r="AX248" s="31"/>
      <c r="AY248" s="591">
        <f>AY239-AV239</f>
        <v>0</v>
      </c>
      <c r="AZ248" s="591">
        <f t="shared" si="378"/>
        <v>0</v>
      </c>
      <c r="BA248" s="591">
        <f t="shared" si="378"/>
        <v>0</v>
      </c>
      <c r="BB248" s="638">
        <v>0</v>
      </c>
      <c r="BC248" s="591">
        <f>SUM(AY248:BB248)</f>
        <v>0</v>
      </c>
      <c r="BD248" s="31"/>
      <c r="BE248" s="591">
        <f>BE239-BB239</f>
        <v>0</v>
      </c>
      <c r="BF248" s="638">
        <v>0</v>
      </c>
      <c r="BG248" s="638">
        <v>0</v>
      </c>
      <c r="BH248" s="638">
        <v>0</v>
      </c>
      <c r="BI248" s="591">
        <f>SUM(BE248:BH248)</f>
        <v>0</v>
      </c>
      <c r="BJ248" s="31"/>
      <c r="BK248" s="638">
        <v>0</v>
      </c>
      <c r="BL248" s="638">
        <v>0</v>
      </c>
      <c r="BM248" s="638">
        <v>0</v>
      </c>
      <c r="BN248" s="638">
        <v>0</v>
      </c>
      <c r="BO248" s="591">
        <f>SUM(BK248:BN248)</f>
        <v>0</v>
      </c>
      <c r="BP248" s="31"/>
      <c r="BQ248" s="638">
        <v>0</v>
      </c>
      <c r="BR248" s="638">
        <v>0</v>
      </c>
      <c r="BS248" s="638">
        <v>0</v>
      </c>
      <c r="BT248" s="638">
        <v>0</v>
      </c>
      <c r="BU248" s="591">
        <f>SUM(BQ248:BT248)</f>
        <v>0</v>
      </c>
      <c r="BV248" s="31"/>
      <c r="BW248" s="638">
        <v>0</v>
      </c>
      <c r="BX248" s="638">
        <v>0</v>
      </c>
      <c r="BY248" s="638">
        <v>0</v>
      </c>
      <c r="BZ248" s="638">
        <v>0</v>
      </c>
      <c r="CA248" s="591">
        <f>SUM(BW248:BZ248)</f>
        <v>0</v>
      </c>
      <c r="CB248" s="31"/>
      <c r="CC248" s="638">
        <v>0</v>
      </c>
      <c r="CD248" s="638">
        <v>0</v>
      </c>
      <c r="CE248" s="638">
        <v>0</v>
      </c>
      <c r="CF248" s="638">
        <v>0</v>
      </c>
      <c r="CG248" s="591">
        <f>SUM(CC248:CF248)</f>
        <v>0</v>
      </c>
      <c r="CH248" s="31"/>
      <c r="CI248" s="638">
        <v>0</v>
      </c>
      <c r="CJ248" s="638">
        <v>0</v>
      </c>
      <c r="CK248" s="638">
        <v>0</v>
      </c>
      <c r="CL248" s="638">
        <v>0</v>
      </c>
      <c r="CM248" s="591">
        <f>SUM(CI248:CL248)</f>
        <v>0</v>
      </c>
    </row>
    <row r="249" spans="2:91" ht="12" customHeight="1" x14ac:dyDescent="0.2">
      <c r="B249" s="621" t="s">
        <v>437</v>
      </c>
      <c r="C249" s="637"/>
      <c r="D249" s="636">
        <f>SUM(D244:D248)</f>
        <v>-5.127000000000014</v>
      </c>
      <c r="E249" s="636">
        <f>SUM(E244:E248)</f>
        <v>6.407999999999979</v>
      </c>
      <c r="F249" s="636">
        <f>SUM(F244:F248)</f>
        <v>28.079000000000022</v>
      </c>
      <c r="G249" s="636"/>
      <c r="H249" s="30"/>
      <c r="I249" s="636">
        <f>SUM(I244:I248)</f>
        <v>-2.4509999999999899</v>
      </c>
      <c r="J249" s="636">
        <f>SUM(J244:J248)</f>
        <v>30.29199999999997</v>
      </c>
      <c r="K249" s="636">
        <f>SUM(K244:K248)</f>
        <v>-0.32500000000001705</v>
      </c>
      <c r="L249" s="636">
        <f>SUM(L244:L248)</f>
        <v>-37.256999999999955</v>
      </c>
      <c r="M249" s="636">
        <f>SUM(M244:M248)</f>
        <v>-9.7409999999999943</v>
      </c>
      <c r="N249" s="30"/>
      <c r="O249" s="636">
        <f>SUM(O244:O248)</f>
        <v>-4.9830000000000254</v>
      </c>
      <c r="P249" s="636">
        <f>SUM(P244:P248)</f>
        <v>-28.415999999999979</v>
      </c>
      <c r="Q249" s="636">
        <f>SUM(Q244:Q248)</f>
        <v>-56.442999999999991</v>
      </c>
      <c r="R249" s="636">
        <f>SUM(R244:R248)</f>
        <v>11.310999999999996</v>
      </c>
      <c r="S249" s="636">
        <f>SUM(S244:S248)</f>
        <v>-78.530999999999992</v>
      </c>
      <c r="T249" s="64"/>
      <c r="U249" s="636">
        <f>SUM(U244:U248)</f>
        <v>-4.8280000000000056</v>
      </c>
      <c r="V249" s="636">
        <f>SUM(V244:V248)</f>
        <v>-102.76</v>
      </c>
      <c r="W249" s="636">
        <f>SUM(W244:W248)</f>
        <v>-21.925000000000008</v>
      </c>
      <c r="X249" s="636">
        <f>SUM(X244:X248)</f>
        <v>25.337000000000014</v>
      </c>
      <c r="Y249" s="636">
        <f>SUM(Y244:Y248)</f>
        <v>-104.176</v>
      </c>
      <c r="Z249" s="30"/>
      <c r="AA249" s="636">
        <f>SUM(AA244:AA248)</f>
        <v>-2.9169999999999732</v>
      </c>
      <c r="AB249" s="636">
        <f>SUM(AB244:AB248)</f>
        <v>14.403999999999996</v>
      </c>
      <c r="AC249" s="636">
        <f>SUM(AC244:AC248)</f>
        <v>7.0449999999999591</v>
      </c>
      <c r="AD249" s="636">
        <f>SUM(AD244:AD248)</f>
        <v>-20.864999999999952</v>
      </c>
      <c r="AE249" s="636">
        <f>SUM(AE244:AE248)</f>
        <v>-2.33299999999997</v>
      </c>
      <c r="AF249" s="30"/>
      <c r="AG249" s="636">
        <f>SUM(AG244:AG248)</f>
        <v>-238.39200000000005</v>
      </c>
      <c r="AH249" s="636">
        <f>SUM(AH244:AH248)</f>
        <v>-52.448999999999998</v>
      </c>
      <c r="AI249" s="636">
        <f>SUM(AI244:AI248)</f>
        <v>1.4549999999999952</v>
      </c>
      <c r="AJ249" s="636">
        <f>SUM(AJ244:AJ248)</f>
        <v>-3.5389999999999997</v>
      </c>
      <c r="AK249" s="636">
        <f>SUM(AK244:AK248)</f>
        <v>-292.92500000000007</v>
      </c>
      <c r="AL249" s="31"/>
      <c r="AM249" s="636">
        <f>SUM(AM244:AM248)</f>
        <v>-5.8999999999999997E-2</v>
      </c>
      <c r="AN249" s="636">
        <f>SUM(AN244:AN248)</f>
        <v>-7.4999999999996361E-2</v>
      </c>
      <c r="AO249" s="636">
        <f>SUM(AO244:AO248)</f>
        <v>3.6999999999996369E-2</v>
      </c>
      <c r="AP249" s="636">
        <f>SUM(AP244:AP248)</f>
        <v>6.5999999999999989E-2</v>
      </c>
      <c r="AQ249" s="636">
        <f>SUM(AQ244:AQ248)</f>
        <v>-3.1E-2</v>
      </c>
      <c r="AR249" s="31"/>
      <c r="AS249" s="636">
        <f>SUM(AS244:AS248)</f>
        <v>3.2999999999999557E-2</v>
      </c>
      <c r="AT249" s="636">
        <f>SUM(AT244:AT248)</f>
        <v>4.1200000000000045</v>
      </c>
      <c r="AU249" s="636">
        <f>SUM(AU244:AU248)</f>
        <v>-0.10000000000000009</v>
      </c>
      <c r="AV249" s="636">
        <f>SUM(AV244:AV248)</f>
        <v>0</v>
      </c>
      <c r="AW249" s="636">
        <f>SUM(AW244:AW248)</f>
        <v>4.0530000000000044</v>
      </c>
      <c r="AX249" s="31"/>
      <c r="AY249" s="636">
        <f>SUM(AY244:AY248)</f>
        <v>0</v>
      </c>
      <c r="AZ249" s="636">
        <f>SUM(AZ244:AZ248)</f>
        <v>-0.90000000000000213</v>
      </c>
      <c r="BA249" s="636">
        <f>SUM(BA244:BA248)</f>
        <v>1.8000000000000007</v>
      </c>
      <c r="BB249" s="636">
        <f>SUM(BB244:BB248)</f>
        <v>-0.29999999999999716</v>
      </c>
      <c r="BC249" s="636">
        <f>SUM(BC244:BC248)</f>
        <v>0.60000000000000142</v>
      </c>
      <c r="BD249" s="31"/>
      <c r="BE249" s="636">
        <f>SUM(BE244:BE248)</f>
        <v>19.200000000000102</v>
      </c>
      <c r="BF249" s="636">
        <f>SUM(BF244:BF248)</f>
        <v>0</v>
      </c>
      <c r="BG249" s="636">
        <f>SUM(BG244:BG248)</f>
        <v>0</v>
      </c>
      <c r="BH249" s="636">
        <f>SUM(BH244:BH248)</f>
        <v>0</v>
      </c>
      <c r="BI249" s="636">
        <f>SUM(BI244:BI248)</f>
        <v>19.200000000000102</v>
      </c>
      <c r="BJ249" s="31"/>
      <c r="BK249" s="636">
        <f>SUM(BK244:BK248)</f>
        <v>0</v>
      </c>
      <c r="BL249" s="636">
        <f>SUM(BL244:BL248)</f>
        <v>0</v>
      </c>
      <c r="BM249" s="636">
        <f>SUM(BM244:BM248)</f>
        <v>0</v>
      </c>
      <c r="BN249" s="636">
        <f>SUM(BN244:BN248)</f>
        <v>0</v>
      </c>
      <c r="BO249" s="636">
        <f>SUM(BO244:BO248)</f>
        <v>0</v>
      </c>
      <c r="BP249" s="31"/>
      <c r="BQ249" s="636">
        <f>SUM(BQ244:BQ248)</f>
        <v>0</v>
      </c>
      <c r="BR249" s="636">
        <f>SUM(BR244:BR248)</f>
        <v>0</v>
      </c>
      <c r="BS249" s="636">
        <f>SUM(BS244:BS248)</f>
        <v>0</v>
      </c>
      <c r="BT249" s="636">
        <f>SUM(BT244:BT248)</f>
        <v>0</v>
      </c>
      <c r="BU249" s="636">
        <f>SUM(BU244:BU248)</f>
        <v>0</v>
      </c>
      <c r="BV249" s="31"/>
      <c r="BW249" s="636">
        <f>SUM(BW244:BW248)</f>
        <v>0</v>
      </c>
      <c r="BX249" s="636">
        <f>SUM(BX244:BX248)</f>
        <v>0</v>
      </c>
      <c r="BY249" s="636">
        <f>SUM(BY244:BY248)</f>
        <v>0</v>
      </c>
      <c r="BZ249" s="636">
        <f>SUM(BZ244:BZ248)</f>
        <v>0</v>
      </c>
      <c r="CA249" s="636">
        <f>SUM(CA244:CA248)</f>
        <v>0</v>
      </c>
      <c r="CB249" s="31"/>
      <c r="CC249" s="636">
        <f>SUM(CC244:CC248)</f>
        <v>0</v>
      </c>
      <c r="CD249" s="636">
        <f>SUM(CD244:CD248)</f>
        <v>0</v>
      </c>
      <c r="CE249" s="636">
        <f>SUM(CE244:CE248)</f>
        <v>0</v>
      </c>
      <c r="CF249" s="636">
        <f>SUM(CF244:CF248)</f>
        <v>0</v>
      </c>
      <c r="CG249" s="636">
        <f>SUM(CG244:CG248)</f>
        <v>0</v>
      </c>
      <c r="CH249" s="31"/>
      <c r="CI249" s="636">
        <f>SUM(CI244:CI248)</f>
        <v>0</v>
      </c>
      <c r="CJ249" s="636">
        <f>SUM(CJ244:CJ248)</f>
        <v>0</v>
      </c>
      <c r="CK249" s="636">
        <f>SUM(CK244:CK248)</f>
        <v>0</v>
      </c>
      <c r="CL249" s="636">
        <f>SUM(CL244:CL248)</f>
        <v>0</v>
      </c>
      <c r="CM249" s="636">
        <f>SUM(CM244:CM248)</f>
        <v>0</v>
      </c>
    </row>
    <row r="250" spans="2:91" ht="12" customHeight="1" x14ac:dyDescent="0.2">
      <c r="B250" s="635"/>
      <c r="C250" s="64"/>
      <c r="D250" s="634"/>
      <c r="E250" s="634"/>
      <c r="F250" s="634"/>
      <c r="G250" s="634"/>
      <c r="H250" s="30"/>
      <c r="I250" s="634"/>
      <c r="J250" s="634"/>
      <c r="K250" s="634"/>
      <c r="L250" s="634"/>
      <c r="M250" s="634"/>
      <c r="N250" s="30"/>
      <c r="O250" s="634"/>
      <c r="P250" s="634"/>
      <c r="Q250" s="634"/>
      <c r="R250" s="634"/>
      <c r="S250" s="634"/>
      <c r="T250" s="64"/>
      <c r="U250" s="634"/>
      <c r="V250" s="634"/>
      <c r="W250" s="634"/>
      <c r="X250" s="634"/>
      <c r="Y250" s="634"/>
      <c r="Z250" s="30"/>
      <c r="AA250" s="634"/>
      <c r="AB250" s="634"/>
      <c r="AC250" s="634"/>
      <c r="AD250" s="634"/>
      <c r="AE250" s="634"/>
      <c r="AF250" s="30"/>
      <c r="AG250" s="634"/>
      <c r="AH250" s="634"/>
      <c r="AI250" s="634"/>
      <c r="AJ250" s="634"/>
      <c r="AK250" s="634"/>
      <c r="AL250" s="31"/>
      <c r="AM250" s="634"/>
      <c r="AN250" s="634"/>
      <c r="AO250" s="634"/>
      <c r="AP250" s="634"/>
      <c r="AQ250" s="634"/>
      <c r="AR250" s="31"/>
      <c r="AS250" s="634"/>
      <c r="AT250" s="634"/>
      <c r="AU250" s="634"/>
      <c r="AV250" s="634"/>
      <c r="AW250" s="634"/>
      <c r="AX250" s="31"/>
      <c r="AY250" s="634"/>
      <c r="AZ250" s="634"/>
      <c r="BA250" s="634"/>
      <c r="BB250" s="634"/>
      <c r="BC250" s="634"/>
      <c r="BD250" s="31"/>
      <c r="BE250" s="634"/>
      <c r="BF250" s="634"/>
      <c r="BG250" s="634"/>
      <c r="BH250" s="634"/>
      <c r="BI250" s="634"/>
      <c r="BJ250" s="31"/>
      <c r="BK250" s="634"/>
      <c r="BL250" s="634"/>
      <c r="BM250" s="634"/>
      <c r="BN250" s="634"/>
      <c r="BO250" s="634"/>
      <c r="BP250" s="31"/>
      <c r="BQ250" s="634"/>
      <c r="BR250" s="634"/>
      <c r="BS250" s="634"/>
      <c r="BT250" s="634"/>
      <c r="BU250" s="634"/>
      <c r="BV250" s="31"/>
      <c r="BW250" s="634"/>
      <c r="BX250" s="634"/>
      <c r="BY250" s="634"/>
      <c r="BZ250" s="634"/>
      <c r="CA250" s="634"/>
      <c r="CB250" s="31"/>
      <c r="CC250" s="634"/>
      <c r="CD250" s="634"/>
      <c r="CE250" s="634"/>
      <c r="CF250" s="634"/>
      <c r="CG250" s="634"/>
      <c r="CH250" s="31"/>
      <c r="CI250" s="634"/>
      <c r="CJ250" s="634"/>
      <c r="CK250" s="634"/>
      <c r="CL250" s="634"/>
      <c r="CM250" s="634"/>
    </row>
    <row r="251" spans="2:91" ht="12" customHeight="1" x14ac:dyDescent="0.2">
      <c r="B251" s="30" t="s">
        <v>436</v>
      </c>
      <c r="C251" s="64"/>
      <c r="D251" s="634"/>
      <c r="E251" s="634"/>
      <c r="F251" s="634"/>
      <c r="G251" s="634"/>
      <c r="H251" s="30"/>
      <c r="I251" s="634"/>
      <c r="J251" s="634"/>
      <c r="K251" s="634"/>
      <c r="L251" s="634"/>
      <c r="M251" s="634"/>
      <c r="N251" s="30"/>
      <c r="O251" s="634"/>
      <c r="P251" s="634"/>
      <c r="Q251" s="634"/>
      <c r="R251" s="634"/>
      <c r="S251" s="634"/>
      <c r="T251" s="64"/>
      <c r="U251" s="634"/>
      <c r="V251" s="634"/>
      <c r="W251" s="634"/>
      <c r="X251" s="634"/>
      <c r="Y251" s="634"/>
      <c r="Z251" s="30"/>
      <c r="AA251" s="634"/>
      <c r="AB251" s="634"/>
      <c r="AC251" s="634"/>
      <c r="AD251" s="634"/>
      <c r="AE251" s="634"/>
      <c r="AF251" s="30"/>
      <c r="AG251" s="634"/>
      <c r="AH251" s="634"/>
      <c r="AI251" s="634"/>
      <c r="AJ251" s="634"/>
      <c r="AK251" s="634"/>
      <c r="AL251" s="31"/>
      <c r="AM251" s="634"/>
      <c r="AN251" s="634"/>
      <c r="AO251" s="634"/>
      <c r="AP251" s="634"/>
      <c r="AQ251" s="634"/>
      <c r="AR251" s="31"/>
      <c r="AS251" s="634">
        <f>+SUM(AT246:AV246,AY246)</f>
        <v>-19.757999999999996</v>
      </c>
      <c r="AT251" s="634">
        <f>+SUM(AU246:AV246,AY246:AZ246)</f>
        <v>-22.6</v>
      </c>
      <c r="AU251" s="634">
        <f>+SUM(AV246,AY246:BA246)</f>
        <v>-21</v>
      </c>
      <c r="AV251" s="634">
        <f>+SUM(AY246:BB246)</f>
        <v>-21</v>
      </c>
      <c r="AW251" s="634"/>
      <c r="AX251" s="31"/>
      <c r="AY251" s="634">
        <f>+SUM(AZ246:BB246,BE246)</f>
        <v>43.800000000000104</v>
      </c>
      <c r="AZ251" s="634">
        <f>+SUM(BA246:BB246,BE246:BF246)</f>
        <v>43.900000000000105</v>
      </c>
      <c r="BA251" s="634">
        <f>+SUM(BB246:BC246,BF246:BG246)</f>
        <v>-21</v>
      </c>
      <c r="BB251" s="634">
        <f>+SUM(BE246:BH246)</f>
        <v>42.300000000000104</v>
      </c>
      <c r="BC251" s="634"/>
      <c r="BD251" s="31"/>
      <c r="BE251" s="634">
        <f>+SUM(BF246:BH246,BK246)</f>
        <v>0</v>
      </c>
      <c r="BF251" s="634">
        <f>+SUM(BG246:BH246,BK246:BL246)</f>
        <v>0</v>
      </c>
      <c r="BG251" s="634">
        <f>+SUM(BH246,BK246:BM246)</f>
        <v>0</v>
      </c>
      <c r="BH251" s="634">
        <f>+SUM(BK246:BN246)</f>
        <v>0</v>
      </c>
      <c r="BI251" s="634"/>
      <c r="BJ251" s="31"/>
      <c r="BK251" s="634">
        <f>+SUM(BL246:BN246,BQ246)</f>
        <v>0</v>
      </c>
      <c r="BL251" s="634">
        <f>+SUM(BM246:BN246,BQ246:BR246)</f>
        <v>0</v>
      </c>
      <c r="BM251" s="634">
        <f>+SUM(BN246,BQ246:BS246)</f>
        <v>0</v>
      </c>
      <c r="BN251" s="634">
        <f>+SUM(BQ246:BT246)</f>
        <v>0</v>
      </c>
      <c r="BO251" s="634"/>
      <c r="BP251" s="31"/>
      <c r="BQ251" s="634">
        <f>+SUM(BR246:BT246,BW246)</f>
        <v>0</v>
      </c>
      <c r="BR251" s="634">
        <f>+SUM(BS246:BT246,BW246:BX246)</f>
        <v>0</v>
      </c>
      <c r="BS251" s="634">
        <f>+SUM(BT246,BW246:BY246)</f>
        <v>0</v>
      </c>
      <c r="BT251" s="634">
        <f>+SUM(BW246:BZ246)</f>
        <v>0</v>
      </c>
      <c r="BU251" s="634"/>
      <c r="BV251" s="31"/>
      <c r="BW251" s="634">
        <f>+SUM(BX246:BZ246,CC246)</f>
        <v>0</v>
      </c>
      <c r="BX251" s="634">
        <f>+SUM(BY246:BZ246,CC246:CD246)</f>
        <v>0</v>
      </c>
      <c r="BY251" s="634">
        <f>+SUM(BZ246,CC246:CE246)</f>
        <v>0</v>
      </c>
      <c r="BZ251" s="634">
        <f>+SUM(CC246:CF246)</f>
        <v>0</v>
      </c>
      <c r="CA251" s="634"/>
      <c r="CB251" s="31"/>
      <c r="CC251" s="634">
        <f>+SUM(CD246:CF246,CI246)</f>
        <v>0</v>
      </c>
      <c r="CD251" s="634">
        <f>+SUM(CE246:CF246,CI246:CJ246)</f>
        <v>0</v>
      </c>
      <c r="CE251" s="634">
        <f>+SUM(CF246,CI246:CK246)</f>
        <v>0</v>
      </c>
      <c r="CF251" s="634">
        <f>+SUM(CI246:CL246)</f>
        <v>0</v>
      </c>
      <c r="CG251" s="634"/>
      <c r="CH251" s="31"/>
      <c r="CI251" s="634">
        <f>+SUM(CJ246:CL246,CO246)</f>
        <v>0</v>
      </c>
      <c r="CJ251" s="634">
        <f>+SUM(CK246:CL246,CO246:CP246)</f>
        <v>0</v>
      </c>
      <c r="CK251" s="634">
        <f>+SUM(CL246,CO246:CQ246)</f>
        <v>0</v>
      </c>
      <c r="CL251" s="634">
        <f>+SUM(CO246:CR246)</f>
        <v>0</v>
      </c>
      <c r="CM251" s="634"/>
    </row>
    <row r="252" spans="2:91" ht="12" customHeight="1" x14ac:dyDescent="0.2">
      <c r="B252" s="111"/>
      <c r="C252" s="633"/>
      <c r="D252" s="633"/>
      <c r="E252" s="633"/>
      <c r="F252" s="633"/>
      <c r="G252" s="592"/>
      <c r="H252" s="30"/>
      <c r="I252" s="633"/>
      <c r="J252" s="633"/>
      <c r="K252" s="633"/>
      <c r="L252" s="633"/>
      <c r="M252" s="592"/>
      <c r="N252" s="30"/>
      <c r="O252" s="633"/>
      <c r="P252" s="633"/>
      <c r="Q252" s="633"/>
      <c r="R252" s="633"/>
      <c r="S252" s="592"/>
      <c r="T252" s="30"/>
      <c r="U252" s="633"/>
      <c r="V252" s="633"/>
      <c r="W252" s="592"/>
      <c r="X252" s="592"/>
      <c r="Y252" s="592"/>
      <c r="Z252" s="592"/>
      <c r="AA252" s="592"/>
      <c r="AB252" s="592"/>
      <c r="AC252" s="592"/>
      <c r="AD252" s="592"/>
      <c r="AE252" s="592"/>
      <c r="AF252" s="592"/>
      <c r="AG252" s="592"/>
      <c r="AH252" s="592"/>
      <c r="AI252" s="592"/>
      <c r="AJ252" s="592"/>
      <c r="AK252" s="592"/>
      <c r="AL252" s="592"/>
      <c r="AM252" s="592"/>
      <c r="AN252" s="592"/>
      <c r="AO252" s="592"/>
      <c r="AP252" s="592"/>
      <c r="AQ252" s="592"/>
      <c r="AR252" s="592"/>
      <c r="AS252" s="592"/>
      <c r="AT252" s="592"/>
      <c r="AU252" s="592"/>
      <c r="AV252" s="592"/>
      <c r="AW252" s="592"/>
      <c r="AX252" s="592"/>
      <c r="AY252" s="592"/>
      <c r="AZ252" s="592"/>
      <c r="BA252" s="592"/>
      <c r="BB252" s="592"/>
      <c r="BC252" s="592"/>
      <c r="BD252" s="592"/>
      <c r="BE252" s="592"/>
      <c r="BF252" s="592"/>
      <c r="BG252" s="592"/>
      <c r="BH252" s="592"/>
      <c r="BI252" s="592"/>
      <c r="BJ252" s="592"/>
      <c r="BK252" s="592"/>
      <c r="BL252" s="592"/>
      <c r="BM252" s="592"/>
      <c r="BN252" s="592"/>
      <c r="BO252" s="592"/>
      <c r="BP252" s="592"/>
      <c r="BQ252" s="592"/>
      <c r="BR252" s="592"/>
      <c r="BS252" s="592"/>
      <c r="BT252" s="592"/>
      <c r="BU252" s="592"/>
      <c r="BV252" s="592"/>
      <c r="BW252" s="592"/>
      <c r="BX252" s="592"/>
      <c r="BY252" s="592"/>
      <c r="BZ252" s="592"/>
      <c r="CA252" s="592"/>
      <c r="CB252" s="592"/>
      <c r="CC252" s="592"/>
      <c r="CD252" s="592"/>
      <c r="CE252" s="592"/>
      <c r="CF252" s="592"/>
      <c r="CG252" s="592"/>
      <c r="CH252" s="592"/>
      <c r="CI252" s="592"/>
      <c r="CJ252" s="592"/>
      <c r="CK252" s="592"/>
      <c r="CL252" s="592"/>
      <c r="CM252" s="592"/>
    </row>
    <row r="253" spans="2:91" ht="12" customHeight="1" x14ac:dyDescent="0.2">
      <c r="B253" s="587" t="s">
        <v>305</v>
      </c>
      <c r="C253" s="30"/>
      <c r="D253" s="30"/>
      <c r="E253" s="30"/>
      <c r="F253" s="30"/>
      <c r="G253" s="30"/>
      <c r="H253" s="30"/>
      <c r="I253" s="30"/>
      <c r="J253" s="30"/>
      <c r="K253" s="30"/>
      <c r="L253" s="30"/>
      <c r="M253" s="30"/>
      <c r="N253" s="30"/>
      <c r="O253" s="30"/>
      <c r="P253" s="30"/>
      <c r="Q253" s="30"/>
      <c r="R253" s="30"/>
      <c r="S253" s="30"/>
      <c r="T253" s="30"/>
      <c r="U253" s="30"/>
      <c r="V253" s="30"/>
      <c r="W253" s="632"/>
      <c r="X253" s="30"/>
      <c r="Y253" s="30"/>
      <c r="Z253" s="30"/>
      <c r="AA253" s="30"/>
      <c r="AB253" s="30"/>
      <c r="AC253" s="30"/>
      <c r="AD253" s="30"/>
      <c r="AE253" s="30"/>
      <c r="AF253" s="30"/>
      <c r="AG253" s="30"/>
      <c r="AH253" s="30"/>
      <c r="AI253" s="30"/>
      <c r="AJ253" s="30"/>
      <c r="AK253" s="30"/>
      <c r="AL253" s="31"/>
      <c r="AM253" s="30"/>
      <c r="AN253" s="30"/>
      <c r="AO253" s="30"/>
      <c r="AP253" s="30"/>
      <c r="AQ253" s="30"/>
      <c r="AR253" s="31"/>
      <c r="AS253" s="30"/>
      <c r="AT253" s="30"/>
      <c r="AU253" s="30"/>
      <c r="AV253" s="30"/>
      <c r="AW253" s="30"/>
      <c r="AX253" s="31"/>
      <c r="AY253" s="30"/>
      <c r="AZ253" s="30"/>
      <c r="BA253" s="30"/>
      <c r="BB253" s="30"/>
      <c r="BC253" s="30"/>
      <c r="BD253" s="31"/>
      <c r="BE253" s="30"/>
      <c r="BF253" s="30"/>
      <c r="BG253" s="30"/>
      <c r="BH253" s="30"/>
      <c r="BI253" s="30"/>
      <c r="BJ253" s="31"/>
      <c r="BK253" s="30"/>
      <c r="BL253" s="30"/>
      <c r="BM253" s="30"/>
      <c r="BN253" s="30"/>
      <c r="BO253" s="30"/>
      <c r="BP253" s="31"/>
      <c r="BQ253" s="30"/>
      <c r="BR253" s="30"/>
      <c r="BS253" s="30"/>
      <c r="BT253" s="30"/>
      <c r="BU253" s="30"/>
      <c r="BV253" s="31"/>
      <c r="BW253" s="30"/>
      <c r="BX253" s="30"/>
      <c r="BY253" s="30"/>
      <c r="BZ253" s="30"/>
      <c r="CA253" s="30"/>
      <c r="CB253" s="31"/>
      <c r="CC253" s="30"/>
      <c r="CD253" s="30"/>
      <c r="CE253" s="30"/>
      <c r="CF253" s="30"/>
      <c r="CG253" s="30"/>
      <c r="CH253" s="31"/>
      <c r="CI253" s="30"/>
      <c r="CJ253" s="30"/>
      <c r="CK253" s="30"/>
      <c r="CL253" s="30"/>
      <c r="CM253" s="30"/>
    </row>
    <row r="254" spans="2:91" ht="12" customHeight="1" x14ac:dyDescent="0.2">
      <c r="B254" s="387" t="s">
        <v>434</v>
      </c>
      <c r="C254" s="631">
        <v>0.05</v>
      </c>
      <c r="D254" s="631">
        <v>0.05</v>
      </c>
      <c r="E254" s="631">
        <v>0.05</v>
      </c>
      <c r="F254" s="631">
        <v>0.05</v>
      </c>
      <c r="G254" s="630">
        <v>0.05</v>
      </c>
      <c r="H254" s="386"/>
      <c r="I254" s="630">
        <v>0.05</v>
      </c>
      <c r="J254" s="630">
        <v>0.05</v>
      </c>
      <c r="K254" s="630">
        <v>0.05</v>
      </c>
      <c r="L254" s="630">
        <v>0.05</v>
      </c>
      <c r="M254" s="630">
        <v>0.05</v>
      </c>
      <c r="N254" s="386"/>
      <c r="O254" s="630">
        <v>0.05</v>
      </c>
      <c r="P254" s="630">
        <v>0.05</v>
      </c>
      <c r="Q254" s="630">
        <v>0.05</v>
      </c>
      <c r="R254" s="630">
        <v>0.05</v>
      </c>
      <c r="S254" s="630">
        <v>0.05</v>
      </c>
      <c r="T254" s="386"/>
      <c r="U254" s="630">
        <v>0.05</v>
      </c>
      <c r="V254" s="630">
        <v>0.05</v>
      </c>
      <c r="W254" s="630">
        <v>0.05</v>
      </c>
      <c r="X254" s="630">
        <v>0.05</v>
      </c>
      <c r="Y254" s="630">
        <v>0.05</v>
      </c>
      <c r="Z254" s="386"/>
      <c r="AA254" s="630">
        <v>0.05</v>
      </c>
      <c r="AB254" s="630">
        <v>0.05</v>
      </c>
      <c r="AC254" s="629">
        <f>AB254</f>
        <v>0.05</v>
      </c>
      <c r="AD254" s="629">
        <f>AC254</f>
        <v>0.05</v>
      </c>
      <c r="AE254" s="629">
        <f>AD254</f>
        <v>0.05</v>
      </c>
      <c r="AF254" s="386"/>
      <c r="AG254" s="629">
        <v>0.03</v>
      </c>
      <c r="AH254" s="629">
        <f>AG254</f>
        <v>0.03</v>
      </c>
      <c r="AI254" s="629">
        <f>AH254</f>
        <v>0.03</v>
      </c>
      <c r="AJ254" s="629">
        <f>AI254</f>
        <v>0.03</v>
      </c>
      <c r="AK254" s="629">
        <f>AJ254</f>
        <v>0.03</v>
      </c>
      <c r="AL254" s="545"/>
      <c r="AM254" s="629">
        <f>AK254</f>
        <v>0.03</v>
      </c>
      <c r="AN254" s="629">
        <f>AM254</f>
        <v>0.03</v>
      </c>
      <c r="AO254" s="629">
        <f>AN254</f>
        <v>0.03</v>
      </c>
      <c r="AP254" s="629">
        <f>AO254</f>
        <v>0.03</v>
      </c>
      <c r="AQ254" s="629">
        <f>AP254</f>
        <v>0.03</v>
      </c>
      <c r="AR254" s="545"/>
      <c r="AS254" s="629">
        <f>AQ254</f>
        <v>0.03</v>
      </c>
      <c r="AT254" s="629">
        <f>AS254</f>
        <v>0.03</v>
      </c>
      <c r="AU254" s="629">
        <f>AT254</f>
        <v>0.03</v>
      </c>
      <c r="AV254" s="629">
        <f>AU254</f>
        <v>0.03</v>
      </c>
      <c r="AW254" s="629">
        <f>AV254</f>
        <v>0.03</v>
      </c>
      <c r="AX254" s="545"/>
      <c r="AY254" s="629">
        <f>AW254</f>
        <v>0.03</v>
      </c>
      <c r="AZ254" s="629">
        <f>AY254</f>
        <v>0.03</v>
      </c>
      <c r="BA254" s="629">
        <f>AZ254</f>
        <v>0.03</v>
      </c>
      <c r="BB254" s="629">
        <f>BA254</f>
        <v>0.03</v>
      </c>
      <c r="BC254" s="629">
        <f>BB254</f>
        <v>0.03</v>
      </c>
      <c r="BD254" s="545"/>
      <c r="BE254" s="629">
        <f>BC254</f>
        <v>0.03</v>
      </c>
      <c r="BF254" s="629">
        <f>BE254</f>
        <v>0.03</v>
      </c>
      <c r="BG254" s="629">
        <f>BF254</f>
        <v>0.03</v>
      </c>
      <c r="BH254" s="629">
        <f>BG254</f>
        <v>0.03</v>
      </c>
      <c r="BI254" s="629">
        <f>BH254</f>
        <v>0.03</v>
      </c>
      <c r="BJ254" s="545"/>
      <c r="BK254" s="629">
        <f>BI254</f>
        <v>0.03</v>
      </c>
      <c r="BL254" s="629">
        <f>BK254</f>
        <v>0.03</v>
      </c>
      <c r="BM254" s="629">
        <f>BL254</f>
        <v>0.03</v>
      </c>
      <c r="BN254" s="629">
        <f>BM254</f>
        <v>0.03</v>
      </c>
      <c r="BO254" s="629">
        <f>BN254</f>
        <v>0.03</v>
      </c>
      <c r="BP254" s="545"/>
      <c r="BQ254" s="629">
        <f>BO254</f>
        <v>0.03</v>
      </c>
      <c r="BR254" s="629">
        <f>BQ254</f>
        <v>0.03</v>
      </c>
      <c r="BS254" s="629">
        <f>BR254</f>
        <v>0.03</v>
      </c>
      <c r="BT254" s="629">
        <f>BS254</f>
        <v>0.03</v>
      </c>
      <c r="BU254" s="629">
        <f>BT254</f>
        <v>0.03</v>
      </c>
      <c r="BV254" s="545"/>
      <c r="BW254" s="629">
        <f>BU254</f>
        <v>0.03</v>
      </c>
      <c r="BX254" s="629">
        <f>BW254</f>
        <v>0.03</v>
      </c>
      <c r="BY254" s="629">
        <f>BX254</f>
        <v>0.03</v>
      </c>
      <c r="BZ254" s="629">
        <f>BY254</f>
        <v>0.03</v>
      </c>
      <c r="CA254" s="629">
        <f>BZ254</f>
        <v>0.03</v>
      </c>
      <c r="CB254" s="545"/>
      <c r="CC254" s="629">
        <f>CA254</f>
        <v>0.03</v>
      </c>
      <c r="CD254" s="629">
        <f>CC254</f>
        <v>0.03</v>
      </c>
      <c r="CE254" s="629">
        <f>CD254</f>
        <v>0.03</v>
      </c>
      <c r="CF254" s="629">
        <f>CE254</f>
        <v>0.03</v>
      </c>
      <c r="CG254" s="629">
        <f>CF254</f>
        <v>0.03</v>
      </c>
      <c r="CH254" s="545"/>
      <c r="CI254" s="629">
        <f>CG254</f>
        <v>0.03</v>
      </c>
      <c r="CJ254" s="629">
        <f>CI254</f>
        <v>0.03</v>
      </c>
      <c r="CK254" s="629">
        <f>CJ254</f>
        <v>0.03</v>
      </c>
      <c r="CL254" s="629">
        <f>CK254</f>
        <v>0.03</v>
      </c>
      <c r="CM254" s="629">
        <f>CL254</f>
        <v>0.03</v>
      </c>
    </row>
    <row r="255" spans="2:91" ht="12" customHeight="1" x14ac:dyDescent="0.2">
      <c r="B255" s="30" t="s">
        <v>433</v>
      </c>
      <c r="C255" s="631"/>
      <c r="D255" s="631"/>
      <c r="E255" s="631"/>
      <c r="F255" s="631"/>
      <c r="G255" s="630"/>
      <c r="H255" s="386"/>
      <c r="I255" s="630"/>
      <c r="J255" s="630"/>
      <c r="K255" s="630"/>
      <c r="L255" s="630"/>
      <c r="M255" s="630"/>
      <c r="N255" s="386"/>
      <c r="O255" s="630"/>
      <c r="P255" s="630"/>
      <c r="Q255" s="630"/>
      <c r="R255" s="630"/>
      <c r="S255" s="630"/>
      <c r="T255" s="386"/>
      <c r="U255" s="630"/>
      <c r="V255" s="630"/>
      <c r="W255" s="630"/>
      <c r="X255" s="630"/>
      <c r="Y255" s="630"/>
      <c r="Z255" s="386"/>
      <c r="AA255" s="630"/>
      <c r="AB255" s="630"/>
      <c r="AC255" s="629"/>
      <c r="AD255" s="629"/>
      <c r="AE255" s="629"/>
      <c r="AF255" s="386"/>
      <c r="AG255" s="629"/>
      <c r="AH255" s="629"/>
      <c r="AI255" s="629"/>
      <c r="AJ255" s="629"/>
      <c r="AK255" s="629"/>
      <c r="AL255" s="545"/>
      <c r="AM255" s="629"/>
      <c r="AN255" s="629"/>
      <c r="AO255" s="629"/>
      <c r="AP255" s="629"/>
      <c r="AQ255" s="629"/>
      <c r="AR255" s="545"/>
      <c r="AS255" s="629"/>
      <c r="AT255" s="629"/>
      <c r="AU255" s="629"/>
      <c r="AV255" s="629"/>
      <c r="AW255" s="629"/>
      <c r="AX255" s="545"/>
      <c r="AY255" s="629"/>
      <c r="AZ255" s="629"/>
      <c r="BA255" s="629"/>
      <c r="BB255" s="629"/>
      <c r="BC255" s="629"/>
      <c r="BD255" s="545"/>
      <c r="BE255" s="629"/>
      <c r="BF255" s="629"/>
      <c r="BG255" s="629"/>
      <c r="BH255" s="629"/>
      <c r="BI255" s="629"/>
      <c r="BJ255" s="545"/>
      <c r="BK255" s="629"/>
      <c r="BL255" s="629"/>
      <c r="BM255" s="629"/>
      <c r="BN255" s="629"/>
      <c r="BO255" s="629"/>
      <c r="BP255" s="545"/>
      <c r="BQ255" s="629"/>
      <c r="BR255" s="629"/>
      <c r="BS255" s="629"/>
      <c r="BT255" s="629"/>
      <c r="BU255" s="629"/>
      <c r="BV255" s="545"/>
      <c r="BW255" s="629"/>
      <c r="BX255" s="629"/>
      <c r="BY255" s="629"/>
      <c r="BZ255" s="629"/>
      <c r="CA255" s="629"/>
      <c r="CB255" s="545"/>
      <c r="CC255" s="629"/>
      <c r="CD255" s="629"/>
      <c r="CE255" s="629"/>
      <c r="CF255" s="629"/>
      <c r="CG255" s="629"/>
      <c r="CH255" s="545"/>
      <c r="CI255" s="629"/>
      <c r="CJ255" s="629"/>
      <c r="CK255" s="629"/>
      <c r="CL255" s="629"/>
      <c r="CM255" s="629"/>
    </row>
    <row r="256" spans="2:91" ht="12" customHeight="1" x14ac:dyDescent="0.2">
      <c r="B256" s="625" t="s">
        <v>432</v>
      </c>
      <c r="C256" s="631">
        <v>0.05</v>
      </c>
      <c r="D256" s="631">
        <v>0.05</v>
      </c>
      <c r="E256" s="631">
        <v>0.05</v>
      </c>
      <c r="F256" s="631">
        <v>0.05</v>
      </c>
      <c r="G256" s="630">
        <v>0.05</v>
      </c>
      <c r="H256" s="386"/>
      <c r="I256" s="630">
        <v>0.05</v>
      </c>
      <c r="J256" s="630">
        <v>0.05</v>
      </c>
      <c r="K256" s="630">
        <v>0.05</v>
      </c>
      <c r="L256" s="630">
        <v>0.05</v>
      </c>
      <c r="M256" s="630">
        <v>0.05</v>
      </c>
      <c r="N256" s="386"/>
      <c r="O256" s="630">
        <v>0.05</v>
      </c>
      <c r="P256" s="630">
        <v>0.05</v>
      </c>
      <c r="Q256" s="630">
        <v>0.05</v>
      </c>
      <c r="R256" s="630">
        <v>0.05</v>
      </c>
      <c r="S256" s="630">
        <v>0.05</v>
      </c>
      <c r="T256" s="386"/>
      <c r="U256" s="630">
        <v>0.05</v>
      </c>
      <c r="V256" s="630">
        <v>0.05</v>
      </c>
      <c r="W256" s="630">
        <v>0.05</v>
      </c>
      <c r="X256" s="630">
        <v>0.05</v>
      </c>
      <c r="Y256" s="630">
        <v>0.05</v>
      </c>
      <c r="Z256" s="386"/>
      <c r="AA256" s="630">
        <v>0.05</v>
      </c>
      <c r="AB256" s="630">
        <v>0.05</v>
      </c>
      <c r="AC256" s="629">
        <f t="shared" ref="AC256:AE258" si="379">AB256</f>
        <v>0.05</v>
      </c>
      <c r="AD256" s="629">
        <f t="shared" si="379"/>
        <v>0.05</v>
      </c>
      <c r="AE256" s="629">
        <f t="shared" si="379"/>
        <v>0.05</v>
      </c>
      <c r="AF256" s="386"/>
      <c r="AG256" s="629">
        <f>AE256</f>
        <v>0.05</v>
      </c>
      <c r="AH256" s="629">
        <f t="shared" ref="AH256:AK258" si="380">AG256</f>
        <v>0.05</v>
      </c>
      <c r="AI256" s="629">
        <f t="shared" si="380"/>
        <v>0.05</v>
      </c>
      <c r="AJ256" s="629">
        <f t="shared" si="380"/>
        <v>0.05</v>
      </c>
      <c r="AK256" s="629">
        <f t="shared" si="380"/>
        <v>0.05</v>
      </c>
      <c r="AL256" s="545"/>
      <c r="AM256" s="629">
        <f>AK256</f>
        <v>0.05</v>
      </c>
      <c r="AN256" s="629">
        <f t="shared" ref="AN256:AQ258" si="381">AM256</f>
        <v>0.05</v>
      </c>
      <c r="AO256" s="629">
        <f t="shared" si="381"/>
        <v>0.05</v>
      </c>
      <c r="AP256" s="629">
        <f t="shared" si="381"/>
        <v>0.05</v>
      </c>
      <c r="AQ256" s="629">
        <f t="shared" si="381"/>
        <v>0.05</v>
      </c>
      <c r="AR256" s="545"/>
      <c r="AS256" s="629">
        <f>AQ256</f>
        <v>0.05</v>
      </c>
      <c r="AT256" s="629">
        <f t="shared" ref="AT256:AW258" si="382">AS256</f>
        <v>0.05</v>
      </c>
      <c r="AU256" s="629">
        <f t="shared" si="382"/>
        <v>0.05</v>
      </c>
      <c r="AV256" s="629">
        <f t="shared" si="382"/>
        <v>0.05</v>
      </c>
      <c r="AW256" s="629">
        <f t="shared" si="382"/>
        <v>0.05</v>
      </c>
      <c r="AX256" s="545"/>
      <c r="AY256" s="629">
        <f>AW256</f>
        <v>0.05</v>
      </c>
      <c r="AZ256" s="629">
        <f t="shared" ref="AZ256:BC258" si="383">AY256</f>
        <v>0.05</v>
      </c>
      <c r="BA256" s="629">
        <f t="shared" si="383"/>
        <v>0.05</v>
      </c>
      <c r="BB256" s="629">
        <f t="shared" si="383"/>
        <v>0.05</v>
      </c>
      <c r="BC256" s="629">
        <f t="shared" si="383"/>
        <v>0.05</v>
      </c>
      <c r="BD256" s="545"/>
      <c r="BE256" s="629">
        <f>BC256</f>
        <v>0.05</v>
      </c>
      <c r="BF256" s="629">
        <f t="shared" ref="BF256:BI258" si="384">BE256</f>
        <v>0.05</v>
      </c>
      <c r="BG256" s="629">
        <f t="shared" si="384"/>
        <v>0.05</v>
      </c>
      <c r="BH256" s="629">
        <f t="shared" si="384"/>
        <v>0.05</v>
      </c>
      <c r="BI256" s="629">
        <f t="shared" si="384"/>
        <v>0.05</v>
      </c>
      <c r="BJ256" s="545"/>
      <c r="BK256" s="629">
        <f>BI256</f>
        <v>0.05</v>
      </c>
      <c r="BL256" s="629">
        <f t="shared" ref="BL256:BO258" si="385">BK256</f>
        <v>0.05</v>
      </c>
      <c r="BM256" s="629">
        <f t="shared" si="385"/>
        <v>0.05</v>
      </c>
      <c r="BN256" s="629">
        <f t="shared" si="385"/>
        <v>0.05</v>
      </c>
      <c r="BO256" s="629">
        <f t="shared" si="385"/>
        <v>0.05</v>
      </c>
      <c r="BP256" s="545"/>
      <c r="BQ256" s="629">
        <f>BO256</f>
        <v>0.05</v>
      </c>
      <c r="BR256" s="629">
        <f t="shared" ref="BR256:BU258" si="386">BQ256</f>
        <v>0.05</v>
      </c>
      <c r="BS256" s="629">
        <f t="shared" si="386"/>
        <v>0.05</v>
      </c>
      <c r="BT256" s="629">
        <f t="shared" si="386"/>
        <v>0.05</v>
      </c>
      <c r="BU256" s="629">
        <f t="shared" si="386"/>
        <v>0.05</v>
      </c>
      <c r="BV256" s="545"/>
      <c r="BW256" s="629">
        <f>BU256</f>
        <v>0.05</v>
      </c>
      <c r="BX256" s="629">
        <f t="shared" ref="BX256:CA258" si="387">BW256</f>
        <v>0.05</v>
      </c>
      <c r="BY256" s="629">
        <f t="shared" si="387"/>
        <v>0.05</v>
      </c>
      <c r="BZ256" s="629">
        <f t="shared" si="387"/>
        <v>0.05</v>
      </c>
      <c r="CA256" s="629">
        <f t="shared" si="387"/>
        <v>0.05</v>
      </c>
      <c r="CB256" s="545"/>
      <c r="CC256" s="629">
        <f>CA256</f>
        <v>0.05</v>
      </c>
      <c r="CD256" s="629">
        <f t="shared" ref="CD256:CG258" si="388">CC256</f>
        <v>0.05</v>
      </c>
      <c r="CE256" s="629">
        <f t="shared" si="388"/>
        <v>0.05</v>
      </c>
      <c r="CF256" s="629">
        <f t="shared" si="388"/>
        <v>0.05</v>
      </c>
      <c r="CG256" s="629">
        <f t="shared" si="388"/>
        <v>0.05</v>
      </c>
      <c r="CH256" s="545"/>
      <c r="CI256" s="629">
        <f>CG256</f>
        <v>0.05</v>
      </c>
      <c r="CJ256" s="629">
        <f t="shared" ref="CJ256:CM258" si="389">CI256</f>
        <v>0.05</v>
      </c>
      <c r="CK256" s="629">
        <f t="shared" si="389"/>
        <v>0.05</v>
      </c>
      <c r="CL256" s="629">
        <f t="shared" si="389"/>
        <v>0.05</v>
      </c>
      <c r="CM256" s="629">
        <f t="shared" si="389"/>
        <v>0.05</v>
      </c>
    </row>
    <row r="257" spans="2:91" ht="12" customHeight="1" x14ac:dyDescent="0.2">
      <c r="B257" s="625" t="s">
        <v>431</v>
      </c>
      <c r="C257" s="631">
        <v>0.05</v>
      </c>
      <c r="D257" s="631">
        <v>0.05</v>
      </c>
      <c r="E257" s="631">
        <v>0.05</v>
      </c>
      <c r="F257" s="631">
        <v>0.05</v>
      </c>
      <c r="G257" s="630">
        <v>0.05</v>
      </c>
      <c r="H257" s="386"/>
      <c r="I257" s="630">
        <v>0.05</v>
      </c>
      <c r="J257" s="630">
        <v>0.05</v>
      </c>
      <c r="K257" s="630">
        <v>0.05</v>
      </c>
      <c r="L257" s="630">
        <v>0.05</v>
      </c>
      <c r="M257" s="630">
        <v>0.05</v>
      </c>
      <c r="N257" s="386"/>
      <c r="O257" s="630">
        <v>0.05</v>
      </c>
      <c r="P257" s="630">
        <v>0.05</v>
      </c>
      <c r="Q257" s="630">
        <v>0.05</v>
      </c>
      <c r="R257" s="630">
        <v>0.05</v>
      </c>
      <c r="S257" s="630">
        <v>0.05</v>
      </c>
      <c r="T257" s="386"/>
      <c r="U257" s="630">
        <v>0.05</v>
      </c>
      <c r="V257" s="630">
        <v>0.05</v>
      </c>
      <c r="W257" s="630">
        <v>0.05</v>
      </c>
      <c r="X257" s="630">
        <v>0.05</v>
      </c>
      <c r="Y257" s="630">
        <v>0.05</v>
      </c>
      <c r="Z257" s="386"/>
      <c r="AA257" s="630">
        <v>0.05</v>
      </c>
      <c r="AB257" s="630">
        <v>0.05</v>
      </c>
      <c r="AC257" s="629">
        <f t="shared" si="379"/>
        <v>0.05</v>
      </c>
      <c r="AD257" s="629">
        <f t="shared" si="379"/>
        <v>0.05</v>
      </c>
      <c r="AE257" s="629">
        <f t="shared" si="379"/>
        <v>0.05</v>
      </c>
      <c r="AF257" s="386"/>
      <c r="AG257" s="629">
        <f>AE257</f>
        <v>0.05</v>
      </c>
      <c r="AH257" s="629">
        <f t="shared" si="380"/>
        <v>0.05</v>
      </c>
      <c r="AI257" s="629">
        <f t="shared" si="380"/>
        <v>0.05</v>
      </c>
      <c r="AJ257" s="629">
        <f t="shared" si="380"/>
        <v>0.05</v>
      </c>
      <c r="AK257" s="629">
        <f t="shared" si="380"/>
        <v>0.05</v>
      </c>
      <c r="AL257" s="545"/>
      <c r="AM257" s="629">
        <f>AK257</f>
        <v>0.05</v>
      </c>
      <c r="AN257" s="629">
        <f t="shared" si="381"/>
        <v>0.05</v>
      </c>
      <c r="AO257" s="629">
        <f t="shared" si="381"/>
        <v>0.05</v>
      </c>
      <c r="AP257" s="629">
        <f t="shared" si="381"/>
        <v>0.05</v>
      </c>
      <c r="AQ257" s="629">
        <f t="shared" si="381"/>
        <v>0.05</v>
      </c>
      <c r="AR257" s="545"/>
      <c r="AS257" s="629">
        <f>AQ257</f>
        <v>0.05</v>
      </c>
      <c r="AT257" s="629">
        <f t="shared" si="382"/>
        <v>0.05</v>
      </c>
      <c r="AU257" s="629">
        <f t="shared" si="382"/>
        <v>0.05</v>
      </c>
      <c r="AV257" s="629">
        <f t="shared" si="382"/>
        <v>0.05</v>
      </c>
      <c r="AW257" s="629">
        <f t="shared" si="382"/>
        <v>0.05</v>
      </c>
      <c r="AX257" s="545"/>
      <c r="AY257" s="629">
        <f>AW257</f>
        <v>0.05</v>
      </c>
      <c r="AZ257" s="629">
        <f t="shared" si="383"/>
        <v>0.05</v>
      </c>
      <c r="BA257" s="629">
        <f t="shared" si="383"/>
        <v>0.05</v>
      </c>
      <c r="BB257" s="629">
        <f t="shared" si="383"/>
        <v>0.05</v>
      </c>
      <c r="BC257" s="629">
        <f t="shared" si="383"/>
        <v>0.05</v>
      </c>
      <c r="BD257" s="545"/>
      <c r="BE257" s="629">
        <f>BC257</f>
        <v>0.05</v>
      </c>
      <c r="BF257" s="629">
        <f t="shared" si="384"/>
        <v>0.05</v>
      </c>
      <c r="BG257" s="629">
        <f t="shared" si="384"/>
        <v>0.05</v>
      </c>
      <c r="BH257" s="629">
        <f t="shared" si="384"/>
        <v>0.05</v>
      </c>
      <c r="BI257" s="629">
        <f t="shared" si="384"/>
        <v>0.05</v>
      </c>
      <c r="BJ257" s="545"/>
      <c r="BK257" s="629">
        <f>BI257</f>
        <v>0.05</v>
      </c>
      <c r="BL257" s="629">
        <f t="shared" si="385"/>
        <v>0.05</v>
      </c>
      <c r="BM257" s="629">
        <f t="shared" si="385"/>
        <v>0.05</v>
      </c>
      <c r="BN257" s="629">
        <f t="shared" si="385"/>
        <v>0.05</v>
      </c>
      <c r="BO257" s="629">
        <f t="shared" si="385"/>
        <v>0.05</v>
      </c>
      <c r="BP257" s="545"/>
      <c r="BQ257" s="629">
        <f>BO257</f>
        <v>0.05</v>
      </c>
      <c r="BR257" s="629">
        <f t="shared" si="386"/>
        <v>0.05</v>
      </c>
      <c r="BS257" s="629">
        <f t="shared" si="386"/>
        <v>0.05</v>
      </c>
      <c r="BT257" s="629">
        <f t="shared" si="386"/>
        <v>0.05</v>
      </c>
      <c r="BU257" s="629">
        <f t="shared" si="386"/>
        <v>0.05</v>
      </c>
      <c r="BV257" s="545"/>
      <c r="BW257" s="629">
        <f>BU257</f>
        <v>0.05</v>
      </c>
      <c r="BX257" s="629">
        <f t="shared" si="387"/>
        <v>0.05</v>
      </c>
      <c r="BY257" s="629">
        <f t="shared" si="387"/>
        <v>0.05</v>
      </c>
      <c r="BZ257" s="629">
        <f t="shared" si="387"/>
        <v>0.05</v>
      </c>
      <c r="CA257" s="629">
        <f t="shared" si="387"/>
        <v>0.05</v>
      </c>
      <c r="CB257" s="545"/>
      <c r="CC257" s="629">
        <f>CA257</f>
        <v>0.05</v>
      </c>
      <c r="CD257" s="629">
        <f t="shared" si="388"/>
        <v>0.05</v>
      </c>
      <c r="CE257" s="629">
        <f t="shared" si="388"/>
        <v>0.05</v>
      </c>
      <c r="CF257" s="629">
        <f t="shared" si="388"/>
        <v>0.05</v>
      </c>
      <c r="CG257" s="629">
        <f t="shared" si="388"/>
        <v>0.05</v>
      </c>
      <c r="CH257" s="545"/>
      <c r="CI257" s="629">
        <f>CG257</f>
        <v>0.05</v>
      </c>
      <c r="CJ257" s="629">
        <f t="shared" si="389"/>
        <v>0.05</v>
      </c>
      <c r="CK257" s="629">
        <f t="shared" si="389"/>
        <v>0.05</v>
      </c>
      <c r="CL257" s="629">
        <f t="shared" si="389"/>
        <v>0.05</v>
      </c>
      <c r="CM257" s="629">
        <f t="shared" si="389"/>
        <v>0.05</v>
      </c>
    </row>
    <row r="258" spans="2:91" ht="12" customHeight="1" x14ac:dyDescent="0.2">
      <c r="B258" s="624" t="s">
        <v>430</v>
      </c>
      <c r="C258" s="628">
        <v>0.05</v>
      </c>
      <c r="D258" s="628">
        <v>0.05</v>
      </c>
      <c r="E258" s="628">
        <v>0.05</v>
      </c>
      <c r="F258" s="628">
        <v>0.05</v>
      </c>
      <c r="G258" s="626">
        <v>0.05</v>
      </c>
      <c r="H258" s="77"/>
      <c r="I258" s="626">
        <v>0.05</v>
      </c>
      <c r="J258" s="626">
        <v>0.05</v>
      </c>
      <c r="K258" s="626">
        <v>0.05</v>
      </c>
      <c r="L258" s="626">
        <v>0.05</v>
      </c>
      <c r="M258" s="626">
        <v>0.05</v>
      </c>
      <c r="N258" s="627"/>
      <c r="O258" s="626">
        <v>0.05</v>
      </c>
      <c r="P258" s="626">
        <v>0.05</v>
      </c>
      <c r="Q258" s="626">
        <v>0.05</v>
      </c>
      <c r="R258" s="626">
        <v>0.05</v>
      </c>
      <c r="S258" s="626">
        <v>0.05</v>
      </c>
      <c r="T258" s="77"/>
      <c r="U258" s="626">
        <v>0.05</v>
      </c>
      <c r="V258" s="626">
        <v>0.05</v>
      </c>
      <c r="W258" s="626">
        <v>0.05</v>
      </c>
      <c r="X258" s="626">
        <v>0.05</v>
      </c>
      <c r="Y258" s="626">
        <v>0.05</v>
      </c>
      <c r="Z258" s="77"/>
      <c r="AA258" s="626">
        <v>0.05</v>
      </c>
      <c r="AB258" s="626">
        <v>0.05</v>
      </c>
      <c r="AC258" s="626">
        <f t="shared" si="379"/>
        <v>0.05</v>
      </c>
      <c r="AD258" s="626">
        <f t="shared" si="379"/>
        <v>0.05</v>
      </c>
      <c r="AE258" s="626">
        <f t="shared" si="379"/>
        <v>0.05</v>
      </c>
      <c r="AF258" s="386"/>
      <c r="AG258" s="626">
        <f>AE258</f>
        <v>0.05</v>
      </c>
      <c r="AH258" s="626">
        <f t="shared" si="380"/>
        <v>0.05</v>
      </c>
      <c r="AI258" s="626">
        <f t="shared" si="380"/>
        <v>0.05</v>
      </c>
      <c r="AJ258" s="626">
        <f t="shared" si="380"/>
        <v>0.05</v>
      </c>
      <c r="AK258" s="626">
        <f t="shared" si="380"/>
        <v>0.05</v>
      </c>
      <c r="AL258" s="105"/>
      <c r="AM258" s="626">
        <f>AK258</f>
        <v>0.05</v>
      </c>
      <c r="AN258" s="626">
        <f t="shared" si="381"/>
        <v>0.05</v>
      </c>
      <c r="AO258" s="626">
        <f t="shared" si="381"/>
        <v>0.05</v>
      </c>
      <c r="AP258" s="626">
        <f t="shared" si="381"/>
        <v>0.05</v>
      </c>
      <c r="AQ258" s="626">
        <f t="shared" si="381"/>
        <v>0.05</v>
      </c>
      <c r="AR258" s="105"/>
      <c r="AS258" s="626">
        <f>AQ258</f>
        <v>0.05</v>
      </c>
      <c r="AT258" s="626">
        <f t="shared" si="382"/>
        <v>0.05</v>
      </c>
      <c r="AU258" s="626">
        <f t="shared" si="382"/>
        <v>0.05</v>
      </c>
      <c r="AV258" s="626">
        <f t="shared" si="382"/>
        <v>0.05</v>
      </c>
      <c r="AW258" s="626">
        <f t="shared" si="382"/>
        <v>0.05</v>
      </c>
      <c r="AX258" s="105"/>
      <c r="AY258" s="626">
        <f>AW258</f>
        <v>0.05</v>
      </c>
      <c r="AZ258" s="626">
        <f t="shared" si="383"/>
        <v>0.05</v>
      </c>
      <c r="BA258" s="626">
        <f t="shared" si="383"/>
        <v>0.05</v>
      </c>
      <c r="BB258" s="626">
        <f t="shared" si="383"/>
        <v>0.05</v>
      </c>
      <c r="BC258" s="626">
        <f t="shared" si="383"/>
        <v>0.05</v>
      </c>
      <c r="BD258" s="105"/>
      <c r="BE258" s="626">
        <f>BC258</f>
        <v>0.05</v>
      </c>
      <c r="BF258" s="626">
        <f t="shared" si="384"/>
        <v>0.05</v>
      </c>
      <c r="BG258" s="626">
        <f t="shared" si="384"/>
        <v>0.05</v>
      </c>
      <c r="BH258" s="626">
        <f t="shared" si="384"/>
        <v>0.05</v>
      </c>
      <c r="BI258" s="626">
        <f t="shared" si="384"/>
        <v>0.05</v>
      </c>
      <c r="BJ258" s="105"/>
      <c r="BK258" s="626">
        <f>BI258</f>
        <v>0.05</v>
      </c>
      <c r="BL258" s="626">
        <f t="shared" si="385"/>
        <v>0.05</v>
      </c>
      <c r="BM258" s="626">
        <f t="shared" si="385"/>
        <v>0.05</v>
      </c>
      <c r="BN258" s="626">
        <f t="shared" si="385"/>
        <v>0.05</v>
      </c>
      <c r="BO258" s="626">
        <f t="shared" si="385"/>
        <v>0.05</v>
      </c>
      <c r="BP258" s="105"/>
      <c r="BQ258" s="626">
        <f>BO258</f>
        <v>0.05</v>
      </c>
      <c r="BR258" s="626">
        <f t="shared" si="386"/>
        <v>0.05</v>
      </c>
      <c r="BS258" s="626">
        <f t="shared" si="386"/>
        <v>0.05</v>
      </c>
      <c r="BT258" s="626">
        <f t="shared" si="386"/>
        <v>0.05</v>
      </c>
      <c r="BU258" s="626">
        <f t="shared" si="386"/>
        <v>0.05</v>
      </c>
      <c r="BV258" s="105"/>
      <c r="BW258" s="626">
        <f>BU258</f>
        <v>0.05</v>
      </c>
      <c r="BX258" s="626">
        <f t="shared" si="387"/>
        <v>0.05</v>
      </c>
      <c r="BY258" s="626">
        <f t="shared" si="387"/>
        <v>0.05</v>
      </c>
      <c r="BZ258" s="626">
        <f t="shared" si="387"/>
        <v>0.05</v>
      </c>
      <c r="CA258" s="626">
        <f t="shared" si="387"/>
        <v>0.05</v>
      </c>
      <c r="CB258" s="105"/>
      <c r="CC258" s="626">
        <f>CA258</f>
        <v>0.05</v>
      </c>
      <c r="CD258" s="626">
        <f t="shared" si="388"/>
        <v>0.05</v>
      </c>
      <c r="CE258" s="626">
        <f t="shared" si="388"/>
        <v>0.05</v>
      </c>
      <c r="CF258" s="626">
        <f t="shared" si="388"/>
        <v>0.05</v>
      </c>
      <c r="CG258" s="626">
        <f t="shared" si="388"/>
        <v>0.05</v>
      </c>
      <c r="CH258" s="105"/>
      <c r="CI258" s="626">
        <f>CG258</f>
        <v>0.05</v>
      </c>
      <c r="CJ258" s="626">
        <f t="shared" si="389"/>
        <v>0.05</v>
      </c>
      <c r="CK258" s="626">
        <f t="shared" si="389"/>
        <v>0.05</v>
      </c>
      <c r="CL258" s="626">
        <f t="shared" si="389"/>
        <v>0.05</v>
      </c>
      <c r="CM258" s="626">
        <f t="shared" si="389"/>
        <v>0.05</v>
      </c>
    </row>
    <row r="259" spans="2:91" ht="12" customHeight="1" x14ac:dyDescent="0.2">
      <c r="B259" s="621" t="s">
        <v>435</v>
      </c>
      <c r="C259" s="592"/>
      <c r="D259" s="592"/>
      <c r="E259" s="592"/>
      <c r="F259" s="592"/>
      <c r="G259" s="592"/>
      <c r="H259" s="26"/>
      <c r="I259" s="592"/>
      <c r="J259" s="592"/>
      <c r="K259" s="592"/>
      <c r="L259" s="592"/>
      <c r="M259" s="592"/>
      <c r="N259" s="26"/>
      <c r="O259" s="592"/>
      <c r="P259" s="592"/>
      <c r="Q259" s="592"/>
      <c r="R259" s="592"/>
      <c r="S259" s="592"/>
      <c r="T259" s="26"/>
      <c r="U259" s="592"/>
      <c r="V259" s="592"/>
      <c r="W259" s="592"/>
      <c r="X259" s="592"/>
      <c r="Y259" s="592"/>
      <c r="Z259" s="26"/>
      <c r="AA259" s="592"/>
      <c r="AB259" s="592"/>
      <c r="AC259" s="592"/>
      <c r="AD259" s="592"/>
      <c r="AE259" s="592"/>
      <c r="AF259" s="26"/>
      <c r="AG259" s="592"/>
      <c r="AH259" s="592"/>
      <c r="AI259" s="592"/>
      <c r="AJ259" s="592"/>
      <c r="AK259" s="592"/>
      <c r="AL259" s="52"/>
      <c r="AM259" s="592"/>
      <c r="AN259" s="592"/>
      <c r="AO259" s="592"/>
      <c r="AP259" s="592"/>
      <c r="AQ259" s="592"/>
      <c r="AR259" s="52"/>
      <c r="AS259" s="592"/>
      <c r="AT259" s="592"/>
      <c r="AU259" s="592"/>
      <c r="AV259" s="592"/>
      <c r="AW259" s="592"/>
      <c r="AX259" s="52"/>
      <c r="AY259" s="592"/>
      <c r="AZ259" s="592"/>
      <c r="BA259" s="592"/>
      <c r="BB259" s="592"/>
      <c r="BC259" s="592"/>
      <c r="BD259" s="52"/>
      <c r="BE259" s="592"/>
      <c r="BF259" s="592"/>
      <c r="BG259" s="592"/>
      <c r="BH259" s="592"/>
      <c r="BI259" s="592"/>
      <c r="BJ259" s="52"/>
      <c r="BK259" s="592"/>
      <c r="BL259" s="592"/>
      <c r="BM259" s="592"/>
      <c r="BN259" s="592"/>
      <c r="BO259" s="592"/>
      <c r="BP259" s="52"/>
      <c r="BQ259" s="592"/>
      <c r="BR259" s="592"/>
      <c r="BS259" s="592"/>
      <c r="BT259" s="592"/>
      <c r="BU259" s="592"/>
      <c r="BV259" s="52"/>
      <c r="BW259" s="592"/>
      <c r="BX259" s="592"/>
      <c r="BY259" s="592"/>
      <c r="BZ259" s="592"/>
      <c r="CA259" s="592"/>
      <c r="CB259" s="52"/>
      <c r="CC259" s="592"/>
      <c r="CD259" s="592"/>
      <c r="CE259" s="592"/>
      <c r="CF259" s="592"/>
      <c r="CG259" s="592"/>
      <c r="CH259" s="52"/>
      <c r="CI259" s="592"/>
      <c r="CJ259" s="592"/>
      <c r="CK259" s="592"/>
      <c r="CL259" s="592"/>
      <c r="CM259" s="592"/>
    </row>
    <row r="260" spans="2:91" ht="12" customHeight="1" x14ac:dyDescent="0.2">
      <c r="B260" s="30"/>
      <c r="C260" s="30"/>
      <c r="D260" s="30"/>
      <c r="E260" s="30"/>
      <c r="F260" s="30"/>
      <c r="G260" s="30"/>
      <c r="H260" s="30"/>
      <c r="I260" s="30"/>
      <c r="J260" s="30"/>
      <c r="K260" s="30"/>
      <c r="L260" s="30"/>
      <c r="M260" s="30"/>
      <c r="N260" s="30"/>
      <c r="O260" s="30"/>
      <c r="P260" s="30"/>
      <c r="Q260" s="30"/>
      <c r="R260" s="30"/>
      <c r="S260" s="30"/>
      <c r="T260" s="30"/>
      <c r="U260" s="30"/>
      <c r="V260" s="30"/>
      <c r="W260" s="30"/>
      <c r="X260" s="30"/>
      <c r="Y260" s="30"/>
      <c r="Z260" s="30"/>
      <c r="AA260" s="30"/>
      <c r="AB260" s="30"/>
      <c r="AC260" s="30"/>
      <c r="AD260" s="30"/>
      <c r="AE260" s="30"/>
      <c r="AF260" s="30"/>
      <c r="AG260" s="30"/>
      <c r="AH260" s="30"/>
      <c r="AI260" s="30"/>
      <c r="AJ260" s="30"/>
      <c r="AK260" s="30"/>
      <c r="AL260" s="31"/>
      <c r="AM260" s="30"/>
      <c r="AN260" s="30"/>
      <c r="AO260" s="30"/>
      <c r="AP260" s="30"/>
      <c r="AQ260" s="30"/>
      <c r="AR260" s="31"/>
      <c r="AS260" s="30"/>
      <c r="AT260" s="30"/>
      <c r="AU260" s="30"/>
      <c r="AV260" s="30"/>
      <c r="AW260" s="30"/>
      <c r="AX260" s="31"/>
      <c r="AY260" s="30"/>
      <c r="AZ260" s="30"/>
      <c r="BA260" s="30"/>
      <c r="BB260" s="30"/>
      <c r="BC260" s="30"/>
      <c r="BD260" s="31"/>
      <c r="BE260" s="30"/>
      <c r="BF260" s="30"/>
      <c r="BG260" s="30"/>
      <c r="BH260" s="30"/>
      <c r="BI260" s="30"/>
      <c r="BJ260" s="31"/>
      <c r="BK260" s="30"/>
      <c r="BL260" s="30"/>
      <c r="BM260" s="30"/>
      <c r="BN260" s="30"/>
      <c r="BO260" s="30"/>
      <c r="BP260" s="31"/>
      <c r="BQ260" s="30"/>
      <c r="BR260" s="30"/>
      <c r="BS260" s="30"/>
      <c r="BT260" s="30"/>
      <c r="BU260" s="30"/>
      <c r="BV260" s="31"/>
      <c r="BW260" s="30"/>
      <c r="BX260" s="30"/>
      <c r="BY260" s="30"/>
      <c r="BZ260" s="30"/>
      <c r="CA260" s="30"/>
      <c r="CB260" s="31"/>
      <c r="CC260" s="30"/>
      <c r="CD260" s="30"/>
      <c r="CE260" s="30"/>
      <c r="CF260" s="30"/>
      <c r="CG260" s="30"/>
      <c r="CH260" s="31"/>
      <c r="CI260" s="30"/>
      <c r="CJ260" s="30"/>
      <c r="CK260" s="30"/>
      <c r="CL260" s="30"/>
      <c r="CM260" s="30"/>
    </row>
    <row r="261" spans="2:91" ht="12" customHeight="1" x14ac:dyDescent="0.2">
      <c r="B261" s="387" t="s">
        <v>434</v>
      </c>
      <c r="C261" s="608">
        <f>C235*C254/4</f>
        <v>0.2472625</v>
      </c>
      <c r="D261" s="622">
        <f>((AVERAGE(D235,C235)*D254/4))</f>
        <v>0.18183750000000001</v>
      </c>
      <c r="E261" s="622">
        <f>((AVERAGE(E235,D235)*E254/4))</f>
        <v>0.1193625</v>
      </c>
      <c r="F261" s="622">
        <f>((AVERAGE(F235,E235)*F254/4))</f>
        <v>0.13283125000000001</v>
      </c>
      <c r="G261" s="608">
        <f>SUM(C261:F261)</f>
        <v>0.68129375000000003</v>
      </c>
      <c r="H261" s="30"/>
      <c r="I261" s="608">
        <f>((AVERAGE(F235,I235)*I254/4))</f>
        <v>8.1468750000000006E-2</v>
      </c>
      <c r="J261" s="622">
        <f>((AVERAGE(J235,I235)*J254/4))</f>
        <v>2.0131250000000003E-2</v>
      </c>
      <c r="K261" s="622">
        <f>((AVERAGE(K235,J235)*K254/4))</f>
        <v>2.0843750000000001E-2</v>
      </c>
      <c r="L261" s="622">
        <f>((AVERAGE(L235,K235)*L254/4))</f>
        <v>2.1943750000000001E-2</v>
      </c>
      <c r="M261" s="608">
        <f>SUM(I261:L261)</f>
        <v>0.14438750000000003</v>
      </c>
      <c r="N261" s="30"/>
      <c r="O261" s="608">
        <f>((AVERAGE(L235,O235)*O254/4))</f>
        <v>1.8593750000000065E-2</v>
      </c>
      <c r="P261" s="622">
        <f>((AVERAGE(P235,O235)*P254/4))</f>
        <v>7.4000000000000732E-3</v>
      </c>
      <c r="Q261" s="622">
        <f>((AVERAGE(Q235,P235)*Q254/4))</f>
        <v>1.865625000000001E-2</v>
      </c>
      <c r="R261" s="622">
        <f>((AVERAGE(R235,Q235)*R254/4))</f>
        <v>3.0331250000000001E-2</v>
      </c>
      <c r="S261" s="608">
        <f>SUM(O261:R261)</f>
        <v>7.4981250000000152E-2</v>
      </c>
      <c r="T261" s="30"/>
      <c r="U261" s="608">
        <f>((AVERAGE(R235,U235)*U254/4))</f>
        <v>3.1493750000000001E-2</v>
      </c>
      <c r="V261" s="622">
        <f>((AVERAGE(V235,U235)*V254/4))</f>
        <v>3.8250000000000006E-2</v>
      </c>
      <c r="W261" s="622">
        <f>((AVERAGE(W235,V235)*W254/4))</f>
        <v>4.2887500000000002E-2</v>
      </c>
      <c r="X261" s="622">
        <f>((AVERAGE(X235,W235)*X254/4))</f>
        <v>4.0562500000000001E-2</v>
      </c>
      <c r="Y261" s="608">
        <f>SUM(U261:X261)</f>
        <v>0.15319375000000002</v>
      </c>
      <c r="Z261" s="30"/>
      <c r="AA261" s="608">
        <f>((AVERAGE(X235,AA235)*AA254/4))</f>
        <v>2.3152187500000001</v>
      </c>
      <c r="AB261" s="622">
        <f>((AVERAGE(AB235,AA235)*AB254/4))</f>
        <v>4.6877625000000007</v>
      </c>
      <c r="AC261" s="622">
        <f>((AVERAGE(AC235,AB235)*AC254/4))</f>
        <v>4.8218187500000003</v>
      </c>
      <c r="AD261" s="622">
        <f>((AVERAGE(AD235,AC235)*AD254/4))</f>
        <v>4.7354437500000008</v>
      </c>
      <c r="AE261" s="608">
        <f>SUM(AA261:AD261)</f>
        <v>16.560243750000001</v>
      </c>
      <c r="AF261" s="30"/>
      <c r="AG261" s="608">
        <f>((AVERAGE(AD235,AG235)*AG254/4))</f>
        <v>1.5867899999999999</v>
      </c>
      <c r="AH261" s="622">
        <f>((AVERAGE(AH235,AG235)*AH254/4))</f>
        <v>0.21389249999999999</v>
      </c>
      <c r="AI261" s="622">
        <f>((AVERAGE(AI235,AH235)*AI254/4))</f>
        <v>2.2665000000000001E-2</v>
      </c>
      <c r="AJ261" s="622">
        <f>((AVERAGE(AJ235,AI235)*AJ254/4))</f>
        <v>1.4831249999999999E-2</v>
      </c>
      <c r="AK261" s="608">
        <f>SUM(AG261:AJ261)</f>
        <v>1.83817875</v>
      </c>
      <c r="AL261" s="31"/>
      <c r="AM261" s="608">
        <f>((AVERAGE(AJ235,AM235)*AM254/4))</f>
        <v>1.3387499999999999E-3</v>
      </c>
      <c r="AN261" s="622">
        <f>((AVERAGE(AN235,AM235)*AN254/4))</f>
        <v>9.4499999999999998E-4</v>
      </c>
      <c r="AO261" s="622">
        <f>((AVERAGE(AO235,AN235)*AO254/4))</f>
        <v>8.0249999999999994E-4</v>
      </c>
      <c r="AP261" s="622">
        <f>((AVERAGE(AP235,AO235)*AP254/4))</f>
        <v>1.0799999999999998E-3</v>
      </c>
      <c r="AQ261" s="608">
        <f>SUM(AM261:AP261)</f>
        <v>4.1662499999999998E-3</v>
      </c>
      <c r="AR261" s="31"/>
      <c r="AS261" s="608">
        <f>((AVERAGE(AP235,AS235)*AS254/4))</f>
        <v>1.49625E-3</v>
      </c>
      <c r="AT261" s="622">
        <f>((AVERAGE(AT235,AS235)*AT254/4))</f>
        <v>6.8325E-3</v>
      </c>
      <c r="AU261" s="622">
        <f>((AVERAGE(AU235,AT235)*AU254/4))</f>
        <v>1.1625E-2</v>
      </c>
      <c r="AV261" s="622">
        <f>((AVERAGE(AV235,AU235)*AV254/4))</f>
        <v>1.125E-2</v>
      </c>
      <c r="AW261" s="608">
        <f>SUM(AS261:AV261)</f>
        <v>3.1203749999999999E-2</v>
      </c>
      <c r="AX261" s="31"/>
      <c r="AY261" s="608">
        <f>((AVERAGE(AV235,AY235)*AY254/4))</f>
        <v>9.5625000000000002E-2</v>
      </c>
      <c r="AZ261" s="622">
        <f>((AVERAGE(AZ235,AY235)*AZ254/4))</f>
        <v>0.17699999999999999</v>
      </c>
      <c r="BA261" s="622">
        <f>((AVERAGE(BA235,AZ235)*BA254/4))</f>
        <v>0.17474999999999996</v>
      </c>
      <c r="BB261" s="622">
        <f>((AVERAGE(BB235,BA235)*BB254/4))</f>
        <v>0.174375</v>
      </c>
      <c r="BC261" s="608">
        <f>SUM(AY261:BB261)</f>
        <v>0.62175000000000002</v>
      </c>
      <c r="BD261" s="31"/>
      <c r="BE261" s="608">
        <f>((AVERAGE(BB235,BE235)*BE254/4))</f>
        <v>8.6625000000000008E-2</v>
      </c>
      <c r="BF261" s="622">
        <f>((AVERAGE(BF235,BE235)*BF254/4))</f>
        <v>0</v>
      </c>
      <c r="BG261" s="622">
        <f>((AVERAGE(BG235,BF235)*BG254/4))</f>
        <v>0</v>
      </c>
      <c r="BH261" s="622">
        <f>((AVERAGE(BH235,BG235)*BH254/4))</f>
        <v>0</v>
      </c>
      <c r="BI261" s="608">
        <f>SUM(BE261:BH261)</f>
        <v>8.6625000000000008E-2</v>
      </c>
      <c r="BJ261" s="31"/>
      <c r="BK261" s="608">
        <f>((AVERAGE(BH235,BK235)*BK254/4))</f>
        <v>0</v>
      </c>
      <c r="BL261" s="622">
        <f>((AVERAGE(BL235,BK235)*BL254/4))</f>
        <v>0</v>
      </c>
      <c r="BM261" s="622">
        <f>((AVERAGE(BM235,BL235)*BM254/4))</f>
        <v>0</v>
      </c>
      <c r="BN261" s="622">
        <f>((AVERAGE(BN235,BM235)*BN254/4))</f>
        <v>0</v>
      </c>
      <c r="BO261" s="608">
        <f>SUM(BK261:BN261)</f>
        <v>0</v>
      </c>
      <c r="BP261" s="31"/>
      <c r="BQ261" s="608">
        <f>((AVERAGE(BN235,BQ235)*BQ254/4))</f>
        <v>0</v>
      </c>
      <c r="BR261" s="622">
        <f>((AVERAGE(BR235,BQ235)*BR254/4))</f>
        <v>0</v>
      </c>
      <c r="BS261" s="622">
        <f>((AVERAGE(BS235,BR235)*BS254/4))</f>
        <v>0</v>
      </c>
      <c r="BT261" s="622">
        <f>((AVERAGE(BT235,BS235)*BT254/4))</f>
        <v>0</v>
      </c>
      <c r="BU261" s="608">
        <f>SUM(BQ261:BT261)</f>
        <v>0</v>
      </c>
      <c r="BV261" s="31"/>
      <c r="BW261" s="608">
        <f>((AVERAGE(BT235,BW235)*BW254/4))</f>
        <v>0</v>
      </c>
      <c r="BX261" s="622">
        <f>((AVERAGE(BX235,BW235)*BX254/4))</f>
        <v>0</v>
      </c>
      <c r="BY261" s="622">
        <f>((AVERAGE(BY235,BX235)*BY254/4))</f>
        <v>0</v>
      </c>
      <c r="BZ261" s="622">
        <f>((AVERAGE(BZ235,BY235)*BZ254/4))</f>
        <v>0</v>
      </c>
      <c r="CA261" s="608">
        <f>SUM(BW261:BZ261)</f>
        <v>0</v>
      </c>
      <c r="CB261" s="31"/>
      <c r="CC261" s="608">
        <f>((AVERAGE(BZ235,CC235)*CC254/4))</f>
        <v>0</v>
      </c>
      <c r="CD261" s="622">
        <f>((AVERAGE(CD235,CC235)*CD254/4))</f>
        <v>0</v>
      </c>
      <c r="CE261" s="622">
        <f>((AVERAGE(CE235,CD235)*CE254/4))</f>
        <v>0</v>
      </c>
      <c r="CF261" s="622">
        <f>((AVERAGE(CF235,CE235)*CF254/4))</f>
        <v>0</v>
      </c>
      <c r="CG261" s="608">
        <f>SUM(CC261:CF261)</f>
        <v>0</v>
      </c>
      <c r="CH261" s="31"/>
      <c r="CI261" s="608">
        <f>((AVERAGE(CF235,CI235)*CI254/4))</f>
        <v>0</v>
      </c>
      <c r="CJ261" s="622">
        <f>((AVERAGE(CJ235,CI235)*CJ254/4))</f>
        <v>0</v>
      </c>
      <c r="CK261" s="622">
        <f>((AVERAGE(CK235,CJ235)*CK254/4))</f>
        <v>0</v>
      </c>
      <c r="CL261" s="622">
        <f>((AVERAGE(CL235,CK235)*CL254/4))</f>
        <v>0</v>
      </c>
      <c r="CM261" s="608">
        <f>SUM(CI261:CL261)</f>
        <v>0</v>
      </c>
    </row>
    <row r="262" spans="2:91" ht="12" customHeight="1" x14ac:dyDescent="0.2">
      <c r="B262" s="30" t="s">
        <v>433</v>
      </c>
      <c r="C262" s="608"/>
      <c r="D262" s="622"/>
      <c r="E262" s="622"/>
      <c r="F262" s="622"/>
      <c r="G262" s="608"/>
      <c r="H262" s="30"/>
      <c r="I262" s="608"/>
      <c r="J262" s="622"/>
      <c r="K262" s="622"/>
      <c r="L262" s="622"/>
      <c r="M262" s="608"/>
      <c r="N262" s="30"/>
      <c r="O262" s="608"/>
      <c r="P262" s="622"/>
      <c r="Q262" s="622"/>
      <c r="R262" s="622"/>
      <c r="S262" s="608"/>
      <c r="T262" s="30"/>
      <c r="U262" s="608"/>
      <c r="V262" s="622"/>
      <c r="W262" s="622"/>
      <c r="X262" s="622"/>
      <c r="Y262" s="608"/>
      <c r="Z262" s="30"/>
      <c r="AA262" s="608"/>
      <c r="AB262" s="622"/>
      <c r="AC262" s="622"/>
      <c r="AD262" s="622"/>
      <c r="AE262" s="608"/>
      <c r="AF262" s="30"/>
      <c r="AG262" s="608"/>
      <c r="AH262" s="622"/>
      <c r="AI262" s="622"/>
      <c r="AJ262" s="622"/>
      <c r="AK262" s="608"/>
      <c r="AL262" s="31"/>
      <c r="AM262" s="608"/>
      <c r="AN262" s="622"/>
      <c r="AO262" s="622"/>
      <c r="AP262" s="622"/>
      <c r="AQ262" s="608"/>
      <c r="AR262" s="31"/>
      <c r="AS262" s="608"/>
      <c r="AT262" s="622"/>
      <c r="AU262" s="622"/>
      <c r="AV262" s="622"/>
      <c r="AW262" s="608"/>
      <c r="AX262" s="31"/>
      <c r="AY262" s="608"/>
      <c r="AZ262" s="622"/>
      <c r="BA262" s="622"/>
      <c r="BB262" s="622"/>
      <c r="BC262" s="608"/>
      <c r="BD262" s="31"/>
      <c r="BE262" s="608"/>
      <c r="BF262" s="622"/>
      <c r="BG262" s="622"/>
      <c r="BH262" s="622"/>
      <c r="BI262" s="608"/>
      <c r="BJ262" s="31"/>
      <c r="BK262" s="608"/>
      <c r="BL262" s="622"/>
      <c r="BM262" s="622"/>
      <c r="BN262" s="622"/>
      <c r="BO262" s="608"/>
      <c r="BP262" s="31"/>
      <c r="BQ262" s="608"/>
      <c r="BR262" s="622"/>
      <c r="BS262" s="622"/>
      <c r="BT262" s="622"/>
      <c r="BU262" s="608"/>
      <c r="BV262" s="31"/>
      <c r="BW262" s="608"/>
      <c r="BX262" s="622"/>
      <c r="BY262" s="622"/>
      <c r="BZ262" s="622"/>
      <c r="CA262" s="608"/>
      <c r="CB262" s="31"/>
      <c r="CC262" s="608"/>
      <c r="CD262" s="622"/>
      <c r="CE262" s="622"/>
      <c r="CF262" s="622"/>
      <c r="CG262" s="608"/>
      <c r="CH262" s="31"/>
      <c r="CI262" s="608"/>
      <c r="CJ262" s="622"/>
      <c r="CK262" s="622"/>
      <c r="CL262" s="622"/>
      <c r="CM262" s="608"/>
    </row>
    <row r="263" spans="2:91" ht="12" customHeight="1" x14ac:dyDescent="0.2">
      <c r="B263" s="625" t="s">
        <v>432</v>
      </c>
      <c r="C263" s="608">
        <f>C237*C256/4</f>
        <v>1.8762750000000001</v>
      </c>
      <c r="D263" s="622">
        <f t="shared" ref="D263:F265" si="390">((AVERAGE(D237,C237)*D256/4))</f>
        <v>1.8805687499999999</v>
      </c>
      <c r="E263" s="622">
        <f t="shared" si="390"/>
        <v>1.8840375000000003</v>
      </c>
      <c r="F263" s="622">
        <f t="shared" si="390"/>
        <v>1.8982687500000002</v>
      </c>
      <c r="G263" s="608">
        <f>SUM(C263:F263)</f>
        <v>7.5391499999999994</v>
      </c>
      <c r="H263" s="30"/>
      <c r="I263" s="608">
        <f>((AVERAGE(F237,I237)*I256/4))</f>
        <v>1.89870625</v>
      </c>
      <c r="J263" s="622">
        <f t="shared" ref="J263:L265" si="391">((AVERAGE(J237,I237)*J256/4))</f>
        <v>1.88308125</v>
      </c>
      <c r="K263" s="622">
        <f t="shared" si="391"/>
        <v>1.8834375000000003</v>
      </c>
      <c r="L263" s="622">
        <f t="shared" si="391"/>
        <v>1.88813125</v>
      </c>
      <c r="M263" s="608">
        <f>SUM(I263:L263)</f>
        <v>7.5533562500000002</v>
      </c>
      <c r="N263" s="30"/>
      <c r="O263" s="608">
        <f>((AVERAGE(L237,O237)*O256/4))</f>
        <v>1.8991125000000002</v>
      </c>
      <c r="P263" s="622">
        <f t="shared" ref="P263:R265" si="392">((AVERAGE(P237,O237)*P256/4))</f>
        <v>1.8948250000000002</v>
      </c>
      <c r="Q263" s="622">
        <f t="shared" si="392"/>
        <v>1.7419312500000002</v>
      </c>
      <c r="R263" s="622">
        <f t="shared" si="392"/>
        <v>1.6004000000000003</v>
      </c>
      <c r="S263" s="608">
        <f>SUM(O263:R263)</f>
        <v>7.136268750000001</v>
      </c>
      <c r="T263" s="30"/>
      <c r="U263" s="608">
        <f>((AVERAGE(R237,U237)*U256/4))</f>
        <v>1.5993937500000002</v>
      </c>
      <c r="V263" s="622">
        <f t="shared" ref="V263:X265" si="393">((AVERAGE(V237,U237)*V256/4))</f>
        <v>1.4557312500000001</v>
      </c>
      <c r="W263" s="622">
        <f t="shared" si="393"/>
        <v>1.3125</v>
      </c>
      <c r="X263" s="622">
        <f t="shared" si="393"/>
        <v>1.31289375</v>
      </c>
      <c r="Y263" s="608">
        <f>SUM(U263:X263)</f>
        <v>5.6805187500000001</v>
      </c>
      <c r="Z263" s="30"/>
      <c r="AA263" s="608">
        <f>((AVERAGE(X237,AA237)*AA256/4))</f>
        <v>0.65664375000000008</v>
      </c>
      <c r="AB263" s="622">
        <f t="shared" ref="AB263:AD265" si="394">((AVERAGE(AB237,AA237)*AB256/4))</f>
        <v>0</v>
      </c>
      <c r="AC263" s="622">
        <f t="shared" si="394"/>
        <v>0</v>
      </c>
      <c r="AD263" s="622">
        <f t="shared" si="394"/>
        <v>0</v>
      </c>
      <c r="AE263" s="608">
        <f>SUM(AA263:AD263)</f>
        <v>0.65664375000000008</v>
      </c>
      <c r="AF263" s="30"/>
      <c r="AG263" s="608">
        <f>((AVERAGE(AD237,AG237)*AG256/4))</f>
        <v>0.47043750000000001</v>
      </c>
      <c r="AH263" s="622">
        <f t="shared" ref="AH263:AJ265" si="395">((AVERAGE(AH237,AG237)*AH256/4))</f>
        <v>0.94084374999999998</v>
      </c>
      <c r="AI263" s="622">
        <f t="shared" si="395"/>
        <v>0.94084374999999998</v>
      </c>
      <c r="AJ263" s="622">
        <f t="shared" si="395"/>
        <v>0.94087500000000002</v>
      </c>
      <c r="AK263" s="608">
        <f>SUM(AG263:AJ263)</f>
        <v>3.2930000000000001</v>
      </c>
      <c r="AL263" s="31"/>
      <c r="AM263" s="608">
        <f>((AVERAGE(AJ237,AM237)*AM256/4))</f>
        <v>0.94087500000000002</v>
      </c>
      <c r="AN263" s="622">
        <f t="shared" ref="AN263:AP265" si="396">((AVERAGE(AN237,AM237)*AN256/4))</f>
        <v>0.94069375</v>
      </c>
      <c r="AO263" s="622">
        <f t="shared" si="396"/>
        <v>0.94069375</v>
      </c>
      <c r="AP263" s="622">
        <f t="shared" si="396"/>
        <v>0.94087500000000002</v>
      </c>
      <c r="AQ263" s="608">
        <f>SUM(AM263:AP263)</f>
        <v>3.7631375</v>
      </c>
      <c r="AR263" s="31"/>
      <c r="AS263" s="608">
        <f>((AVERAGE(AP237,AS237)*AS256/4))</f>
        <v>0.94079999999999997</v>
      </c>
      <c r="AT263" s="622">
        <f t="shared" ref="AT263:AV265" si="397">((AVERAGE(AT237,AS237)*AT256/4))</f>
        <v>0.95786249999999995</v>
      </c>
      <c r="AU263" s="622">
        <f t="shared" si="397"/>
        <v>0.97500000000000009</v>
      </c>
      <c r="AV263" s="622">
        <f t="shared" si="397"/>
        <v>0.97500000000000009</v>
      </c>
      <c r="AW263" s="608">
        <f>SUM(AS263:AV263)</f>
        <v>3.8486625000000001</v>
      </c>
      <c r="AX263" s="31"/>
      <c r="AY263" s="608">
        <f>((AVERAGE(AV237,AY237)*AY256/4))</f>
        <v>0.83437500000000009</v>
      </c>
      <c r="AZ263" s="622">
        <f t="shared" ref="AZ263:BB265" si="398">((AVERAGE(AZ237,AY237)*AZ256/4))</f>
        <v>0.6931250000000001</v>
      </c>
      <c r="BA263" s="622">
        <f t="shared" si="398"/>
        <v>0.70250000000000012</v>
      </c>
      <c r="BB263" s="622">
        <f t="shared" si="398"/>
        <v>0.71312500000000001</v>
      </c>
      <c r="BC263" s="608">
        <f>SUM(AY263:BB263)</f>
        <v>2.9431250000000002</v>
      </c>
      <c r="BD263" s="31"/>
      <c r="BE263" s="608">
        <f>((AVERAGE(BB237,BE237)*BE256/4))</f>
        <v>0.9781250000000008</v>
      </c>
      <c r="BF263" s="622">
        <f t="shared" ref="BF263:BH265" si="399">((AVERAGE(BF237,BE237)*BF256/4))</f>
        <v>1.2425000000000015</v>
      </c>
      <c r="BG263" s="622">
        <f t="shared" si="399"/>
        <v>1.2425000000000015</v>
      </c>
      <c r="BH263" s="622">
        <f t="shared" si="399"/>
        <v>1.2425000000000015</v>
      </c>
      <c r="BI263" s="608">
        <f>SUM(BE263:BH263)</f>
        <v>4.7056250000000048</v>
      </c>
      <c r="BJ263" s="31"/>
      <c r="BK263" s="608">
        <f>((AVERAGE(BH237,BK237)*BK256/4))</f>
        <v>1.2425000000000015</v>
      </c>
      <c r="BL263" s="622">
        <f t="shared" ref="BL263:BN265" si="400">((AVERAGE(BL237,BK237)*BL256/4))</f>
        <v>1.2425000000000015</v>
      </c>
      <c r="BM263" s="622">
        <f t="shared" si="400"/>
        <v>1.2425000000000015</v>
      </c>
      <c r="BN263" s="622">
        <f t="shared" si="400"/>
        <v>1.2425000000000015</v>
      </c>
      <c r="BO263" s="608">
        <f>SUM(BK263:BN263)</f>
        <v>4.970000000000006</v>
      </c>
      <c r="BP263" s="31"/>
      <c r="BQ263" s="608">
        <f>((AVERAGE(BN237,BQ237)*BQ256/4))</f>
        <v>1.2425000000000015</v>
      </c>
      <c r="BR263" s="622">
        <f t="shared" ref="BR263:BT265" si="401">((AVERAGE(BR237,BQ237)*BR256/4))</f>
        <v>1.2425000000000015</v>
      </c>
      <c r="BS263" s="622">
        <f t="shared" si="401"/>
        <v>1.2425000000000015</v>
      </c>
      <c r="BT263" s="622">
        <f t="shared" si="401"/>
        <v>1.2425000000000015</v>
      </c>
      <c r="BU263" s="608">
        <f>SUM(BQ263:BT263)</f>
        <v>4.970000000000006</v>
      </c>
      <c r="BV263" s="31"/>
      <c r="BW263" s="608">
        <f>((AVERAGE(BT237,BW237)*BW256/4))</f>
        <v>1.2425000000000015</v>
      </c>
      <c r="BX263" s="622">
        <f t="shared" ref="BX263:BZ265" si="402">((AVERAGE(BX237,BW237)*BX256/4))</f>
        <v>1.2425000000000015</v>
      </c>
      <c r="BY263" s="622">
        <f t="shared" si="402"/>
        <v>1.2425000000000015</v>
      </c>
      <c r="BZ263" s="622">
        <f t="shared" si="402"/>
        <v>1.2425000000000015</v>
      </c>
      <c r="CA263" s="608">
        <f>SUM(BW263:BZ263)</f>
        <v>4.970000000000006</v>
      </c>
      <c r="CB263" s="31"/>
      <c r="CC263" s="608">
        <f>((AVERAGE(BZ237,CC237)*CC256/4))</f>
        <v>1.2425000000000015</v>
      </c>
      <c r="CD263" s="622">
        <f t="shared" ref="CD263:CF265" si="403">((AVERAGE(CD237,CC237)*CD256/4))</f>
        <v>1.2425000000000015</v>
      </c>
      <c r="CE263" s="622">
        <f t="shared" si="403"/>
        <v>1.2425000000000015</v>
      </c>
      <c r="CF263" s="622">
        <f t="shared" si="403"/>
        <v>1.2425000000000015</v>
      </c>
      <c r="CG263" s="608">
        <f>SUM(CC263:CF263)</f>
        <v>4.970000000000006</v>
      </c>
      <c r="CH263" s="31"/>
      <c r="CI263" s="608">
        <f>((AVERAGE(CF237,CI237)*CI256/4))</f>
        <v>1.2425000000000015</v>
      </c>
      <c r="CJ263" s="622">
        <f t="shared" ref="CJ263:CL265" si="404">((AVERAGE(CJ237,CI237)*CJ256/4))</f>
        <v>1.2425000000000015</v>
      </c>
      <c r="CK263" s="622">
        <f t="shared" si="404"/>
        <v>1.2425000000000015</v>
      </c>
      <c r="CL263" s="622">
        <f t="shared" si="404"/>
        <v>1.2425000000000015</v>
      </c>
      <c r="CM263" s="608">
        <f>SUM(CI263:CL263)</f>
        <v>4.970000000000006</v>
      </c>
    </row>
    <row r="264" spans="2:91" ht="12" customHeight="1" x14ac:dyDescent="0.2">
      <c r="B264" s="625" t="s">
        <v>431</v>
      </c>
      <c r="C264" s="608">
        <f>C238*C257/4</f>
        <v>4.5261000000000005</v>
      </c>
      <c r="D264" s="622">
        <f t="shared" si="390"/>
        <v>4.5550812500000006</v>
      </c>
      <c r="E264" s="622">
        <f t="shared" si="390"/>
        <v>4.6221000000000005</v>
      </c>
      <c r="F264" s="622">
        <f t="shared" si="390"/>
        <v>4.8093937499999999</v>
      </c>
      <c r="G264" s="608">
        <f>SUM(C264:F264)</f>
        <v>18.512675000000002</v>
      </c>
      <c r="H264" s="30"/>
      <c r="I264" s="608">
        <f>((AVERAGE(F238,I238)*I257/4))</f>
        <v>5.0194500000000009</v>
      </c>
      <c r="J264" s="622">
        <f t="shared" si="391"/>
        <v>5.2691249999999998</v>
      </c>
      <c r="K264" s="622">
        <f t="shared" si="391"/>
        <v>5.4546062500000003</v>
      </c>
      <c r="L264" s="622">
        <f t="shared" si="391"/>
        <v>5.2140812499999996</v>
      </c>
      <c r="M264" s="608">
        <f>SUM(I264:L264)</f>
        <v>20.957262500000002</v>
      </c>
      <c r="N264" s="30"/>
      <c r="O264" s="608">
        <f>((AVERAGE(L238,O238)*O257/4))</f>
        <v>4.9486812499999999</v>
      </c>
      <c r="P264" s="622">
        <f t="shared" si="392"/>
        <v>4.7622625000000003</v>
      </c>
      <c r="Q264" s="622">
        <f t="shared" si="392"/>
        <v>4.3739562500000009</v>
      </c>
      <c r="R264" s="622">
        <f t="shared" si="392"/>
        <v>4.2210999999999999</v>
      </c>
      <c r="S264" s="608">
        <f>SUM(O264:R264)</f>
        <v>18.306000000000001</v>
      </c>
      <c r="T264" s="30"/>
      <c r="U264" s="608">
        <f>((AVERAGE(R238,U238)*U257/4))</f>
        <v>4.2612312500000007</v>
      </c>
      <c r="V264" s="622">
        <f t="shared" si="393"/>
        <v>3.7328812500000002</v>
      </c>
      <c r="W264" s="622">
        <f t="shared" si="393"/>
        <v>3.0991312500000001</v>
      </c>
      <c r="X264" s="622">
        <f t="shared" si="393"/>
        <v>3.1223875000000003</v>
      </c>
      <c r="Y264" s="608">
        <f>SUM(U264:X264)</f>
        <v>14.215631250000001</v>
      </c>
      <c r="Z264" s="30"/>
      <c r="AA264" s="608">
        <f>((AVERAGE(X238,AA238)*AA257/4))</f>
        <v>1.6441062500000001</v>
      </c>
      <c r="AB264" s="622">
        <f t="shared" si="394"/>
        <v>0</v>
      </c>
      <c r="AC264" s="622">
        <f t="shared" si="394"/>
        <v>0</v>
      </c>
      <c r="AD264" s="622">
        <f t="shared" si="394"/>
        <v>0</v>
      </c>
      <c r="AE264" s="608">
        <f>SUM(AA264:AD264)</f>
        <v>1.6441062500000001</v>
      </c>
      <c r="AF264" s="30"/>
      <c r="AG264" s="608">
        <f>((AVERAGE(AD238,AG238)*AG257/4))</f>
        <v>0</v>
      </c>
      <c r="AH264" s="622">
        <f t="shared" si="395"/>
        <v>0</v>
      </c>
      <c r="AI264" s="622">
        <f t="shared" si="395"/>
        <v>0</v>
      </c>
      <c r="AJ264" s="622">
        <f t="shared" si="395"/>
        <v>0</v>
      </c>
      <c r="AK264" s="608">
        <f>SUM(AG264:AJ264)</f>
        <v>0</v>
      </c>
      <c r="AL264" s="31"/>
      <c r="AM264" s="608">
        <f>((AVERAGE(AJ238,AM238)*AM257/4))</f>
        <v>0</v>
      </c>
      <c r="AN264" s="622">
        <f t="shared" si="396"/>
        <v>0</v>
      </c>
      <c r="AO264" s="622">
        <f t="shared" si="396"/>
        <v>0</v>
      </c>
      <c r="AP264" s="622">
        <f t="shared" si="396"/>
        <v>0</v>
      </c>
      <c r="AQ264" s="608">
        <f>SUM(AM264:AP264)</f>
        <v>0</v>
      </c>
      <c r="AR264" s="31"/>
      <c r="AS264" s="608">
        <f>((AVERAGE(AP238,AS238)*AS257/4))</f>
        <v>0</v>
      </c>
      <c r="AT264" s="622">
        <f t="shared" si="397"/>
        <v>0</v>
      </c>
      <c r="AU264" s="622">
        <f t="shared" si="397"/>
        <v>0</v>
      </c>
      <c r="AV264" s="622">
        <f t="shared" si="397"/>
        <v>0</v>
      </c>
      <c r="AW264" s="608">
        <f>SUM(AS264:AV264)</f>
        <v>0</v>
      </c>
      <c r="AX264" s="31"/>
      <c r="AY264" s="608">
        <f>((AVERAGE(AV238,AY238)*AY257/4))</f>
        <v>0</v>
      </c>
      <c r="AZ264" s="622">
        <f t="shared" si="398"/>
        <v>0</v>
      </c>
      <c r="BA264" s="622">
        <f t="shared" si="398"/>
        <v>0</v>
      </c>
      <c r="BB264" s="622">
        <f t="shared" si="398"/>
        <v>0</v>
      </c>
      <c r="BC264" s="608">
        <f>SUM(AY264:BB264)</f>
        <v>0</v>
      </c>
      <c r="BD264" s="31"/>
      <c r="BE264" s="608">
        <f>((AVERAGE(BB238,BE238)*BE257/4))</f>
        <v>0</v>
      </c>
      <c r="BF264" s="622">
        <f t="shared" si="399"/>
        <v>0</v>
      </c>
      <c r="BG264" s="622">
        <f t="shared" si="399"/>
        <v>0</v>
      </c>
      <c r="BH264" s="622">
        <f t="shared" si="399"/>
        <v>0</v>
      </c>
      <c r="BI264" s="608">
        <f>SUM(BE264:BH264)</f>
        <v>0</v>
      </c>
      <c r="BJ264" s="31"/>
      <c r="BK264" s="608">
        <f>((AVERAGE(BH238,BK238)*BK257/4))</f>
        <v>0</v>
      </c>
      <c r="BL264" s="622">
        <f t="shared" si="400"/>
        <v>0</v>
      </c>
      <c r="BM264" s="622">
        <f t="shared" si="400"/>
        <v>0</v>
      </c>
      <c r="BN264" s="622">
        <f t="shared" si="400"/>
        <v>0</v>
      </c>
      <c r="BO264" s="608">
        <f>SUM(BK264:BN264)</f>
        <v>0</v>
      </c>
      <c r="BP264" s="31"/>
      <c r="BQ264" s="608">
        <f>((AVERAGE(BN238,BQ238)*BQ257/4))</f>
        <v>0</v>
      </c>
      <c r="BR264" s="622">
        <f t="shared" si="401"/>
        <v>0</v>
      </c>
      <c r="BS264" s="622">
        <f t="shared" si="401"/>
        <v>0</v>
      </c>
      <c r="BT264" s="622">
        <f t="shared" si="401"/>
        <v>0</v>
      </c>
      <c r="BU264" s="608">
        <f>SUM(BQ264:BT264)</f>
        <v>0</v>
      </c>
      <c r="BV264" s="31"/>
      <c r="BW264" s="608">
        <f>((AVERAGE(BT238,BW238)*BW257/4))</f>
        <v>0</v>
      </c>
      <c r="BX264" s="622">
        <f t="shared" si="402"/>
        <v>0</v>
      </c>
      <c r="BY264" s="622">
        <f t="shared" si="402"/>
        <v>0</v>
      </c>
      <c r="BZ264" s="622">
        <f t="shared" si="402"/>
        <v>0</v>
      </c>
      <c r="CA264" s="608">
        <f>SUM(BW264:BZ264)</f>
        <v>0</v>
      </c>
      <c r="CB264" s="31"/>
      <c r="CC264" s="608">
        <f>((AVERAGE(BZ238,CC238)*CC257/4))</f>
        <v>0</v>
      </c>
      <c r="CD264" s="622">
        <f t="shared" si="403"/>
        <v>0</v>
      </c>
      <c r="CE264" s="622">
        <f t="shared" si="403"/>
        <v>0</v>
      </c>
      <c r="CF264" s="622">
        <f t="shared" si="403"/>
        <v>0</v>
      </c>
      <c r="CG264" s="608">
        <f>SUM(CC264:CF264)</f>
        <v>0</v>
      </c>
      <c r="CH264" s="31"/>
      <c r="CI264" s="608">
        <f>((AVERAGE(CF238,CI238)*CI257/4))</f>
        <v>0</v>
      </c>
      <c r="CJ264" s="622">
        <f t="shared" si="404"/>
        <v>0</v>
      </c>
      <c r="CK264" s="622">
        <f t="shared" si="404"/>
        <v>0</v>
      </c>
      <c r="CL264" s="622">
        <f t="shared" si="404"/>
        <v>0</v>
      </c>
      <c r="CM264" s="608">
        <f>SUM(CI264:CL264)</f>
        <v>0</v>
      </c>
    </row>
    <row r="265" spans="2:91" ht="12" customHeight="1" x14ac:dyDescent="0.2">
      <c r="B265" s="624" t="s">
        <v>430</v>
      </c>
      <c r="C265" s="608">
        <f>C239*C258/4</f>
        <v>2.3162500000000003E-2</v>
      </c>
      <c r="D265" s="622">
        <f t="shared" si="390"/>
        <v>2.3268750000000001E-2</v>
      </c>
      <c r="E265" s="622">
        <f t="shared" si="390"/>
        <v>2.3262500000000005E-2</v>
      </c>
      <c r="F265" s="622">
        <f t="shared" si="390"/>
        <v>2.38125E-2</v>
      </c>
      <c r="G265" s="608">
        <f>SUM(C265:F265)</f>
        <v>9.3506250000000013E-2</v>
      </c>
      <c r="H265" s="37"/>
      <c r="I265" s="608">
        <f>((AVERAGE(F239,I239)*I258/4))</f>
        <v>2.4856250000000003E-2</v>
      </c>
      <c r="J265" s="622">
        <f t="shared" si="391"/>
        <v>2.6150000000000003E-2</v>
      </c>
      <c r="K265" s="622">
        <f t="shared" si="391"/>
        <v>2.6893750000000001E-2</v>
      </c>
      <c r="L265" s="622">
        <f t="shared" si="391"/>
        <v>2.6737500000000004E-2</v>
      </c>
      <c r="M265" s="608">
        <f>SUM(I265:L265)</f>
        <v>0.10463749999999999</v>
      </c>
      <c r="N265" s="623"/>
      <c r="O265" s="608">
        <f>((AVERAGE(L239,O239)*O258/4))</f>
        <v>2.0506250000000004E-2</v>
      </c>
      <c r="P265" s="622">
        <f t="shared" si="392"/>
        <v>1.3662500000000001E-2</v>
      </c>
      <c r="Q265" s="622">
        <f t="shared" si="392"/>
        <v>1.3237499999999999E-2</v>
      </c>
      <c r="R265" s="622">
        <f t="shared" si="392"/>
        <v>1.3874999999999998E-2</v>
      </c>
      <c r="S265" s="608">
        <f>SUM(O265:R265)</f>
        <v>6.1281250000000002E-2</v>
      </c>
      <c r="T265" s="37"/>
      <c r="U265" s="608">
        <f>((AVERAGE(R239,U239)*U258/4))</f>
        <v>1.4106250000000001E-2</v>
      </c>
      <c r="V265" s="622">
        <f t="shared" si="393"/>
        <v>6.937500000000001E-3</v>
      </c>
      <c r="W265" s="622">
        <f t="shared" si="393"/>
        <v>0</v>
      </c>
      <c r="X265" s="622">
        <f t="shared" si="393"/>
        <v>0</v>
      </c>
      <c r="Y265" s="608">
        <f>SUM(U265:X265)</f>
        <v>2.104375E-2</v>
      </c>
      <c r="Z265" s="37"/>
      <c r="AA265" s="608">
        <f>((AVERAGE(X239,AA239)*AA258/4))</f>
        <v>0</v>
      </c>
      <c r="AB265" s="622">
        <f t="shared" si="394"/>
        <v>0</v>
      </c>
      <c r="AC265" s="622">
        <f t="shared" si="394"/>
        <v>0</v>
      </c>
      <c r="AD265" s="622">
        <f t="shared" si="394"/>
        <v>0</v>
      </c>
      <c r="AE265" s="608">
        <f>SUM(AA265:AD265)</f>
        <v>0</v>
      </c>
      <c r="AF265" s="37"/>
      <c r="AG265" s="608">
        <f>((AVERAGE(AD239,AG239)*AG258/4))</f>
        <v>0</v>
      </c>
      <c r="AH265" s="622">
        <f t="shared" si="395"/>
        <v>0</v>
      </c>
      <c r="AI265" s="622">
        <f t="shared" si="395"/>
        <v>0</v>
      </c>
      <c r="AJ265" s="622">
        <f t="shared" si="395"/>
        <v>0</v>
      </c>
      <c r="AK265" s="608">
        <f>SUM(AG265:AJ265)</f>
        <v>0</v>
      </c>
      <c r="AL265" s="28"/>
      <c r="AM265" s="608">
        <f>((AVERAGE(AJ239,AM239)*AM258/4))</f>
        <v>0</v>
      </c>
      <c r="AN265" s="622">
        <f t="shared" si="396"/>
        <v>0</v>
      </c>
      <c r="AO265" s="622">
        <f t="shared" si="396"/>
        <v>0</v>
      </c>
      <c r="AP265" s="622">
        <f t="shared" si="396"/>
        <v>0</v>
      </c>
      <c r="AQ265" s="608">
        <f>SUM(AM265:AP265)</f>
        <v>0</v>
      </c>
      <c r="AR265" s="28"/>
      <c r="AS265" s="608">
        <f>((AVERAGE(AP239,AS239)*AS258/4))</f>
        <v>0</v>
      </c>
      <c r="AT265" s="622">
        <f t="shared" si="397"/>
        <v>0</v>
      </c>
      <c r="AU265" s="622">
        <f t="shared" si="397"/>
        <v>0</v>
      </c>
      <c r="AV265" s="622">
        <f t="shared" si="397"/>
        <v>0</v>
      </c>
      <c r="AW265" s="608">
        <f>SUM(AS265:AV265)</f>
        <v>0</v>
      </c>
      <c r="AX265" s="28"/>
      <c r="AY265" s="608">
        <f>((AVERAGE(AV239,AY239)*AY258/4))</f>
        <v>0</v>
      </c>
      <c r="AZ265" s="622">
        <f t="shared" si="398"/>
        <v>0</v>
      </c>
      <c r="BA265" s="622">
        <f t="shared" si="398"/>
        <v>0</v>
      </c>
      <c r="BB265" s="622">
        <f t="shared" si="398"/>
        <v>0</v>
      </c>
      <c r="BC265" s="608">
        <f>SUM(AY265:BB265)</f>
        <v>0</v>
      </c>
      <c r="BD265" s="28"/>
      <c r="BE265" s="608">
        <f>((AVERAGE(BB239,BE239)*BE258/4))</f>
        <v>0</v>
      </c>
      <c r="BF265" s="622">
        <f t="shared" si="399"/>
        <v>0</v>
      </c>
      <c r="BG265" s="622">
        <f t="shared" si="399"/>
        <v>0</v>
      </c>
      <c r="BH265" s="622">
        <f t="shared" si="399"/>
        <v>0</v>
      </c>
      <c r="BI265" s="608">
        <f>SUM(BE265:BH265)</f>
        <v>0</v>
      </c>
      <c r="BJ265" s="28"/>
      <c r="BK265" s="608">
        <f>((AVERAGE(BH239,BK239)*BK258/4))</f>
        <v>0</v>
      </c>
      <c r="BL265" s="622">
        <f t="shared" si="400"/>
        <v>0</v>
      </c>
      <c r="BM265" s="622">
        <f t="shared" si="400"/>
        <v>0</v>
      </c>
      <c r="BN265" s="622">
        <f t="shared" si="400"/>
        <v>0</v>
      </c>
      <c r="BO265" s="608">
        <f>SUM(BK265:BN265)</f>
        <v>0</v>
      </c>
      <c r="BP265" s="28"/>
      <c r="BQ265" s="608">
        <f>((AVERAGE(BN239,BQ239)*BQ258/4))</f>
        <v>0</v>
      </c>
      <c r="BR265" s="622">
        <f t="shared" si="401"/>
        <v>0</v>
      </c>
      <c r="BS265" s="622">
        <f t="shared" si="401"/>
        <v>0</v>
      </c>
      <c r="BT265" s="622">
        <f t="shared" si="401"/>
        <v>0</v>
      </c>
      <c r="BU265" s="608">
        <f>SUM(BQ265:BT265)</f>
        <v>0</v>
      </c>
      <c r="BV265" s="28"/>
      <c r="BW265" s="608">
        <f>((AVERAGE(BT239,BW239)*BW258/4))</f>
        <v>0</v>
      </c>
      <c r="BX265" s="622">
        <f t="shared" si="402"/>
        <v>0</v>
      </c>
      <c r="BY265" s="622">
        <f t="shared" si="402"/>
        <v>0</v>
      </c>
      <c r="BZ265" s="622">
        <f t="shared" si="402"/>
        <v>0</v>
      </c>
      <c r="CA265" s="608">
        <f>SUM(BW265:BZ265)</f>
        <v>0</v>
      </c>
      <c r="CB265" s="28"/>
      <c r="CC265" s="608">
        <f>((AVERAGE(BZ239,CC239)*CC258/4))</f>
        <v>0</v>
      </c>
      <c r="CD265" s="622">
        <f t="shared" si="403"/>
        <v>0</v>
      </c>
      <c r="CE265" s="622">
        <f t="shared" si="403"/>
        <v>0</v>
      </c>
      <c r="CF265" s="622">
        <f t="shared" si="403"/>
        <v>0</v>
      </c>
      <c r="CG265" s="608">
        <f>SUM(CC265:CF265)</f>
        <v>0</v>
      </c>
      <c r="CH265" s="28"/>
      <c r="CI265" s="608">
        <f>((AVERAGE(CF239,CI239)*CI258/4))</f>
        <v>0</v>
      </c>
      <c r="CJ265" s="622">
        <f t="shared" si="404"/>
        <v>0</v>
      </c>
      <c r="CK265" s="622">
        <f t="shared" si="404"/>
        <v>0</v>
      </c>
      <c r="CL265" s="622">
        <f t="shared" si="404"/>
        <v>0</v>
      </c>
      <c r="CM265" s="608">
        <f>SUM(CI265:CL265)</f>
        <v>0</v>
      </c>
    </row>
    <row r="266" spans="2:91" ht="12" customHeight="1" x14ac:dyDescent="0.2">
      <c r="B266" s="621" t="s">
        <v>429</v>
      </c>
      <c r="C266" s="620">
        <f>SUM(C261:C265)</f>
        <v>6.6728000000000005</v>
      </c>
      <c r="D266" s="620">
        <f>SUM(D261:D265)</f>
        <v>6.6407562500000008</v>
      </c>
      <c r="E266" s="620">
        <f>SUM(E261:E265)</f>
        <v>6.648762500000001</v>
      </c>
      <c r="F266" s="620">
        <f>SUM(F261:F265)</f>
        <v>6.8643062500000003</v>
      </c>
      <c r="G266" s="620">
        <f>SUM(G261:G265)</f>
        <v>26.826625000000003</v>
      </c>
      <c r="H266" s="26"/>
      <c r="I266" s="620">
        <f>SUM(I261:I265)</f>
        <v>7.0244812500000009</v>
      </c>
      <c r="J266" s="620">
        <f>SUM(J261:J265)</f>
        <v>7.1984874999999997</v>
      </c>
      <c r="K266" s="620">
        <f>SUM(K261:K265)</f>
        <v>7.3857812500000009</v>
      </c>
      <c r="L266" s="620">
        <f>SUM(L261:L265)</f>
        <v>7.1508937499999998</v>
      </c>
      <c r="M266" s="620">
        <f>SUM(M261:M265)</f>
        <v>28.759643750000002</v>
      </c>
      <c r="N266" s="26"/>
      <c r="O266" s="620">
        <f>SUM(O261:O265)</f>
        <v>6.8868937500000005</v>
      </c>
      <c r="P266" s="620">
        <f>SUM(P261:P265)</f>
        <v>6.6781500000000005</v>
      </c>
      <c r="Q266" s="620">
        <f>SUM(Q261:Q265)</f>
        <v>6.1477812500000004</v>
      </c>
      <c r="R266" s="620">
        <f>SUM(R261:R265)</f>
        <v>5.8657062499999997</v>
      </c>
      <c r="S266" s="620">
        <f>SUM(S261:S265)</f>
        <v>25.578531250000005</v>
      </c>
      <c r="T266" s="26"/>
      <c r="U266" s="620">
        <f>SUM(U261:U265)</f>
        <v>5.9062250000000009</v>
      </c>
      <c r="V266" s="620">
        <f>SUM(V261:V265)</f>
        <v>5.2338000000000005</v>
      </c>
      <c r="W266" s="620">
        <f>SUM(W261:W265)</f>
        <v>4.4545187500000001</v>
      </c>
      <c r="X266" s="620">
        <f>SUM(X261:X265)</f>
        <v>4.4758437500000001</v>
      </c>
      <c r="Y266" s="620">
        <f>SUM(Y261:Y265)</f>
        <v>20.070387500000002</v>
      </c>
      <c r="Z266" s="26"/>
      <c r="AA266" s="620">
        <f>SUM(AA261:AA265)</f>
        <v>4.6159687500000004</v>
      </c>
      <c r="AB266" s="620">
        <f>SUM(AB261:AB265)</f>
        <v>4.6877625000000007</v>
      </c>
      <c r="AC266" s="620">
        <f>SUM(AC261:AC265)</f>
        <v>4.8218187500000003</v>
      </c>
      <c r="AD266" s="620">
        <f>SUM(AD261:AD265)</f>
        <v>4.7354437500000008</v>
      </c>
      <c r="AE266" s="620">
        <f>SUM(AE261:AE265)</f>
        <v>18.860993750000002</v>
      </c>
      <c r="AF266" s="26"/>
      <c r="AG266" s="620">
        <f>SUM(AG261:AG265)</f>
        <v>2.0572274999999998</v>
      </c>
      <c r="AH266" s="620">
        <f>SUM(AH261:AH265)</f>
        <v>1.15473625</v>
      </c>
      <c r="AI266" s="620">
        <f>SUM(AI261:AI265)</f>
        <v>0.96350875000000002</v>
      </c>
      <c r="AJ266" s="620">
        <f>SUM(AJ261:AJ265)</f>
        <v>0.95570624999999998</v>
      </c>
      <c r="AK266" s="620">
        <f>SUM(AK261:AK265)</f>
        <v>5.1311787500000001</v>
      </c>
      <c r="AL266" s="52"/>
      <c r="AM266" s="620">
        <f>SUM(AM261:AM265)</f>
        <v>0.94221375000000007</v>
      </c>
      <c r="AN266" s="620">
        <f>SUM(AN261:AN265)</f>
        <v>0.94163874999999997</v>
      </c>
      <c r="AO266" s="620">
        <f>SUM(AO261:AO265)</f>
        <v>0.94149625000000003</v>
      </c>
      <c r="AP266" s="620">
        <f>SUM(AP261:AP265)</f>
        <v>0.94195499999999999</v>
      </c>
      <c r="AQ266" s="620">
        <f>SUM(AQ261:AQ265)</f>
        <v>3.76730375</v>
      </c>
      <c r="AR266" s="52"/>
      <c r="AS266" s="620">
        <f>SUM(AS261:AS265)</f>
        <v>0.94229624999999995</v>
      </c>
      <c r="AT266" s="620">
        <f>SUM(AT261:AT265)</f>
        <v>0.96469499999999997</v>
      </c>
      <c r="AU266" s="620">
        <f>SUM(AU261:AU265)</f>
        <v>0.98662500000000009</v>
      </c>
      <c r="AV266" s="620">
        <f>SUM(AV261:AV265)</f>
        <v>0.98625000000000007</v>
      </c>
      <c r="AW266" s="620">
        <f>SUM(AW261:AW265)</f>
        <v>3.8798662500000001</v>
      </c>
      <c r="AX266" s="52"/>
      <c r="AY266" s="620">
        <f>SUM(AY261:AY265)</f>
        <v>0.93</v>
      </c>
      <c r="AZ266" s="620">
        <f>SUM(AZ261:AZ265)</f>
        <v>0.87012500000000004</v>
      </c>
      <c r="BA266" s="620">
        <f>SUM(BA261:BA265)</f>
        <v>0.87725000000000009</v>
      </c>
      <c r="BB266" s="620">
        <f>SUM(BB261:BB265)</f>
        <v>0.88749999999999996</v>
      </c>
      <c r="BC266" s="620">
        <f>SUM(BC261:BC265)</f>
        <v>3.5648750000000002</v>
      </c>
      <c r="BD266" s="52"/>
      <c r="BE266" s="620">
        <f>SUM(BE261:BE265)</f>
        <v>1.0647500000000008</v>
      </c>
      <c r="BF266" s="620">
        <f>SUM(BF261:BF265)</f>
        <v>1.2425000000000015</v>
      </c>
      <c r="BG266" s="620">
        <f>SUM(BG261:BG265)</f>
        <v>1.2425000000000015</v>
      </c>
      <c r="BH266" s="620">
        <f>SUM(BH261:BH265)</f>
        <v>1.2425000000000015</v>
      </c>
      <c r="BI266" s="620">
        <f>SUM(BI261:BI265)</f>
        <v>4.7922500000000046</v>
      </c>
      <c r="BJ266" s="52"/>
      <c r="BK266" s="620">
        <f>SUM(BK261:BK265)</f>
        <v>1.2425000000000015</v>
      </c>
      <c r="BL266" s="620">
        <f>SUM(BL261:BL265)</f>
        <v>1.2425000000000015</v>
      </c>
      <c r="BM266" s="620">
        <f>SUM(BM261:BM265)</f>
        <v>1.2425000000000015</v>
      </c>
      <c r="BN266" s="620">
        <f>SUM(BN261:BN265)</f>
        <v>1.2425000000000015</v>
      </c>
      <c r="BO266" s="620">
        <f>SUM(BO261:BO265)</f>
        <v>4.970000000000006</v>
      </c>
      <c r="BP266" s="52"/>
      <c r="BQ266" s="620">
        <f>SUM(BQ261:BQ265)</f>
        <v>1.2425000000000015</v>
      </c>
      <c r="BR266" s="620">
        <f>SUM(BR261:BR265)</f>
        <v>1.2425000000000015</v>
      </c>
      <c r="BS266" s="620">
        <f>SUM(BS261:BS265)</f>
        <v>1.2425000000000015</v>
      </c>
      <c r="BT266" s="620">
        <f>SUM(BT261:BT265)</f>
        <v>1.2425000000000015</v>
      </c>
      <c r="BU266" s="620">
        <f>SUM(BU261:BU265)</f>
        <v>4.970000000000006</v>
      </c>
      <c r="BV266" s="52"/>
      <c r="BW266" s="620">
        <f>SUM(BW261:BW265)</f>
        <v>1.2425000000000015</v>
      </c>
      <c r="BX266" s="620">
        <f>SUM(BX261:BX265)</f>
        <v>1.2425000000000015</v>
      </c>
      <c r="BY266" s="620">
        <f>SUM(BY261:BY265)</f>
        <v>1.2425000000000015</v>
      </c>
      <c r="BZ266" s="620">
        <f>SUM(BZ261:BZ265)</f>
        <v>1.2425000000000015</v>
      </c>
      <c r="CA266" s="620">
        <f>SUM(CA261:CA265)</f>
        <v>4.970000000000006</v>
      </c>
      <c r="CB266" s="52"/>
      <c r="CC266" s="620">
        <f>SUM(CC261:CC265)</f>
        <v>1.2425000000000015</v>
      </c>
      <c r="CD266" s="620">
        <f>SUM(CD261:CD265)</f>
        <v>1.2425000000000015</v>
      </c>
      <c r="CE266" s="620">
        <f>SUM(CE261:CE265)</f>
        <v>1.2425000000000015</v>
      </c>
      <c r="CF266" s="620">
        <f>SUM(CF261:CF265)</f>
        <v>1.2425000000000015</v>
      </c>
      <c r="CG266" s="620">
        <f>SUM(CG261:CG265)</f>
        <v>4.970000000000006</v>
      </c>
      <c r="CH266" s="52"/>
      <c r="CI266" s="620">
        <f>SUM(CI261:CI265)</f>
        <v>1.2425000000000015</v>
      </c>
      <c r="CJ266" s="620">
        <f>SUM(CJ261:CJ265)</f>
        <v>1.2425000000000015</v>
      </c>
      <c r="CK266" s="620">
        <f>SUM(CK261:CK265)</f>
        <v>1.2425000000000015</v>
      </c>
      <c r="CL266" s="620">
        <f>SUM(CL261:CL265)</f>
        <v>1.2425000000000015</v>
      </c>
      <c r="CM266" s="620">
        <f>SUM(CM261:CM265)</f>
        <v>4.970000000000006</v>
      </c>
    </row>
    <row r="267" spans="2:91" ht="12" customHeight="1" x14ac:dyDescent="0.2">
      <c r="B267" s="30"/>
      <c r="C267" s="30"/>
      <c r="D267" s="30"/>
      <c r="E267" s="30"/>
      <c r="F267" s="30"/>
      <c r="G267" s="30"/>
      <c r="H267" s="30"/>
      <c r="I267" s="30"/>
      <c r="J267" s="30"/>
      <c r="K267" s="30"/>
      <c r="L267" s="30"/>
      <c r="M267" s="30"/>
      <c r="N267" s="30"/>
      <c r="O267" s="30"/>
      <c r="P267" s="30"/>
      <c r="Q267" s="30"/>
      <c r="R267" s="30"/>
      <c r="S267" s="30"/>
      <c r="T267" s="30"/>
      <c r="U267" s="30"/>
      <c r="V267" s="30"/>
      <c r="W267" s="30"/>
      <c r="X267" s="30"/>
      <c r="Y267" s="30"/>
      <c r="Z267" s="30"/>
      <c r="AA267" s="30"/>
      <c r="AB267" s="30"/>
      <c r="AC267" s="30"/>
      <c r="AD267" s="30"/>
      <c r="AE267" s="30"/>
      <c r="AF267" s="30"/>
      <c r="AG267" s="30"/>
      <c r="AH267" s="30"/>
      <c r="AI267" s="30"/>
      <c r="AJ267" s="30"/>
      <c r="AK267" s="30"/>
      <c r="AL267" s="31"/>
      <c r="AM267" s="30"/>
      <c r="AN267" s="30"/>
      <c r="AO267" s="30"/>
      <c r="AP267" s="30"/>
      <c r="AQ267" s="30"/>
      <c r="AR267" s="31"/>
      <c r="AS267" s="30"/>
      <c r="AT267" s="30"/>
      <c r="AU267" s="30"/>
      <c r="AV267" s="30"/>
      <c r="AW267" s="30"/>
      <c r="AX267" s="31"/>
      <c r="AY267" s="30"/>
      <c r="AZ267" s="30"/>
      <c r="BA267" s="30"/>
      <c r="BB267" s="30"/>
      <c r="BC267" s="30"/>
      <c r="BD267" s="31"/>
      <c r="BE267" s="30"/>
      <c r="BF267" s="30"/>
      <c r="BG267" s="30"/>
      <c r="BH267" s="30"/>
      <c r="BI267" s="30"/>
      <c r="BJ267" s="31"/>
      <c r="BK267" s="30"/>
      <c r="BL267" s="30"/>
      <c r="BM267" s="30"/>
      <c r="BN267" s="30"/>
      <c r="BO267" s="30"/>
      <c r="BP267" s="31"/>
      <c r="BQ267" s="30"/>
      <c r="BR267" s="30"/>
      <c r="BS267" s="30"/>
      <c r="BT267" s="30"/>
      <c r="BU267" s="30"/>
      <c r="BV267" s="31"/>
      <c r="BW267" s="30"/>
      <c r="BX267" s="30"/>
      <c r="BY267" s="30"/>
      <c r="BZ267" s="30"/>
      <c r="CA267" s="30"/>
      <c r="CB267" s="31"/>
      <c r="CC267" s="30"/>
      <c r="CD267" s="30"/>
      <c r="CE267" s="30"/>
      <c r="CF267" s="30"/>
      <c r="CG267" s="30"/>
      <c r="CH267" s="31"/>
      <c r="CI267" s="30"/>
      <c r="CJ267" s="30"/>
      <c r="CK267" s="30"/>
      <c r="CL267" s="30"/>
      <c r="CM267" s="30"/>
    </row>
    <row r="268" spans="2:91" ht="12" customHeight="1" x14ac:dyDescent="0.2">
      <c r="B268" s="31"/>
      <c r="C268" s="31"/>
      <c r="D268" s="31"/>
      <c r="E268" s="31"/>
      <c r="F268" s="31"/>
      <c r="G268" s="31"/>
      <c r="H268" s="31"/>
      <c r="I268" s="31"/>
      <c r="J268" s="31"/>
      <c r="K268" s="31"/>
      <c r="L268" s="31"/>
      <c r="M268" s="31"/>
      <c r="N268" s="31"/>
      <c r="O268" s="31"/>
      <c r="P268" s="31"/>
      <c r="Q268" s="31"/>
      <c r="R268" s="31"/>
      <c r="S268" s="31"/>
      <c r="T268" s="31"/>
      <c r="U268" s="31"/>
      <c r="V268" s="31"/>
      <c r="W268" s="31"/>
      <c r="X268" s="31"/>
      <c r="Y268" s="31"/>
      <c r="Z268" s="31"/>
      <c r="AA268" s="31"/>
      <c r="AB268" s="31"/>
      <c r="AC268" s="31"/>
      <c r="AD268" s="31"/>
      <c r="AE268" s="31"/>
      <c r="AF268" s="31"/>
      <c r="AG268" s="31"/>
      <c r="AH268" s="31"/>
      <c r="AI268" s="31"/>
      <c r="AJ268" s="31"/>
      <c r="AK268" s="31"/>
      <c r="AL268" s="31"/>
      <c r="AM268" s="31"/>
      <c r="AN268" s="31"/>
      <c r="AO268" s="31"/>
      <c r="AP268" s="31"/>
      <c r="AQ268" s="31"/>
      <c r="AR268" s="31"/>
      <c r="AS268" s="31"/>
      <c r="AT268" s="31"/>
      <c r="AU268" s="31"/>
      <c r="AV268" s="31"/>
      <c r="AW268" s="31"/>
      <c r="AX268" s="31"/>
      <c r="AY268" s="31"/>
      <c r="AZ268" s="31"/>
      <c r="BA268" s="31"/>
      <c r="BB268" s="31"/>
      <c r="BC268" s="31"/>
      <c r="BD268" s="31"/>
      <c r="BE268" s="31"/>
      <c r="BF268" s="31"/>
      <c r="BG268" s="31"/>
      <c r="BH268" s="31"/>
      <c r="BI268" s="31"/>
      <c r="BJ268" s="31"/>
      <c r="BK268" s="31"/>
      <c r="BL268" s="31"/>
      <c r="BM268" s="31"/>
      <c r="BN268" s="31"/>
      <c r="BO268" s="31"/>
      <c r="BP268" s="31"/>
      <c r="BQ268" s="31"/>
      <c r="BR268" s="31"/>
      <c r="BS268" s="31"/>
      <c r="BT268" s="31"/>
      <c r="BU268" s="31"/>
      <c r="BV268" s="31"/>
      <c r="BW268" s="31"/>
      <c r="BX268" s="31"/>
      <c r="BY268" s="31"/>
      <c r="BZ268" s="31"/>
      <c r="CA268" s="31"/>
      <c r="CB268" s="31"/>
      <c r="CC268" s="31"/>
      <c r="CD268" s="31"/>
      <c r="CE268" s="31"/>
      <c r="CF268" s="31"/>
      <c r="CG268" s="31"/>
      <c r="CH268" s="31"/>
      <c r="CI268" s="31"/>
      <c r="CJ268" s="31"/>
      <c r="CK268" s="31"/>
      <c r="CL268" s="31"/>
      <c r="CM268" s="31"/>
    </row>
    <row r="269" spans="2:91" ht="12" customHeight="1" x14ac:dyDescent="0.2">
      <c r="B269" s="53" t="s">
        <v>428</v>
      </c>
      <c r="C269" s="997">
        <v>8.9589999999999996</v>
      </c>
      <c r="D269" s="997">
        <v>6.2069999999999999</v>
      </c>
      <c r="E269" s="997">
        <v>5.7690000000000001</v>
      </c>
      <c r="F269" s="997">
        <v>7.2309999999999999</v>
      </c>
      <c r="G269" s="997">
        <v>28.166000000000004</v>
      </c>
      <c r="H269" s="998"/>
      <c r="I269" s="997">
        <v>6.7460000000000004</v>
      </c>
      <c r="J269" s="997">
        <v>6.6550000000000002</v>
      </c>
      <c r="K269" s="997">
        <v>6.6449999999999996</v>
      </c>
      <c r="L269" s="997">
        <v>6.7489999999999988</v>
      </c>
      <c r="M269" s="997">
        <v>26.794999999999998</v>
      </c>
      <c r="N269" s="998"/>
      <c r="O269" s="997">
        <v>6.0640000000000001</v>
      </c>
      <c r="P269" s="997">
        <v>5.593</v>
      </c>
      <c r="Q269" s="997">
        <v>5.3310000000000004</v>
      </c>
      <c r="R269" s="997">
        <v>5.5089999999999995</v>
      </c>
      <c r="S269" s="997">
        <v>22.497</v>
      </c>
      <c r="T269" s="998"/>
      <c r="U269" s="997">
        <v>5.202</v>
      </c>
      <c r="V269" s="997">
        <v>4.141</v>
      </c>
      <c r="W269" s="997">
        <v>0.85699999999999998</v>
      </c>
      <c r="X269" s="997">
        <v>0.84299999999999931</v>
      </c>
      <c r="Y269" s="997">
        <v>11.042999999999999</v>
      </c>
      <c r="Z269" s="998"/>
      <c r="AA269" s="997">
        <v>0.95</v>
      </c>
      <c r="AB269" s="997">
        <v>0.92900000000000005</v>
      </c>
      <c r="AC269" s="614">
        <f>AC266-AC286</f>
        <v>4.5216827500000001</v>
      </c>
      <c r="AD269" s="614">
        <f>AD266-AD286</f>
        <v>4.4042407500000005</v>
      </c>
      <c r="AE269" s="614">
        <f>SUM(AA269:AD269)</f>
        <v>10.804923500000001</v>
      </c>
      <c r="AF269" s="48"/>
      <c r="AG269" s="614">
        <f>AG266-AG286</f>
        <v>1.7113684999999998</v>
      </c>
      <c r="AH269" s="614">
        <f>AH266-AH286</f>
        <v>1.0490572499999999</v>
      </c>
      <c r="AI269" s="614">
        <f>AI266-AI286</f>
        <v>0.88571875</v>
      </c>
      <c r="AJ269" s="614">
        <f>AJ266-AJ286</f>
        <v>0.85110624999999995</v>
      </c>
      <c r="AK269" s="614">
        <f>SUM(AG269:AJ269)</f>
        <v>4.4972507499999992</v>
      </c>
      <c r="AL269" s="48"/>
      <c r="AM269" s="614">
        <f>AM266-AM286</f>
        <v>0.79112575000000007</v>
      </c>
      <c r="AN269" s="614">
        <f>AN266-AN286</f>
        <v>0.81746874999999997</v>
      </c>
      <c r="AO269" s="614">
        <f>AO266-AO286</f>
        <v>0.78540825000000003</v>
      </c>
      <c r="AP269" s="614">
        <f>AP266-AP286</f>
        <v>0.73625099999999999</v>
      </c>
      <c r="AQ269" s="614">
        <f>SUM(AM269:AP269)</f>
        <v>3.1302537500000005</v>
      </c>
      <c r="AR269" s="48"/>
      <c r="AS269" s="614">
        <f>AS266-AS286</f>
        <v>0.70055124999999996</v>
      </c>
      <c r="AT269" s="614">
        <f>AT266-AT286</f>
        <v>0.75377499999999997</v>
      </c>
      <c r="AU269" s="614">
        <f>AU266-AU286</f>
        <v>0.731325</v>
      </c>
      <c r="AV269" s="614">
        <f>AV266-AV286</f>
        <v>0.68925000000000014</v>
      </c>
      <c r="AW269" s="614">
        <f>SUM(AS269:AV269)</f>
        <v>2.8749012499999997</v>
      </c>
      <c r="AX269" s="48"/>
      <c r="AY269" s="614">
        <f>AY266-AY286</f>
        <v>0.54720000000000002</v>
      </c>
      <c r="AZ269" s="614">
        <f>AZ266-AZ286</f>
        <v>0.50202499999999994</v>
      </c>
      <c r="BA269" s="614">
        <f>BA266-BA286</f>
        <v>0.47695000000000004</v>
      </c>
      <c r="BB269" s="614">
        <f>BB266-BB286</f>
        <v>0.46489999999999992</v>
      </c>
      <c r="BC269" s="614">
        <f>SUM(AY269:BB269)</f>
        <v>1.9910749999999997</v>
      </c>
      <c r="BD269" s="48"/>
      <c r="BE269" s="614">
        <f>BE266-BE286</f>
        <v>0.54695000000000082</v>
      </c>
      <c r="BF269" s="614">
        <f>BF266-BF286</f>
        <v>0.75750000000000151</v>
      </c>
      <c r="BG269" s="614">
        <f>BG266-BG286</f>
        <v>0.69723052813811648</v>
      </c>
      <c r="BH269" s="614">
        <f>BH266-BH286</f>
        <v>0.67161016628578241</v>
      </c>
      <c r="BI269" s="614">
        <f>SUM(BE269:BH269)</f>
        <v>2.6732906944239012</v>
      </c>
      <c r="BJ269" s="48"/>
      <c r="BK269" s="614">
        <f>BK266-BK286</f>
        <v>0.60495339641528745</v>
      </c>
      <c r="BL269" s="614">
        <f>BL266-BL286</f>
        <v>0.6408123878269596</v>
      </c>
      <c r="BM269" s="614">
        <f>BM266-BM286</f>
        <v>0.60888789047335445</v>
      </c>
      <c r="BN269" s="614">
        <f>BN266-BN286</f>
        <v>0.56239156352053676</v>
      </c>
      <c r="BO269" s="614">
        <f>SUM(BK269:BN269)</f>
        <v>2.4170452382361383</v>
      </c>
      <c r="BP269" s="48"/>
      <c r="BQ269" s="614">
        <f>BQ266-BQ286</f>
        <v>0.49158615721228505</v>
      </c>
      <c r="BR269" s="614">
        <f>BR266-BR286</f>
        <v>0.47094628342410594</v>
      </c>
      <c r="BS269" s="614">
        <f>BS266-BS286</f>
        <v>0.43431870264109984</v>
      </c>
      <c r="BT269" s="614">
        <f>BT266-BT286</f>
        <v>0.38181414308912609</v>
      </c>
      <c r="BU269" s="614">
        <f>SUM(BQ269:BT269)</f>
        <v>1.7786652863666168</v>
      </c>
      <c r="BV269" s="48"/>
      <c r="BW269" s="614">
        <f>BW266-BW286</f>
        <v>0.30163574075755661</v>
      </c>
      <c r="BX269" s="614">
        <f>BX266-BX286</f>
        <v>0.27354653654889349</v>
      </c>
      <c r="BY269" s="614">
        <f>BY266-BY286</f>
        <v>0.22981480331550741</v>
      </c>
      <c r="BZ269" s="614">
        <f>BZ266-BZ286</f>
        <v>0.17120934552499256</v>
      </c>
      <c r="CA269" s="614">
        <f>SUM(BW269:BZ269)</f>
        <v>0.97620642614695008</v>
      </c>
      <c r="CB269" s="48"/>
      <c r="CC269" s="614">
        <f>CC266-CC286</f>
        <v>8.1320250024963459E-2</v>
      </c>
      <c r="CD269" s="614">
        <f>CD266-CD286</f>
        <v>4.4675675068428955E-2</v>
      </c>
      <c r="CE269" s="614">
        <f>CE266-CE286</f>
        <v>-3.6616871384937966E-3</v>
      </c>
      <c r="CF269" s="614">
        <f>CF266-CF286</f>
        <v>-6.7778355373609989E-2</v>
      </c>
      <c r="CG269" s="614">
        <f>SUM(CC269:CF269)</f>
        <v>5.4555882581288628E-2</v>
      </c>
      <c r="CH269" s="48"/>
      <c r="CI269" s="614">
        <f>CI266-CI286</f>
        <v>-0.16669506215748831</v>
      </c>
      <c r="CJ269" s="614">
        <f>CJ266-CJ286</f>
        <v>-0.20543477439951974</v>
      </c>
      <c r="CK269" s="614">
        <f>CK266-CK286</f>
        <v>-0.26276881170219735</v>
      </c>
      <c r="CL269" s="614">
        <f>CL266-CL286</f>
        <v>-0.3323423425616292</v>
      </c>
      <c r="CM269" s="614">
        <f>SUM(CI269:CL269)</f>
        <v>-0.96724099082083459</v>
      </c>
    </row>
    <row r="273" spans="2:91" ht="12" customHeight="1" x14ac:dyDescent="0.2">
      <c r="B273" s="53" t="s">
        <v>504</v>
      </c>
      <c r="C273" s="721">
        <f>C5</f>
        <v>39172</v>
      </c>
      <c r="D273" s="721">
        <f>D5</f>
        <v>39263</v>
      </c>
      <c r="E273" s="721">
        <f>E5</f>
        <v>39355</v>
      </c>
      <c r="F273" s="721">
        <f>F5</f>
        <v>39447</v>
      </c>
      <c r="G273" s="721"/>
      <c r="H273" s="164"/>
      <c r="I273" s="721">
        <f>I5</f>
        <v>39538</v>
      </c>
      <c r="J273" s="721">
        <f>J5</f>
        <v>39629</v>
      </c>
      <c r="K273" s="721">
        <f>K5</f>
        <v>39721</v>
      </c>
      <c r="L273" s="721">
        <f>L5</f>
        <v>39813</v>
      </c>
      <c r="M273" s="721"/>
      <c r="N273" s="164"/>
      <c r="O273" s="721">
        <f>O5</f>
        <v>39903</v>
      </c>
      <c r="P273" s="721">
        <f>P5</f>
        <v>39994</v>
      </c>
      <c r="Q273" s="721">
        <f>Q5</f>
        <v>40086</v>
      </c>
      <c r="R273" s="721">
        <f>R5</f>
        <v>40178</v>
      </c>
      <c r="S273" s="721"/>
      <c r="T273" s="164"/>
      <c r="U273" s="721">
        <f>U5</f>
        <v>40268</v>
      </c>
      <c r="V273" s="721">
        <f>V5</f>
        <v>40359</v>
      </c>
      <c r="W273" s="721">
        <f>W5</f>
        <v>40451</v>
      </c>
      <c r="X273" s="721">
        <f>X5</f>
        <v>40543</v>
      </c>
      <c r="Y273" s="721"/>
      <c r="Z273" s="164"/>
      <c r="AA273" s="721">
        <f>AA5</f>
        <v>40633</v>
      </c>
      <c r="AB273" s="721">
        <f>AB5</f>
        <v>40724</v>
      </c>
      <c r="AC273" s="721">
        <f>AC5</f>
        <v>40816</v>
      </c>
      <c r="AD273" s="721">
        <f>AD5</f>
        <v>40908</v>
      </c>
      <c r="AE273" s="721"/>
      <c r="AF273" s="164"/>
      <c r="AG273" s="721">
        <f>AG5</f>
        <v>40999</v>
      </c>
      <c r="AH273" s="721">
        <f>AH5</f>
        <v>41090</v>
      </c>
      <c r="AI273" s="721">
        <f>AI5</f>
        <v>41182</v>
      </c>
      <c r="AJ273" s="721">
        <f>AJ5</f>
        <v>41274</v>
      </c>
      <c r="AK273" s="721"/>
      <c r="AL273" s="228"/>
      <c r="AM273" s="721">
        <f>AM5</f>
        <v>41364</v>
      </c>
      <c r="AN273" s="721">
        <f>AN5</f>
        <v>41455</v>
      </c>
      <c r="AO273" s="721">
        <f>AO5</f>
        <v>41547</v>
      </c>
      <c r="AP273" s="721">
        <f>AP5</f>
        <v>41639</v>
      </c>
      <c r="AQ273" s="721"/>
      <c r="AR273" s="228"/>
      <c r="AS273" s="721">
        <f>AS5</f>
        <v>41729</v>
      </c>
      <c r="AT273" s="721">
        <f>AT5</f>
        <v>41820</v>
      </c>
      <c r="AU273" s="721">
        <f>AU5</f>
        <v>41912</v>
      </c>
      <c r="AV273" s="721">
        <f>AV5</f>
        <v>42004</v>
      </c>
      <c r="AW273" s="721"/>
      <c r="AX273" s="228"/>
      <c r="AY273" s="721">
        <f>AY5</f>
        <v>42094</v>
      </c>
      <c r="AZ273" s="721">
        <f>AZ5</f>
        <v>42185</v>
      </c>
      <c r="BA273" s="721">
        <f>BA5</f>
        <v>42277</v>
      </c>
      <c r="BB273" s="721">
        <f>BB5</f>
        <v>42369</v>
      </c>
      <c r="BC273" s="721"/>
      <c r="BD273" s="228"/>
      <c r="BE273" s="721">
        <f>BE5</f>
        <v>42460</v>
      </c>
      <c r="BF273" s="721">
        <f>BF5</f>
        <v>42551</v>
      </c>
      <c r="BG273" s="721">
        <f>BG5</f>
        <v>42643</v>
      </c>
      <c r="BH273" s="721">
        <f>BH5</f>
        <v>42735</v>
      </c>
      <c r="BI273" s="721"/>
      <c r="BJ273" s="228"/>
      <c r="BK273" s="721">
        <f>BK5</f>
        <v>42825</v>
      </c>
      <c r="BL273" s="721">
        <f>BL5</f>
        <v>42916</v>
      </c>
      <c r="BM273" s="721">
        <f>BM5</f>
        <v>43008</v>
      </c>
      <c r="BN273" s="721">
        <f>BN5</f>
        <v>43100</v>
      </c>
      <c r="BO273" s="721"/>
      <c r="BP273" s="228"/>
      <c r="BQ273" s="721">
        <f>BQ5</f>
        <v>43190</v>
      </c>
      <c r="BR273" s="721">
        <f>BR5</f>
        <v>43281</v>
      </c>
      <c r="BS273" s="721">
        <f>BS5</f>
        <v>43373</v>
      </c>
      <c r="BT273" s="721">
        <f>BT5</f>
        <v>43465</v>
      </c>
      <c r="BU273" s="721"/>
      <c r="BV273" s="228"/>
      <c r="BW273" s="721">
        <f>BW5</f>
        <v>43555</v>
      </c>
      <c r="BX273" s="721">
        <f>BX5</f>
        <v>43646</v>
      </c>
      <c r="BY273" s="721">
        <f>BY5</f>
        <v>43738</v>
      </c>
      <c r="BZ273" s="721">
        <f>BZ5</f>
        <v>43830</v>
      </c>
      <c r="CA273" s="721"/>
      <c r="CB273" s="228"/>
      <c r="CC273" s="721">
        <f>CC5</f>
        <v>43921</v>
      </c>
      <c r="CD273" s="721">
        <f>CD5</f>
        <v>44012</v>
      </c>
      <c r="CE273" s="721">
        <f>CE5</f>
        <v>44104</v>
      </c>
      <c r="CF273" s="721">
        <f>CF5</f>
        <v>44196</v>
      </c>
      <c r="CG273" s="164"/>
    </row>
    <row r="274" spans="2:91" s="24" customFormat="1" ht="12" customHeight="1" x14ac:dyDescent="0.2">
      <c r="B274" s="43" t="s">
        <v>308</v>
      </c>
      <c r="C274" s="990">
        <v>65.063999999999993</v>
      </c>
      <c r="D274" s="990">
        <v>104.078</v>
      </c>
      <c r="E274" s="990">
        <v>69.432999999999979</v>
      </c>
      <c r="F274" s="990">
        <v>141.82099999999997</v>
      </c>
      <c r="G274" s="990">
        <v>65.063999999999993</v>
      </c>
      <c r="H274" s="990"/>
      <c r="I274" s="990">
        <v>169.38399999999999</v>
      </c>
      <c r="J274" s="990">
        <v>90.660000000000011</v>
      </c>
      <c r="K274" s="990">
        <v>113.45400000000004</v>
      </c>
      <c r="L274" s="990">
        <v>54.205000000000013</v>
      </c>
      <c r="M274" s="990">
        <v>169.38399999999999</v>
      </c>
      <c r="N274" s="990"/>
      <c r="O274" s="990">
        <v>203.99100000000004</v>
      </c>
      <c r="P274" s="990">
        <v>226.29899999999995</v>
      </c>
      <c r="Q274" s="990">
        <v>251.8709999999999</v>
      </c>
      <c r="R274" s="990">
        <v>333.36799999999994</v>
      </c>
      <c r="S274" s="990">
        <v>203.99100000000004</v>
      </c>
      <c r="T274" s="990"/>
      <c r="U274" s="990">
        <v>450.3479999999999</v>
      </c>
      <c r="V274" s="990">
        <v>405.01700000000005</v>
      </c>
      <c r="W274" s="990">
        <v>340.34700000000009</v>
      </c>
      <c r="X274" s="990">
        <v>534.24300000000017</v>
      </c>
      <c r="Y274" s="990">
        <v>450.3479999999999</v>
      </c>
      <c r="Z274" s="990"/>
      <c r="AA274" s="990">
        <v>540.03800000000012</v>
      </c>
      <c r="AB274" s="990">
        <v>575.26400000000001</v>
      </c>
      <c r="AC274" s="990">
        <v>671.71</v>
      </c>
      <c r="AD274" s="990">
        <v>81.866</v>
      </c>
      <c r="AE274" s="990">
        <v>540.03800000000012</v>
      </c>
      <c r="AF274" s="990"/>
      <c r="AG274" s="990">
        <v>77.128</v>
      </c>
      <c r="AH274" s="990">
        <v>67.346000000000004</v>
      </c>
      <c r="AI274" s="990">
        <v>53.21</v>
      </c>
      <c r="AJ274" s="990">
        <v>56.075000000000003</v>
      </c>
      <c r="AK274" s="990">
        <v>77.128</v>
      </c>
      <c r="AL274" s="990"/>
      <c r="AM274" s="990">
        <v>80.132000000000005</v>
      </c>
      <c r="AN274" s="990">
        <v>56.203000000000003</v>
      </c>
      <c r="AO274" s="990">
        <v>57.027000000000001</v>
      </c>
      <c r="AP274" s="990">
        <v>50.658000000000001</v>
      </c>
      <c r="AQ274" s="990">
        <v>80.132000000000005</v>
      </c>
      <c r="AR274" s="990"/>
      <c r="AS274" s="990">
        <v>74.953999999999994</v>
      </c>
      <c r="AT274" s="990">
        <v>55.823</v>
      </c>
      <c r="AU274" s="990">
        <v>66.929000000000002</v>
      </c>
      <c r="AV274" s="990">
        <v>97.652000000000001</v>
      </c>
      <c r="AW274" s="990">
        <v>74.953999999999994</v>
      </c>
      <c r="AX274" s="990"/>
      <c r="AY274" s="990">
        <v>151.63900000000001</v>
      </c>
      <c r="AZ274" s="990">
        <v>100.619</v>
      </c>
      <c r="BA274" s="990">
        <v>96.471999999999994</v>
      </c>
      <c r="BB274" s="990">
        <v>236.4</v>
      </c>
      <c r="BC274" s="990">
        <v>151.63900000000001</v>
      </c>
      <c r="BD274" s="990"/>
      <c r="BE274" s="990">
        <v>284.60000000000002</v>
      </c>
      <c r="BF274" s="990">
        <v>211.65075097278847</v>
      </c>
      <c r="BG274" s="990">
        <v>183.51715444454285</v>
      </c>
      <c r="BH274" s="990">
        <v>98.375369663153606</v>
      </c>
      <c r="BI274" s="990">
        <v>284.60000000000002</v>
      </c>
      <c r="BJ274" s="990"/>
      <c r="BK274" s="990">
        <v>338.79171729507283</v>
      </c>
      <c r="BL274" s="990">
        <v>479.75361219928504</v>
      </c>
      <c r="BM274" s="990">
        <v>552.91076671365408</v>
      </c>
      <c r="BN274" s="990">
        <v>523.90303562063809</v>
      </c>
      <c r="BO274" s="990">
        <v>338.79171729507283</v>
      </c>
      <c r="BP274" s="990"/>
      <c r="BQ274" s="990">
        <v>788.82567479820636</v>
      </c>
      <c r="BR274" s="990">
        <v>680.29781702791502</v>
      </c>
      <c r="BS274" s="990">
        <v>736.38462103779477</v>
      </c>
      <c r="BT274" s="990">
        <v>684.97323359366442</v>
      </c>
      <c r="BU274" s="990">
        <v>788.82567479820636</v>
      </c>
      <c r="BV274" s="990"/>
      <c r="BW274" s="990">
        <v>973.77454578511788</v>
      </c>
      <c r="BX274" s="990">
        <v>936.63094050691302</v>
      </c>
      <c r="BY274" s="990">
        <v>990.94324797254217</v>
      </c>
      <c r="BZ274" s="990">
        <v>927.07103866977468</v>
      </c>
      <c r="CA274" s="990">
        <v>973.77454578511788</v>
      </c>
      <c r="CB274" s="990"/>
      <c r="CC274" s="990">
        <v>1265.8084511992911</v>
      </c>
      <c r="CD274" s="990">
        <v>1190.0531992364577</v>
      </c>
      <c r="CE274" s="990">
        <v>1236.5989573556838</v>
      </c>
      <c r="CF274" s="990">
        <v>1160.603536844566</v>
      </c>
      <c r="CG274" s="990">
        <v>1265.8084511992911</v>
      </c>
    </row>
    <row r="275" spans="2:91" s="24" customFormat="1" ht="12" customHeight="1" x14ac:dyDescent="0.2">
      <c r="B275" s="43" t="s">
        <v>309</v>
      </c>
      <c r="C275" s="990"/>
      <c r="D275" s="990">
        <v>86.755499999999984</v>
      </c>
      <c r="E275" s="990">
        <v>105.62699999999998</v>
      </c>
      <c r="F275" s="990">
        <v>155.60249999999996</v>
      </c>
      <c r="G275" s="991">
        <v>115.99499999999996</v>
      </c>
      <c r="H275" s="992"/>
      <c r="I275" s="990">
        <v>130.02199999999999</v>
      </c>
      <c r="J275" s="990">
        <v>102.05700000000002</v>
      </c>
      <c r="K275" s="990">
        <v>83.829500000000024</v>
      </c>
      <c r="L275" s="990">
        <v>129.09800000000001</v>
      </c>
      <c r="M275" s="991">
        <v>111.251625</v>
      </c>
      <c r="N275" s="992"/>
      <c r="O275" s="990">
        <v>215.14499999999998</v>
      </c>
      <c r="P275" s="990">
        <v>239.08499999999992</v>
      </c>
      <c r="Q275" s="990">
        <v>292.6194999999999</v>
      </c>
      <c r="R275" s="990">
        <v>391.85799999999995</v>
      </c>
      <c r="S275" s="991">
        <v>284.67687499999994</v>
      </c>
      <c r="T275" s="992"/>
      <c r="U275" s="990">
        <v>427.6825</v>
      </c>
      <c r="V275" s="990">
        <v>372.68200000000007</v>
      </c>
      <c r="W275" s="990">
        <v>437.29500000000013</v>
      </c>
      <c r="X275" s="990">
        <v>537.1405000000002</v>
      </c>
      <c r="Y275" s="991">
        <v>443.7000000000001</v>
      </c>
      <c r="Z275" s="992"/>
      <c r="AA275" s="990">
        <v>557.65100000000007</v>
      </c>
      <c r="AB275" s="990">
        <v>623.48700000000008</v>
      </c>
      <c r="AC275" s="990">
        <v>376.78800000000001</v>
      </c>
      <c r="AD275" s="990">
        <v>79.497</v>
      </c>
      <c r="AE275" s="991">
        <v>409.35575000000006</v>
      </c>
      <c r="AF275" s="992"/>
      <c r="AG275" s="990">
        <v>72.236999999999995</v>
      </c>
      <c r="AH275" s="990">
        <v>60.278000000000006</v>
      </c>
      <c r="AI275" s="990">
        <v>54.642499999999998</v>
      </c>
      <c r="AJ275" s="990">
        <v>68.103499999999997</v>
      </c>
      <c r="AK275" s="991">
        <v>63.815249999999992</v>
      </c>
      <c r="AL275" s="993"/>
      <c r="AM275" s="990">
        <v>68.167500000000004</v>
      </c>
      <c r="AN275" s="990">
        <v>56.615000000000002</v>
      </c>
      <c r="AO275" s="990">
        <v>53.842500000000001</v>
      </c>
      <c r="AP275" s="990">
        <v>62.805999999999997</v>
      </c>
      <c r="AQ275" s="991">
        <v>60.357749999999996</v>
      </c>
      <c r="AR275" s="993"/>
      <c r="AS275" s="990">
        <v>65.388499999999993</v>
      </c>
      <c r="AT275" s="990">
        <v>61.376000000000005</v>
      </c>
      <c r="AU275" s="990">
        <v>82.290500000000009</v>
      </c>
      <c r="AV275" s="990">
        <v>124.6455</v>
      </c>
      <c r="AW275" s="991">
        <v>83.425125000000008</v>
      </c>
      <c r="AX275" s="993"/>
      <c r="AY275" s="990">
        <v>126.129</v>
      </c>
      <c r="AZ275" s="990">
        <v>98.545500000000004</v>
      </c>
      <c r="BA275" s="990">
        <v>166.43600000000001</v>
      </c>
      <c r="BB275" s="990">
        <v>260.5</v>
      </c>
      <c r="BC275" s="991">
        <v>162.902625</v>
      </c>
      <c r="BD275" s="993"/>
      <c r="BE275" s="990">
        <v>248.12537548639426</v>
      </c>
      <c r="BF275" s="990">
        <v>197.58395270866566</v>
      </c>
      <c r="BG275" s="990">
        <v>140.94626205384822</v>
      </c>
      <c r="BH275" s="990">
        <v>218.58354347911322</v>
      </c>
      <c r="BI275" s="991">
        <v>201.30978343200533</v>
      </c>
      <c r="BJ275" s="993"/>
      <c r="BK275" s="990">
        <v>409.27266474717896</v>
      </c>
      <c r="BL275" s="990">
        <v>516.33218945646956</v>
      </c>
      <c r="BM275" s="990">
        <v>538.40690116714609</v>
      </c>
      <c r="BN275" s="990">
        <v>656.36435520942223</v>
      </c>
      <c r="BO275" s="991">
        <v>530.09402764505421</v>
      </c>
      <c r="BP275" s="993"/>
      <c r="BQ275" s="990">
        <v>734.56174591306069</v>
      </c>
      <c r="BR275" s="990">
        <v>708.34121903285495</v>
      </c>
      <c r="BS275" s="990">
        <v>710.67892731572965</v>
      </c>
      <c r="BT275" s="990">
        <v>829.37388968939115</v>
      </c>
      <c r="BU275" s="991">
        <v>745.73894548775911</v>
      </c>
      <c r="BV275" s="993"/>
      <c r="BW275" s="990">
        <v>955.20274314601545</v>
      </c>
      <c r="BX275" s="990">
        <v>963.78709423972759</v>
      </c>
      <c r="BY275" s="990">
        <v>959.00714332115842</v>
      </c>
      <c r="BZ275" s="990">
        <v>1096.4397449345329</v>
      </c>
      <c r="CA275" s="991">
        <v>993.60918141035859</v>
      </c>
      <c r="CB275" s="993"/>
      <c r="CC275" s="990">
        <v>1227.9308252178744</v>
      </c>
      <c r="CD275" s="990">
        <v>1213.3260782960706</v>
      </c>
      <c r="CE275" s="990">
        <v>1198.601247100125</v>
      </c>
      <c r="CF275" s="990">
        <v>1357.3341571290812</v>
      </c>
      <c r="CG275" s="991">
        <v>1249.2980769357878</v>
      </c>
    </row>
    <row r="276" spans="2:91" ht="12" customHeight="1" x14ac:dyDescent="0.2">
      <c r="B276" s="112" t="s">
        <v>310</v>
      </c>
      <c r="C276" s="224"/>
      <c r="D276" s="224">
        <f>(D277*4)/D274</f>
        <v>0.26883683391302676</v>
      </c>
      <c r="E276" s="224">
        <f>(E277*4)/E274</f>
        <v>0.38097158411706261</v>
      </c>
      <c r="F276" s="224">
        <f>(F277*4)/F274</f>
        <v>0.17822466348425128</v>
      </c>
      <c r="G276" s="225">
        <f>(G277)/G274</f>
        <v>0.40618467969998778</v>
      </c>
      <c r="H276" s="226"/>
      <c r="I276" s="224">
        <f>(I277*4)/I274</f>
        <v>0.1230340528030983</v>
      </c>
      <c r="J276" s="224">
        <f>(J277*4)/J274</f>
        <v>0.20670637546878443</v>
      </c>
      <c r="K276" s="224">
        <f>(K277*4)/K274</f>
        <v>0.16461297089569335</v>
      </c>
      <c r="L276" s="224">
        <f>(L277*4)/L274</f>
        <v>0.18632967438428175</v>
      </c>
      <c r="M276" s="225">
        <f>(M277)/M274</f>
        <v>0.1008891040476078</v>
      </c>
      <c r="N276" s="226"/>
      <c r="O276" s="224">
        <f>(O277*4)/O274</f>
        <v>3.8354633292645254E-2</v>
      </c>
      <c r="P276" s="224">
        <f>(P277*4)/P274</f>
        <v>2.6725703604523227E-2</v>
      </c>
      <c r="Q276" s="224">
        <f>(Q277*4)/Q274</f>
        <v>1.3626022845027817E-2</v>
      </c>
      <c r="R276" s="224">
        <f>(R277*4)/R274</f>
        <v>8.4711190036236301E-3</v>
      </c>
      <c r="S276" s="225">
        <f>(S277)/S274</f>
        <v>2.4667754949973277E-2</v>
      </c>
      <c r="T276" s="226"/>
      <c r="U276" s="224">
        <f>(U277*4)/U274</f>
        <v>6.9901498396795388E-3</v>
      </c>
      <c r="V276" s="224">
        <f>(V277*4)/V274</f>
        <v>8.16755839878326E-3</v>
      </c>
      <c r="W276" s="224">
        <f>(W277*4)/W274</f>
        <v>1.4902437806121396E-2</v>
      </c>
      <c r="X276" s="224">
        <f>(X277*4)/X274</f>
        <v>1.0272479003000504E-2</v>
      </c>
      <c r="Y276" s="225">
        <f>(Y277)/Y274</f>
        <v>9.4460284047003656E-3</v>
      </c>
      <c r="Z276" s="226"/>
      <c r="AA276" s="224">
        <f>(AA277*4)/AA274</f>
        <v>1.3539787940848605E-2</v>
      </c>
      <c r="AB276" s="227">
        <v>0.02</v>
      </c>
      <c r="AC276" s="227">
        <v>0.02</v>
      </c>
      <c r="AD276" s="227">
        <v>0.02</v>
      </c>
      <c r="AE276" s="224">
        <f>(AE277)/AE274</f>
        <v>1.568815527796192E-2</v>
      </c>
      <c r="AF276" s="226"/>
      <c r="AG276" s="227">
        <v>0.02</v>
      </c>
      <c r="AH276" s="227">
        <v>0.02</v>
      </c>
      <c r="AI276" s="227">
        <v>0.02</v>
      </c>
      <c r="AJ276" s="227">
        <v>0.08</v>
      </c>
      <c r="AK276" s="224">
        <f>(AK277)/AK274</f>
        <v>2.7356083393838816E-2</v>
      </c>
      <c r="AL276" s="226"/>
      <c r="AM276" s="227">
        <v>0.08</v>
      </c>
      <c r="AN276" s="227">
        <v>0.05</v>
      </c>
      <c r="AO276" s="227">
        <v>0.04</v>
      </c>
      <c r="AP276" s="227">
        <v>0.03</v>
      </c>
      <c r="AQ276" s="224">
        <f>(AQ277)/AQ274</f>
        <v>4.06252495881795E-2</v>
      </c>
      <c r="AR276" s="226"/>
      <c r="AS276" s="227">
        <v>0.01</v>
      </c>
      <c r="AT276" s="227">
        <v>0.01</v>
      </c>
      <c r="AU276" s="227">
        <v>0.01</v>
      </c>
      <c r="AV276" s="227">
        <v>0.01</v>
      </c>
      <c r="AW276" s="224">
        <f>(AW277)/AW274</f>
        <v>9.8513088027323455E-3</v>
      </c>
      <c r="AX276" s="226"/>
      <c r="AY276" s="227">
        <v>0.02</v>
      </c>
      <c r="AZ276" s="227">
        <v>0.02</v>
      </c>
      <c r="BA276" s="227">
        <v>0.02</v>
      </c>
      <c r="BB276" s="227">
        <v>0.02</v>
      </c>
      <c r="BC276" s="224">
        <f>(BC277)/BC274</f>
        <v>1.9293519477179354E-2</v>
      </c>
      <c r="BD276" s="226"/>
      <c r="BE276" s="227">
        <v>1.7000000000000001E-2</v>
      </c>
      <c r="BF276" s="227">
        <v>1.7000000000000001E-2</v>
      </c>
      <c r="BG276" s="227">
        <v>1.7000000000000001E-2</v>
      </c>
      <c r="BH276" s="227">
        <v>1.7000000000000001E-2</v>
      </c>
      <c r="BI276" s="224">
        <f>(BI277)/BI274</f>
        <v>1.1620199996809773E-2</v>
      </c>
      <c r="BJ276" s="226"/>
      <c r="BK276" s="227">
        <v>0.02</v>
      </c>
      <c r="BL276" s="227">
        <v>0.02</v>
      </c>
      <c r="BM276" s="227">
        <v>0.02</v>
      </c>
      <c r="BN276" s="227">
        <v>0.02</v>
      </c>
      <c r="BO276" s="224">
        <f>(BO277)/BO274</f>
        <v>2.7972335731246266E-2</v>
      </c>
      <c r="BP276" s="226"/>
      <c r="BQ276" s="227">
        <v>0.02</v>
      </c>
      <c r="BR276" s="227">
        <v>0.02</v>
      </c>
      <c r="BS276" s="227">
        <v>0.02</v>
      </c>
      <c r="BT276" s="227">
        <v>0.02</v>
      </c>
      <c r="BU276" s="224">
        <f>(BU277)/BU274</f>
        <v>1.8321420301114121E-2</v>
      </c>
      <c r="BV276" s="226"/>
      <c r="BW276" s="227">
        <v>0.02</v>
      </c>
      <c r="BX276" s="227">
        <v>0.02</v>
      </c>
      <c r="BY276" s="227">
        <v>0.02</v>
      </c>
      <c r="BZ276" s="227">
        <v>0.02</v>
      </c>
      <c r="CA276" s="224">
        <f>(CA277)/CA274</f>
        <v>1.9657629117054175E-2</v>
      </c>
      <c r="CB276" s="226"/>
      <c r="CC276" s="227">
        <v>0.02</v>
      </c>
      <c r="CD276" s="227">
        <v>0.02</v>
      </c>
      <c r="CE276" s="227">
        <v>0.02</v>
      </c>
      <c r="CF276" s="227">
        <v>0.02</v>
      </c>
      <c r="CG276" s="224">
        <f>(CG277)/CG274</f>
        <v>1.9169820441781532E-2</v>
      </c>
    </row>
    <row r="277" spans="2:91" ht="12" customHeight="1" x14ac:dyDescent="0.2">
      <c r="B277" s="11" t="s">
        <v>138</v>
      </c>
      <c r="C277" s="187">
        <f>'P&amp;L'!C22</f>
        <v>6.5010000000000003</v>
      </c>
      <c r="D277" s="187">
        <f>'P&amp;L'!D22</f>
        <v>6.9950000000000001</v>
      </c>
      <c r="E277" s="187">
        <f>'P&amp;L'!E22</f>
        <v>6.6130000000000004</v>
      </c>
      <c r="F277" s="187">
        <f>'P&amp;L'!F22</f>
        <v>6.3189999999999991</v>
      </c>
      <c r="G277" s="198">
        <f>SUM(C277:F277)</f>
        <v>26.428000000000001</v>
      </c>
      <c r="H277" s="183"/>
      <c r="I277" s="187">
        <f>'P&amp;L'!I22</f>
        <v>5.21</v>
      </c>
      <c r="J277" s="187">
        <f>'P&amp;L'!J22</f>
        <v>4.6849999999999996</v>
      </c>
      <c r="K277" s="187">
        <f>'P&amp;L'!K22</f>
        <v>4.6689999999999996</v>
      </c>
      <c r="L277" s="187">
        <f>'P&amp;L'!L22</f>
        <v>2.5249999999999986</v>
      </c>
      <c r="M277" s="198">
        <f>SUM(I277:L277)</f>
        <v>17.088999999999999</v>
      </c>
      <c r="N277" s="183"/>
      <c r="O277" s="187">
        <f>'P&amp;L'!O22</f>
        <v>1.956</v>
      </c>
      <c r="P277" s="187">
        <f>'P&amp;L'!P22</f>
        <v>1.512</v>
      </c>
      <c r="Q277" s="187">
        <f>'P&amp;L'!Q22</f>
        <v>0.85799999999999998</v>
      </c>
      <c r="R277" s="187">
        <f>'P&amp;L'!R22</f>
        <v>0.70600000000000041</v>
      </c>
      <c r="S277" s="198">
        <f>SUM(O277:R277)</f>
        <v>5.032</v>
      </c>
      <c r="T277" s="183"/>
      <c r="U277" s="187">
        <f>'P&amp;L'!U22</f>
        <v>0.78700000000000003</v>
      </c>
      <c r="V277" s="187">
        <f>'P&amp;L'!V22</f>
        <v>0.82699999999999996</v>
      </c>
      <c r="W277" s="187">
        <f>'P&amp;L'!W22</f>
        <v>1.268</v>
      </c>
      <c r="X277" s="187">
        <f>'P&amp;L'!X22</f>
        <v>1.3719999999999999</v>
      </c>
      <c r="Y277" s="198">
        <f>SUM(U277:X277)</f>
        <v>4.2539999999999996</v>
      </c>
      <c r="Z277" s="183"/>
      <c r="AA277" s="187">
        <f>'P&amp;L'!AA22</f>
        <v>1.8280000000000001</v>
      </c>
      <c r="AB277" s="187">
        <f>AB274*AB276/4</f>
        <v>2.8763200000000002</v>
      </c>
      <c r="AC277" s="187">
        <f>AC274*AC276/4</f>
        <v>3.3585500000000001</v>
      </c>
      <c r="AD277" s="187">
        <f>AD274*AD276/4</f>
        <v>0.40933000000000003</v>
      </c>
      <c r="AE277" s="187">
        <f>SUM(AA277:AD277)</f>
        <v>8.4722000000000008</v>
      </c>
      <c r="AF277" s="183"/>
      <c r="AG277" s="187">
        <f>AG274*AG276/4</f>
        <v>0.38563999999999998</v>
      </c>
      <c r="AH277" s="187">
        <f>AH274*AH276/4</f>
        <v>0.33673000000000003</v>
      </c>
      <c r="AI277" s="187">
        <f>AI274*AI276/4</f>
        <v>0.26605000000000001</v>
      </c>
      <c r="AJ277" s="187">
        <f>AJ274*AJ276/4</f>
        <v>1.1215000000000002</v>
      </c>
      <c r="AK277" s="187">
        <f>SUM(AG277:AJ277)</f>
        <v>2.1099200000000002</v>
      </c>
      <c r="AL277" s="136"/>
      <c r="AM277" s="187">
        <f>AM274*AM276/4</f>
        <v>1.6026400000000001</v>
      </c>
      <c r="AN277" s="187">
        <f>AN274*AN276/4</f>
        <v>0.70253750000000004</v>
      </c>
      <c r="AO277" s="187">
        <f>AO274*AO276/4</f>
        <v>0.57027000000000005</v>
      </c>
      <c r="AP277" s="187">
        <f>AP274*AP276/4</f>
        <v>0.37993500000000002</v>
      </c>
      <c r="AQ277" s="187">
        <f>SUM(AM277:AP277)</f>
        <v>3.2553825000000001</v>
      </c>
      <c r="AR277" s="136"/>
      <c r="AS277" s="187">
        <f>AS274*AS276/4</f>
        <v>0.187385</v>
      </c>
      <c r="AT277" s="187">
        <f>AT274*AT276/4</f>
        <v>0.1395575</v>
      </c>
      <c r="AU277" s="187">
        <f>AU274*AU276/4</f>
        <v>0.16732250000000001</v>
      </c>
      <c r="AV277" s="187">
        <f>AV274*AV276/4</f>
        <v>0.24413000000000001</v>
      </c>
      <c r="AW277" s="187">
        <f>SUM(AS277:AV277)</f>
        <v>0.73839500000000013</v>
      </c>
      <c r="AX277" s="136"/>
      <c r="AY277" s="187">
        <f>AY274*AY276/4</f>
        <v>0.75819500000000006</v>
      </c>
      <c r="AZ277" s="187">
        <f>AZ274*AZ276/4</f>
        <v>0.50309499999999996</v>
      </c>
      <c r="BA277" s="187">
        <f>BA274*BA276/4</f>
        <v>0.48235999999999996</v>
      </c>
      <c r="BB277" s="187">
        <f>BB274*BB276/4</f>
        <v>1.1820000000000002</v>
      </c>
      <c r="BC277" s="187">
        <f>SUM(AY277:BB277)</f>
        <v>2.9256500000000001</v>
      </c>
      <c r="BD277" s="136"/>
      <c r="BE277" s="187">
        <f>BE274*BE276/4</f>
        <v>1.2095500000000001</v>
      </c>
      <c r="BF277" s="187">
        <f>BF274*BF276/4</f>
        <v>0.89951569163435108</v>
      </c>
      <c r="BG277" s="187">
        <f>BG274*BG276/4</f>
        <v>0.77994790638930722</v>
      </c>
      <c r="BH277" s="187">
        <f>BH274*BH276/4</f>
        <v>0.41809532106840286</v>
      </c>
      <c r="BI277" s="187">
        <f>SUM(BE277:BH277)</f>
        <v>3.3071089190920615</v>
      </c>
      <c r="BJ277" s="136"/>
      <c r="BK277" s="187">
        <f>BK274*BK276/4</f>
        <v>1.6939585864753641</v>
      </c>
      <c r="BL277" s="187">
        <f>BL274*BL276/4</f>
        <v>2.3987680609964253</v>
      </c>
      <c r="BM277" s="187">
        <f>BM274*BM276/4</f>
        <v>2.7645538335682707</v>
      </c>
      <c r="BN277" s="187">
        <f>BN274*BN276/4</f>
        <v>2.6195151781031907</v>
      </c>
      <c r="BO277" s="187">
        <f>SUM(BK277:BN277)</f>
        <v>9.4767956591432494</v>
      </c>
      <c r="BP277" s="136"/>
      <c r="BQ277" s="187">
        <f>BQ274*BQ276/4</f>
        <v>3.944128373991032</v>
      </c>
      <c r="BR277" s="187">
        <f>BR274*BR276/4</f>
        <v>3.4014890851395752</v>
      </c>
      <c r="BS277" s="187">
        <f>BS274*BS276/4</f>
        <v>3.6819231051889738</v>
      </c>
      <c r="BT277" s="187">
        <f>BT274*BT276/4</f>
        <v>3.4248661679683221</v>
      </c>
      <c r="BU277" s="187">
        <f>SUM(BQ277:BT277)</f>
        <v>14.452406732287903</v>
      </c>
      <c r="BV277" s="136"/>
      <c r="BW277" s="187">
        <f>BW274*BW276/4</f>
        <v>4.8688727289255898</v>
      </c>
      <c r="BX277" s="187">
        <f>BX274*BX276/4</f>
        <v>4.6831547025345648</v>
      </c>
      <c r="BY277" s="187">
        <f>BY274*BY276/4</f>
        <v>4.9547162398627114</v>
      </c>
      <c r="BZ277" s="187">
        <f>BZ274*BZ276/4</f>
        <v>4.6353551933488735</v>
      </c>
      <c r="CA277" s="187">
        <f>SUM(BW277:BZ277)</f>
        <v>19.142098864671738</v>
      </c>
      <c r="CB277" s="136"/>
      <c r="CC277" s="187">
        <f>CC274*CC276/4</f>
        <v>6.3290422559964554</v>
      </c>
      <c r="CD277" s="187">
        <f>CD274*CD276/4</f>
        <v>5.9502659961822886</v>
      </c>
      <c r="CE277" s="187">
        <f>CE274*CE276/4</f>
        <v>6.1829947867784192</v>
      </c>
      <c r="CF277" s="187">
        <f>CF274*CF276/4</f>
        <v>5.80301768422283</v>
      </c>
      <c r="CG277" s="187">
        <f>SUM(CC277:CF277)</f>
        <v>24.265320723179993</v>
      </c>
    </row>
    <row r="278" spans="2:91" ht="12" customHeight="1" x14ac:dyDescent="0.2">
      <c r="B278" s="112" t="s">
        <v>7</v>
      </c>
      <c r="C278" s="31"/>
      <c r="D278" s="31"/>
      <c r="E278" s="31"/>
      <c r="F278" s="31"/>
      <c r="G278" s="52"/>
      <c r="H278" s="187"/>
      <c r="I278" s="187">
        <f>'P&amp;L'!I22</f>
        <v>5.21</v>
      </c>
      <c r="J278" s="187">
        <f>'P&amp;L'!J22</f>
        <v>4.6849999999999996</v>
      </c>
      <c r="K278" s="187">
        <f>'P&amp;L'!K22</f>
        <v>4.6689999999999996</v>
      </c>
      <c r="L278" s="187">
        <f>'P&amp;L'!L22</f>
        <v>2.5249999999999986</v>
      </c>
      <c r="M278" s="187">
        <f>'P&amp;L'!M22</f>
        <v>17.088999999999999</v>
      </c>
      <c r="N278" s="187"/>
      <c r="O278" s="187">
        <f>'P&amp;L'!O22</f>
        <v>1.956</v>
      </c>
      <c r="P278" s="187">
        <f>'P&amp;L'!P22</f>
        <v>1.512</v>
      </c>
      <c r="Q278" s="187">
        <f>'P&amp;L'!Q22</f>
        <v>0.85799999999999998</v>
      </c>
      <c r="R278" s="187">
        <f>'P&amp;L'!R22</f>
        <v>0.70600000000000041</v>
      </c>
      <c r="S278" s="187">
        <f>'P&amp;L'!S22</f>
        <v>5.032</v>
      </c>
      <c r="T278" s="187"/>
      <c r="U278" s="187">
        <f>'P&amp;L'!U22</f>
        <v>0.78700000000000003</v>
      </c>
      <c r="V278" s="187">
        <f>'P&amp;L'!V22</f>
        <v>0.82699999999999996</v>
      </c>
      <c r="W278" s="187">
        <f>'P&amp;L'!W22</f>
        <v>1.268</v>
      </c>
      <c r="X278" s="187">
        <f>'P&amp;L'!X22</f>
        <v>1.3719999999999999</v>
      </c>
      <c r="Y278" s="187">
        <f>'P&amp;L'!Y22</f>
        <v>4.2539999999999996</v>
      </c>
      <c r="Z278" s="187"/>
      <c r="AA278" s="187">
        <f>'P&amp;L'!AA22</f>
        <v>1.8280000000000001</v>
      </c>
      <c r="AB278" s="187">
        <f>'P&amp;L'!AB22</f>
        <v>2.4215999999999998</v>
      </c>
      <c r="AC278" s="187">
        <f>'P&amp;L'!AC22</f>
        <v>2.4180000000000001</v>
      </c>
      <c r="AD278" s="187">
        <f>'P&amp;L'!AD22</f>
        <v>2.7883999999999993</v>
      </c>
      <c r="AE278" s="187">
        <f>'P&amp;L'!AE22</f>
        <v>9.4559999999999995</v>
      </c>
      <c r="AF278" s="187"/>
      <c r="AG278" s="187">
        <f>'P&amp;L'!AG22</f>
        <v>2.2970000000000002</v>
      </c>
      <c r="AH278" s="187">
        <f>'P&amp;L'!AH22</f>
        <v>2.0110000000000001</v>
      </c>
      <c r="AI278" s="187">
        <f>'P&amp;L'!AI22</f>
        <v>2.3420000000000001</v>
      </c>
      <c r="AJ278" s="31"/>
      <c r="AK278" s="31"/>
      <c r="AL278" s="31"/>
      <c r="AM278" s="31"/>
      <c r="AN278" s="31"/>
      <c r="AO278" s="31"/>
      <c r="AP278" s="31"/>
      <c r="AQ278" s="31"/>
      <c r="AR278" s="31"/>
      <c r="AS278" s="31"/>
      <c r="AT278" s="31"/>
      <c r="AU278" s="31"/>
      <c r="AV278" s="31"/>
      <c r="AW278" s="31"/>
      <c r="AX278" s="31"/>
      <c r="AY278" s="31"/>
      <c r="AZ278" s="31"/>
      <c r="BA278" s="31"/>
      <c r="BB278" s="31"/>
      <c r="BC278" s="31"/>
      <c r="BD278" s="31"/>
      <c r="BE278" s="31"/>
      <c r="BF278" s="31"/>
      <c r="BG278" s="31"/>
      <c r="BH278" s="31"/>
      <c r="BI278" s="31"/>
      <c r="BJ278" s="31"/>
      <c r="BK278" s="31"/>
      <c r="BL278" s="31"/>
      <c r="BM278" s="31"/>
      <c r="BN278" s="31"/>
      <c r="BO278" s="31"/>
      <c r="BP278" s="31"/>
      <c r="BQ278" s="31"/>
      <c r="BR278" s="31"/>
      <c r="BS278" s="31"/>
      <c r="BT278" s="31"/>
      <c r="BU278" s="31"/>
      <c r="BV278" s="31"/>
      <c r="BW278" s="31"/>
      <c r="BX278" s="31"/>
      <c r="BY278" s="31"/>
      <c r="BZ278" s="31"/>
      <c r="CA278" s="31"/>
      <c r="CB278" s="31"/>
      <c r="CC278" s="31"/>
      <c r="CD278" s="31"/>
      <c r="CE278" s="31"/>
      <c r="CF278" s="31"/>
      <c r="CG278" s="31"/>
    </row>
    <row r="279" spans="2:91" ht="12" customHeight="1" x14ac:dyDescent="0.2">
      <c r="B279" s="112" t="s">
        <v>310</v>
      </c>
      <c r="C279" s="31"/>
      <c r="D279" s="31"/>
      <c r="E279" s="31"/>
      <c r="F279" s="31"/>
      <c r="G279" s="52"/>
      <c r="H279" s="492"/>
      <c r="I279" s="492">
        <f>I278/I275</f>
        <v>4.0070141975973299E-2</v>
      </c>
      <c r="J279" s="492">
        <f>J278/J275</f>
        <v>4.5905719352910615E-2</v>
      </c>
      <c r="K279" s="492">
        <f>K278/K275</f>
        <v>5.5696383731264031E-2</v>
      </c>
      <c r="L279" s="492">
        <f>L278/L275</f>
        <v>1.9558784799144822E-2</v>
      </c>
      <c r="M279" s="492">
        <f>M278/M275</f>
        <v>0.15360674507001582</v>
      </c>
      <c r="N279" s="492"/>
      <c r="O279" s="492">
        <f>O278/O275</f>
        <v>9.0915429129191944E-3</v>
      </c>
      <c r="P279" s="492">
        <f>P278/P275</f>
        <v>6.3241106719367614E-3</v>
      </c>
      <c r="Q279" s="492">
        <f>Q278/Q275</f>
        <v>2.9321354181795823E-3</v>
      </c>
      <c r="R279" s="492">
        <f>R278/R275</f>
        <v>1.8016730550352437E-3</v>
      </c>
      <c r="S279" s="492">
        <f>S278/S275</f>
        <v>1.7676181108844901E-2</v>
      </c>
      <c r="T279" s="492"/>
      <c r="U279" s="492">
        <f>U278/U275</f>
        <v>1.8401501113559709E-3</v>
      </c>
      <c r="V279" s="492">
        <f>V278/V275</f>
        <v>2.2190500211976961E-3</v>
      </c>
      <c r="W279" s="492">
        <f>W278/W275</f>
        <v>2.8996444048068229E-3</v>
      </c>
      <c r="X279" s="492">
        <f>X278/X275</f>
        <v>2.5542665280313052E-3</v>
      </c>
      <c r="Y279" s="492">
        <f>Y278/Y275</f>
        <v>9.5875591615956698E-3</v>
      </c>
      <c r="Z279" s="492"/>
      <c r="AA279" s="492">
        <f>AA278/AA275</f>
        <v>3.2780359041766263E-3</v>
      </c>
      <c r="AB279" s="492">
        <f>AB278/AB275</f>
        <v>3.8839622959259768E-3</v>
      </c>
      <c r="AC279" s="492">
        <f>AC278/AC275</f>
        <v>6.4174018280836968E-3</v>
      </c>
      <c r="AD279" s="492">
        <f>AD278/AD275</f>
        <v>3.5075537441664459E-2</v>
      </c>
      <c r="AE279" s="492">
        <f>AE278/AE275</f>
        <v>2.3099712169671487E-2</v>
      </c>
      <c r="AF279" s="492"/>
      <c r="AG279" s="492">
        <f>AG278/AG275</f>
        <v>3.1798109002311836E-2</v>
      </c>
      <c r="AH279" s="492">
        <f>AH278/AH275</f>
        <v>3.3362088987690365E-2</v>
      </c>
      <c r="AI279" s="492">
        <f>AI278/AI275</f>
        <v>4.2860410852358512E-2</v>
      </c>
      <c r="AJ279" s="31"/>
      <c r="AK279" s="31"/>
      <c r="AL279" s="31"/>
      <c r="AM279" s="31"/>
      <c r="AN279" s="31"/>
      <c r="AO279" s="31"/>
      <c r="AP279" s="31"/>
      <c r="AQ279" s="31"/>
      <c r="AR279" s="31"/>
      <c r="AS279" s="31"/>
      <c r="AT279" s="31"/>
      <c r="AU279" s="31"/>
      <c r="AV279" s="31"/>
      <c r="AW279" s="31"/>
      <c r="AX279" s="31"/>
      <c r="AY279" s="31"/>
      <c r="AZ279" s="31"/>
      <c r="BA279" s="31"/>
      <c r="BB279" s="31"/>
      <c r="BC279" s="31"/>
      <c r="BD279" s="31"/>
      <c r="BE279" s="31"/>
      <c r="BF279" s="31"/>
      <c r="BG279" s="31"/>
      <c r="BH279" s="31"/>
      <c r="BI279" s="31"/>
      <c r="BJ279" s="31"/>
      <c r="BK279" s="31"/>
      <c r="BL279" s="31"/>
      <c r="BM279" s="31"/>
      <c r="BN279" s="31"/>
      <c r="BO279" s="31"/>
      <c r="BP279" s="31"/>
      <c r="BQ279" s="31"/>
      <c r="BR279" s="31"/>
      <c r="BS279" s="31"/>
      <c r="BT279" s="31"/>
      <c r="BU279" s="31"/>
      <c r="BV279" s="31"/>
      <c r="BW279" s="31"/>
      <c r="BX279" s="31"/>
      <c r="BY279" s="31"/>
      <c r="BZ279" s="31"/>
      <c r="CA279" s="31"/>
      <c r="CB279" s="31"/>
      <c r="CC279" s="31"/>
      <c r="CD279" s="31"/>
      <c r="CE279" s="31"/>
      <c r="CF279" s="31"/>
      <c r="CG279" s="31"/>
    </row>
    <row r="282" spans="2:91" ht="12" customHeight="1" x14ac:dyDescent="0.2">
      <c r="B282" s="53" t="s">
        <v>505</v>
      </c>
      <c r="C282" s="722">
        <f>C233</f>
        <v>39082</v>
      </c>
      <c r="D282" s="722">
        <f>D233</f>
        <v>39172</v>
      </c>
      <c r="E282" s="722">
        <f>E233</f>
        <v>39263</v>
      </c>
      <c r="F282" s="722">
        <f>F233</f>
        <v>39355</v>
      </c>
      <c r="G282" s="48"/>
      <c r="H282" s="48"/>
      <c r="I282" s="722">
        <f>I233</f>
        <v>39447</v>
      </c>
      <c r="J282" s="722">
        <f>J233</f>
        <v>39538</v>
      </c>
      <c r="K282" s="722">
        <f>K233</f>
        <v>39629</v>
      </c>
      <c r="L282" s="722">
        <f>L233</f>
        <v>39721</v>
      </c>
      <c r="M282" s="48"/>
      <c r="N282" s="48"/>
      <c r="O282" s="722">
        <f>O233</f>
        <v>39813</v>
      </c>
      <c r="P282" s="722">
        <f>P233</f>
        <v>39903</v>
      </c>
      <c r="Q282" s="722">
        <f>Q233</f>
        <v>39994</v>
      </c>
      <c r="R282" s="722">
        <f>R233</f>
        <v>40086</v>
      </c>
      <c r="S282" s="48"/>
      <c r="T282" s="48"/>
      <c r="U282" s="722">
        <f>U233</f>
        <v>40178</v>
      </c>
      <c r="V282" s="722">
        <f>V233</f>
        <v>40268</v>
      </c>
      <c r="W282" s="722">
        <f>W233</f>
        <v>40359</v>
      </c>
      <c r="X282" s="722">
        <f>X233</f>
        <v>40451</v>
      </c>
      <c r="Y282" s="48"/>
      <c r="Z282" s="48"/>
      <c r="AA282" s="722">
        <f>AA233</f>
        <v>40543</v>
      </c>
      <c r="AB282" s="722">
        <f>AB233</f>
        <v>40633</v>
      </c>
      <c r="AC282" s="722">
        <f>AC233</f>
        <v>40724</v>
      </c>
      <c r="AD282" s="722">
        <f>AD233</f>
        <v>40816</v>
      </c>
      <c r="AE282" s="48"/>
      <c r="AF282" s="48"/>
      <c r="AG282" s="722">
        <f>AG233</f>
        <v>40908</v>
      </c>
      <c r="AH282" s="722">
        <f>AH233</f>
        <v>40999</v>
      </c>
      <c r="AI282" s="722">
        <f>AI233</f>
        <v>41090</v>
      </c>
      <c r="AJ282" s="722">
        <f>AJ233</f>
        <v>41182</v>
      </c>
      <c r="AK282" s="48"/>
      <c r="AL282" s="619"/>
      <c r="AM282" s="722">
        <f>AM233</f>
        <v>41273.25</v>
      </c>
      <c r="AN282" s="722">
        <f>AN233</f>
        <v>41364.25</v>
      </c>
      <c r="AO282" s="722">
        <f>AO233</f>
        <v>41455.25</v>
      </c>
      <c r="AP282" s="722">
        <f>AP233</f>
        <v>41547.25</v>
      </c>
      <c r="AQ282" s="48"/>
      <c r="AR282" s="619"/>
      <c r="AS282" s="722">
        <f>AS233</f>
        <v>41639</v>
      </c>
      <c r="AT282" s="722">
        <f>AT233</f>
        <v>41729</v>
      </c>
      <c r="AU282" s="722">
        <f>AU233</f>
        <v>41820</v>
      </c>
      <c r="AV282" s="722">
        <f>AV233</f>
        <v>41912</v>
      </c>
      <c r="AW282" s="48"/>
      <c r="AX282" s="619"/>
      <c r="AY282" s="722">
        <f>AY233</f>
        <v>42004</v>
      </c>
      <c r="AZ282" s="722">
        <f>AZ233</f>
        <v>42094</v>
      </c>
      <c r="BA282" s="722">
        <f>BA233</f>
        <v>42185</v>
      </c>
      <c r="BB282" s="722">
        <f>BB233</f>
        <v>42277</v>
      </c>
      <c r="BC282" s="48"/>
      <c r="BD282" s="619"/>
      <c r="BE282" s="722">
        <f>BE233</f>
        <v>42369</v>
      </c>
      <c r="BF282" s="722">
        <f>BF233</f>
        <v>42460</v>
      </c>
      <c r="BG282" s="722">
        <f>BG233</f>
        <v>42551</v>
      </c>
      <c r="BH282" s="722">
        <f>BH233</f>
        <v>42643</v>
      </c>
      <c r="BI282" s="48"/>
      <c r="BJ282" s="619"/>
      <c r="BK282" s="722">
        <f>BK233</f>
        <v>42734.25</v>
      </c>
      <c r="BL282" s="722">
        <f>BL233</f>
        <v>42825.25</v>
      </c>
      <c r="BM282" s="722">
        <f>BM233</f>
        <v>42916.25</v>
      </c>
      <c r="BN282" s="722">
        <f>BN233</f>
        <v>43008.25</v>
      </c>
      <c r="BO282" s="48"/>
      <c r="BP282" s="619"/>
      <c r="BQ282" s="722">
        <f>BQ233</f>
        <v>43099.5</v>
      </c>
      <c r="BR282" s="722">
        <f>BR233</f>
        <v>43190.5</v>
      </c>
      <c r="BS282" s="722">
        <f>BS233</f>
        <v>43281.5</v>
      </c>
      <c r="BT282" s="722">
        <f>BT233</f>
        <v>43373.5</v>
      </c>
      <c r="BU282" s="48"/>
      <c r="BV282" s="619"/>
      <c r="BW282" s="722">
        <f>BW233</f>
        <v>43464.75</v>
      </c>
      <c r="BX282" s="722">
        <f>BX233</f>
        <v>43555.75</v>
      </c>
      <c r="BY282" s="722">
        <f>BY233</f>
        <v>43646.75</v>
      </c>
      <c r="BZ282" s="722">
        <f>BZ233</f>
        <v>43738.75</v>
      </c>
      <c r="CA282" s="48"/>
      <c r="CB282" s="619"/>
      <c r="CC282" s="722">
        <f>CC233</f>
        <v>43830</v>
      </c>
      <c r="CD282" s="722">
        <f>CD233</f>
        <v>43921</v>
      </c>
      <c r="CE282" s="722">
        <f>CE233</f>
        <v>44012</v>
      </c>
      <c r="CF282" s="722">
        <f>CF233</f>
        <v>44104</v>
      </c>
      <c r="CG282" s="48"/>
      <c r="CH282" s="619"/>
      <c r="CI282" s="722">
        <f>CI233</f>
        <v>44195.25</v>
      </c>
      <c r="CJ282" s="48"/>
      <c r="CK282" s="48"/>
      <c r="CL282" s="48"/>
      <c r="CM282" s="48"/>
    </row>
    <row r="283" spans="2:91" s="24" customFormat="1" ht="12" customHeight="1" x14ac:dyDescent="0.2">
      <c r="B283" s="26" t="s">
        <v>308</v>
      </c>
      <c r="C283" s="590"/>
      <c r="D283" s="994">
        <v>52.622999999999998</v>
      </c>
      <c r="E283" s="994">
        <v>43.265999999999998</v>
      </c>
      <c r="F283" s="994">
        <v>58.491</v>
      </c>
      <c r="G283" s="994"/>
      <c r="H283" s="994"/>
      <c r="I283" s="994">
        <v>99.841999999999999</v>
      </c>
      <c r="J283" s="994">
        <v>89.825999999999993</v>
      </c>
      <c r="K283" s="994">
        <v>110.95399999999999</v>
      </c>
      <c r="L283" s="994">
        <v>122.82599999999999</v>
      </c>
      <c r="M283" s="994">
        <v>99.841999999999999</v>
      </c>
      <c r="N283" s="994"/>
      <c r="O283" s="994">
        <v>149.66300000000001</v>
      </c>
      <c r="P283" s="994">
        <v>143.68100000000001</v>
      </c>
      <c r="Q283" s="994">
        <v>157.50399999999999</v>
      </c>
      <c r="R283" s="994">
        <v>134.13499999999999</v>
      </c>
      <c r="S283" s="994">
        <v>149.66300000000001</v>
      </c>
      <c r="T283" s="994"/>
      <c r="U283" s="994">
        <v>181.09800000000001</v>
      </c>
      <c r="V283" s="994">
        <v>215.88</v>
      </c>
      <c r="W283" s="994">
        <v>162.43899999999999</v>
      </c>
      <c r="X283" s="994">
        <v>200.15799999999999</v>
      </c>
      <c r="Y283" s="994">
        <v>181.09800000000001</v>
      </c>
      <c r="Z283" s="994"/>
      <c r="AA283" s="994">
        <v>251.767</v>
      </c>
      <c r="AB283" s="994">
        <v>265.34699999999998</v>
      </c>
      <c r="AC283" s="994">
        <v>300.13600000000002</v>
      </c>
      <c r="AD283" s="994">
        <v>331.20299999999997</v>
      </c>
      <c r="AE283" s="994">
        <v>251.767</v>
      </c>
      <c r="AF283" s="994"/>
      <c r="AG283" s="994">
        <v>345.85899999999998</v>
      </c>
      <c r="AH283" s="994">
        <v>105.679</v>
      </c>
      <c r="AI283" s="994">
        <v>77.790000000000006</v>
      </c>
      <c r="AJ283" s="994">
        <v>104.6</v>
      </c>
      <c r="AK283" s="994">
        <v>345.85899999999998</v>
      </c>
      <c r="AL283" s="994"/>
      <c r="AM283" s="994">
        <v>151.08799999999999</v>
      </c>
      <c r="AN283" s="994">
        <v>124.17</v>
      </c>
      <c r="AO283" s="994">
        <v>156.08799999999999</v>
      </c>
      <c r="AP283" s="994">
        <v>205.70400000000001</v>
      </c>
      <c r="AQ283" s="994">
        <v>151.08799999999999</v>
      </c>
      <c r="AR283" s="994"/>
      <c r="AS283" s="994">
        <v>241.745</v>
      </c>
      <c r="AT283" s="994">
        <v>210.92</v>
      </c>
      <c r="AU283" s="994">
        <v>255.3</v>
      </c>
      <c r="AV283" s="994">
        <v>297</v>
      </c>
      <c r="AW283" s="994">
        <v>241.745</v>
      </c>
      <c r="AX283" s="994"/>
      <c r="AY283" s="994">
        <v>382.8</v>
      </c>
      <c r="AZ283" s="994">
        <v>368.1</v>
      </c>
      <c r="BA283" s="994">
        <v>400.3</v>
      </c>
      <c r="BB283" s="994">
        <v>422.6</v>
      </c>
      <c r="BC283" s="994">
        <v>382.8</v>
      </c>
      <c r="BD283" s="994"/>
      <c r="BE283" s="994">
        <v>517.79999999999995</v>
      </c>
      <c r="BF283" s="994">
        <v>485</v>
      </c>
      <c r="BG283" s="994">
        <v>545.26947186188499</v>
      </c>
      <c r="BH283" s="994">
        <v>570.88983371421909</v>
      </c>
      <c r="BI283" s="994">
        <v>517.79999999999995</v>
      </c>
      <c r="BJ283" s="994"/>
      <c r="BK283" s="994">
        <v>637.54660358471403</v>
      </c>
      <c r="BL283" s="994">
        <v>601.68761217304188</v>
      </c>
      <c r="BM283" s="994">
        <v>633.61210952664703</v>
      </c>
      <c r="BN283" s="994">
        <v>680.10843647946467</v>
      </c>
      <c r="BO283" s="994">
        <v>637.54660358471403</v>
      </c>
      <c r="BP283" s="994"/>
      <c r="BQ283" s="994">
        <v>750.91384278771648</v>
      </c>
      <c r="BR283" s="994">
        <v>771.55371657589558</v>
      </c>
      <c r="BS283" s="994">
        <v>808.18129735890159</v>
      </c>
      <c r="BT283" s="994">
        <v>860.68585691087537</v>
      </c>
      <c r="BU283" s="994">
        <v>750.91384278771648</v>
      </c>
      <c r="BV283" s="994"/>
      <c r="BW283" s="994">
        <v>940.86425924244486</v>
      </c>
      <c r="BX283" s="994">
        <v>968.95346345110795</v>
      </c>
      <c r="BY283" s="994">
        <v>1012.685196684494</v>
      </c>
      <c r="BZ283" s="994">
        <v>1071.290654475009</v>
      </c>
      <c r="CA283" s="994">
        <v>940.86425924244486</v>
      </c>
      <c r="CB283" s="994"/>
      <c r="CC283" s="994">
        <v>1161.179749975038</v>
      </c>
      <c r="CD283" s="994">
        <v>1197.8243249315726</v>
      </c>
      <c r="CE283" s="994">
        <v>1246.1616871384952</v>
      </c>
      <c r="CF283" s="994">
        <v>1310.2783553736115</v>
      </c>
      <c r="CG283" s="994">
        <v>1161.179749975038</v>
      </c>
      <c r="CH283" s="994"/>
      <c r="CI283" s="994">
        <v>1409.1950621574897</v>
      </c>
      <c r="CJ283" s="994">
        <v>1447.9347743995213</v>
      </c>
      <c r="CK283" s="994">
        <v>1505.2688117021987</v>
      </c>
      <c r="CL283" s="994">
        <v>1574.8423425616306</v>
      </c>
      <c r="CM283" s="994">
        <v>1409.1950621574897</v>
      </c>
    </row>
    <row r="284" spans="2:91" s="24" customFormat="1" ht="12" customHeight="1" x14ac:dyDescent="0.2">
      <c r="B284" s="26" t="s">
        <v>309</v>
      </c>
      <c r="C284" s="590"/>
      <c r="D284" s="994">
        <v>47.944499999999998</v>
      </c>
      <c r="E284" s="994">
        <v>50.878500000000003</v>
      </c>
      <c r="F284" s="994">
        <v>79.166499999999999</v>
      </c>
      <c r="G284" s="995"/>
      <c r="H284" s="996"/>
      <c r="I284" s="994">
        <v>94.834000000000003</v>
      </c>
      <c r="J284" s="994">
        <v>100.38999999999999</v>
      </c>
      <c r="K284" s="994">
        <v>116.88999999999999</v>
      </c>
      <c r="L284" s="994">
        <v>136.24450000000002</v>
      </c>
      <c r="M284" s="995">
        <v>112.089625</v>
      </c>
      <c r="N284" s="996"/>
      <c r="O284" s="994">
        <v>146.67200000000003</v>
      </c>
      <c r="P284" s="994">
        <v>150.5925</v>
      </c>
      <c r="Q284" s="994">
        <v>145.81950000000001</v>
      </c>
      <c r="R284" s="994">
        <v>157.6165</v>
      </c>
      <c r="S284" s="995">
        <v>150.17512500000001</v>
      </c>
      <c r="T284" s="996"/>
      <c r="U284" s="994">
        <v>198.489</v>
      </c>
      <c r="V284" s="994">
        <v>189.15949999999998</v>
      </c>
      <c r="W284" s="994">
        <v>181.29849999999999</v>
      </c>
      <c r="X284" s="994">
        <v>225.96249999999998</v>
      </c>
      <c r="Y284" s="995">
        <v>198.72737499999999</v>
      </c>
      <c r="Z284" s="996"/>
      <c r="AA284" s="994">
        <v>258.55700000000002</v>
      </c>
      <c r="AB284" s="994">
        <v>282.74149999999997</v>
      </c>
      <c r="AC284" s="994">
        <v>315.66949999999997</v>
      </c>
      <c r="AD284" s="994">
        <v>338.53099999999995</v>
      </c>
      <c r="AE284" s="995">
        <v>298.87474999999995</v>
      </c>
      <c r="AF284" s="996"/>
      <c r="AG284" s="994">
        <v>225.76900000000001</v>
      </c>
      <c r="AH284" s="994">
        <v>91.734499999999997</v>
      </c>
      <c r="AI284" s="994">
        <v>91.194999999999993</v>
      </c>
      <c r="AJ284" s="994">
        <v>127.84399999999999</v>
      </c>
      <c r="AK284" s="995">
        <v>134.135625</v>
      </c>
      <c r="AL284" s="967"/>
      <c r="AM284" s="994">
        <v>137.62899999999999</v>
      </c>
      <c r="AN284" s="994">
        <v>140.12899999999999</v>
      </c>
      <c r="AO284" s="994">
        <v>180.89600000000002</v>
      </c>
      <c r="AP284" s="994">
        <v>223.72450000000001</v>
      </c>
      <c r="AQ284" s="995">
        <v>170.59462500000001</v>
      </c>
      <c r="AR284" s="967"/>
      <c r="AS284" s="994">
        <v>226.33249999999998</v>
      </c>
      <c r="AT284" s="994">
        <v>233.11</v>
      </c>
      <c r="AU284" s="994">
        <v>276.14999999999998</v>
      </c>
      <c r="AV284" s="994">
        <v>339.9</v>
      </c>
      <c r="AW284" s="995">
        <v>268.87312499999996</v>
      </c>
      <c r="AX284" s="967"/>
      <c r="AY284" s="994">
        <v>375.45000000000005</v>
      </c>
      <c r="AZ284" s="994">
        <v>384.20000000000005</v>
      </c>
      <c r="BA284" s="994">
        <v>411.45000000000005</v>
      </c>
      <c r="BB284" s="994">
        <v>470.2</v>
      </c>
      <c r="BC284" s="995">
        <v>410.32500000000005</v>
      </c>
      <c r="BD284" s="967"/>
      <c r="BE284" s="994">
        <v>501.4</v>
      </c>
      <c r="BF284" s="994">
        <v>515.1347359309425</v>
      </c>
      <c r="BG284" s="994">
        <v>558.07965278805204</v>
      </c>
      <c r="BH284" s="994">
        <v>604.21821864946651</v>
      </c>
      <c r="BI284" s="995">
        <v>544.70815184211529</v>
      </c>
      <c r="BJ284" s="967"/>
      <c r="BK284" s="994">
        <v>619.61710787887796</v>
      </c>
      <c r="BL284" s="994">
        <v>617.64986084984446</v>
      </c>
      <c r="BM284" s="994">
        <v>656.86027300305591</v>
      </c>
      <c r="BN284" s="994">
        <v>715.51113963359057</v>
      </c>
      <c r="BO284" s="995">
        <v>652.40959534134231</v>
      </c>
      <c r="BP284" s="967"/>
      <c r="BQ284" s="994">
        <v>761.23377968180603</v>
      </c>
      <c r="BR284" s="994">
        <v>789.86750696739864</v>
      </c>
      <c r="BS284" s="994">
        <v>834.43357713488854</v>
      </c>
      <c r="BT284" s="994">
        <v>900.77505807666012</v>
      </c>
      <c r="BU284" s="995">
        <v>821.57748046518839</v>
      </c>
      <c r="BV284" s="967"/>
      <c r="BW284" s="994">
        <v>954.90886134677635</v>
      </c>
      <c r="BX284" s="994">
        <v>990.81933006780105</v>
      </c>
      <c r="BY284" s="994">
        <v>1041.9879255797514</v>
      </c>
      <c r="BZ284" s="994">
        <v>1116.2352022250234</v>
      </c>
      <c r="CA284" s="995">
        <v>1025.9878298048379</v>
      </c>
      <c r="CB284" s="967"/>
      <c r="CC284" s="994">
        <v>1179.5020374533053</v>
      </c>
      <c r="CD284" s="994">
        <v>1221.9930060350339</v>
      </c>
      <c r="CE284" s="994">
        <v>1278.2200212560533</v>
      </c>
      <c r="CF284" s="994">
        <v>1359.7367087655507</v>
      </c>
      <c r="CG284" s="995">
        <v>1259.8629433774859</v>
      </c>
      <c r="CH284" s="967"/>
      <c r="CI284" s="994">
        <v>1428.5649182785055</v>
      </c>
      <c r="CJ284" s="994">
        <v>1476.6017930508601</v>
      </c>
      <c r="CK284" s="994">
        <v>1540.0555771319146</v>
      </c>
      <c r="CL284" s="994">
        <v>1628.9199724584121</v>
      </c>
      <c r="CM284" s="995">
        <v>1518.5355652299231</v>
      </c>
    </row>
    <row r="285" spans="2:91" ht="12" customHeight="1" x14ac:dyDescent="0.2">
      <c r="B285" s="112" t="s">
        <v>310</v>
      </c>
      <c r="C285" s="616"/>
      <c r="D285" s="616"/>
      <c r="E285" s="616"/>
      <c r="F285" s="616"/>
      <c r="G285" s="616"/>
      <c r="H285" s="618"/>
      <c r="I285" s="616"/>
      <c r="J285" s="616"/>
      <c r="K285" s="616"/>
      <c r="L285" s="616"/>
      <c r="M285" s="616">
        <f>(M286)/M283</f>
        <v>4.9207748242222717E-2</v>
      </c>
      <c r="N285" s="618"/>
      <c r="O285" s="616"/>
      <c r="P285" s="616"/>
      <c r="Q285" s="616"/>
      <c r="R285" s="616"/>
      <c r="S285" s="616">
        <f>(S286)/S283</f>
        <v>1.040337291114036E-2</v>
      </c>
      <c r="T285" s="618"/>
      <c r="U285" s="616"/>
      <c r="V285" s="616"/>
      <c r="W285" s="616"/>
      <c r="X285" s="616"/>
      <c r="Y285" s="616">
        <f>(Y286)/Y283</f>
        <v>4.014401042529459E-3</v>
      </c>
      <c r="Z285" s="618"/>
      <c r="AA285" s="617">
        <v>4.0000000000000001E-3</v>
      </c>
      <c r="AB285" s="617">
        <v>4.0000000000000001E-3</v>
      </c>
      <c r="AC285" s="617">
        <v>4.0000000000000001E-3</v>
      </c>
      <c r="AD285" s="617">
        <v>4.0000000000000001E-3</v>
      </c>
      <c r="AE285" s="616">
        <f>AE286/AE283</f>
        <v>4.561570817462177E-3</v>
      </c>
      <c r="AF285" s="618"/>
      <c r="AG285" s="617">
        <v>4.0000000000000001E-3</v>
      </c>
      <c r="AH285" s="617">
        <v>4.0000000000000001E-3</v>
      </c>
      <c r="AI285" s="617">
        <v>4.0000000000000001E-3</v>
      </c>
      <c r="AJ285" s="617">
        <v>4.0000000000000001E-3</v>
      </c>
      <c r="AK285" s="616">
        <f>AK286/AK283</f>
        <v>1.8329087865286144E-3</v>
      </c>
      <c r="AL285" s="618"/>
      <c r="AM285" s="617">
        <v>4.0000000000000001E-3</v>
      </c>
      <c r="AN285" s="617">
        <v>4.0000000000000001E-3</v>
      </c>
      <c r="AO285" s="617">
        <v>4.0000000000000001E-3</v>
      </c>
      <c r="AP285" s="617">
        <v>4.0000000000000001E-3</v>
      </c>
      <c r="AQ285" s="616">
        <f>AQ286/AQ283</f>
        <v>4.216416922588161E-3</v>
      </c>
      <c r="AR285" s="618"/>
      <c r="AS285" s="617">
        <v>4.0000000000000001E-3</v>
      </c>
      <c r="AT285" s="617">
        <v>4.0000000000000001E-3</v>
      </c>
      <c r="AU285" s="617">
        <v>4.0000000000000001E-3</v>
      </c>
      <c r="AV285" s="617">
        <v>4.0000000000000001E-3</v>
      </c>
      <c r="AW285" s="616">
        <f>AW286/AW283</f>
        <v>4.157128379077126E-3</v>
      </c>
      <c r="AX285" s="618"/>
      <c r="AY285" s="617">
        <v>4.0000000000000001E-3</v>
      </c>
      <c r="AZ285" s="617">
        <v>4.0000000000000001E-3</v>
      </c>
      <c r="BA285" s="617">
        <v>4.0000000000000001E-3</v>
      </c>
      <c r="BB285" s="617">
        <v>4.0000000000000001E-3</v>
      </c>
      <c r="BC285" s="616">
        <f>BC286/BC283</f>
        <v>4.1112852664576807E-3</v>
      </c>
      <c r="BD285" s="618"/>
      <c r="BE285" s="617">
        <v>4.0000000000000001E-3</v>
      </c>
      <c r="BF285" s="617">
        <v>4.0000000000000001E-3</v>
      </c>
      <c r="BG285" s="617">
        <v>4.0000000000000001E-3</v>
      </c>
      <c r="BH285" s="617">
        <v>4.0000000000000001E-3</v>
      </c>
      <c r="BI285" s="616">
        <f>BI286/BI283</f>
        <v>4.0922350436000468E-3</v>
      </c>
      <c r="BJ285" s="618"/>
      <c r="BK285" s="617">
        <v>4.0000000000000001E-3</v>
      </c>
      <c r="BL285" s="617">
        <v>4.0000000000000001E-3</v>
      </c>
      <c r="BM285" s="617">
        <v>4.0000000000000001E-3</v>
      </c>
      <c r="BN285" s="617">
        <v>4.0000000000000001E-3</v>
      </c>
      <c r="BO285" s="616">
        <f>BO286/BO283</f>
        <v>4.0043421883348548E-3</v>
      </c>
      <c r="BP285" s="618"/>
      <c r="BQ285" s="617">
        <v>4.0000000000000001E-3</v>
      </c>
      <c r="BR285" s="617">
        <v>4.0000000000000001E-3</v>
      </c>
      <c r="BS285" s="617">
        <v>4.0000000000000001E-3</v>
      </c>
      <c r="BT285" s="617">
        <v>4.0000000000000001E-3</v>
      </c>
      <c r="BU285" s="616">
        <f>BU286/BU283</f>
        <v>4.2499345887482597E-3</v>
      </c>
      <c r="BV285" s="618"/>
      <c r="BW285" s="617">
        <v>4.0000000000000001E-3</v>
      </c>
      <c r="BX285" s="617">
        <v>4.0000000000000001E-3</v>
      </c>
      <c r="BY285" s="617">
        <v>4.0000000000000001E-3</v>
      </c>
      <c r="BZ285" s="617">
        <v>4.0000000000000001E-3</v>
      </c>
      <c r="CA285" s="616">
        <f>CA286/CA283</f>
        <v>4.2448137811810773E-3</v>
      </c>
      <c r="CB285" s="618"/>
      <c r="CC285" s="617">
        <v>4.0000000000000001E-3</v>
      </c>
      <c r="CD285" s="617">
        <v>4.0000000000000001E-3</v>
      </c>
      <c r="CE285" s="617">
        <v>4.0000000000000001E-3</v>
      </c>
      <c r="CF285" s="617">
        <v>4.0000000000000001E-3</v>
      </c>
      <c r="CG285" s="616">
        <f>CG286/CG283</f>
        <v>4.2331466058759511E-3</v>
      </c>
      <c r="CH285" s="618"/>
      <c r="CI285" s="617">
        <v>4.0000000000000001E-3</v>
      </c>
      <c r="CJ285" s="617">
        <v>4.0000000000000001E-3</v>
      </c>
      <c r="CK285" s="617">
        <v>4.0000000000000001E-3</v>
      </c>
      <c r="CL285" s="617">
        <v>4.0000000000000001E-3</v>
      </c>
      <c r="CM285" s="616">
        <f>CM286/CM283</f>
        <v>4.2132144443728561E-3</v>
      </c>
    </row>
    <row r="286" spans="2:91" ht="12" customHeight="1" x14ac:dyDescent="0.2">
      <c r="B286" s="30" t="s">
        <v>138</v>
      </c>
      <c r="C286" s="608"/>
      <c r="D286" s="608"/>
      <c r="E286" s="608"/>
      <c r="F286" s="608"/>
      <c r="G286" s="615">
        <v>3.8450000000000002</v>
      </c>
      <c r="H286" s="30"/>
      <c r="I286" s="608"/>
      <c r="J286" s="608"/>
      <c r="K286" s="608"/>
      <c r="L286" s="608"/>
      <c r="M286" s="615">
        <v>4.9130000000000003</v>
      </c>
      <c r="N286" s="30"/>
      <c r="O286" s="608"/>
      <c r="P286" s="608"/>
      <c r="Q286" s="608"/>
      <c r="R286" s="608"/>
      <c r="S286" s="615">
        <v>1.5569999999999999</v>
      </c>
      <c r="T286" s="30"/>
      <c r="U286" s="608"/>
      <c r="V286" s="608"/>
      <c r="W286" s="608"/>
      <c r="X286" s="608"/>
      <c r="Y286" s="615">
        <v>0.72699999999999998</v>
      </c>
      <c r="Z286" s="30"/>
      <c r="AA286" s="608">
        <f>AA283*AA285/4</f>
        <v>0.25176700000000002</v>
      </c>
      <c r="AB286" s="608">
        <f>AB283*AB285/4</f>
        <v>0.265347</v>
      </c>
      <c r="AC286" s="608">
        <f>AC283*AC285/4</f>
        <v>0.30013600000000001</v>
      </c>
      <c r="AD286" s="608">
        <f>AD283*AD285/4</f>
        <v>0.33120299999999997</v>
      </c>
      <c r="AE286" s="608">
        <f>SUM(AA286:AD286)</f>
        <v>1.1484529999999999</v>
      </c>
      <c r="AF286" s="30"/>
      <c r="AG286" s="608">
        <f>AG283*AG285/4</f>
        <v>0.34585899999999997</v>
      </c>
      <c r="AH286" s="608">
        <f>AH283*AH285/4</f>
        <v>0.10567900000000001</v>
      </c>
      <c r="AI286" s="608">
        <f>AI283*AI285/4</f>
        <v>7.7790000000000012E-2</v>
      </c>
      <c r="AJ286" s="608">
        <f>AJ283*AJ285/4</f>
        <v>0.1046</v>
      </c>
      <c r="AK286" s="608">
        <f>SUM(AG286:AJ286)</f>
        <v>0.63392800000000005</v>
      </c>
      <c r="AL286" s="31"/>
      <c r="AM286" s="608">
        <f>AM283*AM285/4</f>
        <v>0.151088</v>
      </c>
      <c r="AN286" s="608">
        <f>AN283*AN285/4</f>
        <v>0.12417</v>
      </c>
      <c r="AO286" s="608">
        <f>AO283*AO285/4</f>
        <v>0.156088</v>
      </c>
      <c r="AP286" s="608">
        <f>AP283*AP285/4</f>
        <v>0.20570400000000003</v>
      </c>
      <c r="AQ286" s="608">
        <f>SUM(AM286:AP286)</f>
        <v>0.63705000000000001</v>
      </c>
      <c r="AR286" s="31"/>
      <c r="AS286" s="608">
        <f>AS283*AS285/4</f>
        <v>0.24174500000000002</v>
      </c>
      <c r="AT286" s="608">
        <f>AT283*AT285/4</f>
        <v>0.21092</v>
      </c>
      <c r="AU286" s="608">
        <f>AU283*AU285/4</f>
        <v>0.25530000000000003</v>
      </c>
      <c r="AV286" s="608">
        <f>AV283*AV285/4</f>
        <v>0.29699999999999999</v>
      </c>
      <c r="AW286" s="608">
        <f>SUM(AS286:AV286)</f>
        <v>1.0049649999999999</v>
      </c>
      <c r="AX286" s="31"/>
      <c r="AY286" s="608">
        <f>AY283*AY285/4</f>
        <v>0.38280000000000003</v>
      </c>
      <c r="AZ286" s="608">
        <f>AZ283*AZ285/4</f>
        <v>0.36810000000000004</v>
      </c>
      <c r="BA286" s="608">
        <f>BA283*BA285/4</f>
        <v>0.40030000000000004</v>
      </c>
      <c r="BB286" s="608">
        <f>BB283*BB285/4</f>
        <v>0.42260000000000003</v>
      </c>
      <c r="BC286" s="608">
        <f>SUM(AY286:BB286)</f>
        <v>1.5738000000000003</v>
      </c>
      <c r="BD286" s="31"/>
      <c r="BE286" s="608">
        <f>BE283*BE285/4</f>
        <v>0.51779999999999993</v>
      </c>
      <c r="BF286" s="608">
        <f>BF283*BF285/4</f>
        <v>0.48499999999999999</v>
      </c>
      <c r="BG286" s="608">
        <f>BG283*BG285/4</f>
        <v>0.54526947186188501</v>
      </c>
      <c r="BH286" s="608">
        <f>BH283*BH285/4</f>
        <v>0.57088983371421909</v>
      </c>
      <c r="BI286" s="608">
        <f>SUM(BE286:BH286)</f>
        <v>2.1189593055761042</v>
      </c>
      <c r="BJ286" s="31"/>
      <c r="BK286" s="608">
        <f>BK283*BK285/4</f>
        <v>0.63754660358471404</v>
      </c>
      <c r="BL286" s="608">
        <f>BL283*BL285/4</f>
        <v>0.6016876121730419</v>
      </c>
      <c r="BM286" s="608">
        <f>BM283*BM285/4</f>
        <v>0.63361210952664704</v>
      </c>
      <c r="BN286" s="608">
        <f>BN283*BN285/4</f>
        <v>0.68010843647946473</v>
      </c>
      <c r="BO286" s="608">
        <f>SUM(BK286:BN286)</f>
        <v>2.5529547617638677</v>
      </c>
      <c r="BP286" s="31"/>
      <c r="BQ286" s="608">
        <f>BQ283*BQ285/4</f>
        <v>0.75091384278771645</v>
      </c>
      <c r="BR286" s="608">
        <f>BR283*BR285/4</f>
        <v>0.77155371657589555</v>
      </c>
      <c r="BS286" s="608">
        <f>BS283*BS285/4</f>
        <v>0.80818129735890165</v>
      </c>
      <c r="BT286" s="608">
        <f>BT283*BT285/4</f>
        <v>0.8606858569108754</v>
      </c>
      <c r="BU286" s="608">
        <f>SUM(BQ286:BT286)</f>
        <v>3.1913347136333892</v>
      </c>
      <c r="BV286" s="31"/>
      <c r="BW286" s="608">
        <f>BW283*BW285/4</f>
        <v>0.94086425924244488</v>
      </c>
      <c r="BX286" s="608">
        <f>BX283*BX285/4</f>
        <v>0.968953463451108</v>
      </c>
      <c r="BY286" s="608">
        <f>BY283*BY285/4</f>
        <v>1.0126851966844941</v>
      </c>
      <c r="BZ286" s="608">
        <f>BZ283*BZ285/4</f>
        <v>1.0712906544750089</v>
      </c>
      <c r="CA286" s="608">
        <f>SUM(BW286:BZ286)</f>
        <v>3.9937935738530559</v>
      </c>
      <c r="CB286" s="31"/>
      <c r="CC286" s="608">
        <f>CC283*CC285/4</f>
        <v>1.161179749975038</v>
      </c>
      <c r="CD286" s="608">
        <f>CD283*CD285/4</f>
        <v>1.1978243249315725</v>
      </c>
      <c r="CE286" s="608">
        <f>CE283*CE285/4</f>
        <v>1.2461616871384953</v>
      </c>
      <c r="CF286" s="608">
        <f>CF283*CF285/4</f>
        <v>1.3102783553736115</v>
      </c>
      <c r="CG286" s="608">
        <f>SUM(CC286:CF286)</f>
        <v>4.9154441174187173</v>
      </c>
      <c r="CH286" s="31"/>
      <c r="CI286" s="608">
        <f>CI283*CI285/4</f>
        <v>1.4091950621574898</v>
      </c>
      <c r="CJ286" s="608">
        <f>CJ283*CJ285/4</f>
        <v>1.4479347743995212</v>
      </c>
      <c r="CK286" s="608">
        <f>CK283*CK285/4</f>
        <v>1.5052688117021988</v>
      </c>
      <c r="CL286" s="608">
        <f>CL283*CL285/4</f>
        <v>1.5748423425616307</v>
      </c>
      <c r="CM286" s="608">
        <f>SUM(CI286:CL286)</f>
        <v>5.9372409908208406</v>
      </c>
    </row>
    <row r="289" spans="2:91" ht="12" customHeight="1" x14ac:dyDescent="0.2">
      <c r="B289" s="53" t="s">
        <v>490</v>
      </c>
      <c r="C289" s="48"/>
      <c r="D289" s="48"/>
      <c r="E289" s="48"/>
      <c r="F289" s="48"/>
      <c r="G289" s="48"/>
      <c r="H289" s="48"/>
      <c r="I289" s="48"/>
      <c r="J289" s="48"/>
      <c r="K289" s="48"/>
      <c r="L289" s="48"/>
      <c r="M289" s="48"/>
      <c r="N289" s="48"/>
      <c r="O289" s="48"/>
      <c r="P289" s="48"/>
      <c r="Q289" s="48"/>
      <c r="R289" s="48"/>
      <c r="S289" s="48"/>
      <c r="T289" s="48"/>
      <c r="U289" s="48"/>
      <c r="V289" s="48"/>
      <c r="W289" s="48"/>
      <c r="X289" s="48"/>
      <c r="Y289" s="48"/>
      <c r="Z289" s="48"/>
      <c r="AA289" s="48"/>
      <c r="AB289" s="48"/>
      <c r="AC289" s="48"/>
      <c r="AD289" s="48"/>
      <c r="AE289" s="48"/>
      <c r="AF289" s="48"/>
      <c r="AG289" s="48"/>
      <c r="AH289" s="48"/>
      <c r="AI289" s="48"/>
      <c r="AJ289" s="48"/>
      <c r="AK289" s="48"/>
      <c r="AL289" s="619"/>
      <c r="AM289" s="48"/>
      <c r="AN289" s="48"/>
      <c r="AO289" s="48"/>
      <c r="AP289" s="48"/>
      <c r="AQ289" s="48"/>
      <c r="AR289" s="619"/>
      <c r="AS289" s="48"/>
      <c r="AT289" s="48"/>
      <c r="AU289" s="48"/>
      <c r="AV289" s="48"/>
      <c r="AW289" s="48"/>
      <c r="AX289" s="619"/>
      <c r="AY289" s="48"/>
      <c r="AZ289" s="48"/>
      <c r="BA289" s="48"/>
      <c r="BB289" s="48"/>
      <c r="BC289" s="48"/>
      <c r="BD289" s="619"/>
      <c r="BE289" s="48"/>
      <c r="BF289" s="48"/>
      <c r="BG289" s="48"/>
      <c r="BH289" s="48"/>
      <c r="BI289" s="48"/>
      <c r="BJ289" s="619"/>
      <c r="BK289" s="48"/>
      <c r="BL289" s="48"/>
      <c r="BM289" s="48"/>
      <c r="BN289" s="48"/>
      <c r="BO289" s="48"/>
      <c r="BP289" s="619"/>
      <c r="BQ289" s="48"/>
      <c r="BR289" s="48"/>
      <c r="BS289" s="48"/>
      <c r="BT289" s="48"/>
      <c r="BU289" s="48"/>
      <c r="BV289" s="619"/>
      <c r="BW289" s="48"/>
      <c r="BX289" s="48"/>
      <c r="BY289" s="48"/>
      <c r="BZ289" s="48"/>
      <c r="CA289" s="48"/>
      <c r="CB289" s="619"/>
      <c r="CC289" s="48"/>
      <c r="CD289" s="48"/>
      <c r="CE289" s="48"/>
      <c r="CF289" s="48"/>
      <c r="CG289" s="48"/>
      <c r="CH289" s="619"/>
      <c r="CI289" s="48"/>
      <c r="CJ289" s="48"/>
      <c r="CK289" s="48"/>
      <c r="CL289" s="48"/>
      <c r="CM289" s="48"/>
    </row>
    <row r="290" spans="2:91" s="24" customFormat="1" ht="12" customHeight="1" x14ac:dyDescent="0.2">
      <c r="B290" s="26" t="s">
        <v>582</v>
      </c>
      <c r="C290" s="590"/>
      <c r="D290" s="994">
        <v>147.34399999999999</v>
      </c>
      <c r="E290" s="994">
        <v>127.92399999999998</v>
      </c>
      <c r="F290" s="994">
        <v>241.66299999999995</v>
      </c>
      <c r="G290" s="994"/>
      <c r="H290" s="994"/>
      <c r="I290" s="994">
        <v>259.20999999999998</v>
      </c>
      <c r="J290" s="994">
        <v>201.614</v>
      </c>
      <c r="K290" s="994">
        <v>236.28000000000003</v>
      </c>
      <c r="L290" s="994">
        <v>203.86800000000002</v>
      </c>
      <c r="M290" s="994">
        <v>259.20999999999998</v>
      </c>
      <c r="N290" s="994"/>
      <c r="O290" s="994">
        <v>347.67200000000003</v>
      </c>
      <c r="P290" s="994">
        <v>383.80299999999994</v>
      </c>
      <c r="Q290" s="994">
        <v>386.00599999999986</v>
      </c>
      <c r="R290" s="994">
        <v>514.46599999999989</v>
      </c>
      <c r="S290" s="994">
        <v>347.67200000000003</v>
      </c>
      <c r="T290" s="994"/>
      <c r="U290" s="994">
        <v>666.22799999999984</v>
      </c>
      <c r="V290" s="994">
        <v>567.45600000000002</v>
      </c>
      <c r="W290" s="994">
        <v>540.50500000000011</v>
      </c>
      <c r="X290" s="994">
        <v>786.01000000000022</v>
      </c>
      <c r="Y290" s="994">
        <v>666.22799999999984</v>
      </c>
      <c r="Z290" s="994"/>
      <c r="AA290" s="994">
        <v>805.3850000000001</v>
      </c>
      <c r="AB290" s="994">
        <v>875.40000000000009</v>
      </c>
      <c r="AC290" s="994">
        <v>1002.913</v>
      </c>
      <c r="AD290" s="994">
        <v>427.72499999999997</v>
      </c>
      <c r="AE290" s="994">
        <v>805.3850000000001</v>
      </c>
      <c r="AF290" s="994"/>
      <c r="AG290" s="994">
        <v>182.80700000000002</v>
      </c>
      <c r="AH290" s="994">
        <v>145.13600000000002</v>
      </c>
      <c r="AI290" s="994">
        <v>157.81</v>
      </c>
      <c r="AJ290" s="994">
        <v>207.16300000000001</v>
      </c>
      <c r="AK290" s="994">
        <v>182.80700000000002</v>
      </c>
      <c r="AL290" s="994"/>
      <c r="AM290" s="994">
        <v>204.30200000000002</v>
      </c>
      <c r="AN290" s="994">
        <v>212.291</v>
      </c>
      <c r="AO290" s="994">
        <v>262.73099999999999</v>
      </c>
      <c r="AP290" s="994">
        <v>292.40300000000002</v>
      </c>
      <c r="AQ290" s="994">
        <v>204.30200000000002</v>
      </c>
      <c r="AR290" s="994"/>
      <c r="AS290" s="994">
        <v>285.87399999999997</v>
      </c>
      <c r="AT290" s="994">
        <v>311.12299999999999</v>
      </c>
      <c r="AU290" s="994">
        <v>363.92899999999997</v>
      </c>
      <c r="AV290" s="994">
        <v>480.452</v>
      </c>
      <c r="AW290" s="994">
        <v>285.87399999999997</v>
      </c>
      <c r="AX290" s="994"/>
      <c r="AY290" s="994">
        <v>519.73900000000003</v>
      </c>
      <c r="AZ290" s="994">
        <v>500.91899999999998</v>
      </c>
      <c r="BA290" s="994">
        <v>519.1</v>
      </c>
      <c r="BB290" s="994">
        <v>754.2</v>
      </c>
      <c r="BC290" s="994">
        <v>519.73900000000003</v>
      </c>
      <c r="BD290" s="994"/>
      <c r="BE290" s="994">
        <v>787.28532232974283</v>
      </c>
      <c r="BF290" s="994">
        <v>398.6882083080003</v>
      </c>
      <c r="BG290" s="994">
        <v>477.39879489493052</v>
      </c>
      <c r="BH290" s="994">
        <v>351.14431215651291</v>
      </c>
      <c r="BI290" s="994">
        <v>787.28532232974283</v>
      </c>
      <c r="BJ290" s="994"/>
      <c r="BK290" s="994">
        <v>284.69940289614294</v>
      </c>
      <c r="BL290" s="994">
        <v>267.99810547406526</v>
      </c>
      <c r="BM290" s="994">
        <v>301.41025602412913</v>
      </c>
      <c r="BN290" s="994">
        <v>269.03462469580086</v>
      </c>
      <c r="BO290" s="994">
        <v>284.69940289614294</v>
      </c>
      <c r="BP290" s="994"/>
      <c r="BQ290" s="994">
        <v>261.76380823251833</v>
      </c>
      <c r="BR290" s="994">
        <v>179.33893954517464</v>
      </c>
      <c r="BS290" s="994">
        <v>260.7709983921622</v>
      </c>
      <c r="BT290" s="994">
        <v>239.16427290308798</v>
      </c>
      <c r="BU290" s="994">
        <v>261.76380823251833</v>
      </c>
      <c r="BV290" s="994"/>
      <c r="BW290" s="994">
        <v>284.28961624599106</v>
      </c>
      <c r="BX290" s="994">
        <v>172.10165162130474</v>
      </c>
      <c r="BY290" s="994">
        <v>246.82766592960959</v>
      </c>
      <c r="BZ290" s="994">
        <v>238.51925783704942</v>
      </c>
      <c r="CA290" s="994">
        <v>284.28961624599106</v>
      </c>
      <c r="CB290" s="994"/>
      <c r="CC290" s="994">
        <v>343.87793089714387</v>
      </c>
      <c r="CD290" s="994">
        <v>246.94217586058772</v>
      </c>
      <c r="CE290" s="994">
        <v>325.96982201194555</v>
      </c>
      <c r="CF290" s="994">
        <v>329.02148228410795</v>
      </c>
      <c r="CG290" s="994">
        <v>343.87793089714387</v>
      </c>
      <c r="CH290" s="590"/>
      <c r="CI290" s="590"/>
      <c r="CJ290" s="590"/>
      <c r="CK290" s="590"/>
      <c r="CL290" s="590"/>
      <c r="CM290" s="590"/>
    </row>
    <row r="291" spans="2:91" s="24" customFormat="1" ht="12" customHeight="1" x14ac:dyDescent="0.2">
      <c r="B291" s="26" t="s">
        <v>583</v>
      </c>
      <c r="D291" s="994">
        <v>137.63399999999999</v>
      </c>
      <c r="E291" s="994">
        <v>184.79349999999997</v>
      </c>
      <c r="F291" s="994">
        <v>250.43649999999997</v>
      </c>
      <c r="G291" s="994"/>
      <c r="H291" s="967"/>
      <c r="I291" s="990">
        <v>230.41199999999998</v>
      </c>
      <c r="J291" s="990">
        <v>218.947</v>
      </c>
      <c r="K291" s="990">
        <v>220.07400000000001</v>
      </c>
      <c r="L291" s="990">
        <v>275.77000000000004</v>
      </c>
      <c r="M291" s="995">
        <v>236.30074999999999</v>
      </c>
      <c r="N291" s="967"/>
      <c r="O291" s="990">
        <v>365.73749999999995</v>
      </c>
      <c r="P291" s="990">
        <v>384.90449999999987</v>
      </c>
      <c r="Q291" s="990">
        <v>450.23599999999988</v>
      </c>
      <c r="R291" s="990">
        <v>590.34699999999987</v>
      </c>
      <c r="S291" s="995">
        <v>447.80624999999986</v>
      </c>
      <c r="T291" s="967"/>
      <c r="U291" s="990">
        <v>616.84199999999987</v>
      </c>
      <c r="V291" s="990">
        <v>553.98050000000012</v>
      </c>
      <c r="W291" s="990">
        <v>663.25750000000016</v>
      </c>
      <c r="X291" s="990">
        <v>795.69750000000022</v>
      </c>
      <c r="Y291" s="995">
        <v>657.44437500000004</v>
      </c>
      <c r="Z291" s="967"/>
      <c r="AA291" s="990">
        <v>840.39250000000015</v>
      </c>
      <c r="AB291" s="990">
        <v>939.15650000000005</v>
      </c>
      <c r="AC291" s="990">
        <v>715.31899999999996</v>
      </c>
      <c r="AD291" s="990">
        <v>305.26599999999996</v>
      </c>
      <c r="AE291" s="995">
        <v>700.03350000000012</v>
      </c>
      <c r="AF291" s="967"/>
      <c r="AG291" s="990">
        <v>163.97150000000002</v>
      </c>
      <c r="AH291" s="990">
        <v>151.47300000000001</v>
      </c>
      <c r="AI291" s="990">
        <v>182.48650000000001</v>
      </c>
      <c r="AJ291" s="990">
        <v>205.73250000000002</v>
      </c>
      <c r="AK291" s="995">
        <v>175.91587500000003</v>
      </c>
      <c r="AL291" s="967"/>
      <c r="AM291" s="990">
        <v>208.29650000000001</v>
      </c>
      <c r="AN291" s="990">
        <v>237.511</v>
      </c>
      <c r="AO291" s="990">
        <v>277.56700000000001</v>
      </c>
      <c r="AP291" s="990">
        <v>289.13850000000002</v>
      </c>
      <c r="AQ291" s="995">
        <v>253.12825000000001</v>
      </c>
      <c r="AR291" s="967"/>
      <c r="AS291" s="990">
        <v>298.49849999999998</v>
      </c>
      <c r="AT291" s="990">
        <v>337.52599999999995</v>
      </c>
      <c r="AU291" s="990">
        <v>422.19049999999999</v>
      </c>
      <c r="AV291" s="990">
        <v>500.09550000000002</v>
      </c>
      <c r="AW291" s="995">
        <v>389.57762500000001</v>
      </c>
      <c r="AX291" s="967"/>
      <c r="AY291" s="990">
        <v>510.32900000000001</v>
      </c>
      <c r="AZ291" s="990">
        <v>510.0095</v>
      </c>
      <c r="BA291" s="990">
        <v>636.65000000000009</v>
      </c>
      <c r="BB291" s="990">
        <v>770.74266116487138</v>
      </c>
      <c r="BC291" s="995">
        <v>606.93279029121788</v>
      </c>
      <c r="BD291" s="967"/>
      <c r="BE291" s="990">
        <v>592.98676531887156</v>
      </c>
      <c r="BF291" s="990">
        <v>438.04350160146544</v>
      </c>
      <c r="BG291" s="990">
        <v>414.27155352572174</v>
      </c>
      <c r="BH291" s="990">
        <v>317.92185752632793</v>
      </c>
      <c r="BI291" s="995">
        <v>440.80591949309667</v>
      </c>
      <c r="BJ291" s="967"/>
      <c r="BK291" s="990">
        <v>276.3487541851041</v>
      </c>
      <c r="BL291" s="990">
        <v>284.70418074909719</v>
      </c>
      <c r="BM291" s="990">
        <v>285.22244035996499</v>
      </c>
      <c r="BN291" s="990">
        <v>265.39921646415962</v>
      </c>
      <c r="BO291" s="995">
        <v>277.91864793958143</v>
      </c>
      <c r="BP291" s="967"/>
      <c r="BQ291" s="990">
        <v>220.55137388884648</v>
      </c>
      <c r="BR291" s="990">
        <v>220.05496896866842</v>
      </c>
      <c r="BS291" s="990">
        <v>249.96763564762509</v>
      </c>
      <c r="BT291" s="990">
        <v>261.72694457453952</v>
      </c>
      <c r="BU291" s="995">
        <v>238.07523076991987</v>
      </c>
      <c r="BV291" s="967"/>
      <c r="BW291" s="990">
        <v>228.19563393364791</v>
      </c>
      <c r="BX291" s="990">
        <v>209.46465877545717</v>
      </c>
      <c r="BY291" s="990">
        <v>242.67346188332951</v>
      </c>
      <c r="BZ291" s="990">
        <v>291.19859436709663</v>
      </c>
      <c r="CA291" s="995">
        <v>242.8830872398828</v>
      </c>
      <c r="CB291" s="967"/>
      <c r="CC291" s="990">
        <v>295.41005337886577</v>
      </c>
      <c r="CD291" s="990">
        <v>286.45599893626661</v>
      </c>
      <c r="CE291" s="990">
        <v>327.49565214802675</v>
      </c>
      <c r="CF291" s="990">
        <v>386.44162086550421</v>
      </c>
      <c r="CG291" s="995">
        <v>323.95083133216588</v>
      </c>
    </row>
    <row r="292" spans="2:91" s="379" customFormat="1" ht="12" customHeight="1" x14ac:dyDescent="0.2">
      <c r="B292" s="625" t="s">
        <v>310</v>
      </c>
      <c r="D292" s="215">
        <f>(D293*4)/D290</f>
        <v>0.18989575415354545</v>
      </c>
      <c r="E292" s="215">
        <f>(E293*4)/E290</f>
        <v>0.2067790250461212</v>
      </c>
      <c r="F292" s="215">
        <f>(F293*4)/F290</f>
        <v>0.10459193173965399</v>
      </c>
      <c r="I292" s="215">
        <f>(I293*4)/I290</f>
        <v>8.0398132788086885E-2</v>
      </c>
      <c r="J292" s="215">
        <f>(J293*4)/J290</f>
        <v>9.2949894352574711E-2</v>
      </c>
      <c r="K292" s="215">
        <f>(K293*4)/K290</f>
        <v>7.9041814796004722E-2</v>
      </c>
      <c r="L292" s="215">
        <f>(L293*4)/L290</f>
        <v>4.9541860419487084E-2</v>
      </c>
      <c r="M292" s="215">
        <f>(M293)/M290</f>
        <v>6.5927240461401956E-2</v>
      </c>
      <c r="O292" s="215">
        <f>(O293*4)/O290</f>
        <v>2.2503969258381461E-2</v>
      </c>
      <c r="P292" s="215">
        <f>(P293*4)/P290</f>
        <v>1.5758084225501106E-2</v>
      </c>
      <c r="Q292" s="215">
        <f>(Q293*4)/Q290</f>
        <v>8.8910535069403104E-3</v>
      </c>
      <c r="R292" s="215">
        <f>(R293*4)/R290</f>
        <v>5.4891868461667088E-3</v>
      </c>
      <c r="S292" s="215">
        <f>(S293)/S290</f>
        <v>1.4473411721392576E-2</v>
      </c>
      <c r="U292" s="215">
        <f>(U293*4)/U290</f>
        <v>4.7251091218021473E-3</v>
      </c>
      <c r="V292" s="215">
        <f>(V293*4)/V290</f>
        <v>5.8295268708058422E-3</v>
      </c>
      <c r="W292" s="215">
        <f>(W293*4)/W290</f>
        <v>9.3838169859668252E-3</v>
      </c>
      <c r="X292" s="215">
        <f>(X293*4)/X290</f>
        <v>6.9820994643834027E-3</v>
      </c>
      <c r="Y292" s="215">
        <f>(Y293)/Y290</f>
        <v>6.385201462562367E-3</v>
      </c>
      <c r="AA292" s="215">
        <f>(AA293*4)/AA290</f>
        <v>9.0788877369208515E-3</v>
      </c>
      <c r="AB292" s="215">
        <f>(AB293*4)/AB290</f>
        <v>1.1065113091158325E-2</v>
      </c>
      <c r="AC292" s="215">
        <f>(AC293*4)/AC290</f>
        <v>9.6439072980408075E-3</v>
      </c>
      <c r="AD292" s="215">
        <f>(AD293*4)/AD290</f>
        <v>2.6076567888245947E-2</v>
      </c>
      <c r="AE292" s="215">
        <f>(AE293)/AE290</f>
        <v>1.1740968605077073E-2</v>
      </c>
      <c r="AG292" s="215">
        <f>(AG293*4)/AG290</f>
        <v>5.0260657414650425E-2</v>
      </c>
      <c r="AH292" s="215">
        <f>(AH293*4)/AH290</f>
        <v>5.5423878293462681E-2</v>
      </c>
      <c r="AI292" s="215">
        <f>(AI293*4)/AI290</f>
        <v>5.9362524554844434E-2</v>
      </c>
      <c r="AJ292" s="215">
        <f>(AJ293*4)/AJ290</f>
        <v>4.0740865888213608E-2</v>
      </c>
      <c r="AK292" s="215">
        <f>(AK293)/AK290</f>
        <v>4.7919390395334965E-2</v>
      </c>
      <c r="AM292" s="215">
        <f>(AM293*4)/AM290</f>
        <v>4.2584017777603733E-2</v>
      </c>
      <c r="AN292" s="215">
        <f>(AN293*4)/AN290</f>
        <v>4.2262743121470055E-2</v>
      </c>
      <c r="AO292" s="215">
        <f>(AO293*4)/AO290</f>
        <v>3.2550403264175146E-2</v>
      </c>
      <c r="AP292" s="215">
        <f>(AP293*4)/AP290</f>
        <v>2.1436168575561805E-2</v>
      </c>
      <c r="AQ292" s="215">
        <f>(AQ293)/AQ290</f>
        <v>3.9759767403158064E-2</v>
      </c>
      <c r="AS292" s="215">
        <f>(AS293*4)/AS290</f>
        <v>2.0078775964235997E-2</v>
      </c>
      <c r="AT292" s="215">
        <f>(AT293*4)/AT290</f>
        <v>2.2422000302131311E-2</v>
      </c>
      <c r="AU292" s="215">
        <f>(AU293*4)/AU290</f>
        <v>1.5288696421554756E-2</v>
      </c>
      <c r="AV292" s="215">
        <f>(AV293*4)/AV290</f>
        <v>8.5086543504866198E-3</v>
      </c>
      <c r="AW292" s="215">
        <f>(AW293)/AW290</f>
        <v>1.9561065364461266E-2</v>
      </c>
      <c r="AY292" s="215">
        <f>(AY293*4)/AY290</f>
        <v>5.7105585688201187E-3</v>
      </c>
      <c r="AZ292" s="215">
        <f>(AZ293*4)/AZ290</f>
        <v>5.2703131644038261E-3</v>
      </c>
      <c r="BA292" s="215">
        <f>(BA293*4)/BA290</f>
        <v>5.0857252937776924E-3</v>
      </c>
      <c r="BB292" s="772">
        <v>8.9999999999999993E-3</v>
      </c>
      <c r="BC292" s="215">
        <f>(BC293)/BC290</f>
        <v>7.2323800984725028E-3</v>
      </c>
      <c r="BE292" s="772">
        <v>1E-3</v>
      </c>
      <c r="BF292" s="772">
        <v>9.2300000000000004E-3</v>
      </c>
      <c r="BG292" s="772">
        <v>8.9999999999999993E-3</v>
      </c>
      <c r="BH292" s="772">
        <v>7.4000000000000003E-3</v>
      </c>
      <c r="BI292" s="215">
        <f>(BI293)/BI290</f>
        <v>3.6080421629740016E-3</v>
      </c>
      <c r="BK292" s="772">
        <v>7.0000000000000001E-3</v>
      </c>
      <c r="BL292" s="772">
        <f>+BK292</f>
        <v>7.0000000000000001E-3</v>
      </c>
      <c r="BM292" s="772">
        <f>+BL292</f>
        <v>7.0000000000000001E-3</v>
      </c>
      <c r="BN292" s="772">
        <f>+BM292</f>
        <v>7.0000000000000001E-3</v>
      </c>
      <c r="BO292" s="215">
        <f>(BO293)/BO290</f>
        <v>6.9037699444165932E-3</v>
      </c>
      <c r="BQ292" s="772">
        <v>8.1499999999999993E-3</v>
      </c>
      <c r="BR292" s="772">
        <v>5.9500000000000004E-3</v>
      </c>
      <c r="BS292" s="772">
        <v>5.8500000000000002E-3</v>
      </c>
      <c r="BT292" s="772">
        <v>4.5500000000000002E-3</v>
      </c>
      <c r="BU292" s="215">
        <f>(BU293)/BU290</f>
        <v>5.5528584613647658E-3</v>
      </c>
      <c r="BW292" s="772">
        <v>6.1700000000000001E-3</v>
      </c>
      <c r="BX292" s="772">
        <v>4.3499999999999997E-3</v>
      </c>
      <c r="BY292" s="772">
        <v>4.5100000000000001E-3</v>
      </c>
      <c r="BZ292" s="772">
        <v>3.5000000000000001E-3</v>
      </c>
      <c r="CA292" s="215">
        <f>(CA293)/CA290</f>
        <v>3.9138954064994059E-3</v>
      </c>
      <c r="CC292" s="772">
        <v>5.45E-3</v>
      </c>
      <c r="CD292" s="772">
        <v>3.7499999999999999E-3</v>
      </c>
      <c r="CE292" s="772">
        <v>3.9500000000000004E-3</v>
      </c>
      <c r="CF292" s="772">
        <v>3.2000000000000002E-3</v>
      </c>
      <c r="CG292" s="215">
        <f>(CG293)/CG290</f>
        <v>3.7372399921911247E-3</v>
      </c>
    </row>
    <row r="293" spans="2:91" s="24" customFormat="1" ht="12" customHeight="1" x14ac:dyDescent="0.2">
      <c r="B293" s="26" t="s">
        <v>138</v>
      </c>
      <c r="C293" s="184">
        <f>'P&amp;L'!C22</f>
        <v>6.5010000000000003</v>
      </c>
      <c r="D293" s="184">
        <f>'P&amp;L'!D22</f>
        <v>6.9950000000000001</v>
      </c>
      <c r="E293" s="184">
        <f>'P&amp;L'!E22</f>
        <v>6.6130000000000004</v>
      </c>
      <c r="F293" s="184">
        <f>'P&amp;L'!F22</f>
        <v>6.3189999999999991</v>
      </c>
      <c r="G293" s="184">
        <f>'P&amp;L'!G22</f>
        <v>26.428000000000001</v>
      </c>
      <c r="H293" s="24">
        <f>'P&amp;L'!H22</f>
        <v>0</v>
      </c>
      <c r="I293" s="184">
        <f>'P&amp;L'!I22</f>
        <v>5.21</v>
      </c>
      <c r="J293" s="184">
        <f>'P&amp;L'!J22</f>
        <v>4.6849999999999996</v>
      </c>
      <c r="K293" s="184">
        <f>'P&amp;L'!K22</f>
        <v>4.6689999999999996</v>
      </c>
      <c r="L293" s="184">
        <f>'P&amp;L'!L22</f>
        <v>2.5249999999999986</v>
      </c>
      <c r="M293" s="184">
        <f>'P&amp;L'!M22</f>
        <v>17.088999999999999</v>
      </c>
      <c r="N293" s="24">
        <f>'P&amp;L'!N22</f>
        <v>0</v>
      </c>
      <c r="O293" s="184">
        <f>'P&amp;L'!O22</f>
        <v>1.956</v>
      </c>
      <c r="P293" s="184">
        <f>'P&amp;L'!P22</f>
        <v>1.512</v>
      </c>
      <c r="Q293" s="184">
        <f>'P&amp;L'!Q22</f>
        <v>0.85799999999999998</v>
      </c>
      <c r="R293" s="184">
        <f>'P&amp;L'!R22</f>
        <v>0.70600000000000041</v>
      </c>
      <c r="S293" s="184">
        <f>'P&amp;L'!S22</f>
        <v>5.032</v>
      </c>
      <c r="T293" s="24">
        <f>'P&amp;L'!T22</f>
        <v>0</v>
      </c>
      <c r="U293" s="184">
        <f>'P&amp;L'!U22</f>
        <v>0.78700000000000003</v>
      </c>
      <c r="V293" s="184">
        <f>'P&amp;L'!V22</f>
        <v>0.82699999999999996</v>
      </c>
      <c r="W293" s="184">
        <f>'P&amp;L'!W22</f>
        <v>1.268</v>
      </c>
      <c r="X293" s="184">
        <f>'P&amp;L'!X22</f>
        <v>1.3719999999999999</v>
      </c>
      <c r="Y293" s="184">
        <f>'P&amp;L'!Y22</f>
        <v>4.2539999999999996</v>
      </c>
      <c r="Z293" s="24">
        <f>'P&amp;L'!Z22</f>
        <v>0</v>
      </c>
      <c r="AA293" s="184">
        <f>'P&amp;L'!AA22</f>
        <v>1.8280000000000001</v>
      </c>
      <c r="AB293" s="184">
        <f>'P&amp;L'!AB22</f>
        <v>2.4215999999999998</v>
      </c>
      <c r="AC293" s="184">
        <f>'P&amp;L'!AC22</f>
        <v>2.4180000000000001</v>
      </c>
      <c r="AD293" s="184">
        <f>'P&amp;L'!AD22</f>
        <v>2.7883999999999993</v>
      </c>
      <c r="AE293" s="184">
        <f>'P&amp;L'!AE22</f>
        <v>9.4559999999999995</v>
      </c>
      <c r="AF293" s="24">
        <f>'P&amp;L'!AF22</f>
        <v>0</v>
      </c>
      <c r="AG293" s="184">
        <f>'P&amp;L'!AG22</f>
        <v>2.2970000000000002</v>
      </c>
      <c r="AH293" s="184">
        <f>'P&amp;L'!AH22</f>
        <v>2.0110000000000001</v>
      </c>
      <c r="AI293" s="184">
        <f>'P&amp;L'!AI22</f>
        <v>2.3420000000000001</v>
      </c>
      <c r="AJ293" s="184">
        <f>'P&amp;L'!AJ22</f>
        <v>2.109999999999999</v>
      </c>
      <c r="AK293" s="184">
        <f>'P&amp;L'!AK22</f>
        <v>8.76</v>
      </c>
      <c r="AL293" s="24">
        <f>'P&amp;L'!AL22</f>
        <v>0</v>
      </c>
      <c r="AM293" s="184">
        <f>'P&amp;L'!AM22</f>
        <v>2.1749999999999998</v>
      </c>
      <c r="AN293" s="184">
        <f>'P&amp;L'!AN22</f>
        <v>2.2429999999999999</v>
      </c>
      <c r="AO293" s="184">
        <f>'P&amp;L'!AO22</f>
        <v>2.1379999999999999</v>
      </c>
      <c r="AP293" s="184">
        <f>'P&amp;L'!AP22</f>
        <v>1.5669999999999997</v>
      </c>
      <c r="AQ293" s="184">
        <f>'P&amp;L'!AQ22</f>
        <v>8.1229999999999993</v>
      </c>
      <c r="AR293" s="24">
        <f>'P&amp;L'!AR22</f>
        <v>0</v>
      </c>
      <c r="AS293" s="184">
        <f>'P&amp;L'!AS22</f>
        <v>1.4350000000000001</v>
      </c>
      <c r="AT293" s="184">
        <f>'P&amp;L'!AT22</f>
        <v>1.744</v>
      </c>
      <c r="AU293" s="184">
        <f>'P&amp;L'!AU22</f>
        <v>1.391</v>
      </c>
      <c r="AV293" s="184">
        <f>'P&amp;L'!AV22</f>
        <v>1.0219999999999994</v>
      </c>
      <c r="AW293" s="184">
        <f>'P&amp;L'!AW22</f>
        <v>5.5919999999999996</v>
      </c>
      <c r="AX293" s="24">
        <f>'P&amp;L'!AX22</f>
        <v>0</v>
      </c>
      <c r="AY293" s="184">
        <f>'P&amp;L'!AY22</f>
        <v>0.74199999999999999</v>
      </c>
      <c r="AZ293" s="184">
        <f>'P&amp;L'!AZ22</f>
        <v>0.66</v>
      </c>
      <c r="BA293" s="184">
        <f>'P&amp;L'!BA22</f>
        <v>0.66</v>
      </c>
      <c r="BB293" s="590">
        <f>BB290*BB292/4</f>
        <v>1.69695</v>
      </c>
      <c r="BC293" s="590">
        <f>SUM(AY293:BB293)</f>
        <v>3.7589500000000005</v>
      </c>
      <c r="BE293" s="590">
        <f>BE290*BE292/4</f>
        <v>0.1968213305824357</v>
      </c>
      <c r="BF293" s="590">
        <f>BF290*BF292/4</f>
        <v>0.91997304067071073</v>
      </c>
      <c r="BG293" s="590">
        <f>BG290*BG292/4</f>
        <v>1.0741472885135936</v>
      </c>
      <c r="BH293" s="590">
        <f>BH290*BH292/4</f>
        <v>0.64961697748954894</v>
      </c>
      <c r="BI293" s="590">
        <f>SUM(BE293:BH293)</f>
        <v>2.8405586372562892</v>
      </c>
      <c r="BK293" s="590">
        <f>BK290*BK292/4</f>
        <v>0.49822395506825018</v>
      </c>
      <c r="BL293" s="590">
        <f>BL290*BL292/4</f>
        <v>0.46899668457961419</v>
      </c>
      <c r="BM293" s="590">
        <f>BM290*BM292/4</f>
        <v>0.52746794804222596</v>
      </c>
      <c r="BN293" s="590">
        <f>BN290*BN292/4</f>
        <v>0.47081059321765151</v>
      </c>
      <c r="BO293" s="590">
        <f>SUM(BK293:BN293)</f>
        <v>1.965499180907742</v>
      </c>
      <c r="BQ293" s="590">
        <f>BQ290*BQ292/4</f>
        <v>0.5333437592737561</v>
      </c>
      <c r="BR293" s="590">
        <f>BR290*BR292/4</f>
        <v>0.26676667257344727</v>
      </c>
      <c r="BS293" s="590">
        <f>BS290*BS292/4</f>
        <v>0.3813775851485372</v>
      </c>
      <c r="BT293" s="590">
        <f>BT290*BT292/4</f>
        <v>0.27204936042726258</v>
      </c>
      <c r="BU293" s="590">
        <f>SUM(BQ293:BT293)</f>
        <v>1.4535373774230034</v>
      </c>
      <c r="BW293" s="590">
        <f>BW290*BW292/4</f>
        <v>0.43851673305944122</v>
      </c>
      <c r="BX293" s="590">
        <f>BX290*BX292/4</f>
        <v>0.1871605461381689</v>
      </c>
      <c r="BY293" s="590">
        <f>BY290*BY292/4</f>
        <v>0.27829819333563482</v>
      </c>
      <c r="BZ293" s="590">
        <f>BZ290*BZ292/4</f>
        <v>0.20870435060741824</v>
      </c>
      <c r="CA293" s="590">
        <f>SUM(BW293:BZ293)</f>
        <v>1.1126798231406632</v>
      </c>
      <c r="CC293" s="590">
        <f>CC290*CC292/4</f>
        <v>0.46853368084735852</v>
      </c>
      <c r="CD293" s="590">
        <f>CD290*CD292/4</f>
        <v>0.23150828986930097</v>
      </c>
      <c r="CE293" s="590">
        <f>CE290*CE292/4</f>
        <v>0.32189519923679627</v>
      </c>
      <c r="CF293" s="590">
        <f>CF290*CF292/4</f>
        <v>0.26321718582728637</v>
      </c>
      <c r="CG293" s="590">
        <f>SUM(CC293:CF293)</f>
        <v>1.2851543557807421</v>
      </c>
    </row>
    <row r="296" spans="2:91" ht="12" customHeight="1" x14ac:dyDescent="0.2">
      <c r="B296" s="53" t="s">
        <v>506</v>
      </c>
      <c r="C296" s="48"/>
      <c r="D296" s="48"/>
      <c r="E296" s="48"/>
      <c r="F296" s="48"/>
      <c r="G296" s="48"/>
      <c r="H296" s="48"/>
      <c r="I296" s="48"/>
      <c r="J296" s="48"/>
      <c r="K296" s="48"/>
      <c r="L296" s="48"/>
      <c r="M296" s="48"/>
      <c r="N296" s="48"/>
      <c r="O296" s="48"/>
      <c r="P296" s="48"/>
      <c r="Q296" s="48"/>
      <c r="R296" s="48"/>
      <c r="S296" s="48"/>
      <c r="T296" s="48"/>
      <c r="U296" s="48"/>
      <c r="V296" s="48"/>
      <c r="W296" s="48"/>
      <c r="X296" s="48"/>
      <c r="Y296" s="48"/>
      <c r="Z296" s="48"/>
      <c r="AA296" s="48"/>
      <c r="AB296" s="48"/>
      <c r="AC296" s="48"/>
      <c r="AD296" s="48"/>
      <c r="AE296" s="48"/>
      <c r="AF296" s="48"/>
      <c r="AG296" s="48"/>
      <c r="AH296" s="48"/>
      <c r="AI296" s="48"/>
      <c r="AJ296" s="48"/>
      <c r="AK296" s="48"/>
      <c r="AL296" s="619"/>
      <c r="AM296" s="48"/>
      <c r="AN296" s="48"/>
      <c r="AO296" s="48"/>
      <c r="AP296" s="48"/>
      <c r="AQ296" s="48"/>
      <c r="AR296" s="619"/>
      <c r="AS296" s="48"/>
      <c r="AT296" s="48"/>
      <c r="AU296" s="48"/>
      <c r="AV296" s="48"/>
      <c r="AW296" s="48"/>
      <c r="AX296" s="619"/>
      <c r="AY296" s="48"/>
      <c r="AZ296" s="48"/>
      <c r="BA296" s="48"/>
      <c r="BB296" s="48"/>
      <c r="BC296" s="48"/>
      <c r="BD296" s="619"/>
      <c r="BE296" s="48"/>
      <c r="BF296" s="48"/>
      <c r="BG296" s="48"/>
      <c r="BH296" s="48"/>
      <c r="BI296" s="48"/>
      <c r="BJ296" s="619"/>
      <c r="BK296" s="48"/>
      <c r="BL296" s="48"/>
      <c r="BM296" s="48"/>
      <c r="BN296" s="48"/>
      <c r="BO296" s="48"/>
      <c r="BP296" s="619"/>
      <c r="BQ296" s="48"/>
      <c r="BR296" s="48"/>
      <c r="BS296" s="48"/>
      <c r="BT296" s="48"/>
      <c r="BU296" s="48"/>
      <c r="BV296" s="619"/>
      <c r="BW296" s="48"/>
      <c r="BX296" s="48"/>
      <c r="BY296" s="48"/>
      <c r="BZ296" s="48"/>
      <c r="CA296" s="48"/>
      <c r="CB296" s="619"/>
      <c r="CC296" s="48"/>
      <c r="CD296" s="48"/>
      <c r="CE296" s="48"/>
      <c r="CF296" s="48"/>
      <c r="CG296" s="48"/>
      <c r="CH296" s="619"/>
      <c r="CI296" s="48"/>
      <c r="CJ296" s="48"/>
      <c r="CK296" s="48"/>
      <c r="CL296" s="48"/>
      <c r="CM296" s="48"/>
    </row>
    <row r="297" spans="2:91" s="21" customFormat="1" ht="12" customHeight="1" x14ac:dyDescent="0.2">
      <c r="B297" s="587" t="s">
        <v>507</v>
      </c>
      <c r="C297" s="633"/>
      <c r="D297" s="633"/>
      <c r="E297" s="633"/>
      <c r="F297" s="633"/>
      <c r="G297" s="633"/>
      <c r="H297" s="633"/>
      <c r="I297" s="633"/>
      <c r="J297" s="633"/>
      <c r="K297" s="633"/>
      <c r="L297" s="633"/>
      <c r="M297" s="633"/>
      <c r="N297" s="633"/>
      <c r="O297" s="633"/>
      <c r="P297" s="633"/>
      <c r="Q297" s="633"/>
      <c r="R297" s="633"/>
      <c r="S297" s="633"/>
      <c r="T297" s="633"/>
      <c r="U297" s="633"/>
      <c r="V297" s="633"/>
      <c r="W297" s="633"/>
      <c r="X297" s="633"/>
      <c r="Y297" s="633"/>
      <c r="Z297" s="633"/>
      <c r="AA297" s="633"/>
      <c r="AB297" s="633"/>
      <c r="AC297" s="633"/>
      <c r="AD297" s="633"/>
      <c r="AE297" s="633"/>
      <c r="AF297" s="633"/>
      <c r="AG297" s="633"/>
      <c r="AH297" s="633"/>
      <c r="AI297" s="633"/>
      <c r="AJ297" s="633"/>
      <c r="AK297" s="633"/>
      <c r="AL297" s="633"/>
      <c r="AM297" s="633"/>
      <c r="AN297" s="633"/>
      <c r="AO297" s="633"/>
      <c r="AP297" s="633"/>
      <c r="AQ297" s="633"/>
      <c r="AR297" s="633"/>
      <c r="AS297" s="633"/>
      <c r="AT297" s="633"/>
      <c r="AU297" s="633"/>
      <c r="AV297" s="633"/>
      <c r="AW297" s="633"/>
      <c r="AX297" s="633"/>
      <c r="AY297" s="633"/>
      <c r="AZ297" s="633"/>
      <c r="BA297" s="633"/>
      <c r="BB297" s="633">
        <f>BB225+BE266</f>
        <v>11.696524624999999</v>
      </c>
      <c r="BC297" s="633"/>
      <c r="BD297" s="633"/>
      <c r="BE297" s="633">
        <f>BE225+BE266</f>
        <v>11.582550000000001</v>
      </c>
      <c r="BF297" s="633">
        <f t="shared" ref="BF297:BH297" si="405">BF225+BF266</f>
        <v>11.470550000000001</v>
      </c>
      <c r="BG297" s="633">
        <f t="shared" si="405"/>
        <v>9.8260249999999996</v>
      </c>
      <c r="BH297" s="633">
        <f t="shared" si="405"/>
        <v>9.8029250000000001</v>
      </c>
      <c r="BI297" s="633">
        <f>SUM(BE297:BH297)</f>
        <v>42.682050000000004</v>
      </c>
      <c r="BJ297" s="633"/>
      <c r="BK297" s="633">
        <f>BK225+BK266</f>
        <v>9.8029250000000001</v>
      </c>
      <c r="BL297" s="633">
        <f t="shared" ref="BL297:BN297" si="406">BL225+BL266</f>
        <v>9.8029250000000001</v>
      </c>
      <c r="BM297" s="633">
        <f t="shared" si="406"/>
        <v>9.8029250000000001</v>
      </c>
      <c r="BN297" s="633">
        <f t="shared" si="406"/>
        <v>9.6203000000000003</v>
      </c>
      <c r="BO297" s="633">
        <f>SUM(BK297:BN297)</f>
        <v>39.029074999999999</v>
      </c>
      <c r="BP297" s="633"/>
      <c r="BQ297" s="633">
        <f>BQ225+BQ266</f>
        <v>9.2408000000000019</v>
      </c>
      <c r="BR297" s="633">
        <f t="shared" ref="BR297:BT297" si="407">BR225+BR266</f>
        <v>9.0439250000000015</v>
      </c>
      <c r="BS297" s="633">
        <f t="shared" si="407"/>
        <v>9.0208250000000021</v>
      </c>
      <c r="BT297" s="633">
        <f t="shared" si="407"/>
        <v>8.9977250000000026</v>
      </c>
      <c r="BU297" s="633">
        <f>SUM(BQ297:BT297)</f>
        <v>36.303275000000006</v>
      </c>
      <c r="BV297" s="633"/>
      <c r="BW297" s="633">
        <f>BW225+BX266</f>
        <v>8.8008500000000023</v>
      </c>
      <c r="BX297" s="633">
        <f>BX225+BY266</f>
        <v>8.6039750000000019</v>
      </c>
      <c r="BY297" s="633">
        <f>BY225+BZ266</f>
        <v>8.5808750000000025</v>
      </c>
      <c r="BZ297" s="633">
        <f>BZ225+CC266</f>
        <v>8.557775000000003</v>
      </c>
      <c r="CA297" s="633">
        <f>SUM(BW297:BZ297)</f>
        <v>34.543475000000008</v>
      </c>
      <c r="CB297" s="633"/>
      <c r="CC297" s="633">
        <f>CC225+CD266</f>
        <v>8.3609000000000027</v>
      </c>
      <c r="CD297" s="633">
        <f>CD225+CE266</f>
        <v>8.1640250000000023</v>
      </c>
      <c r="CE297" s="633">
        <f>CE225+CF266</f>
        <v>8.1409250000000029</v>
      </c>
      <c r="CF297" s="633">
        <f>CF225+CI266</f>
        <v>8.1178250000000034</v>
      </c>
      <c r="CG297" s="633">
        <f>SUM(CC297:CF297)</f>
        <v>32.783675000000009</v>
      </c>
      <c r="CH297" s="633"/>
      <c r="CI297" s="633"/>
      <c r="CJ297" s="633"/>
      <c r="CK297" s="633"/>
      <c r="CL297" s="633"/>
      <c r="CM297" s="633"/>
    </row>
    <row r="299" spans="2:91" s="21" customFormat="1" ht="12" customHeight="1" x14ac:dyDescent="0.2">
      <c r="B299" s="587" t="s">
        <v>508</v>
      </c>
      <c r="C299" s="633"/>
      <c r="D299" s="633"/>
      <c r="E299" s="633"/>
      <c r="F299" s="633"/>
      <c r="G299" s="633"/>
      <c r="H299" s="633"/>
      <c r="I299" s="633"/>
      <c r="J299" s="633"/>
      <c r="K299" s="633"/>
      <c r="L299" s="633"/>
      <c r="M299" s="633"/>
      <c r="N299" s="633"/>
      <c r="O299" s="633"/>
      <c r="P299" s="633"/>
      <c r="Q299" s="633"/>
      <c r="R299" s="633"/>
      <c r="S299" s="633"/>
      <c r="T299" s="633"/>
      <c r="U299" s="633"/>
      <c r="V299" s="633"/>
      <c r="W299" s="633"/>
      <c r="X299" s="633"/>
      <c r="Y299" s="633"/>
      <c r="Z299" s="633"/>
      <c r="AA299" s="633"/>
      <c r="AB299" s="633"/>
      <c r="AC299" s="633"/>
      <c r="AD299" s="633"/>
      <c r="AE299" s="633"/>
      <c r="AF299" s="633"/>
      <c r="AG299" s="633"/>
      <c r="AH299" s="633"/>
      <c r="AI299" s="633"/>
      <c r="AJ299" s="633"/>
      <c r="AK299" s="633"/>
      <c r="AL299" s="633"/>
      <c r="AM299" s="633"/>
      <c r="AN299" s="633"/>
      <c r="AO299" s="633"/>
      <c r="AP299" s="633"/>
      <c r="AQ299" s="633"/>
      <c r="AR299" s="633"/>
      <c r="AS299" s="633"/>
      <c r="AT299" s="633"/>
      <c r="AU299" s="633"/>
      <c r="AV299" s="633"/>
      <c r="AW299" s="633"/>
      <c r="AX299" s="633"/>
      <c r="AY299" s="633"/>
      <c r="AZ299" s="633"/>
      <c r="BA299" s="633"/>
      <c r="BB299" s="633"/>
      <c r="BC299" s="633"/>
      <c r="BD299" s="633"/>
      <c r="BE299" s="633"/>
      <c r="BF299" s="633"/>
      <c r="BG299" s="633"/>
      <c r="BH299" s="633"/>
      <c r="BI299" s="633"/>
      <c r="BJ299" s="633"/>
      <c r="BK299" s="633"/>
      <c r="BL299" s="633"/>
      <c r="BM299" s="633"/>
      <c r="BN299" s="633"/>
      <c r="BO299" s="633"/>
      <c r="BP299" s="633"/>
      <c r="BQ299" s="633"/>
      <c r="BR299" s="633"/>
      <c r="BS299" s="633"/>
      <c r="BT299" s="633"/>
      <c r="BU299" s="633"/>
      <c r="BV299" s="633"/>
      <c r="BW299" s="633"/>
      <c r="BX299" s="633"/>
      <c r="BY299" s="633"/>
      <c r="BZ299" s="633"/>
      <c r="CA299" s="633"/>
      <c r="CB299" s="633"/>
      <c r="CC299" s="633"/>
      <c r="CD299" s="633"/>
      <c r="CE299" s="633"/>
      <c r="CF299" s="633"/>
      <c r="CG299" s="633"/>
      <c r="CH299" s="633"/>
      <c r="CI299" s="633"/>
      <c r="CJ299" s="633"/>
      <c r="CK299" s="633"/>
      <c r="CL299" s="633"/>
      <c r="CM299" s="633"/>
    </row>
    <row r="301" spans="2:91" ht="12" customHeight="1" x14ac:dyDescent="0.2">
      <c r="B301" s="26" t="s">
        <v>303</v>
      </c>
      <c r="BB301" s="720"/>
      <c r="BE301" s="590">
        <f>+BE240+BE144</f>
        <v>1169.0999999999999</v>
      </c>
      <c r="BF301" s="590">
        <f>+BF240+BF144</f>
        <v>1169.0999999999999</v>
      </c>
      <c r="BG301" s="590">
        <f>+BG240+BG144</f>
        <v>1169.1000000000001</v>
      </c>
      <c r="BH301" s="590">
        <f>+BH240+BH144</f>
        <v>1071.7</v>
      </c>
      <c r="BK301" s="590">
        <f>+BK240+BK144</f>
        <v>996.7</v>
      </c>
      <c r="BL301" s="590">
        <f>+BL240+BL144</f>
        <v>996.7</v>
      </c>
      <c r="BM301" s="590">
        <f>+BM240+BM144</f>
        <v>987.90000000000009</v>
      </c>
      <c r="BN301" s="590">
        <f>+BN240+BN144</f>
        <v>987.9000000000002</v>
      </c>
      <c r="BQ301" s="590">
        <f>+BQ240+BQ144</f>
        <v>912.9000000000002</v>
      </c>
      <c r="BR301" s="590">
        <f>+BR240+BR144</f>
        <v>912.9000000000002</v>
      </c>
      <c r="BS301" s="590">
        <f>+BS240+BS144</f>
        <v>904.10000000000025</v>
      </c>
      <c r="BT301" s="590">
        <f>+BT240+BT144</f>
        <v>904.10000000000025</v>
      </c>
      <c r="BW301" s="590">
        <f>+BW240+BW144</f>
        <v>829.10000000000025</v>
      </c>
      <c r="BX301" s="590">
        <f>+BX240+BX144</f>
        <v>829.10000000000025</v>
      </c>
      <c r="BY301" s="590">
        <f>+BY240+BY144</f>
        <v>820.3000000000003</v>
      </c>
      <c r="BZ301" s="590">
        <f>+BZ240+BZ144</f>
        <v>820.3000000000003</v>
      </c>
      <c r="CC301" s="590">
        <f>+CC240+CC144</f>
        <v>820.3000000000003</v>
      </c>
      <c r="CD301" s="590">
        <f>+CD240+CD144</f>
        <v>820.3000000000003</v>
      </c>
      <c r="CE301" s="590">
        <f>+CE240+CE144</f>
        <v>820.3000000000003</v>
      </c>
      <c r="CF301" s="590">
        <f>+CF240+CF144</f>
        <v>820.3000000000003</v>
      </c>
    </row>
    <row r="302" spans="2:91" ht="12" customHeight="1" x14ac:dyDescent="0.2">
      <c r="B302" s="26" t="s">
        <v>302</v>
      </c>
      <c r="BB302" s="224"/>
      <c r="BE302" s="590">
        <f>+BE235+BE143</f>
        <v>10.9</v>
      </c>
      <c r="BF302" s="590">
        <f>+BF235+BF143</f>
        <v>10.9</v>
      </c>
      <c r="BG302" s="590">
        <f>+BG235+BG143</f>
        <v>2.1</v>
      </c>
      <c r="BH302" s="590">
        <f>+BH235+BH143</f>
        <v>99.5</v>
      </c>
      <c r="BI302" s="224"/>
      <c r="BK302" s="590">
        <f>+BK235+BK143</f>
        <v>174.5</v>
      </c>
      <c r="BL302" s="590">
        <f>+BL235+BL143</f>
        <v>174.5</v>
      </c>
      <c r="BM302" s="590">
        <f>+BM235+BM143</f>
        <v>183.29999999999998</v>
      </c>
      <c r="BN302" s="590">
        <f>+BN235+BN143</f>
        <v>85.899999999999991</v>
      </c>
      <c r="BO302" s="224"/>
      <c r="BQ302" s="590">
        <f>+BQ235+BQ143</f>
        <v>85.899999999999991</v>
      </c>
      <c r="BR302" s="590">
        <f>+BR235+BR143</f>
        <v>85.899999999999991</v>
      </c>
      <c r="BS302" s="590">
        <f>+BS235+BS143</f>
        <v>85.899999999999991</v>
      </c>
      <c r="BT302" s="590">
        <f>+BT235+BT143</f>
        <v>85.899999999999991</v>
      </c>
      <c r="BW302" s="590">
        <f>+BW235+BW143</f>
        <v>85.899999999999991</v>
      </c>
      <c r="BX302" s="590">
        <f>+BX235+BX143</f>
        <v>85.899999999999991</v>
      </c>
      <c r="BY302" s="590">
        <f>+BY235+BY143</f>
        <v>85.899999999999991</v>
      </c>
      <c r="BZ302" s="590">
        <f>+BZ235+BZ143</f>
        <v>85.899999999999991</v>
      </c>
      <c r="CC302" s="590">
        <f>+CC235+CC143</f>
        <v>10.9</v>
      </c>
      <c r="CD302" s="590">
        <f>+CD235+CD143</f>
        <v>10.9</v>
      </c>
      <c r="CE302" s="590">
        <f>+CE235+CE143</f>
        <v>2.1</v>
      </c>
      <c r="CF302" s="590">
        <f>+CF235+CF143</f>
        <v>2.1</v>
      </c>
    </row>
    <row r="303" spans="2:91" ht="12" customHeight="1" x14ac:dyDescent="0.2">
      <c r="BB303" s="659"/>
      <c r="BE303" s="659"/>
      <c r="BF303" s="659"/>
      <c r="BG303" s="659"/>
      <c r="BH303" s="659"/>
      <c r="BI303" s="659"/>
      <c r="BK303" s="659"/>
      <c r="BL303" s="659"/>
      <c r="BM303" s="659"/>
      <c r="BN303" s="659"/>
      <c r="BO303" s="659"/>
      <c r="BQ303" s="659"/>
      <c r="BR303" s="659"/>
      <c r="BS303" s="659"/>
      <c r="BT303" s="659"/>
      <c r="BU303" s="659"/>
      <c r="BW303" s="659"/>
      <c r="BX303" s="659"/>
      <c r="BY303" s="659"/>
      <c r="BZ303" s="659"/>
      <c r="CA303" s="659"/>
      <c r="CC303" s="659"/>
      <c r="CD303" s="659"/>
      <c r="CE303" s="659"/>
      <c r="CF303" s="659"/>
      <c r="CG303" s="659"/>
    </row>
  </sheetData>
  <mergeCells count="43">
    <mergeCell ref="C232:G232"/>
    <mergeCell ref="I232:M232"/>
    <mergeCell ref="O232:S232"/>
    <mergeCell ref="U232:Y232"/>
    <mergeCell ref="AS232:AW232"/>
    <mergeCell ref="AA232:AE232"/>
    <mergeCell ref="AG232:AK232"/>
    <mergeCell ref="AM232:AQ232"/>
    <mergeCell ref="AY232:BC232"/>
    <mergeCell ref="BW232:CA232"/>
    <mergeCell ref="CC232:CG232"/>
    <mergeCell ref="CI232:CM232"/>
    <mergeCell ref="BQ232:BU232"/>
    <mergeCell ref="BK232:BO232"/>
    <mergeCell ref="BE232:BI232"/>
    <mergeCell ref="C4:G4"/>
    <mergeCell ref="I4:M4"/>
    <mergeCell ref="O4:S4"/>
    <mergeCell ref="U4:Y4"/>
    <mergeCell ref="AS4:AW4"/>
    <mergeCell ref="AY4:BC4"/>
    <mergeCell ref="BQ4:BU4"/>
    <mergeCell ref="BW4:CA4"/>
    <mergeCell ref="CC4:CG4"/>
    <mergeCell ref="AA4:AE4"/>
    <mergeCell ref="AG4:AK4"/>
    <mergeCell ref="AM4:AQ4"/>
    <mergeCell ref="BK4:BO4"/>
    <mergeCell ref="BE4:BI4"/>
    <mergeCell ref="C116:G116"/>
    <mergeCell ref="I116:M116"/>
    <mergeCell ref="O116:S116"/>
    <mergeCell ref="U116:Y116"/>
    <mergeCell ref="AA116:AE116"/>
    <mergeCell ref="BK116:BO116"/>
    <mergeCell ref="BQ116:BU116"/>
    <mergeCell ref="BW116:CA116"/>
    <mergeCell ref="CC116:CG116"/>
    <mergeCell ref="AG116:AK116"/>
    <mergeCell ref="AM116:AQ116"/>
    <mergeCell ref="AS116:AW116"/>
    <mergeCell ref="AY116:BC116"/>
    <mergeCell ref="BE116:BI116"/>
  </mergeCells>
  <phoneticPr fontId="12" type="noConversion"/>
  <printOptions horizontalCentered="1" verticalCentered="1"/>
  <pageMargins left="0" right="0" top="0" bottom="0" header="0" footer="0"/>
  <pageSetup scale="17" orientation="landscape" r:id="rId1"/>
  <headerFooter alignWithMargins="0"/>
  <rowBreaks count="2" manualBreakCount="2">
    <brk id="156" max="16383" man="1"/>
    <brk id="201" max="16383" man="1"/>
  </rowBreaks>
  <ignoredErrors>
    <ignoredError sqref="AY128:BA131 AS127:AU131 AY127:BA127 BD127 BD129:BL131 BM129:BM131 BM125:BM127 BF127:BL127 BD128 BE127:BE128 BI128:BL128 BC70:BD70" formulaRange="1"/>
    <ignoredError sqref="AT138:BA138 BD138:BO138 BK29:BL29 BB29:BJ29 BP29:CG29 BN29:BO29" formula="1"/>
  </ignoredError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3">
    <tabColor theme="8" tint="-0.249977111117893"/>
  </sheetPr>
  <dimension ref="A1:IV182"/>
  <sheetViews>
    <sheetView showGridLines="0" zoomScaleNormal="100" workbookViewId="0">
      <pane xSplit="2" ySplit="6" topLeftCell="AK7" activePane="bottomRight" state="frozen"/>
      <selection pane="topRight"/>
      <selection pane="bottomLeft"/>
      <selection pane="bottomRight" activeCell="CB178" sqref="CB178"/>
    </sheetView>
  </sheetViews>
  <sheetFormatPr defaultRowHeight="12.75" outlineLevelRow="1" outlineLevelCol="1" x14ac:dyDescent="0.2"/>
  <cols>
    <col min="1" max="1" width="0.7109375" customWidth="1"/>
    <col min="2" max="2" width="25.28515625" customWidth="1"/>
    <col min="3" max="6" width="7.7109375" hidden="1" customWidth="1" outlineLevel="1"/>
    <col min="7" max="7" width="7.7109375" hidden="1" customWidth="1" outlineLevel="1" collapsed="1"/>
    <col min="8" max="8" width="1" style="24" hidden="1" customWidth="1" outlineLevel="1"/>
    <col min="9" max="12" width="7.7109375" hidden="1" customWidth="1" outlineLevel="1"/>
    <col min="13" max="13" width="7.7109375" hidden="1" customWidth="1" outlineLevel="1" collapsed="1"/>
    <col min="14" max="14" width="1" style="24" hidden="1" customWidth="1" outlineLevel="1"/>
    <col min="15" max="18" width="7.7109375" hidden="1" customWidth="1" outlineLevel="1"/>
    <col min="19" max="19" width="7.7109375" hidden="1" customWidth="1" outlineLevel="1" collapsed="1"/>
    <col min="20" max="20" width="1" style="24" hidden="1" customWidth="1" outlineLevel="1"/>
    <col min="21" max="24" width="7.7109375" hidden="1" customWidth="1" outlineLevel="1"/>
    <col min="25" max="25" width="7.7109375" hidden="1" customWidth="1" outlineLevel="1" collapsed="1"/>
    <col min="26" max="26" width="0.7109375" style="24" hidden="1" customWidth="1" outlineLevel="1"/>
    <col min="27" max="30" width="7.7109375" hidden="1" customWidth="1" outlineLevel="1"/>
    <col min="31" max="31" width="7.7109375" hidden="1" customWidth="1" outlineLevel="1" collapsed="1"/>
    <col min="32" max="32" width="1" style="24" hidden="1" customWidth="1" outlineLevel="1"/>
    <col min="33" max="36" width="7.7109375" hidden="1" customWidth="1" outlineLevel="1"/>
    <col min="37" max="37" width="7.7109375" customWidth="1" collapsed="1"/>
    <col min="38" max="38" width="1" style="24" customWidth="1"/>
    <col min="39" max="42" width="7.7109375" hidden="1" customWidth="1" outlineLevel="1"/>
    <col min="43" max="43" width="7.7109375" customWidth="1" collapsed="1"/>
    <col min="44" max="44" width="0.85546875" style="24" customWidth="1"/>
    <col min="45" max="48" width="7.7109375" hidden="1" customWidth="1" outlineLevel="1"/>
    <col min="49" max="49" width="7.7109375" customWidth="1" collapsed="1"/>
    <col min="50" max="50" width="1" style="24" customWidth="1"/>
    <col min="51" max="54" width="7.7109375" hidden="1" customWidth="1" outlineLevel="1"/>
    <col min="55" max="55" width="7.7109375" customWidth="1" collapsed="1"/>
    <col min="56" max="56" width="1" style="24" customWidth="1"/>
    <col min="57" max="60" width="7.7109375" hidden="1" customWidth="1" outlineLevel="1"/>
    <col min="61" max="61" width="7.7109375" customWidth="1" collapsed="1"/>
    <col min="62" max="62" width="1" style="24" customWidth="1"/>
    <col min="63" max="66" width="7.7109375" hidden="1" customWidth="1" outlineLevel="1"/>
    <col min="67" max="67" width="7.7109375" customWidth="1" collapsed="1"/>
    <col min="68" max="68" width="1" style="24" customWidth="1"/>
    <col min="69" max="72" width="7.7109375" hidden="1" customWidth="1" outlineLevel="1"/>
    <col min="73" max="73" width="7.7109375" customWidth="1" collapsed="1"/>
    <col min="74" max="74" width="1" style="24" customWidth="1"/>
    <col min="75" max="78" width="7.7109375" hidden="1" customWidth="1" outlineLevel="1"/>
    <col min="79" max="79" width="7.7109375" customWidth="1" collapsed="1"/>
    <col min="80" max="80" width="1" style="24" customWidth="1"/>
    <col min="81" max="84" width="7.7109375" hidden="1" customWidth="1" outlineLevel="1"/>
    <col min="85" max="85" width="7.7109375" customWidth="1" collapsed="1"/>
    <col min="86" max="93" width="7.7109375" style="24" customWidth="1"/>
    <col min="94" max="99" width="8.28515625" style="24" customWidth="1"/>
    <col min="100" max="100" width="12" style="24" bestFit="1" customWidth="1"/>
    <col min="101" max="101" width="1" style="24" customWidth="1"/>
    <col min="102" max="105" width="7.7109375" hidden="1" customWidth="1" outlineLevel="1"/>
    <col min="106" max="106" width="7.7109375" customWidth="1" collapsed="1"/>
    <col min="107" max="107" width="1" customWidth="1"/>
    <col min="108" max="111" width="7.7109375" hidden="1" customWidth="1" outlineLevel="1"/>
    <col min="112" max="112" width="7.7109375" customWidth="1" collapsed="1"/>
    <col min="113" max="113" width="1" customWidth="1"/>
    <col min="114" max="117" width="7.7109375" hidden="1" customWidth="1" outlineLevel="1"/>
    <col min="118" max="118" width="7.7109375" customWidth="1" collapsed="1"/>
    <col min="119" max="119" width="1" customWidth="1"/>
    <col min="120" max="123" width="7.7109375" hidden="1" customWidth="1" outlineLevel="1"/>
    <col min="124" max="124" width="7.7109375" customWidth="1" collapsed="1"/>
    <col min="133" max="16384" width="9.140625" style="24"/>
  </cols>
  <sheetData>
    <row r="1" spans="1:132" x14ac:dyDescent="0.2">
      <c r="B1" s="91" t="s">
        <v>490</v>
      </c>
      <c r="C1" s="122"/>
      <c r="D1" s="122"/>
      <c r="E1" s="122"/>
      <c r="F1" s="122"/>
      <c r="G1" s="122"/>
      <c r="H1" s="167"/>
      <c r="I1" s="122"/>
      <c r="J1" s="122"/>
      <c r="K1" s="122"/>
      <c r="L1" s="122"/>
      <c r="M1" s="122"/>
      <c r="N1" s="167"/>
      <c r="O1" s="122"/>
      <c r="P1" s="122"/>
      <c r="Q1" s="122"/>
      <c r="R1" s="122"/>
      <c r="S1" s="122"/>
      <c r="T1" s="167"/>
      <c r="U1" s="122"/>
      <c r="V1" s="122"/>
      <c r="W1" s="122"/>
      <c r="X1" s="122"/>
      <c r="Y1" s="124"/>
      <c r="Z1" s="167"/>
      <c r="AA1" s="122"/>
      <c r="AB1" s="122"/>
      <c r="AC1" s="122"/>
      <c r="AD1" s="122"/>
      <c r="AE1" s="122"/>
      <c r="AF1" s="167"/>
      <c r="AG1" s="122"/>
      <c r="AH1" s="122"/>
      <c r="AI1" s="122"/>
      <c r="AJ1" s="122"/>
      <c r="AK1" s="122"/>
      <c r="AL1" s="167"/>
      <c r="AM1" s="122"/>
      <c r="AN1" s="122"/>
      <c r="AO1" s="531"/>
      <c r="AP1" s="122"/>
      <c r="AQ1" s="122"/>
      <c r="AR1" s="167"/>
      <c r="AS1" s="122"/>
      <c r="BD1" s="167"/>
      <c r="BE1" s="122"/>
      <c r="BF1" s="122"/>
      <c r="BG1" s="122"/>
      <c r="BH1" s="122"/>
      <c r="BI1" s="122"/>
      <c r="BJ1" s="167"/>
      <c r="BK1" s="122"/>
      <c r="BL1" s="122"/>
      <c r="BM1" s="122"/>
      <c r="BN1" s="122"/>
      <c r="BO1" s="122"/>
      <c r="BP1" s="167"/>
      <c r="BQ1" s="122"/>
      <c r="BR1" s="122"/>
      <c r="BS1" s="122"/>
      <c r="BT1" s="122"/>
      <c r="BU1" s="122"/>
      <c r="BV1" s="167"/>
      <c r="BW1" s="122"/>
      <c r="BX1" s="122"/>
      <c r="BY1" s="122"/>
      <c r="BZ1" s="122"/>
      <c r="CA1" s="122"/>
      <c r="CB1" s="167"/>
      <c r="CC1" s="122"/>
      <c r="CD1" s="122"/>
      <c r="CE1" s="122"/>
      <c r="CF1" s="122"/>
      <c r="CG1" s="122"/>
      <c r="CW1" s="167"/>
    </row>
    <row r="2" spans="1:132" x14ac:dyDescent="0.2">
      <c r="B2" s="10" t="s">
        <v>195</v>
      </c>
      <c r="C2" s="122"/>
      <c r="H2" s="167"/>
      <c r="I2" s="122"/>
      <c r="J2" s="122"/>
      <c r="K2" s="122"/>
      <c r="L2" s="122"/>
      <c r="M2" s="122"/>
      <c r="N2" s="167"/>
      <c r="O2" s="122"/>
      <c r="P2" s="122"/>
      <c r="Q2" s="122"/>
      <c r="R2" s="122"/>
      <c r="S2" s="122"/>
      <c r="T2" s="167"/>
      <c r="U2" s="122"/>
      <c r="V2" s="122"/>
      <c r="W2" s="122"/>
      <c r="X2" s="122"/>
      <c r="Y2" s="393"/>
      <c r="Z2" s="167"/>
      <c r="AA2" s="122"/>
      <c r="AB2" s="122"/>
      <c r="AC2" s="122"/>
      <c r="AD2" s="391"/>
      <c r="AE2" s="122"/>
      <c r="AF2" s="167"/>
      <c r="AG2" s="122"/>
      <c r="AH2" s="122"/>
      <c r="AI2" s="122"/>
      <c r="AJ2" s="122"/>
      <c r="AK2" s="122"/>
      <c r="AL2" s="167"/>
      <c r="AM2" s="1100"/>
      <c r="AN2" s="1100"/>
      <c r="AO2" s="1100"/>
      <c r="AP2" s="1100"/>
      <c r="AQ2" s="1100"/>
      <c r="AR2" s="167"/>
      <c r="AS2" s="1100"/>
      <c r="AT2" s="1100"/>
      <c r="AU2" s="1100"/>
      <c r="AV2" s="1100"/>
      <c r="AW2" s="1100"/>
      <c r="AX2" s="1100"/>
      <c r="AY2" s="1100"/>
      <c r="AZ2" s="1100"/>
      <c r="BA2" s="1100"/>
      <c r="BB2" s="1100"/>
      <c r="BC2" s="1100"/>
      <c r="BD2" s="167"/>
      <c r="BE2" s="122"/>
      <c r="BF2" s="122"/>
      <c r="BG2" s="122"/>
      <c r="BH2" s="122"/>
      <c r="BI2" s="807"/>
      <c r="BJ2" s="167"/>
      <c r="BK2" s="122"/>
      <c r="BL2" s="122"/>
      <c r="BM2" s="122"/>
      <c r="BN2" s="122"/>
      <c r="BO2" s="548"/>
      <c r="BP2" s="167"/>
      <c r="BQ2" s="122"/>
      <c r="BR2" s="122"/>
      <c r="BS2" s="122"/>
      <c r="BT2" s="122"/>
      <c r="BU2" s="548"/>
      <c r="BV2" s="167"/>
      <c r="BW2" s="122"/>
      <c r="BX2" s="122"/>
      <c r="BY2" s="122"/>
      <c r="BZ2" s="122"/>
      <c r="CA2" s="548"/>
      <c r="CB2" s="167"/>
      <c r="CC2" s="122"/>
      <c r="CD2" s="122"/>
      <c r="CE2" s="122"/>
      <c r="CF2" s="122"/>
      <c r="CG2" s="548"/>
      <c r="CW2" s="167"/>
    </row>
    <row r="3" spans="1:132" x14ac:dyDescent="0.2">
      <c r="B3" s="8" t="s">
        <v>334</v>
      </c>
      <c r="C3" s="301"/>
      <c r="D3" s="301"/>
      <c r="E3" s="301"/>
      <c r="F3" s="301"/>
      <c r="G3" s="439"/>
      <c r="H3" s="439"/>
      <c r="N3"/>
      <c r="T3"/>
      <c r="Z3"/>
      <c r="AF3"/>
      <c r="AG3" s="301"/>
      <c r="AH3" s="301"/>
      <c r="AI3" s="301"/>
      <c r="AJ3" s="301"/>
      <c r="AL3"/>
      <c r="AM3" s="301"/>
      <c r="AN3" s="301"/>
      <c r="AO3" s="301"/>
      <c r="AP3" s="301"/>
      <c r="AR3"/>
      <c r="AS3" s="301"/>
      <c r="AT3" s="301"/>
      <c r="AU3" s="301"/>
      <c r="AV3" s="301"/>
      <c r="AX3"/>
      <c r="AY3" s="301"/>
      <c r="AZ3" s="301"/>
      <c r="BA3" s="301"/>
      <c r="BB3" s="301"/>
      <c r="BC3" s="548"/>
      <c r="BD3" s="548"/>
      <c r="BE3" s="548"/>
      <c r="BF3" s="548"/>
      <c r="BG3" s="548"/>
      <c r="BH3" s="548"/>
      <c r="BI3" s="808"/>
      <c r="BJ3" s="548"/>
      <c r="BK3" s="548"/>
      <c r="BL3" s="548"/>
      <c r="BM3" s="548"/>
      <c r="BN3" s="548"/>
      <c r="BO3" s="548"/>
      <c r="BP3" s="548"/>
      <c r="BQ3" s="548"/>
      <c r="BR3" s="548"/>
      <c r="BS3" s="548"/>
      <c r="BT3" s="548"/>
      <c r="BU3" s="548"/>
      <c r="BV3" s="548"/>
      <c r="BW3" s="548"/>
      <c r="BX3" s="548"/>
      <c r="BY3" s="548"/>
      <c r="BZ3" s="548"/>
      <c r="CA3" s="548"/>
      <c r="CB3" s="548"/>
      <c r="CC3" s="548"/>
      <c r="CD3" s="548"/>
      <c r="CE3" s="548"/>
      <c r="CF3" s="548"/>
      <c r="CG3" s="548"/>
      <c r="CW3" s="559"/>
    </row>
    <row r="4" spans="1:132" x14ac:dyDescent="0.2">
      <c r="B4" s="9" t="s">
        <v>332</v>
      </c>
      <c r="C4" s="439"/>
      <c r="D4" s="439"/>
      <c r="E4" s="439"/>
      <c r="F4" s="439"/>
      <c r="G4" s="518"/>
      <c r="H4" s="69"/>
      <c r="I4" s="439"/>
      <c r="J4" s="439"/>
      <c r="K4" s="439"/>
      <c r="L4" s="439"/>
      <c r="M4" s="518"/>
      <c r="N4" s="69"/>
      <c r="O4" s="439"/>
      <c r="P4" s="439"/>
      <c r="Q4" s="439"/>
      <c r="R4" s="439"/>
      <c r="S4" s="518"/>
      <c r="T4" s="69"/>
      <c r="U4" s="439"/>
      <c r="V4" s="439"/>
      <c r="W4" s="439"/>
      <c r="X4" s="439"/>
      <c r="Y4" s="440"/>
      <c r="Z4" s="69"/>
      <c r="AA4" s="518"/>
      <c r="AB4" s="519"/>
      <c r="AC4" s="518"/>
      <c r="AD4" s="520"/>
      <c r="AE4" s="518"/>
      <c r="AF4" s="69"/>
      <c r="AG4" s="518"/>
      <c r="AH4" s="518"/>
      <c r="AI4" s="518"/>
      <c r="AJ4" s="518"/>
      <c r="AK4" s="518"/>
      <c r="AL4" s="69"/>
      <c r="AM4" s="439"/>
      <c r="AN4" s="439"/>
      <c r="AO4" s="439"/>
      <c r="AP4" s="439"/>
      <c r="AQ4" s="518"/>
      <c r="AR4" s="69"/>
      <c r="AS4" s="439"/>
      <c r="AZ4" s="422"/>
      <c r="BC4" s="547"/>
      <c r="BD4" s="69"/>
      <c r="BE4" s="439"/>
      <c r="BF4" s="439"/>
      <c r="BG4" s="439"/>
      <c r="BH4" s="439"/>
      <c r="BI4" s="734"/>
      <c r="BJ4" s="69"/>
      <c r="BK4" s="439"/>
      <c r="BL4" s="439"/>
      <c r="BM4" s="439"/>
      <c r="BN4" s="439"/>
      <c r="BO4" s="544"/>
      <c r="BP4" s="69"/>
      <c r="BQ4" s="439"/>
      <c r="BR4" s="439"/>
      <c r="BS4" s="439"/>
      <c r="BT4" s="439"/>
      <c r="BU4" s="544"/>
      <c r="BV4" s="69"/>
      <c r="BW4" s="439"/>
      <c r="BX4" s="439"/>
      <c r="BY4" s="439"/>
      <c r="BZ4" s="439"/>
      <c r="CA4" s="544"/>
      <c r="CB4" s="69"/>
      <c r="CC4" s="439"/>
      <c r="CD4" s="439"/>
      <c r="CE4" s="439"/>
      <c r="CF4" s="439"/>
      <c r="CG4" s="544"/>
      <c r="CW4" s="69"/>
    </row>
    <row r="5" spans="1:132" s="758" customFormat="1" x14ac:dyDescent="0.2">
      <c r="A5" s="757"/>
      <c r="B5" s="757"/>
      <c r="C5" s="1712" t="s">
        <v>68</v>
      </c>
      <c r="D5" s="1712"/>
      <c r="E5" s="1712"/>
      <c r="F5" s="1712"/>
      <c r="G5" s="1712"/>
      <c r="H5" s="755"/>
      <c r="I5" s="1712" t="s">
        <v>69</v>
      </c>
      <c r="J5" s="1712"/>
      <c r="K5" s="1712"/>
      <c r="L5" s="1712"/>
      <c r="M5" s="1712"/>
      <c r="N5" s="755"/>
      <c r="O5" s="1712" t="s">
        <v>70</v>
      </c>
      <c r="P5" s="1712"/>
      <c r="Q5" s="1712"/>
      <c r="R5" s="1712"/>
      <c r="S5" s="1712"/>
      <c r="T5" s="755"/>
      <c r="U5" s="1712" t="s">
        <v>142</v>
      </c>
      <c r="V5" s="1712"/>
      <c r="W5" s="1712"/>
      <c r="X5" s="1712"/>
      <c r="Y5" s="1712"/>
      <c r="Z5" s="757"/>
      <c r="AA5" s="1712" t="s">
        <v>186</v>
      </c>
      <c r="AB5" s="1712"/>
      <c r="AC5" s="1712"/>
      <c r="AD5" s="1712"/>
      <c r="AE5" s="1712"/>
      <c r="AF5" s="755"/>
      <c r="AG5" s="1712" t="s">
        <v>187</v>
      </c>
      <c r="AH5" s="1712"/>
      <c r="AI5" s="1712"/>
      <c r="AJ5" s="1712"/>
      <c r="AK5" s="1712"/>
      <c r="AL5" s="755"/>
      <c r="AM5" s="1712" t="s">
        <v>188</v>
      </c>
      <c r="AN5" s="1712"/>
      <c r="AO5" s="1712"/>
      <c r="AP5" s="1712"/>
      <c r="AQ5" s="1712"/>
      <c r="AR5" s="755"/>
      <c r="AS5" s="1712" t="s">
        <v>376</v>
      </c>
      <c r="AT5" s="1712"/>
      <c r="AU5" s="1712"/>
      <c r="AV5" s="1712"/>
      <c r="AW5" s="1712"/>
      <c r="AX5" s="755"/>
      <c r="AY5" s="1712" t="s">
        <v>529</v>
      </c>
      <c r="AZ5" s="1712"/>
      <c r="BA5" s="1712"/>
      <c r="BB5" s="1712"/>
      <c r="BC5" s="1712"/>
      <c r="BD5" s="755"/>
      <c r="BE5" s="1712" t="s">
        <v>580</v>
      </c>
      <c r="BF5" s="1712"/>
      <c r="BG5" s="1712"/>
      <c r="BH5" s="1712"/>
      <c r="BI5" s="1712"/>
      <c r="BJ5" s="755"/>
      <c r="BK5" s="1712" t="s">
        <v>379</v>
      </c>
      <c r="BL5" s="1712"/>
      <c r="BM5" s="1712"/>
      <c r="BN5" s="1712"/>
      <c r="BO5" s="1712"/>
      <c r="BP5" s="755"/>
      <c r="BQ5" s="1712" t="s">
        <v>393</v>
      </c>
      <c r="BR5" s="1712"/>
      <c r="BS5" s="1712"/>
      <c r="BT5" s="1712"/>
      <c r="BU5" s="1712"/>
      <c r="BV5" s="755"/>
      <c r="BW5" s="1712" t="s">
        <v>394</v>
      </c>
      <c r="BX5" s="1712"/>
      <c r="BY5" s="1712"/>
      <c r="BZ5" s="1712"/>
      <c r="CA5" s="1712"/>
      <c r="CB5" s="755"/>
      <c r="CC5" s="1712" t="s">
        <v>395</v>
      </c>
      <c r="CD5" s="1712"/>
      <c r="CE5" s="1712"/>
      <c r="CF5" s="1712"/>
      <c r="CG5" s="1712"/>
      <c r="CW5" s="974"/>
      <c r="CX5"/>
      <c r="CY5"/>
      <c r="CZ5"/>
      <c r="DA5"/>
      <c r="DB5"/>
      <c r="DC5"/>
      <c r="DD5"/>
      <c r="DE5"/>
      <c r="DF5"/>
      <c r="DG5"/>
      <c r="DH5"/>
      <c r="DI5"/>
      <c r="DJ5"/>
      <c r="DK5"/>
      <c r="DL5"/>
      <c r="DM5"/>
      <c r="DN5"/>
      <c r="DO5"/>
      <c r="DP5"/>
      <c r="DQ5"/>
      <c r="DR5"/>
      <c r="DS5"/>
      <c r="DT5"/>
      <c r="DU5"/>
      <c r="DV5"/>
      <c r="DW5"/>
      <c r="DX5"/>
      <c r="DY5"/>
      <c r="DZ5"/>
      <c r="EA5"/>
      <c r="EB5"/>
    </row>
    <row r="6" spans="1:132" x14ac:dyDescent="0.2">
      <c r="B6" s="379"/>
      <c r="C6" s="524">
        <v>39172</v>
      </c>
      <c r="D6" s="524">
        <v>39263</v>
      </c>
      <c r="E6" s="524">
        <v>39355</v>
      </c>
      <c r="F6" s="524">
        <v>39447</v>
      </c>
      <c r="G6" s="522" t="str">
        <f>+C5</f>
        <v>2007A</v>
      </c>
      <c r="H6" s="523"/>
      <c r="I6" s="524">
        <v>39538</v>
      </c>
      <c r="J6" s="524">
        <v>39629</v>
      </c>
      <c r="K6" s="524">
        <v>39721</v>
      </c>
      <c r="L6" s="524">
        <v>39813</v>
      </c>
      <c r="M6" s="522" t="str">
        <f>+I5</f>
        <v>2008A</v>
      </c>
      <c r="N6" s="523"/>
      <c r="O6" s="524">
        <v>39903</v>
      </c>
      <c r="P6" s="524">
        <v>39994</v>
      </c>
      <c r="Q6" s="524">
        <v>40086</v>
      </c>
      <c r="R6" s="524">
        <v>40178</v>
      </c>
      <c r="S6" s="522" t="str">
        <f>+O5</f>
        <v>2009A</v>
      </c>
      <c r="T6" s="523"/>
      <c r="U6" s="524">
        <v>40268</v>
      </c>
      <c r="V6" s="524">
        <v>40359</v>
      </c>
      <c r="W6" s="524">
        <v>40451</v>
      </c>
      <c r="X6" s="524">
        <v>40543</v>
      </c>
      <c r="Y6" s="522" t="str">
        <f>+U5</f>
        <v>2010A</v>
      </c>
      <c r="Z6" s="523"/>
      <c r="AA6" s="524">
        <v>40633</v>
      </c>
      <c r="AB6" s="524">
        <v>40724</v>
      </c>
      <c r="AC6" s="524">
        <v>40816</v>
      </c>
      <c r="AD6" s="524">
        <v>40908</v>
      </c>
      <c r="AE6" s="525" t="str">
        <f>+AA5</f>
        <v>2011A</v>
      </c>
      <c r="AF6" s="523"/>
      <c r="AG6" s="524">
        <v>40999</v>
      </c>
      <c r="AH6" s="524">
        <v>41090</v>
      </c>
      <c r="AI6" s="524">
        <v>41182</v>
      </c>
      <c r="AJ6" s="524">
        <v>41274</v>
      </c>
      <c r="AK6" s="525" t="str">
        <f>+AG5</f>
        <v>2012A</v>
      </c>
      <c r="AL6" s="523"/>
      <c r="AM6" s="524">
        <v>41364</v>
      </c>
      <c r="AN6" s="524">
        <v>41455</v>
      </c>
      <c r="AO6" s="524">
        <v>41547</v>
      </c>
      <c r="AP6" s="524">
        <v>41639</v>
      </c>
      <c r="AQ6" s="525" t="str">
        <f>+AM5</f>
        <v>2013A</v>
      </c>
      <c r="AR6" s="523"/>
      <c r="AS6" s="524">
        <v>41729</v>
      </c>
      <c r="AT6" s="524">
        <v>41820</v>
      </c>
      <c r="AU6" s="524">
        <v>41912</v>
      </c>
      <c r="AV6" s="524">
        <v>42004</v>
      </c>
      <c r="AW6" s="525" t="str">
        <f>+AS5</f>
        <v>2014A</v>
      </c>
      <c r="AX6" s="523"/>
      <c r="AY6" s="524">
        <v>42094</v>
      </c>
      <c r="AZ6" s="524">
        <v>42185</v>
      </c>
      <c r="BA6" s="524">
        <v>42277</v>
      </c>
      <c r="BB6" s="524">
        <v>42369</v>
      </c>
      <c r="BC6" s="525" t="str">
        <f>+AY5</f>
        <v>2015A</v>
      </c>
      <c r="BD6" s="523"/>
      <c r="BE6" s="524">
        <v>42460</v>
      </c>
      <c r="BF6" s="524">
        <v>42551</v>
      </c>
      <c r="BG6" s="524">
        <v>42643</v>
      </c>
      <c r="BH6" s="524">
        <v>42735</v>
      </c>
      <c r="BI6" s="525" t="str">
        <f>+BE5</f>
        <v>2016A</v>
      </c>
      <c r="BJ6" s="523"/>
      <c r="BK6" s="515">
        <v>42825</v>
      </c>
      <c r="BL6" s="515">
        <v>42916</v>
      </c>
      <c r="BM6" s="515">
        <v>43008</v>
      </c>
      <c r="BN6" s="515">
        <v>43100</v>
      </c>
      <c r="BO6" s="525" t="str">
        <f>+BK5</f>
        <v>2017E</v>
      </c>
      <c r="BP6" s="523"/>
      <c r="BQ6" s="515">
        <v>43190</v>
      </c>
      <c r="BR6" s="515">
        <v>43281</v>
      </c>
      <c r="BS6" s="515">
        <v>43373</v>
      </c>
      <c r="BT6" s="515">
        <v>43465</v>
      </c>
      <c r="BU6" s="525" t="str">
        <f>+BQ5</f>
        <v>2018E</v>
      </c>
      <c r="BV6" s="523"/>
      <c r="BW6" s="515">
        <v>43555</v>
      </c>
      <c r="BX6" s="515">
        <v>43646</v>
      </c>
      <c r="BY6" s="515">
        <v>43738</v>
      </c>
      <c r="BZ6" s="515">
        <v>43830</v>
      </c>
      <c r="CA6" s="525" t="str">
        <f>+BW5</f>
        <v>2019E</v>
      </c>
      <c r="CB6" s="523"/>
      <c r="CC6" s="515">
        <v>43921</v>
      </c>
      <c r="CD6" s="515">
        <v>44012</v>
      </c>
      <c r="CE6" s="515">
        <v>44104</v>
      </c>
      <c r="CF6" s="515">
        <v>44196</v>
      </c>
      <c r="CG6" s="525" t="str">
        <f>+CC5</f>
        <v>2020E</v>
      </c>
      <c r="CW6" s="975"/>
    </row>
    <row r="7" spans="1:132" ht="12.75" hidden="1" customHeight="1" outlineLevel="1" x14ac:dyDescent="0.2">
      <c r="B7" s="32" t="s">
        <v>143</v>
      </c>
      <c r="C7" s="33">
        <v>90</v>
      </c>
      <c r="D7" s="33">
        <f>+D6-C6</f>
        <v>91</v>
      </c>
      <c r="E7" s="33">
        <f>+E6-D6</f>
        <v>92</v>
      </c>
      <c r="F7" s="33">
        <f>+F6-E6</f>
        <v>92</v>
      </c>
      <c r="G7" s="33">
        <f>+SUM(C7:F7)</f>
        <v>365</v>
      </c>
      <c r="H7" s="596"/>
      <c r="I7" s="33">
        <f>+I6-F6</f>
        <v>91</v>
      </c>
      <c r="J7" s="33">
        <f>+J6-I6</f>
        <v>91</v>
      </c>
      <c r="K7" s="33">
        <f>+K6-J6</f>
        <v>92</v>
      </c>
      <c r="L7" s="33">
        <f>+L6-K6</f>
        <v>92</v>
      </c>
      <c r="M7" s="33">
        <f>+SUM(I7:L7)</f>
        <v>366</v>
      </c>
      <c r="N7" s="596"/>
      <c r="O7" s="33">
        <f>+O6-L6</f>
        <v>90</v>
      </c>
      <c r="P7" s="33">
        <f>+P6-O6</f>
        <v>91</v>
      </c>
      <c r="Q7" s="33">
        <f>+Q6-P6</f>
        <v>92</v>
      </c>
      <c r="R7" s="33">
        <f>+R6-Q6</f>
        <v>92</v>
      </c>
      <c r="S7" s="33">
        <f>+SUM(O7:R7)</f>
        <v>365</v>
      </c>
      <c r="T7" s="596"/>
      <c r="U7" s="33">
        <f>+U6-R6</f>
        <v>90</v>
      </c>
      <c r="V7" s="33">
        <f>+V6-U6</f>
        <v>91</v>
      </c>
      <c r="W7" s="33">
        <f>+W6-V6</f>
        <v>92</v>
      </c>
      <c r="X7" s="33">
        <f>+X6-W6</f>
        <v>92</v>
      </c>
      <c r="Y7" s="33">
        <f>+SUM(U7:X7)</f>
        <v>365</v>
      </c>
      <c r="Z7" s="596"/>
      <c r="AA7" s="33">
        <f>+AA6-X6</f>
        <v>90</v>
      </c>
      <c r="AB7" s="33">
        <f>+AB6-AA6</f>
        <v>91</v>
      </c>
      <c r="AC7" s="33">
        <f>+AC6-AB6</f>
        <v>92</v>
      </c>
      <c r="AD7" s="33">
        <f>+AD6-AC6</f>
        <v>92</v>
      </c>
      <c r="AE7" s="33">
        <f>+SUM(AA7:AD7)</f>
        <v>365</v>
      </c>
      <c r="AF7" s="596"/>
      <c r="AG7" s="33">
        <f>+AG6-AD6</f>
        <v>91</v>
      </c>
      <c r="AH7" s="33">
        <f>+AH6-AG6</f>
        <v>91</v>
      </c>
      <c r="AI7" s="33">
        <f>+AI6-AH6</f>
        <v>92</v>
      </c>
      <c r="AJ7" s="33">
        <f>+AJ6-AI6</f>
        <v>92</v>
      </c>
      <c r="AK7" s="33">
        <f>+SUM(AG7:AJ7)</f>
        <v>366</v>
      </c>
      <c r="AL7" s="596"/>
      <c r="AM7" s="33">
        <f>+AM6-AJ6</f>
        <v>90</v>
      </c>
      <c r="AN7" s="33">
        <f>+AN6-AM6</f>
        <v>91</v>
      </c>
      <c r="AO7" s="33">
        <f>+AO6-AN6</f>
        <v>92</v>
      </c>
      <c r="AP7" s="33">
        <f>+AP6-AO6</f>
        <v>92</v>
      </c>
      <c r="AQ7" s="33">
        <f>+SUM(AM7:AP7)</f>
        <v>365</v>
      </c>
      <c r="AR7" s="596"/>
      <c r="AS7" s="33">
        <f>+AS6-AP6</f>
        <v>90</v>
      </c>
      <c r="AT7" s="33">
        <f>+AT6-AS6</f>
        <v>91</v>
      </c>
      <c r="AU7" s="33">
        <f>+AU6-AT6</f>
        <v>92</v>
      </c>
      <c r="AV7" s="33">
        <f>+AV6-AU6</f>
        <v>92</v>
      </c>
      <c r="AW7" s="33">
        <f>+SUM(AS7:AV7)</f>
        <v>365</v>
      </c>
      <c r="AX7" s="596"/>
      <c r="AY7" s="33">
        <f>+AY6-AV6</f>
        <v>90</v>
      </c>
      <c r="AZ7" s="33">
        <f>+AZ6-AY6</f>
        <v>91</v>
      </c>
      <c r="BA7" s="33">
        <f>+BA6-AZ6</f>
        <v>92</v>
      </c>
      <c r="BB7" s="33">
        <f>+BB6-BA6</f>
        <v>92</v>
      </c>
      <c r="BC7" s="33">
        <f>+SUM(AY7:BB7)</f>
        <v>365</v>
      </c>
      <c r="BD7" s="596"/>
      <c r="BE7" s="33">
        <f>+BE6-BB6</f>
        <v>91</v>
      </c>
      <c r="BF7" s="33">
        <f>+BF6-BE6</f>
        <v>91</v>
      </c>
      <c r="BG7" s="33">
        <f>+BG6-BF6</f>
        <v>92</v>
      </c>
      <c r="BH7" s="33">
        <f>+BH6-BG6</f>
        <v>92</v>
      </c>
      <c r="BI7" s="33">
        <f>+SUM(BE7:BH7)</f>
        <v>366</v>
      </c>
      <c r="BJ7" s="596"/>
      <c r="BK7" s="33">
        <f>+BK6-BH6</f>
        <v>90</v>
      </c>
      <c r="BL7" s="33">
        <f>+BL6-BK6</f>
        <v>91</v>
      </c>
      <c r="BM7" s="33">
        <f>+BM6-BL6</f>
        <v>92</v>
      </c>
      <c r="BN7" s="33">
        <f>+BN6-BM6</f>
        <v>92</v>
      </c>
      <c r="BO7" s="33">
        <f>+SUM(BK7:BN7)</f>
        <v>365</v>
      </c>
      <c r="BP7" s="596"/>
      <c r="BQ7" s="33">
        <f>+BQ6-BN6</f>
        <v>90</v>
      </c>
      <c r="BR7" s="33">
        <f>+BR6-BQ6</f>
        <v>91</v>
      </c>
      <c r="BS7" s="33">
        <f>+BS6-BR6</f>
        <v>92</v>
      </c>
      <c r="BT7" s="33">
        <f>+BT6-BS6</f>
        <v>92</v>
      </c>
      <c r="BU7" s="33">
        <f>+SUM(BQ7:BT7)</f>
        <v>365</v>
      </c>
      <c r="BV7" s="596"/>
      <c r="BW7" s="33">
        <f>+BW6-BT6</f>
        <v>90</v>
      </c>
      <c r="BX7" s="33">
        <f>+BX6-BW6</f>
        <v>91</v>
      </c>
      <c r="BY7" s="33">
        <f>+BY6-BX6</f>
        <v>92</v>
      </c>
      <c r="BZ7" s="33">
        <f>+BZ6-BY6</f>
        <v>92</v>
      </c>
      <c r="CA7" s="33">
        <f>+SUM(BW7:BZ7)</f>
        <v>365</v>
      </c>
      <c r="CB7" s="596"/>
      <c r="CC7" s="33">
        <f>+CC6-BZ6</f>
        <v>91</v>
      </c>
      <c r="CD7" s="33">
        <f>+CD6-CC6</f>
        <v>91</v>
      </c>
      <c r="CE7" s="33">
        <f>+CE6-CD6</f>
        <v>92</v>
      </c>
      <c r="CF7" s="33">
        <f>+CF6-CE6</f>
        <v>92</v>
      </c>
      <c r="CG7" s="33">
        <f>+SUM(CC7:CF7)</f>
        <v>366</v>
      </c>
      <c r="CW7" s="596"/>
    </row>
    <row r="8" spans="1:132" s="25" customFormat="1" collapsed="1" x14ac:dyDescent="0.2">
      <c r="A8" s="290"/>
      <c r="B8" s="287"/>
      <c r="C8" s="288"/>
      <c r="D8" s="288"/>
      <c r="E8" s="288"/>
      <c r="F8" s="288"/>
      <c r="G8" s="644"/>
      <c r="H8" s="288"/>
      <c r="I8" s="288"/>
      <c r="J8" s="288"/>
      <c r="K8" s="288"/>
      <c r="L8" s="288"/>
      <c r="M8" s="644"/>
      <c r="N8" s="288"/>
      <c r="O8" s="288"/>
      <c r="P8" s="288"/>
      <c r="Q8" s="288"/>
      <c r="R8" s="288"/>
      <c r="S8" s="644"/>
      <c r="T8" s="288"/>
      <c r="U8" s="288"/>
      <c r="V8" s="288"/>
      <c r="W8" s="288"/>
      <c r="X8" s="288"/>
      <c r="Y8" s="644"/>
      <c r="Z8" s="288"/>
      <c r="AA8" s="288"/>
      <c r="AB8" s="288"/>
      <c r="AC8" s="288"/>
      <c r="AD8" s="288"/>
      <c r="AE8" s="644"/>
      <c r="AF8" s="288"/>
      <c r="AG8" s="288"/>
      <c r="AH8" s="288"/>
      <c r="AI8" s="288"/>
      <c r="AJ8" s="288"/>
      <c r="AK8" s="644"/>
      <c r="AL8" s="288"/>
      <c r="AM8" s="288"/>
      <c r="AN8" s="288"/>
      <c r="AO8" s="288"/>
      <c r="AP8" s="288"/>
      <c r="AQ8" s="644"/>
      <c r="AR8" s="288"/>
      <c r="AS8" s="288"/>
      <c r="AT8" s="288"/>
      <c r="AU8" s="288"/>
      <c r="AV8" s="288"/>
      <c r="AW8" s="644"/>
      <c r="AX8" s="288"/>
      <c r="AY8" s="288"/>
      <c r="AZ8" s="288"/>
      <c r="BA8" s="288"/>
      <c r="BB8" s="288"/>
      <c r="BC8" s="644"/>
      <c r="BD8" s="288"/>
      <c r="BE8" s="288"/>
      <c r="BF8" s="288"/>
      <c r="BG8" s="288"/>
      <c r="BH8" s="288"/>
      <c r="BI8" s="644"/>
      <c r="BJ8" s="288"/>
      <c r="BK8" s="288"/>
      <c r="BL8" s="288"/>
      <c r="BM8" s="288"/>
      <c r="BN8" s="288"/>
      <c r="BO8" s="644"/>
      <c r="BP8" s="288"/>
      <c r="BQ8" s="288"/>
      <c r="BR8" s="288"/>
      <c r="BS8" s="288"/>
      <c r="BT8" s="288"/>
      <c r="BU8" s="644"/>
      <c r="BV8" s="288"/>
      <c r="BW8" s="288"/>
      <c r="BX8" s="288"/>
      <c r="BY8" s="288"/>
      <c r="BZ8" s="288"/>
      <c r="CA8" s="644"/>
      <c r="CB8" s="288"/>
      <c r="CC8" s="288"/>
      <c r="CD8" s="288"/>
      <c r="CE8" s="288"/>
      <c r="CF8" s="288"/>
      <c r="CG8" s="644"/>
      <c r="CN8" s="750"/>
      <c r="CO8" s="750"/>
      <c r="CP8" s="751"/>
      <c r="CQ8" s="751"/>
      <c r="CR8" s="750"/>
      <c r="CS8" s="750"/>
      <c r="CX8"/>
      <c r="CY8"/>
      <c r="CZ8"/>
      <c r="DA8"/>
      <c r="DB8"/>
      <c r="DC8"/>
      <c r="DD8"/>
      <c r="DE8"/>
      <c r="DF8"/>
      <c r="DG8"/>
      <c r="DH8"/>
      <c r="DI8"/>
      <c r="DJ8"/>
      <c r="DK8"/>
      <c r="DL8"/>
      <c r="DM8"/>
      <c r="DN8"/>
      <c r="DO8"/>
      <c r="DP8"/>
      <c r="DQ8"/>
      <c r="DR8"/>
      <c r="DS8"/>
      <c r="DT8"/>
      <c r="DU8"/>
      <c r="DV8"/>
      <c r="DW8"/>
      <c r="DX8"/>
      <c r="DY8"/>
      <c r="DZ8"/>
      <c r="EA8"/>
      <c r="EB8"/>
    </row>
    <row r="9" spans="1:132" ht="12.75" hidden="1" customHeight="1" outlineLevel="1" x14ac:dyDescent="0.2">
      <c r="A9" s="290"/>
      <c r="B9" s="302" t="s">
        <v>552</v>
      </c>
      <c r="C9" s="1059">
        <v>150.16800000000001</v>
      </c>
      <c r="D9" s="1059">
        <v>157.041</v>
      </c>
      <c r="E9" s="1059">
        <v>177.941</v>
      </c>
      <c r="F9" s="1059">
        <v>200.10599999999999</v>
      </c>
      <c r="G9" s="645">
        <f>SUM(C9:F9)</f>
        <v>685.25599999999997</v>
      </c>
      <c r="H9" s="178"/>
      <c r="I9" s="1059">
        <v>189.46100000000001</v>
      </c>
      <c r="J9" s="1059">
        <v>186.93799999999999</v>
      </c>
      <c r="K9" s="1059">
        <v>180.60599999999999</v>
      </c>
      <c r="L9" s="1059">
        <v>179.721</v>
      </c>
      <c r="M9" s="645">
        <f>SUM(I9:L9)</f>
        <v>736.726</v>
      </c>
      <c r="N9" s="178"/>
      <c r="O9" s="1059">
        <v>164.822</v>
      </c>
      <c r="P9" s="1059">
        <v>180.58</v>
      </c>
      <c r="Q9" s="1059">
        <v>188.17099999999996</v>
      </c>
      <c r="R9" s="1059">
        <v>214.82300000000001</v>
      </c>
      <c r="S9" s="645">
        <f>SUM(O9:R9)</f>
        <v>748.39599999999996</v>
      </c>
      <c r="T9" s="178"/>
      <c r="U9" s="1059">
        <v>190.136</v>
      </c>
      <c r="V9" s="1059">
        <v>182.41800000000001</v>
      </c>
      <c r="W9" s="1059">
        <v>182.899</v>
      </c>
      <c r="X9" s="1059">
        <v>235.64599999999999</v>
      </c>
      <c r="Y9" s="645">
        <f>SUM(U9:X9)</f>
        <v>791.09899999999993</v>
      </c>
      <c r="Z9" s="178"/>
      <c r="AA9" s="1059">
        <v>214.73699999999999</v>
      </c>
      <c r="AB9" s="1059">
        <v>244.68600000000001</v>
      </c>
      <c r="AC9" s="1059">
        <v>218.797</v>
      </c>
      <c r="AD9" s="1059">
        <v>258.11599999999999</v>
      </c>
      <c r="AE9" s="645">
        <f>SUM(AA9:AD9)</f>
        <v>936.33600000000001</v>
      </c>
      <c r="AF9" s="178"/>
      <c r="AG9" s="1059">
        <v>231.864</v>
      </c>
      <c r="AH9" s="1059">
        <v>242.00700000000001</v>
      </c>
      <c r="AI9" s="1059">
        <v>247.364</v>
      </c>
      <c r="AJ9" s="1059">
        <v>272.404</v>
      </c>
      <c r="AK9" s="645">
        <f>SUM(AG9:AJ9)</f>
        <v>993.63900000000001</v>
      </c>
      <c r="AL9" s="178"/>
      <c r="AM9" s="1059">
        <v>267.32600000000002</v>
      </c>
      <c r="AN9" s="1059">
        <v>283.15699999999998</v>
      </c>
      <c r="AO9" s="1059">
        <v>278.60399999999998</v>
      </c>
      <c r="AP9" s="1059">
        <v>298.726</v>
      </c>
      <c r="AQ9" s="645">
        <f>SUM(AM9:AP9)</f>
        <v>1127.8130000000001</v>
      </c>
      <c r="AR9" s="178"/>
      <c r="AS9" s="1059">
        <v>282.7</v>
      </c>
      <c r="AT9" s="1059">
        <v>299.7</v>
      </c>
      <c r="AU9" s="1059">
        <v>290</v>
      </c>
      <c r="AV9" s="1059">
        <v>293</v>
      </c>
      <c r="AW9" s="645">
        <f>SUM(AS9:AV9)</f>
        <v>1165.4000000000001</v>
      </c>
      <c r="AX9" s="178"/>
      <c r="AY9" s="1059">
        <v>257.3</v>
      </c>
      <c r="AZ9" s="1059">
        <v>306.10000000000002</v>
      </c>
      <c r="BA9" s="1059">
        <v>304.89999999999998</v>
      </c>
      <c r="BB9" s="1059">
        <v>304.2</v>
      </c>
      <c r="BC9" s="645">
        <f>SUM(AY9:BB9)</f>
        <v>1172.5</v>
      </c>
      <c r="BD9" s="178"/>
      <c r="BE9" s="1059">
        <v>292.36893549472018</v>
      </c>
      <c r="BF9" s="1059">
        <v>306.59319101426127</v>
      </c>
      <c r="BG9" s="1059">
        <v>303.41639722217633</v>
      </c>
      <c r="BH9" s="1059">
        <v>314.59723182110599</v>
      </c>
      <c r="BI9" s="645">
        <f>SUM(BE9:BH9)</f>
        <v>1216.9757555522638</v>
      </c>
      <c r="BJ9" s="178"/>
      <c r="BK9" s="1059">
        <v>263.93766505567379</v>
      </c>
      <c r="BL9" s="1059">
        <v>272.48492834282712</v>
      </c>
      <c r="BM9" s="1059">
        <v>307.48743381669959</v>
      </c>
      <c r="BN9" s="1059">
        <v>347.51573677004586</v>
      </c>
      <c r="BO9" s="645">
        <f>SUM(BK9:BN9)</f>
        <v>1191.4257639852462</v>
      </c>
      <c r="BP9" s="178"/>
      <c r="BQ9" s="1059">
        <v>336.75363296395102</v>
      </c>
      <c r="BR9" s="1059">
        <v>342.5940699918778</v>
      </c>
      <c r="BS9" s="1059">
        <v>348.36262479278429</v>
      </c>
      <c r="BT9" s="1059">
        <v>395.18871161548731</v>
      </c>
      <c r="BU9" s="645">
        <f>SUM(BQ9:BT9)</f>
        <v>1422.8990393641004</v>
      </c>
      <c r="BV9" s="178"/>
      <c r="BW9" s="1059">
        <v>359.40421948878981</v>
      </c>
      <c r="BX9" s="1059">
        <v>365.6265713900828</v>
      </c>
      <c r="BY9" s="1059">
        <v>371.01086800801454</v>
      </c>
      <c r="BZ9" s="1059">
        <v>421.46031559569735</v>
      </c>
      <c r="CA9" s="645">
        <f>SUM(BW9:BZ9)</f>
        <v>1517.5019744825845</v>
      </c>
      <c r="CB9" s="178"/>
      <c r="CC9" s="1059">
        <v>380.0719266755649</v>
      </c>
      <c r="CD9" s="1059">
        <v>386.68898651448865</v>
      </c>
      <c r="CE9" s="1059">
        <v>391.73033328989328</v>
      </c>
      <c r="CF9" s="1059">
        <v>445.46288654049488</v>
      </c>
      <c r="CG9" s="645">
        <f>SUM(CC9:CF9)</f>
        <v>1603.9541330204415</v>
      </c>
      <c r="CW9" s="57"/>
    </row>
    <row r="10" spans="1:132" ht="12.75" hidden="1" customHeight="1" outlineLevel="1" x14ac:dyDescent="0.2">
      <c r="A10" s="24"/>
      <c r="B10" s="302" t="s">
        <v>553</v>
      </c>
      <c r="C10" s="1059">
        <v>423.26600000000002</v>
      </c>
      <c r="D10" s="1059">
        <v>462.108</v>
      </c>
      <c r="E10" s="1059">
        <v>445.33199999999999</v>
      </c>
      <c r="F10" s="1059">
        <v>489.19299999999998</v>
      </c>
      <c r="G10" s="645">
        <f>SUM(C10:F10)</f>
        <v>1819.8990000000001</v>
      </c>
      <c r="H10" s="178"/>
      <c r="I10" s="1059">
        <v>496.24799999999999</v>
      </c>
      <c r="J10" s="1059">
        <v>542.27300000000002</v>
      </c>
      <c r="K10" s="1059">
        <v>488.08600000000001</v>
      </c>
      <c r="L10" s="1059">
        <v>467.19299999999981</v>
      </c>
      <c r="M10" s="645">
        <f>SUM(I10:L10)</f>
        <v>1993.7999999999997</v>
      </c>
      <c r="N10" s="178"/>
      <c r="O10" s="1059">
        <v>465.64999999999992</v>
      </c>
      <c r="P10" s="1059">
        <v>511.52699999999999</v>
      </c>
      <c r="Q10" s="1059">
        <v>493.81799999999998</v>
      </c>
      <c r="R10" s="1059">
        <v>519.67100000000005</v>
      </c>
      <c r="S10" s="645">
        <f>SUM(O10:R10)</f>
        <v>1990.6659999999999</v>
      </c>
      <c r="T10" s="178"/>
      <c r="U10" s="1059">
        <v>497.48599999999999</v>
      </c>
      <c r="V10" s="1059">
        <v>519.28</v>
      </c>
      <c r="W10" s="1059">
        <v>494.346</v>
      </c>
      <c r="X10" s="1059">
        <v>520.64499999999998</v>
      </c>
      <c r="Y10" s="645">
        <f>SUM(U10:X10)</f>
        <v>2031.7570000000001</v>
      </c>
      <c r="Z10" s="178"/>
      <c r="AA10" s="1059">
        <v>527.005</v>
      </c>
      <c r="AB10" s="1059">
        <v>563.99</v>
      </c>
      <c r="AC10" s="1059">
        <v>563.75099999999998</v>
      </c>
      <c r="AD10" s="1059">
        <v>677.8</v>
      </c>
      <c r="AE10" s="645">
        <f>SUM(AA10:AD10)</f>
        <v>2332.5459999999998</v>
      </c>
      <c r="AF10" s="178"/>
      <c r="AG10" s="1059">
        <v>665.625</v>
      </c>
      <c r="AH10" s="1059">
        <v>698.48</v>
      </c>
      <c r="AI10" s="1059">
        <v>647.12</v>
      </c>
      <c r="AJ10" s="1059">
        <v>703.47299999999996</v>
      </c>
      <c r="AK10" s="645">
        <f>SUM(AG10:AJ10)</f>
        <v>2714.6979999999999</v>
      </c>
      <c r="AL10" s="178"/>
      <c r="AM10" s="1059">
        <v>672.649</v>
      </c>
      <c r="AN10" s="1059">
        <v>715.95600000000002</v>
      </c>
      <c r="AO10" s="1059">
        <v>669.42499999999995</v>
      </c>
      <c r="AP10" s="1059">
        <v>713.66899999999998</v>
      </c>
      <c r="AQ10" s="645">
        <f>SUM(AM10:AP10)</f>
        <v>2771.6989999999996</v>
      </c>
      <c r="AR10" s="178"/>
      <c r="AS10" s="1059">
        <v>689.18200000000002</v>
      </c>
      <c r="AT10" s="1059">
        <v>730.89800000000002</v>
      </c>
      <c r="AU10" s="1059">
        <v>681.58399999999995</v>
      </c>
      <c r="AV10" s="1059">
        <v>691.01099999999997</v>
      </c>
      <c r="AW10" s="645">
        <f>SUM(AS10:AV10)</f>
        <v>2792.6749999999997</v>
      </c>
      <c r="AX10" s="178"/>
      <c r="AY10" s="1059">
        <v>631.54700000000003</v>
      </c>
      <c r="AZ10" s="1059">
        <v>674.69799999999998</v>
      </c>
      <c r="BA10" s="1059">
        <v>629.29999999999995</v>
      </c>
      <c r="BB10" s="1059">
        <v>645.9</v>
      </c>
      <c r="BC10" s="645">
        <f>SUM(AY10:BB10)</f>
        <v>2581.4449999999997</v>
      </c>
      <c r="BD10" s="178"/>
      <c r="BE10" s="1059">
        <v>625.6</v>
      </c>
      <c r="BF10" s="1059">
        <v>693.63796056982778</v>
      </c>
      <c r="BG10" s="1059">
        <v>631.27558290362015</v>
      </c>
      <c r="BH10" s="1059">
        <v>663.42064332979066</v>
      </c>
      <c r="BI10" s="645">
        <f>SUM(BE10:BH10)</f>
        <v>2613.9341868032388</v>
      </c>
      <c r="BJ10" s="178"/>
      <c r="BK10" s="1059">
        <v>616.23839865863192</v>
      </c>
      <c r="BL10" s="1059">
        <v>701.34711168439753</v>
      </c>
      <c r="BM10" s="1059">
        <v>682.65435422228325</v>
      </c>
      <c r="BN10" s="1059">
        <v>722.57383446767881</v>
      </c>
      <c r="BO10" s="645">
        <f>SUM(BK10:BN10)</f>
        <v>2722.8136990329913</v>
      </c>
      <c r="BP10" s="178"/>
      <c r="BQ10" s="1059">
        <v>584.51699215176063</v>
      </c>
      <c r="BR10" s="1059">
        <v>689.63687389781694</v>
      </c>
      <c r="BS10" s="1059">
        <v>706.36976776491167</v>
      </c>
      <c r="BT10" s="1059">
        <v>739.32336367064499</v>
      </c>
      <c r="BU10" s="645">
        <f>SUM(BQ10:BT10)</f>
        <v>2719.8469974851341</v>
      </c>
      <c r="BV10" s="178"/>
      <c r="BW10" s="1059">
        <v>582.74434395510718</v>
      </c>
      <c r="BX10" s="1059">
        <v>704.24885185564938</v>
      </c>
      <c r="BY10" s="1059">
        <v>717.57840013033069</v>
      </c>
      <c r="BZ10" s="1059">
        <v>741.30804791149319</v>
      </c>
      <c r="CA10" s="645">
        <f>SUM(BW10:BZ10)</f>
        <v>2745.8796438525806</v>
      </c>
      <c r="CB10" s="178"/>
      <c r="CC10" s="1059">
        <v>595.83511884114</v>
      </c>
      <c r="CD10" s="1059">
        <v>710.3551030023101</v>
      </c>
      <c r="CE10" s="1059">
        <v>727.71684120488703</v>
      </c>
      <c r="CF10" s="1059">
        <v>758.89904881671441</v>
      </c>
      <c r="CG10" s="645">
        <f>SUM(CC10:CF10)</f>
        <v>2792.8061118650517</v>
      </c>
      <c r="CW10" s="596"/>
    </row>
    <row r="11" spans="1:132" ht="12.75" hidden="1" customHeight="1" outlineLevel="1" x14ac:dyDescent="0.2">
      <c r="A11" s="24"/>
      <c r="B11" s="766" t="s">
        <v>611</v>
      </c>
      <c r="C11" s="1059">
        <f>+RevBuild!C121</f>
        <v>-0.6792651953027381</v>
      </c>
      <c r="D11" s="1059">
        <f>+RevBuild!D121</f>
        <v>-0.73341721350058597</v>
      </c>
      <c r="E11" s="1059">
        <f>+RevBuild!E121</f>
        <v>-0.7383023261123749</v>
      </c>
      <c r="F11" s="1059">
        <f>+RevBuild!F121</f>
        <v>-0.81651387929034924</v>
      </c>
      <c r="G11" s="470">
        <f>SUM(C11:F11)</f>
        <v>-2.9674986142060487</v>
      </c>
      <c r="I11" s="1059">
        <f>+RevBuild!I121</f>
        <v>-0.81226132005748763</v>
      </c>
      <c r="J11" s="1059">
        <f>+RevBuild!J121</f>
        <v>-0.86379191385914511</v>
      </c>
      <c r="K11" s="1059">
        <f>+RevBuild!K121</f>
        <v>-0.79210371547096725</v>
      </c>
      <c r="L11" s="1059">
        <f>+RevBuild!L121</f>
        <v>-0.76630643553412492</v>
      </c>
      <c r="M11" s="470">
        <f>SUM(I11:L11)</f>
        <v>-3.234463384921725</v>
      </c>
      <c r="O11" s="1059">
        <f>+RevBuild!O121</f>
        <v>-0.74682995115899642</v>
      </c>
      <c r="P11" s="1059">
        <f>+RevBuild!P121</f>
        <v>-0.81984011503571852</v>
      </c>
      <c r="Q11" s="1059">
        <f>+RevBuild!Q121</f>
        <v>-0.80785476842900672</v>
      </c>
      <c r="R11" s="1059">
        <f>+RevBuild!R121</f>
        <v>-0.87004992790572133</v>
      </c>
      <c r="S11" s="470">
        <f>SUM(O11:R11)</f>
        <v>-3.2445747625294428</v>
      </c>
      <c r="U11" s="1059">
        <f>+RevBuild!U121</f>
        <v>-0.81452737738686476</v>
      </c>
      <c r="V11" s="1059">
        <f>+RevBuild!V121</f>
        <v>-0.83120120016172871</v>
      </c>
      <c r="W11" s="1059">
        <f>+RevBuild!W121</f>
        <v>-0.80223523054580459</v>
      </c>
      <c r="X11" s="1059">
        <f>+RevBuild!X121</f>
        <v>-0.89586971442346131</v>
      </c>
      <c r="Y11" s="470">
        <f>SUM(U11:X11)</f>
        <v>-3.3438335225178593</v>
      </c>
      <c r="AA11" s="1059">
        <f>+RevBuild!AA121</f>
        <v>-0.87863559623992227</v>
      </c>
      <c r="AB11" s="1059">
        <f>+RevBuild!AB121</f>
        <v>-0.95792272707345072</v>
      </c>
      <c r="AC11" s="1059">
        <f>+RevBuild!AC121</f>
        <v>-0.92697262466782082</v>
      </c>
      <c r="AD11" s="1059">
        <f>+RevBuild!AD121</f>
        <v>-1.1086457456777197</v>
      </c>
      <c r="AE11" s="470">
        <f>SUM(AA11:AD11)</f>
        <v>-3.8721766936589135</v>
      </c>
      <c r="AG11" s="1059">
        <f>+RevBuild!AG121</f>
        <v>-1.0631267780896481</v>
      </c>
      <c r="AH11" s="1059">
        <f>+RevBuild!AH121</f>
        <v>-1.11406035521906</v>
      </c>
      <c r="AI11" s="1059">
        <f>+RevBuild!AI121</f>
        <v>-1.0595671846370716</v>
      </c>
      <c r="AJ11" s="1059">
        <f>+RevBuild!AJ121</f>
        <v>-1.1559818235340948</v>
      </c>
      <c r="AK11" s="470">
        <f>SUM(AG11:AJ11)</f>
        <v>-4.3927361414798742</v>
      </c>
      <c r="AM11" s="1059">
        <f>+RevBuild!AM121</f>
        <v>-1.1134538620916989</v>
      </c>
      <c r="AN11" s="1059">
        <f>+RevBuild!AN121</f>
        <v>-1.1835061874156481</v>
      </c>
      <c r="AO11" s="1059">
        <f>+RevBuild!AO121</f>
        <v>-1.1229942832787376</v>
      </c>
      <c r="AP11" s="1059">
        <f>+RevBuild!AP121</f>
        <v>-1.199239472020347</v>
      </c>
      <c r="AQ11" s="470">
        <f>SUM(AM11:AP11)</f>
        <v>-4.6191938048064314</v>
      </c>
      <c r="AS11" s="1059">
        <f>+RevBuild!AS121</f>
        <v>-1.4157980361810587</v>
      </c>
      <c r="AT11" s="1059">
        <f>+RevBuild!AT121</f>
        <v>-1.6864916005520172</v>
      </c>
      <c r="AU11" s="1059">
        <f>+RevBuild!AU121</f>
        <v>-0.83023246845618814</v>
      </c>
      <c r="AV11" s="1059">
        <f>+RevBuild!AV121</f>
        <v>-0.7560429047297248</v>
      </c>
      <c r="AW11" s="470">
        <f>SUM(AS11:AV11)</f>
        <v>-4.6885650099189888</v>
      </c>
      <c r="AY11" s="1059">
        <f>+RevBuild!AY121</f>
        <v>-0.54700000000002547</v>
      </c>
      <c r="AZ11" s="1059">
        <f>+RevBuild!AZ121</f>
        <v>-0.69799999999997908</v>
      </c>
      <c r="BA11" s="1059">
        <f>+RevBuild!BA121</f>
        <v>-0.49999999999988631</v>
      </c>
      <c r="BB11" s="1059">
        <f>+RevBuild!BB121</f>
        <v>-0.49999999999988631</v>
      </c>
      <c r="BC11" s="470">
        <f>SUM(AY11:BB11)</f>
        <v>-2.2449999999997772</v>
      </c>
      <c r="BE11" s="1059">
        <f>+RevBuild!BE121</f>
        <v>-0.4</v>
      </c>
      <c r="BF11" s="1059">
        <f>+RevBuild!BF121</f>
        <v>-0.59686139070580713</v>
      </c>
      <c r="BG11" s="1059">
        <f>+RevBuild!BG121</f>
        <v>-0.55864679246316218</v>
      </c>
      <c r="BH11" s="1059">
        <f>+RevBuild!BH121</f>
        <v>-0.58364476126664511</v>
      </c>
      <c r="BI11" s="470">
        <f>SUM(BE11:BH11)</f>
        <v>-2.1391529444356143</v>
      </c>
      <c r="BK11" s="1059">
        <f>+RevBuild!BK121</f>
        <v>-0.52516665800905571</v>
      </c>
      <c r="BL11" s="1059">
        <f>+RevBuild!BL121</f>
        <v>-0.58204002722463521</v>
      </c>
      <c r="BM11" s="1059">
        <f>+RevBuild!BM121</f>
        <v>-0.5917880389829312</v>
      </c>
      <c r="BN11" s="1059">
        <f>+RevBuild!BN121</f>
        <v>-0.63957123772451707</v>
      </c>
      <c r="BO11" s="470">
        <f>SUM(BK11:BN11)</f>
        <v>-2.3385659619411392</v>
      </c>
      <c r="BQ11" s="1059">
        <f>+RevBuild!BQ121</f>
        <v>-0.55062511571155015</v>
      </c>
      <c r="BR11" s="1059">
        <f>+RevBuild!BR121</f>
        <v>-0.61694388969464664</v>
      </c>
      <c r="BS11" s="1059">
        <f>+RevBuild!BS121</f>
        <v>-0.63039255769590807</v>
      </c>
      <c r="BT11" s="1059">
        <f>+RevBuild!BT121</f>
        <v>-0.67807528613225498</v>
      </c>
      <c r="BU11" s="470">
        <f>SUM(BQ11:BT11)</f>
        <v>-2.4760368492343598</v>
      </c>
      <c r="BW11" s="1059">
        <f>+RevBuild!BW121</f>
        <v>-0.56310344389696454</v>
      </c>
      <c r="BX11" s="1059">
        <f>+RevBuild!BX121</f>
        <v>-0.6394432457320931</v>
      </c>
      <c r="BY11" s="1059">
        <f>+RevBuild!BY121</f>
        <v>-0.65062813834506317</v>
      </c>
      <c r="BZ11" s="1059">
        <f>+RevBuild!BZ121</f>
        <v>-0.69496350719036692</v>
      </c>
      <c r="CA11" s="470">
        <f>SUM(BW11:BZ11)</f>
        <v>-2.548138335164488</v>
      </c>
      <c r="CC11" s="1059">
        <f>+RevBuild!CC121</f>
        <v>-0.58328021670490193</v>
      </c>
      <c r="CD11" s="1059">
        <f>+RevBuild!CD121</f>
        <v>-0.65568141679866276</v>
      </c>
      <c r="CE11" s="1059">
        <f>+RevBuild!CE121</f>
        <v>-0.66907129478022487</v>
      </c>
      <c r="CF11" s="1059">
        <f>+RevBuild!CF121</f>
        <v>-0.71982315720894485</v>
      </c>
      <c r="CG11" s="470">
        <f>SUM(CC11:CF11)</f>
        <v>-2.6278560854927342</v>
      </c>
      <c r="CW11" s="596"/>
    </row>
    <row r="12" spans="1:132" s="965" customFormat="1" hidden="1" outlineLevel="1" x14ac:dyDescent="0.2">
      <c r="B12" s="1231" t="s">
        <v>545</v>
      </c>
      <c r="C12" s="1003">
        <f>+C11/SUM(C9:C10)</f>
        <v>-1.1845568893765249E-3</v>
      </c>
      <c r="D12" s="1003">
        <f>+D11/SUM(D9:D10)</f>
        <v>-1.1845568893765249E-3</v>
      </c>
      <c r="E12" s="1003">
        <f>+E11/SUM(E9:E10)</f>
        <v>-1.1845568893765249E-3</v>
      </c>
      <c r="F12" s="1000">
        <f>+F11/SUM(F9:F10)</f>
        <v>-1.1845568893765249E-3</v>
      </c>
      <c r="G12" s="1001">
        <f>+G11/SUM(G9:G10)</f>
        <v>-1.1845568893765249E-3</v>
      </c>
      <c r="H12" s="1230"/>
      <c r="I12" s="1003">
        <f>+I11/SUM(I9:I10)</f>
        <v>-1.1845568893765249E-3</v>
      </c>
      <c r="J12" s="1003">
        <f>+J11/SUM(J9:J10)</f>
        <v>-1.1845568893765249E-3</v>
      </c>
      <c r="K12" s="1003">
        <f>+K11/SUM(K9:K10)</f>
        <v>-1.1845568893765249E-3</v>
      </c>
      <c r="L12" s="1000">
        <f>+L11/SUM(L9:L10)</f>
        <v>-1.1845568893765249E-3</v>
      </c>
      <c r="M12" s="1001">
        <f>+M11/SUM(M9:M10)</f>
        <v>-1.1845568893765249E-3</v>
      </c>
      <c r="N12" s="1230"/>
      <c r="O12" s="1003">
        <f>+O11/SUM(O9:O10)</f>
        <v>-1.1845568893765249E-3</v>
      </c>
      <c r="P12" s="1003">
        <f>+P11/SUM(P9:P10)</f>
        <v>-1.1845568893765249E-3</v>
      </c>
      <c r="Q12" s="1003">
        <f>+Q11/SUM(Q9:Q10)</f>
        <v>-1.1845568893765249E-3</v>
      </c>
      <c r="R12" s="1000">
        <f>+R11/SUM(R9:R10)</f>
        <v>-1.1845568893765249E-3</v>
      </c>
      <c r="S12" s="1001">
        <f>+S11/SUM(S9:S10)</f>
        <v>-1.1845568893765249E-3</v>
      </c>
      <c r="T12" s="1230"/>
      <c r="U12" s="1003">
        <f>+U11/SUM(U9:U10)</f>
        <v>-1.1845568893765249E-3</v>
      </c>
      <c r="V12" s="1003">
        <f>+V11/SUM(V9:V10)</f>
        <v>-1.1845568893765249E-3</v>
      </c>
      <c r="W12" s="1003">
        <f>+W11/SUM(W9:W10)</f>
        <v>-1.1845568893765249E-3</v>
      </c>
      <c r="X12" s="1000">
        <f>+X11/SUM(X9:X10)</f>
        <v>-1.1845568893765249E-3</v>
      </c>
      <c r="Y12" s="1001">
        <f>+Y11/SUM(Y9:Y10)</f>
        <v>-1.1845568893765249E-3</v>
      </c>
      <c r="Z12" s="1230"/>
      <c r="AA12" s="1003">
        <f>+AA11/SUM(AA9:AA10)</f>
        <v>-1.1845568893765249E-3</v>
      </c>
      <c r="AB12" s="1003">
        <f>+AB11/SUM(AB9:AB10)</f>
        <v>-1.1845568893765249E-3</v>
      </c>
      <c r="AC12" s="1003">
        <f>+AC11/SUM(AC9:AC10)</f>
        <v>-1.1845568893765249E-3</v>
      </c>
      <c r="AD12" s="1000">
        <f>+AD11/SUM(AD9:AD10)</f>
        <v>-1.1845568893765249E-3</v>
      </c>
      <c r="AE12" s="1001">
        <f>+AE11/SUM(AE9:AE10)</f>
        <v>-1.1845568893765251E-3</v>
      </c>
      <c r="AF12" s="1230"/>
      <c r="AG12" s="1003">
        <f>+AG11/SUM(AG9:AG10)</f>
        <v>-1.1845568893765249E-3</v>
      </c>
      <c r="AH12" s="1003">
        <f>+AH11/SUM(AH9:AH10)</f>
        <v>-1.1845568893765251E-3</v>
      </c>
      <c r="AI12" s="1003">
        <f>+AI11/SUM(AI9:AI10)</f>
        <v>-1.1845568893765249E-3</v>
      </c>
      <c r="AJ12" s="1000">
        <f>+AJ11/SUM(AJ9:AJ10)</f>
        <v>-1.1845568893765247E-3</v>
      </c>
      <c r="AK12" s="1001">
        <f>+AK11/SUM(AK9:AK10)</f>
        <v>-1.1845568893765249E-3</v>
      </c>
      <c r="AL12" s="1230"/>
      <c r="AM12" s="1003">
        <f>+AM11/SUM(AM9:AM10)</f>
        <v>-1.1845568893765249E-3</v>
      </c>
      <c r="AN12" s="1003">
        <f>+AN11/SUM(AN9:AN10)</f>
        <v>-1.1845568893765249E-3</v>
      </c>
      <c r="AO12" s="1003">
        <f>+AO11/SUM(AO9:AO10)</f>
        <v>-1.1845568893765249E-3</v>
      </c>
      <c r="AP12" s="1000">
        <f>+AP11/SUM(AP9:AP10)</f>
        <v>-1.1845568893765249E-3</v>
      </c>
      <c r="AQ12" s="1001">
        <f>+AQ11/SUM(AQ9:AQ10)</f>
        <v>-1.1845568893765249E-3</v>
      </c>
      <c r="AR12" s="1230"/>
      <c r="AS12" s="1003">
        <f>+AS11/SUM(AS9:AS10)</f>
        <v>-1.4567591911168831E-3</v>
      </c>
      <c r="AT12" s="1003">
        <f>+AT11/SUM(AT9:AT10)</f>
        <v>-1.6364204088810742E-3</v>
      </c>
      <c r="AU12" s="1003">
        <f>+AU11/SUM(AU9:AU10)</f>
        <v>-8.5451434817389771E-4</v>
      </c>
      <c r="AV12" s="1000">
        <f>+AV11/SUM(AV9:AV10)</f>
        <v>-7.6832769626531089E-4</v>
      </c>
      <c r="AW12" s="1001">
        <f>+AW11/SUM(AW9:AW10)</f>
        <v>-1.1845568893765249E-3</v>
      </c>
      <c r="AX12" s="1230"/>
      <c r="AY12" s="1003">
        <f>+AY11/SUM(AY9:AY10)</f>
        <v>-6.1540400091357169E-4</v>
      </c>
      <c r="AZ12" s="1003">
        <f>+AZ11/SUM(AZ9:AZ10)</f>
        <v>-7.1166539899141217E-4</v>
      </c>
      <c r="BA12" s="1003">
        <f>+BA11/SUM(BA9:BA10)</f>
        <v>-5.352172982229569E-4</v>
      </c>
      <c r="BB12" s="1000">
        <f>+BB11/SUM(BB9:BB10)</f>
        <v>-5.2626039364265479E-4</v>
      </c>
      <c r="BC12" s="1001">
        <f>+BC11/SUM(BC9:BC10)</f>
        <v>-5.9803753118380196E-4</v>
      </c>
      <c r="BD12" s="1230"/>
      <c r="BE12" s="1003">
        <f>+BE11/SUM(BE9:BE10)</f>
        <v>-4.3574459279978615E-4</v>
      </c>
      <c r="BF12" s="1003">
        <f>+BF11/SUM(BF9:BF10)</f>
        <v>-5.9672345713342764E-4</v>
      </c>
      <c r="BG12" s="1003">
        <f>+BG11/SUM(BG9:BG10)</f>
        <v>-5.9768009605471969E-4</v>
      </c>
      <c r="BH12" s="1000">
        <f>+BH11/SUM(BH9:BH10)</f>
        <v>-5.9676287734168002E-4</v>
      </c>
      <c r="BI12" s="1001">
        <f>+BI11/SUM(BI9:BI10)</f>
        <v>-5.5839290837526672E-4</v>
      </c>
      <c r="BJ12" s="1230"/>
      <c r="BK12" s="1003">
        <f>+BK11/SUM(BK9:BK10)</f>
        <v>-5.9666091780873325E-4</v>
      </c>
      <c r="BL12" s="1003">
        <f>+BL11/SUM(BL9:BL10)</f>
        <v>-5.9768009605471969E-4</v>
      </c>
      <c r="BM12" s="1003">
        <f>+BM11/SUM(BM9:BM10)</f>
        <v>-5.9768009605471969E-4</v>
      </c>
      <c r="BN12" s="1000">
        <f>+BN11/SUM(BN9:BN10)</f>
        <v>-5.9768009605471969E-4</v>
      </c>
      <c r="BO12" s="1001">
        <f>+BO11/SUM(BO9:BO10)</f>
        <v>-5.9745091838042284E-4</v>
      </c>
      <c r="BP12" s="1230"/>
      <c r="BQ12" s="1003">
        <f>+BQ11/SUM(BQ9:BQ10)</f>
        <v>-5.9768009605471958E-4</v>
      </c>
      <c r="BR12" s="1003">
        <f>+BR11/SUM(BR9:BR10)</f>
        <v>-5.9768009605471958E-4</v>
      </c>
      <c r="BS12" s="1003">
        <f>+BS11/SUM(BS9:BS10)</f>
        <v>-5.976800960547198E-4</v>
      </c>
      <c r="BT12" s="1000">
        <f>+BT11/SUM(BT9:BT10)</f>
        <v>-5.9768009605471969E-4</v>
      </c>
      <c r="BU12" s="1001">
        <f>+BU11/SUM(BU9:BU10)</f>
        <v>-5.9768009605471969E-4</v>
      </c>
      <c r="BV12" s="1230"/>
      <c r="BW12" s="1003">
        <f>+BW11/SUM(BW9:BW10)</f>
        <v>-5.9768009605471969E-4</v>
      </c>
      <c r="BX12" s="1003">
        <f>+BX11/SUM(BX9:BX10)</f>
        <v>-5.9768009605471969E-4</v>
      </c>
      <c r="BY12" s="1003">
        <f>+BY11/SUM(BY9:BY10)</f>
        <v>-5.9768009605471969E-4</v>
      </c>
      <c r="BZ12" s="1000">
        <f>+BZ11/SUM(BZ9:BZ10)</f>
        <v>-5.9768009605471969E-4</v>
      </c>
      <c r="CA12" s="1001">
        <f>+CA11/SUM(CA9:CA10)</f>
        <v>-5.976800960547198E-4</v>
      </c>
      <c r="CB12" s="1230"/>
      <c r="CC12" s="1003">
        <f>+CC11/SUM(CC9:CC10)</f>
        <v>-5.9768009605471969E-4</v>
      </c>
      <c r="CD12" s="1003">
        <f>+CD11/SUM(CD9:CD10)</f>
        <v>-5.9768009605471969E-4</v>
      </c>
      <c r="CE12" s="1003">
        <f>+CE11/SUM(CE9:CE10)</f>
        <v>-5.9768009605471969E-4</v>
      </c>
      <c r="CF12" s="1000">
        <f>+CF11/SUM(CF9:CF10)</f>
        <v>-5.9768009605471958E-4</v>
      </c>
      <c r="CG12" s="1001">
        <f>+CG11/SUM(CG9:CG10)</f>
        <v>-5.9768009605471958E-4</v>
      </c>
      <c r="CN12" s="964"/>
      <c r="CO12" s="964"/>
      <c r="CP12" s="964"/>
      <c r="CQ12" s="964"/>
      <c r="CR12" s="964"/>
      <c r="CS12" s="964"/>
    </row>
    <row r="13" spans="1:132" ht="12.75" hidden="1" customHeight="1" outlineLevel="1" x14ac:dyDescent="0.2">
      <c r="A13" s="24"/>
      <c r="B13" s="766" t="s">
        <v>510</v>
      </c>
      <c r="C13" s="1059">
        <f>RevBuild!C125</f>
        <v>0</v>
      </c>
      <c r="D13" s="1059">
        <f>RevBuild!D125</f>
        <v>0</v>
      </c>
      <c r="E13" s="1059">
        <f>RevBuild!E125</f>
        <v>0</v>
      </c>
      <c r="F13" s="1059">
        <f>RevBuild!F125</f>
        <v>0</v>
      </c>
      <c r="G13" s="1094">
        <f>SUM(C13:F13)</f>
        <v>0</v>
      </c>
      <c r="H13" s="178"/>
      <c r="I13" s="1059">
        <f>RevBuild!I125</f>
        <v>0</v>
      </c>
      <c r="J13" s="1059">
        <f>RevBuild!J125</f>
        <v>0</v>
      </c>
      <c r="K13" s="1059">
        <f>RevBuild!K125</f>
        <v>0</v>
      </c>
      <c r="L13" s="1059">
        <f>RevBuild!L125</f>
        <v>0</v>
      </c>
      <c r="M13" s="1094">
        <f>SUM(I13:L13)</f>
        <v>0</v>
      </c>
      <c r="N13" s="178"/>
      <c r="O13" s="1059">
        <f>RevBuild!O125</f>
        <v>0</v>
      </c>
      <c r="P13" s="1059">
        <f>RevBuild!P125</f>
        <v>0</v>
      </c>
      <c r="Q13" s="1059">
        <f>RevBuild!Q125</f>
        <v>0</v>
      </c>
      <c r="R13" s="1059">
        <f>RevBuild!R125</f>
        <v>0</v>
      </c>
      <c r="S13" s="1094">
        <f>SUM(O13:R13)</f>
        <v>0</v>
      </c>
      <c r="T13" s="178"/>
      <c r="U13" s="1059">
        <f>RevBuild!U125</f>
        <v>0</v>
      </c>
      <c r="V13" s="1059">
        <f>RevBuild!V125</f>
        <v>0</v>
      </c>
      <c r="W13" s="1059">
        <f>RevBuild!W125</f>
        <v>0</v>
      </c>
      <c r="X13" s="1059">
        <f>RevBuild!X125</f>
        <v>0</v>
      </c>
      <c r="Y13" s="1094">
        <f>SUM(U13:X13)</f>
        <v>0</v>
      </c>
      <c r="Z13" s="178"/>
      <c r="AA13" s="1059">
        <f>RevBuild!AA125</f>
        <v>0</v>
      </c>
      <c r="AB13" s="1059">
        <f>RevBuild!AB125</f>
        <v>0</v>
      </c>
      <c r="AC13" s="1059">
        <f>RevBuild!AC125</f>
        <v>0</v>
      </c>
      <c r="AD13" s="1059">
        <f>RevBuild!AD125</f>
        <v>0</v>
      </c>
      <c r="AE13" s="1094">
        <f>SUM(AA13:AD13)</f>
        <v>0</v>
      </c>
      <c r="AF13" s="178"/>
      <c r="AG13" s="1059">
        <f>RevBuild!AG125</f>
        <v>0</v>
      </c>
      <c r="AH13" s="1059">
        <f>RevBuild!AH125</f>
        <v>0</v>
      </c>
      <c r="AI13" s="1059">
        <f>RevBuild!AI125</f>
        <v>0</v>
      </c>
      <c r="AJ13" s="1059">
        <f>RevBuild!AJ125</f>
        <v>0</v>
      </c>
      <c r="AK13" s="1094">
        <f>SUM(AG13:AJ13)</f>
        <v>0</v>
      </c>
      <c r="AL13" s="178"/>
      <c r="AM13" s="1059">
        <f>RevBuild!AM125</f>
        <v>0</v>
      </c>
      <c r="AN13" s="1059">
        <f>RevBuild!AN125</f>
        <v>0</v>
      </c>
      <c r="AO13" s="1059">
        <f>RevBuild!AO125</f>
        <v>0</v>
      </c>
      <c r="AP13" s="1059">
        <f>RevBuild!AP125</f>
        <v>0</v>
      </c>
      <c r="AQ13" s="1094">
        <f>SUM(AM13:AP13)</f>
        <v>0</v>
      </c>
      <c r="AR13" s="178"/>
      <c r="AS13" s="1059">
        <f>RevBuild!AS125</f>
        <v>0</v>
      </c>
      <c r="AT13" s="1059">
        <f>RevBuild!AT125</f>
        <v>0</v>
      </c>
      <c r="AU13" s="1059">
        <f>RevBuild!AU125</f>
        <v>0</v>
      </c>
      <c r="AV13" s="1059">
        <f>RevBuild!AV125</f>
        <v>0</v>
      </c>
      <c r="AW13" s="1094">
        <f>SUM(AS13:AV13)</f>
        <v>0</v>
      </c>
      <c r="AX13" s="178"/>
      <c r="AY13" s="1059">
        <f>RevBuild!AY125</f>
        <v>0</v>
      </c>
      <c r="AZ13" s="1059">
        <f>RevBuild!AZ125</f>
        <v>0</v>
      </c>
      <c r="BA13" s="1059">
        <f>RevBuild!BA125</f>
        <v>0</v>
      </c>
      <c r="BB13" s="1059">
        <f>RevBuild!BB125</f>
        <v>0</v>
      </c>
      <c r="BC13" s="1094">
        <f>SUM(AY13:BB13)</f>
        <v>0</v>
      </c>
      <c r="BD13" s="178"/>
      <c r="BE13" s="1059">
        <f>RevBuild!BE125</f>
        <v>0</v>
      </c>
      <c r="BF13" s="1059">
        <f>RevBuild!BF125</f>
        <v>6.666666666666667</v>
      </c>
      <c r="BG13" s="1059">
        <f>RevBuild!BG125</f>
        <v>6.666666666666667</v>
      </c>
      <c r="BH13" s="1059">
        <f>RevBuild!BH125</f>
        <v>6.666666666666667</v>
      </c>
      <c r="BI13" s="1094">
        <f>SUM(BE13:BH13)</f>
        <v>20</v>
      </c>
      <c r="BJ13" s="178"/>
      <c r="BK13" s="1059">
        <f>RevBuild!BK125</f>
        <v>11.25</v>
      </c>
      <c r="BL13" s="1059">
        <f>RevBuild!BL125</f>
        <v>11.25</v>
      </c>
      <c r="BM13" s="1059">
        <f>RevBuild!BM125</f>
        <v>11.25</v>
      </c>
      <c r="BN13" s="1059">
        <f>RevBuild!BN125</f>
        <v>11.25</v>
      </c>
      <c r="BO13" s="1094">
        <f>SUM(BK13:BN13)</f>
        <v>45</v>
      </c>
      <c r="BP13" s="178"/>
      <c r="BQ13" s="1059">
        <f>RevBuild!BQ125</f>
        <v>18.75</v>
      </c>
      <c r="BR13" s="1059">
        <f>RevBuild!BR125</f>
        <v>18.75</v>
      </c>
      <c r="BS13" s="1059">
        <f>RevBuild!BS125</f>
        <v>18.75</v>
      </c>
      <c r="BT13" s="1059">
        <f>RevBuild!BT125</f>
        <v>18.75</v>
      </c>
      <c r="BU13" s="1094">
        <f>SUM(BQ13:BT13)</f>
        <v>75</v>
      </c>
      <c r="BV13" s="178"/>
      <c r="BW13" s="1059">
        <f>RevBuild!BW125</f>
        <v>30</v>
      </c>
      <c r="BX13" s="1059">
        <f>RevBuild!BX125</f>
        <v>30</v>
      </c>
      <c r="BY13" s="1059">
        <f>RevBuild!BY125</f>
        <v>30</v>
      </c>
      <c r="BZ13" s="1059">
        <f>RevBuild!BZ125</f>
        <v>30</v>
      </c>
      <c r="CA13" s="1094">
        <f>SUM(BW13:BZ13)</f>
        <v>120</v>
      </c>
      <c r="CB13" s="178"/>
      <c r="CC13" s="1059">
        <f>RevBuild!CC125</f>
        <v>30</v>
      </c>
      <c r="CD13" s="1059">
        <f>RevBuild!CD125</f>
        <v>30</v>
      </c>
      <c r="CE13" s="1059">
        <f>RevBuild!CE125</f>
        <v>30</v>
      </c>
      <c r="CF13" s="1059">
        <f>RevBuild!CF125</f>
        <v>30</v>
      </c>
      <c r="CG13" s="1094">
        <f>SUM(CC13:CF13)</f>
        <v>120</v>
      </c>
      <c r="CW13" s="596"/>
    </row>
    <row r="14" spans="1:132" s="965" customFormat="1" hidden="1" outlineLevel="1" x14ac:dyDescent="0.2">
      <c r="B14" s="1231" t="s">
        <v>545</v>
      </c>
      <c r="C14" s="1003">
        <f>C13/C15</f>
        <v>0</v>
      </c>
      <c r="D14" s="1003">
        <f>D13/D15</f>
        <v>0</v>
      </c>
      <c r="E14" s="1003">
        <f>E13/E15</f>
        <v>0</v>
      </c>
      <c r="F14" s="1000">
        <f>F13/F15</f>
        <v>0</v>
      </c>
      <c r="G14" s="1001">
        <f>G13/G15</f>
        <v>0</v>
      </c>
      <c r="H14" s="1230"/>
      <c r="I14" s="1003">
        <f>I13/I15</f>
        <v>0</v>
      </c>
      <c r="J14" s="1003">
        <f>J13/J15</f>
        <v>0</v>
      </c>
      <c r="K14" s="1003">
        <f>K13/K15</f>
        <v>0</v>
      </c>
      <c r="L14" s="1000">
        <f>L13/L15</f>
        <v>0</v>
      </c>
      <c r="M14" s="1001">
        <f>M13/M15</f>
        <v>0</v>
      </c>
      <c r="N14" s="1230"/>
      <c r="O14" s="1003">
        <f>O13/O15</f>
        <v>0</v>
      </c>
      <c r="P14" s="1003">
        <f>P13/P15</f>
        <v>0</v>
      </c>
      <c r="Q14" s="1003">
        <f>Q13/Q15</f>
        <v>0</v>
      </c>
      <c r="R14" s="1000">
        <f>R13/R15</f>
        <v>0</v>
      </c>
      <c r="S14" s="1001">
        <f>S13/S15</f>
        <v>0</v>
      </c>
      <c r="T14" s="1230"/>
      <c r="U14" s="1003">
        <f>U13/U15</f>
        <v>0</v>
      </c>
      <c r="V14" s="1003">
        <f>V13/V15</f>
        <v>0</v>
      </c>
      <c r="W14" s="1003">
        <f>W13/W15</f>
        <v>0</v>
      </c>
      <c r="X14" s="1000">
        <f>X13/X15</f>
        <v>0</v>
      </c>
      <c r="Y14" s="1001">
        <f>Y13/Y15</f>
        <v>0</v>
      </c>
      <c r="Z14" s="1230"/>
      <c r="AA14" s="1003">
        <f>AA13/AA15</f>
        <v>0</v>
      </c>
      <c r="AB14" s="1003">
        <f>AB13/AB15</f>
        <v>0</v>
      </c>
      <c r="AC14" s="1003">
        <f>AC13/AC15</f>
        <v>0</v>
      </c>
      <c r="AD14" s="1000">
        <f>AD13/AD15</f>
        <v>0</v>
      </c>
      <c r="AE14" s="1001">
        <f>AE13/AE15</f>
        <v>0</v>
      </c>
      <c r="AF14" s="1230"/>
      <c r="AG14" s="1003">
        <f>AG13/AG15</f>
        <v>0</v>
      </c>
      <c r="AH14" s="1003">
        <f>AH13/AH15</f>
        <v>0</v>
      </c>
      <c r="AI14" s="1003">
        <f>AI13/AI15</f>
        <v>0</v>
      </c>
      <c r="AJ14" s="1000">
        <f>AJ13/AJ15</f>
        <v>0</v>
      </c>
      <c r="AK14" s="1001">
        <f>AK13/AK15</f>
        <v>0</v>
      </c>
      <c r="AL14" s="1230"/>
      <c r="AM14" s="1003">
        <f>AM13/AM15</f>
        <v>0</v>
      </c>
      <c r="AN14" s="1003">
        <f>AN13/AN15</f>
        <v>0</v>
      </c>
      <c r="AO14" s="1003">
        <f>AO13/AO15</f>
        <v>0</v>
      </c>
      <c r="AP14" s="1000">
        <f>AP13/AP15</f>
        <v>0</v>
      </c>
      <c r="AQ14" s="1001">
        <f>AQ13/AQ15</f>
        <v>0</v>
      </c>
      <c r="AR14" s="1230"/>
      <c r="AS14" s="1003">
        <f>AS13/AS15</f>
        <v>0</v>
      </c>
      <c r="AT14" s="1003">
        <f>AT13/AT15</f>
        <v>0</v>
      </c>
      <c r="AU14" s="1003">
        <f>AU13/AU15</f>
        <v>0</v>
      </c>
      <c r="AV14" s="1000">
        <f>AV13/AV15</f>
        <v>0</v>
      </c>
      <c r="AW14" s="1001">
        <f>AW13/AW15</f>
        <v>0</v>
      </c>
      <c r="AX14" s="1230"/>
      <c r="AY14" s="1003">
        <f>AY13/AY15</f>
        <v>0</v>
      </c>
      <c r="AZ14" s="1003">
        <f>AZ13/AZ15</f>
        <v>0</v>
      </c>
      <c r="BA14" s="1003">
        <f>BA13/BA15</f>
        <v>0</v>
      </c>
      <c r="BB14" s="1000">
        <f>BB13/BB15</f>
        <v>0</v>
      </c>
      <c r="BC14" s="1001">
        <f>BC13/BC15</f>
        <v>0</v>
      </c>
      <c r="BD14" s="1230"/>
      <c r="BE14" s="1003">
        <f>BE13/BE15</f>
        <v>0</v>
      </c>
      <c r="BF14" s="1003">
        <f>BF13/BF15</f>
        <v>6.5231572080887154E-3</v>
      </c>
      <c r="BG14" s="1003">
        <f>BG13/BG15</f>
        <v>6.9749598939806102E-3</v>
      </c>
      <c r="BH14" s="1000">
        <f>BH13/BH15</f>
        <v>6.6800267201068816E-3</v>
      </c>
      <c r="BI14" s="1001">
        <f>BI13/BI15</f>
        <v>5.1052967453733252E-3</v>
      </c>
      <c r="BJ14" s="1230"/>
      <c r="BK14" s="1003">
        <f>BK13/BK15</f>
        <v>1.2472283813747228E-2</v>
      </c>
      <c r="BL14" s="1003">
        <f>BL13/BL15</f>
        <v>1.1315630657815328E-2</v>
      </c>
      <c r="BM14" s="1003">
        <f>BM13/BM15</f>
        <v>1.1136408631954069E-2</v>
      </c>
      <c r="BN14" s="1000">
        <f>BN13/BN15</f>
        <v>1.0311640696608617E-2</v>
      </c>
      <c r="BO14" s="1001">
        <f>BO13/BO15</f>
        <v>1.125731725621654E-2</v>
      </c>
      <c r="BP14" s="1230"/>
      <c r="BQ14" s="1003">
        <f>BQ13/BQ15</f>
        <v>1.9725007101002556E-2</v>
      </c>
      <c r="BR14" s="1003">
        <f>BR13/BR15</f>
        <v>1.7687611314033867E-2</v>
      </c>
      <c r="BS14" s="1003">
        <f>BS13/BS15</f>
        <v>1.7324985308412456E-2</v>
      </c>
      <c r="BT14" s="1000">
        <f>BT13/BT15</f>
        <v>1.6123706233811798E-2</v>
      </c>
      <c r="BU14" s="1001">
        <f>BU13/BU15</f>
        <v>1.7623132829076758E-2</v>
      </c>
      <c r="BV14" s="1230"/>
      <c r="BW14" s="1003">
        <f>BW13/BW15</f>
        <v>3.0528588466140524E-2</v>
      </c>
      <c r="BX14" s="1003">
        <f>BX13/BX15</f>
        <v>2.7052959360196784E-2</v>
      </c>
      <c r="BY14" s="1003">
        <f>BY13/BY15</f>
        <v>2.6611347234580723E-2</v>
      </c>
      <c r="BZ14" s="1000">
        <f>BZ13/BZ15</f>
        <v>2.4950651769242396E-2</v>
      </c>
      <c r="CA14" s="1001">
        <f>CA13/CA15</f>
        <v>2.7141132995921396E-2</v>
      </c>
      <c r="CB14" s="1230"/>
      <c r="CC14" s="1003">
        <f>CC13/CC15</f>
        <v>2.9515248486093222E-2</v>
      </c>
      <c r="CD14" s="1003">
        <f>CD13/CD15</f>
        <v>2.6406395652053299E-2</v>
      </c>
      <c r="CE14" s="1003">
        <f>CE13/CE15</f>
        <v>2.5902751845429638E-2</v>
      </c>
      <c r="CF14" s="1000">
        <f>CF13/CF15</f>
        <v>2.4116877872188816E-2</v>
      </c>
      <c r="CG14" s="1001">
        <f>CG13/CG15</f>
        <v>2.6346802498283764E-2</v>
      </c>
      <c r="CN14" s="964"/>
      <c r="CO14" s="964"/>
      <c r="CP14" s="964"/>
      <c r="CQ14" s="964"/>
      <c r="CR14" s="964"/>
      <c r="CS14" s="964"/>
    </row>
    <row r="15" spans="1:132" collapsed="1" x14ac:dyDescent="0.2">
      <c r="A15" s="290"/>
      <c r="B15" s="287" t="s">
        <v>137</v>
      </c>
      <c r="C15" s="1095">
        <f>+RevBuild!C128</f>
        <v>622.35273480469721</v>
      </c>
      <c r="D15" s="1095">
        <f>+RevBuild!D128</f>
        <v>663.6695827864994</v>
      </c>
      <c r="E15" s="1095">
        <f>+RevBuild!E128</f>
        <v>665.30569767388772</v>
      </c>
      <c r="F15" s="1095">
        <f>+RevBuild!F128</f>
        <v>740.79348612070976</v>
      </c>
      <c r="G15" s="644">
        <f>+SUM(C15:F15)</f>
        <v>2692.1215013857936</v>
      </c>
      <c r="H15" s="57"/>
      <c r="I15" s="1095">
        <f>+RevBuild!I128</f>
        <v>749.43073867994258</v>
      </c>
      <c r="J15" s="1095">
        <f>+RevBuild!J128</f>
        <v>780.92120808614095</v>
      </c>
      <c r="K15" s="1095">
        <f>+RevBuild!K128</f>
        <v>709.76689628452914</v>
      </c>
      <c r="L15" s="1095">
        <f>+RevBuild!L128</f>
        <v>687.09569356446582</v>
      </c>
      <c r="M15" s="644">
        <f>+SUM(I15:L15)</f>
        <v>2927.2145366150785</v>
      </c>
      <c r="N15" s="57"/>
      <c r="O15" s="1095">
        <f>+RevBuild!O128</f>
        <v>671.02417004884103</v>
      </c>
      <c r="P15" s="1095">
        <f>+RevBuild!P128</f>
        <v>732.59215988496408</v>
      </c>
      <c r="Q15" s="1095">
        <f>+RevBuild!Q128</f>
        <v>718.56614523157089</v>
      </c>
      <c r="R15" s="1095">
        <f>+RevBuild!R128</f>
        <v>782.34695007209416</v>
      </c>
      <c r="S15" s="644">
        <f>+SUM(O15:R15)</f>
        <v>2904.5294252374697</v>
      </c>
      <c r="T15" s="57"/>
      <c r="U15" s="1095">
        <f>+RevBuild!U128</f>
        <v>735.26547262261317</v>
      </c>
      <c r="V15" s="1095">
        <f>+RevBuild!V128</f>
        <v>746.67279879983835</v>
      </c>
      <c r="W15" s="1095">
        <f>+RevBuild!W128</f>
        <v>723.91176476945429</v>
      </c>
      <c r="X15" s="1095">
        <f>+RevBuild!X128</f>
        <v>802.91913028557644</v>
      </c>
      <c r="Y15" s="644">
        <f>+SUM(U15:X15)</f>
        <v>3008.7691664774825</v>
      </c>
      <c r="Z15" s="57"/>
      <c r="AA15" s="1095">
        <f>+RevBuild!AA128</f>
        <v>784.36136440376004</v>
      </c>
      <c r="AB15" s="1095">
        <f>+RevBuild!AB128</f>
        <v>853.1710772729266</v>
      </c>
      <c r="AC15" s="1095">
        <f>+RevBuild!AC128</f>
        <v>837.62902737533227</v>
      </c>
      <c r="AD15" s="1095">
        <f>+RevBuild!AD128</f>
        <v>995.02035425432234</v>
      </c>
      <c r="AE15" s="644">
        <f>+SUM(AA15:AD15)</f>
        <v>3470.1818233063414</v>
      </c>
      <c r="AF15" s="57"/>
      <c r="AG15" s="1095">
        <f>+RevBuild!AG128</f>
        <v>947.21387322191038</v>
      </c>
      <c r="AH15" s="1095">
        <f>+RevBuild!AH128</f>
        <v>1003.886939644781</v>
      </c>
      <c r="AI15" s="1095">
        <f>+RevBuild!AI128</f>
        <v>942.03843281536297</v>
      </c>
      <c r="AJ15" s="1095">
        <f>+RevBuild!AJ128</f>
        <v>1024.5360181764659</v>
      </c>
      <c r="AK15" s="644">
        <f>+SUM(AG15:AJ15)</f>
        <v>3917.6752638585199</v>
      </c>
      <c r="AL15" s="57"/>
      <c r="AM15" s="1095">
        <f>+RevBuild!AM128</f>
        <v>998.29654613790831</v>
      </c>
      <c r="AN15" s="1095">
        <f>+RevBuild!AN128</f>
        <v>1042.9834938125844</v>
      </c>
      <c r="AO15" s="1095">
        <f>+RevBuild!AO128</f>
        <v>981.49900571672129</v>
      </c>
      <c r="AP15" s="1095">
        <f>+RevBuild!AP128</f>
        <v>1051.1847605279795</v>
      </c>
      <c r="AQ15" s="644">
        <f>+SUM(AM15:AP15)</f>
        <v>4073.9638061951932</v>
      </c>
      <c r="AR15" s="57"/>
      <c r="AS15" s="1095">
        <f>+RevBuild!AS128</f>
        <v>1011.398201963819</v>
      </c>
      <c r="AT15" s="1095">
        <f>+RevBuild!AT128</f>
        <v>1063.2385083994479</v>
      </c>
      <c r="AU15" s="1095">
        <f>+RevBuild!AU128</f>
        <v>997.40976753154382</v>
      </c>
      <c r="AV15" s="1095">
        <f>+RevBuild!AV128</f>
        <v>1011.2849570952703</v>
      </c>
      <c r="AW15" s="644">
        <f>+SUM(AS15:AV15)</f>
        <v>4083.3314349900811</v>
      </c>
      <c r="AX15" s="57"/>
      <c r="AY15" s="1095">
        <f>+RevBuild!AY128</f>
        <v>913.07299999999998</v>
      </c>
      <c r="AZ15" s="1095">
        <f>+RevBuild!AZ128</f>
        <v>1003.408</v>
      </c>
      <c r="BA15" s="1095">
        <f>+RevBuild!BA128</f>
        <v>953.30000000000007</v>
      </c>
      <c r="BB15" s="1095">
        <f>+RevBuild!BB128</f>
        <v>974.80000000000007</v>
      </c>
      <c r="BC15" s="644">
        <f>+SUM(AY15:BB15)</f>
        <v>3844.5810000000001</v>
      </c>
      <c r="BD15" s="57"/>
      <c r="BE15" s="1095">
        <f>+RevBuild!BE64+RevBuild!BE123</f>
        <v>941.7</v>
      </c>
      <c r="BF15" s="1095">
        <f>+RevBuild!BF64+RevBuild!BF127</f>
        <v>1022</v>
      </c>
      <c r="BG15" s="1095">
        <f>+RevBuild!BG64+RevBuild!BG127</f>
        <v>955.8</v>
      </c>
      <c r="BH15" s="1095">
        <f>+RevBuild!BH64+RevBuild!BH127</f>
        <v>997.99999999999989</v>
      </c>
      <c r="BI15" s="644">
        <f>+SUM(BE15:BH15)</f>
        <v>3917.5</v>
      </c>
      <c r="BJ15" s="57"/>
      <c r="BK15" s="1095">
        <f>+RevBuild!BK64+RevBuild!BK127</f>
        <v>902</v>
      </c>
      <c r="BL15" s="1095">
        <f>+RevBuild!BL64+RevBuild!BL127</f>
        <v>994.2</v>
      </c>
      <c r="BM15" s="1095">
        <f>+RevBuild!BM64+RevBuild!BM127</f>
        <v>1010.1999999999999</v>
      </c>
      <c r="BN15" s="1095">
        <f>+RevBuild!BN64+RevBuild!BN127</f>
        <v>1091</v>
      </c>
      <c r="BO15" s="644">
        <f>+SUM(BK15:BN15)</f>
        <v>3997.4</v>
      </c>
      <c r="BP15" s="57"/>
      <c r="BQ15" s="1095">
        <f>+RevBuild!BQ64+RevBuild!BQ127</f>
        <v>950.57</v>
      </c>
      <c r="BR15" s="1095">
        <f>+RevBuild!BR64+RevBuild!BR127</f>
        <v>1060.0640000000001</v>
      </c>
      <c r="BS15" s="1095">
        <f>+RevBuild!BS64+RevBuild!BS127</f>
        <v>1082.2520000000002</v>
      </c>
      <c r="BT15" s="1095">
        <f>+RevBuild!BT64+RevBuild!BT127</f>
        <v>1162.884</v>
      </c>
      <c r="BU15" s="644">
        <f>+SUM(BQ15:BT15)</f>
        <v>4255.7700000000004</v>
      </c>
      <c r="BV15" s="57"/>
      <c r="BW15" s="1095">
        <f>+RevBuild!BW64+RevBuild!BW127</f>
        <v>982.68546000000015</v>
      </c>
      <c r="BX15" s="1095">
        <f>+RevBuild!BX64+RevBuild!BX127</f>
        <v>1108.9359800000002</v>
      </c>
      <c r="BY15" s="1095">
        <f>+RevBuild!BY64+RevBuild!BY127</f>
        <v>1127.3386400000002</v>
      </c>
      <c r="BZ15" s="1095">
        <f>+RevBuild!BZ64+RevBuild!BZ127</f>
        <v>1202.3734000000002</v>
      </c>
      <c r="CA15" s="644">
        <f>+SUM(BW15:BZ15)</f>
        <v>4421.3334800000011</v>
      </c>
      <c r="CB15" s="57"/>
      <c r="CC15" s="1095">
        <f>+RevBuild!CC64+RevBuild!CC127</f>
        <v>1016.4237653000001</v>
      </c>
      <c r="CD15" s="1095">
        <f>+RevBuild!CD64+RevBuild!CD127</f>
        <v>1136.0884081000002</v>
      </c>
      <c r="CE15" s="1095">
        <f>+RevBuild!CE64+RevBuild!CE127</f>
        <v>1158.1781032000001</v>
      </c>
      <c r="CF15" s="1095">
        <f>+RevBuild!CF64+RevBuild!CF127</f>
        <v>1243.9421122000001</v>
      </c>
      <c r="CG15" s="644">
        <f>+SUM(CC15:CF15)</f>
        <v>4554.6323888000006</v>
      </c>
      <c r="CV15" s="753"/>
      <c r="CW15" s="57"/>
    </row>
    <row r="16" spans="1:132" x14ac:dyDescent="0.2">
      <c r="A16" s="290"/>
      <c r="B16" s="287" t="s">
        <v>345</v>
      </c>
      <c r="C16" s="1095">
        <f>+RevBuild!C123</f>
        <v>572.75473480469725</v>
      </c>
      <c r="D16" s="1095">
        <f>+RevBuild!D123</f>
        <v>618.41558278649939</v>
      </c>
      <c r="E16" s="1095">
        <f>+RevBuild!E123</f>
        <v>622.53469767388765</v>
      </c>
      <c r="F16" s="1095">
        <f>+RevBuild!F123</f>
        <v>688.48248612070961</v>
      </c>
      <c r="G16" s="644">
        <f>+SUM(C16:F16)</f>
        <v>2502.1875013857939</v>
      </c>
      <c r="H16" s="57"/>
      <c r="I16" s="1095">
        <f>+RevBuild!I123</f>
        <v>684.89673867994259</v>
      </c>
      <c r="J16" s="1095">
        <f>+RevBuild!J123</f>
        <v>728.34720808614088</v>
      </c>
      <c r="K16" s="1095">
        <f>+RevBuild!K123</f>
        <v>667.89989628452906</v>
      </c>
      <c r="L16" s="1095">
        <f>+RevBuild!L123</f>
        <v>646.14769356446561</v>
      </c>
      <c r="M16" s="644">
        <f>+SUM(I16:L16)</f>
        <v>2727.2915366150778</v>
      </c>
      <c r="N16" s="57"/>
      <c r="O16" s="1095">
        <f>+RevBuild!O123</f>
        <v>629.72517004884094</v>
      </c>
      <c r="P16" s="1095">
        <f>+RevBuild!P123</f>
        <v>691.28715988496424</v>
      </c>
      <c r="Q16" s="1095">
        <f>+RevBuild!Q123</f>
        <v>681.18114523157089</v>
      </c>
      <c r="R16" s="1095">
        <f>+RevBuild!R123</f>
        <v>733.62395007209432</v>
      </c>
      <c r="S16" s="644">
        <f>+SUM(O16:R16)</f>
        <v>2735.8174252374706</v>
      </c>
      <c r="T16" s="57"/>
      <c r="U16" s="1095">
        <f>+RevBuild!U123</f>
        <v>686.80747262261309</v>
      </c>
      <c r="V16" s="1095">
        <f>+RevBuild!V123</f>
        <v>700.86679879983831</v>
      </c>
      <c r="W16" s="1095">
        <f>+RevBuild!W123</f>
        <v>676.44276476945424</v>
      </c>
      <c r="X16" s="1095">
        <f>+RevBuild!X123</f>
        <v>755.39513028557644</v>
      </c>
      <c r="Y16" s="644">
        <f>+SUM(U16:X16)</f>
        <v>2819.5121664774824</v>
      </c>
      <c r="Z16" s="57"/>
      <c r="AA16" s="1095">
        <f>+RevBuild!AA123</f>
        <v>740.86336440375999</v>
      </c>
      <c r="AB16" s="1095">
        <f>+RevBuild!AB123</f>
        <v>807.71807727292662</v>
      </c>
      <c r="AC16" s="1095">
        <f>+RevBuild!AC123</f>
        <v>781.62102737533223</v>
      </c>
      <c r="AD16" s="1095">
        <f>+RevBuild!AD123</f>
        <v>934.80735425432226</v>
      </c>
      <c r="AE16" s="644">
        <f>+SUM(AA16:AD16)</f>
        <v>3265.0098233063409</v>
      </c>
      <c r="AF16" s="57"/>
      <c r="AG16" s="1095">
        <f>+RevBuild!AG123</f>
        <v>896.42587322191036</v>
      </c>
      <c r="AH16" s="1095">
        <f>+RevBuild!AH123</f>
        <v>939.37293964478101</v>
      </c>
      <c r="AI16" s="1095">
        <f>+RevBuild!AI123</f>
        <v>893.42443281536293</v>
      </c>
      <c r="AJ16" s="1095">
        <f>+RevBuild!AJ123</f>
        <v>974.7210181764658</v>
      </c>
      <c r="AK16" s="644">
        <f>+SUM(AG16:AJ16)</f>
        <v>3703.9442638585201</v>
      </c>
      <c r="AL16" s="57"/>
      <c r="AM16" s="1095">
        <f>+RevBuild!AM123</f>
        <v>938.86154613790836</v>
      </c>
      <c r="AN16" s="1095">
        <f>+RevBuild!AN123</f>
        <v>997.92949381258438</v>
      </c>
      <c r="AO16" s="1095">
        <f>+RevBuild!AO123</f>
        <v>946.90600571672121</v>
      </c>
      <c r="AP16" s="1095">
        <f>+RevBuild!AP123</f>
        <v>1011.1957605279796</v>
      </c>
      <c r="AQ16" s="644">
        <f>+SUM(AM16:AP16)</f>
        <v>3894.8928061951933</v>
      </c>
      <c r="AR16" s="57"/>
      <c r="AS16" s="1095">
        <f>+RevBuild!AS123</f>
        <v>970.466201963819</v>
      </c>
      <c r="AT16" s="1095">
        <f>+RevBuild!AT123</f>
        <v>1028.9115083994479</v>
      </c>
      <c r="AU16" s="1095">
        <f>+RevBuild!AU123</f>
        <v>970.75376753154376</v>
      </c>
      <c r="AV16" s="1095">
        <f>+RevBuild!AV123</f>
        <v>983.25495709527024</v>
      </c>
      <c r="AW16" s="644">
        <f>+SUM(AS16:AV16)</f>
        <v>3953.3864349900809</v>
      </c>
      <c r="AX16" s="57"/>
      <c r="AY16" s="1095">
        <f>+RevBuild!AY123</f>
        <v>888.3</v>
      </c>
      <c r="AZ16" s="1095">
        <f>+RevBuild!AZ123</f>
        <v>980.1</v>
      </c>
      <c r="BA16" s="1095">
        <f>+RevBuild!BA123</f>
        <v>933.7</v>
      </c>
      <c r="BB16" s="1095">
        <f>+RevBuild!BB123</f>
        <v>949.6</v>
      </c>
      <c r="BC16" s="644">
        <f>+SUM(AY16:BB16)</f>
        <v>3751.7000000000003</v>
      </c>
      <c r="BD16" s="57"/>
      <c r="BE16" s="1095">
        <f>+RevBuild!BE123</f>
        <v>923.6</v>
      </c>
      <c r="BF16" s="1095">
        <f>+RevBuild!BF127</f>
        <v>1006.3</v>
      </c>
      <c r="BG16" s="1095">
        <f>+RevBuild!BG127</f>
        <v>940.8</v>
      </c>
      <c r="BH16" s="1095">
        <f>+RevBuild!BH127</f>
        <v>984.09999999999991</v>
      </c>
      <c r="BI16" s="644">
        <f>+SUM(BE16:BH16)</f>
        <v>3854.7999999999997</v>
      </c>
      <c r="BJ16" s="57"/>
      <c r="BK16" s="1095">
        <f>+RevBuild!BK127</f>
        <v>890.9</v>
      </c>
      <c r="BL16" s="1095">
        <f>+RevBuild!BL127</f>
        <v>984.5</v>
      </c>
      <c r="BM16" s="1095">
        <f>+RevBuild!BM127</f>
        <v>1000.8</v>
      </c>
      <c r="BN16" s="1095">
        <f>+RevBuild!BN127</f>
        <v>1080.7</v>
      </c>
      <c r="BO16" s="644">
        <f>+SUM(BK16:BN16)</f>
        <v>3956.8999999999996</v>
      </c>
      <c r="BP16" s="57"/>
      <c r="BQ16" s="1095">
        <f>+RevBuild!BQ127</f>
        <v>939.47</v>
      </c>
      <c r="BR16" s="1095">
        <f>+RevBuild!BR127</f>
        <v>1050.364</v>
      </c>
      <c r="BS16" s="1095">
        <f>+RevBuild!BS127</f>
        <v>1072.8520000000001</v>
      </c>
      <c r="BT16" s="1095">
        <f>+RevBuild!BT127</f>
        <v>1152.5840000000001</v>
      </c>
      <c r="BU16" s="644">
        <f>+SUM(BQ16:BT16)</f>
        <v>4215.2700000000004</v>
      </c>
      <c r="BV16" s="57"/>
      <c r="BW16" s="1095">
        <f>+RevBuild!BW127</f>
        <v>971.58546000000013</v>
      </c>
      <c r="BX16" s="1095">
        <f>+RevBuild!BX127</f>
        <v>1099.2359800000002</v>
      </c>
      <c r="BY16" s="1095">
        <f>+RevBuild!BY127</f>
        <v>1117.9386400000001</v>
      </c>
      <c r="BZ16" s="1095">
        <f>+RevBuild!BZ127</f>
        <v>1192.0734000000002</v>
      </c>
      <c r="CA16" s="644">
        <f>+SUM(BW16:BZ16)</f>
        <v>4380.8334800000002</v>
      </c>
      <c r="CB16" s="57"/>
      <c r="CC16" s="1095">
        <f>+RevBuild!CC127</f>
        <v>1005.3237653000001</v>
      </c>
      <c r="CD16" s="1095">
        <f>+RevBuild!CD127</f>
        <v>1126.3884081000001</v>
      </c>
      <c r="CE16" s="1095">
        <f>+RevBuild!CE127</f>
        <v>1148.7781032</v>
      </c>
      <c r="CF16" s="1095">
        <f>+RevBuild!CF127</f>
        <v>1233.6421122000002</v>
      </c>
      <c r="CG16" s="644">
        <f>+SUM(CC16:CF16)</f>
        <v>4514.1323888000006</v>
      </c>
      <c r="CW16" s="57"/>
    </row>
    <row r="17" spans="1:132" s="744" customFormat="1" hidden="1" outlineLevel="1" x14ac:dyDescent="0.2">
      <c r="B17" s="176"/>
      <c r="C17" s="407"/>
      <c r="D17" s="407"/>
      <c r="E17" s="407"/>
      <c r="F17" s="407"/>
      <c r="G17" s="742"/>
      <c r="H17" s="24"/>
      <c r="I17" s="407"/>
      <c r="J17" s="407"/>
      <c r="K17" s="407"/>
      <c r="L17" s="407"/>
      <c r="M17" s="742"/>
      <c r="N17" s="24"/>
      <c r="O17" s="407"/>
      <c r="P17" s="407"/>
      <c r="Q17" s="407"/>
      <c r="R17" s="407"/>
      <c r="S17" s="742"/>
      <c r="T17" s="24"/>
      <c r="U17" s="407"/>
      <c r="V17" s="407"/>
      <c r="W17" s="407"/>
      <c r="X17" s="407"/>
      <c r="Y17" s="742"/>
      <c r="Z17" s="24"/>
      <c r="AA17" s="407"/>
      <c r="AB17" s="407"/>
      <c r="AC17" s="407"/>
      <c r="AD17" s="407"/>
      <c r="AE17" s="742"/>
      <c r="AF17" s="24"/>
      <c r="AG17" s="407"/>
      <c r="AH17" s="407"/>
      <c r="AI17" s="407"/>
      <c r="AJ17" s="407"/>
      <c r="AK17" s="742"/>
      <c r="AL17" s="24"/>
      <c r="AM17" s="407"/>
      <c r="AN17" s="407"/>
      <c r="AO17" s="407"/>
      <c r="AP17" s="407"/>
      <c r="AQ17" s="742"/>
      <c r="AR17" s="24"/>
      <c r="AS17" s="407"/>
      <c r="AT17" s="407"/>
      <c r="AU17" s="407"/>
      <c r="AV17" s="407"/>
      <c r="AW17" s="742"/>
      <c r="AX17" s="24"/>
      <c r="AY17" s="407"/>
      <c r="AZ17" s="407"/>
      <c r="BA17" s="407"/>
      <c r="BB17" s="407"/>
      <c r="BC17" s="742"/>
      <c r="BD17" s="24"/>
      <c r="BE17" s="24"/>
      <c r="BF17" s="24"/>
      <c r="BG17" s="24"/>
      <c r="BH17" s="24"/>
      <c r="BI17" s="1018">
        <f t="shared" ref="BI17:BI25" si="0">+SUM(BE17:BH17)</f>
        <v>0</v>
      </c>
      <c r="BJ17" s="24"/>
      <c r="BK17" s="24"/>
      <c r="BL17" s="24"/>
      <c r="BM17" s="24"/>
      <c r="BN17" s="24"/>
      <c r="BO17" s="1018">
        <f t="shared" ref="BO17:BO25" si="1">+SUM(BK17:BN17)</f>
        <v>0</v>
      </c>
      <c r="BP17" s="745"/>
      <c r="BQ17" s="767"/>
      <c r="BR17" s="767"/>
      <c r="BS17" s="767"/>
      <c r="BT17" s="767"/>
      <c r="BU17" s="1018">
        <f t="shared" ref="BU17:BU26" si="2">+SUM(BQ17:BT17)</f>
        <v>0</v>
      </c>
      <c r="BV17" s="745"/>
      <c r="BW17" s="767"/>
      <c r="BX17" s="767"/>
      <c r="BY17" s="767"/>
      <c r="BZ17" s="767"/>
      <c r="CA17" s="1018">
        <f t="shared" ref="CA17:CA26" si="3">+SUM(BW17:BZ17)</f>
        <v>0</v>
      </c>
      <c r="CC17" s="767"/>
      <c r="CD17" s="767"/>
      <c r="CE17" s="767"/>
      <c r="CF17" s="767"/>
      <c r="CG17" s="1018">
        <f t="shared" ref="CG17:CG26" si="4">+SUM(CC17:CF17)</f>
        <v>0</v>
      </c>
      <c r="CN17" s="746"/>
      <c r="CO17" s="746"/>
      <c r="CP17" s="746"/>
      <c r="CQ17" s="746"/>
      <c r="CR17" s="746"/>
      <c r="CS17" s="746"/>
      <c r="CX17"/>
      <c r="CY17"/>
      <c r="CZ17"/>
      <c r="DA17"/>
      <c r="DB17"/>
      <c r="DC17"/>
      <c r="DD17"/>
      <c r="DE17"/>
      <c r="DF17"/>
      <c r="DG17"/>
      <c r="DH17"/>
      <c r="DI17"/>
      <c r="DJ17"/>
      <c r="DK17"/>
      <c r="DL17"/>
      <c r="DM17"/>
      <c r="DN17"/>
      <c r="DO17"/>
      <c r="DP17"/>
      <c r="DQ17"/>
      <c r="DR17"/>
      <c r="DS17"/>
      <c r="DT17"/>
      <c r="DU17"/>
      <c r="DV17"/>
      <c r="DW17"/>
      <c r="DX17"/>
      <c r="DY17"/>
      <c r="DZ17"/>
      <c r="EA17"/>
      <c r="EB17"/>
    </row>
    <row r="18" spans="1:132" ht="12.75" hidden="1" customHeight="1" outlineLevel="1" x14ac:dyDescent="0.2">
      <c r="A18" s="290"/>
      <c r="B18" s="766" t="s">
        <v>547</v>
      </c>
      <c r="C18" s="743">
        <v>79.622</v>
      </c>
      <c r="D18" s="743">
        <v>89.893000000000001</v>
      </c>
      <c r="E18" s="743">
        <v>95.233000000000004</v>
      </c>
      <c r="F18" s="743">
        <v>105.73699999999999</v>
      </c>
      <c r="G18" s="645">
        <f>SUM(C18:F18)</f>
        <v>370.48500000000001</v>
      </c>
      <c r="H18" s="178"/>
      <c r="I18" s="743">
        <v>103.086</v>
      </c>
      <c r="J18" s="743">
        <v>103.46299999999999</v>
      </c>
      <c r="K18" s="743">
        <v>99.203000000000003</v>
      </c>
      <c r="L18" s="743">
        <v>92.72</v>
      </c>
      <c r="M18" s="645">
        <f>SUM(I18:L18)</f>
        <v>398.47199999999998</v>
      </c>
      <c r="N18" s="178"/>
      <c r="O18" s="743">
        <v>84.507000000000005</v>
      </c>
      <c r="P18" s="743">
        <v>93.781999999999996</v>
      </c>
      <c r="Q18" s="743">
        <v>96.143000000000001</v>
      </c>
      <c r="R18" s="743">
        <v>102.453</v>
      </c>
      <c r="S18" s="645">
        <f>SUM(O18:R18)</f>
        <v>376.88499999999999</v>
      </c>
      <c r="T18" s="178"/>
      <c r="U18" s="743">
        <v>90.802999999999997</v>
      </c>
      <c r="V18" s="743">
        <v>88.242999999999995</v>
      </c>
      <c r="W18" s="743">
        <v>89.766999999999996</v>
      </c>
      <c r="X18" s="743">
        <v>105.232</v>
      </c>
      <c r="Y18" s="645">
        <f>SUM(U18:X18)</f>
        <v>374.04499999999996</v>
      </c>
      <c r="Z18" s="178"/>
      <c r="AA18" s="743">
        <v>99.048000000000002</v>
      </c>
      <c r="AB18" s="743">
        <v>117.854</v>
      </c>
      <c r="AC18" s="743">
        <v>108.08</v>
      </c>
      <c r="AD18" s="743">
        <v>119.333</v>
      </c>
      <c r="AE18" s="645">
        <f>SUM(AA18:AD18)</f>
        <v>444.31499999999994</v>
      </c>
      <c r="AF18" s="178"/>
      <c r="AG18" s="743">
        <v>107.215</v>
      </c>
      <c r="AH18" s="743">
        <v>113.56699999999999</v>
      </c>
      <c r="AI18" s="743">
        <v>115.285</v>
      </c>
      <c r="AJ18" s="743">
        <v>120.533</v>
      </c>
      <c r="AK18" s="645">
        <f>SUM(AG18:AJ18)</f>
        <v>456.6</v>
      </c>
      <c r="AL18" s="178"/>
      <c r="AM18" s="743">
        <v>122.6</v>
      </c>
      <c r="AN18" s="743">
        <v>131.69999999999999</v>
      </c>
      <c r="AO18" s="743">
        <v>135.30000000000001</v>
      </c>
      <c r="AP18" s="743">
        <v>136</v>
      </c>
      <c r="AQ18" s="645">
        <f>SUM(AM18:AP18)</f>
        <v>525.6</v>
      </c>
      <c r="AR18" s="178"/>
      <c r="AS18" s="743">
        <v>131.19999999999999</v>
      </c>
      <c r="AT18" s="743">
        <v>132.1</v>
      </c>
      <c r="AU18" s="743">
        <v>130.1</v>
      </c>
      <c r="AV18" s="743">
        <v>130.1</v>
      </c>
      <c r="AW18" s="645">
        <f>SUM(AS18:AV18)</f>
        <v>523.5</v>
      </c>
      <c r="AX18" s="178"/>
      <c r="AY18" s="743">
        <v>113.5</v>
      </c>
      <c r="AZ18" s="743">
        <v>131.5</v>
      </c>
      <c r="BA18" s="743">
        <v>138</v>
      </c>
      <c r="BB18" s="743">
        <v>130.19999999999999</v>
      </c>
      <c r="BC18" s="645">
        <f>SUM(AY18:BB18)</f>
        <v>513.20000000000005</v>
      </c>
      <c r="BD18" s="57"/>
      <c r="BE18" s="288"/>
      <c r="BF18" s="288"/>
      <c r="BG18" s="288"/>
      <c r="BH18" s="288"/>
      <c r="BI18" s="644">
        <f t="shared" si="0"/>
        <v>0</v>
      </c>
      <c r="BJ18" s="57"/>
      <c r="BK18" s="288"/>
      <c r="BL18" s="288"/>
      <c r="BM18" s="288"/>
      <c r="BN18" s="288"/>
      <c r="BO18" s="644">
        <f t="shared" si="1"/>
        <v>0</v>
      </c>
      <c r="BP18" s="57"/>
      <c r="BQ18" s="288"/>
      <c r="BR18" s="288"/>
      <c r="BS18" s="288"/>
      <c r="BT18" s="288"/>
      <c r="BU18" s="644">
        <f t="shared" si="2"/>
        <v>0</v>
      </c>
      <c r="BV18" s="57"/>
      <c r="BW18" s="288"/>
      <c r="BX18" s="288"/>
      <c r="BY18" s="288"/>
      <c r="BZ18" s="288"/>
      <c r="CA18" s="644">
        <f t="shared" si="3"/>
        <v>0</v>
      </c>
      <c r="CB18" s="57"/>
      <c r="CC18" s="288"/>
      <c r="CD18" s="288"/>
      <c r="CE18" s="288"/>
      <c r="CF18" s="288"/>
      <c r="CG18" s="644">
        <f t="shared" si="4"/>
        <v>0</v>
      </c>
      <c r="CW18" s="57"/>
    </row>
    <row r="19" spans="1:132" ht="12.75" hidden="1" customHeight="1" outlineLevel="1" x14ac:dyDescent="0.2">
      <c r="A19" s="290"/>
      <c r="B19" s="766" t="s">
        <v>548</v>
      </c>
      <c r="C19" s="178">
        <f>(C23+C18)*C20</f>
        <v>-0.41330309901738477</v>
      </c>
      <c r="D19" s="178">
        <f>(D23+D18)*D20</f>
        <v>-0.44335249973005075</v>
      </c>
      <c r="E19" s="178">
        <f>(E23+E18)*E20</f>
        <v>-0.44588327394449845</v>
      </c>
      <c r="F19" s="178">
        <f>(F23+F18)*F20</f>
        <v>-0.50549346722816102</v>
      </c>
      <c r="G19" s="470">
        <f>SUM(C19:F19)</f>
        <v>-1.808032339920095</v>
      </c>
      <c r="I19" s="178">
        <f>(I23+I18)*I20</f>
        <v>-0.51104767303746901</v>
      </c>
      <c r="J19" s="178">
        <f>(J23+J18)*J20</f>
        <v>-0.51671525753158398</v>
      </c>
      <c r="K19" s="178">
        <f>(K23+K18)*K20</f>
        <v>-0.47102499730050756</v>
      </c>
      <c r="L19" s="178">
        <f>(L23+L18)*L20</f>
        <v>-0.44518545513443486</v>
      </c>
      <c r="M19" s="470">
        <f>SUM(I19:L19)</f>
        <v>-1.9439733830039954</v>
      </c>
      <c r="O19" s="178">
        <f>(O23+O18)*O20</f>
        <v>-0.43964474678760401</v>
      </c>
      <c r="P19" s="178">
        <f>(P23+P18)*P20</f>
        <v>-0.4871855091242846</v>
      </c>
      <c r="Q19" s="178">
        <f>(Q23+Q18)*Q20</f>
        <v>-0.47999136162401468</v>
      </c>
      <c r="R19" s="178">
        <f>(R23+R18)*R20</f>
        <v>-0.52318054205809328</v>
      </c>
      <c r="S19" s="470">
        <f>SUM(O19:R19)</f>
        <v>-1.9300021595939965</v>
      </c>
      <c r="U19" s="178">
        <f>(U23+U18)*U20</f>
        <v>-0.47876714177734586</v>
      </c>
      <c r="V19" s="178">
        <f>(V23+V18)*V20</f>
        <v>-0.49364809415829825</v>
      </c>
      <c r="W19" s="178">
        <f>(W23+W18)*W20</f>
        <v>-0.48424576179678219</v>
      </c>
      <c r="X19" s="178">
        <f>(X23+X18)*X20</f>
        <v>-0.52058363027750798</v>
      </c>
      <c r="Y19" s="470">
        <f>SUM(U19:X19)</f>
        <v>-1.9772446280099343</v>
      </c>
      <c r="AA19" s="178">
        <f>(AA23+AA18)*AA20</f>
        <v>-0.49882167152575319</v>
      </c>
      <c r="AB19" s="178">
        <f>(AB23+AB18)*AB20</f>
        <v>-0.55669744088111439</v>
      </c>
      <c r="AC19" s="178">
        <f>(AC23+AC18)*AC20</f>
        <v>-0.58064868804664727</v>
      </c>
      <c r="AD19" s="178">
        <f>(AD23+AD18)*AD20</f>
        <v>-0.6699991901522514</v>
      </c>
      <c r="AE19" s="470">
        <f>SUM(AA19:AD19)</f>
        <v>-2.3061669906057665</v>
      </c>
      <c r="AG19" s="178">
        <f>(AG23+AG18)*AG20</f>
        <v>-0.58157596371882092</v>
      </c>
      <c r="AH19" s="178">
        <f>(AH23+AH18)*AH20</f>
        <v>-0.63315516682863626</v>
      </c>
      <c r="AI19" s="178">
        <f>(AI23+AI18)*AI20</f>
        <v>-0.60320699708454817</v>
      </c>
      <c r="AJ19" s="178">
        <f>(AJ23+AJ18)*AJ20</f>
        <v>-0.65026455026454999</v>
      </c>
      <c r="AK19" s="470">
        <f>SUM(AG19:AJ19)</f>
        <v>-2.4682026778965556</v>
      </c>
      <c r="AM19" s="178">
        <f>(AM23+AM18)*AM20</f>
        <v>-0.62963502861462051</v>
      </c>
      <c r="AN19" s="178">
        <f>(AN23+AN18)*AN20</f>
        <v>-0.64484666882626063</v>
      </c>
      <c r="AO19" s="178">
        <f>(AO23+AO18)*AO20</f>
        <v>-0.62479888780909199</v>
      </c>
      <c r="AP19" s="178">
        <f>(AP23+AP18)*AP20</f>
        <v>-0.66383084980023765</v>
      </c>
      <c r="AQ19" s="470">
        <f>SUM(AM19:AP19)</f>
        <v>-2.5631114350502111</v>
      </c>
      <c r="AS19" s="178">
        <f>(AS23+AS18)*AS20</f>
        <v>-0.63047862001943633</v>
      </c>
      <c r="AT19" s="178">
        <f>(AT23+AT18)*AT20</f>
        <v>-0.63823561170499954</v>
      </c>
      <c r="AU19" s="178">
        <f>(AU23+AU18)*AU20</f>
        <v>-0.60765576071698535</v>
      </c>
      <c r="AV19" s="178">
        <f>(AV23+AV18)*AV20</f>
        <v>-0.61570834683079578</v>
      </c>
      <c r="AW19" s="470">
        <f>SUM(AS19:AV19)</f>
        <v>-2.4920783392722168</v>
      </c>
      <c r="AY19" s="178">
        <f>(AY23+AY18)*AY20</f>
        <v>-0.32080595565625497</v>
      </c>
      <c r="AZ19" s="178">
        <f>(AZ23+AZ18)*AZ20</f>
        <v>-0.34782731833630032</v>
      </c>
      <c r="BA19" s="178">
        <f>(BA23+BA18)*BA20</f>
        <v>-0.33775691859524187</v>
      </c>
      <c r="BB19" s="178">
        <f>(BB23+BB18)*BB20</f>
        <v>-0.34520391649134147</v>
      </c>
      <c r="BC19" s="470">
        <f>SUM(AY19:BB19)</f>
        <v>-1.3515941090791386</v>
      </c>
      <c r="BD19" s="57"/>
      <c r="BE19" s="288"/>
      <c r="BF19" s="288"/>
      <c r="BG19" s="288"/>
      <c r="BH19" s="288"/>
      <c r="BI19" s="644">
        <f t="shared" si="0"/>
        <v>0</v>
      </c>
      <c r="BJ19" s="57"/>
      <c r="BK19" s="288"/>
      <c r="BL19" s="288"/>
      <c r="BM19" s="288"/>
      <c r="BN19" s="288"/>
      <c r="BO19" s="644">
        <f t="shared" si="1"/>
        <v>0</v>
      </c>
      <c r="BP19" s="57"/>
      <c r="BQ19" s="288"/>
      <c r="BR19" s="288"/>
      <c r="BS19" s="288"/>
      <c r="BT19" s="288"/>
      <c r="BU19" s="644">
        <f t="shared" si="2"/>
        <v>0</v>
      </c>
      <c r="BV19" s="57"/>
      <c r="BW19" s="288"/>
      <c r="BX19" s="288"/>
      <c r="BY19" s="288"/>
      <c r="BZ19" s="288"/>
      <c r="CA19" s="644">
        <f t="shared" si="3"/>
        <v>0</v>
      </c>
      <c r="CB19" s="57"/>
      <c r="CC19" s="288"/>
      <c r="CD19" s="288"/>
      <c r="CE19" s="288"/>
      <c r="CF19" s="288"/>
      <c r="CG19" s="644">
        <f t="shared" si="4"/>
        <v>0</v>
      </c>
      <c r="CW19" s="57"/>
    </row>
    <row r="20" spans="1:132" s="965" customFormat="1" hidden="1" outlineLevel="1" x14ac:dyDescent="0.2">
      <c r="B20" s="1231" t="s">
        <v>545</v>
      </c>
      <c r="C20" s="1003">
        <f>D20</f>
        <v>-1.3497462477054314E-3</v>
      </c>
      <c r="D20" s="1003">
        <f>E20</f>
        <v>-1.3497462477054314E-3</v>
      </c>
      <c r="E20" s="1003">
        <f>F20</f>
        <v>-1.3497462477054314E-3</v>
      </c>
      <c r="F20" s="1000">
        <f>G20</f>
        <v>-1.3497462477054314E-3</v>
      </c>
      <c r="G20" s="1001">
        <f>M20</f>
        <v>-1.3497462477054314E-3</v>
      </c>
      <c r="H20" s="1230"/>
      <c r="I20" s="1003">
        <f>J20</f>
        <v>-1.3497462477054314E-3</v>
      </c>
      <c r="J20" s="1003">
        <f>K20</f>
        <v>-1.3497462477054314E-3</v>
      </c>
      <c r="K20" s="1003">
        <f>L20</f>
        <v>-1.3497462477054314E-3</v>
      </c>
      <c r="L20" s="1003">
        <f>M20</f>
        <v>-1.3497462477054314E-3</v>
      </c>
      <c r="M20" s="1001">
        <f>S20</f>
        <v>-1.3497462477054314E-3</v>
      </c>
      <c r="N20" s="1230"/>
      <c r="O20" s="1003">
        <f>P20</f>
        <v>-1.3497462477054314E-3</v>
      </c>
      <c r="P20" s="1003">
        <f>Q20</f>
        <v>-1.3497462477054314E-3</v>
      </c>
      <c r="Q20" s="1003">
        <f>R20</f>
        <v>-1.3497462477054314E-3</v>
      </c>
      <c r="R20" s="1000">
        <f>S20</f>
        <v>-1.3497462477054314E-3</v>
      </c>
      <c r="S20" s="1001">
        <f>Y20</f>
        <v>-1.3497462477054314E-3</v>
      </c>
      <c r="T20" s="1230"/>
      <c r="U20" s="1003">
        <f>V20</f>
        <v>-1.3497462477054314E-3</v>
      </c>
      <c r="V20" s="1003">
        <f>W20</f>
        <v>-1.3497462477054314E-3</v>
      </c>
      <c r="W20" s="1003">
        <f>X20</f>
        <v>-1.3497462477054314E-3</v>
      </c>
      <c r="X20" s="1000">
        <f>Y20</f>
        <v>-1.3497462477054314E-3</v>
      </c>
      <c r="Y20" s="1001">
        <f>AE20</f>
        <v>-1.3497462477054314E-3</v>
      </c>
      <c r="Z20" s="1230"/>
      <c r="AA20" s="1003">
        <f>AB20</f>
        <v>-1.3497462477054314E-3</v>
      </c>
      <c r="AB20" s="1003">
        <f>AC20</f>
        <v>-1.3497462477054314E-3</v>
      </c>
      <c r="AC20" s="1003">
        <f>AD20</f>
        <v>-1.3497462477054314E-3</v>
      </c>
      <c r="AD20" s="1000">
        <f>AE20</f>
        <v>-1.3497462477054314E-3</v>
      </c>
      <c r="AE20" s="1001">
        <f>AK20</f>
        <v>-1.3497462477054314E-3</v>
      </c>
      <c r="AF20" s="1230"/>
      <c r="AG20" s="1003">
        <f>AH20</f>
        <v>-1.3497462477054314E-3</v>
      </c>
      <c r="AH20" s="1003">
        <f>AI20</f>
        <v>-1.3497462477054314E-3</v>
      </c>
      <c r="AI20" s="1003">
        <f>AJ20</f>
        <v>-1.3497462477054314E-3</v>
      </c>
      <c r="AJ20" s="1003">
        <f>AK20</f>
        <v>-1.3497462477054314E-3</v>
      </c>
      <c r="AK20" s="1001">
        <f>AQ20</f>
        <v>-1.3497462477054314E-3</v>
      </c>
      <c r="AL20" s="1230"/>
      <c r="AM20" s="1003">
        <f>AN20</f>
        <v>-1.3497462477054314E-3</v>
      </c>
      <c r="AN20" s="1003">
        <f>AO20</f>
        <v>-1.3497462477054314E-3</v>
      </c>
      <c r="AO20" s="1003">
        <f>AP20</f>
        <v>-1.3497462477054314E-3</v>
      </c>
      <c r="AP20" s="1003">
        <f>AQ20</f>
        <v>-1.3497462477054314E-3</v>
      </c>
      <c r="AQ20" s="1001">
        <f>AW20</f>
        <v>-1.3497462477054314E-3</v>
      </c>
      <c r="AR20" s="1230"/>
      <c r="AS20" s="1003">
        <f>AT20</f>
        <v>-1.3497462477054314E-3</v>
      </c>
      <c r="AT20" s="1003">
        <f>AU20</f>
        <v>-1.3497462477054314E-3</v>
      </c>
      <c r="AU20" s="1003">
        <f>AV20</f>
        <v>-1.3497462477054314E-3</v>
      </c>
      <c r="AV20" s="1003">
        <f>AW20</f>
        <v>-1.3497462477054314E-3</v>
      </c>
      <c r="AW20" s="1001">
        <v>-1.3497462477054314E-3</v>
      </c>
      <c r="AX20" s="1230"/>
      <c r="AY20" s="1003">
        <f>AZ20</f>
        <v>-8.0919242595889286E-4</v>
      </c>
      <c r="AZ20" s="1003">
        <f>BA20</f>
        <v>-8.0919242595889286E-4</v>
      </c>
      <c r="BA20" s="1003">
        <v>-8.0919242595889286E-4</v>
      </c>
      <c r="BB20" s="1003">
        <f>BA20</f>
        <v>-8.0919242595889286E-4</v>
      </c>
      <c r="BC20" s="1001">
        <f>BC19/BC15</f>
        <v>-3.5155823458502721E-4</v>
      </c>
      <c r="BD20" s="19"/>
      <c r="BE20" s="1212"/>
      <c r="BF20" s="973"/>
      <c r="BG20" s="19"/>
      <c r="BH20" s="19"/>
      <c r="BI20" s="765">
        <f t="shared" si="0"/>
        <v>0</v>
      </c>
      <c r="BJ20" s="19"/>
      <c r="BK20" s="19"/>
      <c r="BL20" s="19"/>
      <c r="BM20" s="19"/>
      <c r="BN20" s="19"/>
      <c r="BO20" s="765">
        <f t="shared" si="1"/>
        <v>0</v>
      </c>
      <c r="BQ20" s="970"/>
      <c r="BR20" s="970"/>
      <c r="BS20" s="970"/>
      <c r="BT20" s="970"/>
      <c r="BU20" s="765">
        <f t="shared" si="2"/>
        <v>0</v>
      </c>
      <c r="BW20" s="970"/>
      <c r="BX20" s="970"/>
      <c r="BY20" s="970"/>
      <c r="BZ20" s="970"/>
      <c r="CA20" s="765">
        <f t="shared" si="3"/>
        <v>0</v>
      </c>
      <c r="CC20" s="970"/>
      <c r="CD20" s="970"/>
      <c r="CE20" s="970"/>
      <c r="CF20" s="970"/>
      <c r="CG20" s="765">
        <f t="shared" si="4"/>
        <v>0</v>
      </c>
      <c r="CN20" s="964"/>
      <c r="CO20" s="964"/>
      <c r="CP20" s="964"/>
      <c r="CQ20" s="964"/>
      <c r="CR20" s="964"/>
      <c r="CS20" s="964"/>
    </row>
    <row r="21" spans="1:132" ht="12.75" hidden="1" customHeight="1" outlineLevel="1" x14ac:dyDescent="0.2">
      <c r="A21" s="290"/>
      <c r="B21" s="766" t="s">
        <v>549</v>
      </c>
      <c r="C21" s="178">
        <f>C42*C22</f>
        <v>4.3849690402476789</v>
      </c>
      <c r="D21" s="178">
        <f>D42*D22</f>
        <v>4.2965712074303406</v>
      </c>
      <c r="E21" s="178">
        <f>E42*E22</f>
        <v>4.6563467492260067</v>
      </c>
      <c r="F21" s="178">
        <f>F42*F22</f>
        <v>4.9866563467492266</v>
      </c>
      <c r="G21" s="470">
        <f>SUM(C21:F21)</f>
        <v>18.324543343653254</v>
      </c>
      <c r="I21" s="178">
        <f>I42*I22</f>
        <v>4.353320433436533</v>
      </c>
      <c r="J21" s="178">
        <f>J42*J22</f>
        <v>4.30311919504644</v>
      </c>
      <c r="K21" s="178">
        <f>K42*K22</f>
        <v>4.0888544891640874</v>
      </c>
      <c r="L21" s="178">
        <f>L42*L22</f>
        <v>4.0226470588235301</v>
      </c>
      <c r="M21" s="470">
        <f>SUM(I21:L21)</f>
        <v>16.76794117647059</v>
      </c>
      <c r="O21" s="178">
        <f>O42*O22</f>
        <v>3.6534133126934987</v>
      </c>
      <c r="P21" s="178">
        <f>P42*P22</f>
        <v>3.6003018575851398</v>
      </c>
      <c r="Q21" s="178">
        <f>Q42*Q22</f>
        <v>3.5042647058823531</v>
      </c>
      <c r="R21" s="178">
        <f>R42*R22</f>
        <v>4.1707043343653254</v>
      </c>
      <c r="S21" s="470">
        <f>SUM(O21:R21)</f>
        <v>14.928684210526317</v>
      </c>
      <c r="U21" s="178">
        <f>U42*U22</f>
        <v>4.2525541795665633</v>
      </c>
      <c r="V21" s="178">
        <f>V42*V22</f>
        <v>4.2372755417956656</v>
      </c>
      <c r="W21" s="178">
        <f>W42*W22</f>
        <v>4.2059907120743034</v>
      </c>
      <c r="X21" s="178">
        <f>X42*X22</f>
        <v>4.9146284829721365</v>
      </c>
      <c r="Y21" s="470">
        <f>SUM(U21:X21)</f>
        <v>17.610448916408668</v>
      </c>
      <c r="AA21" s="178">
        <f>AA42*AA22</f>
        <v>5.1456269349845201</v>
      </c>
      <c r="AB21" s="178">
        <f>AB42*AB22</f>
        <v>5.2347523219814249</v>
      </c>
      <c r="AC21" s="178">
        <f>AC42*AC22</f>
        <v>4.9055340557275544</v>
      </c>
      <c r="AD21" s="178">
        <f>AD42*AD22</f>
        <v>4.8331424148606814</v>
      </c>
      <c r="AE21" s="470">
        <f>SUM(AA21:AD21)</f>
        <v>20.11905572755418</v>
      </c>
      <c r="AG21" s="178">
        <f>AG42*AG22</f>
        <v>4.9611919504643964</v>
      </c>
      <c r="AH21" s="178">
        <f>AH42*AH22</f>
        <v>4.7625696594427254</v>
      </c>
      <c r="AI21" s="178">
        <f>AI42*AI22</f>
        <v>4.5857739938080497</v>
      </c>
      <c r="AJ21" s="178">
        <f>AJ42*AJ22</f>
        <v>5.1274380804953568</v>
      </c>
      <c r="AK21" s="470">
        <f>SUM(AG21:AJ21)</f>
        <v>19.436973684210528</v>
      </c>
      <c r="AM21" s="178">
        <f>AM42*AM22</f>
        <v>5.4930340557275548</v>
      </c>
      <c r="AN21" s="178">
        <f>AN42*AN22</f>
        <v>5.7113003095975232</v>
      </c>
      <c r="AO21" s="178">
        <f>AO42*AO22</f>
        <v>5.5657894736842115</v>
      </c>
      <c r="AP21" s="178">
        <f>AP42*AP22</f>
        <v>5.4930340557275548</v>
      </c>
      <c r="AQ21" s="470">
        <f>SUM(AM21:AP21)</f>
        <v>22.263157894736846</v>
      </c>
      <c r="AS21" s="178">
        <f>AS42*AS22</f>
        <v>5.9659442724458209</v>
      </c>
      <c r="AT21" s="178">
        <f>AT42*AT22</f>
        <v>6.0386996904024777</v>
      </c>
      <c r="AU21" s="178">
        <f>AU42*AU22</f>
        <v>6.0023219814241493</v>
      </c>
      <c r="AV21" s="178">
        <f>AV42*AV22</f>
        <v>5.3839009287925705</v>
      </c>
      <c r="AW21" s="470">
        <f>SUM(AS21:AV21)</f>
        <v>23.390866873065018</v>
      </c>
      <c r="AX21" s="178"/>
      <c r="AY21" s="178">
        <f>AY42*AY22</f>
        <v>5.8291169451073976</v>
      </c>
      <c r="AZ21" s="178">
        <f>AZ42*AZ22</f>
        <v>5.2954653937947489</v>
      </c>
      <c r="BA21" s="178">
        <f>BA42*BA22</f>
        <v>5.2954653937947489</v>
      </c>
      <c r="BB21" s="178">
        <f>BB42*BB22</f>
        <v>5.4596658711217181</v>
      </c>
      <c r="BC21" s="470">
        <f>SUM(AY21:BB21)</f>
        <v>21.879713603818615</v>
      </c>
      <c r="BD21" s="57"/>
      <c r="BE21" s="288"/>
      <c r="BF21" s="288"/>
      <c r="BG21" s="288"/>
      <c r="BH21" s="288"/>
      <c r="BI21" s="644">
        <f t="shared" si="0"/>
        <v>0</v>
      </c>
      <c r="BJ21" s="57"/>
      <c r="BK21" s="288"/>
      <c r="BL21" s="288"/>
      <c r="BM21" s="288"/>
      <c r="BN21" s="288"/>
      <c r="BO21" s="644">
        <f t="shared" si="1"/>
        <v>0</v>
      </c>
      <c r="BP21" s="57"/>
      <c r="BQ21" s="288"/>
      <c r="BR21" s="288"/>
      <c r="BS21" s="288"/>
      <c r="BT21" s="288"/>
      <c r="BU21" s="644">
        <f t="shared" si="2"/>
        <v>0</v>
      </c>
      <c r="BV21" s="57"/>
      <c r="BW21" s="288"/>
      <c r="BX21" s="288"/>
      <c r="BY21" s="288"/>
      <c r="BZ21" s="288"/>
      <c r="CA21" s="644">
        <f t="shared" si="3"/>
        <v>0</v>
      </c>
      <c r="CB21" s="57"/>
      <c r="CC21" s="288"/>
      <c r="CD21" s="288"/>
      <c r="CE21" s="288"/>
      <c r="CF21" s="288"/>
      <c r="CG21" s="644">
        <f t="shared" si="4"/>
        <v>0</v>
      </c>
      <c r="CW21" s="57"/>
    </row>
    <row r="22" spans="1:132" s="965" customFormat="1" hidden="1" outlineLevel="1" x14ac:dyDescent="0.2">
      <c r="B22" s="1231" t="s">
        <v>520</v>
      </c>
      <c r="C22" s="1003">
        <f>D22</f>
        <v>0.36377708978328177</v>
      </c>
      <c r="D22" s="1003">
        <f>E22</f>
        <v>0.36377708978328177</v>
      </c>
      <c r="E22" s="1003">
        <f>F22</f>
        <v>0.36377708978328177</v>
      </c>
      <c r="F22" s="1000">
        <f>G22</f>
        <v>0.36377708978328177</v>
      </c>
      <c r="G22" s="1001">
        <f>M22</f>
        <v>0.36377708978328177</v>
      </c>
      <c r="H22" s="1230"/>
      <c r="I22" s="1003">
        <f>J22</f>
        <v>0.36377708978328177</v>
      </c>
      <c r="J22" s="1003">
        <f>K22</f>
        <v>0.36377708978328177</v>
      </c>
      <c r="K22" s="1003">
        <f>L22</f>
        <v>0.36377708978328177</v>
      </c>
      <c r="L22" s="1003">
        <f>M22</f>
        <v>0.36377708978328177</v>
      </c>
      <c r="M22" s="1001">
        <f>S22</f>
        <v>0.36377708978328177</v>
      </c>
      <c r="N22" s="1230"/>
      <c r="O22" s="1003">
        <f>P22</f>
        <v>0.36377708978328177</v>
      </c>
      <c r="P22" s="1003">
        <f>Q22</f>
        <v>0.36377708978328177</v>
      </c>
      <c r="Q22" s="1003">
        <f>R22</f>
        <v>0.36377708978328177</v>
      </c>
      <c r="R22" s="1000">
        <f>S22</f>
        <v>0.36377708978328177</v>
      </c>
      <c r="S22" s="1001">
        <f>Y22</f>
        <v>0.36377708978328177</v>
      </c>
      <c r="T22" s="1230"/>
      <c r="U22" s="1003">
        <f>V22</f>
        <v>0.36377708978328177</v>
      </c>
      <c r="V22" s="1003">
        <f>W22</f>
        <v>0.36377708978328177</v>
      </c>
      <c r="W22" s="1003">
        <f>X22</f>
        <v>0.36377708978328177</v>
      </c>
      <c r="X22" s="1000">
        <f>Y22</f>
        <v>0.36377708978328177</v>
      </c>
      <c r="Y22" s="1001">
        <f>AE22</f>
        <v>0.36377708978328177</v>
      </c>
      <c r="Z22" s="1230"/>
      <c r="AA22" s="1003">
        <f>AB22</f>
        <v>0.36377708978328177</v>
      </c>
      <c r="AB22" s="1003">
        <f>AC22</f>
        <v>0.36377708978328177</v>
      </c>
      <c r="AC22" s="1003">
        <f>AD22</f>
        <v>0.36377708978328177</v>
      </c>
      <c r="AD22" s="1000">
        <f>AE22</f>
        <v>0.36377708978328177</v>
      </c>
      <c r="AE22" s="1001">
        <f>AK22</f>
        <v>0.36377708978328177</v>
      </c>
      <c r="AF22" s="1230"/>
      <c r="AG22" s="1003">
        <f>AH22</f>
        <v>0.36377708978328177</v>
      </c>
      <c r="AH22" s="1003">
        <f>AI22</f>
        <v>0.36377708978328177</v>
      </c>
      <c r="AI22" s="1003">
        <f>AJ22</f>
        <v>0.36377708978328177</v>
      </c>
      <c r="AJ22" s="1003">
        <f>AK22</f>
        <v>0.36377708978328177</v>
      </c>
      <c r="AK22" s="1001">
        <f>AQ22</f>
        <v>0.36377708978328177</v>
      </c>
      <c r="AL22" s="1230"/>
      <c r="AM22" s="1003">
        <f>AN22</f>
        <v>0.36377708978328177</v>
      </c>
      <c r="AN22" s="1003">
        <f>AO22</f>
        <v>0.36377708978328177</v>
      </c>
      <c r="AO22" s="1003">
        <f>AP22</f>
        <v>0.36377708978328177</v>
      </c>
      <c r="AP22" s="1003">
        <f>AQ22</f>
        <v>0.36377708978328177</v>
      </c>
      <c r="AQ22" s="1001">
        <f>AW22</f>
        <v>0.36377708978328177</v>
      </c>
      <c r="AR22" s="1230"/>
      <c r="AS22" s="1003">
        <f>AT22</f>
        <v>0.36377708978328177</v>
      </c>
      <c r="AT22" s="1003">
        <f>AU22</f>
        <v>0.36377708978328177</v>
      </c>
      <c r="AU22" s="1003">
        <f>AV22</f>
        <v>0.36377708978328177</v>
      </c>
      <c r="AV22" s="1003">
        <f>AW22</f>
        <v>0.36377708978328177</v>
      </c>
      <c r="AW22" s="1001">
        <v>0.36377708978328177</v>
      </c>
      <c r="AX22" s="1230"/>
      <c r="AY22" s="1003">
        <f>AZ22</f>
        <v>0.41050119331742241</v>
      </c>
      <c r="AZ22" s="1003">
        <f>BA22</f>
        <v>0.41050119331742241</v>
      </c>
      <c r="BA22" s="1003">
        <v>0.41050119331742241</v>
      </c>
      <c r="BB22" s="1003">
        <f>BA22</f>
        <v>0.41050119331742241</v>
      </c>
      <c r="BC22" s="1001">
        <f>BC21/BC42</f>
        <v>0.41050119331742246</v>
      </c>
      <c r="BD22" s="19"/>
      <c r="BE22" s="1212"/>
      <c r="BF22" s="973"/>
      <c r="BG22" s="19"/>
      <c r="BH22" s="19"/>
      <c r="BI22" s="765">
        <f t="shared" si="0"/>
        <v>0</v>
      </c>
      <c r="BJ22" s="19"/>
      <c r="BK22" s="19"/>
      <c r="BL22" s="19"/>
      <c r="BM22" s="19"/>
      <c r="BN22" s="19"/>
      <c r="BO22" s="765">
        <f t="shared" si="1"/>
        <v>0</v>
      </c>
      <c r="BQ22" s="970"/>
      <c r="BR22" s="970"/>
      <c r="BS22" s="970"/>
      <c r="BT22" s="970"/>
      <c r="BU22" s="765">
        <f t="shared" si="2"/>
        <v>0</v>
      </c>
      <c r="BW22" s="970"/>
      <c r="BX22" s="970"/>
      <c r="BY22" s="970"/>
      <c r="BZ22" s="970"/>
      <c r="CA22" s="765">
        <f t="shared" si="3"/>
        <v>0</v>
      </c>
      <c r="CC22" s="970"/>
      <c r="CD22" s="970"/>
      <c r="CE22" s="970"/>
      <c r="CF22" s="970"/>
      <c r="CG22" s="765">
        <f t="shared" si="4"/>
        <v>0</v>
      </c>
      <c r="CN22" s="964"/>
      <c r="CO22" s="964"/>
      <c r="CP22" s="964"/>
      <c r="CQ22" s="964"/>
      <c r="CR22" s="964"/>
      <c r="CS22" s="964"/>
    </row>
    <row r="23" spans="1:132" ht="12.75" hidden="1" customHeight="1" outlineLevel="1" x14ac:dyDescent="0.2">
      <c r="A23" s="290"/>
      <c r="B23" s="766" t="s">
        <v>546</v>
      </c>
      <c r="C23" s="743">
        <v>226.58600000000001</v>
      </c>
      <c r="D23" s="743">
        <v>238.578</v>
      </c>
      <c r="E23" s="743">
        <v>235.113</v>
      </c>
      <c r="F23" s="743">
        <f>969.05-E23-D23-C23</f>
        <v>268.77299999999991</v>
      </c>
      <c r="G23" s="645">
        <f>SUM(C23:F23)</f>
        <v>969.05</v>
      </c>
      <c r="H23" s="178"/>
      <c r="I23" s="743">
        <v>275.53899999999999</v>
      </c>
      <c r="J23" s="743">
        <v>279.36099999999999</v>
      </c>
      <c r="K23" s="743">
        <v>249.77</v>
      </c>
      <c r="L23" s="743">
        <f>1041.779-K23-J23-I23</f>
        <v>237.10900000000004</v>
      </c>
      <c r="M23" s="645">
        <f>SUM(I23:L23)</f>
        <v>1041.779</v>
      </c>
      <c r="N23" s="178"/>
      <c r="O23" s="743">
        <v>241.21700000000001</v>
      </c>
      <c r="P23" s="743">
        <v>267.16399999999999</v>
      </c>
      <c r="Q23" s="743">
        <v>259.47300000000001</v>
      </c>
      <c r="R23" s="743">
        <f>1053.015-Q23-P23-O23</f>
        <v>285.16100000000017</v>
      </c>
      <c r="S23" s="645">
        <f>SUM(O23:R23)</f>
        <v>1053.0150000000003</v>
      </c>
      <c r="T23" s="178"/>
      <c r="U23" s="743">
        <v>263.90600000000001</v>
      </c>
      <c r="V23" s="743">
        <v>277.49099999999999</v>
      </c>
      <c r="W23" s="743">
        <v>269.00099999999998</v>
      </c>
      <c r="X23" s="743">
        <f>1090.856-W23-V23-U23</f>
        <v>280.45800000000003</v>
      </c>
      <c r="Y23" s="645">
        <f>SUM(U23:X23)</f>
        <v>1090.856</v>
      </c>
      <c r="Z23" s="178"/>
      <c r="AA23" s="743">
        <v>270.51900000000001</v>
      </c>
      <c r="AB23" s="743">
        <v>294.59199999999998</v>
      </c>
      <c r="AC23" s="743">
        <v>322.11099999999999</v>
      </c>
      <c r="AD23" s="743">
        <f>1264.278-AC23-AB23-AA23</f>
        <v>377.05600000000004</v>
      </c>
      <c r="AE23" s="645">
        <f>SUM(AA23:AD23)</f>
        <v>1264.278</v>
      </c>
      <c r="AF23" s="178"/>
      <c r="AG23" s="743">
        <v>323.66300000000001</v>
      </c>
      <c r="AH23" s="743">
        <v>355.52499999999998</v>
      </c>
      <c r="AI23" s="743">
        <v>331.61900000000003</v>
      </c>
      <c r="AJ23" s="743">
        <f>1372.042-AI23-AH23-AG23</f>
        <v>361.23499999999979</v>
      </c>
      <c r="AK23" s="645">
        <f>SUM(AG23:AJ23)</f>
        <v>1372.0419999999999</v>
      </c>
      <c r="AL23" s="178"/>
      <c r="AM23" s="743">
        <v>343.88400000000001</v>
      </c>
      <c r="AN23" s="743">
        <v>346.05399999999997</v>
      </c>
      <c r="AO23" s="743">
        <v>327.601</v>
      </c>
      <c r="AP23" s="743">
        <f>1373.358-AO23-AN23-AM23</f>
        <v>355.81900000000007</v>
      </c>
      <c r="AQ23" s="645">
        <f>SUM(AM23:AP23)</f>
        <v>1373.3580000000002</v>
      </c>
      <c r="AR23" s="178"/>
      <c r="AS23" s="743">
        <v>335.90899999999999</v>
      </c>
      <c r="AT23" s="743">
        <v>340.75599999999997</v>
      </c>
      <c r="AU23" s="743">
        <v>320.10000000000002</v>
      </c>
      <c r="AV23" s="743">
        <f>1322.831-AU23-AT23-AS23</f>
        <v>326.06599999999992</v>
      </c>
      <c r="AW23" s="645">
        <f>SUM(AS23:AV23)</f>
        <v>1322.8309999999999</v>
      </c>
      <c r="AX23" s="178"/>
      <c r="AY23" s="743">
        <v>282.952</v>
      </c>
      <c r="AZ23" s="743">
        <v>298.34500000000003</v>
      </c>
      <c r="BA23" s="743">
        <v>279.39999999999998</v>
      </c>
      <c r="BB23" s="743">
        <f>1157.1-BA23-AZ23-AY23</f>
        <v>296.40299999999991</v>
      </c>
      <c r="BC23" s="645">
        <f>SUM(AY23:BB23)</f>
        <v>1157.0999999999999</v>
      </c>
      <c r="BD23" s="57"/>
      <c r="BE23" s="288"/>
      <c r="BF23" s="288"/>
      <c r="BG23" s="288"/>
      <c r="BH23" s="288"/>
      <c r="BI23" s="644">
        <f t="shared" si="0"/>
        <v>0</v>
      </c>
      <c r="BJ23" s="57"/>
      <c r="BK23" s="288"/>
      <c r="BL23" s="288"/>
      <c r="BM23" s="288"/>
      <c r="BN23" s="288"/>
      <c r="BO23" s="644">
        <f t="shared" si="1"/>
        <v>0</v>
      </c>
      <c r="BP23" s="57"/>
      <c r="BQ23" s="288"/>
      <c r="BR23" s="288"/>
      <c r="BS23" s="288"/>
      <c r="BT23" s="288"/>
      <c r="BU23" s="644">
        <f t="shared" si="2"/>
        <v>0</v>
      </c>
      <c r="BV23" s="57"/>
      <c r="BW23" s="288"/>
      <c r="BX23" s="288"/>
      <c r="BY23" s="288"/>
      <c r="BZ23" s="288"/>
      <c r="CA23" s="644">
        <f t="shared" si="3"/>
        <v>0</v>
      </c>
      <c r="CB23" s="57"/>
      <c r="CC23" s="288"/>
      <c r="CD23" s="288"/>
      <c r="CE23" s="288"/>
      <c r="CF23" s="288"/>
      <c r="CG23" s="644">
        <f t="shared" si="4"/>
        <v>0</v>
      </c>
      <c r="CW23" s="57"/>
    </row>
    <row r="24" spans="1:132" ht="12.75" hidden="1" customHeight="1" outlineLevel="1" x14ac:dyDescent="0.2">
      <c r="A24" s="290"/>
      <c r="B24" s="766" t="s">
        <v>550</v>
      </c>
      <c r="C24" s="743">
        <v>0</v>
      </c>
      <c r="D24" s="743">
        <v>0</v>
      </c>
      <c r="E24" s="743">
        <v>0</v>
      </c>
      <c r="F24" s="743">
        <v>0</v>
      </c>
      <c r="G24" s="645">
        <f>SUM(C24:F24)</f>
        <v>0</v>
      </c>
      <c r="H24" s="178"/>
      <c r="I24" s="743">
        <v>0</v>
      </c>
      <c r="J24" s="743">
        <v>0</v>
      </c>
      <c r="K24" s="743">
        <v>0</v>
      </c>
      <c r="L24" s="743">
        <v>0</v>
      </c>
      <c r="M24" s="645">
        <f>SUM(I24:L24)</f>
        <v>0</v>
      </c>
      <c r="N24" s="178"/>
      <c r="O24" s="743">
        <v>0</v>
      </c>
      <c r="P24" s="743">
        <v>0</v>
      </c>
      <c r="Q24" s="743">
        <v>0</v>
      </c>
      <c r="R24" s="743">
        <v>0</v>
      </c>
      <c r="S24" s="645">
        <f>SUM(O24:R24)</f>
        <v>0</v>
      </c>
      <c r="T24" s="178"/>
      <c r="U24" s="743">
        <v>0</v>
      </c>
      <c r="V24" s="743">
        <v>0</v>
      </c>
      <c r="W24" s="743">
        <v>0</v>
      </c>
      <c r="X24" s="743">
        <v>0</v>
      </c>
      <c r="Y24" s="645">
        <f>SUM(U24:X24)</f>
        <v>0</v>
      </c>
      <c r="Z24" s="178"/>
      <c r="AA24" s="743">
        <v>1.6000000000000227</v>
      </c>
      <c r="AB24" s="743">
        <v>1.5</v>
      </c>
      <c r="AC24" s="743">
        <v>17.37299999999999</v>
      </c>
      <c r="AD24" s="743">
        <v>21.784000000000106</v>
      </c>
      <c r="AE24" s="645">
        <f>SUM(AA24:AD24)</f>
        <v>42.257000000000119</v>
      </c>
      <c r="AF24" s="178"/>
      <c r="AG24" s="743">
        <v>3.3340000000000032</v>
      </c>
      <c r="AH24" s="743">
        <v>4.4359999999999218</v>
      </c>
      <c r="AI24" s="743">
        <v>4.2379999999999995</v>
      </c>
      <c r="AJ24" s="743">
        <v>4.2359999999997626</v>
      </c>
      <c r="AK24" s="645">
        <f>SUM(AG24:AJ24)</f>
        <v>16.243999999999687</v>
      </c>
      <c r="AL24" s="178"/>
      <c r="AM24" s="743">
        <v>3.4740000000000464</v>
      </c>
      <c r="AN24" s="743">
        <v>3.1329999999999814</v>
      </c>
      <c r="AO24" s="743">
        <v>2.6909999999999741</v>
      </c>
      <c r="AP24" s="743">
        <v>5.0930000000000746</v>
      </c>
      <c r="AQ24" s="645">
        <f>SUM(AM24:AP24)</f>
        <v>14.391000000000076</v>
      </c>
      <c r="AR24" s="178"/>
      <c r="AS24" s="743">
        <v>4.2379999999999427</v>
      </c>
      <c r="AT24" s="743">
        <v>2.964999999999975</v>
      </c>
      <c r="AU24" s="743">
        <v>5.3899999999999864</v>
      </c>
      <c r="AV24" s="743">
        <v>3.3279999999998608</v>
      </c>
      <c r="AW24" s="645">
        <f>SUM(AS24:AV24)</f>
        <v>15.920999999999765</v>
      </c>
      <c r="AX24" s="178"/>
      <c r="AY24" s="743">
        <v>4.5859999999999559</v>
      </c>
      <c r="AZ24" s="743">
        <v>6.5070000000000618</v>
      </c>
      <c r="BA24" s="743">
        <v>8.8999999999999773</v>
      </c>
      <c r="BB24" s="743">
        <v>5.4029999999999063</v>
      </c>
      <c r="BC24" s="645">
        <f>SUM(AY24:BB24)</f>
        <v>25.395999999999901</v>
      </c>
      <c r="BD24" s="57"/>
      <c r="BE24" s="288"/>
      <c r="BF24" s="288"/>
      <c r="BG24" s="288"/>
      <c r="BH24" s="288"/>
      <c r="BI24" s="644">
        <f t="shared" si="0"/>
        <v>0</v>
      </c>
      <c r="BJ24" s="57"/>
      <c r="BK24" s="288"/>
      <c r="BL24" s="288"/>
      <c r="BM24" s="288"/>
      <c r="BN24" s="288"/>
      <c r="BO24" s="644">
        <f t="shared" si="1"/>
        <v>0</v>
      </c>
      <c r="BP24" s="57"/>
      <c r="BQ24" s="288"/>
      <c r="BR24" s="288"/>
      <c r="BS24" s="288"/>
      <c r="BT24" s="288"/>
      <c r="BU24" s="644">
        <f t="shared" si="2"/>
        <v>0</v>
      </c>
      <c r="BV24" s="57"/>
      <c r="BW24" s="288"/>
      <c r="BX24" s="288"/>
      <c r="BY24" s="288"/>
      <c r="BZ24" s="288"/>
      <c r="CA24" s="644">
        <f t="shared" si="3"/>
        <v>0</v>
      </c>
      <c r="CB24" s="57"/>
      <c r="CC24" s="288"/>
      <c r="CD24" s="288"/>
      <c r="CE24" s="288"/>
      <c r="CF24" s="288"/>
      <c r="CG24" s="644">
        <f t="shared" si="4"/>
        <v>0</v>
      </c>
      <c r="CW24" s="57"/>
    </row>
    <row r="25" spans="1:132" ht="12.75" hidden="1" customHeight="1" outlineLevel="1" x14ac:dyDescent="0.2">
      <c r="A25" s="290"/>
      <c r="B25" s="766" t="s">
        <v>551</v>
      </c>
      <c r="C25" s="743">
        <v>17.700000000000003</v>
      </c>
      <c r="D25" s="743">
        <v>19.099999999999994</v>
      </c>
      <c r="E25" s="743">
        <v>18.5</v>
      </c>
      <c r="F25" s="743">
        <v>20.599999999999994</v>
      </c>
      <c r="G25" s="645">
        <f>SUM(C25:F25)</f>
        <v>75.899999999999991</v>
      </c>
      <c r="H25" s="178"/>
      <c r="I25" s="743">
        <v>21.200000000000003</v>
      </c>
      <c r="J25" s="743">
        <v>21.900000000000006</v>
      </c>
      <c r="K25" s="743">
        <v>21.300000000000011</v>
      </c>
      <c r="L25" s="743">
        <v>16.200000000000003</v>
      </c>
      <c r="M25" s="645">
        <f>SUM(I25:L25)</f>
        <v>80.600000000000023</v>
      </c>
      <c r="N25" s="178"/>
      <c r="O25" s="743">
        <v>16.099999999999994</v>
      </c>
      <c r="P25" s="743">
        <v>16.600000000000009</v>
      </c>
      <c r="Q25" s="743">
        <v>17.19999999999996</v>
      </c>
      <c r="R25" s="743">
        <v>14.900000000000006</v>
      </c>
      <c r="S25" s="645">
        <f>SUM(O25:R25)</f>
        <v>64.799999999999969</v>
      </c>
      <c r="T25" s="178"/>
      <c r="U25" s="743">
        <v>14.200000000000003</v>
      </c>
      <c r="V25" s="743">
        <v>13.400000000000006</v>
      </c>
      <c r="W25" s="743">
        <v>13.599999999999994</v>
      </c>
      <c r="X25" s="743">
        <v>12.400000000000006</v>
      </c>
      <c r="Y25" s="645">
        <f>SUM(U25:X25)</f>
        <v>53.600000000000009</v>
      </c>
      <c r="Z25" s="178"/>
      <c r="AA25" s="743">
        <v>12.5</v>
      </c>
      <c r="AB25" s="743">
        <v>12.900000000000006</v>
      </c>
      <c r="AC25" s="743">
        <v>12.700000000000003</v>
      </c>
      <c r="AD25" s="743">
        <v>11.659000000000006</v>
      </c>
      <c r="AE25" s="645">
        <f>SUM(AA25:AD25)</f>
        <v>49.759000000000015</v>
      </c>
      <c r="AF25" s="178"/>
      <c r="AG25" s="743">
        <v>11</v>
      </c>
      <c r="AH25" s="743">
        <v>10.900000000000006</v>
      </c>
      <c r="AI25" s="743">
        <v>11.099999999999994</v>
      </c>
      <c r="AJ25" s="743">
        <v>9.6329999999999956</v>
      </c>
      <c r="AK25" s="645">
        <f>SUM(AG25:AJ25)</f>
        <v>42.632999999999996</v>
      </c>
      <c r="AL25" s="178"/>
      <c r="AM25" s="743">
        <v>9.1799999999999926</v>
      </c>
      <c r="AN25" s="743">
        <v>9.730000000000004</v>
      </c>
      <c r="AO25" s="743">
        <v>9.7870000000000203</v>
      </c>
      <c r="AP25" s="743">
        <v>9.4359999999999928</v>
      </c>
      <c r="AQ25" s="645">
        <f>SUM(AM25:AP25)</f>
        <v>38.13300000000001</v>
      </c>
      <c r="AR25" s="178"/>
      <c r="AS25" s="743">
        <v>8.7999999999999972</v>
      </c>
      <c r="AT25" s="743">
        <v>8.2000000000000028</v>
      </c>
      <c r="AU25" s="743">
        <v>6.1999999999999886</v>
      </c>
      <c r="AV25" s="743">
        <v>7</v>
      </c>
      <c r="AW25" s="645">
        <f>SUM(AS25:AV25)</f>
        <v>30.199999999999989</v>
      </c>
      <c r="AX25" s="178"/>
      <c r="AY25" s="743">
        <v>6.5</v>
      </c>
      <c r="AZ25" s="743">
        <v>6.5</v>
      </c>
      <c r="BA25" s="743">
        <v>6.3000000000000114</v>
      </c>
      <c r="BB25" s="743">
        <v>5.4000000000000057</v>
      </c>
      <c r="BC25" s="645">
        <f>SUM(AY25:BB25)</f>
        <v>24.700000000000017</v>
      </c>
      <c r="BD25" s="57"/>
      <c r="BE25" s="288"/>
      <c r="BF25" s="288"/>
      <c r="BG25" s="288"/>
      <c r="BH25" s="288"/>
      <c r="BI25" s="644">
        <f t="shared" si="0"/>
        <v>0</v>
      </c>
      <c r="BJ25" s="57"/>
      <c r="BK25" s="288"/>
      <c r="BL25" s="288"/>
      <c r="BM25" s="288"/>
      <c r="BN25" s="288"/>
      <c r="BO25" s="644">
        <f t="shared" si="1"/>
        <v>0</v>
      </c>
      <c r="BP25" s="57"/>
      <c r="BQ25" s="288"/>
      <c r="BR25" s="288"/>
      <c r="BS25" s="288"/>
      <c r="BT25" s="288"/>
      <c r="BU25" s="644">
        <f t="shared" si="2"/>
        <v>0</v>
      </c>
      <c r="BV25" s="57"/>
      <c r="BW25" s="288"/>
      <c r="BX25" s="288"/>
      <c r="BY25" s="288"/>
      <c r="BZ25" s="288"/>
      <c r="CA25" s="644">
        <f t="shared" si="3"/>
        <v>0</v>
      </c>
      <c r="CB25" s="57"/>
      <c r="CC25" s="288"/>
      <c r="CD25" s="288"/>
      <c r="CE25" s="288"/>
      <c r="CF25" s="288"/>
      <c r="CG25" s="644">
        <f t="shared" si="4"/>
        <v>0</v>
      </c>
      <c r="CW25" s="57"/>
    </row>
    <row r="26" spans="1:132" collapsed="1" x14ac:dyDescent="0.2">
      <c r="A26" s="290"/>
      <c r="B26" s="176" t="s">
        <v>178</v>
      </c>
      <c r="C26" s="178">
        <f>C18+C19+C21+C23-C24-C25</f>
        <v>292.47966594123034</v>
      </c>
      <c r="D26" s="178">
        <f>D18+D19+D21+D23-D24-D25</f>
        <v>313.22421870770029</v>
      </c>
      <c r="E26" s="178">
        <f>E18+E19+E21+E23-E24-E25</f>
        <v>316.05646347528148</v>
      </c>
      <c r="F26" s="178">
        <f>F18+F19+F21+F23-F24-F25</f>
        <v>358.39116287952095</v>
      </c>
      <c r="G26" s="645">
        <f>G18+G19+G21+G23-G24-G25</f>
        <v>1280.151511003733</v>
      </c>
      <c r="H26" s="711"/>
      <c r="I26" s="178">
        <f>I18+I19+I21+I23-I24-I25</f>
        <v>361.26727276039907</v>
      </c>
      <c r="J26" s="178">
        <f>J18+J19+J21+J23-J24-J25</f>
        <v>364.7104039375148</v>
      </c>
      <c r="K26" s="178">
        <f>K18+K19+K21+K23-K24-K25</f>
        <v>331.29082949186358</v>
      </c>
      <c r="L26" s="178">
        <f>L18+L19+L21+L23-L24-L25</f>
        <v>317.20646160368915</v>
      </c>
      <c r="M26" s="645">
        <f>M18+M19+M21+M23-M24-M25</f>
        <v>1374.4749677934665</v>
      </c>
      <c r="N26" s="711"/>
      <c r="O26" s="178">
        <f>O18+O19+O21+O23-O24-O25</f>
        <v>312.83776856590589</v>
      </c>
      <c r="P26" s="178">
        <f>P18+P19+P21+P23-P24-P25</f>
        <v>347.45911634846084</v>
      </c>
      <c r="Q26" s="178">
        <f>Q18+Q19+Q21+Q23-Q24-Q25</f>
        <v>341.44027334425834</v>
      </c>
      <c r="R26" s="178">
        <f>R18+R19+R21+R23-R24-R25</f>
        <v>376.36152379230737</v>
      </c>
      <c r="S26" s="645">
        <f>S18+S19+S21+S23-S24-S25</f>
        <v>1378.0986820509327</v>
      </c>
      <c r="T26" s="711"/>
      <c r="U26" s="178">
        <f>U18+U19+U21+U23-U24-U25</f>
        <v>344.28278703778921</v>
      </c>
      <c r="V26" s="178">
        <f>V18+V19+V21+V23-V24-V25</f>
        <v>356.07762744763738</v>
      </c>
      <c r="W26" s="178">
        <f>W18+W19+W21+W23-W24-W25</f>
        <v>348.88974495027753</v>
      </c>
      <c r="X26" s="178">
        <f>X18+X19+X21+X23-X24-X25</f>
        <v>377.68404485269468</v>
      </c>
      <c r="Y26" s="645">
        <f>Y18+Y19+Y21+Y23-Y24-Y25</f>
        <v>1426.9342042883986</v>
      </c>
      <c r="Z26" s="711"/>
      <c r="AA26" s="178">
        <f>AA18+AA19+AA21+AA23-AA24-AA25</f>
        <v>360.11380526345874</v>
      </c>
      <c r="AB26" s="178">
        <f>AB18+AB19+AB21+AB23-AB24-AB25</f>
        <v>402.7240548811003</v>
      </c>
      <c r="AC26" s="178">
        <f>AC18+AC19+AC21+AC23-AC24-AC25</f>
        <v>404.4428853676809</v>
      </c>
      <c r="AD26" s="178">
        <f>AD18+AD19+AD21+AD23-AD24-AD25</f>
        <v>467.10914322470836</v>
      </c>
      <c r="AE26" s="645">
        <f>AE18+AE19+AE21+AE23-AE24-AE25</f>
        <v>1634.3898887369483</v>
      </c>
      <c r="AF26" s="716"/>
      <c r="AG26" s="178">
        <f>AG18+AG19+AG21+AG23-AG24-AG25</f>
        <v>420.92361598674557</v>
      </c>
      <c r="AH26" s="178">
        <f>AH18+AH19+AH21+AH23-AH24-AH25</f>
        <v>457.88541449261413</v>
      </c>
      <c r="AI26" s="178">
        <f>AI18+AI19+AI21+AI23-AI24-AI25</f>
        <v>435.54856699672359</v>
      </c>
      <c r="AJ26" s="178">
        <f>AJ18+AJ19+AJ21+AJ23-AJ24-AJ25</f>
        <v>472.37617353023086</v>
      </c>
      <c r="AK26" s="645">
        <f>AK18+AK19+AK21+AK23-AK24-AK25</f>
        <v>1786.7337710063141</v>
      </c>
      <c r="AL26" s="716"/>
      <c r="AM26" s="178">
        <f>AM18+AM19+AM21+AM23-AM24-AM25</f>
        <v>458.69339902711289</v>
      </c>
      <c r="AN26" s="178">
        <f>AN18+AN19+AN21+AN23-AN24-AN25</f>
        <v>469.95745364077123</v>
      </c>
      <c r="AO26" s="178">
        <f>AO18+AO19+AO21+AO23-AO24-AO25</f>
        <v>455.36399058587511</v>
      </c>
      <c r="AP26" s="178">
        <f>AP18+AP19+AP21+AP23-AP24-AP25</f>
        <v>482.11920320592736</v>
      </c>
      <c r="AQ26" s="645">
        <f>AQ18+AQ19+AQ21+AQ23-AQ24-AQ25</f>
        <v>1866.1340464596867</v>
      </c>
      <c r="AR26" s="716"/>
      <c r="AS26" s="178">
        <f>AS18+AS19+AS21+AS23-AS24-AS25</f>
        <v>459.40646565242645</v>
      </c>
      <c r="AT26" s="178">
        <f>AT18+AT19+AT21+AT23-AT24-AT25</f>
        <v>467.09146407869747</v>
      </c>
      <c r="AU26" s="178">
        <f>AU18+AU19+AU21+AU23-AU24-AU25</f>
        <v>444.00466622070718</v>
      </c>
      <c r="AV26" s="178">
        <f>AV18+AV19+AV21+AV23-AV24-AV25</f>
        <v>450.60619258196186</v>
      </c>
      <c r="AW26" s="645">
        <f>AW18+AW19+AW21+AW23-AW24-AW25</f>
        <v>1821.1087885337927</v>
      </c>
      <c r="AX26" s="716"/>
      <c r="AY26" s="178">
        <f>AY18+AY19+AY21+AY23-AY24-AY25</f>
        <v>390.8743109894512</v>
      </c>
      <c r="AZ26" s="178">
        <f>AZ18+AZ19+AZ21+AZ23-AZ24-AZ25</f>
        <v>421.78563807545845</v>
      </c>
      <c r="BA26" s="178">
        <f>BA18+BA19+BA21+BA23-BA24-BA25</f>
        <v>407.15770847519951</v>
      </c>
      <c r="BB26" s="178">
        <f>BB18+BB19+BB21+BB23-BB24-BB25</f>
        <v>420.91446195463038</v>
      </c>
      <c r="BC26" s="645">
        <f>BC18+BC19+BC21+BC23-BC24-BC25</f>
        <v>1640.7321194947394</v>
      </c>
      <c r="BD26" s="716"/>
      <c r="BE26" s="178">
        <f>+BE16-BE27</f>
        <v>359.21414141414152</v>
      </c>
      <c r="BF26" s="178">
        <f>BF15-BF27</f>
        <v>416.4</v>
      </c>
      <c r="BG26" s="178">
        <f>BG15-BG27</f>
        <v>411.69999999999993</v>
      </c>
      <c r="BH26" s="178">
        <f>BH15-BH27</f>
        <v>424.89999999999986</v>
      </c>
      <c r="BI26" s="645">
        <f>+SUM(BE26:BH26)</f>
        <v>1612.2141414141413</v>
      </c>
      <c r="BJ26" s="716"/>
      <c r="BK26" s="178">
        <f>BK15-BK27</f>
        <v>376.9</v>
      </c>
      <c r="BL26" s="178">
        <f>BL15-BL27</f>
        <v>415.40000000000009</v>
      </c>
      <c r="BM26" s="178">
        <f>BM15-BM27</f>
        <v>419.0999999999998</v>
      </c>
      <c r="BN26" s="178">
        <f>BN15-BN27</f>
        <v>463.1</v>
      </c>
      <c r="BO26" s="645">
        <f>+SUM(BK26:BN26)</f>
        <v>1674.5</v>
      </c>
      <c r="BP26" s="716"/>
      <c r="BQ26" s="178">
        <f>BQ15-BQ27</f>
        <v>408.74510000000009</v>
      </c>
      <c r="BR26" s="178">
        <f>BR15-BR27</f>
        <v>445.22688000000005</v>
      </c>
      <c r="BS26" s="178">
        <f>BS15-BS27</f>
        <v>454.54584000000011</v>
      </c>
      <c r="BT26" s="178">
        <f>BT15-BT27</f>
        <v>488.41128000000003</v>
      </c>
      <c r="BU26" s="645">
        <f t="shared" si="2"/>
        <v>1796.9291000000003</v>
      </c>
      <c r="BV26" s="716"/>
      <c r="BW26" s="178">
        <f>BW15-BW27</f>
        <v>419.60669142000006</v>
      </c>
      <c r="BX26" s="178">
        <f>BX15-BX27</f>
        <v>462.42630366000014</v>
      </c>
      <c r="BY26" s="178">
        <f>BY15-BY27</f>
        <v>470.10021288000007</v>
      </c>
      <c r="BZ26" s="178">
        <f>BZ15-BZ27</f>
        <v>501.38970780000011</v>
      </c>
      <c r="CA26" s="645">
        <f t="shared" si="3"/>
        <v>1853.5229157600002</v>
      </c>
      <c r="CB26" s="716"/>
      <c r="CC26" s="178">
        <f>CC15-CC27</f>
        <v>430.96367648720013</v>
      </c>
      <c r="CD26" s="178">
        <f>CD15-CD27</f>
        <v>470.3406009534001</v>
      </c>
      <c r="CE26" s="178">
        <f>CE15-CE27</f>
        <v>479.48573472480007</v>
      </c>
      <c r="CF26" s="178">
        <f>CF15-CF27</f>
        <v>514.99203445080013</v>
      </c>
      <c r="CG26" s="645">
        <f t="shared" si="4"/>
        <v>1895.7820466162002</v>
      </c>
      <c r="CW26" s="716"/>
    </row>
    <row r="27" spans="1:132" x14ac:dyDescent="0.2">
      <c r="A27" s="290"/>
      <c r="B27" s="294" t="s">
        <v>181</v>
      </c>
      <c r="C27" s="295">
        <f>C15-C26</f>
        <v>329.87306886346687</v>
      </c>
      <c r="D27" s="295">
        <f>D15-D26</f>
        <v>350.44536407879912</v>
      </c>
      <c r="E27" s="295">
        <f>E15-E26</f>
        <v>349.24923419860625</v>
      </c>
      <c r="F27" s="295">
        <f>F15-F26</f>
        <v>382.40232324118881</v>
      </c>
      <c r="G27" s="644">
        <f>G15-G26</f>
        <v>1411.9699903820606</v>
      </c>
      <c r="H27" s="458"/>
      <c r="I27" s="295">
        <f>I15-I26</f>
        <v>388.16346591954351</v>
      </c>
      <c r="J27" s="295">
        <f>J15-J26</f>
        <v>416.21080414862615</v>
      </c>
      <c r="K27" s="295">
        <f>K15-K26</f>
        <v>378.47606679266556</v>
      </c>
      <c r="L27" s="295">
        <f>L15-L26</f>
        <v>369.88923196077667</v>
      </c>
      <c r="M27" s="644">
        <f>M15-M26</f>
        <v>1552.739568821612</v>
      </c>
      <c r="N27" s="458"/>
      <c r="O27" s="295">
        <f>O15-O26</f>
        <v>358.18640148293514</v>
      </c>
      <c r="P27" s="295">
        <f>P15-P26</f>
        <v>385.13304353650324</v>
      </c>
      <c r="Q27" s="295">
        <f>Q15-Q26</f>
        <v>377.12587188731254</v>
      </c>
      <c r="R27" s="295">
        <f>R15-R26</f>
        <v>405.98542627978679</v>
      </c>
      <c r="S27" s="644">
        <f>S15-S26</f>
        <v>1526.430743186537</v>
      </c>
      <c r="T27" s="458"/>
      <c r="U27" s="295">
        <f>U15-U26</f>
        <v>390.98268558482397</v>
      </c>
      <c r="V27" s="295">
        <f>V15-V26</f>
        <v>390.59517135220096</v>
      </c>
      <c r="W27" s="295">
        <f>W15-W26</f>
        <v>375.02201981917676</v>
      </c>
      <c r="X27" s="295">
        <f>X15-X26</f>
        <v>425.23508543288176</v>
      </c>
      <c r="Y27" s="644">
        <f>Y15-Y26</f>
        <v>1581.8349621890839</v>
      </c>
      <c r="Z27" s="458"/>
      <c r="AA27" s="295">
        <f>AA15-AA26</f>
        <v>424.24755914030129</v>
      </c>
      <c r="AB27" s="295">
        <f>AB15-AB26</f>
        <v>450.44702239182629</v>
      </c>
      <c r="AC27" s="295">
        <f>AC15-AC26</f>
        <v>433.18614200765137</v>
      </c>
      <c r="AD27" s="295">
        <f>AD15-AD26</f>
        <v>527.91121102961392</v>
      </c>
      <c r="AE27" s="644">
        <f>AE15-AE26</f>
        <v>1835.7919345693931</v>
      </c>
      <c r="AF27" s="458"/>
      <c r="AG27" s="295">
        <f>AG15-AG26</f>
        <v>526.29025723516474</v>
      </c>
      <c r="AH27" s="295">
        <f>AH15-AH26</f>
        <v>546.00152515216689</v>
      </c>
      <c r="AI27" s="295">
        <f>AI15-AI26</f>
        <v>506.48986581863937</v>
      </c>
      <c r="AJ27" s="295">
        <f>AJ15-AJ26</f>
        <v>552.159844646235</v>
      </c>
      <c r="AK27" s="644">
        <f>AK15-AK26</f>
        <v>2130.9414928522056</v>
      </c>
      <c r="AL27" s="458"/>
      <c r="AM27" s="295">
        <f>AM15-AM26</f>
        <v>539.60314711079536</v>
      </c>
      <c r="AN27" s="295">
        <f>AN15-AN26</f>
        <v>573.02604017181307</v>
      </c>
      <c r="AO27" s="295">
        <f>AO15-AO26</f>
        <v>526.13501513084611</v>
      </c>
      <c r="AP27" s="295">
        <f>AP15-AP26</f>
        <v>569.0655573220522</v>
      </c>
      <c r="AQ27" s="644">
        <f>AQ15-AQ26</f>
        <v>2207.8297597355067</v>
      </c>
      <c r="AR27" s="458"/>
      <c r="AS27" s="295">
        <f>AS15-AS26</f>
        <v>551.99173631139251</v>
      </c>
      <c r="AT27" s="295">
        <f>AT15-AT26</f>
        <v>596.14704432075041</v>
      </c>
      <c r="AU27" s="295">
        <f>AU15-AU26</f>
        <v>553.4051013108367</v>
      </c>
      <c r="AV27" s="295">
        <f>AV15-AV26</f>
        <v>560.67876451330847</v>
      </c>
      <c r="AW27" s="644">
        <f>AW15-AW26</f>
        <v>2262.2226464562882</v>
      </c>
      <c r="AX27" s="458"/>
      <c r="AY27" s="295">
        <f>AY15-AY26</f>
        <v>522.19868901054883</v>
      </c>
      <c r="AZ27" s="295">
        <f>AZ15-AZ26</f>
        <v>581.62236192454156</v>
      </c>
      <c r="BA27" s="295">
        <f>BA15-BA26</f>
        <v>546.14229152480061</v>
      </c>
      <c r="BB27" s="295">
        <f>BB15-BB26</f>
        <v>553.88553804536969</v>
      </c>
      <c r="BC27" s="644">
        <f>BC15-BC26</f>
        <v>2203.8488805052607</v>
      </c>
      <c r="BD27" s="458"/>
      <c r="BE27" s="1095">
        <f>+RevBuild!BE81*BE15</f>
        <v>564.3858585858585</v>
      </c>
      <c r="BF27" s="1095">
        <f>+RevBuild!BF81*BF15</f>
        <v>605.6</v>
      </c>
      <c r="BG27" s="1095">
        <f>+RevBuild!BG81*BG15</f>
        <v>544.1</v>
      </c>
      <c r="BH27" s="1095">
        <f>+RevBuild!BH81*BH15</f>
        <v>573.1</v>
      </c>
      <c r="BI27" s="644">
        <f>+SUM(BE27:BH27)</f>
        <v>2287.1858585858586</v>
      </c>
      <c r="BJ27" s="458"/>
      <c r="BK27" s="1095">
        <f>+RevBuild!BK81*BK15</f>
        <v>525.1</v>
      </c>
      <c r="BL27" s="1095">
        <f>+RevBuild!BL81*BL15</f>
        <v>578.79999999999995</v>
      </c>
      <c r="BM27" s="1095">
        <f>+RevBuild!BM81*BM15</f>
        <v>591.10000000000014</v>
      </c>
      <c r="BN27" s="1095">
        <f>+RevBuild!BN81*BN15</f>
        <v>627.9</v>
      </c>
      <c r="BO27" s="644">
        <f>+SUM(BK27:BN27)</f>
        <v>2322.9</v>
      </c>
      <c r="BP27" s="458"/>
      <c r="BQ27" s="1095">
        <f>+RevBuild!BQ81*BQ15</f>
        <v>541.82489999999996</v>
      </c>
      <c r="BR27" s="1095">
        <f>+RevBuild!BR81*BR15</f>
        <v>614.83712000000003</v>
      </c>
      <c r="BS27" s="1095">
        <f>+RevBuild!BS81*BS15</f>
        <v>627.70616000000007</v>
      </c>
      <c r="BT27" s="1095">
        <f>+RevBuild!BT81*BT15</f>
        <v>674.47271999999998</v>
      </c>
      <c r="BU27" s="644">
        <f>+SUM(BQ27:BT27)</f>
        <v>2458.8409000000001</v>
      </c>
      <c r="BV27" s="458"/>
      <c r="BW27" s="1095">
        <f>+RevBuild!BW81*BW15</f>
        <v>563.07876858000009</v>
      </c>
      <c r="BX27" s="1095">
        <f>+RevBuild!BX81*BX15</f>
        <v>646.50967634000006</v>
      </c>
      <c r="BY27" s="1095">
        <f>+RevBuild!BY81*BY15</f>
        <v>657.2384271200001</v>
      </c>
      <c r="BZ27" s="1095">
        <f>+RevBuild!BZ81*BZ15</f>
        <v>700.98369220000006</v>
      </c>
      <c r="CA27" s="644">
        <f>+SUM(BW27:BZ27)</f>
        <v>2567.8105642400005</v>
      </c>
      <c r="CB27" s="458"/>
      <c r="CC27" s="1095">
        <f>+RevBuild!CC81*CC15</f>
        <v>585.4600888128</v>
      </c>
      <c r="CD27" s="1095">
        <f>+RevBuild!CD81*CD15</f>
        <v>665.74780714660005</v>
      </c>
      <c r="CE27" s="1095">
        <f>+RevBuild!CE81*CE15</f>
        <v>678.69236847520006</v>
      </c>
      <c r="CF27" s="1095">
        <f>+RevBuild!CF81*CF15</f>
        <v>728.95007774919998</v>
      </c>
      <c r="CG27" s="644">
        <f>+SUM(CC27:CF27)</f>
        <v>2658.8503421838</v>
      </c>
      <c r="CV27" s="753"/>
      <c r="CW27" s="458"/>
    </row>
    <row r="28" spans="1:132" ht="12.75" hidden="1" customHeight="1" outlineLevel="1" x14ac:dyDescent="0.2">
      <c r="A28" s="300"/>
      <c r="B28" s="1002" t="s">
        <v>517</v>
      </c>
      <c r="C28" s="295">
        <f>+C9-C18+C25-C21-C19+C11</f>
        <v>83.595068863466977</v>
      </c>
      <c r="D28" s="295">
        <f>+D9-D18+D25-D21-D19+D11</f>
        <v>81.66136407879911</v>
      </c>
      <c r="E28" s="295">
        <f>+E9-E18+E25-E21-E19+E11</f>
        <v>96.259234198606123</v>
      </c>
      <c r="F28" s="295">
        <f>+F9-F18+F25-F21-F19+F11</f>
        <v>109.67132324118857</v>
      </c>
      <c r="G28" s="644">
        <f>+SUM(C28:F28)</f>
        <v>371.1869903820608</v>
      </c>
      <c r="H28" s="460"/>
      <c r="I28" s="295">
        <f>+I9-I18+I25-I21-I19+I11</f>
        <v>102.92046591954346</v>
      </c>
      <c r="J28" s="295">
        <f>+J9-J18+J25-J21-J19+J11</f>
        <v>100.72480414862601</v>
      </c>
      <c r="K28" s="295">
        <f>+K9-K18+K25-K21-K19+K11</f>
        <v>98.293066792665442</v>
      </c>
      <c r="L28" s="295">
        <f>+L9-L18+L25-L21-L19+L11</f>
        <v>98.857231960776801</v>
      </c>
      <c r="M28" s="644">
        <f>+SUM(I28:L28)</f>
        <v>400.79556882161171</v>
      </c>
      <c r="N28" s="460"/>
      <c r="O28" s="295">
        <f>+O9-O18+O25-O21-O19+O11</f>
        <v>92.454401482935097</v>
      </c>
      <c r="P28" s="295">
        <f>+P9-P18+P25-P21-P19+P11</f>
        <v>99.465043536503458</v>
      </c>
      <c r="Q28" s="295">
        <f>+Q9-Q18+Q25-Q21-Q19+Q11</f>
        <v>105.39587188731258</v>
      </c>
      <c r="R28" s="295">
        <f>+R9-R18+R25-R21-R19+R11</f>
        <v>122.75242627978706</v>
      </c>
      <c r="S28" s="644">
        <f>+SUM(O28:R28)</f>
        <v>420.06774318653822</v>
      </c>
      <c r="T28" s="460"/>
      <c r="U28" s="295">
        <f>+U9-U18+U25-U21-U19+U11</f>
        <v>108.94468558482392</v>
      </c>
      <c r="V28" s="295">
        <f>+V9-V18+V25-V21-V19+V11</f>
        <v>103.00017135220092</v>
      </c>
      <c r="W28" s="295">
        <f>+W9-W18+W25-W21-W19+W11</f>
        <v>102.20801981917667</v>
      </c>
      <c r="X28" s="295">
        <f>+X9-X18+X25-X21-X19+X11</f>
        <v>137.52408543288189</v>
      </c>
      <c r="Y28" s="644">
        <f>+SUM(U28:X28)</f>
        <v>451.67696218908338</v>
      </c>
      <c r="Z28" s="460"/>
      <c r="AA28" s="295">
        <f>+AA9-AA18+AA25-AA21-AA19+AA11</f>
        <v>122.6635591403013</v>
      </c>
      <c r="AB28" s="295">
        <f>+AB9-AB18+AB25-AB21-AB19+AB11</f>
        <v>134.09602239182627</v>
      </c>
      <c r="AC28" s="295">
        <f>+AC9-AC18+AC25-AC21-AC19+AC11</f>
        <v>118.16514200765127</v>
      </c>
      <c r="AD28" s="295">
        <f>+AD9-AD18+AD25-AD21-AD19+AD11</f>
        <v>145.17021102961388</v>
      </c>
      <c r="AE28" s="644">
        <f>+SUM(AA28:AD28)</f>
        <v>520.09493456939276</v>
      </c>
      <c r="AF28" s="460"/>
      <c r="AG28" s="295">
        <f>+AG9-AG18+AG25-AG21-AG19+AG11</f>
        <v>130.20625723516477</v>
      </c>
      <c r="AH28" s="295">
        <f>+AH9-AH18+AH25-AH21-AH19+AH11</f>
        <v>134.09652515216683</v>
      </c>
      <c r="AI28" s="295">
        <f>+AI9-AI18+AI25-AI21-AI19+AI11</f>
        <v>138.13686581863942</v>
      </c>
      <c r="AJ28" s="295">
        <f>+AJ9-AJ18+AJ25-AJ21-AJ19+AJ11</f>
        <v>155.87084464623507</v>
      </c>
      <c r="AK28" s="644">
        <f>+SUM(AG28:AJ28)</f>
        <v>558.31049285220615</v>
      </c>
      <c r="AL28" s="460"/>
      <c r="AM28" s="295">
        <f>+AM9-AM18+AM25-AM21-AM19+AM11</f>
        <v>147.92914711079538</v>
      </c>
      <c r="AN28" s="295">
        <f>+AN9-AN18+AN25-AN21-AN19+AN11</f>
        <v>154.93704017181309</v>
      </c>
      <c r="AO28" s="295">
        <f>+AO9-AO18+AO25-AO21-AO19+AO11</f>
        <v>147.02701513084614</v>
      </c>
      <c r="AP28" s="295">
        <f>+AP9-AP18+AP25-AP21-AP19+AP11</f>
        <v>166.13355732205233</v>
      </c>
      <c r="AQ28" s="644">
        <f>+SUM(AM28:AP28)</f>
        <v>616.02675973550697</v>
      </c>
      <c r="AR28" s="460"/>
      <c r="AS28" s="295">
        <f>+AS9-AS18+AS25-AS21-AS19+AS11</f>
        <v>153.54873631139256</v>
      </c>
      <c r="AT28" s="295">
        <f>+AT9-AT18+AT25-AT21-AT19+AT11</f>
        <v>168.71304432075053</v>
      </c>
      <c r="AU28" s="295">
        <f>+AU9-AU18+AU25-AU21-AU19+AU11</f>
        <v>159.87510131083664</v>
      </c>
      <c r="AV28" s="295">
        <f>+AV9-AV18+AV25-AV21-AV19+AV11</f>
        <v>164.3757645133085</v>
      </c>
      <c r="AW28" s="644">
        <f>+SUM(AS28:AV28)</f>
        <v>646.51264645628817</v>
      </c>
      <c r="AX28" s="460"/>
      <c r="AY28" s="295">
        <f>+AY9-AY18+AY25-AY21-AY19+AY11</f>
        <v>144.24468901054885</v>
      </c>
      <c r="AZ28" s="295">
        <f>+AZ9-AZ18+AZ25-AZ21-AZ19+AZ11</f>
        <v>175.45436192454159</v>
      </c>
      <c r="BA28" s="295">
        <f>+BA9-BA18+BA25-BA21-BA19+BA11</f>
        <v>167.74229152480058</v>
      </c>
      <c r="BB28" s="295">
        <f>+BB9-BB18+BB25-BB21-BB19+BB11</f>
        <v>173.78553804536972</v>
      </c>
      <c r="BC28" s="644">
        <f>+SUM(AY28:BB28)</f>
        <v>661.22688050526074</v>
      </c>
      <c r="BD28" s="460"/>
      <c r="BE28" s="295"/>
      <c r="BF28" s="295"/>
      <c r="BG28" s="295"/>
      <c r="BH28" s="295"/>
      <c r="BI28" s="445"/>
      <c r="BJ28" s="460"/>
      <c r="BK28" s="295"/>
      <c r="BL28" s="295"/>
      <c r="BM28" s="295"/>
      <c r="BN28" s="295"/>
      <c r="BO28" s="445"/>
      <c r="BP28" s="460"/>
      <c r="BQ28" s="295"/>
      <c r="BR28" s="295"/>
      <c r="BS28" s="295"/>
      <c r="BT28" s="295"/>
      <c r="BU28" s="445"/>
      <c r="BV28" s="460"/>
      <c r="BW28" s="295"/>
      <c r="BX28" s="295"/>
      <c r="BY28" s="295"/>
      <c r="BZ28" s="295"/>
      <c r="CA28" s="445"/>
      <c r="CB28" s="460"/>
      <c r="CC28" s="295"/>
      <c r="CD28" s="295"/>
      <c r="CE28" s="295"/>
      <c r="CF28" s="295"/>
      <c r="CG28" s="445"/>
      <c r="CW28" s="460"/>
    </row>
    <row r="29" spans="1:132" ht="12.75" hidden="1" customHeight="1" outlineLevel="1" x14ac:dyDescent="0.2">
      <c r="A29" s="300"/>
      <c r="B29" s="1002" t="s">
        <v>518</v>
      </c>
      <c r="C29" s="295">
        <f>+C10-C23+C24+(C15-C16)</f>
        <v>246.27799999999996</v>
      </c>
      <c r="D29" s="295">
        <f>+D10-D23+D24+(D15-D16)</f>
        <v>268.78399999999999</v>
      </c>
      <c r="E29" s="295">
        <f>+E10-E23+E24+(E15-E16)</f>
        <v>252.99000000000007</v>
      </c>
      <c r="F29" s="295">
        <f>+F10-F23+F24+(F15-F16)</f>
        <v>272.73100000000022</v>
      </c>
      <c r="G29" s="644">
        <f>+SUM(C29:F29)</f>
        <v>1040.7830000000001</v>
      </c>
      <c r="H29" s="460"/>
      <c r="I29" s="295">
        <f>+I10-I23+I24+(I15-I16)</f>
        <v>285.24299999999999</v>
      </c>
      <c r="J29" s="295">
        <f>+J10-J23+J24+(J15-J16)</f>
        <v>315.4860000000001</v>
      </c>
      <c r="K29" s="295">
        <f>+K10-K23+K24+(K15-K16)</f>
        <v>280.18300000000011</v>
      </c>
      <c r="L29" s="295">
        <f>+L10-L23+L24+(L15-L16)</f>
        <v>271.03199999999998</v>
      </c>
      <c r="M29" s="644">
        <f>+SUM(I29:L29)</f>
        <v>1151.9440000000002</v>
      </c>
      <c r="N29" s="460"/>
      <c r="O29" s="295">
        <f>+O10-O23+O24+(O15-O16)</f>
        <v>265.73199999999997</v>
      </c>
      <c r="P29" s="295">
        <f>+P10-P23+P24+(P15-P16)</f>
        <v>285.66799999999984</v>
      </c>
      <c r="Q29" s="295">
        <f>+Q10-Q23+Q24+(Q15-Q16)</f>
        <v>271.72999999999996</v>
      </c>
      <c r="R29" s="295">
        <f>+R10-R23+R24+(R15-R16)</f>
        <v>283.23299999999972</v>
      </c>
      <c r="S29" s="644">
        <f>+SUM(O29:R29)</f>
        <v>1106.3629999999996</v>
      </c>
      <c r="T29" s="460"/>
      <c r="U29" s="295">
        <f>+U10-U23+U24+(U15-U16)</f>
        <v>282.03800000000007</v>
      </c>
      <c r="V29" s="295">
        <f>+V10-V23+V24+(V15-V16)</f>
        <v>287.59500000000003</v>
      </c>
      <c r="W29" s="295">
        <f>+W10-W23+W24+(W15-W16)</f>
        <v>272.81400000000008</v>
      </c>
      <c r="X29" s="295">
        <f>+X10-X23+X24+(X15-X16)</f>
        <v>287.71099999999996</v>
      </c>
      <c r="Y29" s="644">
        <f>+SUM(U29:X29)</f>
        <v>1130.1580000000001</v>
      </c>
      <c r="Z29" s="460"/>
      <c r="AA29" s="295">
        <f>+AA10-AA23+AA24+(AA15-AA16)</f>
        <v>301.58400000000006</v>
      </c>
      <c r="AB29" s="295">
        <f>+AB10-AB23+AB24+(AB15-AB16)</f>
        <v>316.351</v>
      </c>
      <c r="AC29" s="295">
        <f>+AC10-AC23+AC24+(AC15-AC16)</f>
        <v>315.02100000000002</v>
      </c>
      <c r="AD29" s="295">
        <f>+AD10-AD23+AD24+(AD15-AD16)</f>
        <v>382.7410000000001</v>
      </c>
      <c r="AE29" s="644">
        <f>+SUM(AA29:AD29)</f>
        <v>1315.6970000000001</v>
      </c>
      <c r="AF29" s="460"/>
      <c r="AG29" s="295">
        <f>+AG10-AG23+AG24+(AG15-AG16)</f>
        <v>396.084</v>
      </c>
      <c r="AH29" s="295">
        <f>+AH10-AH23+AH24+(AH15-AH16)</f>
        <v>411.90499999999997</v>
      </c>
      <c r="AI29" s="295">
        <f>+AI10-AI23+AI24+(AI15-AI16)</f>
        <v>368.35300000000001</v>
      </c>
      <c r="AJ29" s="295">
        <f>+AJ10-AJ23+AJ24+(AJ15-AJ16)</f>
        <v>396.28899999999999</v>
      </c>
      <c r="AK29" s="644">
        <f>+SUM(AG29:AJ29)</f>
        <v>1572.6310000000001</v>
      </c>
      <c r="AL29" s="460"/>
      <c r="AM29" s="295">
        <f>+AM10-AM23+AM24+(AM15-AM16)</f>
        <v>391.67399999999998</v>
      </c>
      <c r="AN29" s="295">
        <f>+AN10-AN23+AN24+(AN15-AN16)</f>
        <v>418.089</v>
      </c>
      <c r="AO29" s="295">
        <f>+AO10-AO23+AO24+(AO15-AO16)</f>
        <v>379.108</v>
      </c>
      <c r="AP29" s="295">
        <f>+AP10-AP23+AP24+(AP15-AP16)</f>
        <v>402.9319999999999</v>
      </c>
      <c r="AQ29" s="644">
        <f>+SUM(AM29:AP29)</f>
        <v>1591.8029999999999</v>
      </c>
      <c r="AR29" s="460"/>
      <c r="AS29" s="295">
        <f>+AS10-AS23+AS24+(AS15-AS16)</f>
        <v>398.44299999999998</v>
      </c>
      <c r="AT29" s="295">
        <f>+AT10-AT23+AT24+(AT15-AT16)</f>
        <v>427.43400000000003</v>
      </c>
      <c r="AU29" s="295">
        <f>+AU10-AU23+AU24+(AU15-AU16)</f>
        <v>393.53</v>
      </c>
      <c r="AV29" s="295">
        <f>+AV10-AV23+AV24+(AV15-AV16)</f>
        <v>396.303</v>
      </c>
      <c r="AW29" s="644">
        <f>+SUM(AS29:AV29)</f>
        <v>1615.71</v>
      </c>
      <c r="AX29" s="460"/>
      <c r="AY29" s="295">
        <f>+AY10-AY23+AY24+(AY15-AY16)</f>
        <v>377.95400000000001</v>
      </c>
      <c r="AZ29" s="295">
        <f>+AZ10-AZ23+AZ24+(AZ15-AZ16)</f>
        <v>406.16800000000001</v>
      </c>
      <c r="BA29" s="295">
        <f>+BA10-BA23+BA24+(BA15-BA16)</f>
        <v>378.4</v>
      </c>
      <c r="BB29" s="295">
        <f>+BB10-BB23+BB24+(BB15-BB16)</f>
        <v>380.1</v>
      </c>
      <c r="BC29" s="644">
        <f>+SUM(AY29:BB29)</f>
        <v>1542.6219999999998</v>
      </c>
      <c r="BD29" s="460"/>
      <c r="BE29" s="295"/>
      <c r="BF29" s="295"/>
      <c r="BG29" s="295"/>
      <c r="BH29" s="295"/>
      <c r="BI29" s="445"/>
      <c r="BJ29" s="460"/>
      <c r="BK29" s="295"/>
      <c r="BL29" s="295"/>
      <c r="BM29" s="295"/>
      <c r="BN29" s="295"/>
      <c r="BO29" s="445"/>
      <c r="BP29" s="460"/>
      <c r="BQ29" s="295"/>
      <c r="BR29" s="295"/>
      <c r="BS29" s="295"/>
      <c r="BT29" s="295"/>
      <c r="BU29" s="445"/>
      <c r="BV29" s="460"/>
      <c r="BW29" s="295"/>
      <c r="BX29" s="295"/>
      <c r="BY29" s="295"/>
      <c r="BZ29" s="295"/>
      <c r="CA29" s="445"/>
      <c r="CB29" s="460"/>
      <c r="CC29" s="295"/>
      <c r="CD29" s="295"/>
      <c r="CE29" s="295"/>
      <c r="CF29" s="295"/>
      <c r="CG29" s="445"/>
      <c r="CW29" s="460"/>
    </row>
    <row r="30" spans="1:132" ht="12.75" hidden="1" customHeight="1" outlineLevel="1" x14ac:dyDescent="0.2">
      <c r="A30" s="300"/>
      <c r="B30" s="766" t="s">
        <v>554</v>
      </c>
      <c r="C30" s="743">
        <v>52.877000000000002</v>
      </c>
      <c r="D30" s="743">
        <v>49.633000000000003</v>
      </c>
      <c r="E30" s="743">
        <v>53.585999999999999</v>
      </c>
      <c r="F30" s="743">
        <v>55.886000000000003</v>
      </c>
      <c r="G30" s="645">
        <f>SUM(C30:F30)</f>
        <v>211.982</v>
      </c>
      <c r="H30" s="178"/>
      <c r="I30" s="743">
        <v>60.59</v>
      </c>
      <c r="J30" s="743">
        <v>63.762</v>
      </c>
      <c r="K30" s="743">
        <v>62.055</v>
      </c>
      <c r="L30" s="743">
        <v>57.421999999999997</v>
      </c>
      <c r="M30" s="645">
        <f>SUM(I30:L30)</f>
        <v>243.82900000000001</v>
      </c>
      <c r="N30" s="178"/>
      <c r="O30" s="743">
        <v>56.048000000000002</v>
      </c>
      <c r="P30" s="743">
        <v>53.436999999999998</v>
      </c>
      <c r="Q30" s="743">
        <v>58.444000000000003</v>
      </c>
      <c r="R30" s="743">
        <v>59.851999999999997</v>
      </c>
      <c r="S30" s="645">
        <f>SUM(O30:R30)</f>
        <v>227.78100000000001</v>
      </c>
      <c r="T30" s="178"/>
      <c r="U30" s="743">
        <v>60.353999999999999</v>
      </c>
      <c r="V30" s="743">
        <v>54.994</v>
      </c>
      <c r="W30" s="743">
        <v>60.731999999999999</v>
      </c>
      <c r="X30" s="743">
        <v>63.323</v>
      </c>
      <c r="Y30" s="645">
        <f>SUM(U30:X30)</f>
        <v>239.40299999999999</v>
      </c>
      <c r="Z30" s="178"/>
      <c r="AA30" s="743">
        <v>70.581000000000003</v>
      </c>
      <c r="AB30" s="743">
        <v>68.540000000000006</v>
      </c>
      <c r="AC30" s="743">
        <v>74.637</v>
      </c>
      <c r="AD30" s="743">
        <v>73.646000000000001</v>
      </c>
      <c r="AE30" s="645">
        <f>SUM(AA30:AD30)</f>
        <v>287.404</v>
      </c>
      <c r="AF30" s="178"/>
      <c r="AG30" s="743">
        <v>72.667000000000002</v>
      </c>
      <c r="AH30" s="743">
        <v>72.433999999999997</v>
      </c>
      <c r="AI30" s="743">
        <v>76.912000000000006</v>
      </c>
      <c r="AJ30" s="743">
        <v>85.852999999999994</v>
      </c>
      <c r="AK30" s="645">
        <f>SUM(AG30:AJ30)</f>
        <v>307.86599999999999</v>
      </c>
      <c r="AL30" s="178"/>
      <c r="AM30" s="743">
        <v>84.5</v>
      </c>
      <c r="AN30" s="743">
        <v>79.8</v>
      </c>
      <c r="AO30" s="743">
        <v>82.6</v>
      </c>
      <c r="AP30" s="743">
        <v>88</v>
      </c>
      <c r="AQ30" s="645">
        <f>SUM(AM30:AP30)</f>
        <v>334.9</v>
      </c>
      <c r="AR30" s="178"/>
      <c r="AS30" s="743">
        <v>87.2</v>
      </c>
      <c r="AT30" s="743">
        <v>88.1</v>
      </c>
      <c r="AU30" s="743">
        <v>87.6</v>
      </c>
      <c r="AV30" s="743">
        <v>87.8</v>
      </c>
      <c r="AW30" s="645">
        <f>SUM(AS30:AV30)</f>
        <v>350.7</v>
      </c>
      <c r="AX30" s="178"/>
      <c r="AY30" s="743">
        <v>82.1</v>
      </c>
      <c r="AZ30" s="743">
        <v>84</v>
      </c>
      <c r="BA30" s="743">
        <v>90.2</v>
      </c>
      <c r="BB30" s="743">
        <v>96.4</v>
      </c>
      <c r="BC30" s="645">
        <f>SUM(AY30:BB30)</f>
        <v>352.70000000000005</v>
      </c>
      <c r="BD30" s="460"/>
      <c r="BE30" s="295"/>
      <c r="BF30" s="295"/>
      <c r="BG30" s="295"/>
      <c r="BH30" s="295"/>
      <c r="BI30" s="445"/>
      <c r="BJ30" s="460"/>
      <c r="BK30" s="295"/>
      <c r="BL30" s="295"/>
      <c r="BM30" s="295"/>
      <c r="BN30" s="295"/>
      <c r="BO30" s="445"/>
      <c r="BP30" s="460"/>
      <c r="BQ30" s="295"/>
      <c r="BR30" s="295"/>
      <c r="BS30" s="295"/>
      <c r="BT30" s="295"/>
      <c r="BU30" s="445"/>
      <c r="BV30" s="460"/>
      <c r="BW30" s="295"/>
      <c r="BX30" s="295"/>
      <c r="BY30" s="295"/>
      <c r="BZ30" s="295"/>
      <c r="CA30" s="445"/>
      <c r="CB30" s="460"/>
      <c r="CC30" s="295"/>
      <c r="CD30" s="295"/>
      <c r="CE30" s="295"/>
      <c r="CF30" s="295"/>
      <c r="CG30" s="445"/>
      <c r="CW30" s="460"/>
    </row>
    <row r="31" spans="1:132" ht="12.75" hidden="1" customHeight="1" outlineLevel="1" x14ac:dyDescent="0.2">
      <c r="A31" s="300"/>
      <c r="B31" s="766" t="s">
        <v>555</v>
      </c>
      <c r="C31" s="178">
        <f>(C30+C37)*C32</f>
        <v>13.301865060240964</v>
      </c>
      <c r="D31" s="178">
        <f>(D30+D37)*D32</f>
        <v>13.593893708165997</v>
      </c>
      <c r="E31" s="178">
        <f>(E30+E37)*E32</f>
        <v>13.445334939759034</v>
      </c>
      <c r="F31" s="178">
        <f>(F30+F37)*F32</f>
        <v>14.063849531459171</v>
      </c>
      <c r="G31" s="470">
        <f>SUM(C31:F31)</f>
        <v>54.404943239625162</v>
      </c>
      <c r="I31" s="178">
        <f>(I30+I37)*I32</f>
        <v>14.996403748326639</v>
      </c>
      <c r="J31" s="178">
        <f>(J30+J37)*J32</f>
        <v>16.224910575635878</v>
      </c>
      <c r="K31" s="178">
        <f>(K30+K37)*K32</f>
        <v>14.885551807228916</v>
      </c>
      <c r="L31" s="178">
        <f>(L30+L37)*L32</f>
        <v>14.162561713520748</v>
      </c>
      <c r="M31" s="470">
        <f>SUM(I31:L31)</f>
        <v>60.269427844712183</v>
      </c>
      <c r="O31" s="178">
        <f>(O30+O37)*O32</f>
        <v>14.349133868808567</v>
      </c>
      <c r="P31" s="178">
        <f>(P30+P37)*P32</f>
        <v>14.546496921017402</v>
      </c>
      <c r="Q31" s="178">
        <f>(Q30+Q37)*Q32</f>
        <v>14.471021954484605</v>
      </c>
      <c r="R31" s="178">
        <f>(R30+R37)*R32</f>
        <v>14.635092637215532</v>
      </c>
      <c r="S31" s="470">
        <f>SUM(O31:R31)</f>
        <v>58.001745381526106</v>
      </c>
      <c r="U31" s="178">
        <f>(U30+U37)*U32</f>
        <v>15.229143775100399</v>
      </c>
      <c r="V31" s="178">
        <f>(V30+V37)*V32</f>
        <v>14.554038286479249</v>
      </c>
      <c r="W31" s="178">
        <f>(W30+W37)*W32</f>
        <v>14.885858366800534</v>
      </c>
      <c r="X31" s="178">
        <f>(X30+X37)*X32</f>
        <v>15.312650602409633</v>
      </c>
      <c r="Y31" s="470">
        <f>SUM(U31:X31)</f>
        <v>59.981691030789818</v>
      </c>
      <c r="AA31" s="178">
        <f>(AA30+AA37)*AA32</f>
        <v>16.63686532797858</v>
      </c>
      <c r="AB31" s="178">
        <f>(AB30+AB37)*AB32</f>
        <v>17.138151539491297</v>
      </c>
      <c r="AC31" s="178">
        <f>(AC30+AC37)*AC32</f>
        <v>18.769416331994645</v>
      </c>
      <c r="AD31" s="178">
        <f>(AD30+AD37)*AD32</f>
        <v>22.516739223560911</v>
      </c>
      <c r="AE31" s="470">
        <f>SUM(AA31:AD31)</f>
        <v>75.061172423025425</v>
      </c>
      <c r="AG31" s="178">
        <f>(AG30+AG37)*AG32</f>
        <v>23.115817938420346</v>
      </c>
      <c r="AH31" s="178">
        <f>(AH30+AH37)*AH32</f>
        <v>22.591478447121816</v>
      </c>
      <c r="AI31" s="178">
        <f>(AI30+AI37)*AI32</f>
        <v>20.678301472556893</v>
      </c>
      <c r="AJ31" s="178">
        <f>(AJ30+AJ37)*AJ32</f>
        <v>22.921152610441766</v>
      </c>
      <c r="AK31" s="470">
        <f>SUM(AG31:AJ31)</f>
        <v>89.306750468540827</v>
      </c>
      <c r="AM31" s="178">
        <f>(AM30+AM37)*AM32</f>
        <v>23.186755823293172</v>
      </c>
      <c r="AN31" s="178">
        <f>(AN30+AN37)*AN32</f>
        <v>22.668302275769744</v>
      </c>
      <c r="AO31" s="178">
        <f>(AO30+AO37)*AO32</f>
        <v>21.567385542168672</v>
      </c>
      <c r="AP31" s="178">
        <f>(AP30+AP37)*AP32</f>
        <v>23.306314056224902</v>
      </c>
      <c r="AQ31" s="470">
        <f>SUM(AM31:AP31)</f>
        <v>90.728757697456487</v>
      </c>
      <c r="AS31" s="178">
        <f>(AS30+AS37)*AS32</f>
        <v>22.994542971887547</v>
      </c>
      <c r="AT31" s="178">
        <f>(AT30+AT37)*AT32</f>
        <v>23.557325033467201</v>
      </c>
      <c r="AU31" s="178">
        <f>(AU30+AU37)*AU32</f>
        <v>22.293012048192772</v>
      </c>
      <c r="AV31" s="178">
        <f>(AV30+AV37)*AV32</f>
        <v>22.743225435073629</v>
      </c>
      <c r="AW31" s="470">
        <f>SUM(AS31:AV31)</f>
        <v>91.588105488621139</v>
      </c>
      <c r="AY31" s="178">
        <f>(AY30+AY37)*AY32</f>
        <v>20.111541376716193</v>
      </c>
      <c r="AZ31" s="178">
        <f>(AZ30+AZ37)*AZ32</f>
        <v>20.490902106451006</v>
      </c>
      <c r="BA31" s="178">
        <f>(BA30+BA37)*BA32</f>
        <v>20.235236035358284</v>
      </c>
      <c r="BB31" s="178">
        <f>(BB30+BB37)*BB32</f>
        <v>20.788237351890164</v>
      </c>
      <c r="BC31" s="470">
        <f>SUM(AY31:BB31)</f>
        <v>81.625916870415651</v>
      </c>
      <c r="BD31" s="460"/>
      <c r="BE31" s="295"/>
      <c r="BF31" s="295"/>
      <c r="BG31" s="295"/>
      <c r="BH31" s="295"/>
      <c r="BI31" s="445"/>
      <c r="BJ31" s="460"/>
      <c r="BK31" s="295"/>
      <c r="BL31" s="295"/>
      <c r="BM31" s="295"/>
      <c r="BN31" s="295"/>
      <c r="BO31" s="445"/>
      <c r="BP31" s="460"/>
      <c r="BQ31" s="295"/>
      <c r="BR31" s="295"/>
      <c r="BS31" s="295"/>
      <c r="BT31" s="295"/>
      <c r="BU31" s="445"/>
      <c r="BV31" s="460"/>
      <c r="BW31" s="295"/>
      <c r="BX31" s="295"/>
      <c r="BY31" s="295"/>
      <c r="BZ31" s="295"/>
      <c r="CA31" s="445"/>
      <c r="CB31" s="460"/>
      <c r="CC31" s="295"/>
      <c r="CD31" s="295"/>
      <c r="CE31" s="295"/>
      <c r="CF31" s="295"/>
      <c r="CG31" s="445"/>
      <c r="CW31" s="460"/>
    </row>
    <row r="32" spans="1:132" s="965" customFormat="1" hidden="1" outlineLevel="1" x14ac:dyDescent="0.2">
      <c r="B32" s="1231" t="s">
        <v>557</v>
      </c>
      <c r="C32" s="1003">
        <f>D32</f>
        <v>6.1311914323962512E-2</v>
      </c>
      <c r="D32" s="1003">
        <f>E32</f>
        <v>6.1311914323962512E-2</v>
      </c>
      <c r="E32" s="1003">
        <f>F32</f>
        <v>6.1311914323962512E-2</v>
      </c>
      <c r="F32" s="1000">
        <f>G32</f>
        <v>6.1311914323962512E-2</v>
      </c>
      <c r="G32" s="1001">
        <f>M32</f>
        <v>6.1311914323962512E-2</v>
      </c>
      <c r="H32" s="1230"/>
      <c r="I32" s="1003">
        <f>J32</f>
        <v>6.1311914323962512E-2</v>
      </c>
      <c r="J32" s="1003">
        <f>K32</f>
        <v>6.1311914323962512E-2</v>
      </c>
      <c r="K32" s="1003">
        <f>L32</f>
        <v>6.1311914323962512E-2</v>
      </c>
      <c r="L32" s="1003">
        <f>M32</f>
        <v>6.1311914323962512E-2</v>
      </c>
      <c r="M32" s="1001">
        <f>S32</f>
        <v>6.1311914323962512E-2</v>
      </c>
      <c r="N32" s="1230"/>
      <c r="O32" s="1003">
        <f>P32</f>
        <v>6.1311914323962512E-2</v>
      </c>
      <c r="P32" s="1003">
        <f>Q32</f>
        <v>6.1311914323962512E-2</v>
      </c>
      <c r="Q32" s="1003">
        <f>R32</f>
        <v>6.1311914323962512E-2</v>
      </c>
      <c r="R32" s="1000">
        <f>S32</f>
        <v>6.1311914323962512E-2</v>
      </c>
      <c r="S32" s="1001">
        <f>Y32</f>
        <v>6.1311914323962512E-2</v>
      </c>
      <c r="T32" s="1230"/>
      <c r="U32" s="1003">
        <f>V32</f>
        <v>6.1311914323962512E-2</v>
      </c>
      <c r="V32" s="1003">
        <f>W32</f>
        <v>6.1311914323962512E-2</v>
      </c>
      <c r="W32" s="1003">
        <f>X32</f>
        <v>6.1311914323962512E-2</v>
      </c>
      <c r="X32" s="1000">
        <f>Y32</f>
        <v>6.1311914323962512E-2</v>
      </c>
      <c r="Y32" s="1001">
        <f>AE32</f>
        <v>6.1311914323962512E-2</v>
      </c>
      <c r="Z32" s="1230"/>
      <c r="AA32" s="1003">
        <f>AB32</f>
        <v>6.1311914323962512E-2</v>
      </c>
      <c r="AB32" s="1003">
        <f>AC32</f>
        <v>6.1311914323962512E-2</v>
      </c>
      <c r="AC32" s="1003">
        <f>AD32</f>
        <v>6.1311914323962512E-2</v>
      </c>
      <c r="AD32" s="1000">
        <f>AE32</f>
        <v>6.1311914323962512E-2</v>
      </c>
      <c r="AE32" s="1001">
        <f>AK32</f>
        <v>6.1311914323962512E-2</v>
      </c>
      <c r="AF32" s="1230"/>
      <c r="AG32" s="1003">
        <f>AH32</f>
        <v>6.1311914323962512E-2</v>
      </c>
      <c r="AH32" s="1003">
        <f>AI32</f>
        <v>6.1311914323962512E-2</v>
      </c>
      <c r="AI32" s="1003">
        <f>AJ32</f>
        <v>6.1311914323962512E-2</v>
      </c>
      <c r="AJ32" s="1003">
        <f>AK32</f>
        <v>6.1311914323962512E-2</v>
      </c>
      <c r="AK32" s="1001">
        <f>AQ32</f>
        <v>6.1311914323962512E-2</v>
      </c>
      <c r="AL32" s="1230"/>
      <c r="AM32" s="1003">
        <f>AN32</f>
        <v>6.1311914323962512E-2</v>
      </c>
      <c r="AN32" s="1003">
        <f>AO32</f>
        <v>6.1311914323962512E-2</v>
      </c>
      <c r="AO32" s="1003">
        <f>AP32</f>
        <v>6.1311914323962512E-2</v>
      </c>
      <c r="AP32" s="1003">
        <f>AQ32</f>
        <v>6.1311914323962512E-2</v>
      </c>
      <c r="AQ32" s="1001">
        <f>AW32</f>
        <v>6.1311914323962512E-2</v>
      </c>
      <c r="AR32" s="1230"/>
      <c r="AS32" s="1003">
        <f>AT32</f>
        <v>6.1311914323962512E-2</v>
      </c>
      <c r="AT32" s="1003">
        <f>AU32</f>
        <v>6.1311914323962512E-2</v>
      </c>
      <c r="AU32" s="1003">
        <f>AV32</f>
        <v>6.1311914323962512E-2</v>
      </c>
      <c r="AV32" s="1003">
        <f>AW32</f>
        <v>6.1311914323962512E-2</v>
      </c>
      <c r="AW32" s="1001">
        <v>6.1311914323962512E-2</v>
      </c>
      <c r="AX32" s="1230"/>
      <c r="AY32" s="1003">
        <f>AZ32</f>
        <v>5.7081060748542412E-2</v>
      </c>
      <c r="AZ32" s="1003">
        <f>BA32</f>
        <v>5.7081060748542412E-2</v>
      </c>
      <c r="BA32" s="1003">
        <v>5.7081060748542412E-2</v>
      </c>
      <c r="BB32" s="1003">
        <f>BA32</f>
        <v>5.7081060748542412E-2</v>
      </c>
      <c r="BC32" s="1001">
        <f>BC31/(BC37+BC30)</f>
        <v>5.7081060748542412E-2</v>
      </c>
      <c r="BD32" s="19"/>
      <c r="BE32" s="1212"/>
      <c r="BF32" s="973"/>
      <c r="BG32" s="19"/>
      <c r="BH32" s="19"/>
      <c r="BI32" s="765"/>
      <c r="BJ32" s="19"/>
      <c r="BK32" s="19"/>
      <c r="BL32" s="19"/>
      <c r="BM32" s="19"/>
      <c r="BN32" s="19"/>
      <c r="BO32" s="765"/>
      <c r="BQ32" s="970"/>
      <c r="BR32" s="970"/>
      <c r="BS32" s="970"/>
      <c r="BT32" s="970"/>
      <c r="BU32" s="765"/>
      <c r="BW32" s="970"/>
      <c r="BX32" s="970"/>
      <c r="BY32" s="970"/>
      <c r="BZ32" s="970"/>
      <c r="CA32" s="765"/>
      <c r="CC32" s="970"/>
      <c r="CD32" s="970"/>
      <c r="CE32" s="970"/>
      <c r="CF32" s="970"/>
      <c r="CG32" s="765"/>
      <c r="CN32" s="964"/>
      <c r="CO32" s="964"/>
      <c r="CP32" s="964"/>
      <c r="CQ32" s="964"/>
      <c r="CR32" s="964"/>
      <c r="CS32" s="964"/>
    </row>
    <row r="33" spans="1:132" ht="12.75" hidden="1" customHeight="1" outlineLevel="1" x14ac:dyDescent="0.2">
      <c r="A33" s="300"/>
      <c r="B33" s="766" t="s">
        <v>579</v>
      </c>
      <c r="C33" s="178">
        <f>C34*C42</f>
        <v>5.8030866873065028</v>
      </c>
      <c r="D33" s="178">
        <f>D34*D42</f>
        <v>5.6861006191950469</v>
      </c>
      <c r="E33" s="178">
        <f>E34*E42</f>
        <v>6.162229102167184</v>
      </c>
      <c r="F33" s="178">
        <f>F34*F42</f>
        <v>6.5993622291021685</v>
      </c>
      <c r="G33" s="470">
        <f>SUM(C33:F33)</f>
        <v>24.250778637770903</v>
      </c>
      <c r="I33" s="178">
        <f>I34*I42</f>
        <v>5.7612027863777096</v>
      </c>
      <c r="J33" s="178">
        <f>J34*J42</f>
        <v>5.6947662538699699</v>
      </c>
      <c r="K33" s="178">
        <f>K34*K42</f>
        <v>5.411207430340558</v>
      </c>
      <c r="L33" s="178">
        <f>L34*L42</f>
        <v>5.3235882352941184</v>
      </c>
      <c r="M33" s="470">
        <f>SUM(I33:L33)</f>
        <v>22.190764705882355</v>
      </c>
      <c r="O33" s="178">
        <f>O34*O42</f>
        <v>4.8349427244582044</v>
      </c>
      <c r="P33" s="178">
        <f>P34*P42</f>
        <v>4.7646547987616108</v>
      </c>
      <c r="Q33" s="178">
        <f>Q34*Q42</f>
        <v>4.6375588235294121</v>
      </c>
      <c r="R33" s="178">
        <f>R34*R42</f>
        <v>5.5195278637770908</v>
      </c>
      <c r="S33" s="470">
        <f>SUM(O33:R33)</f>
        <v>19.756684210526316</v>
      </c>
      <c r="U33" s="178">
        <f>U34*U42</f>
        <v>5.6278482972136228</v>
      </c>
      <c r="V33" s="178">
        <f>V34*V42</f>
        <v>5.607628482972137</v>
      </c>
      <c r="W33" s="178">
        <f>W34*W42</f>
        <v>5.5662260061919513</v>
      </c>
      <c r="X33" s="178">
        <f>X34*X42</f>
        <v>6.5040402476780192</v>
      </c>
      <c r="Y33" s="470">
        <f>SUM(U33:X33)</f>
        <v>23.30574303405573</v>
      </c>
      <c r="AA33" s="178">
        <f>AA34*AA42</f>
        <v>6.8097445820433444</v>
      </c>
      <c r="AB33" s="178">
        <f>AB34*AB42</f>
        <v>6.9276934984520135</v>
      </c>
      <c r="AC33" s="178">
        <f>AC34*AC42</f>
        <v>6.4920046439628489</v>
      </c>
      <c r="AD33" s="178">
        <f>AD34*AD42</f>
        <v>6.3962012383900939</v>
      </c>
      <c r="AE33" s="470">
        <f>SUM(AA33:AD33)</f>
        <v>26.625643962848304</v>
      </c>
      <c r="AG33" s="178">
        <f>AG34*AG42</f>
        <v>6.5656625386996916</v>
      </c>
      <c r="AH33" s="178">
        <f>AH34*AH42</f>
        <v>6.302804953560373</v>
      </c>
      <c r="AI33" s="178">
        <f>AI34*AI42</f>
        <v>6.0688328173374622</v>
      </c>
      <c r="AJ33" s="178">
        <f>AJ34*AJ42</f>
        <v>6.7856733746130047</v>
      </c>
      <c r="AK33" s="470">
        <f>SUM(AG33:AJ33)</f>
        <v>25.72297368421053</v>
      </c>
      <c r="AM33" s="178">
        <f>AM34*AM42</f>
        <v>7.2695046439628488</v>
      </c>
      <c r="AN33" s="178">
        <f>AN34*AN42</f>
        <v>7.5583591331269355</v>
      </c>
      <c r="AO33" s="178">
        <f>AO34*AO42</f>
        <v>7.3657894736842122</v>
      </c>
      <c r="AP33" s="178">
        <f>AP34*AP42</f>
        <v>7.2695046439628488</v>
      </c>
      <c r="AQ33" s="470">
        <f>SUM(AM33:AP33)</f>
        <v>29.463157894736845</v>
      </c>
      <c r="AS33" s="178">
        <f>AS34*AS42</f>
        <v>7.8953560371517035</v>
      </c>
      <c r="AT33" s="178">
        <f>AT34*AT42</f>
        <v>7.991640866873067</v>
      </c>
      <c r="AU33" s="178">
        <f>AU34*AU42</f>
        <v>7.9434984520123848</v>
      </c>
      <c r="AV33" s="178">
        <f>AV34*AV42</f>
        <v>7.1250773993808059</v>
      </c>
      <c r="AW33" s="470">
        <f>SUM(AS33:AV33)</f>
        <v>30.955572755417961</v>
      </c>
      <c r="AY33" s="178">
        <f>AY34*AY42</f>
        <v>5.8291169451073976</v>
      </c>
      <c r="AZ33" s="178">
        <f>AZ34*AZ42</f>
        <v>5.2954653937947489</v>
      </c>
      <c r="BA33" s="178">
        <f>BA34*BA42</f>
        <v>5.2954653937947489</v>
      </c>
      <c r="BB33" s="178">
        <f>BB34*BB42</f>
        <v>5.4596658711217181</v>
      </c>
      <c r="BC33" s="470">
        <f>SUM(AY33:BB33)</f>
        <v>21.879713603818615</v>
      </c>
      <c r="BD33" s="460"/>
      <c r="BE33" s="295"/>
      <c r="BF33" s="295"/>
      <c r="BG33" s="295"/>
      <c r="BH33" s="295"/>
      <c r="BI33" s="445"/>
      <c r="BJ33" s="460"/>
      <c r="BK33" s="295"/>
      <c r="BL33" s="295"/>
      <c r="BM33" s="295"/>
      <c r="BN33" s="295"/>
      <c r="BO33" s="445"/>
      <c r="BP33" s="460"/>
      <c r="BQ33" s="295"/>
      <c r="BR33" s="295"/>
      <c r="BS33" s="295"/>
      <c r="BT33" s="295"/>
      <c r="BU33" s="445"/>
      <c r="BV33" s="460"/>
      <c r="BW33" s="295"/>
      <c r="BX33" s="295"/>
      <c r="BY33" s="295"/>
      <c r="BZ33" s="295"/>
      <c r="CA33" s="445"/>
      <c r="CB33" s="460"/>
      <c r="CC33" s="295"/>
      <c r="CD33" s="295"/>
      <c r="CE33" s="295"/>
      <c r="CF33" s="295"/>
      <c r="CG33" s="445"/>
      <c r="CW33" s="460"/>
    </row>
    <row r="34" spans="1:132" s="965" customFormat="1" hidden="1" outlineLevel="1" x14ac:dyDescent="0.2">
      <c r="B34" s="1231" t="s">
        <v>520</v>
      </c>
      <c r="C34" s="1003">
        <f>D34</f>
        <v>0.48142414860681121</v>
      </c>
      <c r="D34" s="1003">
        <f>E34</f>
        <v>0.48142414860681121</v>
      </c>
      <c r="E34" s="1003">
        <f>F34</f>
        <v>0.48142414860681121</v>
      </c>
      <c r="F34" s="1000">
        <f>G34</f>
        <v>0.48142414860681121</v>
      </c>
      <c r="G34" s="1001">
        <f>M34</f>
        <v>0.48142414860681121</v>
      </c>
      <c r="H34" s="1230"/>
      <c r="I34" s="1003">
        <f>J34</f>
        <v>0.48142414860681121</v>
      </c>
      <c r="J34" s="1003">
        <f>K34</f>
        <v>0.48142414860681121</v>
      </c>
      <c r="K34" s="1003">
        <f>L34</f>
        <v>0.48142414860681121</v>
      </c>
      <c r="L34" s="1003">
        <f>M34</f>
        <v>0.48142414860681121</v>
      </c>
      <c r="M34" s="1001">
        <f>S34</f>
        <v>0.48142414860681121</v>
      </c>
      <c r="N34" s="1230"/>
      <c r="O34" s="1003">
        <f>P34</f>
        <v>0.48142414860681121</v>
      </c>
      <c r="P34" s="1003">
        <f>Q34</f>
        <v>0.48142414860681121</v>
      </c>
      <c r="Q34" s="1003">
        <f>R34</f>
        <v>0.48142414860681121</v>
      </c>
      <c r="R34" s="1000">
        <f>S34</f>
        <v>0.48142414860681121</v>
      </c>
      <c r="S34" s="1001">
        <f>Y34</f>
        <v>0.48142414860681121</v>
      </c>
      <c r="T34" s="1230"/>
      <c r="U34" s="1003">
        <f>V34</f>
        <v>0.48142414860681121</v>
      </c>
      <c r="V34" s="1003">
        <f>W34</f>
        <v>0.48142414860681121</v>
      </c>
      <c r="W34" s="1003">
        <f>X34</f>
        <v>0.48142414860681121</v>
      </c>
      <c r="X34" s="1000">
        <f>Y34</f>
        <v>0.48142414860681121</v>
      </c>
      <c r="Y34" s="1001">
        <f>AE34</f>
        <v>0.48142414860681121</v>
      </c>
      <c r="Z34" s="1230"/>
      <c r="AA34" s="1003">
        <f>AB34</f>
        <v>0.48142414860681121</v>
      </c>
      <c r="AB34" s="1003">
        <f>AC34</f>
        <v>0.48142414860681121</v>
      </c>
      <c r="AC34" s="1003">
        <f>AD34</f>
        <v>0.48142414860681121</v>
      </c>
      <c r="AD34" s="1000">
        <f>AE34</f>
        <v>0.48142414860681121</v>
      </c>
      <c r="AE34" s="1001">
        <f>AK34</f>
        <v>0.48142414860681121</v>
      </c>
      <c r="AF34" s="1230"/>
      <c r="AG34" s="1003">
        <f>AH34</f>
        <v>0.48142414860681121</v>
      </c>
      <c r="AH34" s="1003">
        <f>AI34</f>
        <v>0.48142414860681121</v>
      </c>
      <c r="AI34" s="1003">
        <f>AJ34</f>
        <v>0.48142414860681121</v>
      </c>
      <c r="AJ34" s="1003">
        <f>AK34</f>
        <v>0.48142414860681121</v>
      </c>
      <c r="AK34" s="1001">
        <f>AQ34</f>
        <v>0.48142414860681121</v>
      </c>
      <c r="AL34" s="1230"/>
      <c r="AM34" s="1003">
        <f>AN34</f>
        <v>0.48142414860681121</v>
      </c>
      <c r="AN34" s="1003">
        <f>AO34</f>
        <v>0.48142414860681121</v>
      </c>
      <c r="AO34" s="1003">
        <f>AP34</f>
        <v>0.48142414860681121</v>
      </c>
      <c r="AP34" s="1003">
        <f>AQ34</f>
        <v>0.48142414860681121</v>
      </c>
      <c r="AQ34" s="1001">
        <f>AW34</f>
        <v>0.48142414860681121</v>
      </c>
      <c r="AR34" s="1230"/>
      <c r="AS34" s="1003">
        <f>AT34</f>
        <v>0.48142414860681121</v>
      </c>
      <c r="AT34" s="1003">
        <f>AU34</f>
        <v>0.48142414860681121</v>
      </c>
      <c r="AU34" s="1003">
        <f>AV34</f>
        <v>0.48142414860681121</v>
      </c>
      <c r="AV34" s="1003">
        <f>AW34</f>
        <v>0.48142414860681121</v>
      </c>
      <c r="AW34" s="1001">
        <v>0.48142414860681121</v>
      </c>
      <c r="AX34" s="1230"/>
      <c r="AY34" s="1003">
        <f>AZ34</f>
        <v>0.41050119331742241</v>
      </c>
      <c r="AZ34" s="1003">
        <f>BA34</f>
        <v>0.41050119331742241</v>
      </c>
      <c r="BA34" s="1003">
        <v>0.41050119331742241</v>
      </c>
      <c r="BB34" s="1003">
        <f>BA34</f>
        <v>0.41050119331742241</v>
      </c>
      <c r="BC34" s="1001">
        <f>BC33/BC42</f>
        <v>0.41050119331742246</v>
      </c>
      <c r="BD34" s="19"/>
      <c r="BE34" s="1212"/>
      <c r="BF34" s="973"/>
      <c r="BG34" s="19"/>
      <c r="BH34" s="19"/>
      <c r="BI34" s="765"/>
      <c r="BJ34" s="19"/>
      <c r="BK34" s="19"/>
      <c r="BL34" s="19"/>
      <c r="BM34" s="19"/>
      <c r="BN34" s="19"/>
      <c r="BO34" s="765"/>
      <c r="BQ34" s="970"/>
      <c r="BR34" s="970"/>
      <c r="BS34" s="970"/>
      <c r="BT34" s="970"/>
      <c r="BU34" s="765"/>
      <c r="BW34" s="970"/>
      <c r="BX34" s="970"/>
      <c r="BY34" s="970"/>
      <c r="BZ34" s="970"/>
      <c r="CA34" s="765"/>
      <c r="CC34" s="970"/>
      <c r="CD34" s="970"/>
      <c r="CE34" s="970"/>
      <c r="CF34" s="970"/>
      <c r="CG34" s="765"/>
      <c r="CN34" s="964"/>
      <c r="CO34" s="964"/>
      <c r="CP34" s="964"/>
      <c r="CQ34" s="964"/>
      <c r="CR34" s="964"/>
      <c r="CS34" s="964"/>
    </row>
    <row r="35" spans="1:132" ht="12.75" hidden="1" customHeight="1" outlineLevel="1" x14ac:dyDescent="0.2">
      <c r="A35" s="300"/>
      <c r="B35" s="176" t="s">
        <v>530</v>
      </c>
      <c r="C35" s="1098">
        <f>+C31*C36</f>
        <v>11.822188155623959</v>
      </c>
      <c r="D35" s="1098">
        <f>+D31*D36</f>
        <v>12.081732032138044</v>
      </c>
      <c r="E35" s="1098">
        <f>+E31*E36</f>
        <v>11.949698689120275</v>
      </c>
      <c r="F35" s="1099">
        <f>+F31*F36</f>
        <v>12.499410766859958</v>
      </c>
      <c r="G35" s="1010">
        <f>+G31*G36</f>
        <v>48.353029643742232</v>
      </c>
      <c r="H35" s="78"/>
      <c r="I35" s="1098">
        <f>+I31*I36</f>
        <v>13.328229234586018</v>
      </c>
      <c r="J35" s="1098">
        <f>+J31*J36</f>
        <v>14.420079046408976</v>
      </c>
      <c r="K35" s="1098">
        <f>+K31*K36</f>
        <v>13.229708275371772</v>
      </c>
      <c r="L35" s="1099">
        <f>+L31*L36</f>
        <v>12.587142373239899</v>
      </c>
      <c r="M35" s="1010">
        <f>+M31*M36</f>
        <v>53.565158929606667</v>
      </c>
      <c r="N35" s="78"/>
      <c r="O35" s="1098">
        <f>+O31*O36</f>
        <v>12.752960558466095</v>
      </c>
      <c r="P35" s="1098">
        <f>+P31*P36</f>
        <v>12.928369279545002</v>
      </c>
      <c r="Q35" s="1098">
        <f>+Q31*Q36</f>
        <v>12.861290020256984</v>
      </c>
      <c r="R35" s="1099">
        <f>+R31*R36</f>
        <v>13.007109758563033</v>
      </c>
      <c r="S35" s="1010">
        <f>+S31*S36</f>
        <v>51.549729616831115</v>
      </c>
      <c r="T35" s="78"/>
      <c r="U35" s="1098">
        <f>+U31*U36</f>
        <v>13.535079655591154</v>
      </c>
      <c r="V35" s="1098">
        <f>+V31*V36</f>
        <v>12.935071756305707</v>
      </c>
      <c r="W35" s="1098">
        <f>+W31*W36</f>
        <v>13.229980733776676</v>
      </c>
      <c r="X35" s="1099">
        <f>+X31*X36</f>
        <v>13.609297325087727</v>
      </c>
      <c r="Y35" s="1010">
        <f>+Y31*Y36</f>
        <v>53.309429470761266</v>
      </c>
      <c r="Z35" s="78"/>
      <c r="AA35" s="1098">
        <f>+AA31*AA36</f>
        <v>14.786208650922545</v>
      </c>
      <c r="AB35" s="1098">
        <f>+AB31*AB36</f>
        <v>15.231732634625917</v>
      </c>
      <c r="AC35" s="1098">
        <f>+AC31*AC36</f>
        <v>16.681538298815244</v>
      </c>
      <c r="AD35" s="1099">
        <f>+AD31*AD36</f>
        <v>20.012015348713291</v>
      </c>
      <c r="AE35" s="1010">
        <f>+AE31*AE36</f>
        <v>66.711494933076992</v>
      </c>
      <c r="AF35" s="78"/>
      <c r="AG35" s="1098">
        <f>+AG31*AG36</f>
        <v>20.544453563581886</v>
      </c>
      <c r="AH35" s="1098">
        <f>+AH31*AH36</f>
        <v>20.078440707829529</v>
      </c>
      <c r="AI35" s="1098">
        <f>+AI31*AI36</f>
        <v>18.378082294488042</v>
      </c>
      <c r="AJ35" s="1099">
        <f>+AJ31*AJ36</f>
        <v>20.371442476466157</v>
      </c>
      <c r="AK35" s="1010">
        <f>+AK31*AK36</f>
        <v>79.372419042365621</v>
      </c>
      <c r="AL35" s="78"/>
      <c r="AM35" s="1098">
        <f>+AM31*AM36</f>
        <v>20.607500438477288</v>
      </c>
      <c r="AN35" s="1098">
        <f>+AN31*AN36</f>
        <v>20.146718784099143</v>
      </c>
      <c r="AO35" s="1098">
        <f>+AO31*AO36</f>
        <v>19.168266160398339</v>
      </c>
      <c r="AP35" s="1099">
        <f>+AP31*AP36</f>
        <v>20.713759216390891</v>
      </c>
      <c r="AQ35" s="1010">
        <f>+AQ31*AQ36</f>
        <v>80.636244599365654</v>
      </c>
      <c r="AR35" s="78"/>
      <c r="AS35" s="1098">
        <f>+AS31*AS36</f>
        <v>20.43666901860081</v>
      </c>
      <c r="AT35" s="1098">
        <f>+AT31*AT36</f>
        <v>20.936848158328463</v>
      </c>
      <c r="AU35" s="1098">
        <f>+AU31*AU36</f>
        <v>19.81317520481241</v>
      </c>
      <c r="AV35" s="1098">
        <f>+AV31*AV36</f>
        <v>20.213307618258334</v>
      </c>
      <c r="AW35" s="1010">
        <v>81.400000000000006</v>
      </c>
      <c r="AX35" s="78"/>
      <c r="AY35" s="1098">
        <f>+AY31*AY36</f>
        <v>20.055878461538462</v>
      </c>
      <c r="AZ35" s="1098">
        <f>+AZ31*AZ36</f>
        <v>20.434189230769231</v>
      </c>
      <c r="BA35" s="1098">
        <f>+BA31*BA36</f>
        <v>20.17923076923077</v>
      </c>
      <c r="BB35" s="1098">
        <f>+BB31*BB36</f>
        <v>20.730701538461538</v>
      </c>
      <c r="BC35" s="1010">
        <v>81.400000000000006</v>
      </c>
      <c r="BD35" s="460"/>
      <c r="BE35" s="295"/>
      <c r="BF35" s="295"/>
      <c r="BG35" s="295"/>
      <c r="BH35" s="295"/>
      <c r="BI35" s="445"/>
      <c r="BJ35" s="460"/>
      <c r="BK35" s="295"/>
      <c r="BL35" s="295"/>
      <c r="BM35" s="295"/>
      <c r="BN35" s="295"/>
      <c r="BO35" s="445"/>
      <c r="BP35" s="460"/>
      <c r="BQ35" s="295"/>
      <c r="BR35" s="295"/>
      <c r="BS35" s="295"/>
      <c r="BT35" s="295"/>
      <c r="BU35" s="445"/>
      <c r="BV35" s="460"/>
      <c r="BW35" s="295"/>
      <c r="BX35" s="295"/>
      <c r="BY35" s="295"/>
      <c r="BZ35" s="295"/>
      <c r="CA35" s="445"/>
      <c r="CB35" s="460"/>
      <c r="CC35" s="295"/>
      <c r="CD35" s="295"/>
      <c r="CE35" s="295"/>
      <c r="CF35" s="295"/>
      <c r="CG35" s="445"/>
      <c r="CW35" s="460"/>
    </row>
    <row r="36" spans="1:132" s="965" customFormat="1" hidden="1" outlineLevel="1" x14ac:dyDescent="0.2">
      <c r="B36" s="1231" t="s">
        <v>545</v>
      </c>
      <c r="C36" s="1003">
        <f>+I36</f>
        <v>0.88876169635491697</v>
      </c>
      <c r="D36" s="1003">
        <f>+J36</f>
        <v>0.88876169635491697</v>
      </c>
      <c r="E36" s="1003">
        <f>+K36</f>
        <v>0.88876169635491697</v>
      </c>
      <c r="F36" s="1000">
        <f>+L36</f>
        <v>0.88876169635491697</v>
      </c>
      <c r="G36" s="1001">
        <f>+M36</f>
        <v>0.88876169635491697</v>
      </c>
      <c r="H36" s="1230"/>
      <c r="I36" s="1003">
        <f>+O36</f>
        <v>0.88876169635491697</v>
      </c>
      <c r="J36" s="1003">
        <f>+P36</f>
        <v>0.88876169635491697</v>
      </c>
      <c r="K36" s="1003">
        <f>+Q36</f>
        <v>0.88876169635491697</v>
      </c>
      <c r="L36" s="1003">
        <f>+R36</f>
        <v>0.88876169635491697</v>
      </c>
      <c r="M36" s="1001">
        <f>+S36</f>
        <v>0.88876169635491697</v>
      </c>
      <c r="N36" s="1230"/>
      <c r="O36" s="1003">
        <f>+U36</f>
        <v>0.88876169635491697</v>
      </c>
      <c r="P36" s="1003">
        <f>+V36</f>
        <v>0.88876169635491697</v>
      </c>
      <c r="Q36" s="1003">
        <f>+W36</f>
        <v>0.88876169635491697</v>
      </c>
      <c r="R36" s="1000">
        <f>+X36</f>
        <v>0.88876169635491697</v>
      </c>
      <c r="S36" s="1001">
        <f>+Y36</f>
        <v>0.88876169635491697</v>
      </c>
      <c r="T36" s="1230"/>
      <c r="U36" s="1003">
        <f>+AA36</f>
        <v>0.88876169635491697</v>
      </c>
      <c r="V36" s="1003">
        <f>+AB36</f>
        <v>0.88876169635491697</v>
      </c>
      <c r="W36" s="1003">
        <f>+AC36</f>
        <v>0.88876169635491697</v>
      </c>
      <c r="X36" s="1000">
        <f>+AD36</f>
        <v>0.88876169635491697</v>
      </c>
      <c r="Y36" s="1001">
        <f>+AE36</f>
        <v>0.88876169635491697</v>
      </c>
      <c r="Z36" s="1230"/>
      <c r="AA36" s="1003">
        <f>+AG36</f>
        <v>0.88876169635491697</v>
      </c>
      <c r="AB36" s="1003">
        <f>+AH36</f>
        <v>0.88876169635491697</v>
      </c>
      <c r="AC36" s="1003">
        <f>+AI36</f>
        <v>0.88876169635491697</v>
      </c>
      <c r="AD36" s="1000">
        <f>+AJ36</f>
        <v>0.88876169635491697</v>
      </c>
      <c r="AE36" s="1001">
        <f>+AK36</f>
        <v>0.88876169635491697</v>
      </c>
      <c r="AF36" s="1230"/>
      <c r="AG36" s="1003">
        <f>+AM36</f>
        <v>0.88876169635491697</v>
      </c>
      <c r="AH36" s="1003">
        <f>+AN36</f>
        <v>0.88876169635491697</v>
      </c>
      <c r="AI36" s="1003">
        <f>+AO36</f>
        <v>0.88876169635491697</v>
      </c>
      <c r="AJ36" s="1003">
        <f>+AP36</f>
        <v>0.88876169635491697</v>
      </c>
      <c r="AK36" s="1001">
        <f>+AQ36</f>
        <v>0.88876169635491697</v>
      </c>
      <c r="AL36" s="1230"/>
      <c r="AM36" s="1003">
        <f>+AS36</f>
        <v>0.88876169635491697</v>
      </c>
      <c r="AN36" s="1003">
        <f>+AT36</f>
        <v>0.88876169635491697</v>
      </c>
      <c r="AO36" s="1003">
        <f>+AU36</f>
        <v>0.88876169635491697</v>
      </c>
      <c r="AP36" s="1003">
        <f>+AV36</f>
        <v>0.88876169635491697</v>
      </c>
      <c r="AQ36" s="1001">
        <f>+AW36</f>
        <v>0.88876169635491697</v>
      </c>
      <c r="AR36" s="1230"/>
      <c r="AS36" s="1003">
        <f>+AT36</f>
        <v>0.88876169635491697</v>
      </c>
      <c r="AT36" s="1003">
        <f>+AU36</f>
        <v>0.88876169635491697</v>
      </c>
      <c r="AU36" s="1003">
        <f>+AV36</f>
        <v>0.88876169635491697</v>
      </c>
      <c r="AV36" s="1003">
        <f>+AW36</f>
        <v>0.88876169635491697</v>
      </c>
      <c r="AW36" s="1001">
        <f>+AW35/AW31</f>
        <v>0.88876169635491697</v>
      </c>
      <c r="AX36" s="1230"/>
      <c r="AY36" s="1003">
        <f>+AZ36</f>
        <v>0.99723228995057667</v>
      </c>
      <c r="AZ36" s="1003">
        <f>+BA36</f>
        <v>0.99723228995057667</v>
      </c>
      <c r="BA36" s="1003">
        <f>+BB36</f>
        <v>0.99723228995057667</v>
      </c>
      <c r="BB36" s="1003">
        <f>+BC36</f>
        <v>0.99723228995057667</v>
      </c>
      <c r="BC36" s="1001">
        <f>+BC35/BC31</f>
        <v>0.99723228995057667</v>
      </c>
      <c r="BD36" s="19"/>
      <c r="BE36" s="1212"/>
      <c r="BF36" s="973"/>
      <c r="BG36" s="19"/>
      <c r="BH36" s="19"/>
      <c r="BI36" s="765"/>
      <c r="BJ36" s="19"/>
      <c r="BK36" s="19"/>
      <c r="BL36" s="19"/>
      <c r="BM36" s="19"/>
      <c r="BN36" s="19"/>
      <c r="BO36" s="765"/>
      <c r="BQ36" s="970"/>
      <c r="BR36" s="970"/>
      <c r="BS36" s="970"/>
      <c r="BT36" s="970"/>
      <c r="BU36" s="765"/>
      <c r="BW36" s="970"/>
      <c r="BX36" s="970"/>
      <c r="BY36" s="970"/>
      <c r="BZ36" s="970"/>
      <c r="CA36" s="765"/>
      <c r="CC36" s="970"/>
      <c r="CD36" s="970"/>
      <c r="CE36" s="970"/>
      <c r="CF36" s="970"/>
      <c r="CG36" s="765"/>
      <c r="CN36" s="964"/>
      <c r="CO36" s="964"/>
      <c r="CP36" s="964"/>
      <c r="CQ36" s="964"/>
      <c r="CR36" s="964"/>
      <c r="CS36" s="964"/>
    </row>
    <row r="37" spans="1:132" ht="12.75" hidden="1" customHeight="1" outlineLevel="1" x14ac:dyDescent="0.2">
      <c r="A37" s="300"/>
      <c r="B37" s="766" t="s">
        <v>556</v>
      </c>
      <c r="C37" s="743">
        <v>164.077</v>
      </c>
      <c r="D37" s="743">
        <v>172.084</v>
      </c>
      <c r="E37" s="743">
        <v>165.708</v>
      </c>
      <c r="F37" s="743">
        <f>675.365-E37-D37-C37</f>
        <v>173.49600000000004</v>
      </c>
      <c r="G37" s="645">
        <f>SUM(C37:F37)</f>
        <v>675.36500000000001</v>
      </c>
      <c r="H37" s="178"/>
      <c r="I37" s="743">
        <v>184.00200000000001</v>
      </c>
      <c r="J37" s="743">
        <v>200.86699999999999</v>
      </c>
      <c r="K37" s="743">
        <v>180.72900000000001</v>
      </c>
      <c r="L37" s="743">
        <f>739.168-K37-J37-I37</f>
        <v>173.57</v>
      </c>
      <c r="M37" s="645">
        <f>SUM(I37:L37)</f>
        <v>739.16800000000012</v>
      </c>
      <c r="N37" s="178"/>
      <c r="O37" s="743">
        <v>177.98699999999999</v>
      </c>
      <c r="P37" s="743">
        <v>183.81700000000001</v>
      </c>
      <c r="Q37" s="743">
        <v>177.57900000000001</v>
      </c>
      <c r="R37" s="743">
        <f>718.23-Q37-P37-O37</f>
        <v>178.84700000000007</v>
      </c>
      <c r="S37" s="645">
        <f>SUM(O37:R37)</f>
        <v>718.23000000000013</v>
      </c>
      <c r="T37" s="178"/>
      <c r="U37" s="743">
        <v>188.03399999999999</v>
      </c>
      <c r="V37" s="743">
        <v>182.38300000000001</v>
      </c>
      <c r="W37" s="743">
        <v>182.05699999999999</v>
      </c>
      <c r="X37" s="743">
        <f>738.901-W37-V37-U37</f>
        <v>186.42699999999991</v>
      </c>
      <c r="Y37" s="645">
        <f>SUM(U37:X37)</f>
        <v>738.90099999999995</v>
      </c>
      <c r="Z37" s="178"/>
      <c r="AA37" s="743">
        <v>200.767</v>
      </c>
      <c r="AB37" s="743">
        <v>210.98400000000001</v>
      </c>
      <c r="AC37" s="743">
        <v>231.49299999999999</v>
      </c>
      <c r="AD37" s="743">
        <f>936.847-AC37-AB37-AA37</f>
        <v>293.60300000000001</v>
      </c>
      <c r="AE37" s="645">
        <f>SUM(AA37:AD37)</f>
        <v>936.84699999999998</v>
      </c>
      <c r="AF37" s="178"/>
      <c r="AG37" s="743">
        <v>304.35300000000001</v>
      </c>
      <c r="AH37" s="743">
        <v>296.03399999999999</v>
      </c>
      <c r="AI37" s="743">
        <v>260.35199999999998</v>
      </c>
      <c r="AJ37" s="743">
        <f>1148.731-AI37-AH37-AG37</f>
        <v>287.99200000000002</v>
      </c>
      <c r="AK37" s="645">
        <f>SUM(AG37:AJ37)</f>
        <v>1148.731</v>
      </c>
      <c r="AL37" s="178"/>
      <c r="AM37" s="743">
        <v>293.67700000000002</v>
      </c>
      <c r="AN37" s="743">
        <v>289.92099999999999</v>
      </c>
      <c r="AO37" s="743">
        <v>269.16500000000002</v>
      </c>
      <c r="AP37" s="743">
        <f>1144.89-AO37-AN37-AM37</f>
        <v>292.12700000000007</v>
      </c>
      <c r="AQ37" s="645">
        <f>SUM(AM37:AP37)</f>
        <v>1144.8899999999999</v>
      </c>
      <c r="AR37" s="178"/>
      <c r="AS37" s="743">
        <v>287.84199999999998</v>
      </c>
      <c r="AT37" s="743">
        <v>296.12099999999998</v>
      </c>
      <c r="AU37" s="743">
        <v>276</v>
      </c>
      <c r="AV37" s="743">
        <f>1143.106-AU37-AT37-AS37</f>
        <v>283.14300000000003</v>
      </c>
      <c r="AW37" s="645">
        <f>SUM(AS37:AV37)</f>
        <v>1143.106</v>
      </c>
      <c r="AX37" s="178"/>
      <c r="AY37" s="743">
        <v>270.233</v>
      </c>
      <c r="AZ37" s="743">
        <v>274.97899999999998</v>
      </c>
      <c r="BA37" s="743">
        <v>264.3</v>
      </c>
      <c r="BB37" s="743">
        <f>1077.3-BA37-AZ37-AY37</f>
        <v>267.78799999999995</v>
      </c>
      <c r="BC37" s="645">
        <f>SUM(AY37:BB37)</f>
        <v>1077.3</v>
      </c>
      <c r="BD37" s="460"/>
      <c r="BE37" s="295"/>
      <c r="BF37" s="295"/>
      <c r="BG37" s="295"/>
      <c r="BH37" s="295"/>
      <c r="BI37" s="445"/>
      <c r="BJ37" s="460"/>
      <c r="BK37" s="295"/>
      <c r="BL37" s="295"/>
      <c r="BM37" s="295"/>
      <c r="BN37" s="295"/>
      <c r="BO37" s="445"/>
      <c r="BP37" s="460"/>
      <c r="BQ37" s="295"/>
      <c r="BR37" s="295"/>
      <c r="BS37" s="295"/>
      <c r="BT37" s="295"/>
      <c r="BU37" s="445"/>
      <c r="BV37" s="460"/>
      <c r="BW37" s="295"/>
      <c r="BX37" s="295"/>
      <c r="BY37" s="295"/>
      <c r="BZ37" s="295"/>
      <c r="CA37" s="445"/>
      <c r="CB37" s="460"/>
      <c r="CC37" s="295"/>
      <c r="CD37" s="295"/>
      <c r="CE37" s="295"/>
      <c r="CF37" s="295"/>
      <c r="CG37" s="445"/>
      <c r="CW37" s="460"/>
    </row>
    <row r="38" spans="1:132" ht="12.75" hidden="1" customHeight="1" outlineLevel="1" x14ac:dyDescent="0.2">
      <c r="A38" s="290"/>
      <c r="B38" s="766" t="s">
        <v>550</v>
      </c>
      <c r="C38" s="743">
        <v>0</v>
      </c>
      <c r="D38" s="743">
        <v>0</v>
      </c>
      <c r="E38" s="743">
        <v>0</v>
      </c>
      <c r="F38" s="743">
        <v>0</v>
      </c>
      <c r="G38" s="645">
        <f>SUM(C38:F38)</f>
        <v>0</v>
      </c>
      <c r="H38" s="178"/>
      <c r="I38" s="743">
        <v>0</v>
      </c>
      <c r="J38" s="743">
        <v>0</v>
      </c>
      <c r="K38" s="743">
        <v>0</v>
      </c>
      <c r="L38" s="743">
        <v>1.0000000000047748E-3</v>
      </c>
      <c r="M38" s="645">
        <f>SUM(I38:L38)</f>
        <v>1.0000000000047748E-3</v>
      </c>
      <c r="N38" s="178"/>
      <c r="O38" s="743">
        <v>2.6040000000000134</v>
      </c>
      <c r="P38" s="743">
        <v>1.1730000000000018</v>
      </c>
      <c r="Q38" s="743">
        <v>0.24199999999999022</v>
      </c>
      <c r="R38" s="743">
        <v>0.11500000000006594</v>
      </c>
      <c r="S38" s="645">
        <f>SUM(O38:R38)</f>
        <v>4.1340000000000714</v>
      </c>
      <c r="T38" s="178"/>
      <c r="U38" s="743">
        <v>0.51800000000000068</v>
      </c>
      <c r="V38" s="743">
        <v>0</v>
      </c>
      <c r="W38" s="743">
        <v>1.7150000000000034</v>
      </c>
      <c r="X38" s="743">
        <v>0.45499999999992724</v>
      </c>
      <c r="Y38" s="645">
        <f>SUM(U38:X38)</f>
        <v>2.6879999999999313</v>
      </c>
      <c r="Z38" s="178"/>
      <c r="AA38" s="743">
        <v>0.80000000000001137</v>
      </c>
      <c r="AB38" s="743">
        <v>1.5200000000000102</v>
      </c>
      <c r="AC38" s="743">
        <v>13.442000000000007</v>
      </c>
      <c r="AD38" s="743">
        <v>19.341000000000008</v>
      </c>
      <c r="AE38" s="645">
        <f>SUM(AA38:AD38)</f>
        <v>35.103000000000037</v>
      </c>
      <c r="AF38" s="178"/>
      <c r="AG38" s="743">
        <v>20.670000000000016</v>
      </c>
      <c r="AH38" s="743">
        <v>13.879999999999995</v>
      </c>
      <c r="AI38" s="743">
        <v>3.6519999999999868</v>
      </c>
      <c r="AJ38" s="743">
        <v>11.771000000000015</v>
      </c>
      <c r="AK38" s="645">
        <f>SUM(AG38:AJ38)</f>
        <v>49.973000000000013</v>
      </c>
      <c r="AL38" s="178"/>
      <c r="AM38" s="743">
        <v>10.704000000000008</v>
      </c>
      <c r="AN38" s="743">
        <v>9.5949999999999704</v>
      </c>
      <c r="AO38" s="743">
        <v>9.7730000000000246</v>
      </c>
      <c r="AP38" s="743">
        <v>11.817000000000064</v>
      </c>
      <c r="AQ38" s="645">
        <f>SUM(AM38:AP38)</f>
        <v>41.889000000000067</v>
      </c>
      <c r="AR38" s="178"/>
      <c r="AS38" s="743">
        <v>11.388000000000034</v>
      </c>
      <c r="AT38" s="743">
        <v>9.65199999999993</v>
      </c>
      <c r="AU38" s="743">
        <v>9.7029999999999745</v>
      </c>
      <c r="AV38" s="743">
        <v>9.4580000000000268</v>
      </c>
      <c r="AW38" s="645">
        <f>SUM(AS38:AV38)</f>
        <v>40.200999999999965</v>
      </c>
      <c r="AX38" s="178"/>
      <c r="AY38" s="743">
        <v>10.149000000000001</v>
      </c>
      <c r="AZ38" s="743">
        <v>11.430000000000007</v>
      </c>
      <c r="BA38" s="743">
        <v>17.800000000000011</v>
      </c>
      <c r="BB38" s="743">
        <v>16.387999999999948</v>
      </c>
      <c r="BC38" s="645">
        <f>SUM(AY38:BB38)</f>
        <v>55.766999999999967</v>
      </c>
      <c r="BD38" s="57"/>
      <c r="BE38" s="288"/>
      <c r="BF38" s="288"/>
      <c r="BG38" s="288"/>
      <c r="BH38" s="288"/>
      <c r="BI38" s="644"/>
      <c r="BJ38" s="57"/>
      <c r="BK38" s="288"/>
      <c r="BL38" s="288"/>
      <c r="BM38" s="288"/>
      <c r="BN38" s="288"/>
      <c r="BO38" s="644"/>
      <c r="BP38" s="57"/>
      <c r="BQ38" s="288"/>
      <c r="BR38" s="288"/>
      <c r="BS38" s="288"/>
      <c r="BT38" s="288"/>
      <c r="BU38" s="644"/>
      <c r="BV38" s="57"/>
      <c r="BW38" s="288"/>
      <c r="BX38" s="288"/>
      <c r="BY38" s="288"/>
      <c r="BZ38" s="288"/>
      <c r="CA38" s="644"/>
      <c r="CB38" s="57"/>
      <c r="CC38" s="288"/>
      <c r="CD38" s="288"/>
      <c r="CE38" s="288"/>
      <c r="CF38" s="288"/>
      <c r="CG38" s="644"/>
      <c r="CW38" s="57"/>
    </row>
    <row r="39" spans="1:132" ht="12.75" hidden="1" customHeight="1" outlineLevel="1" x14ac:dyDescent="0.2">
      <c r="A39" s="290"/>
      <c r="B39" s="766" t="s">
        <v>551</v>
      </c>
      <c r="C39" s="743">
        <v>1.1000000000000014</v>
      </c>
      <c r="D39" s="743">
        <v>1.6000000000000014</v>
      </c>
      <c r="E39" s="743">
        <v>0.29999999999999716</v>
      </c>
      <c r="F39" s="743">
        <v>1</v>
      </c>
      <c r="G39" s="645">
        <f>SUM(C39:F39)</f>
        <v>4</v>
      </c>
      <c r="H39" s="178"/>
      <c r="I39" s="743">
        <v>1.1000000000000014</v>
      </c>
      <c r="J39" s="743">
        <v>1.8999999999999986</v>
      </c>
      <c r="K39" s="743">
        <v>1.4000000000000057</v>
      </c>
      <c r="L39" s="743">
        <v>1</v>
      </c>
      <c r="M39" s="645">
        <f>SUM(I39:L39)</f>
        <v>5.4000000000000057</v>
      </c>
      <c r="N39" s="178"/>
      <c r="O39" s="743">
        <v>1</v>
      </c>
      <c r="P39" s="743">
        <v>1</v>
      </c>
      <c r="Q39" s="743">
        <v>1</v>
      </c>
      <c r="R39" s="743">
        <v>0.90800000000000125</v>
      </c>
      <c r="S39" s="645">
        <f>SUM(O39:R39)</f>
        <v>3.9080000000000013</v>
      </c>
      <c r="T39" s="178"/>
      <c r="U39" s="743">
        <v>0.88799999999999812</v>
      </c>
      <c r="V39" s="743">
        <v>0.79999999999999716</v>
      </c>
      <c r="W39" s="743">
        <v>0.70400000000002194</v>
      </c>
      <c r="X39" s="743">
        <v>0.74600000000000222</v>
      </c>
      <c r="Y39" s="645">
        <f>SUM(U39:X39)</f>
        <v>3.1380000000000194</v>
      </c>
      <c r="Z39" s="178"/>
      <c r="AA39" s="743">
        <v>0.69199999999999307</v>
      </c>
      <c r="AB39" s="743">
        <v>0.79299999999999216</v>
      </c>
      <c r="AC39" s="743">
        <v>7.4309999999999974</v>
      </c>
      <c r="AD39" s="743">
        <v>0.29999999999999716</v>
      </c>
      <c r="AE39" s="645">
        <f>SUM(AA39:AD39)</f>
        <v>9.2159999999999798</v>
      </c>
      <c r="AF39" s="178"/>
      <c r="AG39" s="743">
        <v>0.70000000000000284</v>
      </c>
      <c r="AH39" s="743">
        <v>0.63700000000000045</v>
      </c>
      <c r="AI39" s="743">
        <v>0.29999999999999716</v>
      </c>
      <c r="AJ39" s="743">
        <v>3.833999999999989</v>
      </c>
      <c r="AK39" s="645">
        <f>SUM(AG39:AJ39)</f>
        <v>5.4709999999999894</v>
      </c>
      <c r="AL39" s="178"/>
      <c r="AM39" s="743">
        <v>1.0739999999999981</v>
      </c>
      <c r="AN39" s="743">
        <v>0.75499999999999545</v>
      </c>
      <c r="AO39" s="743">
        <v>-0.11499999999999488</v>
      </c>
      <c r="AP39" s="743">
        <v>1.2289999999999992</v>
      </c>
      <c r="AQ39" s="645">
        <f>SUM(AM39:AP39)</f>
        <v>2.9429999999999978</v>
      </c>
      <c r="AR39" s="178"/>
      <c r="AS39" s="743">
        <v>1.5999999999999943</v>
      </c>
      <c r="AT39" s="743">
        <v>0.59999999999999432</v>
      </c>
      <c r="AU39" s="743">
        <v>2.4000000000000057</v>
      </c>
      <c r="AV39" s="743">
        <v>1.2999999999999972</v>
      </c>
      <c r="AW39" s="645">
        <f>SUM(AS39:AV39)</f>
        <v>5.8999999999999915</v>
      </c>
      <c r="AX39" s="178"/>
      <c r="AY39" s="743">
        <v>0.29999999999999716</v>
      </c>
      <c r="AZ39" s="743">
        <v>0.70000000000000284</v>
      </c>
      <c r="BA39" s="743">
        <v>4.3999999999999915</v>
      </c>
      <c r="BB39" s="743">
        <v>2.1999999999999886</v>
      </c>
      <c r="BC39" s="645">
        <f>SUM(AY39:BB39)</f>
        <v>7.5999999999999801</v>
      </c>
      <c r="BD39" s="57"/>
      <c r="BE39" s="288"/>
      <c r="BF39" s="288"/>
      <c r="BG39" s="288"/>
      <c r="BH39" s="288"/>
      <c r="BI39" s="644"/>
      <c r="BJ39" s="57"/>
      <c r="BK39" s="288"/>
      <c r="BL39" s="288"/>
      <c r="BM39" s="288"/>
      <c r="BN39" s="288"/>
      <c r="BO39" s="644"/>
      <c r="BP39" s="57"/>
      <c r="BQ39" s="288"/>
      <c r="BR39" s="288"/>
      <c r="BS39" s="288"/>
      <c r="BT39" s="288"/>
      <c r="BU39" s="644"/>
      <c r="BV39" s="57"/>
      <c r="BW39" s="288"/>
      <c r="BX39" s="288"/>
      <c r="BY39" s="288"/>
      <c r="BZ39" s="288"/>
      <c r="CA39" s="644"/>
      <c r="CB39" s="57"/>
      <c r="CC39" s="288"/>
      <c r="CD39" s="288"/>
      <c r="CE39" s="288"/>
      <c r="CF39" s="288"/>
      <c r="CG39" s="644"/>
      <c r="CW39" s="57"/>
    </row>
    <row r="40" spans="1:132" collapsed="1" x14ac:dyDescent="0.2">
      <c r="A40" s="300"/>
      <c r="B40" s="176" t="s">
        <v>179</v>
      </c>
      <c r="C40" s="178">
        <f>+C37+C30+C31+C33-C35-C38-C39</f>
        <v>223.13676359192351</v>
      </c>
      <c r="D40" s="178">
        <f>+D37+D30+D31+D33-D35-D38-D39</f>
        <v>227.31526229522305</v>
      </c>
      <c r="E40" s="178">
        <f>+E37+E30+E31+E33-E35-E38-E39</f>
        <v>226.65186535280588</v>
      </c>
      <c r="F40" s="178">
        <f>+F37+F30+F31+F33-F35-F38-F39</f>
        <v>236.54580099370139</v>
      </c>
      <c r="G40" s="645">
        <f>+G37+G30+G31+G33-G35-G38-G39</f>
        <v>913.6496922336537</v>
      </c>
      <c r="H40" s="460"/>
      <c r="I40" s="178">
        <f>I30+I37+I31+I33-I35-I38-I39</f>
        <v>250.92137730011837</v>
      </c>
      <c r="J40" s="178">
        <f>J30+J37+J31+J33-J35-J38-J39</f>
        <v>270.22859778309686</v>
      </c>
      <c r="K40" s="178">
        <f>K30+K37+K31+K33-K35-K38-K39</f>
        <v>248.45105096219768</v>
      </c>
      <c r="L40" s="178">
        <f>L30+L37+L31+L33-L35-L38-L39</f>
        <v>236.89000757557497</v>
      </c>
      <c r="M40" s="645">
        <f>M30+M37+M31+M33-M35-M38-M39</f>
        <v>1006.4910336209881</v>
      </c>
      <c r="N40" s="460"/>
      <c r="O40" s="178">
        <f>O30+O37+O31+O33-O35-O38-O39</f>
        <v>236.86211603480066</v>
      </c>
      <c r="P40" s="178">
        <f>P30+P37+P31+P33-P35-P38-P39</f>
        <v>241.46378244023401</v>
      </c>
      <c r="Q40" s="178">
        <f>Q30+Q37+Q31+Q33-Q35-Q38-Q39</f>
        <v>241.02829075775708</v>
      </c>
      <c r="R40" s="178">
        <f>R30+R37+R31+R33-R35-R38-R39</f>
        <v>244.82351074242956</v>
      </c>
      <c r="S40" s="645">
        <f>S30+S37+S31+S33-S35-S38-S39</f>
        <v>964.17769997522134</v>
      </c>
      <c r="T40" s="460"/>
      <c r="U40" s="178">
        <f>U30+U37+U31+U33-U35-U38-U39</f>
        <v>254.30391241672285</v>
      </c>
      <c r="V40" s="178">
        <f>V30+V37+V31+V33-V35-V38-V39</f>
        <v>243.8035950131457</v>
      </c>
      <c r="W40" s="178">
        <f>W30+W37+W31+W33-W35-W38-W39</f>
        <v>247.59210363921579</v>
      </c>
      <c r="X40" s="178">
        <f>X30+X37+X31+X33-X35-X38-X39</f>
        <v>256.75639352499996</v>
      </c>
      <c r="Y40" s="645">
        <f>Y30+Y37+Y31+Y33-Y35-Y38-Y39</f>
        <v>1002.4560045940842</v>
      </c>
      <c r="Z40" s="460"/>
      <c r="AA40" s="178">
        <f>AA30+AA37+AA31+AA33-AA35-AA38-AA39</f>
        <v>278.51640125909933</v>
      </c>
      <c r="AB40" s="178">
        <f>AB30+AB37+AB31+AB33-AB35-AB38-AB39</f>
        <v>286.04511240331738</v>
      </c>
      <c r="AC40" s="178">
        <f>AC30+AC37+AC31+AC33-AC35-AC38-AC39</f>
        <v>293.83688267714223</v>
      </c>
      <c r="AD40" s="178">
        <f>AD30+AD37+AD31+AD33-AD35-AD38-AD39</f>
        <v>356.50892511323775</v>
      </c>
      <c r="AE40" s="645">
        <f>AE30+AE37+AE31+AE33-AE35-AE38-AE39</f>
        <v>1214.9073214527969</v>
      </c>
      <c r="AF40" s="460"/>
      <c r="AG40" s="178">
        <f>AG30+AG37+AG31+AG33-AG35-AG38-AG39</f>
        <v>364.78702691353811</v>
      </c>
      <c r="AH40" s="178">
        <f>AH30+AH37+AH31+AH33-AH35-AH38-AH39</f>
        <v>362.76684269285261</v>
      </c>
      <c r="AI40" s="178">
        <f>AI30+AI37+AI31+AI33-AI35-AI38-AI39</f>
        <v>341.68105199540634</v>
      </c>
      <c r="AJ40" s="178">
        <f>AJ30+AJ37+AJ31+AJ33-AJ35-AJ38-AJ39</f>
        <v>367.57538350858863</v>
      </c>
      <c r="AK40" s="645">
        <f>AK30+AK37+AK31+AK33-AK35-AK38-AK39</f>
        <v>1436.8103051103856</v>
      </c>
      <c r="AL40" s="460"/>
      <c r="AM40" s="178">
        <f>AM30+AM37+AM31+AM33-AM35-AM38-AM39</f>
        <v>376.24776002877877</v>
      </c>
      <c r="AN40" s="178">
        <f>AN30+AN37+AN31+AN33-AN35-AN38-AN39</f>
        <v>369.45094262479756</v>
      </c>
      <c r="AO40" s="178">
        <f>AO30+AO37+AO31+AO33-AO35-AO38-AO39</f>
        <v>351.87190885545454</v>
      </c>
      <c r="AP40" s="178">
        <f>AP30+AP37+AP31+AP33-AP35-AP38-AP39</f>
        <v>376.9430594837969</v>
      </c>
      <c r="AQ40" s="645">
        <f>AQ30+AQ37+AQ31+AQ33-AQ35-AQ38-AQ39</f>
        <v>1474.5136709928277</v>
      </c>
      <c r="AR40" s="460"/>
      <c r="AS40" s="178">
        <f>+AS37+AS30+AS31+AS33-AS35-AS38-AS39</f>
        <v>372.50722999043842</v>
      </c>
      <c r="AT40" s="178">
        <f>+AT37+AT30+AT31+AT33-AT35-AT38-AT39</f>
        <v>384.58111774201188</v>
      </c>
      <c r="AU40" s="178">
        <f>+AU37+AU30+AU31+AU33-AU35-AU38-AU39</f>
        <v>361.92033529539276</v>
      </c>
      <c r="AV40" s="178">
        <f>+AV37+AV30+AV31+AV33-AV35-AV38-AV39</f>
        <v>369.83999521619609</v>
      </c>
      <c r="AW40" s="645">
        <f>+AW37+AW30+AW31+AW33-AW35-AW38-AW39</f>
        <v>1488.8486782440389</v>
      </c>
      <c r="AX40" s="460"/>
      <c r="AY40" s="178">
        <f>+AY37+AY30+AY31+AY33-AY35-AY38-AY39</f>
        <v>347.76877986028512</v>
      </c>
      <c r="AZ40" s="178">
        <f>+AZ37+AZ30+AZ31+AZ33-AZ35-AZ38-AZ39</f>
        <v>352.20117826947654</v>
      </c>
      <c r="BA40" s="178">
        <f>+BA37+BA30+BA31+BA33-BA35-BA38-BA39</f>
        <v>337.65147065992227</v>
      </c>
      <c r="BB40" s="178">
        <f>+BB37+BB30+BB31+BB33-BB35-BB38-BB39</f>
        <v>351.11720168455048</v>
      </c>
      <c r="BC40" s="645">
        <f>+BC37+BC30+BC31+BC33-BC35-BC38-BC39</f>
        <v>1388.7386304742342</v>
      </c>
      <c r="BD40" s="460"/>
      <c r="BE40" s="1059">
        <f>+RevBuild!AY92*BE15</f>
        <v>358.67215435614736</v>
      </c>
      <c r="BF40" s="1059">
        <f>+RevBuild!BF91</f>
        <v>373.2</v>
      </c>
      <c r="BG40" s="1059">
        <f>+RevBuild!BG91</f>
        <v>348.3</v>
      </c>
      <c r="BH40" s="1059">
        <f>+RevBuild!BH91</f>
        <v>366.7</v>
      </c>
      <c r="BI40" s="645">
        <f>SUM(BE40:BH40)</f>
        <v>1446.8721543561473</v>
      </c>
      <c r="BJ40" s="460"/>
      <c r="BK40" s="1059">
        <f>+RevBuild!BK91</f>
        <v>377.2</v>
      </c>
      <c r="BL40" s="1059">
        <f>+RevBuild!BL91</f>
        <v>383.7</v>
      </c>
      <c r="BM40" s="1059">
        <f>+RevBuild!BM91</f>
        <v>379.40000000000003</v>
      </c>
      <c r="BN40" s="1059">
        <f>+RevBuild!BN91</f>
        <v>391</v>
      </c>
      <c r="BO40" s="645">
        <f>SUM(BK40:BN40)</f>
        <v>1531.3</v>
      </c>
      <c r="BP40" s="460"/>
      <c r="BQ40" s="1059">
        <f>+RevBuild!BQ91</f>
        <v>403.00365000000005</v>
      </c>
      <c r="BR40" s="1059">
        <f>+RevBuild!BR91</f>
        <v>425.22687999999999</v>
      </c>
      <c r="BS40" s="1059">
        <f>+RevBuild!BS91</f>
        <v>407.48954000000009</v>
      </c>
      <c r="BT40" s="1059">
        <f>+RevBuild!BT91</f>
        <v>421.89591999999999</v>
      </c>
      <c r="BU40" s="645">
        <f>SUM(BQ40:BT40)</f>
        <v>1657.61599</v>
      </c>
      <c r="BV40" s="460"/>
      <c r="BW40" s="1059">
        <f>+RevBuild!BW91</f>
        <v>367.90103860000005</v>
      </c>
      <c r="BX40" s="1059">
        <f>+RevBuild!BX91</f>
        <v>417.44587984000009</v>
      </c>
      <c r="BY40" s="1059">
        <f>+RevBuild!BY91</f>
        <v>422.69948784000002</v>
      </c>
      <c r="BZ40" s="1059">
        <f>+RevBuild!BZ91</f>
        <v>450.75885360000007</v>
      </c>
      <c r="CA40" s="645">
        <f>SUM(BW40:BZ40)</f>
        <v>1658.8052598800002</v>
      </c>
      <c r="CB40" s="460"/>
      <c r="CC40" s="1059">
        <f>+RevBuild!CC94*(CC15-RevBuild!CC84)+RevBuild!CC95-RevBuild!CC97</f>
        <v>374.19268435975005</v>
      </c>
      <c r="CD40" s="1059">
        <f>+RevBuild!CD94*(CD15-RevBuild!CD84)+RevBuild!CD95-RevBuild!CD97</f>
        <v>420.68384948455002</v>
      </c>
      <c r="CE40" s="1059">
        <f>+RevBuild!CE94*(CE15-RevBuild!CE84)+RevBuild!CE95-RevBuild!CE97</f>
        <v>427.32486464120001</v>
      </c>
      <c r="CF40" s="1059">
        <f>+RevBuild!CF94*(CF15-RevBuild!CF84)+RevBuild!CF95-RevBuild!CF97</f>
        <v>459.44275804830005</v>
      </c>
      <c r="CG40" s="645">
        <f>SUM(CC40:CF40)</f>
        <v>1681.6441565338</v>
      </c>
      <c r="CV40" s="753"/>
      <c r="CW40" s="460"/>
    </row>
    <row r="41" spans="1:132" hidden="1" outlineLevel="1" x14ac:dyDescent="0.2">
      <c r="A41" s="290"/>
      <c r="B41" s="766" t="s">
        <v>381</v>
      </c>
      <c r="C41" s="743">
        <v>0</v>
      </c>
      <c r="D41" s="743">
        <v>0</v>
      </c>
      <c r="E41" s="743">
        <v>0</v>
      </c>
      <c r="F41" s="743">
        <v>0</v>
      </c>
      <c r="G41" s="645">
        <f>SUM(C41:F41)</f>
        <v>0</v>
      </c>
      <c r="H41" s="178"/>
      <c r="I41" s="743">
        <v>0</v>
      </c>
      <c r="J41" s="743">
        <v>0</v>
      </c>
      <c r="K41" s="743">
        <v>0</v>
      </c>
      <c r="L41" s="743">
        <v>0</v>
      </c>
      <c r="M41" s="645">
        <f>SUM(I41:L41)</f>
        <v>0</v>
      </c>
      <c r="N41" s="178"/>
      <c r="O41" s="743">
        <v>0</v>
      </c>
      <c r="P41" s="743">
        <v>0</v>
      </c>
      <c r="Q41" s="743">
        <v>0</v>
      </c>
      <c r="R41" s="743">
        <v>0</v>
      </c>
      <c r="S41" s="645">
        <f>SUM(O41:R41)</f>
        <v>0</v>
      </c>
      <c r="T41" s="178"/>
      <c r="U41" s="743">
        <v>0</v>
      </c>
      <c r="V41" s="743">
        <v>0</v>
      </c>
      <c r="W41" s="743">
        <v>0</v>
      </c>
      <c r="X41" s="743">
        <v>0</v>
      </c>
      <c r="Y41" s="645">
        <f>SUM(U41:X41)</f>
        <v>0</v>
      </c>
      <c r="Z41" s="178"/>
      <c r="AA41" s="743">
        <v>0</v>
      </c>
      <c r="AB41" s="743">
        <v>0</v>
      </c>
      <c r="AC41" s="743">
        <v>0</v>
      </c>
      <c r="AD41" s="743">
        <v>0</v>
      </c>
      <c r="AE41" s="645">
        <f>SUM(AA41:AD41)</f>
        <v>0</v>
      </c>
      <c r="AF41" s="178"/>
      <c r="AG41" s="743">
        <v>0</v>
      </c>
      <c r="AH41" s="743">
        <v>0</v>
      </c>
      <c r="AI41" s="743">
        <v>0</v>
      </c>
      <c r="AJ41" s="743">
        <v>0</v>
      </c>
      <c r="AK41" s="645">
        <f>SUM(AG41:AJ41)</f>
        <v>0</v>
      </c>
      <c r="AL41" s="178"/>
      <c r="AM41" s="743">
        <v>0</v>
      </c>
      <c r="AN41" s="743">
        <v>0</v>
      </c>
      <c r="AO41" s="743">
        <v>0</v>
      </c>
      <c r="AP41" s="743">
        <v>0</v>
      </c>
      <c r="AQ41" s="645">
        <f>SUM(AM41:AP41)</f>
        <v>0</v>
      </c>
      <c r="AR41" s="178"/>
      <c r="AS41" s="743">
        <v>0</v>
      </c>
      <c r="AT41" s="743">
        <v>0</v>
      </c>
      <c r="AU41" s="743">
        <v>0</v>
      </c>
      <c r="AV41" s="743">
        <v>0</v>
      </c>
      <c r="AW41" s="645">
        <f>SUM(AS41:AV41)</f>
        <v>0</v>
      </c>
      <c r="AX41" s="178"/>
      <c r="AY41" s="743">
        <v>0</v>
      </c>
      <c r="AZ41" s="743">
        <v>0</v>
      </c>
      <c r="BA41" s="743">
        <v>0</v>
      </c>
      <c r="BB41" s="743">
        <v>0</v>
      </c>
      <c r="BC41" s="645">
        <f>SUM(AY41:BB41)</f>
        <v>0</v>
      </c>
      <c r="BD41" s="178"/>
      <c r="BE41" s="178"/>
      <c r="BF41" s="178"/>
      <c r="BG41" s="178"/>
      <c r="BH41" s="178"/>
      <c r="BI41" s="645"/>
      <c r="BJ41" s="178"/>
      <c r="BK41" s="178"/>
      <c r="BL41" s="178"/>
      <c r="BM41" s="178"/>
      <c r="BN41" s="178"/>
      <c r="BO41" s="645"/>
      <c r="BP41" s="178"/>
      <c r="BQ41" s="178"/>
      <c r="BR41" s="178"/>
      <c r="BS41" s="178"/>
      <c r="BT41" s="178"/>
      <c r="BU41" s="645"/>
      <c r="BV41" s="178"/>
      <c r="BW41" s="178"/>
      <c r="BX41" s="178"/>
      <c r="BY41" s="178"/>
      <c r="BZ41" s="178"/>
      <c r="CA41" s="645"/>
      <c r="CB41" s="178"/>
      <c r="CC41" s="178"/>
      <c r="CD41" s="178"/>
      <c r="CE41" s="178"/>
      <c r="CF41" s="178"/>
      <c r="CG41" s="645"/>
      <c r="CN41" s="747"/>
      <c r="CO41" s="748"/>
      <c r="CP41" s="749"/>
      <c r="CQ41" s="749"/>
      <c r="CR41" s="748"/>
      <c r="CS41" s="748"/>
    </row>
    <row r="42" spans="1:132" hidden="1" outlineLevel="1" x14ac:dyDescent="0.2">
      <c r="A42" s="290"/>
      <c r="B42" s="766" t="s">
        <v>392</v>
      </c>
      <c r="C42" s="743">
        <v>12.054</v>
      </c>
      <c r="D42" s="743">
        <v>11.811</v>
      </c>
      <c r="E42" s="743">
        <v>12.8</v>
      </c>
      <c r="F42" s="743">
        <v>13.708</v>
      </c>
      <c r="G42" s="645">
        <f>SUM(C42:F42)</f>
        <v>50.373000000000005</v>
      </c>
      <c r="H42" s="178"/>
      <c r="I42" s="743">
        <v>11.967000000000001</v>
      </c>
      <c r="J42" s="743">
        <v>11.829000000000001</v>
      </c>
      <c r="K42" s="743">
        <v>11.24</v>
      </c>
      <c r="L42" s="743">
        <v>11.058</v>
      </c>
      <c r="M42" s="645">
        <f>SUM(I42:L42)</f>
        <v>46.094000000000001</v>
      </c>
      <c r="N42" s="178"/>
      <c r="O42" s="743">
        <v>10.042999999999999</v>
      </c>
      <c r="P42" s="743">
        <v>9.8970000000000002</v>
      </c>
      <c r="Q42" s="743">
        <v>9.6329999999999991</v>
      </c>
      <c r="R42" s="743">
        <v>11.465</v>
      </c>
      <c r="S42" s="645">
        <f>SUM(O42:R42)</f>
        <v>41.037999999999997</v>
      </c>
      <c r="T42" s="178"/>
      <c r="U42" s="743">
        <v>11.69</v>
      </c>
      <c r="V42" s="743">
        <v>11.648</v>
      </c>
      <c r="W42" s="743">
        <v>11.561999999999999</v>
      </c>
      <c r="X42" s="743">
        <v>13.51</v>
      </c>
      <c r="Y42" s="645">
        <f>SUM(U42:X42)</f>
        <v>48.41</v>
      </c>
      <c r="Z42" s="178"/>
      <c r="AA42" s="743">
        <v>14.145</v>
      </c>
      <c r="AB42" s="743">
        <v>14.39</v>
      </c>
      <c r="AC42" s="743">
        <v>13.484999999999999</v>
      </c>
      <c r="AD42" s="743">
        <v>13.286</v>
      </c>
      <c r="AE42" s="645">
        <f>SUM(AA42:AD42)</f>
        <v>55.305999999999997</v>
      </c>
      <c r="AF42" s="178"/>
      <c r="AG42" s="743">
        <v>13.638</v>
      </c>
      <c r="AH42" s="743">
        <v>13.092000000000001</v>
      </c>
      <c r="AI42" s="743">
        <v>12.606</v>
      </c>
      <c r="AJ42" s="743">
        <v>14.095000000000001</v>
      </c>
      <c r="AK42" s="645">
        <f>SUM(AG42:AJ42)</f>
        <v>53.430999999999997</v>
      </c>
      <c r="AL42" s="178"/>
      <c r="AM42" s="743">
        <v>15.1</v>
      </c>
      <c r="AN42" s="743">
        <v>15.7</v>
      </c>
      <c r="AO42" s="743">
        <v>15.3</v>
      </c>
      <c r="AP42" s="743">
        <v>15.1</v>
      </c>
      <c r="AQ42" s="645">
        <f>SUM(AM42:AP42)</f>
        <v>61.199999999999996</v>
      </c>
      <c r="AR42" s="178"/>
      <c r="AS42" s="743">
        <v>16.399999999999999</v>
      </c>
      <c r="AT42" s="743">
        <v>16.600000000000001</v>
      </c>
      <c r="AU42" s="743">
        <v>16.5</v>
      </c>
      <c r="AV42" s="743">
        <v>14.8</v>
      </c>
      <c r="AW42" s="645">
        <f>SUM(AS42:AV42)</f>
        <v>64.3</v>
      </c>
      <c r="AX42" s="178"/>
      <c r="AY42" s="743">
        <v>14.2</v>
      </c>
      <c r="AZ42" s="743">
        <v>12.9</v>
      </c>
      <c r="BA42" s="743">
        <v>12.9</v>
      </c>
      <c r="BB42" s="743">
        <v>13.3</v>
      </c>
      <c r="BC42" s="645">
        <f>SUM(AY42:BB42)</f>
        <v>53.3</v>
      </c>
      <c r="BD42" s="178"/>
      <c r="BE42" s="178"/>
      <c r="BF42" s="178"/>
      <c r="BG42" s="178"/>
      <c r="BH42" s="178"/>
      <c r="BI42" s="645"/>
      <c r="BJ42" s="178"/>
      <c r="BK42" s="178"/>
      <c r="BL42" s="178"/>
      <c r="BM42" s="178"/>
      <c r="BN42" s="178"/>
      <c r="BO42" s="645"/>
      <c r="BP42" s="178"/>
      <c r="BQ42" s="178"/>
      <c r="BR42" s="178"/>
      <c r="BS42" s="178"/>
      <c r="BT42" s="178"/>
      <c r="BU42" s="645"/>
      <c r="BV42" s="178"/>
      <c r="BW42" s="178"/>
      <c r="BX42" s="178"/>
      <c r="BY42" s="178"/>
      <c r="BZ42" s="178"/>
      <c r="CA42" s="645"/>
      <c r="CB42" s="178"/>
      <c r="CC42" s="178"/>
      <c r="CD42" s="178"/>
      <c r="CE42" s="178"/>
      <c r="CF42" s="178"/>
      <c r="CG42" s="645"/>
      <c r="CN42" s="747"/>
      <c r="CO42" s="748"/>
      <c r="CP42" s="749"/>
      <c r="CQ42" s="749"/>
      <c r="CR42" s="748"/>
      <c r="CS42" s="748"/>
    </row>
    <row r="43" spans="1:132" s="744" customFormat="1" hidden="1" outlineLevel="1" x14ac:dyDescent="0.2">
      <c r="B43" s="766" t="s">
        <v>521</v>
      </c>
      <c r="C43" s="178">
        <f>-C21</f>
        <v>-4.3849690402476789</v>
      </c>
      <c r="D43" s="178">
        <f>-D21</f>
        <v>-4.2965712074303406</v>
      </c>
      <c r="E43" s="178">
        <f>-E21</f>
        <v>-4.6563467492260067</v>
      </c>
      <c r="F43" s="178">
        <f>-F21</f>
        <v>-4.9866563467492266</v>
      </c>
      <c r="G43" s="470">
        <f>SUM(C43:F43)</f>
        <v>-18.324543343653254</v>
      </c>
      <c r="H43" s="24"/>
      <c r="I43" s="178">
        <f>-I21</f>
        <v>-4.353320433436533</v>
      </c>
      <c r="J43" s="178">
        <f>-J21</f>
        <v>-4.30311919504644</v>
      </c>
      <c r="K43" s="178">
        <f>-K21</f>
        <v>-4.0888544891640874</v>
      </c>
      <c r="L43" s="178">
        <f>-L21</f>
        <v>-4.0226470588235301</v>
      </c>
      <c r="M43" s="470">
        <f>SUM(I43:L43)</f>
        <v>-16.76794117647059</v>
      </c>
      <c r="N43" s="24"/>
      <c r="O43" s="178">
        <f>-O21</f>
        <v>-3.6534133126934987</v>
      </c>
      <c r="P43" s="178">
        <f>-P21</f>
        <v>-3.6003018575851398</v>
      </c>
      <c r="Q43" s="178">
        <f>-Q21</f>
        <v>-3.5042647058823531</v>
      </c>
      <c r="R43" s="178">
        <f>-R21</f>
        <v>-4.1707043343653254</v>
      </c>
      <c r="S43" s="470">
        <f>SUM(O43:R43)</f>
        <v>-14.928684210526317</v>
      </c>
      <c r="T43" s="24"/>
      <c r="U43" s="178">
        <f>-U21</f>
        <v>-4.2525541795665633</v>
      </c>
      <c r="V43" s="178">
        <f>-V21</f>
        <v>-4.2372755417956656</v>
      </c>
      <c r="W43" s="178">
        <f>-W21</f>
        <v>-4.2059907120743034</v>
      </c>
      <c r="X43" s="178">
        <f>-X21</f>
        <v>-4.9146284829721365</v>
      </c>
      <c r="Y43" s="470">
        <f>SUM(U43:X43)</f>
        <v>-17.610448916408668</v>
      </c>
      <c r="Z43" s="24"/>
      <c r="AA43" s="178">
        <f>-AA21</f>
        <v>-5.1456269349845201</v>
      </c>
      <c r="AB43" s="178">
        <f>-AB21</f>
        <v>-5.2347523219814249</v>
      </c>
      <c r="AC43" s="178">
        <f>-AC21</f>
        <v>-4.9055340557275544</v>
      </c>
      <c r="AD43" s="178">
        <f>-AD21</f>
        <v>-4.8331424148606814</v>
      </c>
      <c r="AE43" s="470">
        <f>SUM(AA43:AD43)</f>
        <v>-20.11905572755418</v>
      </c>
      <c r="AF43" s="24"/>
      <c r="AG43" s="178">
        <f>-AG21</f>
        <v>-4.9611919504643964</v>
      </c>
      <c r="AH43" s="178">
        <f>-AH21</f>
        <v>-4.7625696594427254</v>
      </c>
      <c r="AI43" s="178">
        <f>-AI21</f>
        <v>-4.5857739938080497</v>
      </c>
      <c r="AJ43" s="178">
        <f>-AJ21</f>
        <v>-5.1274380804953568</v>
      </c>
      <c r="AK43" s="470">
        <f>SUM(AG43:AJ43)</f>
        <v>-19.436973684210528</v>
      </c>
      <c r="AL43" s="24"/>
      <c r="AM43" s="178">
        <f>-AM21</f>
        <v>-5.4930340557275548</v>
      </c>
      <c r="AN43" s="178">
        <f>-AN21</f>
        <v>-5.7113003095975232</v>
      </c>
      <c r="AO43" s="178">
        <f>-AO21</f>
        <v>-5.5657894736842115</v>
      </c>
      <c r="AP43" s="178">
        <f>-AP21</f>
        <v>-5.4930340557275548</v>
      </c>
      <c r="AQ43" s="470">
        <f>SUM(AM43:AP43)</f>
        <v>-22.263157894736846</v>
      </c>
      <c r="AR43" s="24"/>
      <c r="AS43" s="178">
        <f>-AS21</f>
        <v>-5.9659442724458209</v>
      </c>
      <c r="AT43" s="178">
        <f>-AT21</f>
        <v>-6.0386996904024777</v>
      </c>
      <c r="AU43" s="178">
        <f>-AU21</f>
        <v>-6.0023219814241493</v>
      </c>
      <c r="AV43" s="178">
        <f>-AV21</f>
        <v>-5.3839009287925705</v>
      </c>
      <c r="AW43" s="470">
        <f>SUM(AS43:AV43)</f>
        <v>-23.390866873065018</v>
      </c>
      <c r="AX43" s="24"/>
      <c r="AY43" s="178">
        <f>-AY21</f>
        <v>-5.8291169451073976</v>
      </c>
      <c r="AZ43" s="178">
        <f>-AZ21</f>
        <v>-5.2954653937947489</v>
      </c>
      <c r="BA43" s="178">
        <f>-BA21</f>
        <v>-5.2954653937947489</v>
      </c>
      <c r="BB43" s="178">
        <f>-BB21</f>
        <v>-5.4596658711217181</v>
      </c>
      <c r="BC43" s="470">
        <f>SUM(AY43:BB43)</f>
        <v>-21.879713603818615</v>
      </c>
      <c r="BD43" s="24"/>
      <c r="BE43" s="745"/>
      <c r="BF43" s="178"/>
      <c r="BG43" s="745"/>
      <c r="BH43" s="745"/>
      <c r="BI43" s="1004"/>
      <c r="BJ43" s="24"/>
      <c r="BK43" s="745"/>
      <c r="BL43" s="745"/>
      <c r="BM43" s="745"/>
      <c r="BN43" s="745"/>
      <c r="BO43" s="1004"/>
      <c r="BQ43" s="745"/>
      <c r="BR43" s="745"/>
      <c r="BS43" s="745"/>
      <c r="BT43" s="745"/>
      <c r="BU43" s="1004"/>
      <c r="BW43" s="745"/>
      <c r="BX43" s="745"/>
      <c r="BY43" s="745"/>
      <c r="BZ43" s="745"/>
      <c r="CA43" s="1004"/>
      <c r="CC43" s="745"/>
      <c r="CD43" s="745"/>
      <c r="CE43" s="745"/>
      <c r="CF43" s="745"/>
      <c r="CG43" s="1004"/>
      <c r="CN43" s="746"/>
      <c r="CO43" s="746"/>
      <c r="CP43" s="746"/>
      <c r="CQ43" s="746"/>
      <c r="CR43" s="746"/>
      <c r="CS43" s="746"/>
      <c r="CX43"/>
      <c r="CY43"/>
      <c r="CZ43"/>
      <c r="DA43"/>
      <c r="DB43"/>
      <c r="DC43"/>
      <c r="DD43"/>
      <c r="DE43"/>
      <c r="DF43"/>
      <c r="DG43"/>
      <c r="DH43"/>
      <c r="DI43"/>
      <c r="DJ43"/>
      <c r="DK43"/>
      <c r="DL43"/>
      <c r="DM43"/>
      <c r="DN43"/>
      <c r="DO43"/>
      <c r="DP43"/>
      <c r="DQ43"/>
      <c r="DR43"/>
      <c r="DS43"/>
      <c r="DT43"/>
      <c r="DU43"/>
      <c r="DV43"/>
      <c r="DW43"/>
      <c r="DX43"/>
      <c r="DY43"/>
      <c r="DZ43"/>
      <c r="EA43"/>
      <c r="EB43"/>
    </row>
    <row r="44" spans="1:132" s="744" customFormat="1" hidden="1" outlineLevel="1" x14ac:dyDescent="0.2">
      <c r="B44" s="766" t="s">
        <v>522</v>
      </c>
      <c r="C44" s="178">
        <f>-C33</f>
        <v>-5.8030866873065028</v>
      </c>
      <c r="D44" s="178">
        <f>-D33</f>
        <v>-5.6861006191950469</v>
      </c>
      <c r="E44" s="178">
        <f>-E33</f>
        <v>-6.162229102167184</v>
      </c>
      <c r="F44" s="178">
        <f>-F33</f>
        <v>-6.5993622291021685</v>
      </c>
      <c r="G44" s="470">
        <f>SUM(C44:F44)</f>
        <v>-24.250778637770903</v>
      </c>
      <c r="H44" s="24"/>
      <c r="I44" s="178">
        <f>-I33</f>
        <v>-5.7612027863777096</v>
      </c>
      <c r="J44" s="178">
        <f>-J33</f>
        <v>-5.6947662538699699</v>
      </c>
      <c r="K44" s="178">
        <f>-K33</f>
        <v>-5.411207430340558</v>
      </c>
      <c r="L44" s="178">
        <f>-L33</f>
        <v>-5.3235882352941184</v>
      </c>
      <c r="M44" s="470">
        <f>SUM(I44:L44)</f>
        <v>-22.190764705882355</v>
      </c>
      <c r="N44" s="24"/>
      <c r="O44" s="178">
        <f>-O33</f>
        <v>-4.8349427244582044</v>
      </c>
      <c r="P44" s="178">
        <f>-P33</f>
        <v>-4.7646547987616108</v>
      </c>
      <c r="Q44" s="178">
        <f>-Q33</f>
        <v>-4.6375588235294121</v>
      </c>
      <c r="R44" s="178">
        <f>-R33</f>
        <v>-5.5195278637770908</v>
      </c>
      <c r="S44" s="470">
        <f>SUM(O44:R44)</f>
        <v>-19.756684210526316</v>
      </c>
      <c r="T44" s="24"/>
      <c r="U44" s="178">
        <f>-U33</f>
        <v>-5.6278482972136228</v>
      </c>
      <c r="V44" s="178">
        <f>-V33</f>
        <v>-5.607628482972137</v>
      </c>
      <c r="W44" s="178">
        <f>-W33</f>
        <v>-5.5662260061919513</v>
      </c>
      <c r="X44" s="178">
        <f>-X33</f>
        <v>-6.5040402476780192</v>
      </c>
      <c r="Y44" s="470">
        <f>SUM(U44:X44)</f>
        <v>-23.30574303405573</v>
      </c>
      <c r="Z44" s="24"/>
      <c r="AA44" s="178">
        <f>-AA33</f>
        <v>-6.8097445820433444</v>
      </c>
      <c r="AB44" s="178">
        <f>-AB33</f>
        <v>-6.9276934984520135</v>
      </c>
      <c r="AC44" s="178">
        <f>-AC33</f>
        <v>-6.4920046439628489</v>
      </c>
      <c r="AD44" s="178">
        <f>-AD33</f>
        <v>-6.3962012383900939</v>
      </c>
      <c r="AE44" s="470">
        <f>SUM(AA44:AD44)</f>
        <v>-26.625643962848304</v>
      </c>
      <c r="AF44" s="24"/>
      <c r="AG44" s="178">
        <f>-AG33</f>
        <v>-6.5656625386996916</v>
      </c>
      <c r="AH44" s="178">
        <f>-AH33</f>
        <v>-6.302804953560373</v>
      </c>
      <c r="AI44" s="178">
        <f>-AI33</f>
        <v>-6.0688328173374622</v>
      </c>
      <c r="AJ44" s="178">
        <f>-AJ33</f>
        <v>-6.7856733746130047</v>
      </c>
      <c r="AK44" s="470">
        <f>SUM(AG44:AJ44)</f>
        <v>-25.72297368421053</v>
      </c>
      <c r="AL44" s="24"/>
      <c r="AM44" s="178">
        <f>-AM33</f>
        <v>-7.2695046439628488</v>
      </c>
      <c r="AN44" s="178">
        <f>-AN33</f>
        <v>-7.5583591331269355</v>
      </c>
      <c r="AO44" s="178">
        <f>-AO33</f>
        <v>-7.3657894736842122</v>
      </c>
      <c r="AP44" s="178">
        <f>-AP33</f>
        <v>-7.2695046439628488</v>
      </c>
      <c r="AQ44" s="470">
        <f>SUM(AM44:AP44)</f>
        <v>-29.463157894736845</v>
      </c>
      <c r="AR44" s="24"/>
      <c r="AS44" s="178">
        <f>-AS33</f>
        <v>-7.8953560371517035</v>
      </c>
      <c r="AT44" s="178">
        <f>-AT33</f>
        <v>-7.991640866873067</v>
      </c>
      <c r="AU44" s="178">
        <f>-AU33</f>
        <v>-7.9434984520123848</v>
      </c>
      <c r="AV44" s="178">
        <f>-AV33</f>
        <v>-7.1250773993808059</v>
      </c>
      <c r="AW44" s="470">
        <f>SUM(AS44:AV44)</f>
        <v>-30.955572755417961</v>
      </c>
      <c r="AX44" s="24"/>
      <c r="AY44" s="178">
        <f>-AY33</f>
        <v>-5.8291169451073976</v>
      </c>
      <c r="AZ44" s="178">
        <f>-AZ33</f>
        <v>-5.2954653937947489</v>
      </c>
      <c r="BA44" s="178">
        <f>-BA33</f>
        <v>-5.2954653937947489</v>
      </c>
      <c r="BB44" s="178">
        <f>-BB33</f>
        <v>-5.4596658711217181</v>
      </c>
      <c r="BC44" s="470">
        <f>SUM(AY44:BB44)</f>
        <v>-21.879713603818615</v>
      </c>
      <c r="BD44" s="24"/>
      <c r="BE44" s="745"/>
      <c r="BF44" s="178"/>
      <c r="BG44" s="745"/>
      <c r="BH44" s="745"/>
      <c r="BI44" s="1004"/>
      <c r="BJ44" s="24"/>
      <c r="BK44" s="745"/>
      <c r="BL44" s="745"/>
      <c r="BM44" s="745"/>
      <c r="BN44" s="745"/>
      <c r="BO44" s="1004"/>
      <c r="BQ44" s="745"/>
      <c r="BR44" s="745"/>
      <c r="BS44" s="745"/>
      <c r="BT44" s="745"/>
      <c r="BU44" s="1004"/>
      <c r="BW44" s="745"/>
      <c r="BX44" s="745"/>
      <c r="BY44" s="745"/>
      <c r="BZ44" s="745"/>
      <c r="CA44" s="1004"/>
      <c r="CC44" s="745"/>
      <c r="CD44" s="745"/>
      <c r="CE44" s="745"/>
      <c r="CF44" s="745"/>
      <c r="CG44" s="1004"/>
      <c r="CN44" s="746"/>
      <c r="CO44" s="746"/>
      <c r="CP44" s="746"/>
      <c r="CQ44" s="746"/>
      <c r="CR44" s="746"/>
      <c r="CS44" s="746"/>
      <c r="CX44"/>
      <c r="CY44"/>
      <c r="CZ44"/>
      <c r="DA44"/>
      <c r="DB44"/>
      <c r="DC44"/>
      <c r="DD44"/>
      <c r="DE44"/>
      <c r="DF44"/>
      <c r="DG44"/>
      <c r="DH44"/>
      <c r="DI44"/>
      <c r="DJ44"/>
      <c r="DK44"/>
      <c r="DL44"/>
      <c r="DM44"/>
      <c r="DN44"/>
      <c r="DO44"/>
      <c r="DP44"/>
      <c r="DQ44"/>
      <c r="DR44"/>
      <c r="DS44"/>
      <c r="DT44"/>
      <c r="DU44"/>
      <c r="DV44"/>
      <c r="DW44"/>
      <c r="DX44"/>
      <c r="DY44"/>
      <c r="DZ44"/>
      <c r="EA44"/>
      <c r="EB44"/>
    </row>
    <row r="45" spans="1:132" s="744" customFormat="1" hidden="1" outlineLevel="1" x14ac:dyDescent="0.2">
      <c r="B45" s="766" t="s">
        <v>523</v>
      </c>
      <c r="C45" s="178">
        <f>-C42-C43-C44</f>
        <v>-1.8659442724458186</v>
      </c>
      <c r="D45" s="178">
        <f>-D42-D43-D44</f>
        <v>-1.8283281733746124</v>
      </c>
      <c r="E45" s="178">
        <f>-E42-E43-E44</f>
        <v>-1.98142414860681</v>
      </c>
      <c r="F45" s="178">
        <f>-F42-F43-F44</f>
        <v>-2.121981424148605</v>
      </c>
      <c r="G45" s="470">
        <f>SUM(C45:F45)</f>
        <v>-7.7976780185758461</v>
      </c>
      <c r="H45" s="24"/>
      <c r="I45" s="178">
        <f>-I42-I43-I44</f>
        <v>-1.852476780185758</v>
      </c>
      <c r="J45" s="178">
        <f>-J42-J43-J44</f>
        <v>-1.8311145510835907</v>
      </c>
      <c r="K45" s="178">
        <f>-K42-K43-K44</f>
        <v>-1.7399380804953548</v>
      </c>
      <c r="L45" s="178">
        <f>-L42-L43-L44</f>
        <v>-1.7117647058823513</v>
      </c>
      <c r="M45" s="470">
        <f>SUM(I45:L45)</f>
        <v>-7.1352941176470548</v>
      </c>
      <c r="N45" s="24"/>
      <c r="O45" s="178">
        <f>-O42-O43-O44</f>
        <v>-1.5546439628482966</v>
      </c>
      <c r="P45" s="178">
        <f>-P42-P43-P44</f>
        <v>-1.5320433436532497</v>
      </c>
      <c r="Q45" s="178">
        <f>-Q42-Q43-Q44</f>
        <v>-1.4911764705882344</v>
      </c>
      <c r="R45" s="178">
        <f>-R42-R43-R44</f>
        <v>-1.7747678018575836</v>
      </c>
      <c r="S45" s="470">
        <f>SUM(O45:R45)</f>
        <v>-6.3526315789473644</v>
      </c>
      <c r="T45" s="24"/>
      <c r="U45" s="178">
        <f>-U42-U43-U44</f>
        <v>-1.8095975232198134</v>
      </c>
      <c r="V45" s="178">
        <f>-V42-V43-V44</f>
        <v>-1.8030959752321971</v>
      </c>
      <c r="W45" s="178">
        <f>-W42-W43-W44</f>
        <v>-1.7897832817337447</v>
      </c>
      <c r="X45" s="178">
        <f>-X42-X43-X44</f>
        <v>-2.0913312693498449</v>
      </c>
      <c r="Y45" s="470">
        <f>SUM(U45:X45)</f>
        <v>-7.4938080495356001</v>
      </c>
      <c r="Z45" s="24"/>
      <c r="AA45" s="178">
        <f>-AA42-AA43-AA44</f>
        <v>-2.1896284829721351</v>
      </c>
      <c r="AB45" s="178">
        <f>-AB42-AB43-AB44</f>
        <v>-2.2275541795665621</v>
      </c>
      <c r="AC45" s="178">
        <f>-AC42-AC43-AC44</f>
        <v>-2.087461300309597</v>
      </c>
      <c r="AD45" s="178">
        <f>-AD42-AD43-AD44</f>
        <v>-2.0566563467492243</v>
      </c>
      <c r="AE45" s="470">
        <f>SUM(AA45:AD45)</f>
        <v>-8.5613003095975184</v>
      </c>
      <c r="AF45" s="24"/>
      <c r="AG45" s="178">
        <f>-AG42-AG43-AG44</f>
        <v>-2.1111455108359118</v>
      </c>
      <c r="AH45" s="178">
        <f>-AH42-AH43-AH44</f>
        <v>-2.0266253869969022</v>
      </c>
      <c r="AI45" s="178">
        <f>-AI42-AI43-AI44</f>
        <v>-1.9513931888544889</v>
      </c>
      <c r="AJ45" s="178">
        <f>-AJ42-AJ43-AJ44</f>
        <v>-2.1818885448916383</v>
      </c>
      <c r="AK45" s="470">
        <f>SUM(AG45:AJ45)</f>
        <v>-8.2710526315789412</v>
      </c>
      <c r="AL45" s="24"/>
      <c r="AM45" s="178">
        <f>-AM42-AM43-AM44</f>
        <v>-2.337461300309597</v>
      </c>
      <c r="AN45" s="178">
        <f>-AN42-AN43-AN44</f>
        <v>-2.4303405572755414</v>
      </c>
      <c r="AO45" s="178">
        <f>-AO42-AO43-AO44</f>
        <v>-2.3684210526315761</v>
      </c>
      <c r="AP45" s="178">
        <f>-AP42-AP43-AP44</f>
        <v>-2.337461300309597</v>
      </c>
      <c r="AQ45" s="470">
        <f>SUM(AM45:AP45)</f>
        <v>-9.4736842105263115</v>
      </c>
      <c r="AR45" s="24"/>
      <c r="AS45" s="178">
        <f>-AS42-AS43-AS44</f>
        <v>-2.5386996904024741</v>
      </c>
      <c r="AT45" s="178">
        <f>-AT42-AT43-AT44</f>
        <v>-2.5696594427244568</v>
      </c>
      <c r="AU45" s="178">
        <f>-AU42-AU43-AU44</f>
        <v>-2.5541795665634659</v>
      </c>
      <c r="AV45" s="178">
        <f>-AV42-AV43-AV44</f>
        <v>-2.2910216718266243</v>
      </c>
      <c r="AW45" s="470">
        <f>SUM(AS45:AV45)</f>
        <v>-9.9535603715170211</v>
      </c>
      <c r="AX45" s="24"/>
      <c r="AY45" s="178">
        <f>-AY42-AY43-AY44</f>
        <v>-2.541766109785204</v>
      </c>
      <c r="AZ45" s="178">
        <f>-AZ42-AZ43-AZ44</f>
        <v>-2.3090692124105026</v>
      </c>
      <c r="BA45" s="178">
        <f>-BA42-BA43-BA44</f>
        <v>-2.3090692124105026</v>
      </c>
      <c r="BB45" s="178">
        <f>-BB42-BB43-BB44</f>
        <v>-2.3806682577565645</v>
      </c>
      <c r="BC45" s="470">
        <f>SUM(AY45:BB45)</f>
        <v>-9.5405727923627737</v>
      </c>
      <c r="BD45" s="24"/>
      <c r="BE45" s="745"/>
      <c r="BF45" s="178"/>
      <c r="BG45" s="745"/>
      <c r="BH45" s="745"/>
      <c r="BI45" s="1004"/>
      <c r="BJ45" s="24"/>
      <c r="BK45" s="745"/>
      <c r="BL45" s="745"/>
      <c r="BM45" s="745"/>
      <c r="BN45" s="745"/>
      <c r="BO45" s="1004"/>
      <c r="BQ45" s="745"/>
      <c r="BR45" s="745"/>
      <c r="BS45" s="745"/>
      <c r="BT45" s="745"/>
      <c r="BU45" s="1004"/>
      <c r="BW45" s="745"/>
      <c r="BX45" s="745"/>
      <c r="BY45" s="745"/>
      <c r="BZ45" s="745"/>
      <c r="CA45" s="1004"/>
      <c r="CC45" s="745"/>
      <c r="CD45" s="745"/>
      <c r="CE45" s="745"/>
      <c r="CF45" s="745"/>
      <c r="CG45" s="1004"/>
      <c r="CN45" s="746"/>
      <c r="CO45" s="746"/>
      <c r="CP45" s="746"/>
      <c r="CQ45" s="746"/>
      <c r="CR45" s="746"/>
      <c r="CS45" s="746"/>
      <c r="CX45"/>
      <c r="CY45"/>
      <c r="CZ45"/>
      <c r="DA45"/>
      <c r="DB45"/>
      <c r="DC45"/>
      <c r="DD45"/>
      <c r="DE45"/>
      <c r="DF45"/>
      <c r="DG45"/>
      <c r="DH45"/>
      <c r="DI45"/>
      <c r="DJ45"/>
      <c r="DK45"/>
      <c r="DL45"/>
      <c r="DM45"/>
      <c r="DN45"/>
      <c r="DO45"/>
      <c r="DP45"/>
      <c r="DQ45"/>
      <c r="DR45"/>
      <c r="DS45"/>
      <c r="DT45"/>
      <c r="DU45"/>
      <c r="DV45"/>
      <c r="DW45"/>
      <c r="DX45"/>
      <c r="DY45"/>
      <c r="DZ45"/>
      <c r="EA45"/>
      <c r="EB45"/>
    </row>
    <row r="46" spans="1:132" collapsed="1" x14ac:dyDescent="0.2">
      <c r="A46" s="290"/>
      <c r="B46" s="176" t="s">
        <v>405</v>
      </c>
      <c r="C46" s="178">
        <f>SUM(C41:C42,C43:C45)</f>
        <v>0</v>
      </c>
      <c r="D46" s="178">
        <f>SUM(D41:D42,D43:D45)</f>
        <v>0</v>
      </c>
      <c r="E46" s="178">
        <f>SUM(E41:E42,E43:E45)</f>
        <v>0</v>
      </c>
      <c r="F46" s="178">
        <f>SUM(F41:F42,F43:F45)</f>
        <v>0</v>
      </c>
      <c r="G46" s="645">
        <f>SUM(G41:G42,G43:G45)</f>
        <v>0</v>
      </c>
      <c r="H46" s="178"/>
      <c r="I46" s="178">
        <f>SUM(I41:I42,I43:I45)</f>
        <v>0</v>
      </c>
      <c r="J46" s="178">
        <f>SUM(J41:J42,J43:J45)</f>
        <v>0</v>
      </c>
      <c r="K46" s="178">
        <f>SUM(K41:K42,K43:K45)</f>
        <v>0</v>
      </c>
      <c r="L46" s="178">
        <f>SUM(L41:L42,L43:L45)</f>
        <v>0</v>
      </c>
      <c r="M46" s="645">
        <f>SUM(M41:M42,M43:M45)</f>
        <v>0</v>
      </c>
      <c r="N46" s="178"/>
      <c r="O46" s="178">
        <f>SUM(O41:O42,O43:O45)</f>
        <v>0</v>
      </c>
      <c r="P46" s="178">
        <f>SUM(P41:P42,P43:P45)</f>
        <v>0</v>
      </c>
      <c r="Q46" s="178">
        <f>SUM(Q41:Q42,Q43:Q45)</f>
        <v>0</v>
      </c>
      <c r="R46" s="178">
        <f>SUM(R41:R42,R43:R45)</f>
        <v>0</v>
      </c>
      <c r="S46" s="645">
        <f>SUM(S41:S42,S43:S45)</f>
        <v>0</v>
      </c>
      <c r="T46" s="178"/>
      <c r="U46" s="178">
        <f>SUM(U41:U42,U43:U45)</f>
        <v>0</v>
      </c>
      <c r="V46" s="178">
        <f>SUM(V41:V42,V43:V45)</f>
        <v>0</v>
      </c>
      <c r="W46" s="178">
        <f>SUM(W41:W42,W43:W45)</f>
        <v>0</v>
      </c>
      <c r="X46" s="178">
        <f>SUM(X41:X42,X43:X45)</f>
        <v>0</v>
      </c>
      <c r="Y46" s="645">
        <f>SUM(Y41:Y42,Y43:Y45)</f>
        <v>0</v>
      </c>
      <c r="Z46" s="178"/>
      <c r="AA46" s="178">
        <f>SUM(AA41:AA42,AA43:AA45)</f>
        <v>0</v>
      </c>
      <c r="AB46" s="178">
        <f>SUM(AB41:AB42,AB43:AB45)</f>
        <v>0</v>
      </c>
      <c r="AC46" s="178">
        <f>SUM(AC41:AC42,AC43:AC45)</f>
        <v>0</v>
      </c>
      <c r="AD46" s="178">
        <f>SUM(AD41:AD42,AD43:AD45)</f>
        <v>0</v>
      </c>
      <c r="AE46" s="645">
        <f>SUM(AE41:AE42,AE43:AE45)</f>
        <v>0</v>
      </c>
      <c r="AF46" s="178"/>
      <c r="AG46" s="178">
        <f>SUM(AG41:AG42,AG43:AG45)</f>
        <v>0</v>
      </c>
      <c r="AH46" s="178">
        <f>SUM(AH41:AH42,AH43:AH45)</f>
        <v>0</v>
      </c>
      <c r="AI46" s="178">
        <f>SUM(AI41:AI42,AI43:AI45)</f>
        <v>0</v>
      </c>
      <c r="AJ46" s="178">
        <f>SUM(AJ41:AJ42,AJ43:AJ45)</f>
        <v>0</v>
      </c>
      <c r="AK46" s="645">
        <f>SUM(AK41:AK42,AK43:AK45)</f>
        <v>0</v>
      </c>
      <c r="AL46" s="178"/>
      <c r="AM46" s="178">
        <f>SUM(AM41:AM42,AM43:AM45)</f>
        <v>0</v>
      </c>
      <c r="AN46" s="178">
        <f>SUM(AN41:AN42,AN43:AN45)</f>
        <v>0</v>
      </c>
      <c r="AO46" s="178">
        <f>SUM(AO41:AO42,AO43:AO45)</f>
        <v>0</v>
      </c>
      <c r="AP46" s="178">
        <f>SUM(AP41:AP42,AP43:AP45)</f>
        <v>0</v>
      </c>
      <c r="AQ46" s="645">
        <f>SUM(AQ41:AQ42,AQ43:AQ45)</f>
        <v>0</v>
      </c>
      <c r="AR46" s="178"/>
      <c r="AS46" s="178">
        <f>SUM(AS41:AS42,AS43:AS45)</f>
        <v>0</v>
      </c>
      <c r="AT46" s="178">
        <f>SUM(AT41:AT42,AT43:AT45)</f>
        <v>0</v>
      </c>
      <c r="AU46" s="178">
        <f>SUM(AU41:AU42,AU43:AU45)</f>
        <v>0</v>
      </c>
      <c r="AV46" s="178">
        <f>SUM(AV41:AV42,AV43:AV45)</f>
        <v>0</v>
      </c>
      <c r="AW46" s="645">
        <f>SUM(AW41:AW42,AW43:AW45)</f>
        <v>0</v>
      </c>
      <c r="AX46" s="178"/>
      <c r="AY46" s="178">
        <f>SUM(AY41:AY42,AY43:AY45)</f>
        <v>0</v>
      </c>
      <c r="AZ46" s="178">
        <f>SUM(AZ41:AZ42,AZ43:AZ45)</f>
        <v>0</v>
      </c>
      <c r="BA46" s="178">
        <f>SUM(BA41:BA42,BA43:BA45)</f>
        <v>0</v>
      </c>
      <c r="BB46" s="178">
        <f>SUM(BB41:BB42,BB43:BB45)</f>
        <v>0</v>
      </c>
      <c r="BC46" s="645">
        <f>SUM(BC41:BC42,BC43:BC45)</f>
        <v>0</v>
      </c>
      <c r="BD46" s="178"/>
      <c r="BE46" s="966">
        <v>0</v>
      </c>
      <c r="BF46" s="966">
        <v>0</v>
      </c>
      <c r="BG46" s="966">
        <v>0</v>
      </c>
      <c r="BH46" s="966">
        <v>0</v>
      </c>
      <c r="BI46" s="645">
        <f>SUM(BE46:BH46)</f>
        <v>0</v>
      </c>
      <c r="BJ46" s="178"/>
      <c r="BK46" s="966">
        <v>0</v>
      </c>
      <c r="BL46" s="966">
        <v>0</v>
      </c>
      <c r="BM46" s="966">
        <v>0</v>
      </c>
      <c r="BN46" s="966">
        <v>0</v>
      </c>
      <c r="BO46" s="645">
        <f>SUM(BK46:BN46)</f>
        <v>0</v>
      </c>
      <c r="BP46" s="178"/>
      <c r="BQ46" s="966">
        <v>0</v>
      </c>
      <c r="BR46" s="966">
        <v>0</v>
      </c>
      <c r="BS46" s="966">
        <v>0</v>
      </c>
      <c r="BT46" s="966">
        <v>0</v>
      </c>
      <c r="BU46" s="645">
        <f>SUM(BQ46:BT46)</f>
        <v>0</v>
      </c>
      <c r="BV46" s="178"/>
      <c r="BW46" s="966">
        <v>0</v>
      </c>
      <c r="BX46" s="966">
        <v>0</v>
      </c>
      <c r="BY46" s="966">
        <v>0</v>
      </c>
      <c r="BZ46" s="966">
        <v>0</v>
      </c>
      <c r="CA46" s="645">
        <f>SUM(BW46:BZ46)</f>
        <v>0</v>
      </c>
      <c r="CB46" s="178"/>
      <c r="CC46" s="966">
        <v>0</v>
      </c>
      <c r="CD46" s="966">
        <v>0</v>
      </c>
      <c r="CE46" s="966">
        <v>0</v>
      </c>
      <c r="CF46" s="966">
        <v>0</v>
      </c>
      <c r="CG46" s="645">
        <f>SUM(CC46:CF46)</f>
        <v>0</v>
      </c>
      <c r="CN46" s="747"/>
      <c r="CO46" s="748"/>
      <c r="CP46" s="749"/>
      <c r="CQ46" s="749"/>
      <c r="CR46" s="748"/>
      <c r="CS46" s="748"/>
    </row>
    <row r="47" spans="1:132" hidden="1" outlineLevel="1" x14ac:dyDescent="0.2">
      <c r="A47" s="290"/>
      <c r="B47" s="766" t="s">
        <v>381</v>
      </c>
      <c r="C47" s="743">
        <v>0.99</v>
      </c>
      <c r="D47" s="743">
        <v>3.2069999999999999</v>
      </c>
      <c r="E47" s="743">
        <v>4.6920000000000002</v>
      </c>
      <c r="F47" s="743">
        <f>10.527-E47-D47-C47</f>
        <v>1.6379999999999992</v>
      </c>
      <c r="G47" s="470">
        <f>SUM(C47:F47)</f>
        <v>10.526999999999999</v>
      </c>
      <c r="I47" s="743">
        <v>0.20399999999999999</v>
      </c>
      <c r="J47" s="743">
        <v>1.458</v>
      </c>
      <c r="K47" s="743">
        <v>18.539000000000001</v>
      </c>
      <c r="L47" s="743">
        <f>32.355-K47-J47-I47</f>
        <v>12.153999999999995</v>
      </c>
      <c r="M47" s="470">
        <f>SUM(I47:L47)</f>
        <v>32.354999999999997</v>
      </c>
      <c r="O47" s="743">
        <v>1.57</v>
      </c>
      <c r="P47" s="743">
        <v>3.125</v>
      </c>
      <c r="Q47" s="743">
        <v>1.21</v>
      </c>
      <c r="R47" s="743">
        <f>6.89-Q47-P47-O47</f>
        <v>0.98499999999999965</v>
      </c>
      <c r="S47" s="470">
        <f>SUM(O47:R47)</f>
        <v>6.89</v>
      </c>
      <c r="U47" s="743">
        <v>4.68</v>
      </c>
      <c r="V47" s="743">
        <v>0.24299999999999999</v>
      </c>
      <c r="W47" s="743">
        <v>0.33800000000000002</v>
      </c>
      <c r="X47" s="743">
        <f>10.984-W47-V47-U47</f>
        <v>5.7230000000000008</v>
      </c>
      <c r="Y47" s="470">
        <f>SUM(U47:X47)</f>
        <v>10.984000000000002</v>
      </c>
      <c r="AA47" s="743">
        <v>0.63300000000000001</v>
      </c>
      <c r="AB47" s="743">
        <v>6.8630000000000004</v>
      </c>
      <c r="AC47" s="743">
        <v>26.353000000000002</v>
      </c>
      <c r="AD47" s="743">
        <f>35.865-AC47-AB47-AA47</f>
        <v>2.016</v>
      </c>
      <c r="AE47" s="470">
        <f>SUM(AA47:AD47)</f>
        <v>35.865000000000002</v>
      </c>
      <c r="AG47" s="743">
        <v>1.2370000000000001</v>
      </c>
      <c r="AH47" s="743">
        <v>2.528</v>
      </c>
      <c r="AI47" s="743">
        <v>15.097</v>
      </c>
      <c r="AJ47" s="743">
        <f>25.717-AI47-AH47-AG47</f>
        <v>6.8549999999999986</v>
      </c>
      <c r="AK47" s="470">
        <f>SUM(AG47:AJ47)</f>
        <v>25.716999999999999</v>
      </c>
      <c r="AM47" s="743">
        <v>0.66500000000000004</v>
      </c>
      <c r="AN47" s="743">
        <v>2.169</v>
      </c>
      <c r="AO47" s="743">
        <v>2.2309999999999999</v>
      </c>
      <c r="AP47" s="743">
        <f>13.356-AO47-AN47-AM47</f>
        <v>8.2910000000000004</v>
      </c>
      <c r="AQ47" s="470">
        <f>SUM(AM47:AP47)</f>
        <v>13.356</v>
      </c>
      <c r="AS47" s="743">
        <v>0.79300000000000004</v>
      </c>
      <c r="AT47" s="743">
        <v>1.242</v>
      </c>
      <c r="AU47" s="743">
        <v>2.5</v>
      </c>
      <c r="AV47" s="743">
        <f>11.083-AU47-AT47-AS47</f>
        <v>6.548</v>
      </c>
      <c r="AW47" s="470">
        <f>SUM(AS47:AV47)</f>
        <v>11.083</v>
      </c>
      <c r="AY47" s="743">
        <v>5.4260000000000002</v>
      </c>
      <c r="AZ47" s="743">
        <v>38.881</v>
      </c>
      <c r="BA47" s="743">
        <v>6.6</v>
      </c>
      <c r="BB47" s="743">
        <f>64.7-BA47-AZ47-AY47</f>
        <v>13.793000000000001</v>
      </c>
      <c r="BC47" s="470">
        <f>SUM(AY47:BB47)</f>
        <v>64.7</v>
      </c>
      <c r="BD47" s="178"/>
      <c r="BE47" s="1005"/>
      <c r="BF47" s="1005"/>
      <c r="BG47" s="1005"/>
      <c r="BH47" s="1005"/>
      <c r="BI47" s="644"/>
      <c r="BJ47" s="178"/>
      <c r="BK47" s="1005"/>
      <c r="BL47" s="1005"/>
      <c r="BM47" s="1005"/>
      <c r="BN47" s="1005"/>
      <c r="BO47" s="644"/>
      <c r="BP47" s="178"/>
      <c r="BQ47" s="1005"/>
      <c r="BR47" s="1005"/>
      <c r="BS47" s="1005"/>
      <c r="BT47" s="1005"/>
      <c r="BU47" s="644"/>
      <c r="BV47" s="178"/>
      <c r="BW47" s="1005"/>
      <c r="BX47" s="1005"/>
      <c r="BY47" s="1005"/>
      <c r="BZ47" s="1005"/>
      <c r="CA47" s="644"/>
      <c r="CB47" s="178"/>
      <c r="CC47" s="1005"/>
      <c r="CD47" s="1005"/>
      <c r="CE47" s="1005"/>
      <c r="CF47" s="1005"/>
      <c r="CG47" s="644"/>
      <c r="CN47" s="747"/>
      <c r="CO47" s="748"/>
      <c r="CP47" s="749"/>
      <c r="CQ47" s="749"/>
      <c r="CR47" s="748"/>
      <c r="CS47" s="748"/>
    </row>
    <row r="48" spans="1:132" collapsed="1" x14ac:dyDescent="0.2">
      <c r="A48" s="300"/>
      <c r="B48" s="176" t="s">
        <v>558</v>
      </c>
      <c r="C48" s="178">
        <f>C47*0</f>
        <v>0</v>
      </c>
      <c r="D48" s="178">
        <f>D47*0</f>
        <v>0</v>
      </c>
      <c r="E48" s="178">
        <f>E47*0</f>
        <v>0</v>
      </c>
      <c r="F48" s="178">
        <f>F47*0</f>
        <v>0</v>
      </c>
      <c r="G48" s="645">
        <f>G47*0</f>
        <v>0</v>
      </c>
      <c r="H48" s="711"/>
      <c r="I48" s="178">
        <f>I47*0</f>
        <v>0</v>
      </c>
      <c r="J48" s="178">
        <f>J47*0</f>
        <v>0</v>
      </c>
      <c r="K48" s="178">
        <f>K47*0</f>
        <v>0</v>
      </c>
      <c r="L48" s="178">
        <f>L47*0</f>
        <v>0</v>
      </c>
      <c r="M48" s="645">
        <f>M47*0</f>
        <v>0</v>
      </c>
      <c r="N48" s="711"/>
      <c r="O48" s="178">
        <f>O47*0</f>
        <v>0</v>
      </c>
      <c r="P48" s="178">
        <f>P47*0</f>
        <v>0</v>
      </c>
      <c r="Q48" s="178">
        <f>Q47*0</f>
        <v>0</v>
      </c>
      <c r="R48" s="178">
        <f>R47*0</f>
        <v>0</v>
      </c>
      <c r="S48" s="645">
        <f>S47*0</f>
        <v>0</v>
      </c>
      <c r="T48" s="711"/>
      <c r="U48" s="178">
        <f>U47*0</f>
        <v>0</v>
      </c>
      <c r="V48" s="178">
        <f>V47*0</f>
        <v>0</v>
      </c>
      <c r="W48" s="178">
        <f>W47*0</f>
        <v>0</v>
      </c>
      <c r="X48" s="178">
        <f>X47*0</f>
        <v>0</v>
      </c>
      <c r="Y48" s="645">
        <f>Y47*0</f>
        <v>0</v>
      </c>
      <c r="Z48" s="711"/>
      <c r="AA48" s="178">
        <f>AA47*0</f>
        <v>0</v>
      </c>
      <c r="AB48" s="178">
        <f>AB47*0</f>
        <v>0</v>
      </c>
      <c r="AC48" s="178">
        <f>AC47*0</f>
        <v>0</v>
      </c>
      <c r="AD48" s="178">
        <f>AD47*0</f>
        <v>0</v>
      </c>
      <c r="AE48" s="645">
        <f>AE47*0</f>
        <v>0</v>
      </c>
      <c r="AF48" s="711"/>
      <c r="AG48" s="178">
        <f>AG47*0</f>
        <v>0</v>
      </c>
      <c r="AH48" s="178">
        <f>AH47*0</f>
        <v>0</v>
      </c>
      <c r="AI48" s="178">
        <f>AI47*0</f>
        <v>0</v>
      </c>
      <c r="AJ48" s="178">
        <f>AJ47*0</f>
        <v>0</v>
      </c>
      <c r="AK48" s="645">
        <f>AK47*0</f>
        <v>0</v>
      </c>
      <c r="AL48" s="711"/>
      <c r="AM48" s="178">
        <f>AM47*0</f>
        <v>0</v>
      </c>
      <c r="AN48" s="178">
        <f>AN47*0</f>
        <v>0</v>
      </c>
      <c r="AO48" s="178">
        <f>AO47*0</f>
        <v>0</v>
      </c>
      <c r="AP48" s="178">
        <f>AP47*0</f>
        <v>0</v>
      </c>
      <c r="AQ48" s="645">
        <f>AQ47*0</f>
        <v>0</v>
      </c>
      <c r="AR48" s="711"/>
      <c r="AS48" s="178">
        <f>AS47*0</f>
        <v>0</v>
      </c>
      <c r="AT48" s="178">
        <f>AT47*0</f>
        <v>0</v>
      </c>
      <c r="AU48" s="178">
        <f>AU47*0</f>
        <v>0</v>
      </c>
      <c r="AV48" s="178">
        <f>AV47*0</f>
        <v>0</v>
      </c>
      <c r="AW48" s="645">
        <f>AW47*0</f>
        <v>0</v>
      </c>
      <c r="AX48" s="711"/>
      <c r="AY48" s="178">
        <f>AY47*0</f>
        <v>0</v>
      </c>
      <c r="AZ48" s="178">
        <f>AZ47*0</f>
        <v>0</v>
      </c>
      <c r="BA48" s="178">
        <f>BA47*0</f>
        <v>0</v>
      </c>
      <c r="BB48" s="178">
        <f>BB47*0</f>
        <v>0</v>
      </c>
      <c r="BC48" s="645">
        <f>BC47*0</f>
        <v>0</v>
      </c>
      <c r="BD48" s="711"/>
      <c r="BE48" s="966">
        <v>0</v>
      </c>
      <c r="BF48" s="966">
        <v>0</v>
      </c>
      <c r="BG48" s="966">
        <v>0</v>
      </c>
      <c r="BH48" s="966">
        <v>0</v>
      </c>
      <c r="BI48" s="645">
        <f>SUM(BE48:BH48)</f>
        <v>0</v>
      </c>
      <c r="BJ48" s="178"/>
      <c r="BK48" s="966">
        <v>0</v>
      </c>
      <c r="BL48" s="966">
        <v>0</v>
      </c>
      <c r="BM48" s="966">
        <v>0</v>
      </c>
      <c r="BN48" s="966">
        <v>0</v>
      </c>
      <c r="BO48" s="645">
        <f>SUM(BK48:BN48)</f>
        <v>0</v>
      </c>
      <c r="BP48" s="178"/>
      <c r="BQ48" s="966">
        <v>0</v>
      </c>
      <c r="BR48" s="966">
        <v>0</v>
      </c>
      <c r="BS48" s="966">
        <v>0</v>
      </c>
      <c r="BT48" s="966">
        <v>0</v>
      </c>
      <c r="BU48" s="645">
        <f>SUM(BQ48:BT48)</f>
        <v>0</v>
      </c>
      <c r="BV48" s="178"/>
      <c r="BW48" s="966">
        <v>0</v>
      </c>
      <c r="BX48" s="966">
        <v>0</v>
      </c>
      <c r="BY48" s="966">
        <v>0</v>
      </c>
      <c r="BZ48" s="966">
        <v>0</v>
      </c>
      <c r="CA48" s="645">
        <f>SUM(BW48:BZ48)</f>
        <v>0</v>
      </c>
      <c r="CB48" s="178"/>
      <c r="CC48" s="966">
        <v>0</v>
      </c>
      <c r="CD48" s="966">
        <v>0</v>
      </c>
      <c r="CE48" s="966">
        <v>0</v>
      </c>
      <c r="CF48" s="966">
        <v>0</v>
      </c>
      <c r="CG48" s="645">
        <f>SUM(CC48:CF48)</f>
        <v>0</v>
      </c>
      <c r="CW48" s="711"/>
    </row>
    <row r="49" spans="1:101" x14ac:dyDescent="0.2">
      <c r="A49" s="300"/>
      <c r="B49" s="176"/>
      <c r="C49" s="178"/>
      <c r="D49" s="178"/>
      <c r="E49" s="178"/>
      <c r="F49" s="178"/>
      <c r="G49" s="645"/>
      <c r="H49" s="711"/>
      <c r="I49" s="178"/>
      <c r="J49" s="178"/>
      <c r="K49" s="178"/>
      <c r="L49" s="178"/>
      <c r="M49" s="645"/>
      <c r="N49" s="711"/>
      <c r="O49" s="178"/>
      <c r="P49" s="178"/>
      <c r="Q49" s="178"/>
      <c r="R49" s="178"/>
      <c r="S49" s="645"/>
      <c r="T49" s="711"/>
      <c r="U49" s="178"/>
      <c r="V49" s="178"/>
      <c r="W49" s="178"/>
      <c r="X49" s="178"/>
      <c r="Y49" s="645"/>
      <c r="Z49" s="711"/>
      <c r="AA49" s="178"/>
      <c r="AB49" s="178"/>
      <c r="AC49" s="178"/>
      <c r="AD49" s="178"/>
      <c r="AE49" s="645"/>
      <c r="AF49" s="711"/>
      <c r="AG49" s="178"/>
      <c r="AH49" s="178"/>
      <c r="AI49" s="178"/>
      <c r="AJ49" s="178"/>
      <c r="AK49" s="645"/>
      <c r="AL49" s="711"/>
      <c r="AM49" s="178"/>
      <c r="AN49" s="178"/>
      <c r="AO49" s="178"/>
      <c r="AP49" s="178"/>
      <c r="AQ49" s="645"/>
      <c r="AR49" s="711"/>
      <c r="AS49" s="178"/>
      <c r="AT49" s="178"/>
      <c r="AU49" s="178"/>
      <c r="AV49" s="178"/>
      <c r="AW49" s="645"/>
      <c r="AX49" s="711"/>
      <c r="AY49" s="178"/>
      <c r="AZ49" s="178"/>
      <c r="BA49" s="178"/>
      <c r="BB49" s="178"/>
      <c r="BC49" s="645"/>
      <c r="BD49" s="711"/>
      <c r="BE49" s="178"/>
      <c r="BF49" s="178"/>
      <c r="BG49" s="178"/>
      <c r="BH49" s="178"/>
      <c r="BI49" s="645"/>
      <c r="BJ49" s="711"/>
      <c r="BK49" s="712"/>
      <c r="BL49" s="712"/>
      <c r="BM49" s="712"/>
      <c r="BN49" s="712"/>
      <c r="BO49" s="645"/>
      <c r="BP49" s="711"/>
      <c r="BQ49" s="178"/>
      <c r="BR49" s="178"/>
      <c r="BS49" s="178"/>
      <c r="BT49" s="178"/>
      <c r="BU49" s="645"/>
      <c r="BV49" s="711"/>
      <c r="BW49" s="178"/>
      <c r="BX49" s="178"/>
      <c r="BY49" s="178"/>
      <c r="BZ49" s="178"/>
      <c r="CA49" s="645"/>
      <c r="CB49" s="711"/>
      <c r="CC49" s="178"/>
      <c r="CD49" s="178"/>
      <c r="CE49" s="178"/>
      <c r="CF49" s="178"/>
      <c r="CG49" s="645"/>
      <c r="CW49" s="711"/>
    </row>
    <row r="50" spans="1:101" x14ac:dyDescent="0.2">
      <c r="A50" s="305"/>
      <c r="B50" s="176" t="s">
        <v>378</v>
      </c>
      <c r="C50" s="178">
        <v>141.09130527154335</v>
      </c>
      <c r="D50" s="178">
        <v>159.13910178357608</v>
      </c>
      <c r="E50" s="178">
        <v>162.86036884580037</v>
      </c>
      <c r="F50" s="178">
        <v>184.44852224748743</v>
      </c>
      <c r="G50" s="645">
        <v>647.53929814840694</v>
      </c>
      <c r="H50" s="468"/>
      <c r="I50" s="178">
        <v>178.36508861942517</v>
      </c>
      <c r="J50" s="178">
        <v>186.36220636552929</v>
      </c>
      <c r="K50" s="178">
        <v>171.84101583046791</v>
      </c>
      <c r="L50" s="178">
        <v>168.7492243852017</v>
      </c>
      <c r="M50" s="645">
        <v>705.31753520062398</v>
      </c>
      <c r="N50" s="468"/>
      <c r="O50" s="178">
        <v>160.04628544813448</v>
      </c>
      <c r="P50" s="178">
        <v>183.8252610962692</v>
      </c>
      <c r="Q50" s="178">
        <v>175.93958112955548</v>
      </c>
      <c r="R50" s="178">
        <v>198.77091553735724</v>
      </c>
      <c r="S50" s="645">
        <v>718.58204321131575</v>
      </c>
      <c r="T50" s="468"/>
      <c r="U50" s="178">
        <v>175.27777316810113</v>
      </c>
      <c r="V50" s="178">
        <v>182.89457633905525</v>
      </c>
      <c r="W50" s="178">
        <v>163.79191617996099</v>
      </c>
      <c r="X50" s="178">
        <v>203.90669190788179</v>
      </c>
      <c r="Y50" s="645">
        <v>725.8709575949996</v>
      </c>
      <c r="Z50" s="468"/>
      <c r="AA50" s="178">
        <v>183.06015788120197</v>
      </c>
      <c r="AB50" s="178">
        <v>204.79990998850892</v>
      </c>
      <c r="AC50" s="178">
        <v>187.47625933050915</v>
      </c>
      <c r="AD50" s="178">
        <v>219.82728591637616</v>
      </c>
      <c r="AE50" s="645">
        <v>795.16361311659625</v>
      </c>
      <c r="AF50" s="468"/>
      <c r="AG50" s="178">
        <v>217.47723032162662</v>
      </c>
      <c r="AH50" s="178">
        <v>236.87468245931427</v>
      </c>
      <c r="AI50" s="178">
        <v>216.23581382323306</v>
      </c>
      <c r="AJ50" s="178">
        <v>236.19346113764635</v>
      </c>
      <c r="AK50" s="645">
        <v>906.78118774182008</v>
      </c>
      <c r="AL50" s="468"/>
      <c r="AM50" s="178">
        <v>215.54638708201659</v>
      </c>
      <c r="AN50" s="178">
        <v>256.7650975470155</v>
      </c>
      <c r="AO50" s="178">
        <v>226.65310627539156</v>
      </c>
      <c r="AP50" s="178">
        <v>243.9324978382553</v>
      </c>
      <c r="AQ50" s="645">
        <v>942.89708874267922</v>
      </c>
      <c r="AR50" s="468"/>
      <c r="AS50" s="178">
        <v>233.25550632095408</v>
      </c>
      <c r="AT50" s="178">
        <v>264.38792657873853</v>
      </c>
      <c r="AU50" s="178">
        <v>245.17676601544395</v>
      </c>
      <c r="AV50" s="178">
        <v>234.82076929711238</v>
      </c>
      <c r="AW50" s="645">
        <v>977.64096821224928</v>
      </c>
      <c r="AX50" s="468"/>
      <c r="AY50" s="178">
        <v>222.93590915026371</v>
      </c>
      <c r="AZ50" s="178">
        <v>277.82018365506502</v>
      </c>
      <c r="BA50" s="178">
        <v>257.88582086487833</v>
      </c>
      <c r="BB50" s="178">
        <v>247.16833636081918</v>
      </c>
      <c r="BC50" s="645">
        <v>1005.8102500310265</v>
      </c>
      <c r="BD50" s="468"/>
      <c r="BE50" s="178">
        <v>261.69416796545255</v>
      </c>
      <c r="BF50" s="178">
        <v>288.67133248574146</v>
      </c>
      <c r="BG50" s="178">
        <v>252.3945157226164</v>
      </c>
      <c r="BH50" s="178">
        <v>265.13222704271487</v>
      </c>
      <c r="BI50" s="645">
        <f>+SUM(BE50:BH50)</f>
        <v>1067.8922432165255</v>
      </c>
      <c r="BJ50" s="468"/>
      <c r="BK50" s="178">
        <v>206.94982774416258</v>
      </c>
      <c r="BL50" s="178">
        <v>254.46992639972436</v>
      </c>
      <c r="BM50" s="178">
        <v>272.02012651224459</v>
      </c>
      <c r="BN50" s="178">
        <v>297.60482595454573</v>
      </c>
      <c r="BO50" s="645">
        <f>+SUM(BK50:BN50)</f>
        <v>1031.0447066106772</v>
      </c>
      <c r="BP50" s="468"/>
      <c r="BQ50" s="178">
        <v>199.94941171290461</v>
      </c>
      <c r="BR50" s="178">
        <v>251.036980290576</v>
      </c>
      <c r="BS50" s="178">
        <v>281.99917739916464</v>
      </c>
      <c r="BT50" s="178">
        <v>314.72787650423902</v>
      </c>
      <c r="BU50" s="645">
        <f>+SUM(BQ50:BT50)</f>
        <v>1047.7134459068843</v>
      </c>
      <c r="BV50" s="468"/>
      <c r="BW50" s="178">
        <v>257.73982362992535</v>
      </c>
      <c r="BX50" s="178">
        <v>291.94637144291892</v>
      </c>
      <c r="BY50" s="178">
        <v>297.80773844329968</v>
      </c>
      <c r="BZ50" s="178">
        <v>313.89059233875093</v>
      </c>
      <c r="CA50" s="645">
        <f>+SUM(BW50:BZ50)</f>
        <v>1161.3845258548949</v>
      </c>
      <c r="CB50" s="468"/>
      <c r="CC50" s="178">
        <v>275.36971540583431</v>
      </c>
      <c r="CD50" s="178">
        <v>309.50931641432055</v>
      </c>
      <c r="CE50" s="178">
        <v>316.21825431599092</v>
      </c>
      <c r="CF50" s="178">
        <v>334.77603275730013</v>
      </c>
      <c r="CG50" s="645">
        <f>+SUM(CC50:CF50)</f>
        <v>1235.8733188934459</v>
      </c>
      <c r="CW50" s="468"/>
    </row>
    <row r="51" spans="1:101" ht="11.25" customHeight="1" x14ac:dyDescent="0.2">
      <c r="A51" s="309"/>
      <c r="B51" s="1006" t="s">
        <v>241</v>
      </c>
      <c r="C51" s="288">
        <f>C27-C40-C48</f>
        <v>106.73630527154336</v>
      </c>
      <c r="D51" s="288">
        <f>D27-D40-D48</f>
        <v>123.13010178357607</v>
      </c>
      <c r="E51" s="288">
        <f>E27-E40-E48</f>
        <v>122.59736884580036</v>
      </c>
      <c r="F51" s="288">
        <f>F27-F40-F48</f>
        <v>145.85652224748742</v>
      </c>
      <c r="G51" s="644">
        <f>G27-G40-G48</f>
        <v>498.32029814840689</v>
      </c>
      <c r="H51" s="464"/>
      <c r="I51" s="288">
        <f>I27-I40-I48</f>
        <v>137.24208861942515</v>
      </c>
      <c r="J51" s="288">
        <f>J27-J40-J48</f>
        <v>145.98220636552929</v>
      </c>
      <c r="K51" s="288">
        <f>K27-K40-K48</f>
        <v>130.02501583046788</v>
      </c>
      <c r="L51" s="288">
        <f>L27-L40-L48</f>
        <v>132.9992243852017</v>
      </c>
      <c r="M51" s="644">
        <f>M27-M40-M48</f>
        <v>546.24853520062391</v>
      </c>
      <c r="N51" s="464"/>
      <c r="O51" s="288">
        <f>O27-O40-O48</f>
        <v>121.32428544813448</v>
      </c>
      <c r="P51" s="288">
        <f>P27-P40-P48</f>
        <v>143.66926109626922</v>
      </c>
      <c r="Q51" s="288">
        <f>Q27-Q40-Q48</f>
        <v>136.09758112955546</v>
      </c>
      <c r="R51" s="288">
        <f>R27-R40-R48</f>
        <v>161.16191553735723</v>
      </c>
      <c r="S51" s="644">
        <f>S27-S40-S48</f>
        <v>562.25304321131568</v>
      </c>
      <c r="T51" s="464"/>
      <c r="U51" s="288">
        <f>U27-U40-U48</f>
        <v>136.67877316810112</v>
      </c>
      <c r="V51" s="288">
        <f>V27-V40-V48</f>
        <v>146.79157633905527</v>
      </c>
      <c r="W51" s="288">
        <f>W27-W40-W48</f>
        <v>127.42991617996097</v>
      </c>
      <c r="X51" s="288">
        <f>X27-X40-X48</f>
        <v>168.4786919078818</v>
      </c>
      <c r="Y51" s="644">
        <f>Y27-Y40-Y48</f>
        <v>579.37895759499963</v>
      </c>
      <c r="Z51" s="464"/>
      <c r="AA51" s="288">
        <f>AA27-AA40-AA48</f>
        <v>145.73115788120197</v>
      </c>
      <c r="AB51" s="288">
        <f>AB27-AB40-AB48</f>
        <v>164.40190998850892</v>
      </c>
      <c r="AC51" s="288">
        <f>AC27-AC40-AC48</f>
        <v>139.34925933050914</v>
      </c>
      <c r="AD51" s="288">
        <f>AD27-AD40-AD48</f>
        <v>171.40228591637617</v>
      </c>
      <c r="AE51" s="644">
        <f>AE27-AE40-AE48</f>
        <v>620.88461311659626</v>
      </c>
      <c r="AF51" s="464"/>
      <c r="AG51" s="288">
        <f>AG27-AG40-AG48</f>
        <v>161.50323032162663</v>
      </c>
      <c r="AH51" s="288">
        <f>AH27-AH40-AH48</f>
        <v>183.23468245931429</v>
      </c>
      <c r="AI51" s="288">
        <f>AI27-AI40-AI48</f>
        <v>164.80881382323304</v>
      </c>
      <c r="AJ51" s="288">
        <f>AJ27-AJ40-AJ48</f>
        <v>184.58446113764637</v>
      </c>
      <c r="AK51" s="644">
        <f>AK27-AK40-AK48</f>
        <v>694.13118774181999</v>
      </c>
      <c r="AL51" s="464"/>
      <c r="AM51" s="288">
        <f>AM27-AM40-AM48</f>
        <v>163.35538708201659</v>
      </c>
      <c r="AN51" s="288">
        <f>AN27-AN40-AN48</f>
        <v>203.5750975470155</v>
      </c>
      <c r="AO51" s="288">
        <f>AO27-AO40-AO48</f>
        <v>174.26310627539158</v>
      </c>
      <c r="AP51" s="288">
        <f>AP27-AP40-AP48</f>
        <v>192.1224978382553</v>
      </c>
      <c r="AQ51" s="644">
        <f>AQ27-AQ40-AQ48</f>
        <v>733.31608874267909</v>
      </c>
      <c r="AR51" s="464"/>
      <c r="AS51" s="288">
        <f>AS27-AS40-AS48</f>
        <v>179.4845063209541</v>
      </c>
      <c r="AT51" s="288">
        <f>AT27-AT40-AT48</f>
        <v>211.56592657873853</v>
      </c>
      <c r="AU51" s="288">
        <f>AU27-AU40-AU48</f>
        <v>191.48476601544394</v>
      </c>
      <c r="AV51" s="288">
        <f>AV27-AV40-AV48</f>
        <v>190.83876929711238</v>
      </c>
      <c r="AW51" s="644">
        <f>AW27-AW40-AW48</f>
        <v>773.37396821224934</v>
      </c>
      <c r="AX51" s="464"/>
      <c r="AY51" s="288">
        <f>AY27-AY40-AY48</f>
        <v>174.42990915026371</v>
      </c>
      <c r="AZ51" s="288">
        <f>AZ27-AZ40-AZ48</f>
        <v>229.42118365506502</v>
      </c>
      <c r="BA51" s="288">
        <f>BA27-BA40-BA48</f>
        <v>208.49082086487834</v>
      </c>
      <c r="BB51" s="288">
        <f>BB27-BB40-BB48</f>
        <v>202.76833636081921</v>
      </c>
      <c r="BC51" s="644">
        <f>BC27-BC40-BC48</f>
        <v>815.11025003102645</v>
      </c>
      <c r="BD51" s="464"/>
      <c r="BE51" s="288">
        <f>BE27-BE40+BE48</f>
        <v>205.71370422971114</v>
      </c>
      <c r="BF51" s="288">
        <f>BF27-BF40+BF48</f>
        <v>232.40000000000003</v>
      </c>
      <c r="BG51" s="288">
        <f>BG27-BG40+BG48</f>
        <v>195.8</v>
      </c>
      <c r="BH51" s="288">
        <f>BH27-BH40+BH48</f>
        <v>206.40000000000003</v>
      </c>
      <c r="BI51" s="644">
        <f>+SUM(BE51:BH51)</f>
        <v>840.31370422971122</v>
      </c>
      <c r="BJ51" s="464"/>
      <c r="BK51" s="288">
        <f>BK27-BK40+BK48</f>
        <v>147.90000000000003</v>
      </c>
      <c r="BL51" s="288">
        <f>BL27-BL40+BL48</f>
        <v>195.09999999999997</v>
      </c>
      <c r="BM51" s="288">
        <f>BM27-BM40+BM48</f>
        <v>211.7000000000001</v>
      </c>
      <c r="BN51" s="288">
        <f>BN27-BN40+BN48</f>
        <v>236.89999999999998</v>
      </c>
      <c r="BO51" s="644">
        <f>+SUM(BK51:BN51)</f>
        <v>791.6</v>
      </c>
      <c r="BP51" s="464"/>
      <c r="BQ51" s="288">
        <f>BQ27-BQ40+BQ48</f>
        <v>138.82124999999991</v>
      </c>
      <c r="BR51" s="288">
        <f>BR27-BR40+BR48</f>
        <v>189.61024000000003</v>
      </c>
      <c r="BS51" s="288">
        <f>BS27-BS40+BS48</f>
        <v>220.21661999999998</v>
      </c>
      <c r="BT51" s="288">
        <f>BT27-BT40+BT48</f>
        <v>252.57679999999999</v>
      </c>
      <c r="BU51" s="644">
        <f>+SUM(BQ51:BT51)</f>
        <v>801.22490999999991</v>
      </c>
      <c r="BV51" s="464"/>
      <c r="BW51" s="288">
        <f>BW27-BW40+BW48</f>
        <v>195.17772998000004</v>
      </c>
      <c r="BX51" s="288">
        <f>BX27-BX40+BX48</f>
        <v>229.06379649999997</v>
      </c>
      <c r="BY51" s="288">
        <f>BY27-BY40+BY48</f>
        <v>234.53893928000008</v>
      </c>
      <c r="BZ51" s="288">
        <f>BZ27-BZ40+BZ48</f>
        <v>250.2248386</v>
      </c>
      <c r="CA51" s="644">
        <f>+SUM(BW51:BZ51)</f>
        <v>909.00530436000008</v>
      </c>
      <c r="CB51" s="464"/>
      <c r="CC51" s="288">
        <f>CC27-CC40+CC48</f>
        <v>211.26740445304995</v>
      </c>
      <c r="CD51" s="288">
        <f>CD27-CD40+CD48</f>
        <v>245.06395766205003</v>
      </c>
      <c r="CE51" s="288">
        <f>CE27-CE40+CE48</f>
        <v>251.36750383400005</v>
      </c>
      <c r="CF51" s="288">
        <f>CF27-CF40+CF48</f>
        <v>269.50731970089993</v>
      </c>
      <c r="CG51" s="644">
        <f>+SUM(CC51:CF51)</f>
        <v>977.20618564999995</v>
      </c>
      <c r="CW51" s="464"/>
    </row>
    <row r="52" spans="1:101" x14ac:dyDescent="0.2">
      <c r="A52" s="305"/>
      <c r="B52" s="311" t="s">
        <v>289</v>
      </c>
      <c r="C52" s="178">
        <f>SUM(C58,C62,C72)</f>
        <v>-3.9519999999999991</v>
      </c>
      <c r="D52" s="178">
        <f>SUM(D58,D62,D72)</f>
        <v>-3.6360000000000001</v>
      </c>
      <c r="E52" s="178">
        <f>SUM(E58,E62,E72)</f>
        <v>-7.9759999999999982</v>
      </c>
      <c r="F52" s="178">
        <f>SUM(F58,F62,F72)</f>
        <v>-7.1450000000000022</v>
      </c>
      <c r="G52" s="470">
        <f>SUM(G58,G62,G72)</f>
        <v>-22.709000000000007</v>
      </c>
      <c r="H52" s="468"/>
      <c r="I52" s="178">
        <f>SUM(I58,I62,I72)</f>
        <v>-12.513999999999999</v>
      </c>
      <c r="J52" s="178">
        <f>SUM(J58,J62,J72)</f>
        <v>-9.81</v>
      </c>
      <c r="K52" s="178">
        <f>SUM(K58,K62,K72)</f>
        <v>-12.394000000000002</v>
      </c>
      <c r="L52" s="178">
        <f>SUM(L58,L62,L72)</f>
        <v>-16.64</v>
      </c>
      <c r="M52" s="470">
        <f>SUM(M58,M62,M72)</f>
        <v>-51.357999999999997</v>
      </c>
      <c r="N52" s="468"/>
      <c r="O52" s="178">
        <f>SUM(O58,O62,O72)</f>
        <v>-10.706999999999999</v>
      </c>
      <c r="P52" s="178">
        <f>SUM(P58,P62,P72)</f>
        <v>-9.036999999999999</v>
      </c>
      <c r="Q52" s="178">
        <f>SUM(Q58,Q62,Q72)</f>
        <v>-10.193</v>
      </c>
      <c r="R52" s="178">
        <f>SUM(R58,R62,R72)</f>
        <v>-8.7979999999999983</v>
      </c>
      <c r="S52" s="470">
        <f>SUM(S58,S62,S72)</f>
        <v>-38.734999999999992</v>
      </c>
      <c r="T52" s="468"/>
      <c r="U52" s="178">
        <f>SUM(U58,U62,U72)</f>
        <v>-9.6150000000000002</v>
      </c>
      <c r="V52" s="178">
        <f>SUM(V58,V62,V72)</f>
        <v>-6.2549999999999999</v>
      </c>
      <c r="W52" s="178">
        <f>SUM(W58,W62,W72)</f>
        <v>-6.1579999999999995</v>
      </c>
      <c r="X52" s="178">
        <f>SUM(X58,X62,X72)</f>
        <v>-6.6579999999999986</v>
      </c>
      <c r="Y52" s="470">
        <f>SUM(Y58,Y62,Y72)</f>
        <v>-28.685999999999996</v>
      </c>
      <c r="Z52" s="468"/>
      <c r="AA52" s="178">
        <f>SUM(AA58,AA62,AA72)</f>
        <v>-4.1709999999999994</v>
      </c>
      <c r="AB52" s="178">
        <f>SUM(AB58,AB62,AB72)</f>
        <v>-5.9580000000000002</v>
      </c>
      <c r="AC52" s="178">
        <f>SUM(AC58,AC62,AC72)</f>
        <v>-10.172000000000002</v>
      </c>
      <c r="AD52" s="178">
        <f>SUM(AD58,AD62,AD72)</f>
        <v>-15.265000000000006</v>
      </c>
      <c r="AE52" s="470">
        <f>SUM(AE58,AE62,AE72)</f>
        <v>-35.56600000000001</v>
      </c>
      <c r="AF52" s="468"/>
      <c r="AG52" s="178">
        <f>SUM(AG58,AG62,AG72)</f>
        <v>-14.481999999999999</v>
      </c>
      <c r="AH52" s="178">
        <f>SUM(AH58,AH62,AH72)</f>
        <v>-14.5</v>
      </c>
      <c r="AI52" s="178">
        <f>SUM(AI58,AI62,AI72)</f>
        <v>-14.802999999999999</v>
      </c>
      <c r="AJ52" s="178">
        <f>SUM(AJ58,AJ62,AJ72)</f>
        <v>-11.760999999999999</v>
      </c>
      <c r="AK52" s="470">
        <f>SUM(AK58,AK62,AK72)</f>
        <v>-55.545999999999999</v>
      </c>
      <c r="AL52" s="468"/>
      <c r="AM52" s="178">
        <f>SUM(AM58,AM62,AM72)</f>
        <v>-11.936999999999999</v>
      </c>
      <c r="AN52" s="178">
        <f>SUM(AN58,AN62,AN72)</f>
        <v>-13.288</v>
      </c>
      <c r="AO52" s="178">
        <f>SUM(AO58,AO62,AO72)</f>
        <v>-13.713999999999999</v>
      </c>
      <c r="AP52" s="178">
        <f>SUM(AP58,AP62,AP72)</f>
        <v>-10.980000000000006</v>
      </c>
      <c r="AQ52" s="470">
        <f>SUM(AQ58,AQ62,AQ72)</f>
        <v>-49.919000000000011</v>
      </c>
      <c r="AR52" s="468"/>
      <c r="AS52" s="178">
        <f>SUM(AS58,AS62,AS72)</f>
        <v>-11.198999999999998</v>
      </c>
      <c r="AT52" s="178">
        <f>SUM(AT58,AT62,AT72)</f>
        <v>-11.107000000000005</v>
      </c>
      <c r="AU52" s="178">
        <f>SUM(AU58,AU62,AU72)</f>
        <v>-11.102</v>
      </c>
      <c r="AV52" s="178">
        <f>SUM(AV58,AV62,AV72)</f>
        <v>-14.433</v>
      </c>
      <c r="AW52" s="470">
        <f>SUM(AW58,AW62,AW72)</f>
        <v>-47.841000000000015</v>
      </c>
      <c r="AX52" s="468"/>
      <c r="AY52" s="178">
        <f>SUM(AY58,AY62,AY72)</f>
        <v>-10.268000000000008</v>
      </c>
      <c r="AZ52" s="178">
        <f>SUM(AZ58,AZ62,AZ72)</f>
        <v>-8.9809999999999892</v>
      </c>
      <c r="BA52" s="178">
        <f>SUM(BA58,BA62,BA72)</f>
        <v>-18.600000000000001</v>
      </c>
      <c r="BB52" s="178">
        <f>SUM(BB58,BB62,BB72)</f>
        <v>-8.7000000000000206</v>
      </c>
      <c r="BC52" s="470">
        <f>SUM(BC58,BC62,BC72)</f>
        <v>-46.549000000000021</v>
      </c>
      <c r="BD52" s="468"/>
      <c r="BE52" s="178">
        <f>SUM(BE58,BE62,BE72)</f>
        <v>-10.199999999999999</v>
      </c>
      <c r="BF52" s="178">
        <f>SUM(BF58,BF62,BF72)</f>
        <v>3.2999999999999989</v>
      </c>
      <c r="BG52" s="178">
        <f>SUM(BG58,BG62,BG72)</f>
        <v>-9.9518777114864054</v>
      </c>
      <c r="BH52" s="178">
        <f>SUM(BH58,BH62,BH72)</f>
        <v>-8.6533080225104513</v>
      </c>
      <c r="BI52" s="470">
        <f>+SUM(BE52:BH52)</f>
        <v>-25.505185733996857</v>
      </c>
      <c r="BJ52" s="468"/>
      <c r="BK52" s="178">
        <f>SUM(BK58,BK62,BK72)</f>
        <v>-9.2592999999999996</v>
      </c>
      <c r="BL52" s="178">
        <f>SUM(BL58,BL62,BL72)</f>
        <v>-9.4802</v>
      </c>
      <c r="BM52" s="178">
        <f>SUM(BM58,BM62,BM72)</f>
        <v>-10.057849999999998</v>
      </c>
      <c r="BN52" s="178">
        <f>SUM(BN58,BN62,BN72)</f>
        <v>-10.143649999999999</v>
      </c>
      <c r="BO52" s="470">
        <f>+SUM(BK52:BN52)</f>
        <v>-38.940999999999995</v>
      </c>
      <c r="BP52" s="468"/>
      <c r="BQ52" s="178">
        <f>SUM(BQ58,BQ62,BQ72)</f>
        <v>-5.7652999999999999</v>
      </c>
      <c r="BR52" s="178">
        <f>SUM(BR58,BR62,BR72)</f>
        <v>-5.493080770282841</v>
      </c>
      <c r="BS52" s="178">
        <f>SUM(BS58,BS62,BS72)</f>
        <v>-5.7091351857582442</v>
      </c>
      <c r="BT52" s="178">
        <f>SUM(BT58,BT62,BT72)</f>
        <v>-5.9482302069358299</v>
      </c>
      <c r="BU52" s="470">
        <f>+SUM(BQ52:BT52)</f>
        <v>-22.915746162976912</v>
      </c>
      <c r="BV52" s="468"/>
      <c r="BW52" s="178">
        <f>SUM(BW58,BW62,BW72)</f>
        <v>-5.6881304786743181</v>
      </c>
      <c r="BX52" s="178">
        <f>SUM(BX58,BX62,BX72)</f>
        <v>-5.0664910551482052</v>
      </c>
      <c r="BY52" s="178">
        <f>SUM(BY58,BY62,BY72)</f>
        <v>-5.3239790315052486</v>
      </c>
      <c r="BZ52" s="178">
        <f>SUM(BZ58,BZ62,BZ72)</f>
        <v>-5.6215306803599354</v>
      </c>
      <c r="CA52" s="470">
        <f>+SUM(BW52:BZ52)</f>
        <v>-21.700131245687707</v>
      </c>
      <c r="CB52" s="468"/>
      <c r="CC52" s="178">
        <f>SUM(CC58,CC62,CC72)</f>
        <v>-2.7592696919498065</v>
      </c>
      <c r="CD52" s="178">
        <f>SUM(CD58,CD62,CD72)</f>
        <v>0.28245909820610304</v>
      </c>
      <c r="CE52" s="178">
        <f>SUM(CE58,CE62,CE72)</f>
        <v>-0.65388150897366959</v>
      </c>
      <c r="CF52" s="178">
        <f>SUM(CF58,CF62,CF72)</f>
        <v>-1.6805276610373694</v>
      </c>
      <c r="CG52" s="470">
        <f>+SUM(CC52:CF52)</f>
        <v>-4.8112197637547425</v>
      </c>
      <c r="CW52" s="468"/>
    </row>
    <row r="53" spans="1:101" ht="12.75" hidden="1" customHeight="1" outlineLevel="1" x14ac:dyDescent="0.2">
      <c r="A53" s="300"/>
      <c r="B53" s="766" t="s">
        <v>561</v>
      </c>
      <c r="C53" s="743">
        <v>6.2069999999999999</v>
      </c>
      <c r="D53" s="743">
        <v>5.7690000000000001</v>
      </c>
      <c r="E53" s="743">
        <v>7.2309999999999999</v>
      </c>
      <c r="F53" s="743">
        <v>6.7460000000000004</v>
      </c>
      <c r="G53" s="470">
        <f>SUM(C53:F53)</f>
        <v>25.953000000000003</v>
      </c>
      <c r="I53" s="743">
        <v>6.6550000000000002</v>
      </c>
      <c r="J53" s="743">
        <v>6.6449999999999996</v>
      </c>
      <c r="K53" s="743">
        <v>6.7489999999999997</v>
      </c>
      <c r="L53" s="743">
        <v>6.0640000000000001</v>
      </c>
      <c r="M53" s="470">
        <f>SUM(I53:L53)</f>
        <v>26.113</v>
      </c>
      <c r="O53" s="743">
        <v>5.593</v>
      </c>
      <c r="P53" s="743">
        <v>5.3310000000000004</v>
      </c>
      <c r="Q53" s="743">
        <v>5.5090000000000003</v>
      </c>
      <c r="R53" s="743">
        <v>5.202</v>
      </c>
      <c r="S53" s="470">
        <f>SUM(O53:R53)</f>
        <v>21.634999999999998</v>
      </c>
      <c r="U53" s="743">
        <v>4.141</v>
      </c>
      <c r="V53" s="743">
        <v>0.85699999999999998</v>
      </c>
      <c r="W53" s="743">
        <v>0.84299999999999997</v>
      </c>
      <c r="X53" s="743">
        <v>0.95</v>
      </c>
      <c r="Y53" s="470">
        <f>SUM(U53:X53)</f>
        <v>6.7910000000000004</v>
      </c>
      <c r="AA53" s="743">
        <v>0.92900000000000005</v>
      </c>
      <c r="AB53" s="743">
        <v>0.98399999999999999</v>
      </c>
      <c r="AC53" s="743">
        <v>1.02</v>
      </c>
      <c r="AD53" s="743">
        <v>0.90300000000000002</v>
      </c>
      <c r="AE53" s="470">
        <f>SUM(AA53:AD53)</f>
        <v>3.8359999999999999</v>
      </c>
      <c r="AG53" s="743">
        <v>1.014</v>
      </c>
      <c r="AH53" s="743">
        <v>0.86599999999999999</v>
      </c>
      <c r="AI53" s="743">
        <v>0.98399999999999999</v>
      </c>
      <c r="AJ53" s="743">
        <v>0.97</v>
      </c>
      <c r="AK53" s="470">
        <f>SUM(AG53:AJ53)</f>
        <v>3.8339999999999996</v>
      </c>
      <c r="AM53" s="743">
        <v>0.8</v>
      </c>
      <c r="AN53" s="743">
        <v>0.8</v>
      </c>
      <c r="AO53" s="743">
        <v>0.8</v>
      </c>
      <c r="AP53" s="743">
        <v>0.8</v>
      </c>
      <c r="AQ53" s="470">
        <f>SUM(AM53:AP53)</f>
        <v>3.2</v>
      </c>
      <c r="AS53" s="743">
        <v>0.9</v>
      </c>
      <c r="AT53" s="743">
        <v>0.7</v>
      </c>
      <c r="AU53" s="743">
        <v>0.5</v>
      </c>
      <c r="AV53" s="743">
        <v>0.9</v>
      </c>
      <c r="AW53" s="470">
        <f>SUM(AS53:AV53)</f>
        <v>3</v>
      </c>
      <c r="AY53" s="743">
        <v>0.8</v>
      </c>
      <c r="AZ53" s="743">
        <v>1</v>
      </c>
      <c r="BA53" s="743">
        <v>1.5</v>
      </c>
      <c r="BB53" s="743">
        <v>0.9</v>
      </c>
      <c r="BC53" s="470">
        <f>SUM(AY53:BB53)</f>
        <v>4.2</v>
      </c>
      <c r="BD53" s="711"/>
      <c r="BE53" s="712"/>
      <c r="BF53" s="712"/>
      <c r="BG53" s="712"/>
      <c r="BH53" s="712"/>
      <c r="BI53" s="470"/>
      <c r="BJ53" s="711"/>
      <c r="BK53" s="178"/>
      <c r="BL53" s="178"/>
      <c r="BM53" s="178"/>
      <c r="BN53" s="178"/>
      <c r="BO53" s="470"/>
      <c r="BP53" s="711"/>
      <c r="BQ53" s="178"/>
      <c r="BR53" s="178"/>
      <c r="BS53" s="178"/>
      <c r="BT53" s="178"/>
      <c r="BU53" s="470"/>
      <c r="BV53" s="711"/>
      <c r="BW53" s="178"/>
      <c r="BX53" s="178"/>
      <c r="BY53" s="178"/>
      <c r="BZ53" s="178"/>
      <c r="CA53" s="470"/>
      <c r="CB53" s="711"/>
      <c r="CC53" s="178"/>
      <c r="CD53" s="178"/>
      <c r="CE53" s="178"/>
      <c r="CF53" s="178"/>
      <c r="CG53" s="470"/>
      <c r="CW53" s="711"/>
    </row>
    <row r="54" spans="1:101" ht="12.75" hidden="1" customHeight="1" outlineLevel="1" x14ac:dyDescent="0.2">
      <c r="A54" s="300"/>
      <c r="B54" s="766" t="s">
        <v>562</v>
      </c>
      <c r="C54" s="178">
        <f>-C53</f>
        <v>-6.2069999999999999</v>
      </c>
      <c r="D54" s="178">
        <f>-D53</f>
        <v>-5.7690000000000001</v>
      </c>
      <c r="E54" s="178">
        <f>-E53</f>
        <v>-7.2309999999999999</v>
      </c>
      <c r="F54" s="178">
        <f>-F53</f>
        <v>-6.7460000000000004</v>
      </c>
      <c r="G54" s="470">
        <f>SUM(C54:F54)</f>
        <v>-25.953000000000003</v>
      </c>
      <c r="I54" s="178">
        <f>-I53</f>
        <v>-6.6550000000000002</v>
      </c>
      <c r="J54" s="178">
        <f>-J53</f>
        <v>-6.6449999999999996</v>
      </c>
      <c r="K54" s="178">
        <f>-K53</f>
        <v>-6.7489999999999997</v>
      </c>
      <c r="L54" s="178">
        <f>-L53</f>
        <v>-6.0640000000000001</v>
      </c>
      <c r="M54" s="470">
        <f>SUM(I54:L54)</f>
        <v>-26.113</v>
      </c>
      <c r="O54" s="178">
        <f>-O53</f>
        <v>-5.593</v>
      </c>
      <c r="P54" s="178">
        <f>-P53</f>
        <v>-5.3310000000000004</v>
      </c>
      <c r="Q54" s="178">
        <f>-Q53</f>
        <v>-5.5090000000000003</v>
      </c>
      <c r="R54" s="178">
        <f>-R53</f>
        <v>-5.202</v>
      </c>
      <c r="S54" s="470">
        <f>SUM(O54:R54)</f>
        <v>-21.634999999999998</v>
      </c>
      <c r="U54" s="178">
        <f>-U53</f>
        <v>-4.141</v>
      </c>
      <c r="V54" s="178">
        <f>-V53</f>
        <v>-0.85699999999999998</v>
      </c>
      <c r="W54" s="178">
        <f>-W53</f>
        <v>-0.84299999999999997</v>
      </c>
      <c r="X54" s="178">
        <f>-X53</f>
        <v>-0.95</v>
      </c>
      <c r="Y54" s="470">
        <f>SUM(U54:X54)</f>
        <v>-6.7910000000000004</v>
      </c>
      <c r="AA54" s="178">
        <f>-AA53</f>
        <v>-0.92900000000000005</v>
      </c>
      <c r="AB54" s="178">
        <f>-AB53</f>
        <v>-0.98399999999999999</v>
      </c>
      <c r="AC54" s="178">
        <f>-AC53</f>
        <v>-1.02</v>
      </c>
      <c r="AD54" s="178">
        <f>-AD53</f>
        <v>-0.90300000000000002</v>
      </c>
      <c r="AE54" s="470">
        <f>SUM(AA54:AD54)</f>
        <v>-3.8359999999999999</v>
      </c>
      <c r="AG54" s="178">
        <f>-AG53</f>
        <v>-1.014</v>
      </c>
      <c r="AH54" s="178">
        <f>-AH53</f>
        <v>-0.86599999999999999</v>
      </c>
      <c r="AI54" s="178">
        <f>-AI53</f>
        <v>-0.98399999999999999</v>
      </c>
      <c r="AJ54" s="178">
        <f>-AJ53</f>
        <v>-0.97</v>
      </c>
      <c r="AK54" s="470">
        <f>SUM(AG54:AJ54)</f>
        <v>-3.8339999999999996</v>
      </c>
      <c r="AM54" s="178">
        <f>-AM53</f>
        <v>-0.8</v>
      </c>
      <c r="AN54" s="178">
        <f>-AN53</f>
        <v>-0.8</v>
      </c>
      <c r="AO54" s="178">
        <f>-AO53</f>
        <v>-0.8</v>
      </c>
      <c r="AP54" s="178">
        <f>-AP53</f>
        <v>-0.8</v>
      </c>
      <c r="AQ54" s="470">
        <f>SUM(AM54:AP54)</f>
        <v>-3.2</v>
      </c>
      <c r="AS54" s="178">
        <f>-AS53</f>
        <v>-0.9</v>
      </c>
      <c r="AT54" s="178">
        <f>-AT53</f>
        <v>-0.7</v>
      </c>
      <c r="AU54" s="178">
        <f>-AU53</f>
        <v>-0.5</v>
      </c>
      <c r="AV54" s="178">
        <f>-AV53</f>
        <v>-0.9</v>
      </c>
      <c r="AW54" s="470">
        <f>SUM(AS54:AV54)</f>
        <v>-3</v>
      </c>
      <c r="AY54" s="178">
        <f>-AY53</f>
        <v>-0.8</v>
      </c>
      <c r="AZ54" s="178">
        <f>-AZ53</f>
        <v>-1</v>
      </c>
      <c r="BA54" s="178">
        <f>-BA53</f>
        <v>-1.5</v>
      </c>
      <c r="BB54" s="178">
        <f>-BB53</f>
        <v>-0.9</v>
      </c>
      <c r="BC54" s="470">
        <f>SUM(AY54:BB54)</f>
        <v>-4.2</v>
      </c>
      <c r="BD54" s="711"/>
      <c r="BE54" s="712"/>
      <c r="BF54" s="712"/>
      <c r="BG54" s="712"/>
      <c r="BH54" s="712"/>
      <c r="BI54" s="470"/>
      <c r="BJ54" s="711"/>
      <c r="BK54" s="178"/>
      <c r="BL54" s="178"/>
      <c r="BM54" s="178"/>
      <c r="BN54" s="178"/>
      <c r="BO54" s="470"/>
      <c r="BP54" s="711"/>
      <c r="BQ54" s="178"/>
      <c r="BR54" s="178"/>
      <c r="BS54" s="178"/>
      <c r="BT54" s="178"/>
      <c r="BU54" s="470"/>
      <c r="BV54" s="711"/>
      <c r="BW54" s="178"/>
      <c r="BX54" s="178"/>
      <c r="BY54" s="178"/>
      <c r="BZ54" s="178"/>
      <c r="CA54" s="470"/>
      <c r="CB54" s="711"/>
      <c r="CC54" s="178"/>
      <c r="CD54" s="178"/>
      <c r="CE54" s="178"/>
      <c r="CF54" s="178"/>
      <c r="CG54" s="470"/>
      <c r="CW54" s="711"/>
    </row>
    <row r="55" spans="1:101" ht="12.75" hidden="1" customHeight="1" outlineLevel="1" x14ac:dyDescent="0.2">
      <c r="A55" s="300"/>
      <c r="B55" s="766" t="s">
        <v>560</v>
      </c>
      <c r="C55" s="743">
        <v>4.4560000000000004</v>
      </c>
      <c r="D55" s="743">
        <v>5.2089999999999996</v>
      </c>
      <c r="E55" s="743">
        <v>7.1379999999999999</v>
      </c>
      <c r="F55" s="743">
        <f>23.783-E55-D55-C55</f>
        <v>6.9800000000000031</v>
      </c>
      <c r="G55" s="470">
        <f>SUM(C55:F55)</f>
        <v>23.783000000000001</v>
      </c>
      <c r="I55" s="743">
        <v>8.2520000000000007</v>
      </c>
      <c r="J55" s="743">
        <v>7.9009999999999998</v>
      </c>
      <c r="K55" s="743">
        <v>9.2840000000000007</v>
      </c>
      <c r="L55" s="743">
        <f>32.527-K55-J55-I55</f>
        <v>7.0900000000000016</v>
      </c>
      <c r="M55" s="470">
        <f>SUM(I55:L55)</f>
        <v>32.527000000000001</v>
      </c>
      <c r="O55" s="743">
        <v>6.1529999999999996</v>
      </c>
      <c r="P55" s="743">
        <v>5.2679999999999998</v>
      </c>
      <c r="Q55" s="743">
        <v>5.4560000000000004</v>
      </c>
      <c r="R55" s="743">
        <f>21.896-Q55-P55-O55</f>
        <v>5.019000000000001</v>
      </c>
      <c r="S55" s="470">
        <f>SUM(O55:R55)</f>
        <v>21.896000000000001</v>
      </c>
      <c r="U55" s="743">
        <v>5.72</v>
      </c>
      <c r="V55" s="743">
        <v>6.6859999999999999</v>
      </c>
      <c r="W55" s="743">
        <v>5.9989999999999997</v>
      </c>
      <c r="X55" s="743">
        <f>25.089-W55-V55-U55</f>
        <v>6.6840000000000002</v>
      </c>
      <c r="Y55" s="470">
        <f>SUM(U55:X55)</f>
        <v>25.088999999999999</v>
      </c>
      <c r="AA55" s="743">
        <v>6.343</v>
      </c>
      <c r="AB55" s="743">
        <v>5.57</v>
      </c>
      <c r="AC55" s="743">
        <v>16.062000000000001</v>
      </c>
      <c r="AD55" s="743">
        <f>43.814-AC55-AB55-AA55</f>
        <v>15.838999999999999</v>
      </c>
      <c r="AE55" s="470">
        <f>SUM(AA55:AD55)</f>
        <v>43.814</v>
      </c>
      <c r="AG55" s="743">
        <v>15.782</v>
      </c>
      <c r="AH55" s="743">
        <v>14.323</v>
      </c>
      <c r="AI55" s="743">
        <v>13.948</v>
      </c>
      <c r="AJ55" s="743">
        <f>56.851-AI55-AH55-AG55</f>
        <v>12.797999999999998</v>
      </c>
      <c r="AK55" s="470">
        <f>SUM(AG55:AJ55)</f>
        <v>56.850999999999999</v>
      </c>
      <c r="AM55" s="743">
        <v>15.221</v>
      </c>
      <c r="AN55" s="743">
        <v>11.507</v>
      </c>
      <c r="AO55" s="743">
        <v>11.442</v>
      </c>
      <c r="AP55" s="743">
        <f>49.625-AO55-AN55-AM55</f>
        <v>11.455000000000002</v>
      </c>
      <c r="AQ55" s="470">
        <f>SUM(AM55:AP55)</f>
        <v>49.625</v>
      </c>
      <c r="AS55" s="743">
        <v>10.955</v>
      </c>
      <c r="AT55" s="743">
        <v>11.798</v>
      </c>
      <c r="AU55" s="743">
        <v>12.7</v>
      </c>
      <c r="AV55" s="743">
        <f>46.91-AU55-AT55-AS55</f>
        <v>11.456999999999992</v>
      </c>
      <c r="AW55" s="470">
        <f>SUM(AS55:AV55)</f>
        <v>46.91</v>
      </c>
      <c r="AY55" s="743">
        <v>10.667999999999999</v>
      </c>
      <c r="AZ55" s="743">
        <v>9.8239999999999998</v>
      </c>
      <c r="BA55" s="743">
        <v>9.6</v>
      </c>
      <c r="BB55" s="743">
        <f>55.9-BA55-AZ55-AY55</f>
        <v>25.808</v>
      </c>
      <c r="BC55" s="470">
        <f>SUM(AY55:BB55)</f>
        <v>55.9</v>
      </c>
      <c r="BD55" s="711"/>
      <c r="BE55" s="712"/>
      <c r="BF55" s="712"/>
      <c r="BG55" s="712"/>
      <c r="BH55" s="712"/>
      <c r="BI55" s="470"/>
      <c r="BJ55" s="711"/>
      <c r="BK55" s="178"/>
      <c r="BL55" s="178"/>
      <c r="BM55" s="178"/>
      <c r="BN55" s="178"/>
      <c r="BO55" s="470"/>
      <c r="BP55" s="711"/>
      <c r="BQ55" s="178"/>
      <c r="BR55" s="178"/>
      <c r="BS55" s="178"/>
      <c r="BT55" s="178"/>
      <c r="BU55" s="470"/>
      <c r="BV55" s="711"/>
      <c r="BW55" s="178"/>
      <c r="BX55" s="178"/>
      <c r="BY55" s="178"/>
      <c r="BZ55" s="178"/>
      <c r="CA55" s="470"/>
      <c r="CB55" s="711"/>
      <c r="CC55" s="178"/>
      <c r="CD55" s="178"/>
      <c r="CE55" s="178"/>
      <c r="CF55" s="178"/>
      <c r="CG55" s="470"/>
      <c r="CW55" s="711"/>
    </row>
    <row r="56" spans="1:101" ht="12.75" hidden="1" customHeight="1" outlineLevel="1" x14ac:dyDescent="0.2">
      <c r="A56" s="300"/>
      <c r="B56" s="766" t="s">
        <v>524</v>
      </c>
      <c r="C56" s="178">
        <f>-C54</f>
        <v>6.2069999999999999</v>
      </c>
      <c r="D56" s="178">
        <f>-D54</f>
        <v>5.7690000000000001</v>
      </c>
      <c r="E56" s="178">
        <f>-E54</f>
        <v>7.2309999999999999</v>
      </c>
      <c r="F56" s="178">
        <f>-F54</f>
        <v>6.7460000000000004</v>
      </c>
      <c r="G56" s="470">
        <f>SUM(C56:F56)</f>
        <v>25.953000000000003</v>
      </c>
      <c r="I56" s="178">
        <f>-I54</f>
        <v>6.6550000000000002</v>
      </c>
      <c r="J56" s="178">
        <f>-J54</f>
        <v>6.6449999999999996</v>
      </c>
      <c r="K56" s="178">
        <f>-K54</f>
        <v>6.7489999999999997</v>
      </c>
      <c r="L56" s="178">
        <f>-L54</f>
        <v>6.0640000000000001</v>
      </c>
      <c r="M56" s="470">
        <f>SUM(I56:L56)</f>
        <v>26.113</v>
      </c>
      <c r="O56" s="178">
        <f>-O54</f>
        <v>5.593</v>
      </c>
      <c r="P56" s="178">
        <f>-P54</f>
        <v>5.3310000000000004</v>
      </c>
      <c r="Q56" s="178">
        <f>-Q54</f>
        <v>5.5090000000000003</v>
      </c>
      <c r="R56" s="178">
        <f>-R54</f>
        <v>5.202</v>
      </c>
      <c r="S56" s="470">
        <f>SUM(O56:R56)</f>
        <v>21.634999999999998</v>
      </c>
      <c r="U56" s="178">
        <f>-U54</f>
        <v>4.141</v>
      </c>
      <c r="V56" s="178">
        <f>-V54</f>
        <v>0.85699999999999998</v>
      </c>
      <c r="W56" s="178">
        <f>-W54</f>
        <v>0.84299999999999997</v>
      </c>
      <c r="X56" s="178">
        <f>-X54</f>
        <v>0.95</v>
      </c>
      <c r="Y56" s="470">
        <f>SUM(U56:X56)</f>
        <v>6.7910000000000004</v>
      </c>
      <c r="AA56" s="178">
        <f>-AA54</f>
        <v>0.92900000000000005</v>
      </c>
      <c r="AB56" s="178">
        <f>-AB54</f>
        <v>0.98399999999999999</v>
      </c>
      <c r="AC56" s="178">
        <f>-AC54</f>
        <v>1.02</v>
      </c>
      <c r="AD56" s="178">
        <f>-AD54</f>
        <v>0.90300000000000002</v>
      </c>
      <c r="AE56" s="470">
        <f>SUM(AA56:AD56)</f>
        <v>3.8359999999999999</v>
      </c>
      <c r="AG56" s="178">
        <f>-AG54</f>
        <v>1.014</v>
      </c>
      <c r="AH56" s="178">
        <f>-AH54</f>
        <v>0.86599999999999999</v>
      </c>
      <c r="AI56" s="178">
        <f>-AI54</f>
        <v>0.98399999999999999</v>
      </c>
      <c r="AJ56" s="178">
        <f>-AJ54</f>
        <v>0.97</v>
      </c>
      <c r="AK56" s="470">
        <f>SUM(AG56:AJ56)</f>
        <v>3.8339999999999996</v>
      </c>
      <c r="AM56" s="178">
        <f>-AM54</f>
        <v>0.8</v>
      </c>
      <c r="AN56" s="178">
        <f>-AN54</f>
        <v>0.8</v>
      </c>
      <c r="AO56" s="178">
        <f>-AO54</f>
        <v>0.8</v>
      </c>
      <c r="AP56" s="178">
        <f>-AP54</f>
        <v>0.8</v>
      </c>
      <c r="AQ56" s="470">
        <f>SUM(AM56:AP56)</f>
        <v>3.2</v>
      </c>
      <c r="AS56" s="178">
        <f>-AS54</f>
        <v>0.9</v>
      </c>
      <c r="AT56" s="178">
        <f>-AT54</f>
        <v>0.7</v>
      </c>
      <c r="AU56" s="178">
        <f>-AU54</f>
        <v>0.5</v>
      </c>
      <c r="AV56" s="178">
        <f>-AV54</f>
        <v>0.9</v>
      </c>
      <c r="AW56" s="470">
        <f>SUM(AS56:AV56)</f>
        <v>3</v>
      </c>
      <c r="AY56" s="178">
        <f>-AY54</f>
        <v>0.8</v>
      </c>
      <c r="AZ56" s="178">
        <f>-AZ54</f>
        <v>1</v>
      </c>
      <c r="BA56" s="178">
        <f>-BA54</f>
        <v>1.5</v>
      </c>
      <c r="BB56" s="178">
        <f>-BB54</f>
        <v>0.9</v>
      </c>
      <c r="BC56" s="470">
        <f>SUM(AY56:BB56)</f>
        <v>4.2</v>
      </c>
      <c r="BE56" s="24"/>
      <c r="BF56" s="178"/>
      <c r="BG56" s="712"/>
      <c r="BH56" s="712"/>
      <c r="BI56" s="470"/>
      <c r="BJ56" s="711"/>
      <c r="BK56" s="178"/>
      <c r="BL56" s="178"/>
      <c r="BM56" s="178"/>
      <c r="BN56" s="178"/>
      <c r="BO56" s="470"/>
      <c r="BP56" s="711"/>
      <c r="BQ56" s="178"/>
      <c r="BR56" s="178"/>
      <c r="BS56" s="178"/>
      <c r="BT56" s="178"/>
      <c r="BU56" s="470"/>
      <c r="BV56" s="711"/>
      <c r="BW56" s="178"/>
      <c r="BX56" s="178"/>
      <c r="BY56" s="178"/>
      <c r="BZ56" s="178"/>
      <c r="CA56" s="470"/>
      <c r="CB56" s="711"/>
      <c r="CC56" s="178"/>
      <c r="CD56" s="178"/>
      <c r="CE56" s="178"/>
      <c r="CF56" s="178"/>
      <c r="CG56" s="470"/>
      <c r="CW56" s="711"/>
    </row>
    <row r="57" spans="1:101" ht="12.75" hidden="1" customHeight="1" outlineLevel="1" x14ac:dyDescent="0.2">
      <c r="A57" s="300"/>
      <c r="B57" s="766" t="s">
        <v>550</v>
      </c>
      <c r="C57" s="1168">
        <v>0</v>
      </c>
      <c r="D57" s="1168">
        <v>0</v>
      </c>
      <c r="E57" s="1168">
        <v>0</v>
      </c>
      <c r="F57" s="1168">
        <v>0</v>
      </c>
      <c r="G57" s="593">
        <f>SUM(C57:F57)</f>
        <v>0</v>
      </c>
      <c r="I57" s="1168">
        <v>0</v>
      </c>
      <c r="J57" s="1168">
        <v>0</v>
      </c>
      <c r="K57" s="1168">
        <v>0</v>
      </c>
      <c r="L57" s="1168">
        <v>0</v>
      </c>
      <c r="M57" s="593">
        <f>SUM(I57:L57)</f>
        <v>0</v>
      </c>
      <c r="O57" s="1168">
        <v>0</v>
      </c>
      <c r="P57" s="1168">
        <v>0</v>
      </c>
      <c r="Q57" s="1168">
        <v>0</v>
      </c>
      <c r="R57" s="1168">
        <v>0</v>
      </c>
      <c r="S57" s="593">
        <f>SUM(O57:R57)</f>
        <v>0</v>
      </c>
      <c r="U57" s="1168">
        <v>0</v>
      </c>
      <c r="V57" s="1168">
        <v>0</v>
      </c>
      <c r="W57" s="1168">
        <v>0</v>
      </c>
      <c r="X57" s="1168">
        <v>0</v>
      </c>
      <c r="Y57" s="593">
        <f>SUM(U57:X57)</f>
        <v>0</v>
      </c>
      <c r="AA57" s="1168">
        <v>1</v>
      </c>
      <c r="AB57" s="1168">
        <v>0</v>
      </c>
      <c r="AC57" s="1168">
        <v>0</v>
      </c>
      <c r="AD57" s="1168">
        <v>-1</v>
      </c>
      <c r="AE57" s="593">
        <f>SUM(AA57:AD57)</f>
        <v>0</v>
      </c>
      <c r="AG57" s="1168">
        <v>0</v>
      </c>
      <c r="AH57" s="1168">
        <v>-0.26099999999999923</v>
      </c>
      <c r="AI57" s="1168">
        <v>-1.6839999999999993</v>
      </c>
      <c r="AJ57" s="1168">
        <v>1.9449999999999967</v>
      </c>
      <c r="AK57" s="593">
        <f>SUM(AG57:AJ57)</f>
        <v>-1.7763568394002505E-15</v>
      </c>
      <c r="AM57" s="1168">
        <v>0</v>
      </c>
      <c r="AN57" s="1168">
        <v>0</v>
      </c>
      <c r="AO57" s="1168">
        <v>0</v>
      </c>
      <c r="AP57" s="1168">
        <v>0</v>
      </c>
      <c r="AQ57" s="593">
        <f>SUM(AM57:AP57)</f>
        <v>0</v>
      </c>
      <c r="AS57" s="1168">
        <v>0</v>
      </c>
      <c r="AT57" s="1168">
        <v>0</v>
      </c>
      <c r="AU57" s="1168">
        <v>3.5000000000000142E-2</v>
      </c>
      <c r="AV57" s="1168">
        <v>-3.5000000000005471E-2</v>
      </c>
      <c r="AW57" s="593">
        <f>SUM(AS57:AV57)</f>
        <v>-5.3290705182007514E-15</v>
      </c>
      <c r="AY57" s="1168">
        <v>0</v>
      </c>
      <c r="AZ57" s="1168">
        <v>0</v>
      </c>
      <c r="BA57" s="1168">
        <v>0</v>
      </c>
      <c r="BB57" s="1168">
        <v>7.9999999999991189E-3</v>
      </c>
      <c r="BC57" s="593">
        <f>SUM(AY57:BB57)</f>
        <v>7.9999999999991189E-3</v>
      </c>
      <c r="BD57" s="711"/>
      <c r="BE57" s="712"/>
      <c r="BF57" s="712"/>
      <c r="BG57" s="712"/>
      <c r="BH57" s="712"/>
      <c r="BI57" s="470"/>
      <c r="BJ57" s="711"/>
      <c r="BK57" s="178"/>
      <c r="BL57" s="178"/>
      <c r="BM57" s="178"/>
      <c r="BN57" s="178"/>
      <c r="BO57" s="470"/>
      <c r="BP57" s="711"/>
      <c r="BQ57" s="178"/>
      <c r="BR57" s="178"/>
      <c r="BS57" s="178"/>
      <c r="BT57" s="178"/>
      <c r="BU57" s="470"/>
      <c r="BV57" s="711"/>
      <c r="BW57" s="178"/>
      <c r="BX57" s="178"/>
      <c r="BY57" s="178"/>
      <c r="BZ57" s="178"/>
      <c r="CA57" s="470"/>
      <c r="CB57" s="711"/>
      <c r="CC57" s="178"/>
      <c r="CD57" s="178"/>
      <c r="CE57" s="178"/>
      <c r="CF57" s="178"/>
      <c r="CG57" s="470"/>
      <c r="CW57" s="711"/>
    </row>
    <row r="58" spans="1:101" ht="12.75" customHeight="1" collapsed="1" x14ac:dyDescent="0.2">
      <c r="A58" s="300"/>
      <c r="B58" s="176" t="s">
        <v>139</v>
      </c>
      <c r="C58" s="178">
        <f>-SUM(C55:C56)+C57</f>
        <v>-10.663</v>
      </c>
      <c r="D58" s="178">
        <f>-SUM(D55:D56)+D57</f>
        <v>-10.978</v>
      </c>
      <c r="E58" s="178">
        <f>-SUM(E55:E56)+E57</f>
        <v>-14.369</v>
      </c>
      <c r="F58" s="178">
        <f>-SUM(F55:F56)+F57</f>
        <v>-13.726000000000003</v>
      </c>
      <c r="G58" s="470">
        <f>-SUM(G55:G56)+G57</f>
        <v>-49.736000000000004</v>
      </c>
      <c r="H58" s="711"/>
      <c r="I58" s="178">
        <f>-SUM(I55:I56)+I57</f>
        <v>-14.907</v>
      </c>
      <c r="J58" s="178">
        <f>-SUM(J55:J56)+J57</f>
        <v>-14.545999999999999</v>
      </c>
      <c r="K58" s="178">
        <f>-SUM(K55:K56)+K57</f>
        <v>-16.033000000000001</v>
      </c>
      <c r="L58" s="178">
        <f>-SUM(L55:L56)+L57</f>
        <v>-13.154000000000002</v>
      </c>
      <c r="M58" s="470">
        <f>-SUM(M55:M56)+M57</f>
        <v>-58.64</v>
      </c>
      <c r="N58" s="711"/>
      <c r="O58" s="178">
        <f>-SUM(O55:O56)+O57</f>
        <v>-11.745999999999999</v>
      </c>
      <c r="P58" s="178">
        <f>-SUM(P55:P56)+P57</f>
        <v>-10.599</v>
      </c>
      <c r="Q58" s="178">
        <f>-SUM(Q55:Q56)+Q57</f>
        <v>-10.965</v>
      </c>
      <c r="R58" s="178">
        <f>-SUM(R55:R56)+R57</f>
        <v>-10.221</v>
      </c>
      <c r="S58" s="470">
        <f>-SUM(S55:S56)+S57</f>
        <v>-43.530999999999999</v>
      </c>
      <c r="T58" s="711"/>
      <c r="U58" s="178">
        <f>-SUM(U55:U56)+U57</f>
        <v>-9.8610000000000007</v>
      </c>
      <c r="V58" s="178">
        <f>-SUM(V55:V56)+V57</f>
        <v>-7.5430000000000001</v>
      </c>
      <c r="W58" s="178">
        <f>-SUM(W55:W56)+W57</f>
        <v>-6.8419999999999996</v>
      </c>
      <c r="X58" s="178">
        <f>-SUM(X55:X56)+X57</f>
        <v>-7.6340000000000003</v>
      </c>
      <c r="Y58" s="470">
        <f>-SUM(Y55:Y56)+Y57</f>
        <v>-31.88</v>
      </c>
      <c r="Z58" s="711"/>
      <c r="AA58" s="178">
        <f>-SUM(AA55:AA56)+AA57</f>
        <v>-6.2720000000000002</v>
      </c>
      <c r="AB58" s="178">
        <f>-SUM(AB55:AB56)+AB57</f>
        <v>-6.5540000000000003</v>
      </c>
      <c r="AC58" s="178">
        <f>-SUM(AC55:AC56)+AC57</f>
        <v>-17.082000000000001</v>
      </c>
      <c r="AD58" s="178">
        <f>-SUM(AD55:AD56)+AD57</f>
        <v>-17.741999999999997</v>
      </c>
      <c r="AE58" s="470">
        <f>-SUM(AE55:AE56)+AE57</f>
        <v>-47.65</v>
      </c>
      <c r="AF58" s="711"/>
      <c r="AG58" s="178">
        <f>-SUM(AG55:AG56)+AG57</f>
        <v>-16.795999999999999</v>
      </c>
      <c r="AH58" s="178">
        <f>-SUM(AH55:AH56)+AH57</f>
        <v>-15.45</v>
      </c>
      <c r="AI58" s="178">
        <f>-SUM(AI55:AI56)+AI57</f>
        <v>-16.616</v>
      </c>
      <c r="AJ58" s="178">
        <f>-SUM(AJ55:AJ56)+AJ57</f>
        <v>-11.823000000000002</v>
      </c>
      <c r="AK58" s="470">
        <f>-SUM(AK55:AK56)+AK57</f>
        <v>-60.685000000000002</v>
      </c>
      <c r="AL58" s="468"/>
      <c r="AM58" s="178">
        <f>-SUM(AM55:AM56)+AM57</f>
        <v>-16.021000000000001</v>
      </c>
      <c r="AN58" s="178">
        <f>-SUM(AN55:AN56)+AN57</f>
        <v>-12.307</v>
      </c>
      <c r="AO58" s="178">
        <f>-SUM(AO55:AO56)+AO57</f>
        <v>-12.242000000000001</v>
      </c>
      <c r="AP58" s="178">
        <f>-SUM(AP55:AP56)+AP57</f>
        <v>-12.255000000000003</v>
      </c>
      <c r="AQ58" s="470">
        <f>-SUM(AQ55:AQ56)+AQ57</f>
        <v>-52.825000000000003</v>
      </c>
      <c r="AR58" s="711"/>
      <c r="AS58" s="178">
        <f>-SUM(AS55:AS56)+AS57</f>
        <v>-11.855</v>
      </c>
      <c r="AT58" s="178">
        <f>-SUM(AT55:AT56)+AT57</f>
        <v>-12.497999999999999</v>
      </c>
      <c r="AU58" s="178">
        <f>-SUM(AU55:AU56)+AU57</f>
        <v>-13.164999999999999</v>
      </c>
      <c r="AV58" s="178">
        <f>-SUM(AV55:AV56)+AV57</f>
        <v>-12.391999999999998</v>
      </c>
      <c r="AW58" s="470">
        <f>-SUM(AW55:AW56)+AW57</f>
        <v>-49.910000000000004</v>
      </c>
      <c r="AX58" s="711"/>
      <c r="AY58" s="178">
        <f>-SUM(AY55:AY56)+AY57</f>
        <v>-11.468</v>
      </c>
      <c r="AZ58" s="178">
        <f>-SUM(AZ55:AZ56)+AZ57</f>
        <v>-10.824</v>
      </c>
      <c r="BA58" s="178">
        <f>-SUM(BA55:BA56)+BA57</f>
        <v>-11.1</v>
      </c>
      <c r="BB58" s="178">
        <f>-SUM(BB55:BB56)+BB57</f>
        <v>-26.7</v>
      </c>
      <c r="BC58" s="470">
        <f>-SUM(BC55:BC56)+BC57</f>
        <v>-60.091999999999999</v>
      </c>
      <c r="BD58" s="711"/>
      <c r="BE58" s="1059">
        <f>+'P&amp;L'!BE21</f>
        <v>-5.3</v>
      </c>
      <c r="BF58" s="1059">
        <f>+'P&amp;L'!BF21</f>
        <v>-9.3000000000000007</v>
      </c>
      <c r="BG58" s="1059">
        <f>-Debt!BG297</f>
        <v>-9.8260249999999996</v>
      </c>
      <c r="BH58" s="1059">
        <f>-Debt!BH297</f>
        <v>-9.8029250000000001</v>
      </c>
      <c r="BI58" s="470">
        <f>+SUM(BE58:BH58)</f>
        <v>-34.228950000000005</v>
      </c>
      <c r="BJ58" s="711"/>
      <c r="BK58" s="1059">
        <f>-Debt!BK95</f>
        <v>-9.9592999999999989</v>
      </c>
      <c r="BL58" s="1059">
        <f>-Debt!BL95</f>
        <v>-10.0802</v>
      </c>
      <c r="BM58" s="1059">
        <f>-Debt!BM95</f>
        <v>-10.457849999999999</v>
      </c>
      <c r="BN58" s="1059">
        <f>-Debt!BN95</f>
        <v>-10.54365</v>
      </c>
      <c r="BO58" s="470">
        <f>+SUM(BK58:BN58)</f>
        <v>-41.040999999999997</v>
      </c>
      <c r="BP58" s="711"/>
      <c r="BQ58" s="1059">
        <f>-Debt!BQ95</f>
        <v>-6.5667999999999997</v>
      </c>
      <c r="BR58" s="1059">
        <f>-Debt!BR95</f>
        <v>-6.5232000000000001</v>
      </c>
      <c r="BS58" s="1059">
        <f>-Debt!BS95</f>
        <v>-6.5232000000000001</v>
      </c>
      <c r="BT58" s="1059">
        <f>-Debt!BT95</f>
        <v>-6.5232000000000001</v>
      </c>
      <c r="BU58" s="470">
        <f t="shared" ref="BU58" si="5">+SUM(BQ58:BT58)</f>
        <v>-26.136399999999998</v>
      </c>
      <c r="BV58" s="711"/>
      <c r="BW58" s="1059">
        <f>-Debt!BW95</f>
        <v>-6.5232000000000001</v>
      </c>
      <c r="BX58" s="1059">
        <f>-Debt!BX95</f>
        <v>-6.5232000000000001</v>
      </c>
      <c r="BY58" s="1059">
        <f>-Debt!BY95</f>
        <v>-6.5232000000000001</v>
      </c>
      <c r="BZ58" s="1059">
        <f>-Debt!BZ95</f>
        <v>-6.5232000000000001</v>
      </c>
      <c r="CA58" s="470">
        <f t="shared" ref="CA58" si="6">+SUM(BW58:BZ58)</f>
        <v>-26.0928</v>
      </c>
      <c r="CB58" s="711"/>
      <c r="CC58" s="1059">
        <f>-Debt!CC95</f>
        <v>-6.5232000000000001</v>
      </c>
      <c r="CD58" s="1059">
        <f>-Debt!CD95</f>
        <v>-6.5232000000000001</v>
      </c>
      <c r="CE58" s="1059">
        <f>-Debt!CE95</f>
        <v>-6.5232000000000001</v>
      </c>
      <c r="CF58" s="1059">
        <f>-Debt!CF95</f>
        <v>-6.5232000000000001</v>
      </c>
      <c r="CG58" s="470">
        <f t="shared" ref="CG58" si="7">+SUM(CC58:CF58)</f>
        <v>-26.0928</v>
      </c>
      <c r="CW58" s="711"/>
    </row>
    <row r="59" spans="1:101" ht="12.75" hidden="1" customHeight="1" outlineLevel="1" x14ac:dyDescent="0.2">
      <c r="A59" s="300"/>
      <c r="B59" s="766" t="s">
        <v>563</v>
      </c>
      <c r="C59" s="743">
        <v>6.5010000000000003</v>
      </c>
      <c r="D59" s="743">
        <v>6.9950000000000001</v>
      </c>
      <c r="E59" s="743">
        <v>6.6130000000000004</v>
      </c>
      <c r="F59" s="743">
        <f>26.428-E59-D59-C59</f>
        <v>6.319</v>
      </c>
      <c r="G59" s="470">
        <f>SUM(C59:F59)</f>
        <v>26.428000000000001</v>
      </c>
      <c r="I59" s="743">
        <v>5.21</v>
      </c>
      <c r="J59" s="743">
        <v>4.6849999999999996</v>
      </c>
      <c r="K59" s="743">
        <v>4.6689999999999996</v>
      </c>
      <c r="L59" s="743">
        <f>17.089-K59-J59-I59</f>
        <v>2.5249999999999986</v>
      </c>
      <c r="M59" s="470">
        <f>SUM(I59:L59)</f>
        <v>17.088999999999999</v>
      </c>
      <c r="O59" s="743">
        <v>1.956</v>
      </c>
      <c r="P59" s="743">
        <v>1.512</v>
      </c>
      <c r="Q59" s="743">
        <v>0.85799999999999998</v>
      </c>
      <c r="R59" s="743">
        <f>5.032-Q59-P59-O59</f>
        <v>0.70600000000000041</v>
      </c>
      <c r="S59" s="470">
        <f>SUM(O59:R59)</f>
        <v>5.032</v>
      </c>
      <c r="U59" s="743">
        <v>0.78700000000000003</v>
      </c>
      <c r="V59" s="743">
        <v>0.82699999999999996</v>
      </c>
      <c r="W59" s="743">
        <v>1.268</v>
      </c>
      <c r="X59" s="743">
        <f>4.254-W59-V59-U59</f>
        <v>1.3719999999999999</v>
      </c>
      <c r="Y59" s="470">
        <f>SUM(U59:X59)</f>
        <v>4.2539999999999996</v>
      </c>
      <c r="AA59" s="743">
        <v>1.8280000000000001</v>
      </c>
      <c r="AB59" s="743">
        <v>2.4300000000000002</v>
      </c>
      <c r="AC59" s="743">
        <v>2.4180000000000001</v>
      </c>
      <c r="AD59" s="743">
        <f>8.237-AC59-AB59-AA59</f>
        <v>1.5609999999999997</v>
      </c>
      <c r="AE59" s="470">
        <f>SUM(AA59:AD59)</f>
        <v>8.2370000000000001</v>
      </c>
      <c r="AG59" s="743">
        <v>1.8779999999999999</v>
      </c>
      <c r="AH59" s="743">
        <v>1.984</v>
      </c>
      <c r="AI59" s="743">
        <v>2.3420000000000001</v>
      </c>
      <c r="AJ59" s="743">
        <f>8.76-AI59-AH59-AG59</f>
        <v>2.5559999999999992</v>
      </c>
      <c r="AK59" s="470">
        <f>SUM(AG59:AJ59)</f>
        <v>8.76</v>
      </c>
      <c r="AM59" s="743">
        <v>2.1749999999999998</v>
      </c>
      <c r="AN59" s="743">
        <v>2.2429999999999999</v>
      </c>
      <c r="AO59" s="743">
        <v>2.1379999999999999</v>
      </c>
      <c r="AP59" s="743">
        <f>8.123-AO59-AN59-AM59</f>
        <v>1.5669999999999997</v>
      </c>
      <c r="AQ59" s="470">
        <f>SUM(AM59:AP59)</f>
        <v>8.1229999999999993</v>
      </c>
      <c r="AS59" s="743">
        <v>1.4350000000000001</v>
      </c>
      <c r="AT59" s="743">
        <v>1.744</v>
      </c>
      <c r="AU59" s="743">
        <v>1.4</v>
      </c>
      <c r="AV59" s="743">
        <f>5.592-AU59-AT59-AS59</f>
        <v>1.0130000000000003</v>
      </c>
      <c r="AW59" s="470">
        <f>SUM(AS59:AV59)</f>
        <v>5.5920000000000005</v>
      </c>
      <c r="AY59" s="743">
        <v>0.74199999999999999</v>
      </c>
      <c r="AZ59" s="743">
        <v>0.66</v>
      </c>
      <c r="BA59" s="743">
        <v>0.4</v>
      </c>
      <c r="BB59" s="743">
        <f>2.2-BA59-AZ59-AY59</f>
        <v>0.39800000000000013</v>
      </c>
      <c r="BC59" s="470">
        <f>SUM(AY59:BB59)</f>
        <v>2.2000000000000002</v>
      </c>
      <c r="BD59" s="711"/>
      <c r="BE59" s="712"/>
      <c r="BF59" s="712"/>
      <c r="BG59" s="712"/>
      <c r="BH59" s="712"/>
      <c r="BI59" s="470"/>
      <c r="BJ59" s="711"/>
      <c r="BK59" s="178"/>
      <c r="BL59" s="178"/>
      <c r="BM59" s="178"/>
      <c r="BN59" s="178"/>
      <c r="BO59" s="470"/>
      <c r="BP59" s="711"/>
      <c r="BQ59" s="178"/>
      <c r="BR59" s="178"/>
      <c r="BS59" s="178"/>
      <c r="BT59" s="178"/>
      <c r="BU59" s="470"/>
      <c r="BV59" s="711"/>
      <c r="BW59" s="178"/>
      <c r="BX59" s="178"/>
      <c r="BY59" s="178"/>
      <c r="BZ59" s="178"/>
      <c r="CA59" s="470"/>
      <c r="CB59" s="711"/>
      <c r="CC59" s="178"/>
      <c r="CD59" s="178"/>
      <c r="CE59" s="178"/>
      <c r="CF59" s="178"/>
      <c r="CG59" s="470"/>
      <c r="CW59" s="711"/>
    </row>
    <row r="60" spans="1:101" ht="12.75" hidden="1" customHeight="1" outlineLevel="1" x14ac:dyDescent="0.2">
      <c r="A60" s="300"/>
      <c r="B60" s="766" t="s">
        <v>524</v>
      </c>
      <c r="C60" s="178">
        <v>0</v>
      </c>
      <c r="D60" s="178">
        <v>0</v>
      </c>
      <c r="E60" s="178">
        <v>0</v>
      </c>
      <c r="F60" s="178">
        <v>0</v>
      </c>
      <c r="G60" s="470">
        <f>SUM(C60:F60)</f>
        <v>0</v>
      </c>
      <c r="I60" s="178">
        <v>0</v>
      </c>
      <c r="J60" s="178">
        <v>0</v>
      </c>
      <c r="K60" s="178">
        <v>0</v>
      </c>
      <c r="L60" s="178">
        <v>0</v>
      </c>
      <c r="M60" s="470">
        <f>SUM(I60:L60)</f>
        <v>0</v>
      </c>
      <c r="O60" s="178">
        <v>0</v>
      </c>
      <c r="P60" s="178">
        <v>0</v>
      </c>
      <c r="Q60" s="178">
        <v>0</v>
      </c>
      <c r="R60" s="178">
        <v>0</v>
      </c>
      <c r="S60" s="470">
        <f>SUM(O60:R60)</f>
        <v>0</v>
      </c>
      <c r="U60" s="178">
        <v>0</v>
      </c>
      <c r="V60" s="178">
        <v>0</v>
      </c>
      <c r="W60" s="178">
        <v>0</v>
      </c>
      <c r="X60" s="178">
        <v>0</v>
      </c>
      <c r="Y60" s="470">
        <f>SUM(U60:X60)</f>
        <v>0</v>
      </c>
      <c r="AA60" s="178">
        <v>0</v>
      </c>
      <c r="AB60" s="178">
        <v>0</v>
      </c>
      <c r="AC60" s="178">
        <v>0</v>
      </c>
      <c r="AD60" s="178">
        <v>0</v>
      </c>
      <c r="AE60" s="470">
        <f>SUM(AA60:AD60)</f>
        <v>0</v>
      </c>
      <c r="AG60" s="178">
        <v>0</v>
      </c>
      <c r="AH60" s="178">
        <v>0</v>
      </c>
      <c r="AI60" s="178">
        <v>0</v>
      </c>
      <c r="AJ60" s="178">
        <v>0</v>
      </c>
      <c r="AK60" s="470">
        <f>SUM(AG60:AJ60)</f>
        <v>0</v>
      </c>
      <c r="AM60" s="178">
        <v>0</v>
      </c>
      <c r="AN60" s="178">
        <v>0</v>
      </c>
      <c r="AO60" s="178">
        <v>0</v>
      </c>
      <c r="AP60" s="178">
        <v>0</v>
      </c>
      <c r="AQ60" s="470">
        <f>SUM(AM60:AP60)</f>
        <v>0</v>
      </c>
      <c r="AS60" s="178">
        <v>0</v>
      </c>
      <c r="AT60" s="178">
        <v>0</v>
      </c>
      <c r="AU60" s="178">
        <v>0</v>
      </c>
      <c r="AV60" s="178">
        <v>0</v>
      </c>
      <c r="AW60" s="470">
        <f>SUM(AS60:AV60)</f>
        <v>0</v>
      </c>
      <c r="AY60" s="178">
        <v>0</v>
      </c>
      <c r="AZ60" s="178">
        <v>0</v>
      </c>
      <c r="BA60" s="178">
        <v>0</v>
      </c>
      <c r="BB60" s="178">
        <v>0</v>
      </c>
      <c r="BC60" s="470">
        <f>SUM(AY60:BB60)</f>
        <v>0</v>
      </c>
      <c r="BD60" s="711"/>
      <c r="BE60" s="712"/>
      <c r="BF60" s="712"/>
      <c r="BG60" s="712"/>
      <c r="BH60" s="712"/>
      <c r="BI60" s="470"/>
      <c r="BJ60" s="711"/>
      <c r="BK60" s="178"/>
      <c r="BL60" s="178"/>
      <c r="BM60" s="178"/>
      <c r="BN60" s="178"/>
      <c r="BO60" s="470"/>
      <c r="BP60" s="711"/>
      <c r="BQ60" s="178"/>
      <c r="BR60" s="178"/>
      <c r="BS60" s="178"/>
      <c r="BT60" s="178"/>
      <c r="BU60" s="470"/>
      <c r="BV60" s="711"/>
      <c r="BW60" s="178"/>
      <c r="BX60" s="178"/>
      <c r="BY60" s="178"/>
      <c r="BZ60" s="178"/>
      <c r="CA60" s="470"/>
      <c r="CB60" s="711"/>
      <c r="CC60" s="178"/>
      <c r="CD60" s="178"/>
      <c r="CE60" s="178"/>
      <c r="CF60" s="178"/>
      <c r="CG60" s="470"/>
      <c r="CW60" s="711"/>
    </row>
    <row r="61" spans="1:101" ht="12.75" hidden="1" customHeight="1" outlineLevel="1" x14ac:dyDescent="0.2">
      <c r="A61" s="300"/>
      <c r="B61" s="766" t="s">
        <v>550</v>
      </c>
      <c r="C61" s="743">
        <v>0</v>
      </c>
      <c r="D61" s="743">
        <v>0</v>
      </c>
      <c r="E61" s="743">
        <v>0</v>
      </c>
      <c r="F61" s="743">
        <v>0</v>
      </c>
      <c r="G61" s="470">
        <f>SUM(C61:F61)</f>
        <v>0</v>
      </c>
      <c r="I61" s="743">
        <v>0</v>
      </c>
      <c r="J61" s="743">
        <v>0</v>
      </c>
      <c r="K61" s="743">
        <v>0</v>
      </c>
      <c r="L61" s="743">
        <v>0</v>
      </c>
      <c r="M61" s="470">
        <f>SUM(I61:L61)</f>
        <v>0</v>
      </c>
      <c r="O61" s="743">
        <v>0</v>
      </c>
      <c r="P61" s="743">
        <v>0</v>
      </c>
      <c r="Q61" s="743">
        <v>0</v>
      </c>
      <c r="R61" s="743">
        <v>0</v>
      </c>
      <c r="S61" s="470">
        <f>SUM(O61:R61)</f>
        <v>0</v>
      </c>
      <c r="U61" s="743">
        <v>0</v>
      </c>
      <c r="V61" s="743">
        <v>0</v>
      </c>
      <c r="W61" s="743">
        <v>0</v>
      </c>
      <c r="X61" s="743">
        <v>0</v>
      </c>
      <c r="Y61" s="470">
        <f>SUM(U61:X61)</f>
        <v>0</v>
      </c>
      <c r="AA61" s="743">
        <v>0</v>
      </c>
      <c r="AB61" s="743">
        <v>8.4000000000004071E-3</v>
      </c>
      <c r="AC61" s="743">
        <v>0</v>
      </c>
      <c r="AD61" s="743">
        <v>-1.2273999999999996</v>
      </c>
      <c r="AE61" s="470">
        <f>SUM(AA61:AD61)</f>
        <v>-1.2189999999999992</v>
      </c>
      <c r="AG61" s="743">
        <v>-0.41900000000000026</v>
      </c>
      <c r="AH61" s="743">
        <v>-2.7000000000000135E-2</v>
      </c>
      <c r="AI61" s="743">
        <v>0</v>
      </c>
      <c r="AJ61" s="743">
        <v>0.44600000000000017</v>
      </c>
      <c r="AK61" s="470">
        <f>SUM(AG61:AJ61)</f>
        <v>0</v>
      </c>
      <c r="AM61" s="743">
        <v>0</v>
      </c>
      <c r="AN61" s="743">
        <v>0</v>
      </c>
      <c r="AO61" s="743">
        <v>0</v>
      </c>
      <c r="AP61" s="743">
        <v>0</v>
      </c>
      <c r="AQ61" s="470">
        <f>SUM(AM61:AP61)</f>
        <v>0</v>
      </c>
      <c r="AS61" s="1168">
        <v>0</v>
      </c>
      <c r="AT61" s="1168">
        <v>0</v>
      </c>
      <c r="AU61" s="1168">
        <v>8.999999999999897E-3</v>
      </c>
      <c r="AV61" s="1168">
        <v>-8.9999999999990088E-3</v>
      </c>
      <c r="AW61" s="593">
        <f>SUM(AS61:AV61)</f>
        <v>8.8817841970012523E-16</v>
      </c>
      <c r="AY61" s="1168">
        <v>0</v>
      </c>
      <c r="AZ61" s="1168">
        <v>0</v>
      </c>
      <c r="BA61" s="1168">
        <v>0</v>
      </c>
      <c r="BB61" s="1168">
        <v>-1.9999999999998908E-3</v>
      </c>
      <c r="BC61" s="593">
        <f>SUM(AY61:BB61)</f>
        <v>-1.9999999999998908E-3</v>
      </c>
      <c r="BD61" s="711"/>
      <c r="BE61" s="712"/>
      <c r="BF61" s="712"/>
      <c r="BG61" s="712"/>
      <c r="BH61" s="712"/>
      <c r="BI61" s="470"/>
      <c r="BJ61" s="711"/>
      <c r="BK61" s="178"/>
      <c r="BL61" s="178"/>
      <c r="BM61" s="178"/>
      <c r="BN61" s="178"/>
      <c r="BO61" s="470"/>
      <c r="BP61" s="711"/>
      <c r="BQ61" s="178"/>
      <c r="BR61" s="178"/>
      <c r="BS61" s="178"/>
      <c r="BT61" s="178"/>
      <c r="BU61" s="470"/>
      <c r="BV61" s="711"/>
      <c r="BW61" s="178"/>
      <c r="BX61" s="178"/>
      <c r="BY61" s="178"/>
      <c r="BZ61" s="178"/>
      <c r="CA61" s="470"/>
      <c r="CB61" s="711"/>
      <c r="CC61" s="178"/>
      <c r="CD61" s="178"/>
      <c r="CE61" s="178"/>
      <c r="CF61" s="178"/>
      <c r="CG61" s="470"/>
      <c r="CW61" s="711"/>
    </row>
    <row r="62" spans="1:101" ht="12.75" customHeight="1" collapsed="1" x14ac:dyDescent="0.2">
      <c r="A62" s="300"/>
      <c r="B62" s="176" t="s">
        <v>138</v>
      </c>
      <c r="C62" s="178">
        <f>SUM(C59:C60)-C61</f>
        <v>6.5010000000000003</v>
      </c>
      <c r="D62" s="178">
        <f>SUM(D59:D60)-D61</f>
        <v>6.9950000000000001</v>
      </c>
      <c r="E62" s="178">
        <f>SUM(E59:E60)-E61</f>
        <v>6.6130000000000004</v>
      </c>
      <c r="F62" s="178">
        <f>SUM(F59:F60)-F61</f>
        <v>6.319</v>
      </c>
      <c r="G62" s="470">
        <f>SUM(G59:G60)-G61</f>
        <v>26.428000000000001</v>
      </c>
      <c r="H62" s="711"/>
      <c r="I62" s="178">
        <f>SUM(I59:I60)-I61</f>
        <v>5.21</v>
      </c>
      <c r="J62" s="178">
        <f>SUM(J59:J60)-J61</f>
        <v>4.6849999999999996</v>
      </c>
      <c r="K62" s="178">
        <f>SUM(K59:K60)-K61</f>
        <v>4.6689999999999996</v>
      </c>
      <c r="L62" s="178">
        <f>SUM(L59:L60)-L61</f>
        <v>2.5249999999999986</v>
      </c>
      <c r="M62" s="470">
        <f>SUM(M59:M60)-M61</f>
        <v>17.088999999999999</v>
      </c>
      <c r="N62" s="711"/>
      <c r="O62" s="178">
        <f>SUM(O59:O60)-O61</f>
        <v>1.956</v>
      </c>
      <c r="P62" s="178">
        <f>SUM(P59:P60)-P61</f>
        <v>1.512</v>
      </c>
      <c r="Q62" s="178">
        <f>SUM(Q59:Q60)-Q61</f>
        <v>0.85799999999999998</v>
      </c>
      <c r="R62" s="178">
        <f>SUM(R59:R60)-R61</f>
        <v>0.70600000000000041</v>
      </c>
      <c r="S62" s="470">
        <f>SUM(S59:S60)-S61</f>
        <v>5.032</v>
      </c>
      <c r="T62" s="711"/>
      <c r="U62" s="178">
        <f>SUM(U59:U60)-U61</f>
        <v>0.78700000000000003</v>
      </c>
      <c r="V62" s="178">
        <f>SUM(V59:V60)-V61</f>
        <v>0.82699999999999996</v>
      </c>
      <c r="W62" s="178">
        <f>SUM(W59:W60)-W61</f>
        <v>1.268</v>
      </c>
      <c r="X62" s="178">
        <f>SUM(X59:X60)-X61</f>
        <v>1.3719999999999999</v>
      </c>
      <c r="Y62" s="470">
        <f>SUM(Y59:Y60)-Y61</f>
        <v>4.2539999999999996</v>
      </c>
      <c r="Z62" s="711"/>
      <c r="AA62" s="178">
        <f>SUM(AA59:AA60)-AA61</f>
        <v>1.8280000000000001</v>
      </c>
      <c r="AB62" s="178">
        <f>SUM(AB59:AB60)-AB61</f>
        <v>2.4215999999999998</v>
      </c>
      <c r="AC62" s="178">
        <f>SUM(AC59:AC60)-AC61</f>
        <v>2.4180000000000001</v>
      </c>
      <c r="AD62" s="178">
        <f>SUM(AD59:AD60)-AD61</f>
        <v>2.7883999999999993</v>
      </c>
      <c r="AE62" s="470">
        <f>SUM(AE59:AE60)-AE61</f>
        <v>9.4559999999999995</v>
      </c>
      <c r="AF62" s="711"/>
      <c r="AG62" s="178">
        <f>SUM(AG59:AG60)-AG61</f>
        <v>2.2970000000000002</v>
      </c>
      <c r="AH62" s="178">
        <f>SUM(AH59:AH60)-AH61</f>
        <v>2.0110000000000001</v>
      </c>
      <c r="AI62" s="178">
        <f>SUM(AI59:AI60)-AI61</f>
        <v>2.3420000000000001</v>
      </c>
      <c r="AJ62" s="178">
        <f>SUM(AJ59:AJ60)-AJ61</f>
        <v>2.109999999999999</v>
      </c>
      <c r="AK62" s="470">
        <f>SUM(AK59:AK60)-AK61</f>
        <v>8.76</v>
      </c>
      <c r="AL62" s="711"/>
      <c r="AM62" s="178">
        <f>SUM(AM59:AM60)-AM61</f>
        <v>2.1749999999999998</v>
      </c>
      <c r="AN62" s="178">
        <f>SUM(AN59:AN60)-AN61</f>
        <v>2.2429999999999999</v>
      </c>
      <c r="AO62" s="178">
        <f>SUM(AO59:AO60)-AO61</f>
        <v>2.1379999999999999</v>
      </c>
      <c r="AP62" s="178">
        <f>SUM(AP59:AP60)-AP61</f>
        <v>1.5669999999999997</v>
      </c>
      <c r="AQ62" s="470">
        <f>SUM(AQ59:AQ60)-AQ61</f>
        <v>8.1229999999999993</v>
      </c>
      <c r="AR62" s="711"/>
      <c r="AS62" s="178">
        <f>SUM(AS59:AS60)-AS61</f>
        <v>1.4350000000000001</v>
      </c>
      <c r="AT62" s="178">
        <f>SUM(AT59:AT60)-AT61</f>
        <v>1.744</v>
      </c>
      <c r="AU62" s="178">
        <f>SUM(AU59:AU60)-AU61</f>
        <v>1.391</v>
      </c>
      <c r="AV62" s="178">
        <f>SUM(AV59:AV60)-AV61</f>
        <v>1.0219999999999994</v>
      </c>
      <c r="AW62" s="470">
        <f>SUM(AW59:AW60)-AW61</f>
        <v>5.5919999999999996</v>
      </c>
      <c r="AX62" s="711"/>
      <c r="AY62" s="178">
        <f>SUM(AY59:AY60)-AY61</f>
        <v>0.74199999999999999</v>
      </c>
      <c r="AZ62" s="178">
        <f>SUM(AZ59:AZ60)-AZ61</f>
        <v>0.66</v>
      </c>
      <c r="BA62" s="178">
        <f>SUM(BA59:BA60)-BA61</f>
        <v>0.4</v>
      </c>
      <c r="BB62" s="178">
        <f>SUM(BB59:BB60)-BB61</f>
        <v>0.4</v>
      </c>
      <c r="BC62" s="470">
        <f>SUM(BC59:BC60)-BC61</f>
        <v>2.202</v>
      </c>
      <c r="BD62" s="711"/>
      <c r="BE62" s="1059">
        <f>+'P&amp;L'!BE22</f>
        <v>0</v>
      </c>
      <c r="BF62" s="1059">
        <f>+'P&amp;L'!BF22</f>
        <v>0.4</v>
      </c>
      <c r="BG62" s="1059">
        <f>Debt!BG293</f>
        <v>1.0741472885135936</v>
      </c>
      <c r="BH62" s="1059">
        <f>Debt!BH293</f>
        <v>0.64961697748954894</v>
      </c>
      <c r="BI62" s="470">
        <f>+SUM(BE62:BH62)</f>
        <v>2.1237642660031426</v>
      </c>
      <c r="BJ62" s="711"/>
      <c r="BK62" s="1059">
        <f>Debt!BK101</f>
        <v>0.7</v>
      </c>
      <c r="BL62" s="1059">
        <f>Debt!BL101</f>
        <v>0.6</v>
      </c>
      <c r="BM62" s="1059">
        <f>Debt!BM101</f>
        <v>0.4</v>
      </c>
      <c r="BN62" s="1059">
        <f>Debt!BN101</f>
        <v>0.4</v>
      </c>
      <c r="BO62" s="470">
        <f>+SUM(BK62:BN62)</f>
        <v>2.0999999999999996</v>
      </c>
      <c r="BP62" s="711"/>
      <c r="BQ62" s="1059">
        <f>Debt!BQ101</f>
        <v>0.8015000000000001</v>
      </c>
      <c r="BR62" s="1059">
        <f>Debt!BR101</f>
        <v>1.0301192297171589</v>
      </c>
      <c r="BS62" s="1059">
        <f>Debt!BS101</f>
        <v>0.81406481424175581</v>
      </c>
      <c r="BT62" s="1059">
        <f>Debt!BT101</f>
        <v>0.57496979306416984</v>
      </c>
      <c r="BU62" s="470">
        <f t="shared" ref="BU62" si="8">+SUM(BQ62:BT62)</f>
        <v>3.2206538370230846</v>
      </c>
      <c r="BV62" s="711"/>
      <c r="BW62" s="1059">
        <f>Debt!BW101</f>
        <v>0.83506952132568191</v>
      </c>
      <c r="BX62" s="1059">
        <f>Debt!BX101</f>
        <v>1.4567089448517954</v>
      </c>
      <c r="BY62" s="1059">
        <f>Debt!BY101</f>
        <v>1.1992209684947512</v>
      </c>
      <c r="BZ62" s="1059">
        <f>Debt!BZ101</f>
        <v>0.9016693196400648</v>
      </c>
      <c r="CA62" s="470">
        <f t="shared" ref="CA62" si="9">+SUM(BW62:BZ62)</f>
        <v>4.3926687543122931</v>
      </c>
      <c r="CB62" s="711"/>
      <c r="CC62" s="1059">
        <f>Debt!CC101</f>
        <v>3.7639303080501936</v>
      </c>
      <c r="CD62" s="1059">
        <f>Debt!CD101</f>
        <v>6.8056590982061032</v>
      </c>
      <c r="CE62" s="1059">
        <f>Debt!CE101</f>
        <v>5.8693184910263305</v>
      </c>
      <c r="CF62" s="1059">
        <f>Debt!CF101</f>
        <v>4.8426723389626307</v>
      </c>
      <c r="CG62" s="470">
        <f t="shared" ref="CG62" si="10">+SUM(CC62:CF62)</f>
        <v>21.281580236245254</v>
      </c>
      <c r="CW62" s="711"/>
    </row>
    <row r="63" spans="1:101" ht="12.75" hidden="1" customHeight="1" outlineLevel="1" x14ac:dyDescent="0.2">
      <c r="A63" s="300"/>
      <c r="B63" s="766" t="s">
        <v>565</v>
      </c>
      <c r="C63" s="743">
        <v>-1.889</v>
      </c>
      <c r="D63" s="743">
        <v>-0.85699999999999998</v>
      </c>
      <c r="E63" s="743">
        <v>-6.9820000000000002</v>
      </c>
      <c r="F63" s="743">
        <v>-5.8860000000000001</v>
      </c>
      <c r="G63" s="470">
        <f t="shared" ref="G63:G71" si="11">SUM(C63:F63)</f>
        <v>-15.614000000000001</v>
      </c>
      <c r="I63" s="743">
        <v>-9.0389999999999997</v>
      </c>
      <c r="J63" s="743">
        <v>-0.307</v>
      </c>
      <c r="K63" s="743">
        <v>6.2969999999999997</v>
      </c>
      <c r="L63" s="743">
        <v>3.5920000000000001</v>
      </c>
      <c r="M63" s="470">
        <f t="shared" ref="M63:M71" si="12">SUM(I63:L63)</f>
        <v>0.54299999999999971</v>
      </c>
      <c r="O63" s="743">
        <v>7.077</v>
      </c>
      <c r="P63" s="743">
        <v>-5.1109999999999998</v>
      </c>
      <c r="Q63" s="743">
        <v>-6.806</v>
      </c>
      <c r="R63" s="743">
        <v>-0.63300000000000001</v>
      </c>
      <c r="S63" s="470">
        <f t="shared" ref="S63:S71" si="13">SUM(O63:R63)</f>
        <v>-5.4729999999999999</v>
      </c>
      <c r="U63" s="743">
        <v>5.0490000000000004</v>
      </c>
      <c r="V63" s="743">
        <v>6.0030000000000001</v>
      </c>
      <c r="W63" s="743">
        <v>-3.2589999999999999</v>
      </c>
      <c r="X63" s="743">
        <v>-0.76100000000000001</v>
      </c>
      <c r="Y63" s="470">
        <f t="shared" ref="Y63:Y71" si="14">SUM(U63:X63)</f>
        <v>7.0319999999999991</v>
      </c>
      <c r="AA63" s="743">
        <v>-4.3360000000000003</v>
      </c>
      <c r="AB63" s="743">
        <v>-3.4350000000000001</v>
      </c>
      <c r="AC63" s="743">
        <v>2.8639999999999999</v>
      </c>
      <c r="AD63" s="743">
        <v>2.23</v>
      </c>
      <c r="AE63" s="470">
        <f t="shared" ref="AE63:AE71" si="15">SUM(AA63:AD63)</f>
        <v>-2.6770000000000009</v>
      </c>
      <c r="AG63" s="743">
        <v>1.35</v>
      </c>
      <c r="AH63" s="743">
        <v>2.6749999999999998</v>
      </c>
      <c r="AI63" s="743">
        <v>-0.38200000000000001</v>
      </c>
      <c r="AJ63" s="743">
        <v>4.58</v>
      </c>
      <c r="AK63" s="470">
        <f t="shared" ref="AK63:AK71" si="16">SUM(AG63:AJ63)</f>
        <v>8.2230000000000008</v>
      </c>
      <c r="AM63" s="743">
        <v>1.4</v>
      </c>
      <c r="AN63" s="743">
        <v>4.5</v>
      </c>
      <c r="AO63" s="743">
        <v>1.9</v>
      </c>
      <c r="AP63" s="743">
        <v>2.6</v>
      </c>
      <c r="AQ63" s="470">
        <f t="shared" ref="AQ63:AQ71" si="17">SUM(AM63:AP63)</f>
        <v>10.4</v>
      </c>
      <c r="AS63" s="743">
        <v>-2</v>
      </c>
      <c r="AT63" s="743">
        <v>-2.2000000000000002</v>
      </c>
      <c r="AU63" s="743">
        <v>1.9</v>
      </c>
      <c r="AV63" s="743">
        <v>2.2000000000000002</v>
      </c>
      <c r="AW63" s="470">
        <f t="shared" ref="AW63:AW68" si="18">SUM(AS63:AV63)</f>
        <v>-0.10000000000000009</v>
      </c>
      <c r="AY63" s="743">
        <v>-0.9</v>
      </c>
      <c r="AZ63" s="743">
        <v>5.0999999999999996</v>
      </c>
      <c r="BA63" s="743">
        <v>11.5</v>
      </c>
      <c r="BB63" s="743">
        <v>-2.9</v>
      </c>
      <c r="BC63" s="470">
        <f t="shared" ref="BC63:BC71" si="19">SUM(AY63:BB63)</f>
        <v>12.799999999999999</v>
      </c>
      <c r="BD63" s="711"/>
      <c r="BE63" s="178"/>
      <c r="BF63" s="178"/>
      <c r="BG63" s="178"/>
      <c r="BH63" s="178"/>
      <c r="BI63" s="470"/>
      <c r="BJ63" s="711"/>
      <c r="BK63" s="178"/>
      <c r="BL63" s="178"/>
      <c r="BM63" s="178"/>
      <c r="BN63" s="178"/>
      <c r="BO63" s="470"/>
      <c r="BP63" s="711"/>
      <c r="BQ63" s="178"/>
      <c r="BR63" s="178"/>
      <c r="BS63" s="178"/>
      <c r="BT63" s="178"/>
      <c r="BU63" s="470"/>
      <c r="BV63" s="711"/>
      <c r="BW63" s="178"/>
      <c r="BX63" s="178"/>
      <c r="BY63" s="178"/>
      <c r="BZ63" s="178"/>
      <c r="CA63" s="470"/>
      <c r="CB63" s="711"/>
      <c r="CC63" s="178"/>
      <c r="CD63" s="178"/>
      <c r="CE63" s="178"/>
      <c r="CF63" s="178"/>
      <c r="CG63" s="470"/>
      <c r="CW63" s="711"/>
    </row>
    <row r="64" spans="1:101" ht="12.75" hidden="1" customHeight="1" outlineLevel="1" x14ac:dyDescent="0.2">
      <c r="A64" s="300"/>
      <c r="B64" s="302" t="s">
        <v>523</v>
      </c>
      <c r="C64" s="178">
        <f>-C63</f>
        <v>1.889</v>
      </c>
      <c r="D64" s="178">
        <f>-D63</f>
        <v>0.85699999999999998</v>
      </c>
      <c r="E64" s="178">
        <f>-E63</f>
        <v>6.9820000000000002</v>
      </c>
      <c r="F64" s="178">
        <f>-F63</f>
        <v>5.8860000000000001</v>
      </c>
      <c r="G64" s="470">
        <f t="shared" si="11"/>
        <v>15.614000000000001</v>
      </c>
      <c r="I64" s="178">
        <f>-I63</f>
        <v>9.0389999999999997</v>
      </c>
      <c r="J64" s="178">
        <f>-J63</f>
        <v>0.307</v>
      </c>
      <c r="K64" s="178">
        <f>-K63</f>
        <v>-6.2969999999999997</v>
      </c>
      <c r="L64" s="178">
        <f>-L63</f>
        <v>-3.5920000000000001</v>
      </c>
      <c r="M64" s="470">
        <f t="shared" si="12"/>
        <v>-0.54299999999999971</v>
      </c>
      <c r="O64" s="178">
        <f>-O63</f>
        <v>-7.077</v>
      </c>
      <c r="P64" s="178">
        <f>-P63</f>
        <v>5.1109999999999998</v>
      </c>
      <c r="Q64" s="178">
        <f>-Q63</f>
        <v>6.806</v>
      </c>
      <c r="R64" s="178">
        <f>-R63</f>
        <v>0.63300000000000001</v>
      </c>
      <c r="S64" s="470">
        <f t="shared" si="13"/>
        <v>5.4729999999999999</v>
      </c>
      <c r="U64" s="178">
        <f>-U63</f>
        <v>-5.0490000000000004</v>
      </c>
      <c r="V64" s="178">
        <f>-V63</f>
        <v>-6.0030000000000001</v>
      </c>
      <c r="W64" s="178">
        <f>-W63</f>
        <v>3.2589999999999999</v>
      </c>
      <c r="X64" s="178">
        <f>-X63</f>
        <v>0.76100000000000001</v>
      </c>
      <c r="Y64" s="470">
        <f t="shared" si="14"/>
        <v>-7.0319999999999991</v>
      </c>
      <c r="AA64" s="178">
        <f>-AA63</f>
        <v>4.3360000000000003</v>
      </c>
      <c r="AB64" s="178">
        <f>-AB63</f>
        <v>3.4350000000000001</v>
      </c>
      <c r="AC64" s="178">
        <f>-AC63</f>
        <v>-2.8639999999999999</v>
      </c>
      <c r="AD64" s="178">
        <f>-AD63</f>
        <v>-2.23</v>
      </c>
      <c r="AE64" s="470">
        <f t="shared" si="15"/>
        <v>2.6770000000000009</v>
      </c>
      <c r="AG64" s="178">
        <f>-AG63</f>
        <v>-1.35</v>
      </c>
      <c r="AH64" s="178">
        <f>-AH63</f>
        <v>-2.6749999999999998</v>
      </c>
      <c r="AI64" s="178">
        <f>-AI63</f>
        <v>0.38200000000000001</v>
      </c>
      <c r="AJ64" s="178">
        <f>-AJ63</f>
        <v>-4.58</v>
      </c>
      <c r="AK64" s="470">
        <f t="shared" si="16"/>
        <v>-8.2230000000000008</v>
      </c>
      <c r="AM64" s="178">
        <f>-AM63</f>
        <v>-1.4</v>
      </c>
      <c r="AN64" s="178">
        <f>-AN63</f>
        <v>-4.5</v>
      </c>
      <c r="AO64" s="178">
        <f>-AO63</f>
        <v>-1.9</v>
      </c>
      <c r="AP64" s="178">
        <f>-AP63</f>
        <v>-2.6</v>
      </c>
      <c r="AQ64" s="470">
        <f t="shared" si="17"/>
        <v>-10.4</v>
      </c>
      <c r="AS64" s="178">
        <f>-AS63</f>
        <v>2</v>
      </c>
      <c r="AT64" s="178">
        <f>-AT63</f>
        <v>2.2000000000000002</v>
      </c>
      <c r="AU64" s="178">
        <f>-AU63</f>
        <v>-1.9</v>
      </c>
      <c r="AV64" s="178">
        <f>-AV63</f>
        <v>-2.2000000000000002</v>
      </c>
      <c r="AW64" s="470">
        <f t="shared" si="18"/>
        <v>0.10000000000000009</v>
      </c>
      <c r="AY64" s="178">
        <f>-AY63</f>
        <v>0.9</v>
      </c>
      <c r="AZ64" s="178">
        <f>-AZ63</f>
        <v>-5.0999999999999996</v>
      </c>
      <c r="BA64" s="178">
        <f>-BA63</f>
        <v>-11.5</v>
      </c>
      <c r="BB64" s="178">
        <f>-BB63</f>
        <v>2.9</v>
      </c>
      <c r="BC64" s="470">
        <f t="shared" si="19"/>
        <v>-12.799999999999999</v>
      </c>
      <c r="BD64" s="711"/>
      <c r="BE64" s="178"/>
      <c r="BF64" s="178"/>
      <c r="BG64" s="178"/>
      <c r="BH64" s="178"/>
      <c r="BI64" s="470"/>
      <c r="BJ64" s="711"/>
      <c r="BK64" s="178"/>
      <c r="BL64" s="178"/>
      <c r="BM64" s="178"/>
      <c r="BN64" s="178"/>
      <c r="BO64" s="470"/>
      <c r="BP64" s="711"/>
      <c r="BQ64" s="178"/>
      <c r="BR64" s="178"/>
      <c r="BS64" s="178"/>
      <c r="BT64" s="178"/>
      <c r="BU64" s="470"/>
      <c r="BV64" s="711"/>
      <c r="BW64" s="178"/>
      <c r="BX64" s="178"/>
      <c r="BY64" s="178"/>
      <c r="BZ64" s="178"/>
      <c r="CA64" s="470"/>
      <c r="CB64" s="711"/>
      <c r="CC64" s="178"/>
      <c r="CD64" s="178"/>
      <c r="CE64" s="178"/>
      <c r="CF64" s="178"/>
      <c r="CG64" s="470"/>
      <c r="CW64" s="711"/>
    </row>
    <row r="65" spans="1:132" ht="12.75" hidden="1" customHeight="1" outlineLevel="1" x14ac:dyDescent="0.2">
      <c r="A65" s="300"/>
      <c r="B65" s="766" t="s">
        <v>566</v>
      </c>
      <c r="C65" s="743">
        <v>0.91100000000000003</v>
      </c>
      <c r="D65" s="743">
        <v>-2.6360000000000001</v>
      </c>
      <c r="E65" s="743">
        <v>2.3849999999999998</v>
      </c>
      <c r="F65" s="743">
        <v>2.218</v>
      </c>
      <c r="G65" s="470">
        <f t="shared" si="11"/>
        <v>2.8779999999999997</v>
      </c>
      <c r="I65" s="743">
        <v>2.9950000000000001</v>
      </c>
      <c r="J65" s="743">
        <v>-6.149</v>
      </c>
      <c r="K65" s="743">
        <v>7.5960000000000001</v>
      </c>
      <c r="L65" s="743">
        <v>4.9669999999999996</v>
      </c>
      <c r="M65" s="470">
        <f t="shared" si="12"/>
        <v>9.4089999999999989</v>
      </c>
      <c r="O65" s="743">
        <v>-0.24</v>
      </c>
      <c r="P65" s="743">
        <v>-3.1389999999999998</v>
      </c>
      <c r="Q65" s="743">
        <v>-1.4370000000000001</v>
      </c>
      <c r="R65" s="743">
        <v>-1.0229999999999999</v>
      </c>
      <c r="S65" s="470">
        <f t="shared" si="13"/>
        <v>-5.8389999999999995</v>
      </c>
      <c r="U65" s="743">
        <v>-1.712</v>
      </c>
      <c r="V65" s="743">
        <v>2.5979999999999999</v>
      </c>
      <c r="W65" s="743">
        <v>-5.9649999999999999</v>
      </c>
      <c r="X65" s="743">
        <v>1.635</v>
      </c>
      <c r="Y65" s="470">
        <f t="shared" si="14"/>
        <v>-3.444</v>
      </c>
      <c r="AA65" s="743">
        <v>-1.554</v>
      </c>
      <c r="AB65" s="743">
        <v>1.081</v>
      </c>
      <c r="AC65" s="743">
        <v>2.14</v>
      </c>
      <c r="AD65" s="743">
        <v>0.436</v>
      </c>
      <c r="AE65" s="470">
        <f t="shared" si="15"/>
        <v>2.1030000000000002</v>
      </c>
      <c r="AG65" s="743">
        <v>-2.9359999999999999</v>
      </c>
      <c r="AH65" s="743">
        <v>2.6859999999999999</v>
      </c>
      <c r="AI65" s="743">
        <v>-2.1469999999999998</v>
      </c>
      <c r="AJ65" s="743">
        <v>-1.3460000000000001</v>
      </c>
      <c r="AK65" s="470">
        <f t="shared" si="16"/>
        <v>-3.7429999999999999</v>
      </c>
      <c r="AM65" s="743">
        <v>2.5</v>
      </c>
      <c r="AN65" s="743">
        <v>-0.9</v>
      </c>
      <c r="AO65" s="743">
        <v>-0.7</v>
      </c>
      <c r="AP65" s="743">
        <v>-0.6</v>
      </c>
      <c r="AQ65" s="470">
        <f t="shared" si="17"/>
        <v>0.30000000000000016</v>
      </c>
      <c r="AS65" s="743">
        <v>1.5</v>
      </c>
      <c r="AT65" s="743">
        <v>0.5</v>
      </c>
      <c r="AU65" s="743">
        <v>1.1000000000000001</v>
      </c>
      <c r="AV65" s="743">
        <v>-0.4</v>
      </c>
      <c r="AW65" s="470">
        <f t="shared" si="18"/>
        <v>2.7</v>
      </c>
      <c r="AY65" s="743">
        <v>2.7</v>
      </c>
      <c r="AZ65" s="743">
        <v>-4</v>
      </c>
      <c r="BA65" s="743">
        <v>0</v>
      </c>
      <c r="BB65" s="743">
        <v>1</v>
      </c>
      <c r="BC65" s="470">
        <f t="shared" si="19"/>
        <v>-0.29999999999999982</v>
      </c>
      <c r="BD65" s="711"/>
      <c r="BE65" s="178"/>
      <c r="BF65" s="178"/>
      <c r="BG65" s="178"/>
      <c r="BH65" s="178"/>
      <c r="BI65" s="470"/>
      <c r="BJ65" s="711"/>
      <c r="BK65" s="178"/>
      <c r="BL65" s="178"/>
      <c r="BM65" s="178"/>
      <c r="BN65" s="178"/>
      <c r="BO65" s="470"/>
      <c r="BP65" s="711"/>
      <c r="BQ65" s="178"/>
      <c r="BR65" s="178"/>
      <c r="BS65" s="178"/>
      <c r="BT65" s="178"/>
      <c r="BU65" s="470"/>
      <c r="BV65" s="711"/>
      <c r="BW65" s="178"/>
      <c r="BX65" s="178"/>
      <c r="BY65" s="178"/>
      <c r="BZ65" s="178"/>
      <c r="CA65" s="470"/>
      <c r="CB65" s="711"/>
      <c r="CC65" s="178"/>
      <c r="CD65" s="178"/>
      <c r="CE65" s="178"/>
      <c r="CF65" s="178"/>
      <c r="CG65" s="470"/>
      <c r="CW65" s="711"/>
    </row>
    <row r="66" spans="1:132" ht="12.75" hidden="1" customHeight="1" outlineLevel="1" x14ac:dyDescent="0.2">
      <c r="A66" s="300"/>
      <c r="B66" s="302" t="s">
        <v>523</v>
      </c>
      <c r="C66" s="178">
        <f>-C65</f>
        <v>-0.91100000000000003</v>
      </c>
      <c r="D66" s="178">
        <f>-D65</f>
        <v>2.6360000000000001</v>
      </c>
      <c r="E66" s="178">
        <f>-E65</f>
        <v>-2.3849999999999998</v>
      </c>
      <c r="F66" s="178">
        <f>-F65</f>
        <v>-2.218</v>
      </c>
      <c r="G66" s="470">
        <f t="shared" si="11"/>
        <v>-2.8779999999999997</v>
      </c>
      <c r="I66" s="178">
        <f>-I65</f>
        <v>-2.9950000000000001</v>
      </c>
      <c r="J66" s="178">
        <f>-J65</f>
        <v>6.149</v>
      </c>
      <c r="K66" s="178">
        <f>-K65</f>
        <v>-7.5960000000000001</v>
      </c>
      <c r="L66" s="178">
        <f>-L65</f>
        <v>-4.9669999999999996</v>
      </c>
      <c r="M66" s="470">
        <f t="shared" si="12"/>
        <v>-9.4089999999999989</v>
      </c>
      <c r="O66" s="178">
        <f>-O65</f>
        <v>0.24</v>
      </c>
      <c r="P66" s="178">
        <f>-P65</f>
        <v>3.1389999999999998</v>
      </c>
      <c r="Q66" s="178">
        <f>-Q65</f>
        <v>1.4370000000000001</v>
      </c>
      <c r="R66" s="178">
        <f>-R65</f>
        <v>1.0229999999999999</v>
      </c>
      <c r="S66" s="470">
        <f t="shared" si="13"/>
        <v>5.8389999999999995</v>
      </c>
      <c r="U66" s="178">
        <f>-U65</f>
        <v>1.712</v>
      </c>
      <c r="V66" s="178">
        <f>-V65</f>
        <v>-2.5979999999999999</v>
      </c>
      <c r="W66" s="178">
        <f>-W65</f>
        <v>5.9649999999999999</v>
      </c>
      <c r="X66" s="178">
        <f>-X65</f>
        <v>-1.635</v>
      </c>
      <c r="Y66" s="470">
        <f t="shared" si="14"/>
        <v>3.444</v>
      </c>
      <c r="AA66" s="178">
        <f>-AA65</f>
        <v>1.554</v>
      </c>
      <c r="AB66" s="178">
        <f>-AB65</f>
        <v>-1.081</v>
      </c>
      <c r="AC66" s="178">
        <f>-AC65</f>
        <v>-2.14</v>
      </c>
      <c r="AD66" s="178">
        <f>-AD65</f>
        <v>-0.436</v>
      </c>
      <c r="AE66" s="470">
        <f t="shared" si="15"/>
        <v>-2.1030000000000002</v>
      </c>
      <c r="AG66" s="178">
        <f>-AG65</f>
        <v>2.9359999999999999</v>
      </c>
      <c r="AH66" s="178">
        <f>-AH65</f>
        <v>-2.6859999999999999</v>
      </c>
      <c r="AI66" s="178">
        <f>-AI65</f>
        <v>2.1469999999999998</v>
      </c>
      <c r="AJ66" s="178">
        <f>-AJ65</f>
        <v>1.3460000000000001</v>
      </c>
      <c r="AK66" s="470">
        <f t="shared" si="16"/>
        <v>3.7429999999999999</v>
      </c>
      <c r="AM66" s="178">
        <f>-AM65</f>
        <v>-2.5</v>
      </c>
      <c r="AN66" s="178">
        <f>-AN65</f>
        <v>0.9</v>
      </c>
      <c r="AO66" s="178">
        <f>-AO65</f>
        <v>0.7</v>
      </c>
      <c r="AP66" s="178">
        <f>-AP65</f>
        <v>0.6</v>
      </c>
      <c r="AQ66" s="470">
        <f t="shared" si="17"/>
        <v>-0.30000000000000016</v>
      </c>
      <c r="AS66" s="178">
        <f>-AS65</f>
        <v>-1.5</v>
      </c>
      <c r="AT66" s="178">
        <f>-AT65</f>
        <v>-0.5</v>
      </c>
      <c r="AU66" s="178">
        <f>-AU65</f>
        <v>-1.1000000000000001</v>
      </c>
      <c r="AV66" s="178">
        <f>-AV65</f>
        <v>0.4</v>
      </c>
      <c r="AW66" s="470">
        <f t="shared" si="18"/>
        <v>-2.7</v>
      </c>
      <c r="AY66" s="178">
        <f>-AY65</f>
        <v>-2.7</v>
      </c>
      <c r="AZ66" s="178">
        <f>-AZ65</f>
        <v>4</v>
      </c>
      <c r="BA66" s="178">
        <f>-BA65</f>
        <v>0</v>
      </c>
      <c r="BB66" s="178">
        <f>-BB65</f>
        <v>-1</v>
      </c>
      <c r="BC66" s="470">
        <f t="shared" si="19"/>
        <v>0.29999999999999982</v>
      </c>
      <c r="BD66" s="711"/>
      <c r="BE66" s="178"/>
      <c r="BF66" s="178"/>
      <c r="BG66" s="178"/>
      <c r="BH66" s="178"/>
      <c r="BI66" s="470"/>
      <c r="BJ66" s="711"/>
      <c r="BK66" s="178"/>
      <c r="BL66" s="178"/>
      <c r="BM66" s="178"/>
      <c r="BN66" s="178"/>
      <c r="BO66" s="470"/>
      <c r="BP66" s="711"/>
      <c r="BQ66" s="178"/>
      <c r="BR66" s="178"/>
      <c r="BS66" s="178"/>
      <c r="BT66" s="178"/>
      <c r="BU66" s="470"/>
      <c r="BV66" s="711"/>
      <c r="BW66" s="178"/>
      <c r="BX66" s="178"/>
      <c r="BY66" s="178"/>
      <c r="BZ66" s="178"/>
      <c r="CA66" s="470"/>
      <c r="CB66" s="711"/>
      <c r="CC66" s="178"/>
      <c r="CD66" s="178"/>
      <c r="CE66" s="178"/>
      <c r="CF66" s="178"/>
      <c r="CG66" s="470"/>
      <c r="CW66" s="711"/>
    </row>
    <row r="67" spans="1:132" ht="12.75" hidden="1" customHeight="1" outlineLevel="1" x14ac:dyDescent="0.2">
      <c r="A67" s="300"/>
      <c r="B67" s="766" t="s">
        <v>567</v>
      </c>
      <c r="C67" s="743">
        <v>0</v>
      </c>
      <c r="D67" s="743">
        <v>0</v>
      </c>
      <c r="E67" s="743">
        <v>0.58599999999999997</v>
      </c>
      <c r="F67" s="743">
        <v>0</v>
      </c>
      <c r="G67" s="470">
        <f t="shared" si="11"/>
        <v>0.58599999999999997</v>
      </c>
      <c r="I67" s="743">
        <v>-0.30499999999999999</v>
      </c>
      <c r="J67" s="743">
        <v>0</v>
      </c>
      <c r="K67" s="743">
        <v>0</v>
      </c>
      <c r="L67" s="743">
        <v>0</v>
      </c>
      <c r="M67" s="470">
        <f t="shared" si="12"/>
        <v>-0.30499999999999999</v>
      </c>
      <c r="O67" s="743">
        <v>0</v>
      </c>
      <c r="P67" s="743">
        <v>0</v>
      </c>
      <c r="Q67" s="743">
        <v>-0.40500000000000003</v>
      </c>
      <c r="R67" s="743">
        <v>-0.38</v>
      </c>
      <c r="S67" s="470">
        <f t="shared" si="13"/>
        <v>-0.78500000000000003</v>
      </c>
      <c r="U67" s="743">
        <v>-0.40400000000000003</v>
      </c>
      <c r="V67" s="743">
        <v>8.9999999999999993E-3</v>
      </c>
      <c r="W67" s="743">
        <v>-1E-3</v>
      </c>
      <c r="X67" s="743">
        <v>0.86599999999999999</v>
      </c>
      <c r="Y67" s="470">
        <f t="shared" si="14"/>
        <v>0.47</v>
      </c>
      <c r="AA67" s="743">
        <v>-0.34300000000000003</v>
      </c>
      <c r="AB67" s="743">
        <v>-0.38300000000000001</v>
      </c>
      <c r="AC67" s="743">
        <v>-3.9E-2</v>
      </c>
      <c r="AD67" s="743">
        <v>-0.26200000000000001</v>
      </c>
      <c r="AE67" s="470">
        <f t="shared" si="15"/>
        <v>-1.0270000000000001</v>
      </c>
      <c r="AG67" s="743">
        <v>-0.22800000000000001</v>
      </c>
      <c r="AH67" s="743">
        <v>0.218</v>
      </c>
      <c r="AI67" s="743">
        <v>0.52900000000000003</v>
      </c>
      <c r="AJ67" s="743">
        <v>-0.34</v>
      </c>
      <c r="AK67" s="470">
        <f t="shared" si="16"/>
        <v>0.17899999999999999</v>
      </c>
      <c r="AM67" s="743">
        <v>-0.4</v>
      </c>
      <c r="AN67" s="743">
        <v>-0.3</v>
      </c>
      <c r="AO67" s="743">
        <v>1.2</v>
      </c>
      <c r="AP67" s="743">
        <v>-0.5</v>
      </c>
      <c r="AQ67" s="470">
        <f t="shared" si="17"/>
        <v>0</v>
      </c>
      <c r="AS67" s="743">
        <v>-0.4</v>
      </c>
      <c r="AT67" s="743">
        <v>-0.6</v>
      </c>
      <c r="AU67" s="743">
        <v>-0.5</v>
      </c>
      <c r="AV67" s="743">
        <v>0.7</v>
      </c>
      <c r="AW67" s="470">
        <f t="shared" si="18"/>
        <v>-0.8</v>
      </c>
      <c r="AY67" s="743">
        <v>-0.2</v>
      </c>
      <c r="AZ67" s="743">
        <v>-1.1000000000000001</v>
      </c>
      <c r="BA67" s="743">
        <v>5.6</v>
      </c>
      <c r="BB67" s="743">
        <v>-0.4</v>
      </c>
      <c r="BC67" s="470">
        <f t="shared" si="19"/>
        <v>3.9</v>
      </c>
      <c r="BD67" s="711"/>
      <c r="BE67" s="178"/>
      <c r="BF67" s="178"/>
      <c r="BG67" s="178"/>
      <c r="BH67" s="178"/>
      <c r="BI67" s="470"/>
      <c r="BJ67" s="711"/>
      <c r="BK67" s="178"/>
      <c r="BL67" s="178"/>
      <c r="BM67" s="178"/>
      <c r="BN67" s="178"/>
      <c r="BO67" s="470"/>
      <c r="BP67" s="711"/>
      <c r="BQ67" s="178"/>
      <c r="BR67" s="178"/>
      <c r="BS67" s="178"/>
      <c r="BT67" s="178"/>
      <c r="BU67" s="470"/>
      <c r="BV67" s="711"/>
      <c r="BW67" s="178"/>
      <c r="BX67" s="178"/>
      <c r="BY67" s="178"/>
      <c r="BZ67" s="178"/>
      <c r="CA67" s="470"/>
      <c r="CB67" s="711"/>
      <c r="CC67" s="178"/>
      <c r="CD67" s="178"/>
      <c r="CE67" s="178"/>
      <c r="CF67" s="178"/>
      <c r="CG67" s="470"/>
      <c r="CW67" s="711"/>
    </row>
    <row r="68" spans="1:132" ht="12.75" hidden="1" customHeight="1" outlineLevel="1" x14ac:dyDescent="0.2">
      <c r="A68" s="300"/>
      <c r="B68" s="766" t="s">
        <v>564</v>
      </c>
      <c r="C68" s="743">
        <v>-0.21</v>
      </c>
      <c r="D68" s="743">
        <v>-0.34699999999999998</v>
      </c>
      <c r="E68" s="743">
        <v>0.22</v>
      </c>
      <c r="F68" s="743">
        <f>-0.599-E68-D68-C68</f>
        <v>-0.26200000000000001</v>
      </c>
      <c r="G68" s="470">
        <f t="shared" si="11"/>
        <v>-0.59899999999999998</v>
      </c>
      <c r="I68" s="743">
        <v>3.1219999999999999</v>
      </c>
      <c r="J68" s="743">
        <v>-5.0999999999999997E-2</v>
      </c>
      <c r="K68" s="743">
        <v>1.03</v>
      </c>
      <c r="L68" s="743">
        <f>10.11-K68-J68-I68</f>
        <v>6.0090000000000003</v>
      </c>
      <c r="M68" s="470">
        <f t="shared" si="12"/>
        <v>10.11</v>
      </c>
      <c r="O68" s="743">
        <v>0.91700000000000004</v>
      </c>
      <c r="P68" s="743">
        <v>-0.05</v>
      </c>
      <c r="Q68" s="743">
        <v>0.49099999999999999</v>
      </c>
      <c r="R68" s="743">
        <f>1.023-Q68-P68-O68</f>
        <v>-0.33500000000000008</v>
      </c>
      <c r="S68" s="470">
        <f t="shared" si="13"/>
        <v>1.0230000000000001</v>
      </c>
      <c r="U68" s="743">
        <v>0.94499999999999995</v>
      </c>
      <c r="V68" s="743">
        <v>0.72199999999999998</v>
      </c>
      <c r="W68" s="743">
        <v>0.58499999999999996</v>
      </c>
      <c r="X68" s="743">
        <f>1.782-W68-V68-U68</f>
        <v>-0.46999999999999986</v>
      </c>
      <c r="Y68" s="470">
        <f t="shared" si="14"/>
        <v>1.782</v>
      </c>
      <c r="AA68" s="743">
        <v>7.0000000000000007E-2</v>
      </c>
      <c r="AB68" s="743">
        <v>1.4339999999999999</v>
      </c>
      <c r="AC68" s="743">
        <v>7.1820000000000004</v>
      </c>
      <c r="AD68" s="743">
        <f>9.04-AC68-AB68-AA68</f>
        <v>0.35399999999999882</v>
      </c>
      <c r="AE68" s="470">
        <f t="shared" si="15"/>
        <v>9.0399999999999991</v>
      </c>
      <c r="AG68" s="743">
        <v>6.5000000000000002E-2</v>
      </c>
      <c r="AH68" s="743">
        <v>0.98199999999999998</v>
      </c>
      <c r="AI68" s="743">
        <v>1.2789999999999999</v>
      </c>
      <c r="AJ68" s="743">
        <f>3.169-AI68-AH68-AG68</f>
        <v>0.84300000000000019</v>
      </c>
      <c r="AK68" s="470">
        <f t="shared" si="16"/>
        <v>3.1689999999999996</v>
      </c>
      <c r="AM68" s="743">
        <v>2.9180000000000001</v>
      </c>
      <c r="AN68" s="743">
        <v>4.2229999999999999</v>
      </c>
      <c r="AO68" s="743">
        <v>1.581</v>
      </c>
      <c r="AP68" s="743">
        <f>8.329-AO68-AN68-AM68</f>
        <v>-0.39299999999999891</v>
      </c>
      <c r="AQ68" s="470">
        <f t="shared" si="17"/>
        <v>8.3290000000000006</v>
      </c>
      <c r="AS68" s="743">
        <v>0.38800000000000001</v>
      </c>
      <c r="AT68" s="743">
        <v>0.57499999999999996</v>
      </c>
      <c r="AU68" s="743">
        <v>0.8</v>
      </c>
      <c r="AV68" s="743">
        <f>-0.091-AU68-AT68-AS68</f>
        <v>-1.8540000000000001</v>
      </c>
      <c r="AW68" s="470">
        <f t="shared" si="18"/>
        <v>-9.1000000000000192E-2</v>
      </c>
      <c r="AY68" s="743">
        <v>0.60899999999999999</v>
      </c>
      <c r="AZ68" s="743">
        <v>-0.376</v>
      </c>
      <c r="BA68" s="743">
        <v>-3.8</v>
      </c>
      <c r="BB68" s="743">
        <f>-8.2-BA68-AZ68-AY68</f>
        <v>-4.6329999999999991</v>
      </c>
      <c r="BC68" s="470">
        <f t="shared" si="19"/>
        <v>-8.1999999999999993</v>
      </c>
      <c r="BD68" s="711"/>
      <c r="BE68" s="178"/>
      <c r="BF68" s="178"/>
      <c r="BG68" s="178"/>
      <c r="BH68" s="178"/>
      <c r="BI68" s="470"/>
      <c r="BJ68" s="711"/>
      <c r="BK68" s="178"/>
      <c r="BL68" s="178"/>
      <c r="BM68" s="178"/>
      <c r="BN68" s="178"/>
      <c r="BO68" s="470"/>
      <c r="BP68" s="711"/>
      <c r="BQ68" s="178"/>
      <c r="BR68" s="178"/>
      <c r="BS68" s="178"/>
      <c r="BT68" s="178"/>
      <c r="BU68" s="470"/>
      <c r="BV68" s="711"/>
      <c r="BW68" s="178"/>
      <c r="BX68" s="178"/>
      <c r="BY68" s="178"/>
      <c r="BZ68" s="178"/>
      <c r="CA68" s="470"/>
      <c r="CB68" s="711"/>
      <c r="CC68" s="178"/>
      <c r="CD68" s="178"/>
      <c r="CE68" s="178"/>
      <c r="CF68" s="178"/>
      <c r="CG68" s="470"/>
      <c r="CW68" s="711"/>
    </row>
    <row r="69" spans="1:132" ht="12.75" hidden="1" customHeight="1" outlineLevel="1" x14ac:dyDescent="0.2">
      <c r="A69" s="300"/>
      <c r="B69" s="766" t="s">
        <v>524</v>
      </c>
      <c r="C69" s="178">
        <f>-C64+C66+C54</f>
        <v>-9.0069999999999997</v>
      </c>
      <c r="D69" s="178">
        <f>-D64+D66+D54</f>
        <v>-3.99</v>
      </c>
      <c r="E69" s="178">
        <f>-E64+E66+E54</f>
        <v>-16.597999999999999</v>
      </c>
      <c r="F69" s="178">
        <f>-F64+F66+F54</f>
        <v>-14.85</v>
      </c>
      <c r="G69" s="470">
        <f t="shared" si="11"/>
        <v>-44.445</v>
      </c>
      <c r="I69" s="178">
        <f>-I64+I66+I54</f>
        <v>-18.689</v>
      </c>
      <c r="J69" s="178">
        <f>-J64+J66+J54</f>
        <v>-0.80299999999999994</v>
      </c>
      <c r="K69" s="178">
        <f>-K64+K66+K54</f>
        <v>-8.048</v>
      </c>
      <c r="L69" s="178">
        <f>-L64+L66+L54</f>
        <v>-7.4390000000000001</v>
      </c>
      <c r="M69" s="470">
        <f t="shared" si="12"/>
        <v>-34.978999999999999</v>
      </c>
      <c r="O69" s="178">
        <f>-O64+O66+O54</f>
        <v>1.7240000000000002</v>
      </c>
      <c r="P69" s="178">
        <f>-P64+P66+P54</f>
        <v>-7.3030000000000008</v>
      </c>
      <c r="Q69" s="178">
        <f>-Q64+Q66+Q54</f>
        <v>-10.878</v>
      </c>
      <c r="R69" s="178">
        <f>-R64+R66+R54</f>
        <v>-4.8120000000000003</v>
      </c>
      <c r="S69" s="470">
        <f t="shared" si="13"/>
        <v>-21.269000000000002</v>
      </c>
      <c r="U69" s="178">
        <f>-U64+U66+U54</f>
        <v>2.62</v>
      </c>
      <c r="V69" s="178">
        <f>-V64+V66+V54</f>
        <v>2.548</v>
      </c>
      <c r="W69" s="178">
        <f>-W64+W66+W54</f>
        <v>1.863</v>
      </c>
      <c r="X69" s="178">
        <f>-X64+X66+X54</f>
        <v>-3.3460000000000001</v>
      </c>
      <c r="Y69" s="470">
        <f t="shared" si="14"/>
        <v>3.6850000000000005</v>
      </c>
      <c r="AA69" s="178">
        <f>-AA64+AA66+AA54</f>
        <v>-3.7110000000000003</v>
      </c>
      <c r="AB69" s="178">
        <f>-AB64+AB66+AB54</f>
        <v>-5.5</v>
      </c>
      <c r="AC69" s="178">
        <f>-AC64+AC66+AC54</f>
        <v>-0.29600000000000026</v>
      </c>
      <c r="AD69" s="178">
        <f>-AD64+AD66+AD54</f>
        <v>0.89100000000000001</v>
      </c>
      <c r="AE69" s="470">
        <f t="shared" si="15"/>
        <v>-8.6160000000000014</v>
      </c>
      <c r="AG69" s="178">
        <f>-AG64+AG66+AG54</f>
        <v>3.2719999999999994</v>
      </c>
      <c r="AH69" s="178">
        <f>-AH64+AH66+AH54</f>
        <v>-0.87700000000000011</v>
      </c>
      <c r="AI69" s="178">
        <f>-AI64+AI66+AI54</f>
        <v>0.78099999999999969</v>
      </c>
      <c r="AJ69" s="178">
        <f>-AJ64+AJ66+AJ54</f>
        <v>4.9560000000000004</v>
      </c>
      <c r="AK69" s="470">
        <f t="shared" si="16"/>
        <v>8.1319999999999997</v>
      </c>
      <c r="AM69" s="178">
        <f>-AM64+AM66+AM54</f>
        <v>-1.9000000000000001</v>
      </c>
      <c r="AN69" s="178">
        <f>-AN64+AN66+AN54</f>
        <v>4.6000000000000005</v>
      </c>
      <c r="AO69" s="178">
        <f>-AO64+AO66+AO54</f>
        <v>1.7999999999999996</v>
      </c>
      <c r="AP69" s="178">
        <f>-AP64+AP66+AP54</f>
        <v>2.4000000000000004</v>
      </c>
      <c r="AQ69" s="470">
        <f t="shared" si="17"/>
        <v>6.9</v>
      </c>
      <c r="AS69" s="178">
        <f>-AS64+AS66</f>
        <v>-3.5</v>
      </c>
      <c r="AT69" s="178">
        <f>-AT64+AT66</f>
        <v>-2.7</v>
      </c>
      <c r="AU69" s="178">
        <f>-AU64+AU66</f>
        <v>0.79999999999999982</v>
      </c>
      <c r="AV69" s="178">
        <f>-AV64+AV66</f>
        <v>2.6</v>
      </c>
      <c r="AW69" s="470">
        <f>-AW64+AW66</f>
        <v>-2.8000000000000003</v>
      </c>
      <c r="AY69" s="178">
        <f>-AY64+AY66+AY54</f>
        <v>-4.4000000000000004</v>
      </c>
      <c r="AZ69" s="178">
        <f>-AZ64+AZ66+AZ54</f>
        <v>8.1</v>
      </c>
      <c r="BA69" s="178">
        <f>-BA64+BA66+BA54</f>
        <v>10</v>
      </c>
      <c r="BB69" s="178">
        <f>-BB64+BB66+BB54</f>
        <v>-4.8</v>
      </c>
      <c r="BC69" s="470">
        <f t="shared" si="19"/>
        <v>8.8999999999999986</v>
      </c>
      <c r="BD69" s="711"/>
      <c r="BE69" s="178"/>
      <c r="BF69" s="178"/>
      <c r="BG69" s="178"/>
      <c r="BH69" s="178"/>
      <c r="BI69" s="470"/>
      <c r="BJ69" s="711"/>
      <c r="BK69" s="178"/>
      <c r="BL69" s="178"/>
      <c r="BM69" s="178"/>
      <c r="BN69" s="178"/>
      <c r="BO69" s="470"/>
      <c r="BP69" s="711"/>
      <c r="BQ69" s="178"/>
      <c r="BR69" s="178"/>
      <c r="BS69" s="178"/>
      <c r="BT69" s="178"/>
      <c r="BU69" s="470"/>
      <c r="BV69" s="711"/>
      <c r="BW69" s="178"/>
      <c r="BX69" s="178"/>
      <c r="BY69" s="178"/>
      <c r="BZ69" s="178"/>
      <c r="CA69" s="470"/>
      <c r="CB69" s="711"/>
      <c r="CC69" s="178"/>
      <c r="CD69" s="178"/>
      <c r="CE69" s="178"/>
      <c r="CF69" s="178"/>
      <c r="CG69" s="470"/>
      <c r="CW69" s="711"/>
    </row>
    <row r="70" spans="1:132" ht="12.75" hidden="1" customHeight="1" outlineLevel="1" x14ac:dyDescent="0.2">
      <c r="A70" s="300"/>
      <c r="B70" s="766" t="s">
        <v>550</v>
      </c>
      <c r="C70" s="178">
        <v>0</v>
      </c>
      <c r="D70" s="178">
        <v>0</v>
      </c>
      <c r="E70" s="178">
        <v>0</v>
      </c>
      <c r="F70" s="178">
        <v>0</v>
      </c>
      <c r="G70" s="593">
        <f t="shared" si="11"/>
        <v>0</v>
      </c>
      <c r="I70" s="178">
        <v>0</v>
      </c>
      <c r="J70" s="178">
        <v>0</v>
      </c>
      <c r="K70" s="178">
        <v>0</v>
      </c>
      <c r="L70" s="178">
        <v>-1.9999999999953388E-3</v>
      </c>
      <c r="M70" s="593">
        <f t="shared" si="12"/>
        <v>-1.9999999999953388E-3</v>
      </c>
      <c r="O70" s="1168">
        <v>0</v>
      </c>
      <c r="P70" s="1168">
        <v>0</v>
      </c>
      <c r="Q70" s="1168">
        <v>0</v>
      </c>
      <c r="R70" s="1168">
        <v>2.0000000000014451E-3</v>
      </c>
      <c r="S70" s="593">
        <f t="shared" si="13"/>
        <v>2.0000000000014451E-3</v>
      </c>
      <c r="U70" s="1168">
        <v>0</v>
      </c>
      <c r="V70" s="1168">
        <v>1.1919999999999999</v>
      </c>
      <c r="W70" s="1168">
        <v>0</v>
      </c>
      <c r="X70" s="1168">
        <v>1.6653345369377348E-15</v>
      </c>
      <c r="Y70" s="593">
        <f t="shared" si="14"/>
        <v>1.1920000000000015</v>
      </c>
      <c r="AA70" s="1168">
        <v>0</v>
      </c>
      <c r="AB70" s="1168">
        <v>-0.77459999999999973</v>
      </c>
      <c r="AC70" s="1168">
        <v>11.635</v>
      </c>
      <c r="AD70" s="1168">
        <v>-0.21940000000000887</v>
      </c>
      <c r="AE70" s="593">
        <f t="shared" si="15"/>
        <v>10.640999999999991</v>
      </c>
      <c r="AG70" s="1168">
        <v>-0.1460000000000003</v>
      </c>
      <c r="AH70" s="1168">
        <v>0.13900000000000001</v>
      </c>
      <c r="AI70" s="1168">
        <v>1.2789999999999999</v>
      </c>
      <c r="AJ70" s="1168">
        <v>-1.5449999999999962</v>
      </c>
      <c r="AK70" s="593">
        <f t="shared" si="16"/>
        <v>-0.27299999999999658</v>
      </c>
      <c r="AM70" s="1168">
        <v>4.4850000000000003</v>
      </c>
      <c r="AN70" s="1168">
        <v>0.69899999999999896</v>
      </c>
      <c r="AO70" s="1168">
        <v>-0.80199999999999738</v>
      </c>
      <c r="AP70" s="1168">
        <v>-1.1490000000000027</v>
      </c>
      <c r="AQ70" s="593">
        <f t="shared" si="17"/>
        <v>3.2329999999999988</v>
      </c>
      <c r="AS70" s="1168">
        <v>-0.79099999999999848</v>
      </c>
      <c r="AT70" s="1168">
        <v>-0.37800000000000478</v>
      </c>
      <c r="AU70" s="1168">
        <v>1.3719999999999992</v>
      </c>
      <c r="AV70" s="1168">
        <v>-4.2170000000000032</v>
      </c>
      <c r="AW70" s="593">
        <f>SUM(AS70:AV70)</f>
        <v>-4.0140000000000073</v>
      </c>
      <c r="AY70" s="1168">
        <v>0.866999999999992</v>
      </c>
      <c r="AZ70" s="1168">
        <v>-0.29299999999998916</v>
      </c>
      <c r="BA70" s="1168">
        <v>-6.1000000000000005</v>
      </c>
      <c r="BB70" s="1168">
        <v>12.566999999999982</v>
      </c>
      <c r="BC70" s="593">
        <f t="shared" si="19"/>
        <v>7.0409999999999844</v>
      </c>
      <c r="BD70" s="711"/>
      <c r="BE70" s="178"/>
      <c r="BF70" s="178"/>
      <c r="BG70" s="178"/>
      <c r="BH70" s="178"/>
      <c r="BI70" s="470"/>
      <c r="BJ70" s="711"/>
      <c r="BK70" s="178"/>
      <c r="BL70" s="178"/>
      <c r="BM70" s="178"/>
      <c r="BN70" s="178"/>
      <c r="BO70" s="470"/>
      <c r="BP70" s="711"/>
      <c r="BQ70" s="178"/>
      <c r="BR70" s="178"/>
      <c r="BS70" s="178"/>
      <c r="BT70" s="178"/>
      <c r="BU70" s="470"/>
      <c r="BV70" s="711"/>
      <c r="BW70" s="178"/>
      <c r="BX70" s="178"/>
      <c r="BY70" s="178"/>
      <c r="BZ70" s="178"/>
      <c r="CA70" s="470"/>
      <c r="CB70" s="711"/>
      <c r="CC70" s="178"/>
      <c r="CD70" s="178"/>
      <c r="CE70" s="178"/>
      <c r="CF70" s="178"/>
      <c r="CG70" s="470"/>
      <c r="CW70" s="711"/>
    </row>
    <row r="71" spans="1:132" ht="12.75" hidden="1" customHeight="1" outlineLevel="1" x14ac:dyDescent="0.2">
      <c r="A71" s="290"/>
      <c r="B71" s="766" t="s">
        <v>551</v>
      </c>
      <c r="C71" s="743">
        <v>0</v>
      </c>
      <c r="D71" s="743">
        <v>0</v>
      </c>
      <c r="E71" s="743">
        <v>0</v>
      </c>
      <c r="F71" s="743">
        <v>0</v>
      </c>
      <c r="G71" s="645">
        <f t="shared" si="11"/>
        <v>0</v>
      </c>
      <c r="H71" s="178"/>
      <c r="I71" s="743">
        <v>0</v>
      </c>
      <c r="J71" s="743">
        <v>0</v>
      </c>
      <c r="K71" s="743">
        <v>0</v>
      </c>
      <c r="L71" s="743">
        <v>0</v>
      </c>
      <c r="M71" s="645">
        <f t="shared" si="12"/>
        <v>0</v>
      </c>
      <c r="N71" s="178"/>
      <c r="O71" s="743">
        <v>0</v>
      </c>
      <c r="P71" s="743">
        <v>0</v>
      </c>
      <c r="Q71" s="743">
        <v>0</v>
      </c>
      <c r="R71" s="743">
        <v>0</v>
      </c>
      <c r="S71" s="645">
        <f t="shared" si="13"/>
        <v>0</v>
      </c>
      <c r="T71" s="178"/>
      <c r="U71" s="743">
        <v>0</v>
      </c>
      <c r="V71" s="743">
        <v>0</v>
      </c>
      <c r="W71" s="743">
        <v>-7.8062556418956319E-18</v>
      </c>
      <c r="X71" s="743">
        <v>0</v>
      </c>
      <c r="Y71" s="645">
        <f t="shared" si="14"/>
        <v>-7.8062556418956319E-18</v>
      </c>
      <c r="Z71" s="178"/>
      <c r="AA71" s="743">
        <v>0</v>
      </c>
      <c r="AB71" s="743">
        <v>0</v>
      </c>
      <c r="AC71" s="743">
        <v>0</v>
      </c>
      <c r="AD71" s="743">
        <v>0</v>
      </c>
      <c r="AE71" s="645">
        <f t="shared" si="15"/>
        <v>0</v>
      </c>
      <c r="AF71" s="178"/>
      <c r="AG71" s="743">
        <v>0</v>
      </c>
      <c r="AH71" s="743">
        <v>0</v>
      </c>
      <c r="AI71" s="743">
        <v>0</v>
      </c>
      <c r="AJ71" s="743">
        <v>0</v>
      </c>
      <c r="AK71" s="645">
        <f t="shared" si="16"/>
        <v>0</v>
      </c>
      <c r="AL71" s="178"/>
      <c r="AM71" s="743">
        <v>-5.7999999999999996E-2</v>
      </c>
      <c r="AN71" s="743">
        <v>0</v>
      </c>
      <c r="AO71" s="743">
        <v>-2.7000000000000135E-2</v>
      </c>
      <c r="AP71" s="743">
        <v>-3.5999999999999976E-2</v>
      </c>
      <c r="AQ71" s="645">
        <f t="shared" si="17"/>
        <v>-0.12100000000000011</v>
      </c>
      <c r="AR71" s="178"/>
      <c r="AS71" s="743">
        <v>0</v>
      </c>
      <c r="AT71" s="743">
        <v>0</v>
      </c>
      <c r="AU71" s="743">
        <v>-0.4</v>
      </c>
      <c r="AV71" s="743">
        <v>0</v>
      </c>
      <c r="AW71" s="645">
        <f>SUM(AS71:AV71)</f>
        <v>-0.4</v>
      </c>
      <c r="AX71" s="178"/>
      <c r="AY71" s="743">
        <v>0</v>
      </c>
      <c r="AZ71" s="743">
        <v>0</v>
      </c>
      <c r="BA71" s="743">
        <v>0</v>
      </c>
      <c r="BB71" s="743">
        <v>0</v>
      </c>
      <c r="BC71" s="645">
        <f t="shared" si="19"/>
        <v>0</v>
      </c>
      <c r="BD71" s="57"/>
      <c r="BE71" s="288"/>
      <c r="BF71" s="288"/>
      <c r="BG71" s="288"/>
      <c r="BH71" s="288"/>
      <c r="BI71" s="644"/>
      <c r="BJ71" s="57"/>
      <c r="BK71" s="288"/>
      <c r="BL71" s="288"/>
      <c r="BM71" s="288"/>
      <c r="BN71" s="288"/>
      <c r="BO71" s="644"/>
      <c r="BP71" s="57"/>
      <c r="BQ71" s="288"/>
      <c r="BR71" s="288"/>
      <c r="BS71" s="288"/>
      <c r="BT71" s="288"/>
      <c r="BU71" s="644"/>
      <c r="BV71" s="57"/>
      <c r="BW71" s="288"/>
      <c r="BX71" s="288"/>
      <c r="BY71" s="288"/>
      <c r="BZ71" s="288"/>
      <c r="CA71" s="644"/>
      <c r="CB71" s="57"/>
      <c r="CC71" s="288"/>
      <c r="CD71" s="288"/>
      <c r="CE71" s="288"/>
      <c r="CF71" s="288"/>
      <c r="CG71" s="644"/>
      <c r="CW71" s="57"/>
    </row>
    <row r="72" spans="1:132" ht="12.75" customHeight="1" collapsed="1" x14ac:dyDescent="0.2">
      <c r="A72" s="300"/>
      <c r="B72" s="176" t="s">
        <v>290</v>
      </c>
      <c r="C72" s="178">
        <f>-SUM(C68:C69)+SUM(C70:C71)+C69</f>
        <v>0.21000000000000085</v>
      </c>
      <c r="D72" s="178">
        <f>-SUM(D68:D69)+SUM(D70:D71)+D69</f>
        <v>0.34699999999999953</v>
      </c>
      <c r="E72" s="178">
        <f>-SUM(E68:E69)+SUM(E70:E71)+E69</f>
        <v>-0.21999999999999886</v>
      </c>
      <c r="F72" s="178">
        <f>-SUM(F68:F69)+SUM(F70:F71)+F69</f>
        <v>0.26200000000000045</v>
      </c>
      <c r="G72" s="470">
        <f>-SUM(G68:G69)+SUM(G70:G71)+G69</f>
        <v>0.59899999999999665</v>
      </c>
      <c r="H72" s="178"/>
      <c r="I72" s="178">
        <f>-SUM(I67:I69)+SUM(I70:I71)+I69</f>
        <v>-2.8170000000000002</v>
      </c>
      <c r="J72" s="178">
        <f>-SUM(J67:J69)+SUM(J70:J71)+J69</f>
        <v>5.1000000000000045E-2</v>
      </c>
      <c r="K72" s="178">
        <f>-SUM(K67:K69)+SUM(K70:K71)+K69</f>
        <v>-1.0300000000000002</v>
      </c>
      <c r="L72" s="178">
        <f>-SUM(L67:L69)+SUM(L70:L71)+L69</f>
        <v>-6.0109999999999957</v>
      </c>
      <c r="M72" s="470">
        <f>-SUM(M67:M69)+SUM(M70:M71)+M69</f>
        <v>-9.8069999999999951</v>
      </c>
      <c r="N72" s="178"/>
      <c r="O72" s="178">
        <f>-SUM(O67:O69)+SUM(O70:O71)+O69</f>
        <v>-0.91699999999999982</v>
      </c>
      <c r="P72" s="178">
        <f>-SUM(P67:P69)+SUM(P70:P71)+P69</f>
        <v>4.9999999999999822E-2</v>
      </c>
      <c r="Q72" s="178">
        <f>-SUM(Q67:Q69)+SUM(Q70:Q71)+Q69</f>
        <v>-8.6000000000000298E-2</v>
      </c>
      <c r="R72" s="178">
        <f>-SUM(R67:R69)+SUM(R70:R71)+R69</f>
        <v>0.71700000000000141</v>
      </c>
      <c r="S72" s="470">
        <f>-SUM(S67:S69)+SUM(S70:S71)+S69</f>
        <v>-0.2359999999999971</v>
      </c>
      <c r="T72" s="178"/>
      <c r="U72" s="178">
        <f>-SUM(U67:U69)+SUM(U70:U71)+U69</f>
        <v>-0.54099999999999993</v>
      </c>
      <c r="V72" s="178">
        <f>-SUM(V67:V69)+SUM(V70:V71)+V69</f>
        <v>0.4610000000000003</v>
      </c>
      <c r="W72" s="178">
        <f>-SUM(W67:W69)+SUM(W70:W71)+W69</f>
        <v>-0.58400000000000007</v>
      </c>
      <c r="X72" s="178">
        <f>-SUM(X67:X69)+SUM(X70:X71)+X69</f>
        <v>-0.39599999999999813</v>
      </c>
      <c r="Y72" s="470">
        <f>-SUM(Y67:Y69)+SUM(Y70:Y71)+Y69</f>
        <v>-1.0599999999999987</v>
      </c>
      <c r="Z72" s="178"/>
      <c r="AA72" s="178">
        <f>-SUM(AA67:AA69)+SUM(AA70:AA71)+AA69</f>
        <v>0.27300000000000013</v>
      </c>
      <c r="AB72" s="178">
        <f>-SUM(AB67:AB69)+SUM(AB70:AB71)+AB69</f>
        <v>-1.8255999999999997</v>
      </c>
      <c r="AC72" s="178">
        <f>-SUM(AC67:AC69)+SUM(AC70:AC71)+AC69</f>
        <v>4.4919999999999991</v>
      </c>
      <c r="AD72" s="178">
        <f>-SUM(AD67:AD69)+SUM(AD70:AD71)+AD69</f>
        <v>-0.31140000000000767</v>
      </c>
      <c r="AE72" s="470">
        <f>-SUM(AE67:AE69)+SUM(AE70:AE71)+AE69</f>
        <v>2.627999999999993</v>
      </c>
      <c r="AF72" s="178"/>
      <c r="AG72" s="178">
        <f>-SUM(AG67:AG69)+SUM(AG70:AG71)+AG69</f>
        <v>1.699999999999946E-2</v>
      </c>
      <c r="AH72" s="178">
        <f>-SUM(AH67:AH69)+SUM(AH70:AH71)+AH69</f>
        <v>-1.0609999999999999</v>
      </c>
      <c r="AI72" s="178">
        <f>-SUM(AI67:AI69)+SUM(AI70:AI71)+AI69</f>
        <v>-0.52899999999999991</v>
      </c>
      <c r="AJ72" s="178">
        <f>-SUM(AJ67:AJ69)+SUM(AJ70:AJ71)+AJ69</f>
        <v>-2.0479999999999965</v>
      </c>
      <c r="AK72" s="470">
        <f>-SUM(AK67:AK69)+SUM(AK70:AK71)+AK69</f>
        <v>-3.6209999999999951</v>
      </c>
      <c r="AL72" s="178"/>
      <c r="AM72" s="178">
        <f>-SUM(AM67:AM69)+SUM(AM70:AM71)+AM69</f>
        <v>1.909</v>
      </c>
      <c r="AN72" s="178">
        <f>-SUM(AN67:AN69)+SUM(AN70:AN71)+AN69</f>
        <v>-3.2240000000000002</v>
      </c>
      <c r="AO72" s="178">
        <f>-SUM(AO67:AO69)+SUM(AO70:AO71)+AO69</f>
        <v>-3.6099999999999968</v>
      </c>
      <c r="AP72" s="178">
        <f>-SUM(AP67:AP69)+SUM(AP70:AP71)+AP69</f>
        <v>-0.29200000000000381</v>
      </c>
      <c r="AQ72" s="470">
        <f>-SUM(AQ67:AQ69)+SUM(AQ70:AQ71)+AQ69</f>
        <v>-5.2170000000000023</v>
      </c>
      <c r="AR72" s="178"/>
      <c r="AS72" s="178">
        <f>-SUM(AS67:AS69)+SUM(AS70:AS71)+AS69</f>
        <v>-0.77899999999999858</v>
      </c>
      <c r="AT72" s="178">
        <f>-SUM(AT67:AT69)+SUM(AT70:AT71)+AT69</f>
        <v>-0.35300000000000509</v>
      </c>
      <c r="AU72" s="178">
        <f>-SUM(AU67:AU69)+SUM(AU70:AU71)+AU69</f>
        <v>0.67199999999999915</v>
      </c>
      <c r="AV72" s="178">
        <f>-SUM(AV67:AV69)+SUM(AV70:AV71)+AV69</f>
        <v>-3.0630000000000028</v>
      </c>
      <c r="AW72" s="470">
        <f>-SUM(AW67:AW69)+SUM(AW70:AW71)+AW69</f>
        <v>-3.5230000000000072</v>
      </c>
      <c r="AX72" s="711"/>
      <c r="AY72" s="178">
        <f>-SUM(AY67:AY69)+SUM(AY70:AY71)+AY69</f>
        <v>0.45799999999999219</v>
      </c>
      <c r="AZ72" s="178">
        <f>-SUM(AZ67:AZ69)+SUM(AZ70:AZ71)+AZ69</f>
        <v>1.1830000000000105</v>
      </c>
      <c r="BA72" s="178">
        <f>-SUM(BA67:BA69)+SUM(BA70:BA71)+BA69</f>
        <v>-7.9000000000000021</v>
      </c>
      <c r="BB72" s="178">
        <f>-SUM(BB67:BB69)+SUM(BB70:BB71)+BB69</f>
        <v>17.59999999999998</v>
      </c>
      <c r="BC72" s="470">
        <f>-SUM(BC67:BC69)+SUM(BC70:BC71)+BC69</f>
        <v>11.340999999999983</v>
      </c>
      <c r="BD72" s="711"/>
      <c r="BE72" s="1190">
        <f>+'P&amp;L'!BE23</f>
        <v>-4.9000000000000004</v>
      </c>
      <c r="BF72" s="1190">
        <f>+'P&amp;L'!BF23</f>
        <v>12.2</v>
      </c>
      <c r="BG72" s="1190">
        <f>+'P&amp;L'!BG23</f>
        <v>-1.1999999999999993</v>
      </c>
      <c r="BH72" s="712">
        <f>+'P&amp;L'!BH23</f>
        <v>0.5</v>
      </c>
      <c r="BI72" s="470">
        <f>+SUM(BE72:BH72)</f>
        <v>6.6</v>
      </c>
      <c r="BJ72" s="711"/>
      <c r="BK72" s="712">
        <v>0</v>
      </c>
      <c r="BL72" s="712">
        <v>0</v>
      </c>
      <c r="BM72" s="712">
        <v>0</v>
      </c>
      <c r="BN72" s="712">
        <v>0</v>
      </c>
      <c r="BO72" s="470">
        <f>+SUM(BK72:BN72)</f>
        <v>0</v>
      </c>
      <c r="BP72" s="711"/>
      <c r="BQ72" s="712">
        <f>+BN72</f>
        <v>0</v>
      </c>
      <c r="BR72" s="712">
        <f>+BQ72</f>
        <v>0</v>
      </c>
      <c r="BS72" s="712">
        <f>+BR72</f>
        <v>0</v>
      </c>
      <c r="BT72" s="712">
        <f>+BS72</f>
        <v>0</v>
      </c>
      <c r="BU72" s="470">
        <f>+SUM(BQ72:BT72)</f>
        <v>0</v>
      </c>
      <c r="BV72" s="711"/>
      <c r="BW72" s="712">
        <f t="shared" ref="BW72" si="20">+BT72</f>
        <v>0</v>
      </c>
      <c r="BX72" s="712">
        <f t="shared" ref="BX72:BZ72" si="21">+BW72</f>
        <v>0</v>
      </c>
      <c r="BY72" s="712">
        <f t="shared" si="21"/>
        <v>0</v>
      </c>
      <c r="BZ72" s="712">
        <f t="shared" si="21"/>
        <v>0</v>
      </c>
      <c r="CA72" s="470">
        <f t="shared" ref="CA72" si="22">+SUM(BW72:BZ72)</f>
        <v>0</v>
      </c>
      <c r="CB72" s="711"/>
      <c r="CC72" s="712">
        <f t="shared" ref="CC72" si="23">+BZ72</f>
        <v>0</v>
      </c>
      <c r="CD72" s="712">
        <f t="shared" ref="CD72:CF72" si="24">+CC72</f>
        <v>0</v>
      </c>
      <c r="CE72" s="712">
        <f t="shared" si="24"/>
        <v>0</v>
      </c>
      <c r="CF72" s="712">
        <f t="shared" si="24"/>
        <v>0</v>
      </c>
      <c r="CG72" s="470">
        <f t="shared" ref="CG72" si="25">+SUM(CC72:CF72)</f>
        <v>0</v>
      </c>
      <c r="CW72" s="711"/>
    </row>
    <row r="73" spans="1:132" ht="12.75" customHeight="1" x14ac:dyDescent="0.2">
      <c r="A73" s="309"/>
      <c r="B73" s="1006"/>
      <c r="C73" s="288"/>
      <c r="D73" s="288"/>
      <c r="E73" s="288"/>
      <c r="F73" s="288"/>
      <c r="G73" s="445"/>
      <c r="H73" s="464"/>
      <c r="I73" s="288"/>
      <c r="J73" s="288"/>
      <c r="K73" s="288"/>
      <c r="L73" s="288"/>
      <c r="M73" s="445"/>
      <c r="N73" s="464"/>
      <c r="O73" s="288"/>
      <c r="P73" s="288"/>
      <c r="Q73" s="288"/>
      <c r="R73" s="288"/>
      <c r="S73" s="445"/>
      <c r="T73" s="464"/>
      <c r="U73" s="288"/>
      <c r="V73" s="288"/>
      <c r="W73" s="288"/>
      <c r="X73" s="288"/>
      <c r="Y73" s="445"/>
      <c r="Z73" s="464"/>
      <c r="AA73" s="288"/>
      <c r="AB73" s="288"/>
      <c r="AC73" s="288"/>
      <c r="AD73" s="288"/>
      <c r="AE73" s="445"/>
      <c r="AF73" s="464"/>
      <c r="AG73" s="288"/>
      <c r="AH73" s="288"/>
      <c r="AI73" s="288"/>
      <c r="AJ73" s="288"/>
      <c r="AK73" s="445"/>
      <c r="AL73" s="464"/>
      <c r="AM73" s="288"/>
      <c r="AN73" s="288"/>
      <c r="AO73" s="288"/>
      <c r="AP73" s="288"/>
      <c r="AQ73" s="445"/>
      <c r="AR73" s="464"/>
      <c r="AS73" s="288"/>
      <c r="AT73" s="288"/>
      <c r="AU73" s="288"/>
      <c r="AV73" s="288"/>
      <c r="AW73" s="445"/>
      <c r="AX73" s="464"/>
      <c r="AY73" s="288"/>
      <c r="AZ73" s="288"/>
      <c r="BA73" s="288"/>
      <c r="BB73" s="288"/>
      <c r="BC73" s="445"/>
      <c r="BD73" s="464"/>
      <c r="BE73" s="288"/>
      <c r="BF73" s="288"/>
      <c r="BG73" s="288"/>
      <c r="BH73" s="288"/>
      <c r="BI73" s="445"/>
      <c r="BJ73" s="464"/>
      <c r="BK73" s="288"/>
      <c r="BL73" s="288"/>
      <c r="BM73" s="288"/>
      <c r="BN73" s="288"/>
      <c r="BO73" s="445"/>
      <c r="BP73" s="464"/>
      <c r="BQ73" s="288"/>
      <c r="BR73" s="288"/>
      <c r="BS73" s="288"/>
      <c r="BT73" s="288"/>
      <c r="BU73" s="445"/>
      <c r="BV73" s="464"/>
      <c r="BW73" s="288"/>
      <c r="BX73" s="288"/>
      <c r="BY73" s="288"/>
      <c r="BZ73" s="288"/>
      <c r="CA73" s="445"/>
      <c r="CB73" s="464"/>
      <c r="CC73" s="288"/>
      <c r="CD73" s="288"/>
      <c r="CE73" s="288"/>
      <c r="CF73" s="288"/>
      <c r="CG73" s="445"/>
      <c r="CW73" s="464"/>
    </row>
    <row r="74" spans="1:132" ht="11.25" customHeight="1" x14ac:dyDescent="0.2">
      <c r="A74" s="309"/>
      <c r="B74" s="1006" t="s">
        <v>242</v>
      </c>
      <c r="C74" s="288">
        <f>C51+C58+C62+C72</f>
        <v>102.78430527154336</v>
      </c>
      <c r="D74" s="288">
        <f>D51+D58+D62+D72</f>
        <v>119.49410178357607</v>
      </c>
      <c r="E74" s="288">
        <f>E51+E58+E62+E72</f>
        <v>114.62136884580036</v>
      </c>
      <c r="F74" s="288">
        <f>F51+F58+F62+F72</f>
        <v>138.71152224748741</v>
      </c>
      <c r="G74" s="289">
        <f>G51+G58+G62+G72</f>
        <v>475.61129814840689</v>
      </c>
      <c r="H74" s="464"/>
      <c r="I74" s="288">
        <f>I51+I58+I62+I72</f>
        <v>124.72808861942514</v>
      </c>
      <c r="J74" s="288">
        <f>J51+J58+J62+J72</f>
        <v>136.17220636552929</v>
      </c>
      <c r="K74" s="288">
        <f>K51+K58+K62+K72</f>
        <v>117.63101583046787</v>
      </c>
      <c r="L74" s="288">
        <f>L51+L58+L62+L72</f>
        <v>116.35922438520171</v>
      </c>
      <c r="M74" s="289">
        <f>M51+M58+M62+M72</f>
        <v>494.8905352006239</v>
      </c>
      <c r="N74" s="464"/>
      <c r="O74" s="288">
        <f>O51+O58+O62+O72</f>
        <v>110.61728544813448</v>
      </c>
      <c r="P74" s="288">
        <f>P51+P58+P62+P72</f>
        <v>134.63226109626925</v>
      </c>
      <c r="Q74" s="288">
        <f>Q51+Q58+Q62+Q72</f>
        <v>125.90458112955547</v>
      </c>
      <c r="R74" s="288">
        <f>R51+R58+R62+R72</f>
        <v>152.36391553735723</v>
      </c>
      <c r="S74" s="289">
        <f>S51+S58+S62+S72</f>
        <v>523.51804321131578</v>
      </c>
      <c r="T74" s="464"/>
      <c r="U74" s="288">
        <f>U51+U58+U62+U72</f>
        <v>127.06377316810112</v>
      </c>
      <c r="V74" s="288">
        <f>V51+V58+V62+V72</f>
        <v>140.53657633905527</v>
      </c>
      <c r="W74" s="288">
        <f>W51+W58+W62+W72</f>
        <v>121.27191617996097</v>
      </c>
      <c r="X74" s="288">
        <f>X51+X58+X62+X72</f>
        <v>161.82069190788181</v>
      </c>
      <c r="Y74" s="289">
        <f>Y51+Y58+Y62+Y72</f>
        <v>550.69295759499971</v>
      </c>
      <c r="Z74" s="464"/>
      <c r="AA74" s="288">
        <f>AA51+AA58+AA62+AA72</f>
        <v>141.56015788120197</v>
      </c>
      <c r="AB74" s="288">
        <f>AB51+AB58+AB62+AB72</f>
        <v>158.44390998850892</v>
      </c>
      <c r="AC74" s="288">
        <f>AC51+AC58+AC62+AC72</f>
        <v>129.17725933050914</v>
      </c>
      <c r="AD74" s="288">
        <f>AD51+AD58+AD62+AD72</f>
        <v>156.13728591637616</v>
      </c>
      <c r="AE74" s="289">
        <f>AE51+AE58+AE62+AE72</f>
        <v>585.31861311659634</v>
      </c>
      <c r="AF74" s="464"/>
      <c r="AG74" s="288">
        <f>AG51+AG58+AG62+AG72</f>
        <v>147.02123032162663</v>
      </c>
      <c r="AH74" s="288">
        <f>AH51+AH58+AH62+AH72</f>
        <v>168.73468245931429</v>
      </c>
      <c r="AI74" s="288">
        <f>AI51+AI58+AI62+AI72</f>
        <v>150.00581382323307</v>
      </c>
      <c r="AJ74" s="288">
        <f>AJ51+AJ58+AJ62+AJ72</f>
        <v>172.82346113764635</v>
      </c>
      <c r="AK74" s="289">
        <f>AK51+AK58+AK62+AK72</f>
        <v>638.58518774182005</v>
      </c>
      <c r="AL74" s="464"/>
      <c r="AM74" s="288">
        <f>AM51+AM58+AM62+AM72</f>
        <v>151.41838708201658</v>
      </c>
      <c r="AN74" s="288">
        <f>AN51+AN58+AN62+AN72</f>
        <v>190.28709754701552</v>
      </c>
      <c r="AO74" s="288">
        <f>AO51+AO58+AO62+AO72</f>
        <v>160.54910627539161</v>
      </c>
      <c r="AP74" s="288">
        <f>AP51+AP58+AP62+AP72</f>
        <v>181.14249783825531</v>
      </c>
      <c r="AQ74" s="289">
        <f>AQ51+AQ58+AQ62+AQ72</f>
        <v>683.3970887426791</v>
      </c>
      <c r="AR74" s="464"/>
      <c r="AS74" s="288">
        <f>AS51+AS58+AS62+AS72</f>
        <v>168.28550632095411</v>
      </c>
      <c r="AT74" s="288">
        <f>AT51+AT58+AT62+AT72</f>
        <v>200.45892657873853</v>
      </c>
      <c r="AU74" s="288">
        <f>AU51+AU58+AU62+AU72</f>
        <v>180.38276601544393</v>
      </c>
      <c r="AV74" s="288">
        <f>AV51+AV58+AV62+AV72</f>
        <v>176.40576929711236</v>
      </c>
      <c r="AW74" s="289">
        <f>AW51+AW58+AW62+AW72</f>
        <v>725.53296821224933</v>
      </c>
      <c r="AX74" s="464"/>
      <c r="AY74" s="288">
        <f>AY51+AY58+AY62+AY72</f>
        <v>164.16190915026371</v>
      </c>
      <c r="AZ74" s="288">
        <f>AZ51+AZ58+AZ62+AZ72</f>
        <v>220.44018365506503</v>
      </c>
      <c r="BA74" s="288">
        <f>BA51+BA58+BA62+BA72</f>
        <v>189.89082086487835</v>
      </c>
      <c r="BB74" s="288">
        <f>BB51+BB58+BB62+BB72</f>
        <v>194.06833636081922</v>
      </c>
      <c r="BC74" s="289">
        <f>BC51+BC58+BC62+BC72</f>
        <v>768.56125003102647</v>
      </c>
      <c r="BD74" s="464"/>
      <c r="BE74" s="288">
        <f>BE51+BE58+BE62+BE72</f>
        <v>195.51370422971112</v>
      </c>
      <c r="BF74" s="288">
        <f>BF51+BF58+BF62+BF72</f>
        <v>235.70000000000002</v>
      </c>
      <c r="BG74" s="288">
        <f>BG51+BG58+BG62+BG72</f>
        <v>185.84812228851362</v>
      </c>
      <c r="BH74" s="288">
        <f>BH51+BH58+BH62+BH72</f>
        <v>197.7466919774896</v>
      </c>
      <c r="BI74" s="289">
        <f>BI51+BI58+BI62+BI72</f>
        <v>814.80851849571434</v>
      </c>
      <c r="BJ74" s="464"/>
      <c r="BK74" s="288">
        <f>BK51+BK58+BK62+BK72</f>
        <v>138.64070000000004</v>
      </c>
      <c r="BL74" s="288">
        <f>BL51+BL58+BL62+BL72</f>
        <v>185.61979999999997</v>
      </c>
      <c r="BM74" s="288">
        <f>BM51+BM58+BM62+BM72</f>
        <v>201.6421500000001</v>
      </c>
      <c r="BN74" s="288">
        <f>BN51+BN58+BN62+BN72</f>
        <v>226.75634999999997</v>
      </c>
      <c r="BO74" s="289">
        <f>BO51+BO58+BO62+BO72</f>
        <v>752.65899999999999</v>
      </c>
      <c r="BP74" s="464"/>
      <c r="BQ74" s="288">
        <f>BQ51+BQ58+BQ62+BQ72</f>
        <v>133.05594999999991</v>
      </c>
      <c r="BR74" s="288">
        <f>BR51+BR58+BR62+BR72</f>
        <v>184.1171592297172</v>
      </c>
      <c r="BS74" s="288">
        <f>BS51+BS58+BS62+BS72</f>
        <v>214.50748481424174</v>
      </c>
      <c r="BT74" s="288">
        <f>BT51+BT58+BT62+BT72</f>
        <v>246.62856979306414</v>
      </c>
      <c r="BU74" s="289">
        <f>BU51+BU58+BU62+BU72</f>
        <v>778.30916383702299</v>
      </c>
      <c r="BV74" s="464"/>
      <c r="BW74" s="288">
        <f>BW51+BW58+BW62+BW72</f>
        <v>189.48959950132573</v>
      </c>
      <c r="BX74" s="288">
        <f>BX51+BX58+BX62+BX72</f>
        <v>223.99730544485175</v>
      </c>
      <c r="BY74" s="288">
        <f>BY51+BY58+BY62+BY72</f>
        <v>229.21496024849483</v>
      </c>
      <c r="BZ74" s="288">
        <f>BZ51+BZ58+BZ62+BZ72</f>
        <v>244.60330791964006</v>
      </c>
      <c r="CA74" s="289">
        <f>CA51+CA58+CA62+CA72</f>
        <v>887.30517311431231</v>
      </c>
      <c r="CB74" s="464"/>
      <c r="CC74" s="288">
        <f>CC51+CC58+CC62+CC72</f>
        <v>208.50813476110014</v>
      </c>
      <c r="CD74" s="288">
        <f>CD51+CD58+CD62+CD72</f>
        <v>245.34641676025612</v>
      </c>
      <c r="CE74" s="288">
        <f>CE51+CE58+CE62+CE72</f>
        <v>250.71362232502636</v>
      </c>
      <c r="CF74" s="288">
        <f>CF51+CF58+CF62+CF72</f>
        <v>267.8267920398626</v>
      </c>
      <c r="CG74" s="289">
        <f>CG51+CG58+CG62+CG72</f>
        <v>972.39496588624525</v>
      </c>
      <c r="CW74" s="464"/>
    </row>
    <row r="75" spans="1:132" s="52" customFormat="1" x14ac:dyDescent="0.2">
      <c r="A75" s="121"/>
      <c r="B75" s="1007" t="s">
        <v>204</v>
      </c>
      <c r="C75" s="257">
        <f>+C85/C74</f>
        <v>0.29281503981168444</v>
      </c>
      <c r="D75" s="257">
        <f>+D85/D74</f>
        <v>0.30779900017837714</v>
      </c>
      <c r="E75" s="257">
        <f>+E85/E74</f>
        <v>-8.1028693453521053E-2</v>
      </c>
      <c r="F75" s="257">
        <f>+F85/F74</f>
        <v>0.27124656530646651</v>
      </c>
      <c r="G75" s="756">
        <f>+G85/G74</f>
        <v>0.2001936457052462</v>
      </c>
      <c r="H75" s="257"/>
      <c r="I75" s="257">
        <f>+I85/I74</f>
        <v>0.22749051211032884</v>
      </c>
      <c r="J75" s="257">
        <f>+J85/J74</f>
        <v>0.31204668149558562</v>
      </c>
      <c r="K75" s="257">
        <f>+K85/K74</f>
        <v>0.25638523266108598</v>
      </c>
      <c r="L75" s="257">
        <f>+L85/L74</f>
        <v>0.22574695032931372</v>
      </c>
      <c r="M75" s="756">
        <f>+M85/M74</f>
        <v>0.25721473380121435</v>
      </c>
      <c r="N75" s="257"/>
      <c r="O75" s="257">
        <f>+O85/O74</f>
        <v>0.26619643306541618</v>
      </c>
      <c r="P75" s="257">
        <f>+P85/P74</f>
        <v>0.2420047877609367</v>
      </c>
      <c r="Q75" s="257">
        <f>+Q85/Q74</f>
        <v>0.17755459031518592</v>
      </c>
      <c r="R75" s="257">
        <f>+R85/R74</f>
        <v>0.26100471418154503</v>
      </c>
      <c r="S75" s="756">
        <f>+S85/S74</f>
        <v>0.23714601005950356</v>
      </c>
      <c r="T75" s="257"/>
      <c r="U75" s="257">
        <f>+U85/U74</f>
        <v>0.28418295661081455</v>
      </c>
      <c r="V75" s="257">
        <f>+V85/V74</f>
        <v>0.25438007926627765</v>
      </c>
      <c r="W75" s="257">
        <f>+W85/W74</f>
        <v>0.2037340948072949</v>
      </c>
      <c r="X75" s="257">
        <f>+X85/X74</f>
        <v>0.22974172832479919</v>
      </c>
      <c r="Y75" s="756">
        <f>+Y85/Y74</f>
        <v>0.24286356276674764</v>
      </c>
      <c r="Z75" s="257"/>
      <c r="AA75" s="257">
        <f>+AA85/AA74</f>
        <v>0.2150011965197193</v>
      </c>
      <c r="AB75" s="257">
        <f>+AB85/AB74</f>
        <v>0.20019116558923847</v>
      </c>
      <c r="AC75" s="257">
        <f>+AC85/AC74</f>
        <v>0.3789687232508</v>
      </c>
      <c r="AD75" s="257">
        <f>+AD85/AD74</f>
        <v>0.26362844083717635</v>
      </c>
      <c r="AE75" s="756">
        <f>+AE85/AE74</f>
        <v>0.2601506960773266</v>
      </c>
      <c r="AF75" s="257"/>
      <c r="AG75" s="257">
        <f>+AG85/AG74</f>
        <v>0.23216259007292317</v>
      </c>
      <c r="AH75" s="257">
        <f>+AH85/AH74</f>
        <v>0.26434756872314724</v>
      </c>
      <c r="AI75" s="257">
        <f>+AI85/AI74</f>
        <v>0.24484329726598381</v>
      </c>
      <c r="AJ75" s="257">
        <f>+AJ85/AJ74</f>
        <v>0.30967881269899594</v>
      </c>
      <c r="AK75" s="756">
        <f>+AK85/AK74</f>
        <v>0.26462423221766679</v>
      </c>
      <c r="AL75" s="257"/>
      <c r="AM75" s="257">
        <f>+AM85/AM74</f>
        <v>0.23339329039015425</v>
      </c>
      <c r="AN75" s="257">
        <f>+AN85/AN74</f>
        <v>0.20750916601810035</v>
      </c>
      <c r="AO75" s="257">
        <f>+AO85/AO74</f>
        <v>0.23602187111519396</v>
      </c>
      <c r="AP75" s="257">
        <f>+AP85/AP74</f>
        <v>0.21964891918789259</v>
      </c>
      <c r="AQ75" s="756">
        <f>+AQ85/AQ74</f>
        <v>0.22316045729924056</v>
      </c>
      <c r="AR75" s="257"/>
      <c r="AS75" s="257">
        <f>+AS85/AS74</f>
        <v>0.23541842772525076</v>
      </c>
      <c r="AT75" s="257">
        <f>+AT85/AT74</f>
        <v>0.2307984367213671</v>
      </c>
      <c r="AU75" s="257">
        <f>+AU85/AU74</f>
        <v>0.20839942743784556</v>
      </c>
      <c r="AV75" s="257">
        <f>+AV85/AV74</f>
        <v>0.22983400134685736</v>
      </c>
      <c r="AW75" s="756">
        <f>+AW85/AW74</f>
        <v>0.22606667422418178</v>
      </c>
      <c r="AX75" s="257"/>
      <c r="AY75" s="257">
        <f>+AY85/AY74</f>
        <v>0.22263779802064038</v>
      </c>
      <c r="AZ75" s="257">
        <f>+AZ85/AZ74</f>
        <v>0.21463362899109104</v>
      </c>
      <c r="BA75" s="257">
        <f>+BA85/BA74</f>
        <v>0.17303483327807231</v>
      </c>
      <c r="BB75" s="257">
        <f>+BB85/BB74</f>
        <v>0.24347819352037636</v>
      </c>
      <c r="BC75" s="756">
        <f>+BC85/BC74</f>
        <v>0.21334884766157081</v>
      </c>
      <c r="BD75" s="257"/>
      <c r="BE75" s="1188">
        <f>+'P&amp;L'!BE26</f>
        <v>0.22975517890772126</v>
      </c>
      <c r="BF75" s="1188">
        <f>+'P&amp;L'!BF26</f>
        <v>0.23037759864234192</v>
      </c>
      <c r="BG75" s="1188">
        <f>+'P&amp;L'!BG26</f>
        <v>0.1676486341724692</v>
      </c>
      <c r="BH75" s="1188">
        <f>+'P&amp;L'!BH26</f>
        <v>0.20220772704465628</v>
      </c>
      <c r="BI75" s="756">
        <f>+BI85/BI74</f>
        <v>0.20908394451899673</v>
      </c>
      <c r="BJ75" s="257"/>
      <c r="BK75" s="1188">
        <f>+'P&amp;L'!BK26</f>
        <v>0.19203413940256045</v>
      </c>
      <c r="BL75" s="1188">
        <f>+'P&amp;L'!BL26</f>
        <v>0.1616499442586399</v>
      </c>
      <c r="BM75" s="1188">
        <f>+'P&amp;L'!BM26</f>
        <v>0.18389662027833001</v>
      </c>
      <c r="BN75" s="1188">
        <f>+'P&amp;L'!BN26</f>
        <v>0.16468516072214884</v>
      </c>
      <c r="BO75" s="756">
        <f>+BO85/BO74</f>
        <v>0.1741212071723614</v>
      </c>
      <c r="BP75" s="257"/>
      <c r="BQ75" s="1188">
        <f>+'P&amp;L'!BQ26</f>
        <v>0.22</v>
      </c>
      <c r="BR75" s="1188">
        <f>+'P&amp;L'!BR26</f>
        <v>0.22</v>
      </c>
      <c r="BS75" s="1188">
        <f>+'P&amp;L'!BS26</f>
        <v>0.22</v>
      </c>
      <c r="BT75" s="1188">
        <f>+'P&amp;L'!BT26</f>
        <v>0.22</v>
      </c>
      <c r="BU75" s="756">
        <f>+BU85/BU74</f>
        <v>0.22000000000000003</v>
      </c>
      <c r="BV75" s="257"/>
      <c r="BW75" s="1188">
        <f>+'P&amp;L'!BW26</f>
        <v>0.22</v>
      </c>
      <c r="BX75" s="1188">
        <f>+'P&amp;L'!BX26</f>
        <v>0.22</v>
      </c>
      <c r="BY75" s="1188">
        <f>+'P&amp;L'!BY26</f>
        <v>0.22</v>
      </c>
      <c r="BZ75" s="1188">
        <f>+'P&amp;L'!BZ26</f>
        <v>0.22</v>
      </c>
      <c r="CA75" s="756">
        <f>+CA85/CA74</f>
        <v>0.22000000000000003</v>
      </c>
      <c r="CB75" s="257"/>
      <c r="CC75" s="1188">
        <f>+'P&amp;L'!CC26</f>
        <v>0.22</v>
      </c>
      <c r="CD75" s="1188">
        <f>+'P&amp;L'!CD26</f>
        <v>0.22</v>
      </c>
      <c r="CE75" s="1188">
        <f>+'P&amp;L'!CE26</f>
        <v>0.22</v>
      </c>
      <c r="CF75" s="1188">
        <f>+'P&amp;L'!CF26</f>
        <v>0.22</v>
      </c>
      <c r="CG75" s="756">
        <f>+CG85/CG74</f>
        <v>0.22000000000000003</v>
      </c>
      <c r="CW75" s="257"/>
      <c r="CX75"/>
      <c r="CY75"/>
      <c r="CZ75"/>
      <c r="DA75"/>
      <c r="DB75"/>
      <c r="DC75"/>
      <c r="DD75"/>
      <c r="DE75"/>
      <c r="DF75"/>
      <c r="DG75"/>
      <c r="DH75"/>
      <c r="DI75"/>
      <c r="DJ75"/>
      <c r="DK75"/>
      <c r="DL75"/>
      <c r="DM75"/>
      <c r="DN75"/>
      <c r="DO75"/>
      <c r="DP75"/>
      <c r="DQ75"/>
      <c r="DR75"/>
      <c r="DS75"/>
      <c r="DT75"/>
      <c r="DU75"/>
      <c r="DV75"/>
      <c r="DW75"/>
      <c r="DX75"/>
      <c r="DY75"/>
      <c r="DZ75"/>
      <c r="EA75"/>
      <c r="EB75"/>
    </row>
    <row r="76" spans="1:132" s="52" customFormat="1" ht="12.75" hidden="1" customHeight="1" outlineLevel="1" x14ac:dyDescent="0.2">
      <c r="A76" s="121"/>
      <c r="B76" s="766" t="s">
        <v>573</v>
      </c>
      <c r="C76" s="743">
        <v>17.458000000000006</v>
      </c>
      <c r="D76" s="743">
        <v>21.179999999999993</v>
      </c>
      <c r="E76" s="743">
        <v>24.544999999999995</v>
      </c>
      <c r="F76" s="743">
        <v>39.998999999999988</v>
      </c>
      <c r="G76" s="593">
        <f>SUM(C76:F76)</f>
        <v>103.18199999999999</v>
      </c>
      <c r="H76" s="24"/>
      <c r="I76" s="743">
        <v>26.40900000000002</v>
      </c>
      <c r="J76" s="743">
        <v>33.962999999999994</v>
      </c>
      <c r="K76" s="743">
        <v>26.97600000000001</v>
      </c>
      <c r="L76" s="743">
        <v>27.027000000000008</v>
      </c>
      <c r="M76" s="593">
        <f>SUM(I76:L76)</f>
        <v>114.37500000000003</v>
      </c>
      <c r="N76" s="24"/>
      <c r="O76" s="743">
        <v>27.746999999999989</v>
      </c>
      <c r="P76" s="743">
        <v>38.148000000000032</v>
      </c>
      <c r="Q76" s="743">
        <v>41.89699999999992</v>
      </c>
      <c r="R76" s="743">
        <v>57.990000000000023</v>
      </c>
      <c r="S76" s="593">
        <f>SUM(O76:R76)</f>
        <v>165.78199999999998</v>
      </c>
      <c r="T76" s="24"/>
      <c r="U76" s="743">
        <v>46.426000000000002</v>
      </c>
      <c r="V76" s="743">
        <v>47.26600000000002</v>
      </c>
      <c r="W76" s="743">
        <v>32.057000000000023</v>
      </c>
      <c r="X76" s="743">
        <v>70.954999999999984</v>
      </c>
      <c r="Y76" s="593">
        <f>SUM(U76:X76)</f>
        <v>196.70400000000004</v>
      </c>
      <c r="Z76" s="24"/>
      <c r="AA76" s="743">
        <v>43.094999999999978</v>
      </c>
      <c r="AB76" s="743">
        <v>58.193000000000005</v>
      </c>
      <c r="AC76" s="743">
        <v>49.000999999999998</v>
      </c>
      <c r="AD76" s="743">
        <v>67.989999999999995</v>
      </c>
      <c r="AE76" s="593">
        <f>SUM(AA76:AD76)</f>
        <v>218.279</v>
      </c>
      <c r="AF76" s="24"/>
      <c r="AG76" s="743">
        <v>48.11</v>
      </c>
      <c r="AH76" s="743">
        <v>59.421000000000014</v>
      </c>
      <c r="AI76" s="743">
        <v>55.327999999999996</v>
      </c>
      <c r="AJ76" s="743">
        <v>67.689999999999955</v>
      </c>
      <c r="AK76" s="593">
        <f>SUM(AG76:AJ76)</f>
        <v>230.54899999999998</v>
      </c>
      <c r="AL76" s="24"/>
      <c r="AM76" s="743">
        <v>52.178000000000004</v>
      </c>
      <c r="AN76" s="743">
        <v>64.078000000000017</v>
      </c>
      <c r="AO76" s="743">
        <v>57.674000000000014</v>
      </c>
      <c r="AP76" s="743">
        <v>69.489999999999981</v>
      </c>
      <c r="AQ76" s="593">
        <f>SUM(AM76:AP76)</f>
        <v>243.42000000000002</v>
      </c>
      <c r="AR76" s="24"/>
      <c r="AS76" s="743">
        <v>60.000000000000007</v>
      </c>
      <c r="AT76" s="743">
        <v>74.600000000000023</v>
      </c>
      <c r="AU76" s="743">
        <v>63.3</v>
      </c>
      <c r="AV76" s="743">
        <v>69.100000000000009</v>
      </c>
      <c r="AW76" s="593">
        <f>SUM(AS76:AV76)</f>
        <v>267.00000000000006</v>
      </c>
      <c r="AX76" s="24"/>
      <c r="AY76" s="743">
        <v>54.000000000000007</v>
      </c>
      <c r="AZ76" s="743">
        <v>84.400000000000034</v>
      </c>
      <c r="BA76" s="743">
        <v>68.399999999999963</v>
      </c>
      <c r="BB76" s="743">
        <v>74.899999999999991</v>
      </c>
      <c r="BC76" s="593">
        <f>SUM(AY76:BB76)</f>
        <v>281.7</v>
      </c>
      <c r="BD76" s="257"/>
      <c r="BE76" s="432"/>
      <c r="BF76" s="432"/>
      <c r="BG76" s="432"/>
      <c r="BH76" s="432"/>
      <c r="BI76" s="756"/>
      <c r="BJ76" s="257"/>
      <c r="BK76" s="432"/>
      <c r="BL76" s="432"/>
      <c r="BM76" s="432"/>
      <c r="BN76" s="432"/>
      <c r="BO76" s="756"/>
      <c r="BP76" s="257"/>
      <c r="BQ76" s="432"/>
      <c r="BR76" s="432"/>
      <c r="BS76" s="432"/>
      <c r="BT76" s="432"/>
      <c r="BU76" s="756"/>
      <c r="BV76" s="257"/>
      <c r="BW76" s="432"/>
      <c r="BX76" s="432"/>
      <c r="BY76" s="432"/>
      <c r="BZ76" s="432"/>
      <c r="CA76" s="756"/>
      <c r="CB76" s="257"/>
      <c r="CC76" s="432"/>
      <c r="CD76" s="432"/>
      <c r="CE76" s="432"/>
      <c r="CF76" s="432"/>
      <c r="CG76" s="756"/>
      <c r="CW76" s="257"/>
      <c r="CX76"/>
      <c r="CY76"/>
      <c r="CZ76"/>
      <c r="DA76"/>
      <c r="DB76"/>
      <c r="DC76"/>
      <c r="DD76"/>
      <c r="DE76"/>
      <c r="DF76"/>
      <c r="DG76"/>
      <c r="DH76"/>
      <c r="DI76"/>
      <c r="DJ76"/>
      <c r="DK76"/>
      <c r="DL76"/>
      <c r="DM76"/>
      <c r="DN76"/>
      <c r="DO76"/>
      <c r="DP76"/>
      <c r="DQ76"/>
      <c r="DR76"/>
      <c r="DS76"/>
      <c r="DT76"/>
      <c r="DU76"/>
      <c r="DV76"/>
      <c r="DW76"/>
      <c r="DX76"/>
      <c r="DY76"/>
      <c r="DZ76"/>
      <c r="EA76"/>
      <c r="EB76"/>
    </row>
    <row r="77" spans="1:132" s="52" customFormat="1" ht="12.75" hidden="1" customHeight="1" outlineLevel="1" x14ac:dyDescent="0.2">
      <c r="A77" s="121"/>
      <c r="B77" s="766" t="s">
        <v>568</v>
      </c>
      <c r="C77" s="743">
        <v>24.994</v>
      </c>
      <c r="D77" s="743">
        <v>30.193000000000001</v>
      </c>
      <c r="E77" s="743">
        <v>16.126000000000001</v>
      </c>
      <c r="F77" s="743">
        <f>98.481-E77-D77-C77</f>
        <v>27.167999999999992</v>
      </c>
      <c r="G77" s="593">
        <f>SUM(C77:F77)</f>
        <v>98.480999999999995</v>
      </c>
      <c r="H77" s="24"/>
      <c r="I77" s="743">
        <v>26.718</v>
      </c>
      <c r="J77" s="743">
        <v>31.297000000000001</v>
      </c>
      <c r="K77" s="743">
        <v>9.2040000000000006</v>
      </c>
      <c r="L77" s="743">
        <f>71.603-K77-J77-I77</f>
        <v>4.3839999999999932</v>
      </c>
      <c r="M77" s="593">
        <f>SUM(I77:L77)</f>
        <v>71.60299999999998</v>
      </c>
      <c r="N77" s="24"/>
      <c r="O77" s="743">
        <v>21.131</v>
      </c>
      <c r="P77" s="743">
        <v>24.44</v>
      </c>
      <c r="Q77" s="743">
        <v>19.998999999999999</v>
      </c>
      <c r="R77" s="743">
        <f>88.944-Q77-P77-O77</f>
        <v>23.374000000000009</v>
      </c>
      <c r="S77" s="593">
        <f>SUM(O77:R77)</f>
        <v>88.944000000000003</v>
      </c>
      <c r="T77" s="24"/>
      <c r="U77" s="743">
        <v>21.254999999999999</v>
      </c>
      <c r="V77" s="743">
        <v>25.042000000000002</v>
      </c>
      <c r="W77" s="743">
        <v>21.288</v>
      </c>
      <c r="X77" s="743">
        <f>89.225-W77-V77-U77</f>
        <v>21.639999999999997</v>
      </c>
      <c r="Y77" s="593">
        <f>SUM(U77:X77)</f>
        <v>89.224999999999994</v>
      </c>
      <c r="Z77" s="24"/>
      <c r="AA77" s="743">
        <v>23.712</v>
      </c>
      <c r="AB77" s="743">
        <v>17.957000000000001</v>
      </c>
      <c r="AC77" s="743">
        <v>-40.627000000000002</v>
      </c>
      <c r="AD77" s="743">
        <f>11.016-AC77-AB77-AA77</f>
        <v>9.9740000000000002</v>
      </c>
      <c r="AE77" s="593">
        <f>SUM(AA77:AD77)</f>
        <v>11.015999999999995</v>
      </c>
      <c r="AF77" s="24"/>
      <c r="AG77" s="743">
        <v>14.715</v>
      </c>
      <c r="AH77" s="743">
        <v>14.875</v>
      </c>
      <c r="AI77" s="743">
        <v>18.96</v>
      </c>
      <c r="AJ77" s="743">
        <f>8.92-AI77-AH77-AG77</f>
        <v>-39.629999999999995</v>
      </c>
      <c r="AK77" s="593">
        <f>SUM(AG77:AJ77)</f>
        <v>8.9200000000000017</v>
      </c>
      <c r="AL77" s="24"/>
      <c r="AM77" s="743">
        <v>3.5419999999999998</v>
      </c>
      <c r="AN77" s="743">
        <v>22.87</v>
      </c>
      <c r="AO77" s="743">
        <v>13.186999999999999</v>
      </c>
      <c r="AP77" s="743">
        <f>52.15-AO77-AN77-AM77</f>
        <v>12.551</v>
      </c>
      <c r="AQ77" s="593">
        <f>SUM(AM77:AP77)</f>
        <v>52.15</v>
      </c>
      <c r="AR77" s="24"/>
      <c r="AS77" s="743">
        <v>22.452000000000002</v>
      </c>
      <c r="AT77" s="743">
        <v>26.096</v>
      </c>
      <c r="AU77" s="743">
        <v>21.2</v>
      </c>
      <c r="AV77" s="743">
        <f>81.12-AU77-AT77-AS77</f>
        <v>11.371999999999996</v>
      </c>
      <c r="AW77" s="593">
        <f>SUM(AS77:AV77)</f>
        <v>81.12</v>
      </c>
      <c r="AX77" s="24"/>
      <c r="AY77" s="743">
        <v>18.853000000000002</v>
      </c>
      <c r="AZ77" s="743">
        <v>24.774999999999999</v>
      </c>
      <c r="BA77" s="743">
        <v>19.600000000000001</v>
      </c>
      <c r="BB77" s="743">
        <f>77-BA77-AZ77-AY77</f>
        <v>13.771999999999998</v>
      </c>
      <c r="BC77" s="593">
        <f>SUM(AY77:BB77)</f>
        <v>77</v>
      </c>
      <c r="BD77" s="257"/>
      <c r="BE77" s="432"/>
      <c r="BF77" s="432"/>
      <c r="BG77" s="432"/>
      <c r="BH77" s="432"/>
      <c r="BI77" s="756"/>
      <c r="BJ77" s="257"/>
      <c r="BK77" s="432"/>
      <c r="BL77" s="432"/>
      <c r="BM77" s="432"/>
      <c r="BN77" s="432"/>
      <c r="BO77" s="756"/>
      <c r="BP77" s="257"/>
      <c r="BQ77" s="432"/>
      <c r="BR77" s="432"/>
      <c r="BS77" s="432"/>
      <c r="BT77" s="432"/>
      <c r="BU77" s="756"/>
      <c r="BV77" s="257"/>
      <c r="BW77" s="432"/>
      <c r="BX77" s="432"/>
      <c r="BY77" s="432"/>
      <c r="BZ77" s="432"/>
      <c r="CA77" s="756"/>
      <c r="CB77" s="257"/>
      <c r="CC77" s="432"/>
      <c r="CD77" s="432"/>
      <c r="CE77" s="432"/>
      <c r="CF77" s="432"/>
      <c r="CG77" s="756"/>
      <c r="CW77" s="257"/>
      <c r="CX77"/>
      <c r="CY77"/>
      <c r="CZ77"/>
      <c r="DA77"/>
      <c r="DB77"/>
      <c r="DC77"/>
      <c r="DD77"/>
      <c r="DE77"/>
      <c r="DF77"/>
      <c r="DG77"/>
      <c r="DH77"/>
      <c r="DI77"/>
      <c r="DJ77"/>
      <c r="DK77"/>
      <c r="DL77"/>
      <c r="DM77"/>
      <c r="DN77"/>
      <c r="DO77"/>
      <c r="DP77"/>
      <c r="DQ77"/>
      <c r="DR77"/>
      <c r="DS77"/>
      <c r="DT77"/>
      <c r="DU77"/>
      <c r="DV77"/>
      <c r="DW77"/>
      <c r="DX77"/>
      <c r="DY77"/>
      <c r="DZ77"/>
      <c r="EA77"/>
      <c r="EB77"/>
    </row>
    <row r="78" spans="1:132" s="52" customFormat="1" ht="12.75" hidden="1" customHeight="1" outlineLevel="1" x14ac:dyDescent="0.2">
      <c r="A78" s="121"/>
      <c r="B78" s="766" t="s">
        <v>569</v>
      </c>
      <c r="C78" s="743">
        <v>0.125</v>
      </c>
      <c r="D78" s="743">
        <v>1.121</v>
      </c>
      <c r="E78" s="743">
        <v>-37.372</v>
      </c>
      <c r="F78" s="743">
        <v>7.242</v>
      </c>
      <c r="G78" s="593">
        <f>SUM(C78:F78)</f>
        <v>-28.883999999999997</v>
      </c>
      <c r="H78" s="24"/>
      <c r="I78" s="743">
        <v>4.5789999999999997</v>
      </c>
      <c r="J78" s="743">
        <v>3.0110000000000001</v>
      </c>
      <c r="K78" s="743">
        <v>-5.4950000000000001</v>
      </c>
      <c r="L78" s="743">
        <v>1.998</v>
      </c>
      <c r="M78" s="593">
        <f>SUM(I78:L78)</f>
        <v>4.093</v>
      </c>
      <c r="N78" s="24"/>
      <c r="O78" s="743">
        <v>0.36399999999999999</v>
      </c>
      <c r="P78" s="743">
        <v>6.6829999999999998</v>
      </c>
      <c r="Q78" s="743">
        <v>0.252</v>
      </c>
      <c r="R78" s="743">
        <v>7.9130000000000003</v>
      </c>
      <c r="S78" s="593">
        <f>SUM(O78:R78)</f>
        <v>15.212</v>
      </c>
      <c r="T78" s="24"/>
      <c r="U78" s="743">
        <v>4.548</v>
      </c>
      <c r="V78" s="743">
        <v>4.258</v>
      </c>
      <c r="W78" s="743">
        <v>7.0609999999999999</v>
      </c>
      <c r="X78" s="743">
        <v>12.112</v>
      </c>
      <c r="Y78" s="593">
        <f>SUM(U78:X78)</f>
        <v>27.978999999999999</v>
      </c>
      <c r="Z78" s="24"/>
      <c r="AA78" s="743">
        <v>8.3879999999999999</v>
      </c>
      <c r="AB78" s="743">
        <v>10.423</v>
      </c>
      <c r="AC78" s="743">
        <v>4.8209999999999997</v>
      </c>
      <c r="AD78" s="743">
        <v>11.611000000000001</v>
      </c>
      <c r="AE78" s="593">
        <f>SUM(AA78:AD78)</f>
        <v>35.242999999999995</v>
      </c>
      <c r="AF78" s="24"/>
      <c r="AG78" s="743">
        <v>9.3049999999999997</v>
      </c>
      <c r="AH78" s="743">
        <v>9.18</v>
      </c>
      <c r="AI78" s="743">
        <v>12.622</v>
      </c>
      <c r="AJ78" s="743">
        <v>15.226000000000001</v>
      </c>
      <c r="AK78" s="593">
        <f>SUM(AG78:AJ78)</f>
        <v>46.332999999999998</v>
      </c>
      <c r="AL78" s="24"/>
      <c r="AM78" s="743">
        <v>10.199999999999999</v>
      </c>
      <c r="AN78" s="743">
        <v>12.9</v>
      </c>
      <c r="AO78" s="743">
        <v>10.7</v>
      </c>
      <c r="AP78" s="743">
        <v>13.8</v>
      </c>
      <c r="AQ78" s="593">
        <f>SUM(AM78:AP78)</f>
        <v>47.599999999999994</v>
      </c>
      <c r="AR78" s="24"/>
      <c r="AS78" s="743">
        <v>11.7</v>
      </c>
      <c r="AT78" s="743">
        <v>15.9</v>
      </c>
      <c r="AU78" s="743">
        <v>11.6</v>
      </c>
      <c r="AV78" s="743">
        <v>14</v>
      </c>
      <c r="AW78" s="593">
        <f>SUM(AS78:AV78)</f>
        <v>53.2</v>
      </c>
      <c r="AX78" s="24"/>
      <c r="AY78" s="743">
        <v>10.8</v>
      </c>
      <c r="AZ78" s="743">
        <v>17.8</v>
      </c>
      <c r="BA78" s="743">
        <v>12.2</v>
      </c>
      <c r="BB78" s="743">
        <v>15.5</v>
      </c>
      <c r="BC78" s="593">
        <f>SUM(AY78:BB78)</f>
        <v>56.3</v>
      </c>
      <c r="BD78" s="257"/>
      <c r="BE78" s="432"/>
      <c r="BF78" s="432"/>
      <c r="BG78" s="432"/>
      <c r="BH78" s="432"/>
      <c r="BI78" s="756"/>
      <c r="BJ78" s="257"/>
      <c r="BK78" s="432"/>
      <c r="BL78" s="432"/>
      <c r="BM78" s="432"/>
      <c r="BN78" s="432"/>
      <c r="BO78" s="756"/>
      <c r="BP78" s="257"/>
      <c r="BQ78" s="432"/>
      <c r="BR78" s="432"/>
      <c r="BS78" s="432"/>
      <c r="BT78" s="432"/>
      <c r="BU78" s="756"/>
      <c r="BV78" s="257"/>
      <c r="BW78" s="432"/>
      <c r="BX78" s="432"/>
      <c r="BY78" s="432"/>
      <c r="BZ78" s="432"/>
      <c r="CA78" s="756"/>
      <c r="CB78" s="257"/>
      <c r="CC78" s="432"/>
      <c r="CD78" s="432"/>
      <c r="CE78" s="432"/>
      <c r="CF78" s="432"/>
      <c r="CG78" s="756"/>
      <c r="CW78" s="257"/>
      <c r="CX78"/>
      <c r="CY78"/>
      <c r="CZ78"/>
      <c r="DA78"/>
      <c r="DB78"/>
      <c r="DC78"/>
      <c r="DD78"/>
      <c r="DE78"/>
      <c r="DF78"/>
      <c r="DG78"/>
      <c r="DH78"/>
      <c r="DI78"/>
      <c r="DJ78"/>
      <c r="DK78"/>
      <c r="DL78"/>
      <c r="DM78"/>
      <c r="DN78"/>
      <c r="DO78"/>
      <c r="DP78"/>
      <c r="DQ78"/>
      <c r="DR78"/>
      <c r="DS78"/>
      <c r="DT78"/>
      <c r="DU78"/>
      <c r="DV78"/>
      <c r="DW78"/>
      <c r="DX78"/>
      <c r="DY78"/>
      <c r="DZ78"/>
      <c r="EA78"/>
      <c r="EB78"/>
    </row>
    <row r="79" spans="1:132" s="52" customFormat="1" ht="12.75" hidden="1" customHeight="1" outlineLevel="1" x14ac:dyDescent="0.2">
      <c r="A79" s="121"/>
      <c r="B79" s="766" t="s">
        <v>570</v>
      </c>
      <c r="C79" s="178">
        <f>(C77+C78)*C80</f>
        <v>-5.7318523489932893</v>
      </c>
      <c r="D79" s="178">
        <f>(D77+D78)*D80</f>
        <v>-7.1454765100671152</v>
      </c>
      <c r="E79" s="178">
        <f>(E77+E78)*E80</f>
        <v>4.848080536912752</v>
      </c>
      <c r="F79" s="178">
        <f>(F77+F78)*F80</f>
        <v>-7.8519463087248305</v>
      </c>
      <c r="G79" s="593">
        <f>SUM(C79:F79)</f>
        <v>-15.881194630872484</v>
      </c>
      <c r="H79" s="24"/>
      <c r="I79" s="178">
        <f>(I77+I78)*I80</f>
        <v>-7.1415973154362424</v>
      </c>
      <c r="J79" s="178">
        <f>(J77+J78)*J80</f>
        <v>-7.8286711409395986</v>
      </c>
      <c r="K79" s="178">
        <f>(K77+K78)*K80</f>
        <v>-0.84634899328859081</v>
      </c>
      <c r="L79" s="178">
        <f>(L77+L78)*L80</f>
        <v>-1.4562953020134215</v>
      </c>
      <c r="M79" s="593">
        <f>SUM(I79:L79)</f>
        <v>-17.272912751677854</v>
      </c>
      <c r="N79" s="24"/>
      <c r="O79" s="178">
        <f>(O77+O78)*O80</f>
        <v>-4.9048993288590612</v>
      </c>
      <c r="P79" s="178">
        <f>(P77+P78)*P80</f>
        <v>-7.1018926174496659</v>
      </c>
      <c r="Q79" s="178">
        <f>(Q77+Q78)*Q80</f>
        <v>-4.6210335570469798</v>
      </c>
      <c r="R79" s="178">
        <f>(R77+R78)*R80</f>
        <v>-7.1393154362416142</v>
      </c>
      <c r="S79" s="593">
        <f>SUM(O79:R79)</f>
        <v>-23.767140939597322</v>
      </c>
      <c r="T79" s="24"/>
      <c r="U79" s="178">
        <f>(U77+U78)*U80</f>
        <v>-5.8879328859060402</v>
      </c>
      <c r="V79" s="178">
        <f>(V77+V78)*V80</f>
        <v>-6.6859060402684571</v>
      </c>
      <c r="W79" s="178">
        <f>(W77+W78)*W80</f>
        <v>-6.4688993288590613</v>
      </c>
      <c r="X79" s="178">
        <f>(X77+X78)*X80</f>
        <v>-7.701798657718121</v>
      </c>
      <c r="Y79" s="593">
        <f>SUM(U79:X79)</f>
        <v>-26.744536912751681</v>
      </c>
      <c r="Z79" s="24"/>
      <c r="AA79" s="178">
        <f>(AA77+AA78)*AA80</f>
        <v>-7.3248322147651024</v>
      </c>
      <c r="AB79" s="178">
        <f>(AB77+AB78)*AB80</f>
        <v>-6.4759731543624177</v>
      </c>
      <c r="AC79" s="178">
        <f>(AC77+AC78)*AC80</f>
        <v>8.1704966442953033</v>
      </c>
      <c r="AD79" s="178">
        <f>(AD77+AD78)*AD80</f>
        <v>-4.9254362416107389</v>
      </c>
      <c r="AE79" s="593">
        <f>SUM(AA79:AD79)</f>
        <v>-10.555744966442955</v>
      </c>
      <c r="AF79" s="24"/>
      <c r="AG79" s="178">
        <f>(AG77+AG78)*AG80</f>
        <v>-5.4810738255033566</v>
      </c>
      <c r="AH79" s="178">
        <f>(AH77+AH78)*AH80</f>
        <v>-5.4890604026845642</v>
      </c>
      <c r="AI79" s="178">
        <f>(AI77+AI78)*AI80</f>
        <v>-7.2066308724832222</v>
      </c>
      <c r="AJ79" s="178">
        <f>(AJ77+AJ78)*AJ80</f>
        <v>5.5686979865771811</v>
      </c>
      <c r="AK79" s="593">
        <f>SUM(AG79:AJ79)</f>
        <v>-12.608067114093959</v>
      </c>
      <c r="AL79" s="24"/>
      <c r="AM79" s="178">
        <f>(AM77+AM78)*AM80</f>
        <v>-3.1357583892617451</v>
      </c>
      <c r="AN79" s="178">
        <f>(AN77+AN78)*AN80</f>
        <v>-8.1622818791946319</v>
      </c>
      <c r="AO79" s="178">
        <f>(AO77+AO78)*AO80</f>
        <v>-5.4507248322147657</v>
      </c>
      <c r="AP79" s="178">
        <f>(AP77+AP78)*AP80</f>
        <v>-6.012979865771813</v>
      </c>
      <c r="AQ79" s="593">
        <f>SUM(AM79:AP79)</f>
        <v>-22.761744966442954</v>
      </c>
      <c r="AR79" s="24"/>
      <c r="AS79" s="178">
        <f>(AS77+AS78)*AS80</f>
        <v>-7.7930738255033569</v>
      </c>
      <c r="AT79" s="178">
        <f>(AT77+AT78)*AT80</f>
        <v>-9.5829798657718133</v>
      </c>
      <c r="AU79" s="178">
        <f>(AU77+AU78)*AU80</f>
        <v>-7.4845637583892621</v>
      </c>
      <c r="AV79" s="178">
        <f>(AV77+AV78)*AV80</f>
        <v>-5.7895838926174497</v>
      </c>
      <c r="AW79" s="593">
        <f>SUM(AS79:AV79)</f>
        <v>-30.650201342281882</v>
      </c>
      <c r="AX79" s="24"/>
      <c r="AY79" s="178">
        <f>(AY77+AY78)*AY80</f>
        <v>-5.9698383742911147</v>
      </c>
      <c r="AZ79" s="178">
        <f>(AZ77+AZ78)*AZ80</f>
        <v>-8.5713374291115301</v>
      </c>
      <c r="BA79" s="178">
        <f>(BA77+BA78)*BA80</f>
        <v>-6.4020793950850656</v>
      </c>
      <c r="BB79" s="178">
        <f>(BB77+BB78)*BB80</f>
        <v>-5.8931342155009441</v>
      </c>
      <c r="BC79" s="593">
        <f>SUM(AY79:BB79)</f>
        <v>-26.836389413988655</v>
      </c>
      <c r="BD79" s="257"/>
      <c r="BE79" s="432"/>
      <c r="BF79" s="432"/>
      <c r="BG79" s="432"/>
      <c r="BH79" s="432"/>
      <c r="BI79" s="756"/>
      <c r="BJ79" s="257"/>
      <c r="BK79" s="432"/>
      <c r="BL79" s="432"/>
      <c r="BM79" s="432"/>
      <c r="BN79" s="432"/>
      <c r="BO79" s="756"/>
      <c r="BP79" s="257"/>
      <c r="BQ79" s="432"/>
      <c r="BR79" s="432"/>
      <c r="BS79" s="432"/>
      <c r="BT79" s="432"/>
      <c r="BU79" s="756"/>
      <c r="BV79" s="257"/>
      <c r="BW79" s="432"/>
      <c r="BX79" s="432"/>
      <c r="BY79" s="432"/>
      <c r="BZ79" s="432"/>
      <c r="CA79" s="756"/>
      <c r="CB79" s="257"/>
      <c r="CC79" s="432"/>
      <c r="CD79" s="432"/>
      <c r="CE79" s="432"/>
      <c r="CF79" s="432"/>
      <c r="CG79" s="756"/>
      <c r="CW79" s="257"/>
      <c r="CX79"/>
      <c r="CY79"/>
      <c r="CZ79"/>
      <c r="DA79"/>
      <c r="DB79"/>
      <c r="DC79"/>
      <c r="DD79"/>
      <c r="DE79"/>
      <c r="DF79"/>
      <c r="DG79"/>
      <c r="DH79"/>
      <c r="DI79"/>
      <c r="DJ79"/>
      <c r="DK79"/>
      <c r="DL79"/>
      <c r="DM79"/>
      <c r="DN79"/>
      <c r="DO79"/>
      <c r="DP79"/>
      <c r="DQ79"/>
      <c r="DR79"/>
      <c r="DS79"/>
      <c r="DT79"/>
      <c r="DU79"/>
      <c r="DV79"/>
      <c r="DW79"/>
      <c r="DX79"/>
      <c r="DY79"/>
      <c r="DZ79"/>
      <c r="EA79"/>
      <c r="EB79"/>
    </row>
    <row r="80" spans="1:132" s="965" customFormat="1" hidden="1" outlineLevel="1" x14ac:dyDescent="0.2">
      <c r="B80" s="1231" t="s">
        <v>571</v>
      </c>
      <c r="C80" s="1003">
        <f>D80</f>
        <v>-0.22818791946308728</v>
      </c>
      <c r="D80" s="1003">
        <f>E80</f>
        <v>-0.22818791946308728</v>
      </c>
      <c r="E80" s="1003">
        <f>F80</f>
        <v>-0.22818791946308728</v>
      </c>
      <c r="F80" s="1000">
        <f>G80</f>
        <v>-0.22818791946308728</v>
      </c>
      <c r="G80" s="1001">
        <f>M80</f>
        <v>-0.22818791946308728</v>
      </c>
      <c r="H80" s="1230"/>
      <c r="I80" s="1003">
        <f>J80</f>
        <v>-0.22818791946308728</v>
      </c>
      <c r="J80" s="1003">
        <f>K80</f>
        <v>-0.22818791946308728</v>
      </c>
      <c r="K80" s="1003">
        <f>L80</f>
        <v>-0.22818791946308728</v>
      </c>
      <c r="L80" s="1003">
        <f>M80</f>
        <v>-0.22818791946308728</v>
      </c>
      <c r="M80" s="1001">
        <f>S80</f>
        <v>-0.22818791946308728</v>
      </c>
      <c r="N80" s="1230"/>
      <c r="O80" s="1003">
        <f>P80</f>
        <v>-0.22818791946308728</v>
      </c>
      <c r="P80" s="1003">
        <f>Q80</f>
        <v>-0.22818791946308728</v>
      </c>
      <c r="Q80" s="1003">
        <f>R80</f>
        <v>-0.22818791946308728</v>
      </c>
      <c r="R80" s="1000">
        <f>S80</f>
        <v>-0.22818791946308728</v>
      </c>
      <c r="S80" s="1001">
        <f>Y80</f>
        <v>-0.22818791946308728</v>
      </c>
      <c r="T80" s="1230"/>
      <c r="U80" s="1003">
        <f>V80</f>
        <v>-0.22818791946308728</v>
      </c>
      <c r="V80" s="1003">
        <f>W80</f>
        <v>-0.22818791946308728</v>
      </c>
      <c r="W80" s="1003">
        <f>X80</f>
        <v>-0.22818791946308728</v>
      </c>
      <c r="X80" s="1000">
        <f>Y80</f>
        <v>-0.22818791946308728</v>
      </c>
      <c r="Y80" s="1001">
        <f>AE80</f>
        <v>-0.22818791946308728</v>
      </c>
      <c r="Z80" s="1230"/>
      <c r="AA80" s="1003">
        <f>AB80</f>
        <v>-0.22818791946308728</v>
      </c>
      <c r="AB80" s="1003">
        <f>AC80</f>
        <v>-0.22818791946308728</v>
      </c>
      <c r="AC80" s="1003">
        <f>AD80</f>
        <v>-0.22818791946308728</v>
      </c>
      <c r="AD80" s="1000">
        <f>AE80</f>
        <v>-0.22818791946308728</v>
      </c>
      <c r="AE80" s="1001">
        <f>AK80</f>
        <v>-0.22818791946308728</v>
      </c>
      <c r="AF80" s="1230"/>
      <c r="AG80" s="1003">
        <f>AH80</f>
        <v>-0.22818791946308728</v>
      </c>
      <c r="AH80" s="1003">
        <f>AI80</f>
        <v>-0.22818791946308728</v>
      </c>
      <c r="AI80" s="1003">
        <f>AJ80</f>
        <v>-0.22818791946308728</v>
      </c>
      <c r="AJ80" s="1003">
        <f>AK80</f>
        <v>-0.22818791946308728</v>
      </c>
      <c r="AK80" s="1001">
        <f>AQ80</f>
        <v>-0.22818791946308728</v>
      </c>
      <c r="AL80" s="1230"/>
      <c r="AM80" s="1003">
        <f>AN80</f>
        <v>-0.22818791946308728</v>
      </c>
      <c r="AN80" s="1003">
        <f>AO80</f>
        <v>-0.22818791946308728</v>
      </c>
      <c r="AO80" s="1003">
        <f>AP80</f>
        <v>-0.22818791946308728</v>
      </c>
      <c r="AP80" s="1003">
        <f>AQ80</f>
        <v>-0.22818791946308728</v>
      </c>
      <c r="AQ80" s="1001">
        <f>AW80</f>
        <v>-0.22818791946308728</v>
      </c>
      <c r="AR80" s="1230"/>
      <c r="AS80" s="1003">
        <f>AT80</f>
        <v>-0.22818791946308728</v>
      </c>
      <c r="AT80" s="1003">
        <f>AU80</f>
        <v>-0.22818791946308728</v>
      </c>
      <c r="AU80" s="1003">
        <f>AV80</f>
        <v>-0.22818791946308728</v>
      </c>
      <c r="AV80" s="1003">
        <f>AW80</f>
        <v>-0.22818791946308728</v>
      </c>
      <c r="AW80" s="1001">
        <v>-0.22818791946308728</v>
      </c>
      <c r="AX80" s="1230"/>
      <c r="AY80" s="1003">
        <f>AZ80</f>
        <v>-0.20132325141776936</v>
      </c>
      <c r="AZ80" s="1003">
        <f>BA80</f>
        <v>-0.20132325141776936</v>
      </c>
      <c r="BA80" s="1003">
        <v>-0.20132325141776936</v>
      </c>
      <c r="BB80" s="1003">
        <f>BA80</f>
        <v>-0.20132325141776936</v>
      </c>
      <c r="BC80" s="1001">
        <f>BC79/(BC77+BC78)</f>
        <v>-0.20132325141776933</v>
      </c>
      <c r="BD80" s="19"/>
      <c r="BE80" s="1212"/>
      <c r="BF80" s="973"/>
      <c r="BG80" s="19"/>
      <c r="BH80" s="19"/>
      <c r="BI80" s="765"/>
      <c r="BJ80" s="19"/>
      <c r="BK80" s="19"/>
      <c r="BL80" s="19"/>
      <c r="BM80" s="19"/>
      <c r="BN80" s="19"/>
      <c r="BO80" s="765"/>
      <c r="BQ80" s="970"/>
      <c r="BR80" s="970"/>
      <c r="BS80" s="970"/>
      <c r="BT80" s="970"/>
      <c r="BU80" s="765"/>
      <c r="BW80" s="970"/>
      <c r="BX80" s="970"/>
      <c r="BY80" s="970"/>
      <c r="BZ80" s="970"/>
      <c r="CA80" s="765"/>
      <c r="CC80" s="970"/>
      <c r="CD80" s="970"/>
      <c r="CE80" s="970"/>
      <c r="CF80" s="970"/>
      <c r="CG80" s="764"/>
      <c r="CN80" s="964"/>
      <c r="CO80" s="964"/>
      <c r="CP80" s="964"/>
      <c r="CQ80" s="964"/>
      <c r="CR80" s="964"/>
      <c r="CS80" s="964"/>
    </row>
    <row r="81" spans="1:132" s="52" customFormat="1" ht="12.75" hidden="1" customHeight="1" outlineLevel="1" x14ac:dyDescent="0.2">
      <c r="A81" s="121"/>
      <c r="B81" s="766" t="s">
        <v>531</v>
      </c>
      <c r="C81" s="1008">
        <f>+C82*C31</f>
        <v>4.4436361445783144</v>
      </c>
      <c r="D81" s="1008">
        <f>+D82*D31</f>
        <v>4.541191566265061</v>
      </c>
      <c r="E81" s="1008">
        <f>+E82*E31</f>
        <v>4.4915638554216866</v>
      </c>
      <c r="F81" s="1009">
        <f>+F82*F31</f>
        <v>4.6981855421686758</v>
      </c>
      <c r="G81" s="1186">
        <f>+G82*G31</f>
        <v>18.174577108433738</v>
      </c>
      <c r="H81" s="78"/>
      <c r="I81" s="1008">
        <f>+I82*I31</f>
        <v>5.0097156626506028</v>
      </c>
      <c r="J81" s="1008">
        <f>+J82*J31</f>
        <v>5.420112048192772</v>
      </c>
      <c r="K81" s="1009">
        <f>+K82*K31</f>
        <v>4.9726843373493983</v>
      </c>
      <c r="L81" s="1232">
        <f>+L82*L31</f>
        <v>4.7311614457831332</v>
      </c>
      <c r="M81" s="1186">
        <f>+M82*M31</f>
        <v>20.133673493975909</v>
      </c>
      <c r="N81" s="78"/>
      <c r="O81" s="1008">
        <f>+O82*O31</f>
        <v>4.7934879518072293</v>
      </c>
      <c r="P81" s="1008">
        <f>+P82*P31</f>
        <v>4.8594192771084339</v>
      </c>
      <c r="Q81" s="1008">
        <f>+Q82*Q31</f>
        <v>4.8342060240963862</v>
      </c>
      <c r="R81" s="1009">
        <f>+R82*R31</f>
        <v>4.8890156626506043</v>
      </c>
      <c r="S81" s="1186">
        <f>+S82*S31</f>
        <v>19.376128915662655</v>
      </c>
      <c r="T81" s="78"/>
      <c r="U81" s="1008">
        <f>+U82*U31</f>
        <v>5.0874650602409641</v>
      </c>
      <c r="V81" s="1008">
        <f>+V82*V31</f>
        <v>4.8619385542168683</v>
      </c>
      <c r="W81" s="1008">
        <f>+W82*W31</f>
        <v>4.9727867469879516</v>
      </c>
      <c r="X81" s="1009">
        <f>+X82*X31</f>
        <v>5.1153614457831313</v>
      </c>
      <c r="Y81" s="1186">
        <f>+Y82*Y31</f>
        <v>20.037551807228915</v>
      </c>
      <c r="Z81" s="78"/>
      <c r="AA81" s="1008">
        <f>+AA82*AA31</f>
        <v>5.5577301204819278</v>
      </c>
      <c r="AB81" s="1008">
        <f>+AB82*AB31</f>
        <v>5.7251903614457831</v>
      </c>
      <c r="AC81" s="1008">
        <f>+AC82*AC31</f>
        <v>6.2701325301204829</v>
      </c>
      <c r="AD81" s="1009">
        <f>+AD82*AD31</f>
        <v>7.5219674698795194</v>
      </c>
      <c r="AE81" s="1186">
        <f>+AE82*AE31</f>
        <v>25.075020481927712</v>
      </c>
      <c r="AF81" s="78"/>
      <c r="AG81" s="1008">
        <f>+AG82*AG31</f>
        <v>7.7220963855421694</v>
      </c>
      <c r="AH81" s="1008">
        <f>+AH82*AH31</f>
        <v>7.5469349397590362</v>
      </c>
      <c r="AI81" s="1008">
        <f>+AI82*AI31</f>
        <v>6.9078168674698803</v>
      </c>
      <c r="AJ81" s="1009">
        <f>+AJ82*AJ31</f>
        <v>7.6570662650602417</v>
      </c>
      <c r="AK81" s="1186">
        <f>+AK82*AK31</f>
        <v>29.83391445783133</v>
      </c>
      <c r="AL81" s="78"/>
      <c r="AM81" s="1008">
        <f>+AM82*AM31</f>
        <v>7.7457939759036156</v>
      </c>
      <c r="AN81" s="1008">
        <f>+AN82*AN31</f>
        <v>7.5725987951807232</v>
      </c>
      <c r="AO81" s="1008">
        <f>+AO82*AO31</f>
        <v>7.2048253012048198</v>
      </c>
      <c r="AP81" s="1009">
        <f>+AP82*AP31</f>
        <v>7.7857337349397611</v>
      </c>
      <c r="AQ81" s="1186">
        <f>+AQ82*AQ31</f>
        <v>30.308951807228919</v>
      </c>
      <c r="AR81" s="78"/>
      <c r="AS81" s="1008">
        <f>+AS82*AS31</f>
        <v>7.6815831325301209</v>
      </c>
      <c r="AT81" s="1008">
        <f>+AT82*AT31</f>
        <v>7.8695867469879532</v>
      </c>
      <c r="AU81" s="1008">
        <f>+AU82*AU31</f>
        <v>7.4472289156626523</v>
      </c>
      <c r="AV81" s="1009">
        <f>+AV82*AV31</f>
        <v>7.5976277108433754</v>
      </c>
      <c r="AW81" s="1186">
        <f>+AW82*AW31</f>
        <v>30.596026506024096</v>
      </c>
      <c r="AX81" s="78"/>
      <c r="AY81" s="1008">
        <f>+AY82*AY31</f>
        <v>6.7184843463702579</v>
      </c>
      <c r="AZ81" s="1008">
        <f>+AZ82*AZ31</f>
        <v>6.8452140224607083</v>
      </c>
      <c r="BA81" s="1008">
        <f>+BA82*BA31</f>
        <v>6.759805924475585</v>
      </c>
      <c r="BB81" s="1009">
        <f>+BB82*BB31</f>
        <v>6.9445421721379814</v>
      </c>
      <c r="BC81" s="1010">
        <f>+BC82*BC31</f>
        <v>27.268046465444534</v>
      </c>
      <c r="BD81" s="257"/>
      <c r="BE81" s="432"/>
      <c r="BF81" s="432"/>
      <c r="BG81" s="432"/>
      <c r="BH81" s="432"/>
      <c r="BI81" s="756"/>
      <c r="BJ81" s="257"/>
      <c r="BK81" s="432"/>
      <c r="BL81" s="432"/>
      <c r="BM81" s="432"/>
      <c r="BN81" s="432"/>
      <c r="BO81" s="756"/>
      <c r="BP81" s="257"/>
      <c r="BQ81" s="432"/>
      <c r="BR81" s="432"/>
      <c r="BS81" s="432"/>
      <c r="BT81" s="432"/>
      <c r="BU81" s="756"/>
      <c r="BV81" s="257"/>
      <c r="BW81" s="432"/>
      <c r="BX81" s="432"/>
      <c r="BY81" s="432"/>
      <c r="BZ81" s="432"/>
      <c r="CA81" s="756"/>
      <c r="CB81" s="257"/>
      <c r="CC81" s="432"/>
      <c r="CD81" s="432"/>
      <c r="CE81" s="432"/>
      <c r="CF81" s="432"/>
      <c r="CG81" s="756"/>
      <c r="CW81" s="257"/>
      <c r="CX81"/>
      <c r="CY81"/>
      <c r="CZ81"/>
      <c r="DA81"/>
      <c r="DB81"/>
      <c r="DC81"/>
      <c r="DD81"/>
      <c r="DE81"/>
      <c r="DF81"/>
      <c r="DG81"/>
      <c r="DH81"/>
      <c r="DI81"/>
      <c r="DJ81"/>
      <c r="DK81"/>
      <c r="DL81"/>
      <c r="DM81"/>
      <c r="DN81"/>
      <c r="DO81"/>
      <c r="DP81"/>
      <c r="DQ81"/>
      <c r="DR81"/>
      <c r="DS81"/>
      <c r="DT81"/>
      <c r="DU81"/>
      <c r="DV81"/>
      <c r="DW81"/>
      <c r="DX81"/>
      <c r="DY81"/>
      <c r="DZ81"/>
      <c r="EA81"/>
      <c r="EB81"/>
    </row>
    <row r="82" spans="1:132" s="965" customFormat="1" ht="22.5" hidden="1" outlineLevel="1" x14ac:dyDescent="0.2">
      <c r="B82" s="1231" t="s">
        <v>572</v>
      </c>
      <c r="C82" s="1003">
        <f>+I82</f>
        <v>0.3340611353711791</v>
      </c>
      <c r="D82" s="1003">
        <f>+J82</f>
        <v>0.3340611353711791</v>
      </c>
      <c r="E82" s="1003">
        <f>+K82</f>
        <v>0.3340611353711791</v>
      </c>
      <c r="F82" s="1000">
        <f>+L82</f>
        <v>0.3340611353711791</v>
      </c>
      <c r="G82" s="1001">
        <f>+M82</f>
        <v>0.3340611353711791</v>
      </c>
      <c r="H82" s="1230"/>
      <c r="I82" s="1003">
        <f>+O82</f>
        <v>0.3340611353711791</v>
      </c>
      <c r="J82" s="1003">
        <f>+P82</f>
        <v>0.3340611353711791</v>
      </c>
      <c r="K82" s="1003">
        <f>+Q82</f>
        <v>0.3340611353711791</v>
      </c>
      <c r="L82" s="1003">
        <f>+R82</f>
        <v>0.3340611353711791</v>
      </c>
      <c r="M82" s="1001">
        <f>+S82</f>
        <v>0.3340611353711791</v>
      </c>
      <c r="N82" s="1230"/>
      <c r="O82" s="1003">
        <f>+U82</f>
        <v>0.3340611353711791</v>
      </c>
      <c r="P82" s="1003">
        <f>+V82</f>
        <v>0.3340611353711791</v>
      </c>
      <c r="Q82" s="1003">
        <f>+W82</f>
        <v>0.3340611353711791</v>
      </c>
      <c r="R82" s="1000">
        <f>+X82</f>
        <v>0.3340611353711791</v>
      </c>
      <c r="S82" s="1001">
        <f>+Y82</f>
        <v>0.3340611353711791</v>
      </c>
      <c r="T82" s="1230"/>
      <c r="U82" s="1003">
        <f>+AA82</f>
        <v>0.3340611353711791</v>
      </c>
      <c r="V82" s="1003">
        <f>+AB82</f>
        <v>0.3340611353711791</v>
      </c>
      <c r="W82" s="1003">
        <f>+AC82</f>
        <v>0.3340611353711791</v>
      </c>
      <c r="X82" s="1000">
        <f>+AD82</f>
        <v>0.3340611353711791</v>
      </c>
      <c r="Y82" s="1001">
        <f>+AE82</f>
        <v>0.3340611353711791</v>
      </c>
      <c r="Z82" s="1230"/>
      <c r="AA82" s="1003">
        <f>+AG82</f>
        <v>0.3340611353711791</v>
      </c>
      <c r="AB82" s="1003">
        <f>+AH82</f>
        <v>0.3340611353711791</v>
      </c>
      <c r="AC82" s="1003">
        <f>+AI82</f>
        <v>0.3340611353711791</v>
      </c>
      <c r="AD82" s="1000">
        <f>+AJ82</f>
        <v>0.3340611353711791</v>
      </c>
      <c r="AE82" s="1001">
        <f>+AK82</f>
        <v>0.3340611353711791</v>
      </c>
      <c r="AF82" s="1230"/>
      <c r="AG82" s="1003">
        <f>+AM82</f>
        <v>0.3340611353711791</v>
      </c>
      <c r="AH82" s="1003">
        <f>+AN82</f>
        <v>0.3340611353711791</v>
      </c>
      <c r="AI82" s="1003">
        <f>+AO82</f>
        <v>0.3340611353711791</v>
      </c>
      <c r="AJ82" s="1003">
        <f>+AP82</f>
        <v>0.3340611353711791</v>
      </c>
      <c r="AK82" s="1001">
        <f>+AQ82</f>
        <v>0.3340611353711791</v>
      </c>
      <c r="AL82" s="1230"/>
      <c r="AM82" s="1003">
        <f>+AS82</f>
        <v>0.3340611353711791</v>
      </c>
      <c r="AN82" s="1003">
        <f>+AT82</f>
        <v>0.3340611353711791</v>
      </c>
      <c r="AO82" s="1003">
        <f>+AU82</f>
        <v>0.3340611353711791</v>
      </c>
      <c r="AP82" s="1003">
        <f>+AV82</f>
        <v>0.3340611353711791</v>
      </c>
      <c r="AQ82" s="1001">
        <f>+AW82</f>
        <v>0.3340611353711791</v>
      </c>
      <c r="AR82" s="1230"/>
      <c r="AS82" s="1003">
        <f>+AY82</f>
        <v>0.3340611353711791</v>
      </c>
      <c r="AT82" s="1003">
        <f>+AZ82</f>
        <v>0.3340611353711791</v>
      </c>
      <c r="AU82" s="1003">
        <f>+BA82</f>
        <v>0.3340611353711791</v>
      </c>
      <c r="AV82" s="1003">
        <f>+BB82</f>
        <v>0.3340611353711791</v>
      </c>
      <c r="AW82" s="1001">
        <f>+BC82</f>
        <v>0.3340611353711791</v>
      </c>
      <c r="AX82" s="1230"/>
      <c r="AY82" s="1003">
        <f>+AZ82</f>
        <v>0.3340611353711791</v>
      </c>
      <c r="AZ82" s="1003">
        <f>+BA82</f>
        <v>0.3340611353711791</v>
      </c>
      <c r="BA82" s="1003">
        <f>+BB82</f>
        <v>0.3340611353711791</v>
      </c>
      <c r="BB82" s="1003">
        <f>+BC82</f>
        <v>0.3340611353711791</v>
      </c>
      <c r="BC82" s="1001">
        <v>0.3340611353711791</v>
      </c>
      <c r="BD82" s="19"/>
      <c r="BE82" s="1212"/>
      <c r="BF82" s="973"/>
      <c r="BG82" s="19"/>
      <c r="BH82" s="19"/>
      <c r="BI82" s="765"/>
      <c r="BJ82" s="19"/>
      <c r="BK82" s="19"/>
      <c r="BL82" s="19"/>
      <c r="BM82" s="19"/>
      <c r="BN82" s="19"/>
      <c r="BO82" s="765"/>
      <c r="BQ82" s="970"/>
      <c r="BR82" s="970"/>
      <c r="BS82" s="970"/>
      <c r="BT82" s="970"/>
      <c r="BU82" s="765"/>
      <c r="BW82" s="970"/>
      <c r="BX82" s="970"/>
      <c r="BY82" s="970"/>
      <c r="BZ82" s="970"/>
      <c r="CA82" s="765"/>
      <c r="CC82" s="970"/>
      <c r="CD82" s="970"/>
      <c r="CE82" s="970"/>
      <c r="CF82" s="970"/>
      <c r="CG82" s="764"/>
      <c r="CN82" s="964"/>
      <c r="CO82" s="964"/>
      <c r="CP82" s="964"/>
      <c r="CQ82" s="964"/>
      <c r="CR82" s="964"/>
      <c r="CS82" s="964"/>
    </row>
    <row r="83" spans="1:132" s="52" customFormat="1" ht="12.75" hidden="1" customHeight="1" outlineLevel="1" x14ac:dyDescent="0.2">
      <c r="A83" s="121"/>
      <c r="B83" s="766" t="s">
        <v>550</v>
      </c>
      <c r="C83" s="1168">
        <v>-0.56599999999999895</v>
      </c>
      <c r="D83" s="1168">
        <v>-0.59699999999999775</v>
      </c>
      <c r="E83" s="1168">
        <v>-9.4160000000000004</v>
      </c>
      <c r="F83" s="1168">
        <v>-3.1660000000000039</v>
      </c>
      <c r="G83" s="593">
        <f>SUM(C83:F83)</f>
        <v>-13.745000000000001</v>
      </c>
      <c r="H83" s="24"/>
      <c r="I83" s="1168">
        <v>0.56200000000000117</v>
      </c>
      <c r="J83" s="1168">
        <v>1.1750000000000007</v>
      </c>
      <c r="K83" s="1168">
        <v>-15.309999999999999</v>
      </c>
      <c r="L83" s="1168">
        <v>-14.693000000000005</v>
      </c>
      <c r="M83" s="593">
        <f>SUM(I83:L83)</f>
        <v>-28.266000000000002</v>
      </c>
      <c r="N83" s="24"/>
      <c r="O83" s="1168">
        <v>-1.0310000000000024</v>
      </c>
      <c r="P83" s="1168">
        <v>-1.0360000000000014</v>
      </c>
      <c r="Q83" s="1168">
        <v>-3.0850000000000009</v>
      </c>
      <c r="R83" s="1168">
        <v>-3.6259999999999906</v>
      </c>
      <c r="S83" s="593">
        <f>SUM(O83:R83)</f>
        <v>-8.7779999999999951</v>
      </c>
      <c r="T83" s="24"/>
      <c r="U83" s="1168">
        <v>-1.4369999999999976</v>
      </c>
      <c r="V83" s="1168">
        <v>5.1999999999999602E-2</v>
      </c>
      <c r="W83" s="1168">
        <v>-0.85300000000000153</v>
      </c>
      <c r="X83" s="1168">
        <v>-1.0470000000000041</v>
      </c>
      <c r="Y83" s="593">
        <f>SUM(U83:X83)</f>
        <v>-3.2850000000000037</v>
      </c>
      <c r="Z83" s="24"/>
      <c r="AA83" s="1168">
        <v>-0.83099999999999952</v>
      </c>
      <c r="AB83" s="1168">
        <v>-2.1159999999999997</v>
      </c>
      <c r="AC83" s="1168">
        <v>-61.511000000000003</v>
      </c>
      <c r="AD83" s="1168">
        <v>-10.666</v>
      </c>
      <c r="AE83" s="593">
        <f>SUM(AA83:AD83)</f>
        <v>-75.123999999999995</v>
      </c>
      <c r="AF83" s="24"/>
      <c r="AG83" s="1168">
        <v>-8.0070000000000014</v>
      </c>
      <c r="AH83" s="1168">
        <v>-11.991</v>
      </c>
      <c r="AI83" s="1168">
        <v>-3.8469999999999978</v>
      </c>
      <c r="AJ83" s="1168">
        <v>-66.137</v>
      </c>
      <c r="AK83" s="593">
        <f>SUM(AG83:AJ83)</f>
        <v>-89.981999999999999</v>
      </c>
      <c r="AL83" s="24"/>
      <c r="AM83" s="1168">
        <v>-17.691000000000003</v>
      </c>
      <c r="AN83" s="1168">
        <v>-4.5779999999999994</v>
      </c>
      <c r="AO83" s="1168">
        <v>-10.712999999999999</v>
      </c>
      <c r="AP83" s="1168">
        <v>-10.691999999999998</v>
      </c>
      <c r="AQ83" s="593">
        <f>SUM(AM83:AP83)</f>
        <v>-43.673999999999999</v>
      </c>
      <c r="AR83" s="24"/>
      <c r="AS83" s="1168">
        <v>-2.6769999999999996</v>
      </c>
      <c r="AT83" s="1168">
        <v>-3.0330000000000013</v>
      </c>
      <c r="AU83" s="1168">
        <v>-5.3290000000000006</v>
      </c>
      <c r="AV83" s="1168">
        <v>-12.864000000000004</v>
      </c>
      <c r="AW83" s="593">
        <f>SUM(AS83:AV83)</f>
        <v>-23.903000000000006</v>
      </c>
      <c r="AX83" s="24"/>
      <c r="AY83" s="1168">
        <v>-5.9469999999999992</v>
      </c>
      <c r="AZ83" s="1168">
        <v>-5.6650000000000027</v>
      </c>
      <c r="BA83" s="1168">
        <v>-7.5999999999999979</v>
      </c>
      <c r="BB83" s="1168">
        <v>-14.228000000000002</v>
      </c>
      <c r="BC83" s="593">
        <f>SUM(AY83:BB83)</f>
        <v>-33.44</v>
      </c>
      <c r="BD83" s="257"/>
      <c r="BE83" s="432"/>
      <c r="BF83" s="432"/>
      <c r="BG83" s="432"/>
      <c r="BH83" s="432"/>
      <c r="BI83" s="756"/>
      <c r="BJ83" s="257"/>
      <c r="BK83" s="432"/>
      <c r="BL83" s="432"/>
      <c r="BM83" s="432"/>
      <c r="BN83" s="432"/>
      <c r="BO83" s="756"/>
      <c r="BP83" s="257"/>
      <c r="BQ83" s="432"/>
      <c r="BR83" s="432"/>
      <c r="BS83" s="432"/>
      <c r="BT83" s="432"/>
      <c r="BU83" s="756"/>
      <c r="BV83" s="257"/>
      <c r="BW83" s="432"/>
      <c r="BX83" s="432"/>
      <c r="BY83" s="432"/>
      <c r="BZ83" s="432"/>
      <c r="CA83" s="756"/>
      <c r="CB83" s="257"/>
      <c r="CC83" s="432"/>
      <c r="CD83" s="432"/>
      <c r="CE83" s="432"/>
      <c r="CF83" s="432"/>
      <c r="CG83" s="756"/>
      <c r="CW83" s="257"/>
      <c r="CX83"/>
      <c r="CY83"/>
      <c r="CZ83"/>
      <c r="DA83"/>
      <c r="DB83"/>
      <c r="DC83"/>
      <c r="DD83"/>
      <c r="DE83"/>
      <c r="DF83"/>
      <c r="DG83"/>
      <c r="DH83"/>
      <c r="DI83"/>
      <c r="DJ83"/>
      <c r="DK83"/>
      <c r="DL83"/>
      <c r="DM83"/>
      <c r="DN83"/>
      <c r="DO83"/>
      <c r="DP83"/>
      <c r="DQ83"/>
      <c r="DR83"/>
      <c r="DS83"/>
      <c r="DT83"/>
      <c r="DU83"/>
      <c r="DV83"/>
      <c r="DW83"/>
      <c r="DX83"/>
      <c r="DY83"/>
      <c r="DZ83"/>
      <c r="EA83"/>
      <c r="EB83"/>
    </row>
    <row r="84" spans="1:132" ht="12.75" hidden="1" customHeight="1" outlineLevel="1" x14ac:dyDescent="0.2">
      <c r="A84" s="290"/>
      <c r="B84" s="766" t="s">
        <v>551</v>
      </c>
      <c r="C84" s="743">
        <v>-5.7000066445182727</v>
      </c>
      <c r="D84" s="743">
        <v>-7.4734500000000068</v>
      </c>
      <c r="E84" s="743">
        <v>6.7972641517637644</v>
      </c>
      <c r="F84" s="743">
        <v>-3.2027847446186297</v>
      </c>
      <c r="G84" s="645">
        <f>SUM(C84:F84)</f>
        <v>-9.5789772373731434</v>
      </c>
      <c r="H84" s="178"/>
      <c r="I84" s="743">
        <v>0.22866159263885644</v>
      </c>
      <c r="J84" s="743">
        <v>-11.767644201042307</v>
      </c>
      <c r="K84" s="743">
        <v>-7.0135200177935886</v>
      </c>
      <c r="L84" s="743">
        <v>-1.9178739038738879</v>
      </c>
      <c r="M84" s="645">
        <f>SUM(I84:L84)</f>
        <v>-20.470376530070929</v>
      </c>
      <c r="N84" s="178"/>
      <c r="O84" s="743">
        <v>-7.031338198724197</v>
      </c>
      <c r="P84" s="743">
        <v>-2.6651251127188829</v>
      </c>
      <c r="Q84" s="743">
        <v>1.1942361457860944</v>
      </c>
      <c r="R84" s="743">
        <v>-7.1050000000000058</v>
      </c>
      <c r="S84" s="645">
        <f>SUM(O84:R84)</f>
        <v>-15.60722716565699</v>
      </c>
      <c r="T84" s="178"/>
      <c r="U84" s="743">
        <v>-9.6698265627019406</v>
      </c>
      <c r="V84" s="743">
        <v>-8.3256729149917454</v>
      </c>
      <c r="W84" s="743">
        <v>2.9986633496583996</v>
      </c>
      <c r="X84" s="743">
        <v>-4.96440264956661</v>
      </c>
      <c r="Y84" s="645">
        <f>SUM(U84:X84)</f>
        <v>-19.961238777601892</v>
      </c>
      <c r="Z84" s="178"/>
      <c r="AA84" s="743">
        <v>0.7282945817380293</v>
      </c>
      <c r="AB84" s="743">
        <v>-1.9738538140326156</v>
      </c>
      <c r="AC84" s="743">
        <v>-8.8085118671047535</v>
      </c>
      <c r="AD84" s="743">
        <v>-6.3146980144138816</v>
      </c>
      <c r="AE84" s="645">
        <f>SUM(AA84:AD84)</f>
        <v>-16.368769113813222</v>
      </c>
      <c r="AF84" s="178"/>
      <c r="AG84" s="743">
        <v>0.13519293286218892</v>
      </c>
      <c r="AH84" s="743">
        <v>-6.5007285303175353</v>
      </c>
      <c r="AI84" s="743">
        <v>-1.5977320705610245</v>
      </c>
      <c r="AJ84" s="743">
        <v>1.4390000000000422</v>
      </c>
      <c r="AK84" s="645">
        <f>SUM(AG84:AJ84)</f>
        <v>-6.5242676680163285</v>
      </c>
      <c r="AL84" s="178"/>
      <c r="AM84" s="743">
        <v>0.70299999999999296</v>
      </c>
      <c r="AN84" s="743">
        <v>0.2720000000000013</v>
      </c>
      <c r="AO84" s="743">
        <v>-1.539000000000001</v>
      </c>
      <c r="AP84" s="743">
        <v>-0.97200000000000042</v>
      </c>
      <c r="AQ84" s="645">
        <f>SUM(AM84:AP84)</f>
        <v>-1.5360000000000071</v>
      </c>
      <c r="AR84" s="178"/>
      <c r="AS84" s="743">
        <v>-2.9</v>
      </c>
      <c r="AT84" s="743">
        <v>-2.9500000000000073</v>
      </c>
      <c r="AU84" s="743">
        <v>0.50000000000000711</v>
      </c>
      <c r="AV84" s="743">
        <v>-0.49999999999999711</v>
      </c>
      <c r="AW84" s="645">
        <f>SUM(AS84:AV84)</f>
        <v>-5.849999999999997</v>
      </c>
      <c r="AX84" s="178"/>
      <c r="AY84" s="743">
        <v>-0.19999999999998719</v>
      </c>
      <c r="AZ84" s="743">
        <v>-0.80000000000001992</v>
      </c>
      <c r="BA84" s="743">
        <v>6.9000000000000039</v>
      </c>
      <c r="BB84" s="743">
        <v>-2.6999999999999957</v>
      </c>
      <c r="BC84" s="645">
        <f>SUM(AY84:BB84)</f>
        <v>3.2000000000000011</v>
      </c>
      <c r="BD84" s="57"/>
      <c r="BE84" s="288"/>
      <c r="BF84" s="288"/>
      <c r="BG84" s="288"/>
      <c r="BH84" s="288"/>
      <c r="BI84" s="644"/>
      <c r="BJ84" s="57"/>
      <c r="BK84" s="288"/>
      <c r="BL84" s="288"/>
      <c r="BM84" s="288"/>
      <c r="BN84" s="288"/>
      <c r="BO84" s="644"/>
      <c r="BP84" s="57"/>
      <c r="BQ84" s="288"/>
      <c r="BR84" s="288"/>
      <c r="BS84" s="288"/>
      <c r="BT84" s="288"/>
      <c r="BU84" s="644"/>
      <c r="BV84" s="57"/>
      <c r="BW84" s="288"/>
      <c r="BX84" s="288"/>
      <c r="BY84" s="288"/>
      <c r="BZ84" s="288"/>
      <c r="CA84" s="644"/>
      <c r="CB84" s="57"/>
      <c r="CC84" s="288"/>
      <c r="CD84" s="288"/>
      <c r="CE84" s="288"/>
      <c r="CF84" s="288"/>
      <c r="CG84" s="644"/>
      <c r="CW84" s="57"/>
    </row>
    <row r="85" spans="1:132" collapsed="1" x14ac:dyDescent="0.2">
      <c r="A85" s="300"/>
      <c r="B85" s="176" t="s">
        <v>213</v>
      </c>
      <c r="C85" s="178">
        <f>C77+C78+C79+C81-C83-C84</f>
        <v>30.096790440103295</v>
      </c>
      <c r="D85" s="178">
        <f>D77+D78+D79+D81-D83-D84</f>
        <v>36.780165056197944</v>
      </c>
      <c r="E85" s="178">
        <f>E77+E78+E79+E81-E83-E84</f>
        <v>-9.2876197594293259</v>
      </c>
      <c r="F85" s="178">
        <f>F77+F78+F79+F81-F83-F84</f>
        <v>37.625023978062472</v>
      </c>
      <c r="G85" s="470">
        <f>G77+G78+G79+G81-G83-G84</f>
        <v>95.214359714934389</v>
      </c>
      <c r="H85" s="711"/>
      <c r="I85" s="178">
        <f>I77+I78+I79+I81-I83-I84</f>
        <v>28.374456754575501</v>
      </c>
      <c r="J85" s="178">
        <f>J77+J78+J79+J81-J83-J84</f>
        <v>42.492085108295477</v>
      </c>
      <c r="K85" s="178">
        <f>K77+K78+K79+K81-K83-K84</f>
        <v>30.158855361854396</v>
      </c>
      <c r="L85" s="178">
        <f>L77+L78+L79+L81-L83-L84</f>
        <v>26.267740047643599</v>
      </c>
      <c r="M85" s="470">
        <f>M77+M78+M79+M81-M83-M84</f>
        <v>127.29313727236897</v>
      </c>
      <c r="N85" s="711"/>
      <c r="O85" s="178">
        <f>O77+O78+O79+O81-O83-O84</f>
        <v>29.445926821672366</v>
      </c>
      <c r="P85" s="178">
        <f>P77+P78+P79+P81-P83-P84</f>
        <v>32.581651772377654</v>
      </c>
      <c r="Q85" s="178">
        <f>Q77+Q78+Q79+Q81-Q83-Q84</f>
        <v>22.35493632126331</v>
      </c>
      <c r="R85" s="178">
        <f>R77+R78+R79+R81-R83-R84</f>
        <v>39.767700226408991</v>
      </c>
      <c r="S85" s="470">
        <f>S77+S78+S79+S81-S83-S84</f>
        <v>124.15021514172231</v>
      </c>
      <c r="T85" s="711"/>
      <c r="U85" s="178">
        <f>U77+U78+U79+U81-U83-U84</f>
        <v>36.109358737036864</v>
      </c>
      <c r="V85" s="178">
        <f>V77+V78+V79+V81-V83-V84</f>
        <v>35.74970542894016</v>
      </c>
      <c r="W85" s="178">
        <f>W77+W78+W79+W81-W83-W84</f>
        <v>24.707224068470488</v>
      </c>
      <c r="X85" s="178">
        <f>X77+X78+X79+X81-X83-X84</f>
        <v>37.176965437631615</v>
      </c>
      <c r="Y85" s="470">
        <f>Y77+Y78+Y79+Y81-Y83-Y84</f>
        <v>133.74325367207911</v>
      </c>
      <c r="Z85" s="711"/>
      <c r="AA85" s="178">
        <f>AA77+AA78+AA79+AA81-AA83-AA84</f>
        <v>30.435603323978796</v>
      </c>
      <c r="AB85" s="178">
        <f>AB77+AB78+AB79+AB81-AB83-AB84</f>
        <v>31.719071021115983</v>
      </c>
      <c r="AC85" s="178">
        <f>AC77+AC78+AC79+AC81-AC83-AC84</f>
        <v>48.954141041520543</v>
      </c>
      <c r="AD85" s="178">
        <f>AD77+AD78+AD79+AD81-AD83-AD84</f>
        <v>41.162229242682656</v>
      </c>
      <c r="AE85" s="470">
        <f>AE77+AE78+AE79+AE81-AE83-AE84</f>
        <v>152.27104462929796</v>
      </c>
      <c r="AF85" s="711"/>
      <c r="AG85" s="178">
        <f>AG77+AG78+AG79+AG81-AG83-AG84</f>
        <v>34.132829627176626</v>
      </c>
      <c r="AH85" s="178">
        <f>AH77+AH78+AH79+AH81-AH83-AH84</f>
        <v>44.604603067392013</v>
      </c>
      <c r="AI85" s="178">
        <f>AI77+AI78+AI79+AI81-AI83-AI84</f>
        <v>36.727918065547676</v>
      </c>
      <c r="AJ85" s="178">
        <f>AJ77+AJ78+AJ79+AJ81-AJ83-AJ84</f>
        <v>53.519764251637383</v>
      </c>
      <c r="AK85" s="470">
        <f>AK77+AK78+AK79+AK81-AK83-AK84</f>
        <v>168.98511501175372</v>
      </c>
      <c r="AL85" s="711"/>
      <c r="AM85" s="178">
        <f>AM77+AM78+AM79+AM81-AM83-AM84</f>
        <v>35.340035586641875</v>
      </c>
      <c r="AN85" s="178">
        <f>AN77+AN78+AN79+AN81-AN83-AN84</f>
        <v>39.486316915986102</v>
      </c>
      <c r="AO85" s="178">
        <f>AO77+AO78+AO79+AO81-AO83-AO84</f>
        <v>37.893100468990056</v>
      </c>
      <c r="AP85" s="178">
        <f>AP77+AP78+AP79+AP81-AP83-AP84</f>
        <v>39.78775386916795</v>
      </c>
      <c r="AQ85" s="470">
        <f>AQ77+AQ78+AQ79+AQ81-AQ83-AQ84</f>
        <v>152.50720684078595</v>
      </c>
      <c r="AR85" s="711"/>
      <c r="AS85" s="178">
        <f>AS77+AS78+AS79+AS81-AS83-AS84</f>
        <v>39.617509307026765</v>
      </c>
      <c r="AT85" s="178">
        <f>AT77+AT78+AT79+AT81-AT83-AT84</f>
        <v>46.265606881216158</v>
      </c>
      <c r="AU85" s="178">
        <f>AU77+AU78+AU79+AU81-AU83-AU84</f>
        <v>37.591665157273383</v>
      </c>
      <c r="AV85" s="178">
        <f>AV77+AV78+AV79+AV81-AV83-AV84</f>
        <v>40.54404381822593</v>
      </c>
      <c r="AW85" s="470">
        <f>AW77+AW78+AW79+AW81-AW83-AW84</f>
        <v>164.01882516374221</v>
      </c>
      <c r="AX85" s="711"/>
      <c r="AY85" s="178">
        <f>AY77+AY78+AY79+AY81-AY83-AY84</f>
        <v>36.548645972079129</v>
      </c>
      <c r="AZ85" s="178">
        <f>AZ77+AZ78+AZ79+AZ81-AZ83-AZ84</f>
        <v>47.3138765933492</v>
      </c>
      <c r="BA85" s="178">
        <f>BA77+BA78+BA79+BA81-BA83-BA84</f>
        <v>32.857726529390519</v>
      </c>
      <c r="BB85" s="178">
        <f>BB77+BB78+BB79+BB81-BB83-BB84</f>
        <v>47.251407956637031</v>
      </c>
      <c r="BC85" s="470">
        <f>BC77+BC78+BC79+BC81-BC83-BC84</f>
        <v>163.97165705145591</v>
      </c>
      <c r="BD85" s="711"/>
      <c r="BE85" s="178">
        <f>BE74*BE75</f>
        <v>44.920286094208578</v>
      </c>
      <c r="BF85" s="178">
        <f>BF74*BF75</f>
        <v>54.3</v>
      </c>
      <c r="BG85" s="178">
        <f>BG74*BG75</f>
        <v>31.157183865187339</v>
      </c>
      <c r="BH85" s="178">
        <f>BH74*BH75</f>
        <v>39.985909115367939</v>
      </c>
      <c r="BI85" s="470">
        <f>SUM(BE85:BH85)</f>
        <v>170.36337907476386</v>
      </c>
      <c r="BJ85" s="711"/>
      <c r="BK85" s="178">
        <f>BK74*BK75</f>
        <v>26.623747510668569</v>
      </c>
      <c r="BL85" s="178">
        <f>BL74*BL75</f>
        <v>30.005430323299883</v>
      </c>
      <c r="BM85" s="178">
        <f>BM74*BM75</f>
        <v>37.08130989065608</v>
      </c>
      <c r="BN85" s="178">
        <f>BN74*BN75</f>
        <v>37.343405944517826</v>
      </c>
      <c r="BO85" s="470">
        <f>SUM(BK85:BN85)</f>
        <v>131.05389366914235</v>
      </c>
      <c r="BP85" s="711"/>
      <c r="BQ85" s="178">
        <f>BQ74*BQ75</f>
        <v>29.272308999999982</v>
      </c>
      <c r="BR85" s="178">
        <f>BR74*BR75</f>
        <v>40.505775030537784</v>
      </c>
      <c r="BS85" s="178">
        <f>BS74*BS75</f>
        <v>47.191646659133184</v>
      </c>
      <c r="BT85" s="178">
        <f>BT74*BT75</f>
        <v>54.258285354474111</v>
      </c>
      <c r="BU85" s="470">
        <f>SUM(BQ85:BT85)</f>
        <v>171.22801604414508</v>
      </c>
      <c r="BV85" s="711"/>
      <c r="BW85" s="178">
        <f>BW74*BW75</f>
        <v>41.687711890291659</v>
      </c>
      <c r="BX85" s="178">
        <f>BX74*BX75</f>
        <v>49.279407197867386</v>
      </c>
      <c r="BY85" s="178">
        <f>BY74*BY75</f>
        <v>50.427291254668866</v>
      </c>
      <c r="BZ85" s="178">
        <f>BZ74*BZ75</f>
        <v>53.81272774232081</v>
      </c>
      <c r="CA85" s="470">
        <f>SUM(BW85:BZ85)</f>
        <v>195.20713808514873</v>
      </c>
      <c r="CB85" s="711"/>
      <c r="CC85" s="178">
        <f>CC74*CC75</f>
        <v>45.871789647442029</v>
      </c>
      <c r="CD85" s="178">
        <f>CD74*CD75</f>
        <v>53.976211687256345</v>
      </c>
      <c r="CE85" s="178">
        <f>CE74*CE75</f>
        <v>55.1569969115058</v>
      </c>
      <c r="CF85" s="178">
        <f>CF74*CF75</f>
        <v>58.921894248769775</v>
      </c>
      <c r="CG85" s="470">
        <f>SUM(CC85:CF85)</f>
        <v>213.92689249497397</v>
      </c>
      <c r="CW85" s="711"/>
    </row>
    <row r="86" spans="1:132" ht="12.75" hidden="1" customHeight="1" outlineLevel="1" x14ac:dyDescent="0.2">
      <c r="A86" s="300"/>
      <c r="B86" s="766" t="s">
        <v>574</v>
      </c>
      <c r="C86" s="743">
        <v>0</v>
      </c>
      <c r="D86" s="743">
        <v>0</v>
      </c>
      <c r="E86" s="743">
        <v>0</v>
      </c>
      <c r="F86" s="743">
        <v>0</v>
      </c>
      <c r="G86" s="593">
        <f>SUM(C86:F86)</f>
        <v>0</v>
      </c>
      <c r="I86" s="743">
        <v>0</v>
      </c>
      <c r="J86" s="743">
        <v>0</v>
      </c>
      <c r="K86" s="743">
        <v>0</v>
      </c>
      <c r="L86" s="743">
        <v>0</v>
      </c>
      <c r="M86" s="593">
        <f>SUM(I86:L86)</f>
        <v>0</v>
      </c>
      <c r="O86" s="743">
        <v>0</v>
      </c>
      <c r="P86" s="743">
        <v>0</v>
      </c>
      <c r="Q86" s="743">
        <v>0</v>
      </c>
      <c r="R86" s="743">
        <v>0</v>
      </c>
      <c r="S86" s="593">
        <f>SUM(O86:R86)</f>
        <v>0</v>
      </c>
      <c r="U86" s="743">
        <v>0</v>
      </c>
      <c r="V86" s="743">
        <v>0</v>
      </c>
      <c r="W86" s="743">
        <v>0</v>
      </c>
      <c r="X86" s="743">
        <f>1.096-W86-V86-U86</f>
        <v>1.0960000000000001</v>
      </c>
      <c r="Y86" s="593">
        <f>SUM(U86:X86)</f>
        <v>1.0960000000000001</v>
      </c>
      <c r="AA86" s="743">
        <v>0.82399999999999995</v>
      </c>
      <c r="AB86" s="743">
        <v>-0.91700000000000004</v>
      </c>
      <c r="AC86" s="743">
        <v>-1.597</v>
      </c>
      <c r="AD86" s="743">
        <f>-2.351-AC86-AB86-AA86</f>
        <v>-0.66099999999999992</v>
      </c>
      <c r="AE86" s="593">
        <f>SUM(AA86:AD86)</f>
        <v>-2.351</v>
      </c>
      <c r="AG86" s="743">
        <v>4.2480000000000002</v>
      </c>
      <c r="AH86" s="743">
        <v>-1.329</v>
      </c>
      <c r="AI86" s="743">
        <v>2.5289999999999999</v>
      </c>
      <c r="AJ86" s="743">
        <f>3.27-AI86-AH86-AG86</f>
        <v>-2.1779999999999999</v>
      </c>
      <c r="AK86" s="593">
        <f>SUM(AG86:AJ86)</f>
        <v>3.2700000000000005</v>
      </c>
      <c r="AM86" s="743">
        <v>1.7789999999999999</v>
      </c>
      <c r="AN86" s="743">
        <v>-2.1819999999999999</v>
      </c>
      <c r="AO86" s="743">
        <v>8.3000000000000004E-2</v>
      </c>
      <c r="AP86" s="743">
        <f>-0.976-AO86-AN86-AM86</f>
        <v>-0.65599999999999992</v>
      </c>
      <c r="AQ86" s="593">
        <f>SUM(AM86:AP86)</f>
        <v>-0.97599999999999998</v>
      </c>
      <c r="AS86" s="743">
        <v>0.28999999999999998</v>
      </c>
      <c r="AT86" s="743">
        <v>0.36699999999999999</v>
      </c>
      <c r="AU86" s="743">
        <v>1</v>
      </c>
      <c r="AV86" s="743">
        <f>0.34-AU86-AT86-AS86</f>
        <v>-1.3169999999999999</v>
      </c>
      <c r="AW86" s="593">
        <f>SUM(AS86:AV86)</f>
        <v>0.34000000000000008</v>
      </c>
      <c r="AY86" s="743">
        <v>4.367</v>
      </c>
      <c r="AZ86" s="743">
        <v>8.1739999999999995</v>
      </c>
      <c r="BA86" s="743">
        <v>-10.8</v>
      </c>
      <c r="BB86" s="743">
        <f>1.6-BA86-AZ86-AY86</f>
        <v>-0.14099999999999913</v>
      </c>
      <c r="BC86" s="593">
        <f>SUM(AY86:BB86)</f>
        <v>1.6000000000000005</v>
      </c>
      <c r="BD86" s="711"/>
      <c r="BE86" s="178"/>
      <c r="BF86" s="178"/>
      <c r="BG86" s="178"/>
      <c r="BH86" s="178"/>
      <c r="BI86" s="470"/>
      <c r="BJ86" s="711"/>
      <c r="BK86" s="178"/>
      <c r="BL86" s="178"/>
      <c r="BM86" s="178"/>
      <c r="BN86" s="178"/>
      <c r="BO86" s="470"/>
      <c r="BP86" s="711"/>
      <c r="BQ86" s="178"/>
      <c r="BR86" s="178"/>
      <c r="BS86" s="178"/>
      <c r="BT86" s="178"/>
      <c r="BU86" s="470"/>
      <c r="BV86" s="711"/>
      <c r="BW86" s="178"/>
      <c r="BX86" s="178"/>
      <c r="BY86" s="178"/>
      <c r="BZ86" s="178"/>
      <c r="CA86" s="470"/>
      <c r="CB86" s="711"/>
      <c r="CC86" s="178"/>
      <c r="CD86" s="178"/>
      <c r="CE86" s="178"/>
      <c r="CF86" s="178"/>
      <c r="CG86" s="470"/>
      <c r="CW86" s="711"/>
    </row>
    <row r="87" spans="1:132" ht="12.75" hidden="1" customHeight="1" outlineLevel="1" x14ac:dyDescent="0.2">
      <c r="A87" s="300"/>
      <c r="B87" s="766" t="s">
        <v>550</v>
      </c>
      <c r="C87" s="178">
        <f>C86-'P&amp;L'!C28</f>
        <v>0</v>
      </c>
      <c r="D87" s="178">
        <f>D86-'P&amp;L'!D28</f>
        <v>0</v>
      </c>
      <c r="E87" s="178">
        <f>E86-'P&amp;L'!E28</f>
        <v>0</v>
      </c>
      <c r="F87" s="178">
        <f>F86-'P&amp;L'!F28</f>
        <v>0</v>
      </c>
      <c r="G87" s="593">
        <f>SUM(C87:F87)</f>
        <v>0</v>
      </c>
      <c r="I87" s="178">
        <f>I86-'P&amp;L'!I28</f>
        <v>0</v>
      </c>
      <c r="J87" s="178">
        <f>J86-'P&amp;L'!J28</f>
        <v>1.839</v>
      </c>
      <c r="K87" s="178">
        <f>K86-'P&amp;L'!K28</f>
        <v>0</v>
      </c>
      <c r="L87" s="178">
        <f>L86-'P&amp;L'!L28</f>
        <v>0</v>
      </c>
      <c r="M87" s="593">
        <f>SUM(I87:L87)</f>
        <v>1.839</v>
      </c>
      <c r="O87" s="178">
        <f>O86-'P&amp;L'!O28</f>
        <v>0</v>
      </c>
      <c r="P87" s="178">
        <f>P86-'P&amp;L'!P28</f>
        <v>0</v>
      </c>
      <c r="Q87" s="178">
        <f>Q86-'P&amp;L'!Q28</f>
        <v>0</v>
      </c>
      <c r="R87" s="178">
        <f>R86-'P&amp;L'!R28</f>
        <v>0</v>
      </c>
      <c r="S87" s="593">
        <f>SUM(O87:R87)</f>
        <v>0</v>
      </c>
      <c r="U87" s="178">
        <f>U86-'P&amp;L'!U28</f>
        <v>0</v>
      </c>
      <c r="V87" s="178">
        <f>V86-'P&amp;L'!V28</f>
        <v>0</v>
      </c>
      <c r="W87" s="178">
        <f>W86-'P&amp;L'!W28</f>
        <v>0</v>
      </c>
      <c r="X87" s="178">
        <f>X86-'P&amp;L'!X28</f>
        <v>1.0610000000000002</v>
      </c>
      <c r="Y87" s="593">
        <f>SUM(U87:X87)</f>
        <v>1.0610000000000002</v>
      </c>
      <c r="AA87" s="178">
        <f>AA86-'P&amp;L'!AA28</f>
        <v>0.72699999999999987</v>
      </c>
      <c r="AB87" s="178">
        <f>AB86-'P&amp;L'!AB28</f>
        <v>-0.65300000000000002</v>
      </c>
      <c r="AC87" s="178">
        <f>AC86-'P&amp;L'!AC28</f>
        <v>-0.90500000000000003</v>
      </c>
      <c r="AD87" s="178">
        <f>AD86-'P&amp;L'!AD28</f>
        <v>-0.88900000000000001</v>
      </c>
      <c r="AE87" s="593">
        <f>SUM(AA87:AD87)</f>
        <v>-1.7200000000000002</v>
      </c>
      <c r="AG87" s="178">
        <f>AG86-'P&amp;L'!AG28</f>
        <v>4.0310000000000006</v>
      </c>
      <c r="AH87" s="178">
        <f>AH86-'P&amp;L'!AH28</f>
        <v>-1.663</v>
      </c>
      <c r="AI87" s="178">
        <f>AI86-'P&amp;L'!AI28</f>
        <v>3.0880000000000001</v>
      </c>
      <c r="AJ87" s="178">
        <f>AJ86-'P&amp;L'!AJ28</f>
        <v>-2.0329999999999999</v>
      </c>
      <c r="AK87" s="593">
        <f>SUM(AG87:AJ87)</f>
        <v>3.4230000000000005</v>
      </c>
      <c r="AM87" s="178">
        <f>AM86-'P&amp;L'!AM28</f>
        <v>1.653</v>
      </c>
      <c r="AN87" s="178">
        <f>AN86-'P&amp;L'!AN28</f>
        <v>-1.9489999999999998</v>
      </c>
      <c r="AO87" s="178">
        <f>AO86-'P&amp;L'!AO28</f>
        <v>0.98899999999999999</v>
      </c>
      <c r="AP87" s="178">
        <f>AP86-'P&amp;L'!AP28</f>
        <v>-1.4569999999999999</v>
      </c>
      <c r="AQ87" s="593">
        <f>SUM(AM87:AP87)</f>
        <v>-0.76399999999999968</v>
      </c>
      <c r="AS87" s="178">
        <f>AS86-'P&amp;L'!AS28</f>
        <v>0.94100000000000006</v>
      </c>
      <c r="AT87" s="178">
        <f>AT86-'P&amp;L'!AT28</f>
        <v>1.504</v>
      </c>
      <c r="AU87" s="178">
        <f>AU86-'P&amp;L'!AU28</f>
        <v>1.746</v>
      </c>
      <c r="AV87" s="178">
        <f>AV86-'P&amp;L'!AV28</f>
        <v>-2.3289999999999997</v>
      </c>
      <c r="AW87" s="593">
        <f>SUM(AS87:AV87)</f>
        <v>1.862000000000001</v>
      </c>
      <c r="AY87" s="178">
        <f>AY86-'P&amp;L'!AY28</f>
        <v>4.1449999999999996</v>
      </c>
      <c r="AZ87" s="178">
        <f>AZ86-'P&amp;L'!AZ28</f>
        <v>7.9889999999999999</v>
      </c>
      <c r="BA87" s="178">
        <f>BA86-'P&amp;L'!BA28</f>
        <v>-11</v>
      </c>
      <c r="BB87" s="178">
        <f>BB86-'P&amp;L'!BB28</f>
        <v>-0.24099999999999913</v>
      </c>
      <c r="BC87" s="593">
        <f>SUM(AY87:BB87)</f>
        <v>0.89300000000000124</v>
      </c>
      <c r="BD87" s="711"/>
      <c r="BE87" s="178"/>
      <c r="BF87" s="178"/>
      <c r="BG87" s="178"/>
      <c r="BH87" s="178"/>
      <c r="BI87" s="470"/>
      <c r="BJ87" s="711"/>
      <c r="BK87" s="178"/>
      <c r="BL87" s="178"/>
      <c r="BM87" s="178"/>
      <c r="BN87" s="178"/>
      <c r="BO87" s="470"/>
      <c r="BP87" s="711"/>
      <c r="BQ87" s="178"/>
      <c r="BR87" s="178"/>
      <c r="BS87" s="178"/>
      <c r="BT87" s="178"/>
      <c r="BU87" s="470"/>
      <c r="BV87" s="711"/>
      <c r="BW87" s="178"/>
      <c r="BX87" s="178"/>
      <c r="BY87" s="178"/>
      <c r="BZ87" s="178"/>
      <c r="CA87" s="470"/>
      <c r="CB87" s="711"/>
      <c r="CC87" s="178"/>
      <c r="CD87" s="178"/>
      <c r="CE87" s="178"/>
      <c r="CF87" s="178"/>
      <c r="CG87" s="470"/>
      <c r="CW87" s="711"/>
    </row>
    <row r="88" spans="1:132" collapsed="1" x14ac:dyDescent="0.2">
      <c r="A88" s="292"/>
      <c r="B88" s="176" t="s">
        <v>67</v>
      </c>
      <c r="C88" s="653">
        <f>C86-C87</f>
        <v>0</v>
      </c>
      <c r="D88" s="653">
        <f>D86-D87</f>
        <v>0</v>
      </c>
      <c r="E88" s="653">
        <f>E86-E87</f>
        <v>0</v>
      </c>
      <c r="F88" s="653">
        <f>F86-F87</f>
        <v>0</v>
      </c>
      <c r="G88" s="470">
        <f>G86-G87</f>
        <v>0</v>
      </c>
      <c r="H88" s="57"/>
      <c r="I88" s="653">
        <f>I86-I87</f>
        <v>0</v>
      </c>
      <c r="J88" s="653">
        <f>J86-J87</f>
        <v>-1.839</v>
      </c>
      <c r="K88" s="653">
        <f>K86-K87</f>
        <v>0</v>
      </c>
      <c r="L88" s="653">
        <f>L86-L87</f>
        <v>0</v>
      </c>
      <c r="M88" s="470">
        <f>M86-M87</f>
        <v>-1.839</v>
      </c>
      <c r="N88" s="57"/>
      <c r="O88" s="653">
        <f>O86-O87</f>
        <v>0</v>
      </c>
      <c r="P88" s="653">
        <f>P86-P87</f>
        <v>0</v>
      </c>
      <c r="Q88" s="653">
        <f>Q86-Q87</f>
        <v>0</v>
      </c>
      <c r="R88" s="653">
        <f>R86-R87</f>
        <v>0</v>
      </c>
      <c r="S88" s="470">
        <f>S86-S87</f>
        <v>0</v>
      </c>
      <c r="T88" s="57"/>
      <c r="U88" s="653">
        <f>U86-U87</f>
        <v>0</v>
      </c>
      <c r="V88" s="653">
        <f>V86-V87</f>
        <v>0</v>
      </c>
      <c r="W88" s="653">
        <f>W86-W87</f>
        <v>0</v>
      </c>
      <c r="X88" s="653">
        <f>X86-X87</f>
        <v>3.499999999999992E-2</v>
      </c>
      <c r="Y88" s="470">
        <f>Y86-Y87</f>
        <v>3.499999999999992E-2</v>
      </c>
      <c r="Z88" s="57"/>
      <c r="AA88" s="653">
        <f>AA86-AA87</f>
        <v>9.7000000000000086E-2</v>
      </c>
      <c r="AB88" s="653">
        <f>AB86-AB87</f>
        <v>-0.26400000000000001</v>
      </c>
      <c r="AC88" s="653">
        <f>AC86-AC87</f>
        <v>-0.69199999999999995</v>
      </c>
      <c r="AD88" s="653">
        <f>AD86-AD87</f>
        <v>0.22800000000000009</v>
      </c>
      <c r="AE88" s="470">
        <f>AE86-AE87</f>
        <v>-0.63099999999999978</v>
      </c>
      <c r="AF88" s="57"/>
      <c r="AG88" s="653">
        <f>AG86-AG87</f>
        <v>0.21699999999999964</v>
      </c>
      <c r="AH88" s="653">
        <f>AH86-AH87</f>
        <v>0.33400000000000007</v>
      </c>
      <c r="AI88" s="653">
        <f>AI86-AI87</f>
        <v>-0.55900000000000016</v>
      </c>
      <c r="AJ88" s="653">
        <f>AJ86-AJ87</f>
        <v>-0.14500000000000002</v>
      </c>
      <c r="AK88" s="470">
        <f>AK86-AK87</f>
        <v>-0.15300000000000002</v>
      </c>
      <c r="AL88" s="57"/>
      <c r="AM88" s="653">
        <f>AM86-AM87</f>
        <v>0.12599999999999989</v>
      </c>
      <c r="AN88" s="653">
        <f>AN86-AN87</f>
        <v>-0.2330000000000001</v>
      </c>
      <c r="AO88" s="653">
        <f>AO86-AO87</f>
        <v>-0.90600000000000003</v>
      </c>
      <c r="AP88" s="653">
        <f>AP86-AP87</f>
        <v>0.80099999999999993</v>
      </c>
      <c r="AQ88" s="470">
        <f>AQ86-AQ87</f>
        <v>-0.2120000000000003</v>
      </c>
      <c r="AR88" s="57"/>
      <c r="AS88" s="653">
        <f>AS86-AS87</f>
        <v>-0.65100000000000002</v>
      </c>
      <c r="AT88" s="653">
        <f>AT86-AT87</f>
        <v>-1.137</v>
      </c>
      <c r="AU88" s="653">
        <f>AU86-AU87</f>
        <v>-0.746</v>
      </c>
      <c r="AV88" s="653">
        <f>AV86-AV87</f>
        <v>1.0119999999999998</v>
      </c>
      <c r="AW88" s="470">
        <f>AW86-AW87</f>
        <v>-1.5220000000000009</v>
      </c>
      <c r="AX88" s="57"/>
      <c r="AY88" s="653">
        <f>AY86-AY87</f>
        <v>0.22200000000000042</v>
      </c>
      <c r="AZ88" s="653">
        <f>AZ86-AZ87</f>
        <v>0.18499999999999961</v>
      </c>
      <c r="BA88" s="653">
        <f>BA86-BA87</f>
        <v>0.19999999999999929</v>
      </c>
      <c r="BB88" s="653">
        <f>BB86-BB87</f>
        <v>0.1</v>
      </c>
      <c r="BC88" s="470">
        <f>BC86-BC87</f>
        <v>0.7069999999999993</v>
      </c>
      <c r="BD88" s="57"/>
      <c r="BE88" s="1059">
        <f>+'P&amp;L'!BE28</f>
        <v>0</v>
      </c>
      <c r="BF88" s="1059">
        <f>+'P&amp;L'!BF28</f>
        <v>0</v>
      </c>
      <c r="BG88" s="1059">
        <f>+'P&amp;L'!BG28</f>
        <v>0</v>
      </c>
      <c r="BH88" s="1059">
        <f>+'P&amp;L'!BH28</f>
        <v>0</v>
      </c>
      <c r="BI88" s="470">
        <f>SUM(BE88:BH88)</f>
        <v>0</v>
      </c>
      <c r="BJ88" s="57"/>
      <c r="BK88" s="653">
        <f>BH88</f>
        <v>0</v>
      </c>
      <c r="BL88" s="653">
        <f>BK88</f>
        <v>0</v>
      </c>
      <c r="BM88" s="653">
        <f>BL88</f>
        <v>0</v>
      </c>
      <c r="BN88" s="653">
        <f>BM88</f>
        <v>0</v>
      </c>
      <c r="BO88" s="470">
        <f>SUM(BK88:BN88)</f>
        <v>0</v>
      </c>
      <c r="BP88" s="57"/>
      <c r="BQ88" s="653">
        <f>BN88</f>
        <v>0</v>
      </c>
      <c r="BR88" s="653">
        <f>BQ88</f>
        <v>0</v>
      </c>
      <c r="BS88" s="653">
        <f>BR88</f>
        <v>0</v>
      </c>
      <c r="BT88" s="653">
        <f>BS88</f>
        <v>0</v>
      </c>
      <c r="BU88" s="470">
        <f>SUM(BQ88:BT88)</f>
        <v>0</v>
      </c>
      <c r="BV88" s="57"/>
      <c r="BW88" s="653">
        <f>BT88</f>
        <v>0</v>
      </c>
      <c r="BX88" s="653">
        <f>BW88</f>
        <v>0</v>
      </c>
      <c r="BY88" s="653">
        <f>BX88</f>
        <v>0</v>
      </c>
      <c r="BZ88" s="653">
        <f>BY88</f>
        <v>0</v>
      </c>
      <c r="CA88" s="470">
        <f>SUM(BW88:BZ88)</f>
        <v>0</v>
      </c>
      <c r="CB88" s="57"/>
      <c r="CC88" s="653">
        <f>BZ88</f>
        <v>0</v>
      </c>
      <c r="CD88" s="653">
        <f>CC88</f>
        <v>0</v>
      </c>
      <c r="CE88" s="653">
        <f>CD88</f>
        <v>0</v>
      </c>
      <c r="CF88" s="653">
        <f>CE88</f>
        <v>0</v>
      </c>
      <c r="CG88" s="470">
        <f>SUM(CC88:CF88)</f>
        <v>0</v>
      </c>
      <c r="CW88" s="57"/>
    </row>
    <row r="89" spans="1:132" ht="11.25" customHeight="1" x14ac:dyDescent="0.2">
      <c r="A89" s="309"/>
      <c r="B89" s="1006" t="s">
        <v>291</v>
      </c>
      <c r="C89" s="288">
        <f>+C74-C85+C88</f>
        <v>72.687514831440069</v>
      </c>
      <c r="D89" s="288">
        <f>+D74-D85+D88</f>
        <v>82.713936727378126</v>
      </c>
      <c r="E89" s="288">
        <f>+E74-E85+E88</f>
        <v>123.90898860522969</v>
      </c>
      <c r="F89" s="288">
        <f>+F74-F85+F88</f>
        <v>101.08649826942494</v>
      </c>
      <c r="G89" s="289">
        <f>+G74-G85+G88</f>
        <v>380.39693843347249</v>
      </c>
      <c r="H89" s="464"/>
      <c r="I89" s="288">
        <f>+I74-I85+I88</f>
        <v>96.353631864849632</v>
      </c>
      <c r="J89" s="288">
        <f>+J74-J85+J88</f>
        <v>91.841121257233823</v>
      </c>
      <c r="K89" s="288">
        <f>+K74-K85+K88</f>
        <v>87.472160468613481</v>
      </c>
      <c r="L89" s="288">
        <f>+L74-L85+L88</f>
        <v>90.091484337558114</v>
      </c>
      <c r="M89" s="289">
        <f>+M74-M85+M88</f>
        <v>365.75839792825496</v>
      </c>
      <c r="N89" s="464"/>
      <c r="O89" s="288">
        <f>+O74-O85+O88</f>
        <v>81.171358626462109</v>
      </c>
      <c r="P89" s="288">
        <f>+P74-P85+P88</f>
        <v>102.05060932389159</v>
      </c>
      <c r="Q89" s="288">
        <f>+Q74-Q85+Q88</f>
        <v>103.54964480829216</v>
      </c>
      <c r="R89" s="288">
        <f>+R74-R85+R88</f>
        <v>112.59621531094824</v>
      </c>
      <c r="S89" s="289">
        <f>+S74-S85+S88</f>
        <v>399.36782806959349</v>
      </c>
      <c r="T89" s="464"/>
      <c r="U89" s="288">
        <f>+U74-U85+U88</f>
        <v>90.954414431064265</v>
      </c>
      <c r="V89" s="288">
        <f>+V74-V85+V88</f>
        <v>104.78687091011511</v>
      </c>
      <c r="W89" s="288">
        <f>+W74-W85+W88</f>
        <v>96.564692111490473</v>
      </c>
      <c r="X89" s="288">
        <f>+X74-X85+X88</f>
        <v>124.67872647025018</v>
      </c>
      <c r="Y89" s="289">
        <f>+Y74-Y85+Y88</f>
        <v>416.98470392292063</v>
      </c>
      <c r="Z89" s="464"/>
      <c r="AA89" s="288">
        <f>+AA74-AA85+AA88</f>
        <v>111.22155455722317</v>
      </c>
      <c r="AB89" s="288">
        <f>+AB74-AB85+AB88</f>
        <v>126.46083896739295</v>
      </c>
      <c r="AC89" s="288">
        <f>+AC74-AC85+AC88</f>
        <v>79.531118288988608</v>
      </c>
      <c r="AD89" s="288">
        <f>+AD74-AD85+AD88</f>
        <v>115.2030566736935</v>
      </c>
      <c r="AE89" s="289">
        <f>+AE74-AE85+AE88</f>
        <v>432.41656848729838</v>
      </c>
      <c r="AF89" s="464"/>
      <c r="AG89" s="288">
        <f>+AG74-AG85+AG88</f>
        <v>113.10540069445001</v>
      </c>
      <c r="AH89" s="288">
        <f>+AH74-AH85+AH88</f>
        <v>124.46407939192227</v>
      </c>
      <c r="AI89" s="288">
        <f>+AI74-AI85+AI88</f>
        <v>112.7188957576854</v>
      </c>
      <c r="AJ89" s="288">
        <f>+AJ74-AJ85+AJ88</f>
        <v>119.15869688600897</v>
      </c>
      <c r="AK89" s="289">
        <f>+AK74-AK85+AK88</f>
        <v>469.44707273006634</v>
      </c>
      <c r="AL89" s="464"/>
      <c r="AM89" s="288">
        <f>+AM74-AM85+AM88</f>
        <v>116.20435149537471</v>
      </c>
      <c r="AN89" s="288">
        <f>+AN74-AN85+AN88</f>
        <v>150.56778063102942</v>
      </c>
      <c r="AO89" s="288">
        <f>+AO74-AO85+AO88</f>
        <v>121.75000580640155</v>
      </c>
      <c r="AP89" s="288">
        <f>+AP74-AP85+AP88</f>
        <v>142.15574396908735</v>
      </c>
      <c r="AQ89" s="289">
        <f>+AQ74-AQ85+AQ88</f>
        <v>530.67788190189322</v>
      </c>
      <c r="AR89" s="464"/>
      <c r="AS89" s="288">
        <f>+AS74-AS85+AS88</f>
        <v>128.01699701392732</v>
      </c>
      <c r="AT89" s="288">
        <f>+AT74-AT85+AT88</f>
        <v>153.05631969752238</v>
      </c>
      <c r="AU89" s="288">
        <f>+AU74-AU85+AU88</f>
        <v>142.04510085817054</v>
      </c>
      <c r="AV89" s="288">
        <f>+AV74-AV85+AV88</f>
        <v>136.87372547888643</v>
      </c>
      <c r="AW89" s="289">
        <f>+AW74-AW85+AW88</f>
        <v>559.99214304850705</v>
      </c>
      <c r="AX89" s="464"/>
      <c r="AY89" s="288">
        <f>+AY74-AY85+AY88</f>
        <v>127.83526317818458</v>
      </c>
      <c r="AZ89" s="288">
        <f>+AZ74-AZ85+AZ88</f>
        <v>173.31130706171584</v>
      </c>
      <c r="BA89" s="288">
        <f>+BA74-BA85+BA88</f>
        <v>157.23309433548781</v>
      </c>
      <c r="BB89" s="288">
        <f>+BB74-BB85+BB88</f>
        <v>146.91692840418219</v>
      </c>
      <c r="BC89" s="289">
        <f>+BC74-BC85+BC88</f>
        <v>605.29659297957062</v>
      </c>
      <c r="BD89" s="464"/>
      <c r="BE89" s="288">
        <f>+BE74-BE85+BE88</f>
        <v>150.59341813550253</v>
      </c>
      <c r="BF89" s="288">
        <f>+BF74-BF85+BF88</f>
        <v>181.40000000000003</v>
      </c>
      <c r="BG89" s="288">
        <f>+BG74-BG85+BG88</f>
        <v>154.69093842332629</v>
      </c>
      <c r="BH89" s="288">
        <f>+BH74-BH85+BH88</f>
        <v>157.76078286212166</v>
      </c>
      <c r="BI89" s="289">
        <f>+BI74-BI85+BI88</f>
        <v>644.44513942095045</v>
      </c>
      <c r="BJ89" s="464"/>
      <c r="BK89" s="288">
        <f>+BK74-BK85+BK88</f>
        <v>112.01695248933147</v>
      </c>
      <c r="BL89" s="288">
        <f>+BL74-BL85+BL88</f>
        <v>155.61436967670008</v>
      </c>
      <c r="BM89" s="288">
        <f>+BM74-BM85+BM88</f>
        <v>164.56084010934401</v>
      </c>
      <c r="BN89" s="288">
        <f>+BN74-BN85+BN88</f>
        <v>189.41294405548214</v>
      </c>
      <c r="BO89" s="289">
        <f>+BO74-BO85+BO88</f>
        <v>621.60510633085767</v>
      </c>
      <c r="BP89" s="464"/>
      <c r="BQ89" s="288">
        <f>+BQ74-BQ85+BQ88</f>
        <v>103.78364099999993</v>
      </c>
      <c r="BR89" s="288">
        <f>+BR74-BR85+BR88</f>
        <v>143.61138419917941</v>
      </c>
      <c r="BS89" s="288">
        <f>+BS74-BS85+BS88</f>
        <v>167.31583815510857</v>
      </c>
      <c r="BT89" s="288">
        <f>+BT74-BT85+BT88</f>
        <v>192.37028443859003</v>
      </c>
      <c r="BU89" s="289">
        <f>+BU74-BU85+BU88</f>
        <v>607.08114779287791</v>
      </c>
      <c r="BV89" s="464"/>
      <c r="BW89" s="288">
        <f>+BW74-BW85+BW88</f>
        <v>147.80188761103406</v>
      </c>
      <c r="BX89" s="288">
        <f>+BX74-BX85+BX88</f>
        <v>174.71789824698436</v>
      </c>
      <c r="BY89" s="288">
        <f>+BY74-BY85+BY88</f>
        <v>178.78766899382597</v>
      </c>
      <c r="BZ89" s="288">
        <f>+BZ74-BZ85+BZ88</f>
        <v>190.79058017731924</v>
      </c>
      <c r="CA89" s="289">
        <f>+CA74-CA85+CA88</f>
        <v>692.09803502916361</v>
      </c>
      <c r="CB89" s="464"/>
      <c r="CC89" s="288">
        <f>+CC74-CC85+CC88</f>
        <v>162.63634511365811</v>
      </c>
      <c r="CD89" s="288">
        <f>+CD74-CD85+CD88</f>
        <v>191.37020507299977</v>
      </c>
      <c r="CE89" s="288">
        <f>+CE74-CE85+CE88</f>
        <v>195.55662541352058</v>
      </c>
      <c r="CF89" s="288">
        <f>+CF74-CF85+CF88</f>
        <v>208.90489779109282</v>
      </c>
      <c r="CG89" s="289">
        <f>+CG74-CG85+CG88</f>
        <v>758.46807339127122</v>
      </c>
      <c r="CW89" s="464"/>
    </row>
    <row r="90" spans="1:132" ht="11.25" hidden="1" customHeight="1" outlineLevel="1" x14ac:dyDescent="0.2">
      <c r="A90" s="309"/>
      <c r="B90" s="766" t="s">
        <v>575</v>
      </c>
      <c r="C90" s="743">
        <v>0</v>
      </c>
      <c r="D90" s="743">
        <v>0</v>
      </c>
      <c r="E90" s="743">
        <v>0</v>
      </c>
      <c r="F90" s="743">
        <v>0</v>
      </c>
      <c r="G90" s="593">
        <f>SUM(C90:F90)</f>
        <v>0</v>
      </c>
      <c r="I90" s="743">
        <v>2.5000000000000001E-2</v>
      </c>
      <c r="J90" s="743">
        <v>-5.0999999999999997E-2</v>
      </c>
      <c r="K90" s="743">
        <v>-1.9E-2</v>
      </c>
      <c r="L90" s="743">
        <f>0.599-K90-J90-I90</f>
        <v>0.64400000000000002</v>
      </c>
      <c r="M90" s="593">
        <f>SUM(I90:L90)</f>
        <v>0.59899999999999998</v>
      </c>
      <c r="O90" s="743">
        <v>1.8129999999999999</v>
      </c>
      <c r="P90" s="743">
        <v>-0.38100000000000001</v>
      </c>
      <c r="Q90" s="743">
        <v>-0.37</v>
      </c>
      <c r="R90" s="743">
        <f>-0.154-Q90-P90-O90</f>
        <v>-1.216</v>
      </c>
      <c r="S90" s="593">
        <f>SUM(O90:R90)</f>
        <v>-0.15400000000000014</v>
      </c>
      <c r="U90" s="743">
        <v>-0.34799999999999998</v>
      </c>
      <c r="V90" s="743">
        <v>-0.96</v>
      </c>
      <c r="W90" s="743">
        <v>-0.16200000000000001</v>
      </c>
      <c r="X90" s="743">
        <f>-1.627-W90-V90-U90</f>
        <v>-0.15700000000000014</v>
      </c>
      <c r="Y90" s="593">
        <f>SUM(U90:X90)</f>
        <v>-1.6269999999999998</v>
      </c>
      <c r="AA90" s="743">
        <f>-'P&amp;L'!AA30</f>
        <v>-0.379</v>
      </c>
      <c r="AB90" s="743">
        <f>-'P&amp;L'!AB30</f>
        <v>-1.1539999999999999</v>
      </c>
      <c r="AC90" s="743">
        <f>-'P&amp;L'!AC30</f>
        <v>-0.60299999999999998</v>
      </c>
      <c r="AD90" s="743">
        <f>-2.926-AC90-AB90-AA90</f>
        <v>-0.79000000000000048</v>
      </c>
      <c r="AE90" s="593">
        <f>SUM(AA90:AD90)</f>
        <v>-2.9260000000000006</v>
      </c>
      <c r="AG90" s="178">
        <f>-'P&amp;L'!AG30</f>
        <v>-0.94399999999999995</v>
      </c>
      <c r="AH90" s="178">
        <f>-'P&amp;L'!AH30</f>
        <v>-1.276</v>
      </c>
      <c r="AI90" s="178">
        <f>-'P&amp;L'!AI30</f>
        <v>-0.92800000000000005</v>
      </c>
      <c r="AJ90" s="743">
        <f>-4.276-AI90-AH90-AG90</f>
        <v>-1.1280000000000001</v>
      </c>
      <c r="AK90" s="593">
        <f>SUM(AG90:AJ90)</f>
        <v>-4.2759999999999998</v>
      </c>
      <c r="AM90" s="743">
        <v>-0.88800000000000001</v>
      </c>
      <c r="AN90" s="178">
        <f>-'P&amp;L'!AN30</f>
        <v>-1.4630000000000001</v>
      </c>
      <c r="AO90" s="178">
        <f>-'P&amp;L'!AO30</f>
        <v>-1.0149999999999999</v>
      </c>
      <c r="AP90" s="178">
        <f>-'P&amp;L'!AP30</f>
        <v>-1.603</v>
      </c>
      <c r="AQ90" s="593">
        <f>SUM(AM90:AP90)</f>
        <v>-4.9689999999999994</v>
      </c>
      <c r="AS90" s="178">
        <f>-'P&amp;L'!AS30</f>
        <v>-4.2000000000000003E-2</v>
      </c>
      <c r="AT90" s="178">
        <f>-'P&amp;L'!AT30</f>
        <v>-2.1000000000000001E-2</v>
      </c>
      <c r="AU90" s="743">
        <v>0</v>
      </c>
      <c r="AV90" s="178">
        <f>-'P&amp;L'!AV30</f>
        <v>-3.0000000000000001E-3</v>
      </c>
      <c r="AW90" s="593">
        <f>SUM(AS90:AV90)</f>
        <v>-6.6000000000000003E-2</v>
      </c>
      <c r="AY90" s="178">
        <f>-'P&amp;L'!AY30</f>
        <v>7.0000000000000001E-3</v>
      </c>
      <c r="AZ90" s="178">
        <f>-'P&amp;L'!AZ30</f>
        <v>3.5000000000000003E-2</v>
      </c>
      <c r="BA90" s="178">
        <f>-'P&amp;L'!BA30</f>
        <v>0.1</v>
      </c>
      <c r="BB90" s="178">
        <f>-'P&amp;L'!BB30</f>
        <v>-3.0000000000000001E-3</v>
      </c>
      <c r="BC90" s="593">
        <f>SUM(AY90:BB90)</f>
        <v>0.13900000000000001</v>
      </c>
      <c r="BD90" s="464"/>
      <c r="BE90" s="288"/>
      <c r="BF90" s="288"/>
      <c r="BG90" s="288"/>
      <c r="BH90" s="288"/>
      <c r="BI90" s="289"/>
      <c r="BJ90" s="464"/>
      <c r="BK90" s="288"/>
      <c r="BL90" s="288"/>
      <c r="BM90" s="288"/>
      <c r="BN90" s="288"/>
      <c r="BO90" s="289"/>
      <c r="BP90" s="464"/>
      <c r="BQ90" s="288"/>
      <c r="BR90" s="288"/>
      <c r="BS90" s="288"/>
      <c r="BT90" s="288"/>
      <c r="BU90" s="289"/>
      <c r="BV90" s="464"/>
      <c r="BW90" s="288"/>
      <c r="BX90" s="288"/>
      <c r="BY90" s="288"/>
      <c r="BZ90" s="288"/>
      <c r="CA90" s="289"/>
      <c r="CB90" s="464"/>
      <c r="CC90" s="288"/>
      <c r="CD90" s="288"/>
      <c r="CE90" s="288"/>
      <c r="CF90" s="288"/>
      <c r="CG90" s="289"/>
      <c r="CW90" s="464"/>
    </row>
    <row r="91" spans="1:132" ht="11.25" hidden="1" customHeight="1" outlineLevel="1" x14ac:dyDescent="0.2">
      <c r="A91" s="309"/>
      <c r="B91" s="766" t="s">
        <v>576</v>
      </c>
      <c r="C91" s="743">
        <v>0.14299999999999999</v>
      </c>
      <c r="D91" s="743">
        <v>-0.1</v>
      </c>
      <c r="E91" s="743">
        <v>-0.20200000000000001</v>
      </c>
      <c r="F91" s="743">
        <v>8.6999999999999994E-2</v>
      </c>
      <c r="G91" s="593">
        <f>SUM(C91:F91)</f>
        <v>-7.2000000000000036E-2</v>
      </c>
      <c r="I91" s="743">
        <v>0.246</v>
      </c>
      <c r="J91" s="743">
        <v>-0.316</v>
      </c>
      <c r="K91" s="743">
        <v>-0.17699999999999999</v>
      </c>
      <c r="L91" s="743">
        <v>0.42299999999999999</v>
      </c>
      <c r="M91" s="593">
        <f>SUM(I91:L91)</f>
        <v>0.17599999999999999</v>
      </c>
      <c r="O91" s="743">
        <v>-0.34399999999999997</v>
      </c>
      <c r="P91" s="743">
        <v>-0.69199999999999995</v>
      </c>
      <c r="Q91" s="743">
        <v>-1.6000000000000125E-2</v>
      </c>
      <c r="R91" s="743">
        <v>-0.47499999999999998</v>
      </c>
      <c r="S91" s="593">
        <f>SUM(O91:R91)</f>
        <v>-1.5270000000000001</v>
      </c>
      <c r="U91" s="743">
        <v>-0.65600000000000003</v>
      </c>
      <c r="V91" s="743">
        <v>-0.45600000000000002</v>
      </c>
      <c r="W91" s="743">
        <v>0.12999999999999995</v>
      </c>
      <c r="X91" s="743">
        <v>-0.55100000000000005</v>
      </c>
      <c r="Y91" s="593">
        <f>SUM(U91:X91)</f>
        <v>-1.5330000000000004</v>
      </c>
      <c r="AA91" s="743">
        <v>-0.42799999999999999</v>
      </c>
      <c r="AB91" s="743">
        <v>-0.622</v>
      </c>
      <c r="AC91" s="743">
        <v>-0.39100000000000001</v>
      </c>
      <c r="AD91" s="743">
        <v>-0.59299999999999997</v>
      </c>
      <c r="AE91" s="593">
        <f>SUM(AA91:AD91)</f>
        <v>-2.0339999999999998</v>
      </c>
      <c r="AG91" s="966">
        <v>-0.63400000000000001</v>
      </c>
      <c r="AH91" s="966">
        <v>-0.43099999999999999</v>
      </c>
      <c r="AI91" s="966">
        <v>-0.115</v>
      </c>
      <c r="AJ91" s="966">
        <v>-0.76500000000000001</v>
      </c>
      <c r="AK91" s="593">
        <f>SUM(AG91:AJ91)</f>
        <v>-1.9449999999999998</v>
      </c>
      <c r="AM91" s="966">
        <v>-0.5</v>
      </c>
      <c r="AN91" s="966">
        <v>-0.3</v>
      </c>
      <c r="AO91" s="966">
        <v>-0.2</v>
      </c>
      <c r="AP91" s="966">
        <v>-0.79</v>
      </c>
      <c r="AQ91" s="593">
        <f>SUM(AM91:AP91)</f>
        <v>-1.79</v>
      </c>
      <c r="AS91" s="966">
        <v>-0.6</v>
      </c>
      <c r="AT91" s="966">
        <v>-0.3</v>
      </c>
      <c r="AU91" s="966">
        <v>0</v>
      </c>
      <c r="AV91" s="966">
        <v>-0.8</v>
      </c>
      <c r="AW91" s="593">
        <f>SUM(AS91:AV91)</f>
        <v>-1.7</v>
      </c>
      <c r="AY91" s="966">
        <v>-0.4</v>
      </c>
      <c r="AZ91" s="966">
        <v>-0.6</v>
      </c>
      <c r="BA91" s="966">
        <v>-0.1</v>
      </c>
      <c r="BB91" s="966">
        <v>-0.5</v>
      </c>
      <c r="BC91" s="593">
        <f>SUM(AY91:BB91)</f>
        <v>-1.6</v>
      </c>
      <c r="BD91" s="464"/>
      <c r="BE91" s="288"/>
      <c r="BF91" s="288"/>
      <c r="BG91" s="288"/>
      <c r="BH91" s="288"/>
      <c r="BI91" s="289"/>
      <c r="BJ91" s="464"/>
      <c r="BK91" s="288"/>
      <c r="BL91" s="288"/>
      <c r="BM91" s="288"/>
      <c r="BN91" s="288"/>
      <c r="BO91" s="289"/>
      <c r="BP91" s="464"/>
      <c r="BQ91" s="288"/>
      <c r="BR91" s="288"/>
      <c r="BS91" s="288"/>
      <c r="BT91" s="288"/>
      <c r="BU91" s="289"/>
      <c r="BV91" s="464"/>
      <c r="BW91" s="288"/>
      <c r="BX91" s="288"/>
      <c r="BY91" s="288"/>
      <c r="BZ91" s="288"/>
      <c r="CA91" s="289"/>
      <c r="CB91" s="464"/>
      <c r="CC91" s="288"/>
      <c r="CD91" s="288"/>
      <c r="CE91" s="288"/>
      <c r="CF91" s="288"/>
      <c r="CG91" s="289"/>
      <c r="CW91" s="464"/>
    </row>
    <row r="92" spans="1:132" ht="11.25" hidden="1" customHeight="1" outlineLevel="1" x14ac:dyDescent="0.2">
      <c r="A92" s="309"/>
      <c r="B92" s="766" t="s">
        <v>550</v>
      </c>
      <c r="C92" s="178">
        <v>0</v>
      </c>
      <c r="D92" s="178">
        <v>0</v>
      </c>
      <c r="E92" s="178">
        <v>0</v>
      </c>
      <c r="F92" s="178">
        <v>0</v>
      </c>
      <c r="G92" s="470">
        <f>SUM(C92:F92)</f>
        <v>0</v>
      </c>
      <c r="I92" s="178">
        <v>0.05</v>
      </c>
      <c r="J92" s="178">
        <v>-0.10199999999999999</v>
      </c>
      <c r="K92" s="178">
        <v>-3.7999999999999999E-2</v>
      </c>
      <c r="L92" s="178">
        <v>0.626</v>
      </c>
      <c r="M92" s="470">
        <f>SUM(I92:L92)</f>
        <v>0.53600000000000003</v>
      </c>
      <c r="O92" s="178">
        <v>2.88</v>
      </c>
      <c r="P92" s="178">
        <v>-1.1080000000000001</v>
      </c>
      <c r="Q92" s="178">
        <v>-0.70299999999999996</v>
      </c>
      <c r="R92" s="178">
        <v>-2.1440000000000001</v>
      </c>
      <c r="S92" s="470">
        <f>SUM(O92:R92)</f>
        <v>-1.0750000000000002</v>
      </c>
      <c r="U92" s="178">
        <v>-0.84199999999999997</v>
      </c>
      <c r="V92" s="178">
        <v>-1.8849999999999998</v>
      </c>
      <c r="W92" s="178">
        <v>-0.32100000000000001</v>
      </c>
      <c r="X92" s="178">
        <v>-0.67000000000000015</v>
      </c>
      <c r="Y92" s="470">
        <f>SUM(U92:X92)</f>
        <v>-3.718</v>
      </c>
      <c r="AA92" s="178">
        <v>-0.75800000000000001</v>
      </c>
      <c r="AB92" s="178">
        <v>-2.3079999999999998</v>
      </c>
      <c r="AC92" s="178">
        <v>-1.206</v>
      </c>
      <c r="AD92" s="178">
        <v>-1.6210000000000004</v>
      </c>
      <c r="AE92" s="470">
        <f>SUM(AA92:AD92)</f>
        <v>-5.8930000000000007</v>
      </c>
      <c r="AG92" s="178">
        <v>-1.8879999999999999</v>
      </c>
      <c r="AH92" s="178">
        <v>-2.552</v>
      </c>
      <c r="AI92" s="178">
        <v>-1.8560000000000001</v>
      </c>
      <c r="AJ92" s="178">
        <v>-2.0550000000000002</v>
      </c>
      <c r="AK92" s="470">
        <f>SUM(AG92:AJ92)</f>
        <v>-8.3509999999999991</v>
      </c>
      <c r="AM92" s="178">
        <v>-1.8319999999999999</v>
      </c>
      <c r="AN92" s="178">
        <v>-2.9260000000000002</v>
      </c>
      <c r="AO92" s="178">
        <v>-2.0299999999999998</v>
      </c>
      <c r="AP92" s="178">
        <v>-3.206</v>
      </c>
      <c r="AQ92" s="470">
        <f>SUM(AM92:AP92)</f>
        <v>-9.9939999999999998</v>
      </c>
      <c r="AS92" s="178">
        <v>-8.4000000000000005E-2</v>
      </c>
      <c r="AT92" s="178">
        <v>-4.2000000000000003E-2</v>
      </c>
      <c r="AU92" s="178">
        <v>7.0000000000000001E-3</v>
      </c>
      <c r="AV92" s="178">
        <v>-6.0000000000000001E-3</v>
      </c>
      <c r="AW92" s="470">
        <f>SUM(AS92:AV92)</f>
        <v>-0.125</v>
      </c>
      <c r="AY92" s="178">
        <v>1.4E-2</v>
      </c>
      <c r="AZ92" s="178">
        <v>7.0000000000000007E-2</v>
      </c>
      <c r="BA92" s="178">
        <v>0.2</v>
      </c>
      <c r="BB92" s="178">
        <v>-6.0000000000000001E-3</v>
      </c>
      <c r="BC92" s="470">
        <f>SUM(AY92:BB92)</f>
        <v>0.27800000000000002</v>
      </c>
      <c r="BD92" s="464"/>
      <c r="BE92" s="288"/>
      <c r="BF92" s="288"/>
      <c r="BG92" s="288"/>
      <c r="BH92" s="288"/>
      <c r="BI92" s="289"/>
      <c r="BJ92" s="464"/>
      <c r="BK92" s="288"/>
      <c r="BL92" s="288"/>
      <c r="BM92" s="288"/>
      <c r="BN92" s="288"/>
      <c r="BO92" s="289"/>
      <c r="BP92" s="464"/>
      <c r="BQ92" s="288"/>
      <c r="BR92" s="288"/>
      <c r="BS92" s="288"/>
      <c r="BT92" s="288"/>
      <c r="BU92" s="289"/>
      <c r="BV92" s="464"/>
      <c r="BW92" s="288"/>
      <c r="BX92" s="288"/>
      <c r="BY92" s="288"/>
      <c r="BZ92" s="288"/>
      <c r="CA92" s="289"/>
      <c r="CB92" s="464"/>
      <c r="CC92" s="288"/>
      <c r="CD92" s="288"/>
      <c r="CE92" s="288"/>
      <c r="CF92" s="288"/>
      <c r="CG92" s="289"/>
      <c r="CW92" s="464"/>
    </row>
    <row r="93" spans="1:132" ht="12.75" hidden="1" customHeight="1" outlineLevel="1" x14ac:dyDescent="0.2">
      <c r="A93" s="290"/>
      <c r="B93" s="766" t="s">
        <v>551</v>
      </c>
      <c r="C93" s="743">
        <v>0.28599999999999998</v>
      </c>
      <c r="D93" s="743">
        <v>-0.2</v>
      </c>
      <c r="E93" s="743">
        <v>-0.40400000000000003</v>
      </c>
      <c r="F93" s="743">
        <v>0.17399999999999999</v>
      </c>
      <c r="G93" s="645">
        <f>SUM(C93:F93)</f>
        <v>-0.14400000000000007</v>
      </c>
      <c r="H93" s="178"/>
      <c r="I93" s="743">
        <v>0.49199999999999999</v>
      </c>
      <c r="J93" s="743">
        <v>-0.63200000000000001</v>
      </c>
      <c r="K93" s="743">
        <v>-0.35399999999999998</v>
      </c>
      <c r="L93" s="743">
        <v>0.84599999999999997</v>
      </c>
      <c r="M93" s="645">
        <f>SUM(I93:L93)</f>
        <v>0.35199999999999998</v>
      </c>
      <c r="N93" s="178"/>
      <c r="O93" s="743">
        <v>-0.68799999999999994</v>
      </c>
      <c r="P93" s="743">
        <v>-1.3839999999999999</v>
      </c>
      <c r="Q93" s="743">
        <v>-3.200000000000025E-2</v>
      </c>
      <c r="R93" s="743">
        <v>-0.95</v>
      </c>
      <c r="S93" s="645">
        <f>SUM(O93:R93)</f>
        <v>-3.0540000000000003</v>
      </c>
      <c r="T93" s="178"/>
      <c r="U93" s="743">
        <v>-1.3120000000000001</v>
      </c>
      <c r="V93" s="743">
        <v>-0.91200000000000003</v>
      </c>
      <c r="W93" s="743">
        <v>0.2599999999999999</v>
      </c>
      <c r="X93" s="743">
        <v>-1.1020000000000001</v>
      </c>
      <c r="Y93" s="645">
        <f>SUM(U93:X93)</f>
        <v>-3.0660000000000007</v>
      </c>
      <c r="Z93" s="178"/>
      <c r="AA93" s="743">
        <v>-0.85599999999999998</v>
      </c>
      <c r="AB93" s="743">
        <v>-1.244</v>
      </c>
      <c r="AC93" s="743">
        <v>-0.78200000000000003</v>
      </c>
      <c r="AD93" s="743">
        <v>-1.1859999999999999</v>
      </c>
      <c r="AE93" s="645">
        <f>SUM(AA93:AD93)</f>
        <v>-4.0679999999999996</v>
      </c>
      <c r="AF93" s="178"/>
      <c r="AG93" s="743">
        <v>-1.268</v>
      </c>
      <c r="AH93" s="743">
        <v>-0.86199999999999999</v>
      </c>
      <c r="AI93" s="743">
        <v>-0.23</v>
      </c>
      <c r="AJ93" s="743">
        <v>-1.53</v>
      </c>
      <c r="AK93" s="645">
        <f>SUM(AG93:AJ93)</f>
        <v>-3.8899999999999997</v>
      </c>
      <c r="AL93" s="178"/>
      <c r="AM93" s="743">
        <v>-1.075</v>
      </c>
      <c r="AN93" s="743">
        <v>-0.6</v>
      </c>
      <c r="AO93" s="743">
        <v>-0.441</v>
      </c>
      <c r="AP93" s="743">
        <v>-1.58</v>
      </c>
      <c r="AQ93" s="645">
        <f>SUM(AM93:AP93)</f>
        <v>-3.6959999999999997</v>
      </c>
      <c r="AR93" s="178"/>
      <c r="AS93" s="743">
        <v>-1.2</v>
      </c>
      <c r="AT93" s="743">
        <v>-0.6</v>
      </c>
      <c r="AU93" s="743">
        <v>0</v>
      </c>
      <c r="AV93" s="743">
        <v>-1.6</v>
      </c>
      <c r="AW93" s="645">
        <f>SUM(AS93:AV93)</f>
        <v>-3.4</v>
      </c>
      <c r="AX93" s="178"/>
      <c r="AY93" s="743">
        <v>-0.8</v>
      </c>
      <c r="AZ93" s="743">
        <v>-1.2</v>
      </c>
      <c r="BA93" s="743">
        <v>-0.2</v>
      </c>
      <c r="BB93" s="743">
        <v>-1</v>
      </c>
      <c r="BC93" s="645">
        <f>SUM(AY93:BB93)</f>
        <v>-3.2</v>
      </c>
      <c r="BD93" s="57"/>
      <c r="BE93" s="288"/>
      <c r="BF93" s="288"/>
      <c r="BG93" s="288"/>
      <c r="BH93" s="288"/>
      <c r="BI93" s="644"/>
      <c r="BJ93" s="57"/>
      <c r="BK93" s="288"/>
      <c r="BL93" s="288"/>
      <c r="BM93" s="288"/>
      <c r="BN93" s="288"/>
      <c r="BO93" s="644"/>
      <c r="BP93" s="57"/>
      <c r="BQ93" s="288"/>
      <c r="BR93" s="288"/>
      <c r="BS93" s="288"/>
      <c r="BT93" s="288"/>
      <c r="BU93" s="644"/>
      <c r="BV93" s="57"/>
      <c r="BW93" s="288"/>
      <c r="BX93" s="288"/>
      <c r="BY93" s="288"/>
      <c r="BZ93" s="288"/>
      <c r="CA93" s="644"/>
      <c r="CB93" s="57"/>
      <c r="CC93" s="288"/>
      <c r="CD93" s="288"/>
      <c r="CE93" s="288"/>
      <c r="CF93" s="288"/>
      <c r="CG93" s="644"/>
      <c r="CW93" s="57"/>
    </row>
    <row r="94" spans="1:132" collapsed="1" x14ac:dyDescent="0.2">
      <c r="A94" s="292"/>
      <c r="B94" s="176" t="s">
        <v>232</v>
      </c>
      <c r="C94" s="653">
        <f>SUM(C90:C91)-SUM(C92:C93)</f>
        <v>-0.14299999999999999</v>
      </c>
      <c r="D94" s="653">
        <f>SUM(D90:D91)-SUM(D92:D93)</f>
        <v>0.1</v>
      </c>
      <c r="E94" s="653">
        <f>SUM(E90:E91)-SUM(E92:E93)</f>
        <v>0.20200000000000001</v>
      </c>
      <c r="F94" s="653">
        <f>SUM(F90:F91)-SUM(F92:F93)</f>
        <v>-8.6999999999999994E-2</v>
      </c>
      <c r="G94" s="470">
        <f>SUM(G90:G91)-SUM(G92:G93)</f>
        <v>7.2000000000000036E-2</v>
      </c>
      <c r="H94" s="57"/>
      <c r="I94" s="653">
        <f>SUM(I90:I91)-SUM(I92:I93)</f>
        <v>-0.27100000000000002</v>
      </c>
      <c r="J94" s="653">
        <f>SUM(J90:J91)-SUM(J92:J93)</f>
        <v>0.36699999999999999</v>
      </c>
      <c r="K94" s="653">
        <f>SUM(K90:K91)-SUM(K92:K93)</f>
        <v>0.19599999999999998</v>
      </c>
      <c r="L94" s="653">
        <f>SUM(L90:L91)-SUM(L92:L93)</f>
        <v>-0.40500000000000003</v>
      </c>
      <c r="M94" s="470">
        <f>SUM(M90:M91)-SUM(M92:M93)</f>
        <v>-0.1130000000000001</v>
      </c>
      <c r="N94" s="57"/>
      <c r="O94" s="653">
        <f>SUM(O90:O91)-SUM(O92:O93)</f>
        <v>-0.72300000000000031</v>
      </c>
      <c r="P94" s="653">
        <f>SUM(P90:P91)-SUM(P92:P93)</f>
        <v>1.419</v>
      </c>
      <c r="Q94" s="653">
        <f>SUM(Q90:Q91)-SUM(Q92:Q93)</f>
        <v>0.34900000000000009</v>
      </c>
      <c r="R94" s="653">
        <f>SUM(R90:R91)-SUM(R92:R93)</f>
        <v>1.4030000000000005</v>
      </c>
      <c r="S94" s="470">
        <f>SUM(S90:S91)-SUM(S92:S93)</f>
        <v>2.4480000000000004</v>
      </c>
      <c r="T94" s="57"/>
      <c r="U94" s="653">
        <f>SUM(U90:U91)-SUM(U92:U93)</f>
        <v>1.1499999999999999</v>
      </c>
      <c r="V94" s="653">
        <f>SUM(V90:V91)-SUM(V92:V93)</f>
        <v>1.3809999999999998</v>
      </c>
      <c r="W94" s="653">
        <f>SUM(W90:W91)-SUM(W92:W93)</f>
        <v>2.9000000000000054E-2</v>
      </c>
      <c r="X94" s="653">
        <f>SUM(X90:X91)-SUM(X92:X93)</f>
        <v>1.0640000000000001</v>
      </c>
      <c r="Y94" s="470">
        <f>SUM(Y90:Y91)-SUM(Y92:Y93)</f>
        <v>3.6240000000000006</v>
      </c>
      <c r="Z94" s="57"/>
      <c r="AA94" s="653">
        <f>SUM(AA90:AA91)-SUM(AA92:AA93)</f>
        <v>0.80699999999999994</v>
      </c>
      <c r="AB94" s="653">
        <f>SUM(AB90:AB91)-SUM(AB92:AB93)</f>
        <v>1.7759999999999998</v>
      </c>
      <c r="AC94" s="653">
        <f>SUM(AC90:AC91)-SUM(AC92:AC93)</f>
        <v>0.99399999999999999</v>
      </c>
      <c r="AD94" s="653">
        <f>SUM(AD90:AD91)-SUM(AD92:AD93)</f>
        <v>1.4239999999999999</v>
      </c>
      <c r="AE94" s="470">
        <f>SUM(AE90:AE91)-SUM(AE92:AE93)</f>
        <v>5.0009999999999994</v>
      </c>
      <c r="AF94" s="57"/>
      <c r="AG94" s="653">
        <f>SUM(AG90:AG91)-SUM(AG92:AG93)</f>
        <v>1.5779999999999998</v>
      </c>
      <c r="AH94" s="653">
        <f>SUM(AH90:AH91)-SUM(AH92:AH93)</f>
        <v>1.7070000000000001</v>
      </c>
      <c r="AI94" s="653">
        <f>SUM(AI90:AI91)-SUM(AI92:AI93)</f>
        <v>1.0430000000000001</v>
      </c>
      <c r="AJ94" s="653">
        <f>SUM(AJ90:AJ91)-SUM(AJ92:AJ93)</f>
        <v>1.6919999999999997</v>
      </c>
      <c r="AK94" s="470">
        <f>SUM(AK90:AK91)-SUM(AK92:AK93)</f>
        <v>6.02</v>
      </c>
      <c r="AL94" s="57"/>
      <c r="AM94" s="653">
        <f>SUM(AM90:AM91)-SUM(AM92:AM93)</f>
        <v>1.5190000000000001</v>
      </c>
      <c r="AN94" s="653">
        <f>SUM(AN90:AN91)-SUM(AN92:AN93)</f>
        <v>1.7630000000000001</v>
      </c>
      <c r="AO94" s="653">
        <f>SUM(AO90:AO91)-SUM(AO92:AO93)</f>
        <v>1.2559999999999998</v>
      </c>
      <c r="AP94" s="653">
        <f>SUM(AP90:AP91)-SUM(AP92:AP93)</f>
        <v>2.3929999999999998</v>
      </c>
      <c r="AQ94" s="470">
        <f>SUM(AQ90:AQ91)-SUM(AQ92:AQ93)</f>
        <v>6.931</v>
      </c>
      <c r="AR94" s="57"/>
      <c r="AS94" s="653">
        <f>SUM(AS90:AS91)-SUM(AS92:AS93)</f>
        <v>0.64200000000000002</v>
      </c>
      <c r="AT94" s="653">
        <f>SUM(AT90:AT91)-SUM(AT92:AT93)</f>
        <v>0.32100000000000001</v>
      </c>
      <c r="AU94" s="653">
        <f>SUM(AU90:AU91)-SUM(AU92:AU93)</f>
        <v>-7.0000000000000001E-3</v>
      </c>
      <c r="AV94" s="653">
        <f>SUM(AV90:AV91)-SUM(AV92:AV93)</f>
        <v>0.80300000000000005</v>
      </c>
      <c r="AW94" s="470">
        <f>SUM(AW90:AW91)-SUM(AW92:AW93)</f>
        <v>1.7589999999999999</v>
      </c>
      <c r="AX94" s="57"/>
      <c r="AY94" s="653">
        <f>SUM(AY90:AY91)-SUM(AY92:AY93)</f>
        <v>0.39300000000000002</v>
      </c>
      <c r="AZ94" s="653">
        <f>SUM(AZ90:AZ91)-SUM(AZ92:AZ93)</f>
        <v>0.56499999999999995</v>
      </c>
      <c r="BA94" s="653">
        <f>SUM(BA90:BA91)-SUM(BA92:BA93)</f>
        <v>0</v>
      </c>
      <c r="BB94" s="653">
        <f>SUM(BB90:BB91)-SUM(BB92:BB93)</f>
        <v>0.503</v>
      </c>
      <c r="BC94" s="470">
        <f>SUM(BC90:BC91)-SUM(BC92:BC93)</f>
        <v>1.4610000000000001</v>
      </c>
      <c r="BD94" s="57"/>
      <c r="BE94" s="653">
        <f>(BB94/BB89)*BE89</f>
        <v>0.51558721071112112</v>
      </c>
      <c r="BF94" s="653">
        <f>(BE94/BE89)*BF89</f>
        <v>0.62105981244706332</v>
      </c>
      <c r="BG94" s="653">
        <f>(BF94/BF89)*BG89</f>
        <v>0.52961590520645652</v>
      </c>
      <c r="BH94" s="653">
        <f>(BG94/BG89)*BH89</f>
        <v>0.54012614231450451</v>
      </c>
      <c r="BI94" s="470">
        <f>+SUM(BE94:BH94)</f>
        <v>2.2063890706791454</v>
      </c>
      <c r="BJ94" s="57"/>
      <c r="BK94" s="1059">
        <f>+'P&amp;L'!BK30</f>
        <v>-0.1</v>
      </c>
      <c r="BL94" s="1059">
        <f>+'P&amp;L'!BL30</f>
        <v>-0.3</v>
      </c>
      <c r="BM94" s="1059">
        <f>+'P&amp;L'!BM30</f>
        <v>-0.1</v>
      </c>
      <c r="BN94" s="1059">
        <f>+'P&amp;L'!BN30</f>
        <v>0.2</v>
      </c>
      <c r="BO94" s="470">
        <f>+SUM(BK94:BN94)</f>
        <v>-0.3</v>
      </c>
      <c r="BP94" s="57"/>
      <c r="BQ94" s="1059">
        <f>+'P&amp;L'!BQ30</f>
        <v>0.10941870426989977</v>
      </c>
      <c r="BR94" s="1059">
        <f>+'P&amp;L'!BR30</f>
        <v>0.15140894485944062</v>
      </c>
      <c r="BS94" s="1059">
        <f>+'P&amp;L'!BS30</f>
        <v>0.17640046194529108</v>
      </c>
      <c r="BT94" s="1059">
        <f>+'P&amp;L'!BT30</f>
        <v>0.20281527088939383</v>
      </c>
      <c r="BU94" s="470">
        <f>+SUM(BQ94:BT94)</f>
        <v>0.64004338196402533</v>
      </c>
      <c r="BV94" s="57"/>
      <c r="BW94" s="1059">
        <f>+'P&amp;L'!BW30</f>
        <v>0.15582697692254516</v>
      </c>
      <c r="BX94" s="1059">
        <f>+'P&amp;L'!BX30</f>
        <v>0.18420442619608263</v>
      </c>
      <c r="BY94" s="1059">
        <f>+'P&amp;L'!BY30</f>
        <v>0.18849517026233631</v>
      </c>
      <c r="BZ94" s="1059">
        <f>+'P&amp;L'!BZ30</f>
        <v>0.20114979459917687</v>
      </c>
      <c r="CA94" s="470">
        <f>+SUM(BW94:BZ94)</f>
        <v>0.72967636798014102</v>
      </c>
      <c r="CB94" s="57"/>
      <c r="CC94" s="1059">
        <f>+'P&amp;L'!CC30</f>
        <v>0.17146688994587045</v>
      </c>
      <c r="CD94" s="1059">
        <f>+'P&amp;L'!CD30</f>
        <v>0.20176089095730076</v>
      </c>
      <c r="CE94" s="1059">
        <f>+'P&amp;L'!CE30</f>
        <v>0.20617461825357997</v>
      </c>
      <c r="CF94" s="1059">
        <f>+'P&amp;L'!CF30</f>
        <v>0.22024765186198506</v>
      </c>
      <c r="CG94" s="470">
        <f>+SUM(CC94:CF94)</f>
        <v>0.79965005101873621</v>
      </c>
      <c r="CW94" s="57"/>
    </row>
    <row r="95" spans="1:132" ht="11.25" customHeight="1" x14ac:dyDescent="0.2">
      <c r="A95" s="309"/>
      <c r="B95" s="1006" t="s">
        <v>22</v>
      </c>
      <c r="C95" s="288">
        <f>C89-C94</f>
        <v>72.83051483144007</v>
      </c>
      <c r="D95" s="288">
        <f>D89-D94</f>
        <v>82.613936727378132</v>
      </c>
      <c r="E95" s="288">
        <f>E89-E94</f>
        <v>123.7069886052297</v>
      </c>
      <c r="F95" s="288">
        <f>F89-F94</f>
        <v>101.17349826942494</v>
      </c>
      <c r="G95" s="289">
        <f>G89-G94</f>
        <v>380.32493843347248</v>
      </c>
      <c r="H95" s="464"/>
      <c r="I95" s="288">
        <f>I89-I94</f>
        <v>96.624631864849633</v>
      </c>
      <c r="J95" s="288">
        <f>J89-J94</f>
        <v>91.474121257233818</v>
      </c>
      <c r="K95" s="288">
        <f>K89-K94</f>
        <v>87.276160468613483</v>
      </c>
      <c r="L95" s="288">
        <f>L89-L94</f>
        <v>90.496484337558115</v>
      </c>
      <c r="M95" s="289">
        <f>M89-M94</f>
        <v>365.87139792825496</v>
      </c>
      <c r="N95" s="464"/>
      <c r="O95" s="288">
        <f>O89-O94</f>
        <v>81.894358626462108</v>
      </c>
      <c r="P95" s="288">
        <f>P89-P94</f>
        <v>100.6316093238916</v>
      </c>
      <c r="Q95" s="288">
        <f>Q89-Q94</f>
        <v>103.20064480829215</v>
      </c>
      <c r="R95" s="288">
        <f>R89-R94</f>
        <v>111.19321531094823</v>
      </c>
      <c r="S95" s="289">
        <f>S89-S94</f>
        <v>396.91982806959351</v>
      </c>
      <c r="T95" s="464"/>
      <c r="U95" s="288">
        <f>U89-U94</f>
        <v>89.804414431064259</v>
      </c>
      <c r="V95" s="288">
        <f>V89-V94</f>
        <v>103.40587091011511</v>
      </c>
      <c r="W95" s="288">
        <f>W89-W94</f>
        <v>96.535692111490476</v>
      </c>
      <c r="X95" s="288">
        <f>X89-X94</f>
        <v>123.61472647025019</v>
      </c>
      <c r="Y95" s="289">
        <f>Y89-Y94</f>
        <v>413.36070392292061</v>
      </c>
      <c r="Z95" s="464"/>
      <c r="AA95" s="288">
        <f>AA89-AA94</f>
        <v>110.41455455722317</v>
      </c>
      <c r="AB95" s="288">
        <f>AB89-AB94</f>
        <v>124.68483896739295</v>
      </c>
      <c r="AC95" s="288">
        <f>AC89-AC94</f>
        <v>78.537118288988609</v>
      </c>
      <c r="AD95" s="288">
        <f>AD89-AD94</f>
        <v>113.77905667369349</v>
      </c>
      <c r="AE95" s="289">
        <f>AE89-AE94</f>
        <v>427.4155684872984</v>
      </c>
      <c r="AF95" s="464"/>
      <c r="AG95" s="288">
        <f>AG89-AG94</f>
        <v>111.52740069445001</v>
      </c>
      <c r="AH95" s="288">
        <f>AH89-AH94</f>
        <v>122.75707939192228</v>
      </c>
      <c r="AI95" s="288">
        <f>AI89-AI94</f>
        <v>111.6758957576854</v>
      </c>
      <c r="AJ95" s="288">
        <f>AJ89-AJ94</f>
        <v>117.46669688600898</v>
      </c>
      <c r="AK95" s="289">
        <f>AK89-AK94</f>
        <v>463.42707273006636</v>
      </c>
      <c r="AL95" s="464"/>
      <c r="AM95" s="288">
        <f>AM89-AM94</f>
        <v>114.6853514953747</v>
      </c>
      <c r="AN95" s="288">
        <f>AN89-AN94</f>
        <v>148.80478063102942</v>
      </c>
      <c r="AO95" s="288">
        <f>AO89-AO94</f>
        <v>120.49400580640155</v>
      </c>
      <c r="AP95" s="288">
        <f>AP89-AP94</f>
        <v>139.76274396908735</v>
      </c>
      <c r="AQ95" s="289">
        <f>AQ89-AQ94</f>
        <v>523.74688190189318</v>
      </c>
      <c r="AR95" s="464"/>
      <c r="AS95" s="288">
        <f>AS89-AS94</f>
        <v>127.37499701392733</v>
      </c>
      <c r="AT95" s="288">
        <f>AT89-AT94</f>
        <v>152.73531969752239</v>
      </c>
      <c r="AU95" s="288">
        <f>AU89-AU94</f>
        <v>142.05210085817055</v>
      </c>
      <c r="AV95" s="288">
        <f>AV89-AV94</f>
        <v>136.07072547888643</v>
      </c>
      <c r="AW95" s="289">
        <f>AW89-AW94</f>
        <v>558.23314304850703</v>
      </c>
      <c r="AX95" s="464"/>
      <c r="AY95" s="288">
        <f>AY89-AY94</f>
        <v>127.44226317818458</v>
      </c>
      <c r="AZ95" s="288">
        <f>AZ89-AZ94</f>
        <v>172.74630706171584</v>
      </c>
      <c r="BA95" s="288">
        <f>BA89-BA94</f>
        <v>157.23309433548781</v>
      </c>
      <c r="BB95" s="288">
        <f>BB89-BB94</f>
        <v>146.4139284041822</v>
      </c>
      <c r="BC95" s="289">
        <f>BC89-BC94</f>
        <v>603.83559297957061</v>
      </c>
      <c r="BD95" s="464"/>
      <c r="BE95" s="288">
        <f>BE89-BE94</f>
        <v>150.07783092479141</v>
      </c>
      <c r="BF95" s="288">
        <f>BF89-BF94</f>
        <v>180.77894018755296</v>
      </c>
      <c r="BG95" s="288">
        <f>BG89-BG94</f>
        <v>154.16132251811982</v>
      </c>
      <c r="BH95" s="288">
        <f>BH89-BH94</f>
        <v>157.22065671980715</v>
      </c>
      <c r="BI95" s="289">
        <f>BI89-BI94</f>
        <v>642.23875035027129</v>
      </c>
      <c r="BJ95" s="464"/>
      <c r="BK95" s="288">
        <f>BK89-BK94</f>
        <v>112.11695248933147</v>
      </c>
      <c r="BL95" s="288">
        <f>BL89-BL94</f>
        <v>155.91436967670009</v>
      </c>
      <c r="BM95" s="288">
        <f>BM89-BM94</f>
        <v>164.66084010934401</v>
      </c>
      <c r="BN95" s="288">
        <f>BN89-BN94</f>
        <v>189.21294405548215</v>
      </c>
      <c r="BO95" s="289">
        <f>BO89-BO94</f>
        <v>621.90510633085762</v>
      </c>
      <c r="BP95" s="464"/>
      <c r="BQ95" s="288">
        <f>BQ89-BQ94</f>
        <v>103.67422229573003</v>
      </c>
      <c r="BR95" s="288">
        <f>BR89-BR94</f>
        <v>143.45997525431997</v>
      </c>
      <c r="BS95" s="288">
        <f>BS89-BS94</f>
        <v>167.13943769316327</v>
      </c>
      <c r="BT95" s="288">
        <f>BT89-BT94</f>
        <v>192.16746916770063</v>
      </c>
      <c r="BU95" s="289">
        <f>BU89-BU94</f>
        <v>606.44110441091391</v>
      </c>
      <c r="BV95" s="464"/>
      <c r="BW95" s="288">
        <f>BW89-BW94</f>
        <v>147.64606063411151</v>
      </c>
      <c r="BX95" s="288">
        <f>BX89-BX94</f>
        <v>174.53369382078827</v>
      </c>
      <c r="BY95" s="288">
        <f>BY89-BY94</f>
        <v>178.59917382356363</v>
      </c>
      <c r="BZ95" s="288">
        <f>BZ89-BZ94</f>
        <v>190.58943038272005</v>
      </c>
      <c r="CA95" s="289">
        <f>CA89-CA94</f>
        <v>691.36835866118349</v>
      </c>
      <c r="CB95" s="464"/>
      <c r="CC95" s="288">
        <f>CC89-CC94</f>
        <v>162.46487822371225</v>
      </c>
      <c r="CD95" s="288">
        <f>CD89-CD94</f>
        <v>191.16844418204246</v>
      </c>
      <c r="CE95" s="288">
        <f>CE89-CE94</f>
        <v>195.35045079526699</v>
      </c>
      <c r="CF95" s="288">
        <f>CF89-CF94</f>
        <v>208.68465013923083</v>
      </c>
      <c r="CG95" s="289">
        <f>CG89-CG94</f>
        <v>757.6684233402525</v>
      </c>
      <c r="CW95" s="464"/>
    </row>
    <row r="96" spans="1:132" x14ac:dyDescent="0.2">
      <c r="A96" s="309"/>
      <c r="B96" s="1006" t="s">
        <v>344</v>
      </c>
      <c r="C96" s="1011"/>
      <c r="D96" s="1011"/>
      <c r="E96" s="1011"/>
      <c r="F96" s="1011"/>
      <c r="G96" s="1012"/>
      <c r="I96" s="1011"/>
      <c r="J96" s="1011"/>
      <c r="K96" s="1011"/>
      <c r="L96" s="1011"/>
      <c r="M96" s="1012"/>
      <c r="O96" s="1011"/>
      <c r="P96" s="1011"/>
      <c r="Q96" s="1011"/>
      <c r="R96" s="1011"/>
      <c r="S96" s="1012"/>
      <c r="U96" s="1011"/>
      <c r="V96" s="1011"/>
      <c r="W96" s="1011"/>
      <c r="X96" s="1011"/>
      <c r="Y96" s="1012"/>
      <c r="AA96" s="1011"/>
      <c r="AB96" s="1011"/>
      <c r="AC96" s="1011"/>
      <c r="AD96" s="1011"/>
      <c r="AE96" s="1012"/>
      <c r="AG96" s="1011"/>
      <c r="AH96" s="1011"/>
      <c r="AI96" s="1011"/>
      <c r="AJ96" s="24"/>
      <c r="AK96" s="1012"/>
      <c r="AM96" s="1011"/>
      <c r="AN96" s="1011"/>
      <c r="AO96" s="1011"/>
      <c r="AP96" s="1011"/>
      <c r="AQ96" s="1012"/>
      <c r="AS96" s="1011"/>
      <c r="AT96" s="1011"/>
      <c r="AU96" s="1011"/>
      <c r="AV96" s="1011"/>
      <c r="AW96" s="1012"/>
      <c r="AY96" s="1011"/>
      <c r="AZ96" s="1011"/>
      <c r="BA96" s="1011"/>
      <c r="BB96" s="1011"/>
      <c r="BC96" s="1013"/>
      <c r="BD96" s="244"/>
      <c r="BE96" s="178"/>
      <c r="BF96" s="178"/>
      <c r="BG96" s="178"/>
      <c r="BH96" s="178"/>
      <c r="BI96" s="470"/>
      <c r="BJ96" s="244"/>
      <c r="BK96" s="178"/>
      <c r="BL96" s="178"/>
      <c r="BM96" s="178"/>
      <c r="BN96" s="178"/>
      <c r="BO96" s="470"/>
      <c r="BP96" s="244"/>
      <c r="BQ96" s="178"/>
      <c r="BR96" s="178"/>
      <c r="BS96" s="178"/>
      <c r="BT96" s="178"/>
      <c r="BU96" s="470"/>
      <c r="BV96" s="244"/>
      <c r="BW96" s="178"/>
      <c r="BX96" s="178"/>
      <c r="BY96" s="178"/>
      <c r="BZ96" s="178"/>
      <c r="CA96" s="470"/>
      <c r="CB96" s="244"/>
      <c r="CC96" s="178"/>
      <c r="CD96" s="178"/>
      <c r="CE96" s="178"/>
      <c r="CF96" s="178"/>
      <c r="CG96" s="470"/>
      <c r="CW96" s="244"/>
    </row>
    <row r="97" spans="1:132" ht="6.75" customHeight="1" x14ac:dyDescent="0.2">
      <c r="A97" s="24"/>
      <c r="B97" s="20"/>
      <c r="C97" s="153"/>
      <c r="D97" s="153"/>
      <c r="E97" s="153"/>
      <c r="F97" s="153"/>
      <c r="G97" s="152"/>
      <c r="H97" s="714"/>
      <c r="I97" s="153"/>
      <c r="J97" s="153"/>
      <c r="K97" s="153"/>
      <c r="L97" s="153"/>
      <c r="M97" s="152"/>
      <c r="N97" s="714"/>
      <c r="O97" s="153"/>
      <c r="P97" s="153"/>
      <c r="Q97" s="153"/>
      <c r="R97" s="153"/>
      <c r="S97" s="152"/>
      <c r="T97" s="714"/>
      <c r="U97" s="153"/>
      <c r="V97" s="153"/>
      <c r="W97" s="153"/>
      <c r="X97" s="153"/>
      <c r="Y97" s="152"/>
      <c r="Z97" s="714"/>
      <c r="AA97" s="153"/>
      <c r="AB97" s="153"/>
      <c r="AC97" s="153"/>
      <c r="AD97" s="153"/>
      <c r="AE97" s="152"/>
      <c r="AF97" s="714"/>
      <c r="AG97" s="153"/>
      <c r="AH97" s="153"/>
      <c r="AI97" s="153"/>
      <c r="AJ97" s="153"/>
      <c r="AK97" s="152"/>
      <c r="AL97" s="714"/>
      <c r="AM97" s="153"/>
      <c r="AN97" s="153"/>
      <c r="AO97" s="153"/>
      <c r="AP97" s="153"/>
      <c r="AQ97" s="152"/>
      <c r="AR97" s="714"/>
      <c r="AS97" s="153"/>
      <c r="AT97" s="153"/>
      <c r="AU97" s="153"/>
      <c r="AV97" s="153"/>
      <c r="AW97" s="152"/>
      <c r="AX97" s="714"/>
      <c r="AY97" s="153"/>
      <c r="AZ97" s="153"/>
      <c r="BA97" s="153"/>
      <c r="BB97" s="153"/>
      <c r="BC97" s="152"/>
      <c r="BD97" s="714"/>
      <c r="BE97" s="153"/>
      <c r="BF97" s="153"/>
      <c r="BG97" s="153"/>
      <c r="BH97" s="153"/>
      <c r="BI97" s="152"/>
      <c r="BJ97" s="714"/>
      <c r="BK97" s="153"/>
      <c r="BL97" s="153"/>
      <c r="BM97" s="153"/>
      <c r="BN97" s="153"/>
      <c r="BO97" s="152"/>
      <c r="BP97" s="714"/>
      <c r="BQ97" s="153"/>
      <c r="BR97" s="153"/>
      <c r="BS97" s="153"/>
      <c r="BT97" s="153"/>
      <c r="BU97" s="152"/>
      <c r="BV97" s="714"/>
      <c r="BW97" s="153"/>
      <c r="BX97" s="153"/>
      <c r="BY97" s="153"/>
      <c r="BZ97" s="153"/>
      <c r="CA97" s="152"/>
      <c r="CB97" s="714"/>
      <c r="CC97" s="153"/>
      <c r="CD97" s="153"/>
      <c r="CE97" s="153"/>
      <c r="CF97" s="153"/>
      <c r="CG97" s="152"/>
      <c r="CW97" s="714"/>
    </row>
    <row r="98" spans="1:132" x14ac:dyDescent="0.2">
      <c r="A98" s="24"/>
      <c r="B98" s="594" t="s">
        <v>336</v>
      </c>
      <c r="C98" s="471">
        <f>'P&amp;L'!C34+(C99*1.8142)</f>
        <v>252.56524894739999</v>
      </c>
      <c r="D98" s="471">
        <f>'P&amp;L'!D34+(D99*1.8142)</f>
        <v>254.4373173946</v>
      </c>
      <c r="E98" s="471">
        <f>'P&amp;L'!E34+(E99*1.8142)</f>
        <v>255.46154508799998</v>
      </c>
      <c r="F98" s="471">
        <f>'P&amp;L'!F34+(F99*1.8142)</f>
        <v>255.11133552220002</v>
      </c>
      <c r="G98" s="161">
        <f>AVERAGE(C98:F98)</f>
        <v>254.39386173805002</v>
      </c>
      <c r="H98" s="155"/>
      <c r="I98" s="471">
        <f>'P&amp;L'!I34+(I99*1.8142)</f>
        <v>253.1079414786</v>
      </c>
      <c r="J98" s="471">
        <f>'P&amp;L'!J34+(J99*1.8142)</f>
        <v>252.09334809239999</v>
      </c>
      <c r="K98" s="471">
        <f>'P&amp;L'!K34+(K99*1.8142)</f>
        <v>252.02190078839999</v>
      </c>
      <c r="L98" s="471">
        <f>'P&amp;L'!L34+(L99*1.8142)</f>
        <v>250.25152269660001</v>
      </c>
      <c r="M98" s="161">
        <f>AVERAGE(I98:L98)</f>
        <v>251.86867826399998</v>
      </c>
      <c r="N98" s="155"/>
      <c r="O98" s="471">
        <f>'P&amp;L'!O34+(O99*1.8142)</f>
        <v>249.56599533480002</v>
      </c>
      <c r="P98" s="471">
        <f>'P&amp;L'!P34+(P99*1.8142)</f>
        <v>250.84826811139999</v>
      </c>
      <c r="Q98" s="471">
        <f>'P&amp;L'!Q34+(Q99*1.8142)</f>
        <v>252.4234859954</v>
      </c>
      <c r="R98" s="471">
        <f>'P&amp;L'!R34+(R99*1.8142)</f>
        <v>252.4595776896</v>
      </c>
      <c r="S98" s="161">
        <f>AVERAGE(O98:R98)</f>
        <v>251.32433178280002</v>
      </c>
      <c r="T98" s="155"/>
      <c r="U98" s="471">
        <f>'P&amp;L'!U34+(U99*1.8142)</f>
        <v>251.99606337620003</v>
      </c>
      <c r="V98" s="471">
        <f>'P&amp;L'!V34+(V99*1.8142)</f>
        <v>249.87555416879999</v>
      </c>
      <c r="W98" s="471">
        <f>'P&amp;L'!W34+(W99*1.8142)</f>
        <v>246.88764705599999</v>
      </c>
      <c r="X98" s="471">
        <f>'P&amp;L'!X34+(X99*1.8142)</f>
        <v>247.07902320400001</v>
      </c>
      <c r="Y98" s="161">
        <f>AVERAGE(U98:X98)</f>
        <v>248.95957195125001</v>
      </c>
      <c r="Z98" s="155"/>
      <c r="AA98" s="471">
        <f>'P&amp;L'!AA34+(AA99*1.8142)</f>
        <v>247.85463391460002</v>
      </c>
      <c r="AB98" s="471">
        <f>'P&amp;L'!AB34+(AB99*1.8142)</f>
        <v>247.83012408460002</v>
      </c>
      <c r="AC98" s="471">
        <f>'P&amp;L'!AC34+(AC99*1.8142)</f>
        <v>247.64981720000003</v>
      </c>
      <c r="AD98" s="471">
        <f>'P&amp;L'!AD34+(AD99*1.8142)</f>
        <v>247.20691820000002</v>
      </c>
      <c r="AE98" s="161">
        <f>AVERAGE(AA98:AD98)</f>
        <v>247.63537334980003</v>
      </c>
      <c r="AF98" s="155"/>
      <c r="AG98" s="471">
        <f>'P&amp;L'!AG34+(AG99*1.8142)</f>
        <v>247.24100720000001</v>
      </c>
      <c r="AH98" s="471">
        <f>'P&amp;L'!AH34+(AH99*1.8142)</f>
        <v>246.75898139999998</v>
      </c>
      <c r="AI98" s="471">
        <f>'P&amp;L'!AI34+(AI99*1.8142)</f>
        <v>246.1844212666</v>
      </c>
      <c r="AJ98" s="471">
        <f>'P&amp;L'!AJ34+(AJ99*1.8142)</f>
        <v>246.48712516340001</v>
      </c>
      <c r="AK98" s="161">
        <f>AVERAGE(AG98:AJ98)</f>
        <v>246.66788375749999</v>
      </c>
      <c r="AL98" s="155"/>
      <c r="AM98" s="471">
        <f>'P&amp;L'!AM34+(AM99*1.8142)</f>
        <v>247.06120540320001</v>
      </c>
      <c r="AN98" s="471">
        <f>'P&amp;L'!AN34+(AN99*1.8142)</f>
        <v>247.12895859420001</v>
      </c>
      <c r="AO98" s="471">
        <f>'P&amp;L'!AO34+(AO99*1.8142)</f>
        <v>246.45788763340002</v>
      </c>
      <c r="AP98" s="471">
        <f>'P&amp;L'!AP34+(AP99*1.8142)</f>
        <v>246.9880605136</v>
      </c>
      <c r="AQ98" s="161">
        <f>AVERAGE(AM98:AP98)</f>
        <v>246.90902803610001</v>
      </c>
      <c r="AR98" s="155"/>
      <c r="AS98" s="471">
        <f>'P&amp;L'!AS34+(AS99*1.8142)</f>
        <v>246.40967209320002</v>
      </c>
      <c r="AT98" s="471">
        <f>'P&amp;L'!AT34+(AT99*1.8142)</f>
        <v>246.19111747919999</v>
      </c>
      <c r="AU98" s="471">
        <f>'P&amp;L'!AU34+(AU99*1.8142)</f>
        <v>246.30129070940001</v>
      </c>
      <c r="AV98" s="471">
        <f>'P&amp;L'!AV34+(AV99*1.8142)</f>
        <v>246.1176391134</v>
      </c>
      <c r="AW98" s="161">
        <f>AVERAGE(AS98:AV98)</f>
        <v>246.25492984879997</v>
      </c>
      <c r="AX98" s="155"/>
      <c r="AY98" s="471">
        <f>'P&amp;L'!AY34+(AY99*1.8142)</f>
        <v>245.0552129058</v>
      </c>
      <c r="AZ98" s="471">
        <f>'P&amp;L'!AZ34+(AZ99*1.8142)</f>
        <v>244.577110844</v>
      </c>
      <c r="BA98" s="471">
        <f>'P&amp;L'!BA34+(BA99*1.8142)</f>
        <v>244.79978862900001</v>
      </c>
      <c r="BB98" s="471">
        <f>'P&amp;L'!BB34+(BB99*1.8142)</f>
        <v>245.42710011399998</v>
      </c>
      <c r="BC98" s="161">
        <f>AVERAGE(AY98:BB98)</f>
        <v>244.9648031232</v>
      </c>
      <c r="BD98" s="155"/>
      <c r="BE98" s="262">
        <f>BE102+BB98-BB102</f>
        <v>238.88905915359996</v>
      </c>
      <c r="BF98" s="262">
        <f>BF102+BE98-BE102</f>
        <v>237.65811815359999</v>
      </c>
      <c r="BG98" s="262">
        <f>BG102+BF98-BF102</f>
        <v>236.25811815359998</v>
      </c>
      <c r="BH98" s="262">
        <f>BH102+BG98-BG102</f>
        <v>234.75811815360001</v>
      </c>
      <c r="BI98" s="161">
        <f>AVERAGE(BE98:BH98)</f>
        <v>236.89085340359998</v>
      </c>
      <c r="BJ98" s="155"/>
      <c r="BK98" s="1191">
        <f>+'P&amp;L'!BK34</f>
        <v>234</v>
      </c>
      <c r="BL98" s="1191">
        <f>+'P&amp;L'!BL34</f>
        <v>233.26499999999999</v>
      </c>
      <c r="BM98" s="1191">
        <f>+'P&amp;L'!BM34</f>
        <v>233.1</v>
      </c>
      <c r="BN98" s="1191">
        <f>+'P&amp;L'!BN34</f>
        <v>231.887</v>
      </c>
      <c r="BO98" s="161">
        <f>BN98</f>
        <v>231.887</v>
      </c>
      <c r="BP98" s="155"/>
      <c r="BQ98" s="1191">
        <f>+'P&amp;L'!BQ34</f>
        <v>227.41445372219599</v>
      </c>
      <c r="BR98" s="1191">
        <f>+'P&amp;L'!BR34</f>
        <v>225.51247736097849</v>
      </c>
      <c r="BS98" s="1191">
        <f>+'P&amp;L'!BS34</f>
        <v>223.76681027645824</v>
      </c>
      <c r="BT98" s="1191">
        <f>+'P&amp;L'!BT34</f>
        <v>221.97548823787531</v>
      </c>
      <c r="BU98" s="161">
        <f>AVERAGE(BQ98:BT98)</f>
        <v>224.66730739937702</v>
      </c>
      <c r="BV98" s="155"/>
      <c r="BW98" s="1191">
        <f>+'P&amp;L'!BW34</f>
        <v>219.82208271680352</v>
      </c>
      <c r="BX98" s="1191">
        <f>+'P&amp;L'!BX34</f>
        <v>218.02192609344979</v>
      </c>
      <c r="BY98" s="1191">
        <f>+'P&amp;L'!BY34</f>
        <v>216.07042803033173</v>
      </c>
      <c r="BZ98" s="1191">
        <f>+'P&amp;L'!BZ34</f>
        <v>214.04696860698118</v>
      </c>
      <c r="CA98" s="161">
        <f>AVERAGE(BW98:BZ98)</f>
        <v>216.99035136189156</v>
      </c>
      <c r="CB98" s="155"/>
      <c r="CC98" s="262">
        <f>CC102+BZ98-BZ102</f>
        <v>211.89431819276101</v>
      </c>
      <c r="CD98" s="262">
        <f>CD102+CC98-CC102</f>
        <v>210.25197432473524</v>
      </c>
      <c r="CE98" s="262">
        <f>CE102+CD98-CD102</f>
        <v>208.45961674816115</v>
      </c>
      <c r="CF98" s="262">
        <f>CF102+CE98-CE102</f>
        <v>206.59622190846738</v>
      </c>
      <c r="CG98" s="161">
        <f>AVERAGE(CC98:CF98)</f>
        <v>209.3005327935312</v>
      </c>
      <c r="CH98" s="157"/>
      <c r="CI98" s="157"/>
      <c r="CJ98" s="157"/>
      <c r="CK98" s="157"/>
      <c r="CL98" s="157"/>
      <c r="CM98" s="100"/>
      <c r="CN98" s="67"/>
      <c r="CO98" s="67"/>
      <c r="CP98" s="67"/>
      <c r="CQ98" s="67"/>
      <c r="CR98" s="67"/>
      <c r="CS98" s="67"/>
      <c r="CT98" s="67"/>
      <c r="CU98" s="67"/>
      <c r="CV98" s="239"/>
      <c r="CW98" s="155"/>
    </row>
    <row r="99" spans="1:132" hidden="1" outlineLevel="1" x14ac:dyDescent="0.2">
      <c r="A99" s="24"/>
      <c r="B99" s="1014" t="s">
        <v>577</v>
      </c>
      <c r="C99" s="471">
        <v>54.890447000000002</v>
      </c>
      <c r="D99" s="471">
        <v>54.880563000000002</v>
      </c>
      <c r="E99" s="471">
        <v>55.52064</v>
      </c>
      <c r="F99" s="471">
        <v>55.436740999999998</v>
      </c>
      <c r="G99" s="161">
        <f>AVERAGE(C99:F99)</f>
        <v>55.182097749999997</v>
      </c>
      <c r="H99" s="155"/>
      <c r="I99" s="471">
        <v>55.189582999999999</v>
      </c>
      <c r="J99" s="471">
        <v>55.287922000000002</v>
      </c>
      <c r="K99" s="471">
        <v>55.299802</v>
      </c>
      <c r="L99" s="471">
        <v>55.130372999999999</v>
      </c>
      <c r="M99" s="161">
        <f>AVERAGE(I99:L99)</f>
        <v>55.22692</v>
      </c>
      <c r="N99" s="155"/>
      <c r="O99" s="471">
        <v>55.044094000000001</v>
      </c>
      <c r="P99" s="471">
        <v>55.556866999999997</v>
      </c>
      <c r="Q99" s="471">
        <v>56.104886999999998</v>
      </c>
      <c r="R99" s="471">
        <v>56.356287999999999</v>
      </c>
      <c r="S99" s="161">
        <f>AVERAGE(O99:R99)</f>
        <v>55.765534000000002</v>
      </c>
      <c r="T99" s="155"/>
      <c r="U99" s="471">
        <v>56.610111000000003</v>
      </c>
      <c r="V99" s="471">
        <v>56.739364000000002</v>
      </c>
      <c r="W99" s="471">
        <v>56.677680000000002</v>
      </c>
      <c r="X99" s="471">
        <v>56.852620000000002</v>
      </c>
      <c r="Y99" s="161">
        <f>AVERAGE(U99:X99)</f>
        <v>56.719943750000006</v>
      </c>
      <c r="Z99" s="155"/>
      <c r="AA99" s="471">
        <v>57.221162999999997</v>
      </c>
      <c r="AB99" s="471">
        <v>57.577513000000003</v>
      </c>
      <c r="AC99" s="471">
        <v>57.466000000000001</v>
      </c>
      <c r="AD99" s="471">
        <v>57.121000000000002</v>
      </c>
      <c r="AE99" s="161">
        <f>AVERAGE(AA99:AD99)</f>
        <v>57.346419000000004</v>
      </c>
      <c r="AF99" s="155"/>
      <c r="AG99" s="471">
        <v>56.915999999999997</v>
      </c>
      <c r="AH99" s="471">
        <v>56.716999999999999</v>
      </c>
      <c r="AI99" s="471">
        <v>56.388722999999999</v>
      </c>
      <c r="AJ99" s="471">
        <v>56.327927000000003</v>
      </c>
      <c r="AK99" s="161">
        <f>AVERAGE(AG99:AJ99)</f>
        <v>56.587412499999999</v>
      </c>
      <c r="AL99" s="155"/>
      <c r="AM99" s="471">
        <v>56.202295999999997</v>
      </c>
      <c r="AN99" s="471">
        <v>56.220900999999998</v>
      </c>
      <c r="AO99" s="471">
        <v>56.090777000000003</v>
      </c>
      <c r="AP99" s="471">
        <v>56.130007999999997</v>
      </c>
      <c r="AQ99" s="161">
        <f>AVERAGE(AM99:AP99)</f>
        <v>56.160995499999999</v>
      </c>
      <c r="AR99" s="155"/>
      <c r="AS99" s="471">
        <v>56.199246000000002</v>
      </c>
      <c r="AT99" s="471">
        <v>56.238076</v>
      </c>
      <c r="AU99" s="471">
        <v>56.231557000000002</v>
      </c>
      <c r="AV99" s="471">
        <v>56.290177</v>
      </c>
      <c r="AW99" s="161">
        <f>AVERAGE(AS99:AV99)</f>
        <v>56.239764000000001</v>
      </c>
      <c r="AX99" s="155"/>
      <c r="AY99" s="471">
        <v>56.361598999999998</v>
      </c>
      <c r="AZ99" s="471">
        <v>56.396819999999998</v>
      </c>
      <c r="BA99" s="471">
        <v>56.443494999999999</v>
      </c>
      <c r="BB99" s="471">
        <v>56.513669999999998</v>
      </c>
      <c r="BC99" s="161">
        <f>AVERAGE(AY99:BB99)</f>
        <v>56.428895999999995</v>
      </c>
      <c r="BD99" s="155"/>
      <c r="BE99" s="262"/>
      <c r="BF99" s="262"/>
      <c r="BG99" s="262"/>
      <c r="BH99" s="262"/>
      <c r="BI99" s="161"/>
      <c r="BJ99" s="155"/>
      <c r="BK99" s="262"/>
      <c r="BL99" s="262"/>
      <c r="BM99" s="262"/>
      <c r="BN99" s="262"/>
      <c r="BO99" s="161"/>
      <c r="BP99" s="155"/>
      <c r="BQ99" s="262"/>
      <c r="BR99" s="262"/>
      <c r="BS99" s="262"/>
      <c r="BT99" s="262"/>
      <c r="BU99" s="161"/>
      <c r="BV99" s="155"/>
      <c r="BW99" s="262"/>
      <c r="BX99" s="262"/>
      <c r="BY99" s="262"/>
      <c r="BZ99" s="262"/>
      <c r="CA99" s="161"/>
      <c r="CB99" s="155"/>
      <c r="CC99" s="262"/>
      <c r="CD99" s="262"/>
      <c r="CE99" s="262"/>
      <c r="CF99" s="262"/>
      <c r="CG99" s="161"/>
      <c r="CH99" s="157"/>
      <c r="CI99" s="157"/>
      <c r="CJ99" s="157"/>
      <c r="CK99" s="157"/>
      <c r="CL99" s="157"/>
      <c r="CM99" s="100"/>
      <c r="CN99" s="67"/>
      <c r="CO99" s="67"/>
      <c r="CP99" s="67"/>
      <c r="CQ99" s="67"/>
      <c r="CR99" s="67"/>
      <c r="CS99" s="67"/>
      <c r="CT99" s="67"/>
      <c r="CU99" s="67"/>
      <c r="CV99" s="239"/>
      <c r="CW99" s="155"/>
    </row>
    <row r="100" spans="1:132" collapsed="1" x14ac:dyDescent="0.2">
      <c r="A100" s="24"/>
      <c r="B100" s="594" t="s">
        <v>236</v>
      </c>
      <c r="C100" s="471">
        <f>'P&amp;L'!C35+(C101*1.8142)</f>
        <v>249.15143378900001</v>
      </c>
      <c r="D100" s="471">
        <f>'P&amp;L'!D35+(D101*1.8142)</f>
        <v>251.32112751300002</v>
      </c>
      <c r="E100" s="471">
        <f>'P&amp;L'!E35+(E101*1.8142)</f>
        <v>250.97162146779999</v>
      </c>
      <c r="F100" s="471">
        <f>'P&amp;L'!F35+(F101*1.8142)</f>
        <v>250.53369340080002</v>
      </c>
      <c r="G100" s="161">
        <f>AVERAGE(C100:F100)</f>
        <v>250.49446904265</v>
      </c>
      <c r="H100" s="155"/>
      <c r="I100" s="471">
        <f>'P&amp;L'!I35+(I101*1.8142)</f>
        <v>249.33816758079999</v>
      </c>
      <c r="J100" s="471">
        <f>'P&amp;L'!J35+(J101*1.8142)</f>
        <v>248.27772302400001</v>
      </c>
      <c r="K100" s="471">
        <f>'P&amp;L'!K35+(K101*1.8142)</f>
        <v>248.24648478060001</v>
      </c>
      <c r="L100" s="471">
        <f>'P&amp;L'!L35+(L101*1.8142)</f>
        <v>248.2519248536</v>
      </c>
      <c r="M100" s="161">
        <f>AVERAGE(I100:L100)</f>
        <v>248.52857505975001</v>
      </c>
      <c r="N100" s="155"/>
      <c r="O100" s="471">
        <f>'P&amp;L'!O35+(O101*1.8142)</f>
        <v>247.96591137680002</v>
      </c>
      <c r="P100" s="471">
        <f>'P&amp;L'!P35+(P101*1.8142)</f>
        <v>248.13834210660002</v>
      </c>
      <c r="Q100" s="471">
        <f>'P&amp;L'!Q35+(Q101*1.8142)</f>
        <v>248.20287825439999</v>
      </c>
      <c r="R100" s="471">
        <f>'P&amp;L'!R35+(R101*1.8142)</f>
        <v>247.37166946579998</v>
      </c>
      <c r="S100" s="161">
        <f>AVERAGE(O100:R100)</f>
        <v>247.91970030090002</v>
      </c>
      <c r="T100" s="155"/>
      <c r="U100" s="471">
        <f>'P&amp;L'!U35+(U101*1.8142)</f>
        <v>246.7800450048</v>
      </c>
      <c r="V100" s="471">
        <f>'P&amp;L'!V35+(V101*1.8142)</f>
        <v>244.97257992139998</v>
      </c>
      <c r="W100" s="471">
        <f>'P&amp;L'!W35+(W101*1.8142)</f>
        <v>242.76526115339999</v>
      </c>
      <c r="X100" s="471">
        <f>'P&amp;L'!X35+(X101*1.8142)</f>
        <v>242.326457968</v>
      </c>
      <c r="Y100" s="161">
        <f>AVERAGE(U100:X100)</f>
        <v>244.21108601189999</v>
      </c>
      <c r="Z100" s="155"/>
      <c r="AA100" s="471">
        <f>'P&amp;L'!AA35+(AA101*1.8142)</f>
        <v>242.35583478979999</v>
      </c>
      <c r="AB100" s="471">
        <f>'P&amp;L'!AB35+(AB101*1.8142)</f>
        <v>242.40590414319999</v>
      </c>
      <c r="AC100" s="471">
        <f>'P&amp;L'!AC35+(AC101*1.8142)</f>
        <v>242.76995606809999</v>
      </c>
      <c r="AD100" s="471">
        <f>'P&amp;L'!AD35+(AD101*1.8142)</f>
        <v>242.59563940000001</v>
      </c>
      <c r="AE100" s="161">
        <f>AVERAGE(AA100:AD100)</f>
        <v>242.53183360027498</v>
      </c>
      <c r="AF100" s="155"/>
      <c r="AG100" s="471">
        <f>'P&amp;L'!AG35+(AG101*1.8142)</f>
        <v>242.6930223</v>
      </c>
      <c r="AH100" s="471">
        <f>'P&amp;L'!AH35+(AH101*1.8142)</f>
        <v>242.52788531520002</v>
      </c>
      <c r="AI100" s="471">
        <f>'P&amp;L'!AI35+(AI101*1.8142)</f>
        <v>242.13044481520001</v>
      </c>
      <c r="AJ100" s="471">
        <f>'P&amp;L'!AJ35+(AJ101*1.8142)</f>
        <v>241.92931774410005</v>
      </c>
      <c r="AK100" s="161">
        <f>AVERAGE(AG100:AJ100)</f>
        <v>242.32016754362502</v>
      </c>
      <c r="AL100" s="155"/>
      <c r="AM100" s="471">
        <f>'P&amp;L'!AM35+(AM101*1.8142)</f>
        <v>242.49504560130003</v>
      </c>
      <c r="AN100" s="471">
        <f>'P&amp;L'!AN35+(AN101*1.8142)</f>
        <v>242.6400182328</v>
      </c>
      <c r="AO100" s="471">
        <f>'P&amp;L'!AO35+(AO101*1.8142)</f>
        <v>242.1861466133</v>
      </c>
      <c r="AP100" s="471">
        <f>'P&amp;L'!AP35+(AP101*1.8142)</f>
        <v>242.418039368</v>
      </c>
      <c r="AQ100" s="161">
        <f>AVERAGE(AM100:AP100)</f>
        <v>242.43481245385001</v>
      </c>
      <c r="AR100" s="155"/>
      <c r="AS100" s="471">
        <f>'P&amp;L'!AS35+(AS101*1.8142)</f>
        <v>242.16369547310001</v>
      </c>
      <c r="AT100" s="471">
        <f>'P&amp;L'!AT35+(AT101*1.8142)</f>
        <v>242.18060839110001</v>
      </c>
      <c r="AU100" s="471">
        <f>'P&amp;L'!AU35+(AU101*1.8142)</f>
        <v>242.1971575753</v>
      </c>
      <c r="AV100" s="471">
        <f>'P&amp;L'!AV35+(AV101*1.8142)</f>
        <v>241.79046553559999</v>
      </c>
      <c r="AW100" s="161">
        <f>AVERAGE(AS100:AV100)</f>
        <v>242.08298174377501</v>
      </c>
      <c r="AX100" s="155"/>
      <c r="AY100" s="471">
        <f>'P&amp;L'!AY35+(AY101*1.8142)</f>
        <v>241.0990513404</v>
      </c>
      <c r="AZ100" s="471">
        <f>'P&amp;L'!AZ35+(AZ101*1.8142)</f>
        <v>240.87485604139999</v>
      </c>
      <c r="BA100" s="471">
        <f>'P&amp;L'!BA35+(BA101*1.8142)</f>
        <v>241.16687930160001</v>
      </c>
      <c r="BB100" s="471">
        <f>'P&amp;L'!BB35+(BB101*1.8142)</f>
        <v>241.44074808300002</v>
      </c>
      <c r="BC100" s="161">
        <f>AVERAGE(AY100:BB100)</f>
        <v>241.14538369160002</v>
      </c>
      <c r="BD100" s="155"/>
      <c r="BE100" s="262">
        <f>+AVERAGE(BE102,BB102)</f>
        <v>237.4999614802</v>
      </c>
      <c r="BF100" s="262">
        <f>+AVERAGE(BF102,BC102)</f>
        <v>236.88449098019998</v>
      </c>
      <c r="BG100" s="262">
        <f>+MIN(AVERAGE(BG173:BG174),BG98)</f>
        <v>232.3</v>
      </c>
      <c r="BH100" s="262">
        <f>+MIN(AVERAGE(BH173:BH174),BH98)</f>
        <v>230.73622902270483</v>
      </c>
      <c r="BI100" s="161">
        <f>+MIN(AVERAGE(BI173:BI174),BI98)</f>
        <v>235.32072000290484</v>
      </c>
      <c r="BJ100" s="155"/>
      <c r="BK100" s="1191">
        <f>+'P&amp;L'!BK35</f>
        <v>230.1</v>
      </c>
      <c r="BL100" s="1191">
        <f>+'P&amp;L'!BL35</f>
        <v>229.4</v>
      </c>
      <c r="BM100" s="1191">
        <f>+'P&amp;L'!BM35</f>
        <v>229.5</v>
      </c>
      <c r="BN100" s="1191">
        <f>+'P&amp;L'!BN35</f>
        <v>228.6</v>
      </c>
      <c r="BO100" s="161">
        <f>BN100</f>
        <v>228.6</v>
      </c>
      <c r="BP100" s="155"/>
      <c r="BQ100" s="1191">
        <f>+'P&amp;L'!BQ35</f>
        <v>225.10099394184334</v>
      </c>
      <c r="BR100" s="1191">
        <f>+'P&amp;L'!BR35</f>
        <v>223.17646554158722</v>
      </c>
      <c r="BS100" s="1191">
        <f>+'P&amp;L'!BS35</f>
        <v>221.35264381871838</v>
      </c>
      <c r="BT100" s="1191">
        <f>+'P&amp;L'!BT35</f>
        <v>219.58414925716676</v>
      </c>
      <c r="BU100" s="161">
        <f>+MIN(AVERAGE(BU173:BU174),BU98)</f>
        <v>222.22047619207262</v>
      </c>
      <c r="BV100" s="155"/>
      <c r="BW100" s="1191">
        <f>+'P&amp;L'!BW35</f>
        <v>217.61178547733942</v>
      </c>
      <c r="BX100" s="1191">
        <f>+'P&amp;L'!BX35</f>
        <v>215.63500440512667</v>
      </c>
      <c r="BY100" s="1191">
        <f>+'P&amp;L'!BY35</f>
        <v>213.75917706189074</v>
      </c>
      <c r="BZ100" s="1191">
        <f>+'P&amp;L'!BZ35</f>
        <v>211.77169831865643</v>
      </c>
      <c r="CA100" s="161">
        <f>+MIN(AVERAGE(CA173:CA174),CA98)</f>
        <v>214.56319341481787</v>
      </c>
      <c r="CB100" s="155"/>
      <c r="CC100" s="262">
        <f>+MIN(AVERAGE(CC173:CC174),CC98)</f>
        <v>209.60312589606593</v>
      </c>
      <c r="CD100" s="262">
        <f>+MIN(AVERAGE(CD173:CD174),CD98)</f>
        <v>207.78614625874815</v>
      </c>
      <c r="CE100" s="262">
        <f>+MIN(AVERAGE(CE173:CE174),CE98)</f>
        <v>206.06879553644819</v>
      </c>
      <c r="CF100" s="262">
        <f>+MIN(AVERAGE(CF173:CF174),CF98)</f>
        <v>204.24091932831425</v>
      </c>
      <c r="CG100" s="161">
        <f>+MIN(AVERAGE(CG173:CG174),CG98)</f>
        <v>206.95407775391908</v>
      </c>
      <c r="CH100" s="157"/>
      <c r="CI100" s="157"/>
      <c r="CJ100" s="157"/>
      <c r="CK100" s="157"/>
      <c r="CL100" s="157"/>
      <c r="CM100" s="100"/>
      <c r="CN100" s="67"/>
      <c r="CO100" s="67"/>
      <c r="CP100" s="67"/>
      <c r="CQ100" s="67"/>
      <c r="CR100" s="67"/>
      <c r="CS100" s="67"/>
      <c r="CT100" s="67"/>
      <c r="CU100" s="67"/>
      <c r="CV100" s="239"/>
      <c r="CW100" s="155"/>
    </row>
    <row r="101" spans="1:132" hidden="1" outlineLevel="1" x14ac:dyDescent="0.2">
      <c r="A101" s="24"/>
      <c r="B101" s="1014" t="s">
        <v>578</v>
      </c>
      <c r="C101" s="471">
        <v>54.683295000000001</v>
      </c>
      <c r="D101" s="471">
        <v>54.746515000000002</v>
      </c>
      <c r="E101" s="471">
        <v>54.756709000000001</v>
      </c>
      <c r="F101" s="471">
        <v>54.768324</v>
      </c>
      <c r="G101" s="161">
        <f>AVERAGE(C101:F101)</f>
        <v>54.738710750000003</v>
      </c>
      <c r="H101" s="155"/>
      <c r="I101" s="471">
        <v>54.786223999999997</v>
      </c>
      <c r="J101" s="471">
        <v>54.804720000000003</v>
      </c>
      <c r="K101" s="471">
        <v>54.829393000000003</v>
      </c>
      <c r="L101" s="471">
        <v>54.862707999999998</v>
      </c>
      <c r="M101" s="161">
        <f>AVERAGE(I101:L101)</f>
        <v>54.820761250000004</v>
      </c>
      <c r="N101" s="155"/>
      <c r="O101" s="471">
        <v>54.818604000000001</v>
      </c>
      <c r="P101" s="471">
        <v>54.878923</v>
      </c>
      <c r="Q101" s="471">
        <v>54.931032000000002</v>
      </c>
      <c r="R101" s="471">
        <v>54.968398999999998</v>
      </c>
      <c r="S101" s="161">
        <f>AVERAGE(O101:R101)</f>
        <v>54.8992395</v>
      </c>
      <c r="T101" s="155"/>
      <c r="U101" s="471">
        <v>55.122943999999997</v>
      </c>
      <c r="V101" s="471">
        <v>55.227417000000003</v>
      </c>
      <c r="W101" s="471">
        <v>55.266376999999999</v>
      </c>
      <c r="X101" s="471">
        <v>55.337040000000002</v>
      </c>
      <c r="Y101" s="161">
        <f>AVERAGE(U101:X101)</f>
        <v>55.2384445</v>
      </c>
      <c r="Z101" s="155"/>
      <c r="AA101" s="471">
        <v>55.529618999999997</v>
      </c>
      <c r="AB101" s="471">
        <v>55.866996</v>
      </c>
      <c r="AC101" s="471">
        <v>55.903955499999995</v>
      </c>
      <c r="AD101" s="471">
        <v>55.707000000000001</v>
      </c>
      <c r="AE101" s="161">
        <f>AVERAGE(AA101:AD101)</f>
        <v>55.751892624999996</v>
      </c>
      <c r="AF101" s="155"/>
      <c r="AG101" s="471">
        <v>55.656500000000001</v>
      </c>
      <c r="AH101" s="471">
        <v>55.556656000000004</v>
      </c>
      <c r="AI101" s="471">
        <v>55.279156</v>
      </c>
      <c r="AJ101" s="471">
        <v>55.027735500000006</v>
      </c>
      <c r="AK101" s="161">
        <f>AVERAGE(AG101:AJ101)</f>
        <v>55.380011875000001</v>
      </c>
      <c r="AL101" s="155"/>
      <c r="AM101" s="471">
        <v>54.966401500000003</v>
      </c>
      <c r="AN101" s="471">
        <v>54.965283999999997</v>
      </c>
      <c r="AO101" s="471">
        <v>54.9912615</v>
      </c>
      <c r="AP101" s="471">
        <v>55.054040000000001</v>
      </c>
      <c r="AQ101" s="161">
        <f>AVERAGE(AM101:AP101)</f>
        <v>54.994246750000002</v>
      </c>
      <c r="AR101" s="155"/>
      <c r="AS101" s="471">
        <v>55.1817305</v>
      </c>
      <c r="AT101" s="471">
        <v>55.336020500000004</v>
      </c>
      <c r="AU101" s="471">
        <v>55.358371500000004</v>
      </c>
      <c r="AV101" s="471">
        <v>55.416418</v>
      </c>
      <c r="AW101" s="161">
        <f>AVERAGE(AS101:AV101)</f>
        <v>55.323135125</v>
      </c>
      <c r="AX101" s="155"/>
      <c r="AY101" s="471">
        <v>55.563361999999998</v>
      </c>
      <c r="AZ101" s="471">
        <v>55.706017000000003</v>
      </c>
      <c r="BA101" s="471">
        <v>55.874147999999998</v>
      </c>
      <c r="BB101" s="471">
        <v>55.914864999999999</v>
      </c>
      <c r="BC101" s="161">
        <f>AVERAGE(AY101:BB101)</f>
        <v>55.764597999999999</v>
      </c>
      <c r="BD101" s="155"/>
      <c r="BE101" s="262"/>
      <c r="BF101" s="262"/>
      <c r="BG101" s="262"/>
      <c r="BH101" s="262"/>
      <c r="BI101" s="161"/>
      <c r="BJ101" s="155"/>
      <c r="BK101" s="262"/>
      <c r="BL101" s="262"/>
      <c r="BM101" s="262"/>
      <c r="BN101" s="262"/>
      <c r="BO101" s="161"/>
      <c r="BP101" s="155"/>
      <c r="BQ101" s="262"/>
      <c r="BR101" s="262"/>
      <c r="BS101" s="262"/>
      <c r="BT101" s="262"/>
      <c r="BU101" s="161"/>
      <c r="BV101" s="155"/>
      <c r="BW101" s="262"/>
      <c r="BX101" s="262"/>
      <c r="BY101" s="262"/>
      <c r="BZ101" s="262"/>
      <c r="CA101" s="161"/>
      <c r="CB101" s="155"/>
      <c r="CC101" s="262"/>
      <c r="CD101" s="262"/>
      <c r="CE101" s="262"/>
      <c r="CF101" s="262"/>
      <c r="CG101" s="161"/>
      <c r="CH101" s="157"/>
      <c r="CI101" s="157"/>
      <c r="CJ101" s="157"/>
      <c r="CK101" s="157"/>
      <c r="CL101" s="157"/>
      <c r="CM101" s="100"/>
      <c r="CN101" s="67"/>
      <c r="CO101" s="67"/>
      <c r="CP101" s="67"/>
      <c r="CQ101" s="67"/>
      <c r="CR101" s="67"/>
      <c r="CS101" s="67"/>
      <c r="CT101" s="67"/>
      <c r="CU101" s="67"/>
      <c r="CV101" s="239"/>
      <c r="CW101" s="155"/>
    </row>
    <row r="102" spans="1:132" collapsed="1" x14ac:dyDescent="0.2">
      <c r="A102" s="24"/>
      <c r="B102" s="594" t="s">
        <v>237</v>
      </c>
      <c r="C102" s="471">
        <f>'P&amp;L'!C36+(C103*1.8142)</f>
        <v>251.49749392960001</v>
      </c>
      <c r="D102" s="471">
        <f>'P&amp;L'!D36+(D103*1.8142)</f>
        <v>251.33818462139999</v>
      </c>
      <c r="E102" s="471">
        <f>'P&amp;L'!E36+(E103*1.8142)</f>
        <v>250.75518004700001</v>
      </c>
      <c r="F102" s="471">
        <f>'P&amp;L'!F36+(F103*1.8142)</f>
        <v>250.1783999928</v>
      </c>
      <c r="G102" s="161">
        <f>F102</f>
        <v>250.1783999928</v>
      </c>
      <c r="H102" s="155"/>
      <c r="I102" s="471">
        <f>'P&amp;L'!I36+(I103*1.8142)</f>
        <v>248.21983450660002</v>
      </c>
      <c r="J102" s="471">
        <f>'P&amp;L'!J36+(J103*1.8142)</f>
        <v>248.2475881382</v>
      </c>
      <c r="K102" s="471">
        <f>'P&amp;L'!K36+(K103*1.8142)</f>
        <v>248.43788812899999</v>
      </c>
      <c r="L102" s="471">
        <f>'P&amp;L'!L36+(L103*1.8142)</f>
        <v>248.13788812900003</v>
      </c>
      <c r="M102" s="161">
        <f>L102</f>
        <v>248.13788812900003</v>
      </c>
      <c r="N102" s="155"/>
      <c r="O102" s="471">
        <f>'P&amp;L'!O36+(O103*1.8142)</f>
        <v>248.020235963</v>
      </c>
      <c r="P102" s="471">
        <f>'P&amp;L'!P36+(P103*1.8142)</f>
        <v>248.28113736100002</v>
      </c>
      <c r="Q102" s="471">
        <f>'P&amp;L'!Q36+(Q103*1.8142)</f>
        <v>248.18127524020002</v>
      </c>
      <c r="R102" s="471">
        <f>'P&amp;L'!R36+(R103*1.8142)</f>
        <v>246.85627115800003</v>
      </c>
      <c r="S102" s="161">
        <f>R102</f>
        <v>246.85627115800003</v>
      </c>
      <c r="T102" s="155"/>
      <c r="U102" s="471">
        <f>'P&amp;L'!U36+(U103*1.8142)</f>
        <v>246.46809948240002</v>
      </c>
      <c r="V102" s="471">
        <f>'P&amp;L'!V36+(V103*1.8142)</f>
        <v>243.43374268100001</v>
      </c>
      <c r="W102" s="471">
        <f>'P&amp;L'!W36+(W103*1.8142)</f>
        <v>242.43538505020001</v>
      </c>
      <c r="X102" s="471">
        <f>'P&amp;L'!X36+(X103*1.8142)</f>
        <v>242.3762708978</v>
      </c>
      <c r="Y102" s="161">
        <f>X102</f>
        <v>242.3762708978</v>
      </c>
      <c r="Z102" s="155"/>
      <c r="AA102" s="471">
        <f>'P&amp;L'!AA36+(AA103*1.8142)</f>
        <v>242.02546915020002</v>
      </c>
      <c r="AB102" s="471">
        <f>'P&amp;L'!AB36+(AB103*1.8142)</f>
        <v>242.88233913620002</v>
      </c>
      <c r="AC102" s="471">
        <f>'P&amp;L'!AC36+(AC103*1.8142)</f>
        <v>242.65957300000002</v>
      </c>
      <c r="AD102" s="471">
        <f>'P&amp;L'!AD36+(AD103*1.8142)</f>
        <v>242.76363940000002</v>
      </c>
      <c r="AE102" s="161">
        <f>AD102</f>
        <v>242.76363940000002</v>
      </c>
      <c r="AF102" s="155"/>
      <c r="AG102" s="471">
        <f>'P&amp;L'!AG36+(AG103*1.8142)</f>
        <v>242.58040519999997</v>
      </c>
      <c r="AH102" s="471">
        <f>'P&amp;L'!AH36+(AH103*1.8142)</f>
        <v>242.50136543040003</v>
      </c>
      <c r="AI102" s="471">
        <f>'P&amp;L'!AI36+(AI103*1.8142)</f>
        <v>241.87352420000002</v>
      </c>
      <c r="AJ102" s="471">
        <f>'P&amp;L'!AJ36+(AJ103*1.8142)</f>
        <v>242.0891112882</v>
      </c>
      <c r="AK102" s="161">
        <f>AJ102</f>
        <v>242.0891112882</v>
      </c>
      <c r="AL102" s="155"/>
      <c r="AM102" s="471">
        <f>'P&amp;L'!AM36+(AM103*1.8142)</f>
        <v>242.75097991440003</v>
      </c>
      <c r="AN102" s="471">
        <f>'P&amp;L'!AN36+(AN103*1.8142)</f>
        <v>241.98505655120005</v>
      </c>
      <c r="AO102" s="471">
        <f>'P&amp;L'!AO36+(AO103*1.8142)</f>
        <v>241.9452366754</v>
      </c>
      <c r="AP102" s="471">
        <f>'P&amp;L'!AP36+(AP103*1.8142)</f>
        <v>242.17903936800002</v>
      </c>
      <c r="AQ102" s="161">
        <f>AP102</f>
        <v>242.17903936800002</v>
      </c>
      <c r="AR102" s="155"/>
      <c r="AS102" s="471">
        <f>'P&amp;L'!AS36+(AS103*1.8142)</f>
        <v>242.14235157820002</v>
      </c>
      <c r="AT102" s="471">
        <f>'P&amp;L'!AT36+(AT103*1.8142)</f>
        <v>242.23886520400001</v>
      </c>
      <c r="AU102" s="471">
        <f>'P&amp;L'!AU36+(AU103*1.8142)</f>
        <v>242.12344994660003</v>
      </c>
      <c r="AV102" s="471">
        <f>'P&amp;L'!AV36+(AV103*1.8142)</f>
        <v>241.56898196040001</v>
      </c>
      <c r="AW102" s="161">
        <f>AV102</f>
        <v>241.56898196040001</v>
      </c>
      <c r="AX102" s="155"/>
      <c r="AY102" s="471">
        <f>'P&amp;L'!AY36+(AY103*1.8142)</f>
        <v>240.68558785120001</v>
      </c>
      <c r="AZ102" s="471">
        <f>'P&amp;L'!AZ36+(AZ103*1.8142)</f>
        <v>241.12719186240003</v>
      </c>
      <c r="BA102" s="471">
        <f>'P&amp;L'!BA36+(BA103*1.8142)</f>
        <v>241.20646695980003</v>
      </c>
      <c r="BB102" s="471">
        <f>'P&amp;L'!BB36+(BB103*1.8142)</f>
        <v>240.7689819604</v>
      </c>
      <c r="BC102" s="161">
        <f>BB102</f>
        <v>240.7689819604</v>
      </c>
      <c r="BD102" s="155"/>
      <c r="BE102" s="1191">
        <f>+'P&amp;L'!BE36</f>
        <v>234.230941</v>
      </c>
      <c r="BF102" s="1191">
        <f>+'P&amp;L'!BF36</f>
        <v>233</v>
      </c>
      <c r="BG102" s="1191">
        <f>+'P&amp;L'!BG36</f>
        <v>231.6</v>
      </c>
      <c r="BH102" s="1191">
        <f>+'P&amp;L'!BH36</f>
        <v>230.1</v>
      </c>
      <c r="BI102" s="161">
        <f>BH102</f>
        <v>230.1</v>
      </c>
      <c r="BJ102" s="155"/>
      <c r="BK102" s="1191">
        <f>+'P&amp;L'!BK36</f>
        <v>230.1</v>
      </c>
      <c r="BL102" s="1191">
        <f>+'P&amp;L'!BL36</f>
        <v>229.4</v>
      </c>
      <c r="BM102" s="1191">
        <f>+'P&amp;L'!BM36</f>
        <v>229.5</v>
      </c>
      <c r="BN102" s="1191">
        <f>+'P&amp;L'!BN36</f>
        <v>228.6</v>
      </c>
      <c r="BO102" s="161">
        <f>BN102</f>
        <v>228.6</v>
      </c>
      <c r="BP102" s="155"/>
      <c r="BQ102" s="1191">
        <f>+'P&amp;L'!BQ36</f>
        <v>224.12745372219598</v>
      </c>
      <c r="BR102" s="1191">
        <f>+'P&amp;L'!BR36</f>
        <v>222.22547736097849</v>
      </c>
      <c r="BS102" s="1191">
        <f>+'P&amp;L'!BS36</f>
        <v>220.47981027645824</v>
      </c>
      <c r="BT102" s="1191">
        <f>+'P&amp;L'!BT36</f>
        <v>218.6884882378753</v>
      </c>
      <c r="BU102" s="161">
        <f>BT102</f>
        <v>218.6884882378753</v>
      </c>
      <c r="BV102" s="155"/>
      <c r="BW102" s="1191">
        <f>+'P&amp;L'!BW36</f>
        <v>216.53508271680352</v>
      </c>
      <c r="BX102" s="1191">
        <f>+'P&amp;L'!BX36</f>
        <v>214.73492609344979</v>
      </c>
      <c r="BY102" s="1191">
        <f>+'P&amp;L'!BY36</f>
        <v>212.78342803033172</v>
      </c>
      <c r="BZ102" s="1191">
        <f>+'P&amp;L'!BZ36</f>
        <v>210.75996860698118</v>
      </c>
      <c r="CA102" s="161">
        <f>BZ102</f>
        <v>210.75996860698118</v>
      </c>
      <c r="CB102" s="155"/>
      <c r="CC102" s="262">
        <f>CC174</f>
        <v>208.60731819276103</v>
      </c>
      <c r="CD102" s="262">
        <f>CD174</f>
        <v>206.96497432473527</v>
      </c>
      <c r="CE102" s="262">
        <f>CE174</f>
        <v>205.17261674816115</v>
      </c>
      <c r="CF102" s="262">
        <f>CF174</f>
        <v>203.30922190846738</v>
      </c>
      <c r="CG102" s="161">
        <f>CF102</f>
        <v>203.30922190846738</v>
      </c>
      <c r="CH102" s="157"/>
      <c r="CI102" s="157"/>
      <c r="CJ102" s="157"/>
      <c r="CK102" s="157"/>
      <c r="CL102" s="157"/>
      <c r="CM102" s="100"/>
      <c r="CN102" s="67"/>
      <c r="CO102" s="67"/>
      <c r="CP102" s="67"/>
      <c r="CQ102" s="67"/>
      <c r="CR102" s="67"/>
      <c r="CS102" s="67"/>
      <c r="CT102" s="67"/>
      <c r="CU102" s="67"/>
      <c r="CV102" s="239"/>
      <c r="CW102" s="155"/>
    </row>
    <row r="103" spans="1:132" hidden="1" outlineLevel="1" x14ac:dyDescent="0.2">
      <c r="A103" s="24"/>
      <c r="B103" s="1014" t="s">
        <v>578</v>
      </c>
      <c r="C103" s="471">
        <v>54.733488000000001</v>
      </c>
      <c r="D103" s="471">
        <v>54.755916999999997</v>
      </c>
      <c r="E103" s="471">
        <v>54.765284999999999</v>
      </c>
      <c r="F103" s="471">
        <v>54.778084</v>
      </c>
      <c r="G103" s="161">
        <f>F103</f>
        <v>54.778084</v>
      </c>
      <c r="H103" s="155"/>
      <c r="I103" s="471">
        <v>54.800922999999997</v>
      </c>
      <c r="J103" s="471">
        <v>54.816220999999999</v>
      </c>
      <c r="K103" s="471">
        <v>54.865994999999998</v>
      </c>
      <c r="L103" s="471">
        <v>54.865994999999998</v>
      </c>
      <c r="M103" s="161">
        <f>L103</f>
        <v>54.865994999999998</v>
      </c>
      <c r="N103" s="155"/>
      <c r="O103" s="471">
        <v>54.856265</v>
      </c>
      <c r="P103" s="471">
        <v>54.944955</v>
      </c>
      <c r="Q103" s="471">
        <v>54.945031</v>
      </c>
      <c r="R103" s="471">
        <v>55.041490000000003</v>
      </c>
      <c r="S103" s="161">
        <f>R103</f>
        <v>55.041490000000003</v>
      </c>
      <c r="T103" s="155"/>
      <c r="U103" s="471">
        <v>55.213372</v>
      </c>
      <c r="V103" s="471">
        <v>55.249555000000001</v>
      </c>
      <c r="W103" s="471">
        <v>55.305580999999997</v>
      </c>
      <c r="X103" s="471">
        <v>55.438358999999998</v>
      </c>
      <c r="Y103" s="161">
        <f>X103</f>
        <v>55.438358999999998</v>
      </c>
      <c r="Z103" s="155"/>
      <c r="AA103" s="471">
        <v>55.741081000000001</v>
      </c>
      <c r="AB103" s="471">
        <v>55.992910999999999</v>
      </c>
      <c r="AC103" s="471">
        <v>55.814999999999998</v>
      </c>
      <c r="AD103" s="471">
        <v>55.707000000000001</v>
      </c>
      <c r="AE103" s="161">
        <f>AD103</f>
        <v>55.707000000000001</v>
      </c>
      <c r="AF103" s="155"/>
      <c r="AG103" s="471">
        <v>55.606000000000002</v>
      </c>
      <c r="AH103" s="471">
        <v>55.507311999999999</v>
      </c>
      <c r="AI103" s="471">
        <v>55.051000000000002</v>
      </c>
      <c r="AJ103" s="471">
        <v>55.004471000000002</v>
      </c>
      <c r="AK103" s="161">
        <f>AJ103</f>
        <v>55.004471000000002</v>
      </c>
      <c r="AL103" s="155"/>
      <c r="AM103" s="471">
        <v>54.928331999999997</v>
      </c>
      <c r="AN103" s="471">
        <v>55.002236000000003</v>
      </c>
      <c r="AO103" s="471">
        <v>54.980286999999997</v>
      </c>
      <c r="AP103" s="471">
        <v>55.054040000000001</v>
      </c>
      <c r="AQ103" s="161">
        <f>AP103</f>
        <v>55.054040000000001</v>
      </c>
      <c r="AR103" s="155"/>
      <c r="AS103" s="471">
        <v>55.309421</v>
      </c>
      <c r="AT103" s="471">
        <v>55.36262</v>
      </c>
      <c r="AU103" s="471">
        <v>55.354123000000001</v>
      </c>
      <c r="AV103" s="471">
        <v>55.489462000000003</v>
      </c>
      <c r="AW103" s="161">
        <f>AV103</f>
        <v>55.489462000000003</v>
      </c>
      <c r="AX103" s="155"/>
      <c r="AY103" s="471">
        <v>55.553736000000001</v>
      </c>
      <c r="AZ103" s="471">
        <v>55.852271999999999</v>
      </c>
      <c r="BA103" s="471">
        <v>55.895969000000001</v>
      </c>
      <c r="BB103" s="471">
        <v>55.489462000000003</v>
      </c>
      <c r="BC103" s="161">
        <f>BB103</f>
        <v>55.489462000000003</v>
      </c>
      <c r="BD103" s="155"/>
      <c r="BE103" s="262"/>
      <c r="BF103" s="262"/>
      <c r="BG103" s="262"/>
      <c r="BH103" s="262"/>
      <c r="BI103" s="161"/>
      <c r="BJ103" s="155"/>
      <c r="BK103" s="262"/>
      <c r="BL103" s="262"/>
      <c r="BM103" s="262"/>
      <c r="BN103" s="262"/>
      <c r="BO103" s="161"/>
      <c r="BP103" s="155"/>
      <c r="BQ103" s="262"/>
      <c r="BR103" s="262"/>
      <c r="BS103" s="262"/>
      <c r="BT103" s="262"/>
      <c r="BU103" s="161"/>
      <c r="BV103" s="155"/>
      <c r="BW103" s="262"/>
      <c r="BX103" s="262"/>
      <c r="BY103" s="262"/>
      <c r="BZ103" s="262"/>
      <c r="CA103" s="161"/>
      <c r="CB103" s="155"/>
      <c r="CC103" s="262"/>
      <c r="CD103" s="262"/>
      <c r="CE103" s="262"/>
      <c r="CF103" s="262"/>
      <c r="CG103" s="161"/>
      <c r="CH103" s="157"/>
      <c r="CI103" s="157"/>
      <c r="CJ103" s="157"/>
      <c r="CK103" s="157"/>
      <c r="CL103" s="157"/>
      <c r="CM103" s="100"/>
      <c r="CN103" s="67"/>
      <c r="CO103" s="67"/>
      <c r="CP103" s="67"/>
      <c r="CQ103" s="67"/>
      <c r="CR103" s="67"/>
      <c r="CS103" s="67"/>
      <c r="CT103" s="67"/>
      <c r="CU103" s="67"/>
      <c r="CV103" s="239"/>
      <c r="CW103" s="155"/>
    </row>
    <row r="104" spans="1:132" collapsed="1" x14ac:dyDescent="0.2">
      <c r="A104" s="62"/>
      <c r="B104" s="667" t="s">
        <v>216</v>
      </c>
      <c r="C104" s="668">
        <f>C95/C98</f>
        <v>0.28836316609260831</v>
      </c>
      <c r="D104" s="668">
        <f>D95/D98</f>
        <v>0.32469268884506591</v>
      </c>
      <c r="E104" s="668">
        <f>E95/E98</f>
        <v>0.48424896421344277</v>
      </c>
      <c r="F104" s="668">
        <f>F95/F98</f>
        <v>0.39658566351952923</v>
      </c>
      <c r="G104" s="669">
        <f>+SUM(C104:F104)</f>
        <v>1.4938904826706463</v>
      </c>
      <c r="H104" s="715"/>
      <c r="I104" s="668">
        <f>I95/I98</f>
        <v>0.38175266765787808</v>
      </c>
      <c r="J104" s="668">
        <f>J95/J98</f>
        <v>0.36285813151922491</v>
      </c>
      <c r="K104" s="668">
        <f>K95/K98</f>
        <v>0.34630387357442949</v>
      </c>
      <c r="L104" s="668">
        <f>L95/L98</f>
        <v>0.36162211267451211</v>
      </c>
      <c r="M104" s="669">
        <f>+SUM(I104:L104)</f>
        <v>1.4525367854260445</v>
      </c>
      <c r="N104" s="715"/>
      <c r="O104" s="668">
        <f>O95/O98</f>
        <v>0.32814710400188313</v>
      </c>
      <c r="P104" s="668">
        <f>P95/P98</f>
        <v>0.40116525452430785</v>
      </c>
      <c r="Q104" s="668">
        <f>Q95/Q98</f>
        <v>0.40883931382744954</v>
      </c>
      <c r="R104" s="668">
        <f>R95/R98</f>
        <v>0.44043967881329782</v>
      </c>
      <c r="S104" s="669">
        <f>+SUM(O104:R104)</f>
        <v>1.5785913511669383</v>
      </c>
      <c r="T104" s="715"/>
      <c r="U104" s="668">
        <f>U95/U98</f>
        <v>0.35637229101074086</v>
      </c>
      <c r="V104" s="668">
        <f>V95/V98</f>
        <v>0.41382948105544048</v>
      </c>
      <c r="W104" s="668">
        <f>W95/W98</f>
        <v>0.39101062067149062</v>
      </c>
      <c r="X104" s="668">
        <f>X95/X98</f>
        <v>0.50030441624414257</v>
      </c>
      <c r="Y104" s="669">
        <f>+SUM(U104:X104)</f>
        <v>1.6615168089818146</v>
      </c>
      <c r="Z104" s="106"/>
      <c r="AA104" s="668">
        <f>AA95/AA98</f>
        <v>0.44548109838957961</v>
      </c>
      <c r="AB104" s="668">
        <f>AB95/AB98</f>
        <v>0.50310606681869785</v>
      </c>
      <c r="AC104" s="668">
        <f>AC95/AC98</f>
        <v>0.31712972445104876</v>
      </c>
      <c r="AD104" s="668">
        <f>AD95/AD98</f>
        <v>0.46025838395688345</v>
      </c>
      <c r="AE104" s="669">
        <f>+SUM(AA104:AD104)</f>
        <v>1.7259752736162097</v>
      </c>
      <c r="AF104" s="106"/>
      <c r="AG104" s="668">
        <f>AG95/AG98</f>
        <v>0.45108779468865551</v>
      </c>
      <c r="AH104" s="668">
        <f>AH95/AH98</f>
        <v>0.49747765489812595</v>
      </c>
      <c r="AI104" s="668">
        <f>AI95/AI98</f>
        <v>0.45362698087523762</v>
      </c>
      <c r="AJ104" s="668">
        <f>AJ95/AJ98</f>
        <v>0.4765632152516629</v>
      </c>
      <c r="AK104" s="669">
        <f>+SUM(AG104:AJ104)</f>
        <v>1.878755645713682</v>
      </c>
      <c r="AL104" s="106"/>
      <c r="AM104" s="668">
        <f>AM95/AM98</f>
        <v>0.46419813789951364</v>
      </c>
      <c r="AN104" s="668">
        <f>AN95/AN98</f>
        <v>0.60213413060739451</v>
      </c>
      <c r="AO104" s="668">
        <f>AO95/AO98</f>
        <v>0.48890302097222138</v>
      </c>
      <c r="AP104" s="668">
        <f>AP95/AP98</f>
        <v>0.56586842164944062</v>
      </c>
      <c r="AQ104" s="669">
        <f>+SUM(AM104:AP104)</f>
        <v>2.12110371112857</v>
      </c>
      <c r="AR104" s="106"/>
      <c r="AS104" s="668">
        <f>AS95/AS98</f>
        <v>0.51692369025900098</v>
      </c>
      <c r="AT104" s="668">
        <f>AT95/AT98</f>
        <v>0.62039329956909017</v>
      </c>
      <c r="AU104" s="668">
        <f>AU95/AU98</f>
        <v>0.576741195505027</v>
      </c>
      <c r="AV104" s="668">
        <f>AV95/AV98</f>
        <v>0.55286864431602611</v>
      </c>
      <c r="AW104" s="669">
        <f>+SUM(AS104:AV104)</f>
        <v>2.2669268296491443</v>
      </c>
      <c r="AX104" s="106"/>
      <c r="AY104" s="668">
        <f>AY95/AY98</f>
        <v>0.52005530372934272</v>
      </c>
      <c r="AZ104" s="668">
        <f>AZ95/AZ98</f>
        <v>0.70630610716429465</v>
      </c>
      <c r="BA104" s="668">
        <f>BA95/BA98</f>
        <v>0.64229260660750964</v>
      </c>
      <c r="BB104" s="668">
        <f>BB95/BB98</f>
        <v>0.59656789464640814</v>
      </c>
      <c r="BC104" s="669">
        <f>+SUM(AY104:BB104)</f>
        <v>2.4652219121475554</v>
      </c>
      <c r="BD104" s="106"/>
      <c r="BE104" s="668">
        <f>BE95/BE98</f>
        <v>0.62823233285160607</v>
      </c>
      <c r="BF104" s="668">
        <f>BF95/BF98</f>
        <v>0.76066806213922122</v>
      </c>
      <c r="BG104" s="668">
        <f>BG95/BG98</f>
        <v>0.65251227650045851</v>
      </c>
      <c r="BH104" s="668">
        <f>BH95/BH98</f>
        <v>0.66971339673518415</v>
      </c>
      <c r="BI104" s="669">
        <f>+SUM(BE104:BH104)</f>
        <v>2.71112606822647</v>
      </c>
      <c r="BJ104" s="106"/>
      <c r="BK104" s="668">
        <f>BK95/BK98</f>
        <v>0.47913227559543364</v>
      </c>
      <c r="BL104" s="668">
        <f>BL95/BL98</f>
        <v>0.66840018724069239</v>
      </c>
      <c r="BM104" s="668">
        <f>BM95/BM98</f>
        <v>0.70639571046479632</v>
      </c>
      <c r="BN104" s="668">
        <f>BN95/BN98</f>
        <v>0.81597046861394629</v>
      </c>
      <c r="BO104" s="669">
        <f>+SUM(BK104:BN104)</f>
        <v>2.6698986419148687</v>
      </c>
      <c r="BP104" s="106"/>
      <c r="BQ104" s="668">
        <f>BQ95/BQ98</f>
        <v>0.45588229155555771</v>
      </c>
      <c r="BR104" s="668">
        <f>BR95/BR98</f>
        <v>0.63615094354483614</v>
      </c>
      <c r="BS104" s="668">
        <f>BS95/BS98</f>
        <v>0.74693578322302001</v>
      </c>
      <c r="BT104" s="668">
        <f>BT95/BT98</f>
        <v>0.86571481695207919</v>
      </c>
      <c r="BU104" s="669">
        <f>+SUM(BQ104:BT104)</f>
        <v>2.7046838352754934</v>
      </c>
      <c r="BV104" s="106"/>
      <c r="BW104" s="668">
        <f>BW95/BW98</f>
        <v>0.67166164021984864</v>
      </c>
      <c r="BX104" s="668">
        <f>BX95/BX98</f>
        <v>0.8005327580950673</v>
      </c>
      <c r="BY104" s="668">
        <f>BY95/BY98</f>
        <v>0.82657851632751933</v>
      </c>
      <c r="BZ104" s="668">
        <f>BZ95/BZ98</f>
        <v>0.89040938829022942</v>
      </c>
      <c r="CA104" s="669">
        <f>+SUM(BW104:BZ104)</f>
        <v>3.1891823029326645</v>
      </c>
      <c r="CB104" s="106"/>
      <c r="CC104" s="668">
        <f>CC95/CC98</f>
        <v>0.76672597740878246</v>
      </c>
      <c r="CD104" s="668">
        <f>CD95/CD98</f>
        <v>0.90923495389765918</v>
      </c>
      <c r="CE104" s="668">
        <f>CE95/CE98</f>
        <v>0.93711412235430103</v>
      </c>
      <c r="CF104" s="668">
        <f>CF95/CF98</f>
        <v>1.0101087435746463</v>
      </c>
      <c r="CG104" s="669">
        <f>+SUM(CC104:CF104)</f>
        <v>3.6231837972353889</v>
      </c>
      <c r="CH104" s="976"/>
      <c r="CI104" s="976"/>
      <c r="CJ104" s="976"/>
      <c r="CK104" s="976"/>
      <c r="CL104" s="976"/>
      <c r="CM104" s="977"/>
      <c r="CN104" s="78"/>
      <c r="CO104" s="78"/>
      <c r="CP104" s="78"/>
      <c r="CQ104" s="78"/>
      <c r="CR104" s="78"/>
      <c r="CS104" s="78"/>
      <c r="CT104" s="78"/>
      <c r="CU104" s="78"/>
      <c r="CV104" s="777"/>
      <c r="CW104" s="106"/>
    </row>
    <row r="105" spans="1:132" s="19" customFormat="1" ht="6.75" customHeight="1" x14ac:dyDescent="0.2">
      <c r="A105" s="36"/>
      <c r="B105" s="671"/>
      <c r="C105" s="670"/>
      <c r="D105" s="670"/>
      <c r="E105" s="670"/>
      <c r="F105" s="670"/>
      <c r="G105" s="670"/>
      <c r="H105" s="714"/>
      <c r="I105" s="670"/>
      <c r="J105" s="670"/>
      <c r="K105" s="670"/>
      <c r="L105" s="670"/>
      <c r="M105" s="670"/>
      <c r="N105" s="714"/>
      <c r="O105" s="670"/>
      <c r="P105" s="670"/>
      <c r="Q105" s="670"/>
      <c r="R105" s="670"/>
      <c r="S105" s="670"/>
      <c r="T105" s="714"/>
      <c r="U105" s="670"/>
      <c r="V105" s="670"/>
      <c r="W105" s="670"/>
      <c r="X105" s="670"/>
      <c r="Y105" s="670"/>
      <c r="Z105" s="714"/>
      <c r="AA105" s="670"/>
      <c r="AB105" s="670"/>
      <c r="AC105" s="670"/>
      <c r="AD105" s="670"/>
      <c r="AE105" s="670"/>
      <c r="AF105" s="714"/>
      <c r="AG105" s="670"/>
      <c r="AH105" s="670"/>
      <c r="AI105" s="670"/>
      <c r="AJ105" s="670"/>
      <c r="AK105" s="670"/>
      <c r="AL105" s="714"/>
      <c r="AM105" s="670"/>
      <c r="AN105" s="670"/>
      <c r="AO105" s="670"/>
      <c r="AP105" s="670"/>
      <c r="AQ105" s="670"/>
      <c r="AR105" s="714"/>
      <c r="AS105" s="670"/>
      <c r="AT105" s="670"/>
      <c r="AU105" s="670"/>
      <c r="AV105" s="670"/>
      <c r="AW105" s="670"/>
      <c r="AX105" s="714"/>
      <c r="AY105" s="670"/>
      <c r="AZ105" s="670"/>
      <c r="BA105" s="670"/>
      <c r="BB105" s="670"/>
      <c r="BC105" s="670"/>
      <c r="BD105" s="714"/>
      <c r="BE105" s="670"/>
      <c r="BF105" s="670"/>
      <c r="BG105" s="670"/>
      <c r="BH105" s="670"/>
      <c r="BI105" s="670"/>
      <c r="BJ105" s="714"/>
      <c r="BK105" s="670"/>
      <c r="BL105" s="670"/>
      <c r="BM105" s="670"/>
      <c r="BN105" s="670"/>
      <c r="BO105" s="670"/>
      <c r="BP105" s="714"/>
      <c r="BQ105" s="670"/>
      <c r="BR105" s="670"/>
      <c r="BS105" s="670"/>
      <c r="BT105" s="670"/>
      <c r="BU105" s="670"/>
      <c r="BV105" s="714"/>
      <c r="BW105" s="670"/>
      <c r="BX105" s="670"/>
      <c r="BY105" s="670"/>
      <c r="BZ105" s="670"/>
      <c r="CA105" s="670"/>
      <c r="CB105" s="714"/>
      <c r="CC105" s="670"/>
      <c r="CD105" s="670"/>
      <c r="CE105" s="670"/>
      <c r="CF105" s="670"/>
      <c r="CG105" s="670"/>
      <c r="CW105" s="714"/>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row>
    <row r="106" spans="1:132" x14ac:dyDescent="0.2">
      <c r="B106" s="44" t="s">
        <v>180</v>
      </c>
      <c r="C106" s="122"/>
      <c r="D106" s="134"/>
      <c r="E106" s="134"/>
      <c r="F106" s="134"/>
      <c r="G106" s="562"/>
      <c r="H106" s="239"/>
      <c r="I106" s="134"/>
      <c r="J106" s="134"/>
      <c r="K106" s="134"/>
      <c r="L106" s="134"/>
      <c r="M106" s="562"/>
      <c r="N106" s="239"/>
      <c r="O106" s="122"/>
      <c r="P106" s="122"/>
      <c r="Q106" s="122"/>
      <c r="R106" s="122"/>
      <c r="S106" s="562"/>
      <c r="T106" s="239"/>
      <c r="U106" s="122"/>
      <c r="V106" s="122"/>
      <c r="W106" s="122"/>
      <c r="X106" s="122"/>
      <c r="Y106" s="562"/>
      <c r="Z106" s="239"/>
      <c r="AA106" s="136"/>
      <c r="AB106" s="136"/>
      <c r="AC106" s="136"/>
      <c r="AD106" s="165"/>
      <c r="AE106" s="562"/>
      <c r="AF106" s="239"/>
      <c r="AG106" s="136"/>
      <c r="AH106" s="136"/>
      <c r="AI106" s="136"/>
      <c r="AJ106" s="136"/>
      <c r="AK106" s="562"/>
      <c r="AL106" s="239"/>
      <c r="AM106" s="499"/>
      <c r="AN106" s="496"/>
      <c r="AO106" s="496"/>
      <c r="AP106" s="496"/>
      <c r="AQ106" s="562"/>
      <c r="AR106" s="717"/>
      <c r="AS106" s="496"/>
      <c r="AT106" s="496"/>
      <c r="AU106" s="496"/>
      <c r="AV106" s="496"/>
      <c r="AW106" s="562"/>
      <c r="AX106" s="717"/>
      <c r="AY106" s="496"/>
      <c r="AZ106" s="557"/>
      <c r="BA106" s="557"/>
      <c r="BB106" s="496"/>
      <c r="BC106" s="582"/>
      <c r="BD106" s="717"/>
      <c r="BE106" s="496"/>
      <c r="BF106" s="496"/>
      <c r="BG106" s="496"/>
      <c r="BH106" s="496"/>
      <c r="BI106" s="580"/>
      <c r="BJ106" s="717"/>
      <c r="BK106" s="496"/>
      <c r="BL106" s="496"/>
      <c r="BM106" s="496"/>
      <c r="BN106" s="496"/>
      <c r="BO106" s="580"/>
      <c r="BP106" s="717"/>
      <c r="BQ106" s="496"/>
      <c r="BR106" s="496"/>
      <c r="BS106" s="496"/>
      <c r="BT106" s="496"/>
      <c r="BU106" s="580"/>
      <c r="BV106" s="717"/>
      <c r="BW106" s="496"/>
      <c r="BX106" s="496"/>
      <c r="BY106" s="496"/>
      <c r="BZ106" s="496"/>
      <c r="CA106" s="562"/>
      <c r="CB106" s="717"/>
      <c r="CC106" s="496"/>
      <c r="CD106" s="496"/>
      <c r="CE106" s="496"/>
      <c r="CF106" s="496"/>
      <c r="CG106" s="562"/>
      <c r="CV106" s="752"/>
      <c r="CW106" s="717"/>
    </row>
    <row r="107" spans="1:132" x14ac:dyDescent="0.2">
      <c r="B107" s="665" t="str">
        <f>B26</f>
        <v>COGS</v>
      </c>
      <c r="C107" s="46">
        <f>+C26/C15</f>
        <v>0.46995803116863372</v>
      </c>
      <c r="D107" s="46">
        <f>+D26/D15</f>
        <v>0.47195807496945902</v>
      </c>
      <c r="E107" s="46">
        <f>+E26/E15</f>
        <v>0.47505449687310897</v>
      </c>
      <c r="F107" s="46">
        <f>+F26/F15</f>
        <v>0.48379362075157656</v>
      </c>
      <c r="G107" s="85">
        <f>+G26/G15</f>
        <v>0.47551773214721682</v>
      </c>
      <c r="H107" s="239"/>
      <c r="I107" s="46">
        <f>+I26/I15</f>
        <v>0.48205558447834701</v>
      </c>
      <c r="J107" s="46">
        <f>+J26/J15</f>
        <v>0.46702586658049211</v>
      </c>
      <c r="K107" s="46">
        <f>+K26/K15</f>
        <v>0.46676004646891384</v>
      </c>
      <c r="L107" s="46">
        <f>+L26/L15</f>
        <v>0.46166271245000562</v>
      </c>
      <c r="M107" s="85">
        <f>+M26/M15</f>
        <v>0.46955047216418172</v>
      </c>
      <c r="N107" s="239"/>
      <c r="O107" s="46">
        <f>+O26/O15</f>
        <v>0.46620938936243644</v>
      </c>
      <c r="P107" s="46">
        <f>+P26/P15</f>
        <v>0.47428724380973569</v>
      </c>
      <c r="Q107" s="46">
        <f>+Q26/Q15</f>
        <v>0.47516888404786045</v>
      </c>
      <c r="R107" s="46">
        <f>+R26/R15</f>
        <v>0.48106728575809649</v>
      </c>
      <c r="S107" s="85">
        <f>+S26/S15</f>
        <v>0.47446538846417835</v>
      </c>
      <c r="T107" s="239"/>
      <c r="U107" s="46">
        <f>+U26/U15</f>
        <v>0.4682428318166082</v>
      </c>
      <c r="V107" s="46">
        <f>+V26/V15</f>
        <v>0.47688576310798703</v>
      </c>
      <c r="W107" s="46">
        <f>+W26/W15</f>
        <v>0.48195064913938673</v>
      </c>
      <c r="X107" s="46">
        <f>+X26/X15</f>
        <v>0.47038864887720733</v>
      </c>
      <c r="Y107" s="85">
        <f>+Y26/Y15</f>
        <v>0.47425845099276337</v>
      </c>
      <c r="Z107" s="239"/>
      <c r="AA107" s="46">
        <f>+AA26/AA15</f>
        <v>0.45911721510811893</v>
      </c>
      <c r="AB107" s="46">
        <f>+AB26/AB15</f>
        <v>0.47203200578290372</v>
      </c>
      <c r="AC107" s="46">
        <f>+AC26/AC15</f>
        <v>0.48284249011162139</v>
      </c>
      <c r="AD107" s="46">
        <f>+AD26/AD15</f>
        <v>0.46944682209517652</v>
      </c>
      <c r="AE107" s="85">
        <f>+AE26/AE15</f>
        <v>0.47098105285437869</v>
      </c>
      <c r="AF107" s="239"/>
      <c r="AG107" s="46">
        <f>+AG26/AG15</f>
        <v>0.44438075485000089</v>
      </c>
      <c r="AH107" s="46">
        <f>+AH26/AH15</f>
        <v>0.45611253260714196</v>
      </c>
      <c r="AI107" s="46">
        <f>+AI26/AI15</f>
        <v>0.46234691900525671</v>
      </c>
      <c r="AJ107" s="46">
        <f>+AJ26/AJ15</f>
        <v>0.46106351084756975</v>
      </c>
      <c r="AK107" s="414">
        <f>+AK26/AK15</f>
        <v>0.45606990132371494</v>
      </c>
      <c r="AL107" s="239"/>
      <c r="AM107" s="46">
        <f>+AM26/AM15</f>
        <v>0.45947609535628636</v>
      </c>
      <c r="AN107" s="46">
        <f>+AN26/AN15</f>
        <v>0.45058954089758468</v>
      </c>
      <c r="AO107" s="46">
        <f>+AO26/AO15</f>
        <v>0.46394748026601829</v>
      </c>
      <c r="AP107" s="46">
        <f>+AP26/AP15</f>
        <v>0.45864363840641387</v>
      </c>
      <c r="AQ107" s="85">
        <f>+AQ26/AQ15</f>
        <v>0.45806348196365781</v>
      </c>
      <c r="AR107" s="239"/>
      <c r="AS107" s="46">
        <f>+AS26/AS15</f>
        <v>0.45422907096374382</v>
      </c>
      <c r="AT107" s="46">
        <f>+AT26/AT15</f>
        <v>0.43931014573751304</v>
      </c>
      <c r="AU107" s="46">
        <f>+AU26/AU15</f>
        <v>0.44515772822193184</v>
      </c>
      <c r="AV107" s="46">
        <f>+AV26/AV15</f>
        <v>0.44557786548733513</v>
      </c>
      <c r="AW107" s="85">
        <f>+AW26/AW15</f>
        <v>0.44598603310245777</v>
      </c>
      <c r="AX107" s="239"/>
      <c r="AY107" s="46">
        <f>+AY26/AY15</f>
        <v>0.42808659437903784</v>
      </c>
      <c r="AZ107" s="46">
        <f>+AZ26/AZ15</f>
        <v>0.42035307479655182</v>
      </c>
      <c r="BA107" s="46">
        <f>+BA26/BA15</f>
        <v>0.427103439080247</v>
      </c>
      <c r="BB107" s="46">
        <f>+BB26/BB15</f>
        <v>0.43179571394607136</v>
      </c>
      <c r="BC107" s="85">
        <f>+BC26/BC15</f>
        <v>0.42676487229550875</v>
      </c>
      <c r="BD107" s="239"/>
      <c r="BE107" s="46">
        <f>+BE26/BE15</f>
        <v>0.38145284210910219</v>
      </c>
      <c r="BF107" s="46">
        <f>+BF26/BF15</f>
        <v>0.40743639921722113</v>
      </c>
      <c r="BG107" s="46">
        <f>+BG26/BG15</f>
        <v>0.43073864825277247</v>
      </c>
      <c r="BH107" s="46">
        <f>+BH26/BH15</f>
        <v>0.42575150300601194</v>
      </c>
      <c r="BI107" s="85">
        <f>+BI26/BI15</f>
        <v>0.41154158045032324</v>
      </c>
      <c r="BJ107" s="239"/>
      <c r="BK107" s="46">
        <f>+BK26/BK15</f>
        <v>0.41784922394678492</v>
      </c>
      <c r="BL107" s="46">
        <f>+BL26/BL15</f>
        <v>0.41782337557835453</v>
      </c>
      <c r="BM107" s="46">
        <f>+BM26/BM15</f>
        <v>0.41486834290239538</v>
      </c>
      <c r="BN107" s="46">
        <f>+BN26/BN15</f>
        <v>0.42447296058661782</v>
      </c>
      <c r="BO107" s="85">
        <f>+BO26/BO15</f>
        <v>0.41889728323410214</v>
      </c>
      <c r="BP107" s="239"/>
      <c r="BQ107" s="46">
        <f>+BQ26/BQ15</f>
        <v>0.43000000000000005</v>
      </c>
      <c r="BR107" s="46">
        <f>+BR26/BR15</f>
        <v>0.42000000000000004</v>
      </c>
      <c r="BS107" s="46">
        <f>+BS26/BS15</f>
        <v>0.42000000000000004</v>
      </c>
      <c r="BT107" s="46">
        <f>+BT26/BT15</f>
        <v>0.42000000000000004</v>
      </c>
      <c r="BU107" s="85">
        <f>+BU26/BU15</f>
        <v>0.42223360284977807</v>
      </c>
      <c r="BV107" s="239"/>
      <c r="BW107" s="46">
        <f>+BW26/BW15</f>
        <v>0.42699999999999999</v>
      </c>
      <c r="BX107" s="46">
        <f>+BX26/BX15</f>
        <v>0.41700000000000004</v>
      </c>
      <c r="BY107" s="46">
        <f>+BY26/BY15</f>
        <v>0.41699999999999998</v>
      </c>
      <c r="BZ107" s="46">
        <f>+BZ26/BZ15</f>
        <v>0.41700000000000004</v>
      </c>
      <c r="CA107" s="85">
        <f>+CA26/CA15</f>
        <v>0.41922259973025144</v>
      </c>
      <c r="CB107" s="239"/>
      <c r="CC107" s="46">
        <f>+CC26/CC15</f>
        <v>0.4240000000000001</v>
      </c>
      <c r="CD107" s="46">
        <f>+CD26/CD15</f>
        <v>0.41400000000000003</v>
      </c>
      <c r="CE107" s="46">
        <f>+CE26/CE15</f>
        <v>0.41400000000000003</v>
      </c>
      <c r="CF107" s="46">
        <f>+CF26/CF15</f>
        <v>0.41400000000000009</v>
      </c>
      <c r="CG107" s="85">
        <f>+CG26/CG15</f>
        <v>0.41623162634991007</v>
      </c>
      <c r="CW107" s="239"/>
    </row>
    <row r="108" spans="1:132" x14ac:dyDescent="0.2">
      <c r="B108" s="39" t="str">
        <f>B27</f>
        <v>Gross Profit</v>
      </c>
      <c r="C108" s="46">
        <f>+C27/C15</f>
        <v>0.53004196883136623</v>
      </c>
      <c r="D108" s="46">
        <f>+D27/D15</f>
        <v>0.52804192503054093</v>
      </c>
      <c r="E108" s="46">
        <f>+E27/E15</f>
        <v>0.52494550312689103</v>
      </c>
      <c r="F108" s="46">
        <f>+F27/F15</f>
        <v>0.5162063792484235</v>
      </c>
      <c r="G108" s="85">
        <f>+G27/G15</f>
        <v>0.52448226785278318</v>
      </c>
      <c r="H108" s="239"/>
      <c r="I108" s="46">
        <f>+I27/I15</f>
        <v>0.51794441552165293</v>
      </c>
      <c r="J108" s="46">
        <f>+J27/J15</f>
        <v>0.53297413341950783</v>
      </c>
      <c r="K108" s="46">
        <f>+K27/K15</f>
        <v>0.53323995353108611</v>
      </c>
      <c r="L108" s="46">
        <f>+L27/L15</f>
        <v>0.53833728754999444</v>
      </c>
      <c r="M108" s="85">
        <f>+M27/M15</f>
        <v>0.53044952783581834</v>
      </c>
      <c r="N108" s="239"/>
      <c r="O108" s="46">
        <f>+O27/O15</f>
        <v>0.53379061063756361</v>
      </c>
      <c r="P108" s="46">
        <f>+P27/P15</f>
        <v>0.52571275619026425</v>
      </c>
      <c r="Q108" s="46">
        <f>+Q27/Q15</f>
        <v>0.5248311159521396</v>
      </c>
      <c r="R108" s="46">
        <f>+R27/R15</f>
        <v>0.51893271424190346</v>
      </c>
      <c r="S108" s="85">
        <f>+S27/S15</f>
        <v>0.52553461153582171</v>
      </c>
      <c r="T108" s="239"/>
      <c r="U108" s="46">
        <f>+U27/U15</f>
        <v>0.5317571681833918</v>
      </c>
      <c r="V108" s="46">
        <f>+V27/V15</f>
        <v>0.52311423689201297</v>
      </c>
      <c r="W108" s="46">
        <f>+W27/W15</f>
        <v>0.51804935086061321</v>
      </c>
      <c r="X108" s="46">
        <f>+X27/X15</f>
        <v>0.52961135112279267</v>
      </c>
      <c r="Y108" s="85">
        <f>+Y27/Y15</f>
        <v>0.52574154900723657</v>
      </c>
      <c r="Z108" s="239"/>
      <c r="AA108" s="46">
        <f>+AA27/AA15</f>
        <v>0.54088278489188113</v>
      </c>
      <c r="AB108" s="46">
        <f>+AB27/AB15</f>
        <v>0.52796799421709628</v>
      </c>
      <c r="AC108" s="46">
        <f>+AC27/AC15</f>
        <v>0.51715750988837861</v>
      </c>
      <c r="AD108" s="46">
        <f>+AD27/AD15</f>
        <v>0.53055317790482348</v>
      </c>
      <c r="AE108" s="85">
        <f>+AE27/AE15</f>
        <v>0.52901894714562125</v>
      </c>
      <c r="AF108" s="239"/>
      <c r="AG108" s="46">
        <f>+AG27/AG15</f>
        <v>0.55561924514999905</v>
      </c>
      <c r="AH108" s="46">
        <f>+AH27/AH15</f>
        <v>0.54388746739285809</v>
      </c>
      <c r="AI108" s="46">
        <f>+AI27/AI15</f>
        <v>0.53765308099474329</v>
      </c>
      <c r="AJ108" s="46">
        <f>+AJ27/AJ15</f>
        <v>0.53893648915243031</v>
      </c>
      <c r="AK108" s="414">
        <f>+AK27/AK15</f>
        <v>0.54393009867628495</v>
      </c>
      <c r="AL108" s="239"/>
      <c r="AM108" s="46">
        <f>+AM27/AM15</f>
        <v>0.54052390464371358</v>
      </c>
      <c r="AN108" s="46">
        <f>+AN27/AN15</f>
        <v>0.54941045910241526</v>
      </c>
      <c r="AO108" s="46">
        <f>+AO27/AO15</f>
        <v>0.53605251973398171</v>
      </c>
      <c r="AP108" s="46">
        <f>+AP27/AP15</f>
        <v>0.54135636159358624</v>
      </c>
      <c r="AQ108" s="85">
        <f>+AQ27/AQ15</f>
        <v>0.54193651803634224</v>
      </c>
      <c r="AR108" s="239"/>
      <c r="AS108" s="46">
        <f>+AS27/AS15</f>
        <v>0.54577092903625612</v>
      </c>
      <c r="AT108" s="46">
        <f>+AT27/AT15</f>
        <v>0.56068985426248685</v>
      </c>
      <c r="AU108" s="46">
        <f>+AU27/AU15</f>
        <v>0.55484227177806822</v>
      </c>
      <c r="AV108" s="46">
        <f>+AV27/AV15</f>
        <v>0.55442213451266487</v>
      </c>
      <c r="AW108" s="85">
        <f>+AW27/AW15</f>
        <v>0.55401396689754223</v>
      </c>
      <c r="AX108" s="239"/>
      <c r="AY108" s="46">
        <f>+AY27/AY15</f>
        <v>0.57191340562096227</v>
      </c>
      <c r="AZ108" s="46">
        <f>+AZ27/AZ15</f>
        <v>0.57964692520344818</v>
      </c>
      <c r="BA108" s="46">
        <f>+BA27/BA15</f>
        <v>0.57289656091975305</v>
      </c>
      <c r="BB108" s="46">
        <f>+BB27/BB15</f>
        <v>0.5682042860539287</v>
      </c>
      <c r="BC108" s="85">
        <f>+BC27/BC15</f>
        <v>0.57323512770449125</v>
      </c>
      <c r="BD108" s="239"/>
      <c r="BE108" s="46">
        <f>+BE27/BE15</f>
        <v>0.59932659932659915</v>
      </c>
      <c r="BF108" s="46">
        <f>+BF27/BF15</f>
        <v>0.59256360078277892</v>
      </c>
      <c r="BG108" s="46">
        <f>+BG27/BG15</f>
        <v>0.56926135174722747</v>
      </c>
      <c r="BH108" s="46">
        <f>+BH27/BH15</f>
        <v>0.57424849699398806</v>
      </c>
      <c r="BI108" s="85">
        <f>+BI27/BI15</f>
        <v>0.58383812599511387</v>
      </c>
      <c r="BJ108" s="239"/>
      <c r="BK108" s="46">
        <f>+BK27/BK15</f>
        <v>0.58215077605321508</v>
      </c>
      <c r="BL108" s="46">
        <f>+BL27/BL15</f>
        <v>0.58217662442164542</v>
      </c>
      <c r="BM108" s="46">
        <f>+BM27/BM15</f>
        <v>0.58513165709760462</v>
      </c>
      <c r="BN108" s="46">
        <f>+BN27/BN15</f>
        <v>0.57552703941338224</v>
      </c>
      <c r="BO108" s="85">
        <f>+BO27/BO15</f>
        <v>0.58110271676589786</v>
      </c>
      <c r="BP108" s="239"/>
      <c r="BQ108" s="46">
        <f>+BQ27/BQ15</f>
        <v>0.56999999999999995</v>
      </c>
      <c r="BR108" s="46">
        <f>+BR27/BR15</f>
        <v>0.57999999999999996</v>
      </c>
      <c r="BS108" s="46">
        <f>+BS27/BS15</f>
        <v>0.57999999999999996</v>
      </c>
      <c r="BT108" s="46">
        <f>+BT27/BT15</f>
        <v>0.57999999999999996</v>
      </c>
      <c r="BU108" s="85">
        <f>+BU27/BU15</f>
        <v>0.57776639715022193</v>
      </c>
      <c r="BV108" s="239"/>
      <c r="BW108" s="46">
        <f>+BW27/BW15</f>
        <v>0.57299999999999995</v>
      </c>
      <c r="BX108" s="46">
        <f>+BX27/BX15</f>
        <v>0.58299999999999996</v>
      </c>
      <c r="BY108" s="46">
        <f>+BY27/BY15</f>
        <v>0.58299999999999996</v>
      </c>
      <c r="BZ108" s="46">
        <f>+BZ27/BZ15</f>
        <v>0.58299999999999996</v>
      </c>
      <c r="CA108" s="85">
        <f>+CA27/CA15</f>
        <v>0.58077740026974845</v>
      </c>
      <c r="CB108" s="239"/>
      <c r="CC108" s="46">
        <f>+CC27/CC15</f>
        <v>0.57599999999999996</v>
      </c>
      <c r="CD108" s="46">
        <f>+CD27/CD15</f>
        <v>0.58599999999999997</v>
      </c>
      <c r="CE108" s="46">
        <f>+CE27/CE15</f>
        <v>0.58599999999999997</v>
      </c>
      <c r="CF108" s="46">
        <f>+CF27/CF15</f>
        <v>0.58599999999999997</v>
      </c>
      <c r="CG108" s="85">
        <f>+CG27/CG15</f>
        <v>0.58376837365008982</v>
      </c>
      <c r="CW108" s="239"/>
    </row>
    <row r="109" spans="1:132" x14ac:dyDescent="0.2">
      <c r="B109" s="817" t="s">
        <v>343</v>
      </c>
      <c r="C109" s="813">
        <f>C27/C16</f>
        <v>0.57594123421074772</v>
      </c>
      <c r="D109" s="813">
        <f>D27/D16</f>
        <v>0.56668262222587984</v>
      </c>
      <c r="E109" s="813">
        <f>E27/E16</f>
        <v>0.56101167614204062</v>
      </c>
      <c r="F109" s="813">
        <f>F27/F16</f>
        <v>0.55542781544938724</v>
      </c>
      <c r="G109" s="814">
        <f>G27/G16</f>
        <v>0.56429423838144221</v>
      </c>
      <c r="H109" s="239"/>
      <c r="I109" s="813">
        <f>I27/I16</f>
        <v>0.56674742920762433</v>
      </c>
      <c r="J109" s="813">
        <f>J27/J16</f>
        <v>0.57144559562779473</v>
      </c>
      <c r="K109" s="813">
        <f>K27/K16</f>
        <v>0.56666585651247448</v>
      </c>
      <c r="L109" s="813">
        <f>L27/L16</f>
        <v>0.57245307171226967</v>
      </c>
      <c r="M109" s="814">
        <f>M27/M16</f>
        <v>0.56933391534253175</v>
      </c>
      <c r="N109" s="239"/>
      <c r="O109" s="813">
        <f>O27/O16</f>
        <v>0.5687979749247668</v>
      </c>
      <c r="P109" s="813">
        <f>P27/P16</f>
        <v>0.55712454372882103</v>
      </c>
      <c r="Q109" s="813">
        <f>Q27/Q16</f>
        <v>0.55363521807272975</v>
      </c>
      <c r="R109" s="813">
        <f>R27/R16</f>
        <v>0.55339718153952033</v>
      </c>
      <c r="S109" s="814">
        <f>S27/S16</f>
        <v>0.55794320523930496</v>
      </c>
      <c r="T109" s="239"/>
      <c r="U109" s="813">
        <f>U27/U16</f>
        <v>0.56927552650502555</v>
      </c>
      <c r="V109" s="813">
        <f>V27/V16</f>
        <v>0.55730300254064635</v>
      </c>
      <c r="W109" s="813">
        <f>W27/W16</f>
        <v>0.55440317991573473</v>
      </c>
      <c r="X109" s="813">
        <f>X27/X16</f>
        <v>0.56293066818172632</v>
      </c>
      <c r="Y109" s="814">
        <f>Y27/Y16</f>
        <v>0.56103143692595836</v>
      </c>
      <c r="Z109" s="239"/>
      <c r="AA109" s="813">
        <f>AA27/AA16</f>
        <v>0.57263940899781407</v>
      </c>
      <c r="AB109" s="813">
        <f>AB27/AB16</f>
        <v>0.55767852059552325</v>
      </c>
      <c r="AC109" s="813">
        <f>AC27/AC16</f>
        <v>0.55421505670373505</v>
      </c>
      <c r="AD109" s="813">
        <f>AD27/AD16</f>
        <v>0.56472727629610753</v>
      </c>
      <c r="AE109" s="814">
        <f>AE27/AE16</f>
        <v>0.56226230054963888</v>
      </c>
      <c r="AF109" s="239"/>
      <c r="AG109" s="813">
        <f>AG27/AG16</f>
        <v>0.58709846843619773</v>
      </c>
      <c r="AH109" s="813">
        <f>AH27/AH16</f>
        <v>0.58124042338140436</v>
      </c>
      <c r="AI109" s="813">
        <f>AI27/AI16</f>
        <v>0.56690845606559725</v>
      </c>
      <c r="AJ109" s="813">
        <f>AJ27/AJ16</f>
        <v>0.5664798792163428</v>
      </c>
      <c r="AK109" s="814">
        <f>AK27/AK16</f>
        <v>0.57531683552719937</v>
      </c>
      <c r="AL109" s="239"/>
      <c r="AM109" s="813">
        <f>AM27/AM16</f>
        <v>0.57474198334195448</v>
      </c>
      <c r="AN109" s="813">
        <f>AN27/AN16</f>
        <v>0.57421495579068427</v>
      </c>
      <c r="AO109" s="813">
        <f>AO27/AO16</f>
        <v>0.55563594692021201</v>
      </c>
      <c r="AP109" s="813">
        <f>AP27/AP16</f>
        <v>0.56276497542367443</v>
      </c>
      <c r="AQ109" s="814">
        <f>AQ27/AQ16</f>
        <v>0.56685250906616635</v>
      </c>
      <c r="AR109" s="239"/>
      <c r="AS109" s="813">
        <f>AS27/AS16</f>
        <v>0.56879027337004773</v>
      </c>
      <c r="AT109" s="813">
        <f>AT27/AT16</f>
        <v>0.57939583672079209</v>
      </c>
      <c r="AU109" s="813">
        <f>AU27/AU16</f>
        <v>0.57007772704096593</v>
      </c>
      <c r="AV109" s="813">
        <f>AV27/AV16</f>
        <v>0.57022724418259174</v>
      </c>
      <c r="AW109" s="814">
        <f>AW27/AW16</f>
        <v>0.57222401190891026</v>
      </c>
      <c r="AX109" s="239"/>
      <c r="AY109" s="813">
        <f>AY27/AY16</f>
        <v>0.58786298436400863</v>
      </c>
      <c r="AZ109" s="813">
        <f>AZ27/AZ16</f>
        <v>0.59343165179526736</v>
      </c>
      <c r="BA109" s="813">
        <f>BA27/BA16</f>
        <v>0.5849226641585098</v>
      </c>
      <c r="BB109" s="813">
        <f>BB27/BB16</f>
        <v>0.5832830013114676</v>
      </c>
      <c r="BC109" s="814">
        <f>BC27/BC16</f>
        <v>0.5874267346816805</v>
      </c>
      <c r="BD109" s="239"/>
      <c r="BE109" s="813">
        <f>BE27/BE16</f>
        <v>0.61107173948230675</v>
      </c>
      <c r="BF109" s="813">
        <f>BF27/BF16</f>
        <v>0.60180860578356365</v>
      </c>
      <c r="BG109" s="813">
        <f>BG27/BG16</f>
        <v>0.57833758503401367</v>
      </c>
      <c r="BH109" s="813">
        <f>BH27/BH16</f>
        <v>0.58235951630931826</v>
      </c>
      <c r="BI109" s="814">
        <f>BI27/BI16</f>
        <v>0.59333450726000281</v>
      </c>
      <c r="BJ109" s="239"/>
      <c r="BK109" s="813">
        <f>BK27/BK16</f>
        <v>0.58940397350993379</v>
      </c>
      <c r="BL109" s="813">
        <f>BL27/BL16</f>
        <v>0.58791264601320459</v>
      </c>
      <c r="BM109" s="813">
        <f>BM27/BM16</f>
        <v>0.59062749800159886</v>
      </c>
      <c r="BN109" s="813">
        <f>BN27/BN16</f>
        <v>0.58101230683816041</v>
      </c>
      <c r="BO109" s="814">
        <f>BO27/BO16</f>
        <v>0.58705046880133449</v>
      </c>
      <c r="BP109" s="239"/>
      <c r="BQ109" s="813">
        <f>BQ27/BQ16</f>
        <v>0.57673464825912479</v>
      </c>
      <c r="BR109" s="813">
        <f>BR27/BR16</f>
        <v>0.58535623840878015</v>
      </c>
      <c r="BS109" s="813">
        <f>BS27/BS16</f>
        <v>0.5850817820165316</v>
      </c>
      <c r="BT109" s="813">
        <f>BT27/BT16</f>
        <v>0.58518313632672325</v>
      </c>
      <c r="BU109" s="814">
        <f>BU27/BU16</f>
        <v>0.58331753363366989</v>
      </c>
      <c r="BV109" s="239"/>
      <c r="BW109" s="813">
        <f>BW27/BW16</f>
        <v>0.57954631039867555</v>
      </c>
      <c r="BX109" s="813">
        <f>BX27/BX16</f>
        <v>0.58814457323349256</v>
      </c>
      <c r="BY109" s="813">
        <f>BY27/BY16</f>
        <v>0.58790205795194628</v>
      </c>
      <c r="BZ109" s="813">
        <f>BZ27/BZ16</f>
        <v>0.58803735759895315</v>
      </c>
      <c r="CA109" s="814">
        <f>CA27/CA16</f>
        <v>0.58614658054521629</v>
      </c>
      <c r="CB109" s="239"/>
      <c r="CC109" s="813">
        <f>CC27/CC16</f>
        <v>0.5823597422250254</v>
      </c>
      <c r="CD109" s="813">
        <f>CD27/CD16</f>
        <v>0.59104639426251571</v>
      </c>
      <c r="CE109" s="813">
        <f>CE27/CE16</f>
        <v>0.59079500783019456</v>
      </c>
      <c r="CF109" s="813">
        <f>CF27/CF16</f>
        <v>0.59089266695770948</v>
      </c>
      <c r="CG109" s="814">
        <f>CG27/CG16</f>
        <v>0.58900584058648009</v>
      </c>
      <c r="CW109" s="239"/>
    </row>
    <row r="110" spans="1:132" x14ac:dyDescent="0.2">
      <c r="B110" s="817" t="s">
        <v>129</v>
      </c>
      <c r="C110" s="813">
        <f>+C109</f>
        <v>0.57594123421074772</v>
      </c>
      <c r="D110" s="813">
        <f>+D109</f>
        <v>0.56668262222587984</v>
      </c>
      <c r="E110" s="813">
        <f>+E109</f>
        <v>0.56101167614204062</v>
      </c>
      <c r="F110" s="813">
        <f>+F109</f>
        <v>0.55542781544938724</v>
      </c>
      <c r="G110" s="814">
        <f>+G109</f>
        <v>0.56429423838144221</v>
      </c>
      <c r="H110" s="239"/>
      <c r="I110" s="813">
        <f>+I109</f>
        <v>0.56674742920762433</v>
      </c>
      <c r="J110" s="813">
        <f>+J109</f>
        <v>0.57144559562779473</v>
      </c>
      <c r="K110" s="813">
        <f>+K109</f>
        <v>0.56666585651247448</v>
      </c>
      <c r="L110" s="813">
        <f>+L109</f>
        <v>0.57245307171226967</v>
      </c>
      <c r="M110" s="814">
        <f>+M109</f>
        <v>0.56933391534253175</v>
      </c>
      <c r="N110" s="239"/>
      <c r="O110" s="813">
        <f>+O109</f>
        <v>0.5687979749247668</v>
      </c>
      <c r="P110" s="813">
        <f>+P109</f>
        <v>0.55712454372882103</v>
      </c>
      <c r="Q110" s="813">
        <f>+Q109</f>
        <v>0.55363521807272975</v>
      </c>
      <c r="R110" s="813">
        <f>+R109</f>
        <v>0.55339718153952033</v>
      </c>
      <c r="S110" s="814">
        <f>+S109</f>
        <v>0.55794320523930496</v>
      </c>
      <c r="T110" s="239"/>
      <c r="U110" s="813">
        <f>+U109</f>
        <v>0.56927552650502555</v>
      </c>
      <c r="V110" s="813">
        <f>+V109</f>
        <v>0.55730300254064635</v>
      </c>
      <c r="W110" s="813">
        <f>+W109</f>
        <v>0.55440317991573473</v>
      </c>
      <c r="X110" s="813">
        <f>+X109</f>
        <v>0.56293066818172632</v>
      </c>
      <c r="Y110" s="814">
        <f>+Y109</f>
        <v>0.56103143692595836</v>
      </c>
      <c r="Z110" s="239"/>
      <c r="AA110" s="813">
        <f>+AA109</f>
        <v>0.57263940899781407</v>
      </c>
      <c r="AB110" s="813">
        <f>+AB109</f>
        <v>0.55767852059552325</v>
      </c>
      <c r="AC110" s="813">
        <f>+AC109</f>
        <v>0.55421505670373505</v>
      </c>
      <c r="AD110" s="813">
        <f>+AD109</f>
        <v>0.56472727629610753</v>
      </c>
      <c r="AE110" s="814">
        <f>+AE109</f>
        <v>0.56226230054963888</v>
      </c>
      <c r="AF110" s="239"/>
      <c r="AG110" s="813">
        <f>+AG109</f>
        <v>0.58709846843619773</v>
      </c>
      <c r="AH110" s="813">
        <f>+AH109</f>
        <v>0.58124042338140436</v>
      </c>
      <c r="AI110" s="813">
        <f>+AI109</f>
        <v>0.56690845606559725</v>
      </c>
      <c r="AJ110" s="813">
        <f>+AJ109</f>
        <v>0.5664798792163428</v>
      </c>
      <c r="AK110" s="814">
        <f>+AK109</f>
        <v>0.57531683552719937</v>
      </c>
      <c r="AL110" s="239"/>
      <c r="AM110" s="813">
        <f>+AM109+0.0045</f>
        <v>0.57924198334195443</v>
      </c>
      <c r="AN110" s="813">
        <f>+AN109+0.0045</f>
        <v>0.57871495579068422</v>
      </c>
      <c r="AO110" s="813">
        <f>+AO109+0.0045</f>
        <v>0.56013594692021196</v>
      </c>
      <c r="AP110" s="813">
        <f>+AP109+0.0045</f>
        <v>0.56726497542367438</v>
      </c>
      <c r="AQ110" s="814">
        <f>+AQ109+0.0045</f>
        <v>0.5713525090661663</v>
      </c>
      <c r="AR110" s="239"/>
      <c r="AS110" s="813">
        <f>+AS109+0.0045</f>
        <v>0.57329027337004768</v>
      </c>
      <c r="AT110" s="813">
        <f>+AT109+0.0045</f>
        <v>0.58389583672079204</v>
      </c>
      <c r="AU110" s="813">
        <f>+AU109+0.0045</f>
        <v>0.57457772704096588</v>
      </c>
      <c r="AV110" s="813">
        <f>+AV109+0.0045</f>
        <v>0.57472724418259169</v>
      </c>
      <c r="AW110" s="814">
        <f>+AW109+0.0045</f>
        <v>0.57672401190891021</v>
      </c>
      <c r="AX110" s="239"/>
      <c r="AY110" s="813">
        <f>+AY109+0.0045</f>
        <v>0.59236298436400858</v>
      </c>
      <c r="AZ110" s="813">
        <f>+AZ109+0.0045</f>
        <v>0.5979316517952673</v>
      </c>
      <c r="BA110" s="813">
        <f>+BA109+0.0045</f>
        <v>0.58942266415850975</v>
      </c>
      <c r="BB110" s="813">
        <f>+BB109+0.0045</f>
        <v>0.58778300131146755</v>
      </c>
      <c r="BC110" s="814">
        <f>+BC109+0.0045</f>
        <v>0.59192673468168044</v>
      </c>
      <c r="BD110" s="239"/>
      <c r="BE110" s="813">
        <f>+BE109+0.0045</f>
        <v>0.6155717394823067</v>
      </c>
      <c r="BF110" s="813">
        <f>+BF109+0.0045</f>
        <v>0.6063086057835636</v>
      </c>
      <c r="BG110" s="813">
        <f>+BG109+0.0045</f>
        <v>0.58283758503401362</v>
      </c>
      <c r="BH110" s="813">
        <f>+BH109+0.0045</f>
        <v>0.58685951630931821</v>
      </c>
      <c r="BI110" s="814">
        <f>+BI109+0.0045</f>
        <v>0.59783450726000276</v>
      </c>
      <c r="BJ110" s="239"/>
      <c r="BK110" s="813">
        <f>+BK109+0.0045</f>
        <v>0.59390397350993374</v>
      </c>
      <c r="BL110" s="813">
        <f>+BL109+0.0045</f>
        <v>0.59241264601320454</v>
      </c>
      <c r="BM110" s="813">
        <f>+BM109+0.0045</f>
        <v>0.59512749800159881</v>
      </c>
      <c r="BN110" s="813">
        <f>+BN109+0.0045</f>
        <v>0.58551230683816036</v>
      </c>
      <c r="BO110" s="814">
        <f>+BO109+0.0045</f>
        <v>0.59155046880133444</v>
      </c>
      <c r="BP110" s="239"/>
      <c r="BQ110" s="813">
        <f>+BQ109+0.0045</f>
        <v>0.58123464825912474</v>
      </c>
      <c r="BR110" s="813">
        <f>+BR109+0.0045</f>
        <v>0.5898562384087801</v>
      </c>
      <c r="BS110" s="813">
        <f>+BS109+0.0045</f>
        <v>0.58958178201653155</v>
      </c>
      <c r="BT110" s="813">
        <f>+BT109+0.0045</f>
        <v>0.5896831363267232</v>
      </c>
      <c r="BU110" s="814">
        <f>+BU109+0.0045</f>
        <v>0.58781753363366984</v>
      </c>
      <c r="BV110" s="239"/>
      <c r="BW110" s="813">
        <f>+BW109+0.0045</f>
        <v>0.58404631039867549</v>
      </c>
      <c r="BX110" s="813">
        <f>+BX109+0.0045</f>
        <v>0.59264457323349251</v>
      </c>
      <c r="BY110" s="813">
        <f>+BY109+0.0045</f>
        <v>0.59240205795194623</v>
      </c>
      <c r="BZ110" s="813">
        <f>+BZ109+0.0045</f>
        <v>0.5925373575989531</v>
      </c>
      <c r="CA110" s="814">
        <f>+CA109+0.0045</f>
        <v>0.59064658054521624</v>
      </c>
      <c r="CB110" s="239"/>
      <c r="CC110" s="813">
        <f>+CC109+0.0045</f>
        <v>0.58685974222502535</v>
      </c>
      <c r="CD110" s="813">
        <f>+CD109+0.0045</f>
        <v>0.59554639426251565</v>
      </c>
      <c r="CE110" s="813">
        <f>+CE109+0.0045</f>
        <v>0.59529500783019451</v>
      </c>
      <c r="CF110" s="813">
        <f>+CF109+0.0045</f>
        <v>0.59539266695770943</v>
      </c>
      <c r="CG110" s="814">
        <f>+CG109+0.0045</f>
        <v>0.59350584058648004</v>
      </c>
      <c r="CH110" s="239"/>
      <c r="CI110" s="239"/>
      <c r="CJ110" s="239"/>
      <c r="CK110" s="239"/>
      <c r="CL110" s="239"/>
      <c r="CM110" s="239"/>
      <c r="CN110" s="239"/>
      <c r="CO110" s="239"/>
      <c r="CP110" s="239"/>
      <c r="CQ110" s="239"/>
      <c r="CR110" s="239"/>
      <c r="CS110" s="239"/>
      <c r="CT110" s="239"/>
      <c r="CU110" s="239"/>
      <c r="CW110" s="239"/>
    </row>
    <row r="111" spans="1:132" x14ac:dyDescent="0.2">
      <c r="B111" s="817" t="s">
        <v>515</v>
      </c>
      <c r="C111" s="813"/>
      <c r="D111" s="813"/>
      <c r="E111" s="813"/>
      <c r="F111" s="813"/>
      <c r="G111" s="814"/>
      <c r="H111" s="239"/>
      <c r="I111" s="813">
        <v>0.50865220353007057</v>
      </c>
      <c r="J111" s="813">
        <v>0.53036495098739689</v>
      </c>
      <c r="K111" s="813">
        <v>0.52869405400101532</v>
      </c>
      <c r="L111" s="813">
        <v>0.53337951474098722</v>
      </c>
      <c r="M111" s="814">
        <v>0.52510914094441286</v>
      </c>
      <c r="N111" s="239"/>
      <c r="O111" s="813">
        <v>0.52417896080276316</v>
      </c>
      <c r="P111" s="813">
        <v>0.51673564482519085</v>
      </c>
      <c r="Q111" s="813">
        <v>0.51153702068700657</v>
      </c>
      <c r="R111" s="813">
        <v>0.49830399335672049</v>
      </c>
      <c r="S111" s="814">
        <v>0.51235263117434726</v>
      </c>
      <c r="T111" s="239"/>
      <c r="U111" s="813">
        <v>0.51660609879401553</v>
      </c>
      <c r="V111" s="813">
        <v>0.50894023210626349</v>
      </c>
      <c r="W111" s="813">
        <v>0.50351872871736669</v>
      </c>
      <c r="X111" s="813">
        <v>0.50638278399560688</v>
      </c>
      <c r="Y111" s="814">
        <v>0.50884776052739877</v>
      </c>
      <c r="Z111" s="239"/>
      <c r="AA111" s="813">
        <v>0.52862824560081201</v>
      </c>
      <c r="AB111" s="813">
        <v>0.51908217831692216</v>
      </c>
      <c r="AC111" s="813">
        <v>0.50829596665800736</v>
      </c>
      <c r="AD111" s="813">
        <v>0.51861010578404454</v>
      </c>
      <c r="AE111" s="814">
        <v>0.51845673948011572</v>
      </c>
      <c r="AF111" s="239"/>
      <c r="AG111" s="813">
        <v>0.55287103947024974</v>
      </c>
      <c r="AH111" s="813">
        <v>0.5398535244051722</v>
      </c>
      <c r="AI111" s="813">
        <v>0.52944516151287702</v>
      </c>
      <c r="AJ111" s="813">
        <v>0.52607900298425037</v>
      </c>
      <c r="AK111" s="814">
        <v>0.53702206882939629</v>
      </c>
      <c r="AL111" s="239"/>
      <c r="AM111" s="813">
        <v>0.53501237562902615</v>
      </c>
      <c r="AN111" s="813">
        <v>0.54938699885678244</v>
      </c>
      <c r="AO111" s="813">
        <v>0.53849191355902826</v>
      </c>
      <c r="AP111" s="813">
        <v>0.53463507320296455</v>
      </c>
      <c r="AQ111" s="814">
        <v>0.53945343079941843</v>
      </c>
      <c r="AR111" s="239"/>
      <c r="AS111" s="813">
        <v>0.54572710563007965</v>
      </c>
      <c r="AT111" s="813">
        <v>0.55857296873468587</v>
      </c>
      <c r="AU111" s="813">
        <v>0.55564497910312882</v>
      </c>
      <c r="AV111" s="813">
        <v>0.55115494109515306</v>
      </c>
      <c r="AW111" s="814">
        <v>0.55282931068698637</v>
      </c>
      <c r="AX111" s="239"/>
      <c r="AY111" s="813">
        <v>0.57586847879083369</v>
      </c>
      <c r="AZ111" s="813">
        <v>0.58189757681166066</v>
      </c>
      <c r="BA111" s="813">
        <v>0.58314069964555404</v>
      </c>
      <c r="BB111" s="813">
        <v>0.56638354939651325</v>
      </c>
      <c r="BC111" s="814">
        <v>0.57682646019969142</v>
      </c>
      <c r="BD111" s="239"/>
      <c r="BE111" s="813">
        <v>0.45289226385654485</v>
      </c>
      <c r="BF111" s="813">
        <v>0.59489008929664655</v>
      </c>
      <c r="BG111" s="813">
        <v>0.56412582171159242</v>
      </c>
      <c r="BH111" s="813">
        <v>0.56955524110575395</v>
      </c>
      <c r="BI111" s="814">
        <v>0.54690220529272482</v>
      </c>
      <c r="BJ111" s="239"/>
      <c r="BK111" s="813">
        <v>0.58249254667670813</v>
      </c>
      <c r="BL111" s="813">
        <v>0.57962825539827889</v>
      </c>
      <c r="BM111" s="813">
        <v>0.58516030003713615</v>
      </c>
      <c r="BN111" s="813">
        <v>0.56942793110484347</v>
      </c>
      <c r="BO111" s="814">
        <v>0.57895869866484817</v>
      </c>
      <c r="BP111" s="239"/>
      <c r="BQ111" s="813">
        <v>0.55756784999033293</v>
      </c>
      <c r="BR111" s="813">
        <v>0.56994664113222915</v>
      </c>
      <c r="BS111" s="813">
        <v>0.57414518563695205</v>
      </c>
      <c r="BT111" s="813">
        <v>0.57049574513882095</v>
      </c>
      <c r="BU111" s="814">
        <v>0.56851341337771388</v>
      </c>
      <c r="BV111" s="239"/>
      <c r="BW111" s="813">
        <v>0.55772672858724415</v>
      </c>
      <c r="BX111" s="813">
        <v>0.57089805657572901</v>
      </c>
      <c r="BY111" s="813">
        <v>0.57531746273109963</v>
      </c>
      <c r="BZ111" s="813">
        <v>0.57098021652877762</v>
      </c>
      <c r="CA111" s="814">
        <v>0.56926613475915733</v>
      </c>
      <c r="CB111" s="239"/>
      <c r="CC111" s="813">
        <v>0.55842682340117078</v>
      </c>
      <c r="CD111" s="813">
        <v>0.57185992312253275</v>
      </c>
      <c r="CE111" s="813">
        <v>0.5766098523235168</v>
      </c>
      <c r="CF111" s="813">
        <v>0.57189206062198628</v>
      </c>
      <c r="CG111" s="814">
        <v>0.57022683200900082</v>
      </c>
      <c r="CH111" s="239"/>
      <c r="CI111" s="239"/>
      <c r="CJ111" s="239"/>
      <c r="CK111" s="239"/>
      <c r="CL111" s="239"/>
      <c r="CM111" s="239"/>
      <c r="CN111" s="239"/>
      <c r="CO111" s="239"/>
      <c r="CP111" s="239"/>
      <c r="CQ111" s="239"/>
      <c r="CR111" s="239"/>
      <c r="CS111" s="239"/>
      <c r="CT111" s="239"/>
      <c r="CU111" s="239"/>
      <c r="CW111" s="239"/>
    </row>
    <row r="112" spans="1:132" x14ac:dyDescent="0.2">
      <c r="B112" s="817" t="s">
        <v>514</v>
      </c>
      <c r="C112" s="813"/>
      <c r="D112" s="813"/>
      <c r="E112" s="813"/>
      <c r="F112" s="813"/>
      <c r="G112" s="814"/>
      <c r="H112" s="239"/>
      <c r="I112" s="813">
        <v>0.54322771398622116</v>
      </c>
      <c r="J112" s="813">
        <v>0.53881396050362163</v>
      </c>
      <c r="K112" s="813">
        <v>0.54424031755681124</v>
      </c>
      <c r="L112" s="813">
        <v>0.55005943635288479</v>
      </c>
      <c r="M112" s="814">
        <v>0.54402256581362907</v>
      </c>
      <c r="N112" s="239"/>
      <c r="O112" s="813">
        <v>0.56093483565868085</v>
      </c>
      <c r="P112" s="813">
        <v>0.55080874701796134</v>
      </c>
      <c r="Q112" s="813">
        <v>0.56010688090785832</v>
      </c>
      <c r="R112" s="813">
        <v>0.57141193577869709</v>
      </c>
      <c r="S112" s="814">
        <v>0.56129073804047358</v>
      </c>
      <c r="T112" s="239"/>
      <c r="U112" s="813">
        <v>0.57298294686342366</v>
      </c>
      <c r="V112" s="813">
        <v>0.5646382010119666</v>
      </c>
      <c r="W112" s="813">
        <v>0.55882219049407966</v>
      </c>
      <c r="X112" s="813">
        <v>0.58360458243671398</v>
      </c>
      <c r="Y112" s="814">
        <v>0.57094872094274352</v>
      </c>
      <c r="Z112" s="239"/>
      <c r="AA112" s="813">
        <v>0.57122693872179131</v>
      </c>
      <c r="AB112" s="813">
        <v>0.54803308073133017</v>
      </c>
      <c r="AC112" s="813">
        <v>0.54006746896735913</v>
      </c>
      <c r="AD112" s="813">
        <v>0.5624223644780405</v>
      </c>
      <c r="AE112" s="814">
        <v>0.55545758634656017</v>
      </c>
      <c r="AF112" s="239"/>
      <c r="AG112" s="813">
        <v>0.56156305953129748</v>
      </c>
      <c r="AH112" s="813">
        <v>0.55410184479030289</v>
      </c>
      <c r="AI112" s="813">
        <v>0.55843560832877626</v>
      </c>
      <c r="AJ112" s="813">
        <v>0.57220468365455379</v>
      </c>
      <c r="AK112" s="814">
        <v>0.56188464105395031</v>
      </c>
      <c r="AL112" s="239"/>
      <c r="AM112" s="813">
        <v>0.55336610397340835</v>
      </c>
      <c r="AN112" s="813">
        <v>0.54717714967955267</v>
      </c>
      <c r="AO112" s="813">
        <v>0.52772758155247645</v>
      </c>
      <c r="AP112" s="813">
        <v>0.55614026673959527</v>
      </c>
      <c r="AQ112" s="814">
        <v>0.54621356531225207</v>
      </c>
      <c r="AR112" s="239"/>
      <c r="AS112" s="813">
        <v>0.5431508182221173</v>
      </c>
      <c r="AT112" s="813">
        <v>0.56293975415665842</v>
      </c>
      <c r="AU112" s="813">
        <v>0.5512934527959884</v>
      </c>
      <c r="AV112" s="813">
        <v>0.56100943519900515</v>
      </c>
      <c r="AW112" s="814">
        <v>0.55475600348059728</v>
      </c>
      <c r="AX112" s="239"/>
      <c r="AY112" s="813">
        <v>0.56060897400135579</v>
      </c>
      <c r="AZ112" s="813">
        <v>0.57319294976981894</v>
      </c>
      <c r="BA112" s="813">
        <v>0.55015510503378351</v>
      </c>
      <c r="BB112" s="813">
        <v>0.57128710731548238</v>
      </c>
      <c r="BC112" s="814">
        <v>0.56394616674222664</v>
      </c>
      <c r="BD112" s="239"/>
      <c r="BE112" s="813">
        <v>0.58581206469739688</v>
      </c>
      <c r="BF112" s="813">
        <v>0.58602558228874024</v>
      </c>
      <c r="BG112" s="813">
        <v>0.57915189051357774</v>
      </c>
      <c r="BH112" s="813">
        <v>0.58328597904971335</v>
      </c>
      <c r="BI112" s="814">
        <v>0.58355232981310157</v>
      </c>
      <c r="BJ112" s="239"/>
      <c r="BK112" s="813">
        <v>0.58017813514545624</v>
      </c>
      <c r="BL112" s="813">
        <v>0.58758301641624922</v>
      </c>
      <c r="BM112" s="813">
        <v>0.58394105108689065</v>
      </c>
      <c r="BN112" s="813">
        <v>0.58733020663134627</v>
      </c>
      <c r="BO112" s="814">
        <v>0.58492893496186849</v>
      </c>
      <c r="BP112" s="239"/>
      <c r="BQ112" s="813">
        <v>0.59105676905805138</v>
      </c>
      <c r="BR112" s="813">
        <v>0.59947744485739352</v>
      </c>
      <c r="BS112" s="813">
        <v>0.59098014299254176</v>
      </c>
      <c r="BT112" s="813">
        <v>0.59703319865779192</v>
      </c>
      <c r="BU112" s="814">
        <v>0.59472533394286931</v>
      </c>
      <c r="BV112" s="239"/>
      <c r="BW112" s="813">
        <v>0.59733829959271323</v>
      </c>
      <c r="BX112" s="813">
        <v>0.60561152183028311</v>
      </c>
      <c r="BY112" s="813">
        <v>0.59703118586790083</v>
      </c>
      <c r="BZ112" s="813">
        <v>0.60347405638710228</v>
      </c>
      <c r="CA112" s="814">
        <v>0.60096066413580185</v>
      </c>
      <c r="CB112" s="239"/>
      <c r="CC112" s="813">
        <v>0.60317856252356794</v>
      </c>
      <c r="CD112" s="813">
        <v>0.61133665437573592</v>
      </c>
      <c r="CE112" s="813">
        <v>0.60266850805286865</v>
      </c>
      <c r="CF112" s="813">
        <v>0.60941384096261719</v>
      </c>
      <c r="CG112" s="814">
        <v>0.60675249613939508</v>
      </c>
      <c r="CH112" s="239"/>
      <c r="CI112" s="239"/>
      <c r="CJ112" s="239"/>
      <c r="CK112" s="239"/>
      <c r="CL112" s="239"/>
      <c r="CM112" s="239"/>
      <c r="CN112" s="239"/>
      <c r="CO112" s="239"/>
      <c r="CP112" s="239"/>
      <c r="CQ112" s="239"/>
      <c r="CR112" s="239"/>
      <c r="CS112" s="239"/>
      <c r="CT112" s="239"/>
      <c r="CU112" s="239"/>
      <c r="CW112" s="239"/>
    </row>
    <row r="113" spans="1:256" x14ac:dyDescent="0.2">
      <c r="B113" s="666" t="str">
        <f>B40</f>
        <v>SG&amp;A</v>
      </c>
      <c r="C113" s="46">
        <f>C40/C15</f>
        <v>0.3585374516944107</v>
      </c>
      <c r="D113" s="46">
        <f>D40/D15</f>
        <v>0.34251270239146958</v>
      </c>
      <c r="E113" s="46">
        <f>E40/E15</f>
        <v>0.34067326665809439</v>
      </c>
      <c r="F113" s="46">
        <f>F40/F15</f>
        <v>0.31931409417814061</v>
      </c>
      <c r="G113" s="85">
        <f>G40/G15</f>
        <v>0.33937907028466002</v>
      </c>
      <c r="H113" s="239"/>
      <c r="I113" s="46">
        <f>I40/I15</f>
        <v>0.33481596677245273</v>
      </c>
      <c r="J113" s="46">
        <f>J40/J15</f>
        <v>0.3460382366171938</v>
      </c>
      <c r="K113" s="46">
        <f>K40/K15</f>
        <v>0.35004598307244722</v>
      </c>
      <c r="L113" s="46">
        <f>L40/L15</f>
        <v>0.34477003682944651</v>
      </c>
      <c r="M113" s="85">
        <f>M40/M15</f>
        <v>0.34383917578684092</v>
      </c>
      <c r="N113" s="239"/>
      <c r="O113" s="46">
        <f>O40/O15</f>
        <v>0.3529859677298367</v>
      </c>
      <c r="P113" s="46">
        <f>P40/P15</f>
        <v>0.32960191995250138</v>
      </c>
      <c r="Q113" s="46">
        <f>Q40/Q15</f>
        <v>0.33542951105786006</v>
      </c>
      <c r="R113" s="46">
        <f>R40/R15</f>
        <v>0.31293470335618845</v>
      </c>
      <c r="S113" s="85">
        <f>S40/S15</f>
        <v>0.33195659565280244</v>
      </c>
      <c r="T113" s="239"/>
      <c r="U113" s="46">
        <f>U40/U15</f>
        <v>0.3458667949001441</v>
      </c>
      <c r="V113" s="46">
        <f>V40/V15</f>
        <v>0.32651999028894912</v>
      </c>
      <c r="W113" s="46">
        <f>W40/W15</f>
        <v>0.34201972628261812</v>
      </c>
      <c r="X113" s="46">
        <f>X40/X15</f>
        <v>0.31977864748804619</v>
      </c>
      <c r="Y113" s="85">
        <f>Y40/Y15</f>
        <v>0.33317810344610449</v>
      </c>
      <c r="Z113" s="239"/>
      <c r="AA113" s="46">
        <f>AA40/AA15</f>
        <v>0.35508684376724281</v>
      </c>
      <c r="AB113" s="46">
        <f>AB40/AB15</f>
        <v>0.33527286616141638</v>
      </c>
      <c r="AC113" s="46">
        <f>AC40/AC15</f>
        <v>0.35079596465020452</v>
      </c>
      <c r="AD113" s="46">
        <f>AD40/AD15</f>
        <v>0.35829309781347024</v>
      </c>
      <c r="AE113" s="85">
        <f>AE40/AE15</f>
        <v>0.3500990389878908</v>
      </c>
      <c r="AF113" s="239"/>
      <c r="AG113" s="46">
        <f>AG40/AG15</f>
        <v>0.38511579826499959</v>
      </c>
      <c r="AH113" s="46">
        <f>AH40/AH15</f>
        <v>0.36136224943937945</v>
      </c>
      <c r="AI113" s="46">
        <f>AI40/AI15</f>
        <v>0.36270394082995433</v>
      </c>
      <c r="AJ113" s="46">
        <f>AJ40/AJ15</f>
        <v>0.35877253409091719</v>
      </c>
      <c r="AK113" s="85">
        <f>AK40/AK15</f>
        <v>0.36675074076846037</v>
      </c>
      <c r="AL113" s="239"/>
      <c r="AM113" s="46">
        <f>AM40/AM15</f>
        <v>0.37688977437051308</v>
      </c>
      <c r="AN113" s="46">
        <f>AN40/AN15</f>
        <v>0.35422510980905791</v>
      </c>
      <c r="AO113" s="46">
        <f>AO40/AO15</f>
        <v>0.35850460041832305</v>
      </c>
      <c r="AP113" s="46">
        <f>AP40/AP15</f>
        <v>0.35858877871713946</v>
      </c>
      <c r="AQ113" s="85">
        <f>AQ40/AQ15</f>
        <v>0.36193587894682938</v>
      </c>
      <c r="AR113" s="239"/>
      <c r="AS113" s="46">
        <f>AS40/AS15</f>
        <v>0.368309167711734</v>
      </c>
      <c r="AT113" s="46">
        <f>AT40/AT15</f>
        <v>0.36170728834957572</v>
      </c>
      <c r="AU113" s="46">
        <f>AU40/AU15</f>
        <v>0.36286022763853348</v>
      </c>
      <c r="AV113" s="46">
        <f>AV40/AV15</f>
        <v>0.36571294037488039</v>
      </c>
      <c r="AW113" s="85">
        <f>AW40/AW15</f>
        <v>0.36461617234547494</v>
      </c>
      <c r="AX113" s="239"/>
      <c r="AY113" s="46">
        <f>AY40/AY15</f>
        <v>0.38087730100472267</v>
      </c>
      <c r="AZ113" s="46">
        <f>AZ40/AZ15</f>
        <v>0.3510049533883291</v>
      </c>
      <c r="BA113" s="46">
        <f>BA40/BA15</f>
        <v>0.35419224867294896</v>
      </c>
      <c r="BB113" s="46">
        <f>BB40/BB15</f>
        <v>0.3601940928237079</v>
      </c>
      <c r="BC113" s="85">
        <f>BC40/BC15</f>
        <v>0.36121976113241838</v>
      </c>
      <c r="BD113" s="239"/>
      <c r="BE113" s="46">
        <f>BE40/BE15</f>
        <v>0.38087730100472267</v>
      </c>
      <c r="BF113" s="46">
        <f>BF40/BF15</f>
        <v>0.36516634050880625</v>
      </c>
      <c r="BG113" s="46">
        <f>BG40/BG15</f>
        <v>0.36440677966101698</v>
      </c>
      <c r="BH113" s="46">
        <f>BH40/BH15</f>
        <v>0.36743486973947898</v>
      </c>
      <c r="BI113" s="85">
        <f>BI40/BI15</f>
        <v>0.36933558503028652</v>
      </c>
      <c r="BJ113" s="239"/>
      <c r="BK113" s="46">
        <f>BK40/BK15</f>
        <v>0.41818181818181815</v>
      </c>
      <c r="BL113" s="46">
        <f>BL40/BL15</f>
        <v>0.38593844296922147</v>
      </c>
      <c r="BM113" s="46">
        <f>BM40/BM15</f>
        <v>0.37556919421896662</v>
      </c>
      <c r="BN113" s="46">
        <f>BN40/BN15</f>
        <v>0.35838680109990834</v>
      </c>
      <c r="BO113" s="85">
        <f>BO40/BO15</f>
        <v>0.38307399809876419</v>
      </c>
      <c r="BP113" s="239"/>
      <c r="BQ113" s="46">
        <f>BQ40/BQ15</f>
        <v>0.42395999242559729</v>
      </c>
      <c r="BR113" s="46">
        <f>BR40/BR15</f>
        <v>0.40113321459836382</v>
      </c>
      <c r="BS113" s="46">
        <f>BS40/BS15</f>
        <v>0.37652001567102672</v>
      </c>
      <c r="BT113" s="46">
        <f>BT40/BT15</f>
        <v>0.36280138001726742</v>
      </c>
      <c r="BU113" s="85">
        <f>BU40/BU15</f>
        <v>0.38949849028495426</v>
      </c>
      <c r="BV113" s="239"/>
      <c r="BW113" s="46">
        <f>BW40/BW15</f>
        <v>0.37438331345616938</v>
      </c>
      <c r="BX113" s="46">
        <f>BX40/BX15</f>
        <v>0.37643821407977041</v>
      </c>
      <c r="BY113" s="46">
        <f>BY40/BY15</f>
        <v>0.37495342822632244</v>
      </c>
      <c r="BZ113" s="46">
        <f>BZ40/BZ15</f>
        <v>0.37489090626921723</v>
      </c>
      <c r="CA113" s="85">
        <f>CA40/CA15</f>
        <v>0.37518211810614199</v>
      </c>
      <c r="CB113" s="239"/>
      <c r="CC113" s="46">
        <f>CC40/CC15</f>
        <v>0.36814633535187569</v>
      </c>
      <c r="CD113" s="46">
        <f>CD40/CD15</f>
        <v>0.37029147246392891</v>
      </c>
      <c r="CE113" s="46">
        <f>CE40/CE15</f>
        <v>0.36896299753942713</v>
      </c>
      <c r="CF113" s="46">
        <f>CF40/CF15</f>
        <v>0.3693441628370816</v>
      </c>
      <c r="CG113" s="85">
        <f>CG40/CG15</f>
        <v>0.36921622053824177</v>
      </c>
      <c r="CW113" s="239"/>
    </row>
    <row r="114" spans="1:256" x14ac:dyDescent="0.2">
      <c r="B114" s="817" t="s">
        <v>343</v>
      </c>
      <c r="C114" s="813">
        <f>C40/C16</f>
        <v>0.38958519246115103</v>
      </c>
      <c r="D114" s="813">
        <f>D40/D16</f>
        <v>0.36757686679072726</v>
      </c>
      <c r="E114" s="813">
        <f>E40/E16</f>
        <v>0.36407908860292404</v>
      </c>
      <c r="F114" s="813">
        <f>F40/F16</f>
        <v>0.34357562575996814</v>
      </c>
      <c r="G114" s="814">
        <f>G40/G16</f>
        <v>0.36514037885955564</v>
      </c>
      <c r="H114" s="239"/>
      <c r="I114" s="813">
        <f>I40/I16</f>
        <v>0.36636380804461066</v>
      </c>
      <c r="J114" s="813">
        <f>J40/J16</f>
        <v>0.3710161785244836</v>
      </c>
      <c r="K114" s="813">
        <f>K40/K16</f>
        <v>0.3719884556717406</v>
      </c>
      <c r="L114" s="813">
        <f>L40/L16</f>
        <v>0.36661897881082611</v>
      </c>
      <c r="M114" s="814">
        <f>M40/M16</f>
        <v>0.36904416711906562</v>
      </c>
      <c r="N114" s="239"/>
      <c r="O114" s="813">
        <f>O40/O16</f>
        <v>0.37613569744469616</v>
      </c>
      <c r="P114" s="813">
        <f>P40/P16</f>
        <v>0.34929591702587898</v>
      </c>
      <c r="Q114" s="813">
        <f>Q40/Q16</f>
        <v>0.35383875852262225</v>
      </c>
      <c r="R114" s="813">
        <f>R40/R16</f>
        <v>0.3337179909657671</v>
      </c>
      <c r="S114" s="814">
        <f>S40/S16</f>
        <v>0.35242764779580643</v>
      </c>
      <c r="T114" s="239"/>
      <c r="U114" s="813">
        <f>U40/U16</f>
        <v>0.37026957707033825</v>
      </c>
      <c r="V114" s="813">
        <f>V40/V16</f>
        <v>0.34786010042226861</v>
      </c>
      <c r="W114" s="813">
        <f>W40/W16</f>
        <v>0.36602077298232366</v>
      </c>
      <c r="X114" s="813">
        <f>X40/X16</f>
        <v>0.33989680794994459</v>
      </c>
      <c r="Y114" s="814">
        <f>Y40/Y16</f>
        <v>0.35554235818265273</v>
      </c>
      <c r="Z114" s="239"/>
      <c r="AA114" s="813">
        <f>AA40/AA16</f>
        <v>0.37593490870377533</v>
      </c>
      <c r="AB114" s="813">
        <f>AB40/AB16</f>
        <v>0.35413979264780426</v>
      </c>
      <c r="AC114" s="813">
        <f>AC40/AC16</f>
        <v>0.37593267374579287</v>
      </c>
      <c r="AD114" s="813">
        <f>AD40/AD16</f>
        <v>0.38137154515394034</v>
      </c>
      <c r="AE114" s="814">
        <f>AE40/AE16</f>
        <v>0.37209913207014805</v>
      </c>
      <c r="AF114" s="239"/>
      <c r="AG114" s="813">
        <f>AG40/AG16</f>
        <v>0.40693496005690927</v>
      </c>
      <c r="AH114" s="813">
        <f>AH40/AH16</f>
        <v>0.3861797880084038</v>
      </c>
      <c r="AI114" s="813">
        <f>AI40/AI16</f>
        <v>0.38243978947240065</v>
      </c>
      <c r="AJ114" s="813">
        <f>AJ40/AJ16</f>
        <v>0.37710829730157919</v>
      </c>
      <c r="AK114" s="814">
        <f>AK40/AK16</f>
        <v>0.387913586910623</v>
      </c>
      <c r="AL114" s="239"/>
      <c r="AM114" s="813">
        <f>AM40/AM16</f>
        <v>0.40074892999559719</v>
      </c>
      <c r="AN114" s="813">
        <f>AN40/AN16</f>
        <v>0.37021748020825818</v>
      </c>
      <c r="AO114" s="813">
        <f>AO40/AO16</f>
        <v>0.37160172892674781</v>
      </c>
      <c r="AP114" s="813">
        <f>AP40/AP16</f>
        <v>0.37276962008521686</v>
      </c>
      <c r="AQ114" s="814">
        <f>AQ40/AQ16</f>
        <v>0.37857618793705311</v>
      </c>
      <c r="AR114" s="239"/>
      <c r="AS114" s="813">
        <f>AS40/AS16</f>
        <v>0.38384358902622173</v>
      </c>
      <c r="AT114" s="813">
        <f>AT40/AT16</f>
        <v>0.37377472659457156</v>
      </c>
      <c r="AU114" s="813">
        <f>AU40/AU16</f>
        <v>0.37282403365344907</v>
      </c>
      <c r="AV114" s="813">
        <f>AV40/AV16</f>
        <v>0.37613844969444815</v>
      </c>
      <c r="AW114" s="814">
        <f>AW40/AW16</f>
        <v>0.37660084657212983</v>
      </c>
      <c r="AX114" s="239"/>
      <c r="AY114" s="813">
        <f>AY40/AY16</f>
        <v>0.39149924559302618</v>
      </c>
      <c r="AZ114" s="813">
        <f>AZ40/AZ16</f>
        <v>0.35935228881693349</v>
      </c>
      <c r="BA114" s="813">
        <f>BA40/BA16</f>
        <v>0.36162736495654091</v>
      </c>
      <c r="BB114" s="813">
        <f>BB40/BB16</f>
        <v>0.36975273976890322</v>
      </c>
      <c r="BC114" s="814">
        <f>BC40/BC16</f>
        <v>0.3701624944623062</v>
      </c>
      <c r="BD114" s="239"/>
      <c r="BE114" s="813">
        <f>BE40/BE16</f>
        <v>0.38834144040293128</v>
      </c>
      <c r="BF114" s="813">
        <f>BF40/BF16</f>
        <v>0.37086355957467954</v>
      </c>
      <c r="BG114" s="813">
        <f>BG40/BG16</f>
        <v>0.37021683673469391</v>
      </c>
      <c r="BH114" s="813">
        <f>BH40/BH16</f>
        <v>0.37262473325881518</v>
      </c>
      <c r="BI114" s="814">
        <f>BI40/BI16</f>
        <v>0.37534298909311703</v>
      </c>
      <c r="BJ114" s="239"/>
      <c r="BK114" s="813">
        <f>BK40/BK16</f>
        <v>0.4233920754293411</v>
      </c>
      <c r="BL114" s="813">
        <f>BL40/BL16</f>
        <v>0.38974098527171153</v>
      </c>
      <c r="BM114" s="813">
        <f>BM40/BM16</f>
        <v>0.37909672262190253</v>
      </c>
      <c r="BN114" s="813">
        <f>BN40/BN16</f>
        <v>0.36180253539372625</v>
      </c>
      <c r="BO114" s="814">
        <f>BO40/BO16</f>
        <v>0.38699486972124647</v>
      </c>
      <c r="BP114" s="239"/>
      <c r="BQ114" s="813">
        <f>BQ40/BQ16</f>
        <v>0.4289691528202072</v>
      </c>
      <c r="BR114" s="813">
        <f>BR40/BR16</f>
        <v>0.40483763723813837</v>
      </c>
      <c r="BS114" s="813">
        <f>BS40/BS16</f>
        <v>0.3798189685063737</v>
      </c>
      <c r="BT114" s="813">
        <f>BT40/BT16</f>
        <v>0.36604353348649638</v>
      </c>
      <c r="BU114" s="814">
        <f>BU40/BU16</f>
        <v>0.393240762750666</v>
      </c>
      <c r="BV114" s="239"/>
      <c r="BW114" s="813">
        <f>BW40/BW16</f>
        <v>0.37866050259747608</v>
      </c>
      <c r="BX114" s="813">
        <f>BX40/BX16</f>
        <v>0.37976002190175767</v>
      </c>
      <c r="BY114" s="813">
        <f>BY40/BY16</f>
        <v>0.37810616139003833</v>
      </c>
      <c r="BZ114" s="813">
        <f>BZ40/BZ16</f>
        <v>0.37813011648443795</v>
      </c>
      <c r="CA114" s="814">
        <f>CA40/CA16</f>
        <v>0.37865060780169169</v>
      </c>
      <c r="CB114" s="239"/>
      <c r="CC114" s="813">
        <f>CC40/CC16</f>
        <v>0.37221111971633009</v>
      </c>
      <c r="CD114" s="813">
        <f>CD40/CD16</f>
        <v>0.37348027239925391</v>
      </c>
      <c r="CE114" s="813">
        <f>CE40/CE16</f>
        <v>0.37198207682654932</v>
      </c>
      <c r="CF114" s="813">
        <f>CF40/CF16</f>
        <v>0.37242791365881517</v>
      </c>
      <c r="CG114" s="814">
        <f>CG40/CG16</f>
        <v>0.37252876338011748</v>
      </c>
      <c r="CW114" s="239"/>
    </row>
    <row r="115" spans="1:256" x14ac:dyDescent="0.2">
      <c r="B115" s="654" t="s">
        <v>405</v>
      </c>
      <c r="C115" s="46">
        <f>C46/C15</f>
        <v>0</v>
      </c>
      <c r="D115" s="46">
        <f>D46/D15</f>
        <v>0</v>
      </c>
      <c r="E115" s="46">
        <f>E46/E15</f>
        <v>0</v>
      </c>
      <c r="F115" s="46">
        <f>F46/F15</f>
        <v>0</v>
      </c>
      <c r="G115" s="85">
        <f>G46/G15</f>
        <v>0</v>
      </c>
      <c r="H115" s="239"/>
      <c r="I115" s="46">
        <f>I46/I15</f>
        <v>0</v>
      </c>
      <c r="J115" s="46">
        <f>J46/J15</f>
        <v>0</v>
      </c>
      <c r="K115" s="46">
        <f>K46/K15</f>
        <v>0</v>
      </c>
      <c r="L115" s="46">
        <f>L46/L15</f>
        <v>0</v>
      </c>
      <c r="M115" s="85">
        <f>M46/M15</f>
        <v>0</v>
      </c>
      <c r="N115" s="239"/>
      <c r="O115" s="46">
        <f>O46/O15</f>
        <v>0</v>
      </c>
      <c r="P115" s="46">
        <f>P46/P15</f>
        <v>0</v>
      </c>
      <c r="Q115" s="46">
        <f>Q46/Q15</f>
        <v>0</v>
      </c>
      <c r="R115" s="46">
        <f>R46/R15</f>
        <v>0</v>
      </c>
      <c r="S115" s="85">
        <f>S46/S15</f>
        <v>0</v>
      </c>
      <c r="T115" s="239"/>
      <c r="U115" s="46">
        <f>U46/U15</f>
        <v>0</v>
      </c>
      <c r="V115" s="46">
        <f>V46/V15</f>
        <v>0</v>
      </c>
      <c r="W115" s="46">
        <f>W46/W15</f>
        <v>0</v>
      </c>
      <c r="X115" s="46">
        <f>X46/X15</f>
        <v>0</v>
      </c>
      <c r="Y115" s="85">
        <f>Y46/Y15</f>
        <v>0</v>
      </c>
      <c r="Z115" s="239"/>
      <c r="AA115" s="46">
        <f>AA46/AA15</f>
        <v>0</v>
      </c>
      <c r="AB115" s="46">
        <f>AB46/AB15</f>
        <v>0</v>
      </c>
      <c r="AC115" s="46">
        <f>AC46/AC15</f>
        <v>0</v>
      </c>
      <c r="AD115" s="46">
        <f>AD46/AD15</f>
        <v>0</v>
      </c>
      <c r="AE115" s="85">
        <f>AE46/AE15</f>
        <v>0</v>
      </c>
      <c r="AF115" s="239"/>
      <c r="AG115" s="46">
        <f>AG46/AG15</f>
        <v>0</v>
      </c>
      <c r="AH115" s="46">
        <f>AH46/AH15</f>
        <v>0</v>
      </c>
      <c r="AI115" s="46">
        <f>AI46/AI15</f>
        <v>0</v>
      </c>
      <c r="AJ115" s="46">
        <f>AJ46/AJ15</f>
        <v>0</v>
      </c>
      <c r="AK115" s="85">
        <f>AK46/AK15</f>
        <v>0</v>
      </c>
      <c r="AL115" s="239"/>
      <c r="AM115" s="46">
        <f>AM46/AM15</f>
        <v>0</v>
      </c>
      <c r="AN115" s="46">
        <f>AN46/AN15</f>
        <v>0</v>
      </c>
      <c r="AO115" s="46">
        <f>AO46/AO15</f>
        <v>0</v>
      </c>
      <c r="AP115" s="46">
        <f>AP46/AP15</f>
        <v>0</v>
      </c>
      <c r="AQ115" s="85">
        <f>AQ46/AQ15</f>
        <v>0</v>
      </c>
      <c r="AR115" s="239"/>
      <c r="AS115" s="46">
        <f>AS46/AS15</f>
        <v>0</v>
      </c>
      <c r="AT115" s="46">
        <f>AT46/AT15</f>
        <v>0</v>
      </c>
      <c r="AU115" s="46">
        <f>AU46/AU15</f>
        <v>0</v>
      </c>
      <c r="AV115" s="46">
        <f>AV46/AV15</f>
        <v>0</v>
      </c>
      <c r="AW115" s="85">
        <f>AW46/AW15</f>
        <v>0</v>
      </c>
      <c r="AX115" s="239"/>
      <c r="AY115" s="46">
        <f>AY46/AY15</f>
        <v>0</v>
      </c>
      <c r="AZ115" s="46">
        <f>AZ46/AZ15</f>
        <v>0</v>
      </c>
      <c r="BA115" s="46">
        <f>BA46/BA15</f>
        <v>0</v>
      </c>
      <c r="BB115" s="46">
        <f>BB46/BB15</f>
        <v>0</v>
      </c>
      <c r="BC115" s="85">
        <f>BC46/BC15</f>
        <v>0</v>
      </c>
      <c r="BD115" s="239"/>
      <c r="BE115" s="46">
        <f>BE46/BE15</f>
        <v>0</v>
      </c>
      <c r="BF115" s="46">
        <f>BF46/BF15</f>
        <v>0</v>
      </c>
      <c r="BG115" s="46">
        <f>BG46/BG15</f>
        <v>0</v>
      </c>
      <c r="BH115" s="46">
        <f>BH46/BH15</f>
        <v>0</v>
      </c>
      <c r="BI115" s="85">
        <f>BI46/BI15</f>
        <v>0</v>
      </c>
      <c r="BJ115" s="239"/>
      <c r="BK115" s="46">
        <f>BK46/BK15</f>
        <v>0</v>
      </c>
      <c r="BL115" s="46">
        <f>BL46/BL15</f>
        <v>0</v>
      </c>
      <c r="BM115" s="46">
        <f>BM46/BM15</f>
        <v>0</v>
      </c>
      <c r="BN115" s="46">
        <f>BN46/BN15</f>
        <v>0</v>
      </c>
      <c r="BO115" s="85">
        <f>BO46/BO15</f>
        <v>0</v>
      </c>
      <c r="BP115" s="239"/>
      <c r="BQ115" s="46">
        <f>BQ46/BQ15</f>
        <v>0</v>
      </c>
      <c r="BR115" s="46">
        <f>BR46/BR15</f>
        <v>0</v>
      </c>
      <c r="BS115" s="46">
        <f>BS46/BS15</f>
        <v>0</v>
      </c>
      <c r="BT115" s="46">
        <f>BT46/BT15</f>
        <v>0</v>
      </c>
      <c r="BU115" s="85">
        <f>BU46/BU15</f>
        <v>0</v>
      </c>
      <c r="BV115" s="239"/>
      <c r="BW115" s="46">
        <f>BW46/BW15</f>
        <v>0</v>
      </c>
      <c r="BX115" s="46">
        <f>BX46/BX15</f>
        <v>0</v>
      </c>
      <c r="BY115" s="46">
        <f>BY46/BY15</f>
        <v>0</v>
      </c>
      <c r="BZ115" s="46">
        <f>BZ46/BZ15</f>
        <v>0</v>
      </c>
      <c r="CA115" s="85">
        <f>CA46/CA15</f>
        <v>0</v>
      </c>
      <c r="CB115" s="239"/>
      <c r="CC115" s="46">
        <f>CC46/CC15</f>
        <v>0</v>
      </c>
      <c r="CD115" s="46">
        <f>CD46/CD15</f>
        <v>0</v>
      </c>
      <c r="CE115" s="46">
        <f>CE46/CE15</f>
        <v>0</v>
      </c>
      <c r="CF115" s="46">
        <f>CF46/CF15</f>
        <v>0</v>
      </c>
      <c r="CG115" s="85">
        <f>CG46/CG15</f>
        <v>0</v>
      </c>
      <c r="CW115" s="239"/>
    </row>
    <row r="116" spans="1:256" x14ac:dyDescent="0.2">
      <c r="B116" s="666" t="str">
        <f>B51</f>
        <v>Operating Income / Loss</v>
      </c>
      <c r="C116" s="46">
        <f>C51/C15</f>
        <v>0.17150451713695558</v>
      </c>
      <c r="D116" s="46">
        <f>D51/D15</f>
        <v>0.18552922263907137</v>
      </c>
      <c r="E116" s="46">
        <f>E51/E15</f>
        <v>0.18427223646879665</v>
      </c>
      <c r="F116" s="46">
        <f>F51/F15</f>
        <v>0.19689228507028286</v>
      </c>
      <c r="G116" s="85">
        <f>G51/G15</f>
        <v>0.18510319756812316</v>
      </c>
      <c r="H116" s="239"/>
      <c r="I116" s="46">
        <f>I51/I15</f>
        <v>0.18312844874920026</v>
      </c>
      <c r="J116" s="46">
        <f>J51/J15</f>
        <v>0.18693589680231409</v>
      </c>
      <c r="K116" s="46">
        <f>K51/K15</f>
        <v>0.18319397045863894</v>
      </c>
      <c r="L116" s="46">
        <f>L51/L15</f>
        <v>0.1935672507205479</v>
      </c>
      <c r="M116" s="85">
        <f>M51/M15</f>
        <v>0.18661035204897736</v>
      </c>
      <c r="N116" s="239"/>
      <c r="O116" s="46">
        <f>O51/O15</f>
        <v>0.18080464290772685</v>
      </c>
      <c r="P116" s="46">
        <f>P51/P15</f>
        <v>0.19611083623776293</v>
      </c>
      <c r="Q116" s="46">
        <f>Q51/Q15</f>
        <v>0.18940160489427951</v>
      </c>
      <c r="R116" s="46">
        <f>R51/R15</f>
        <v>0.20599801088571507</v>
      </c>
      <c r="S116" s="85">
        <f>S51/S15</f>
        <v>0.19357801588301926</v>
      </c>
      <c r="T116" s="239"/>
      <c r="U116" s="46">
        <f>U51/U15</f>
        <v>0.18589037328324773</v>
      </c>
      <c r="V116" s="46">
        <f>V51/V15</f>
        <v>0.19659424660306382</v>
      </c>
      <c r="W116" s="46">
        <f>W51/W15</f>
        <v>0.17602962457799515</v>
      </c>
      <c r="X116" s="46">
        <f>X51/X15</f>
        <v>0.20983270363474651</v>
      </c>
      <c r="Y116" s="85">
        <f>Y51/Y15</f>
        <v>0.19256344556113214</v>
      </c>
      <c r="Z116" s="239"/>
      <c r="AA116" s="46">
        <f>AA51/AA15</f>
        <v>0.18579594112463829</v>
      </c>
      <c r="AB116" s="46">
        <f>AB51/AB15</f>
        <v>0.19269512805567984</v>
      </c>
      <c r="AC116" s="46">
        <f>AC51/AC15</f>
        <v>0.16636154523817415</v>
      </c>
      <c r="AD116" s="46">
        <f>AD51/AD15</f>
        <v>0.17226008009135318</v>
      </c>
      <c r="AE116" s="85">
        <f>AE51/AE15</f>
        <v>0.17891990815773046</v>
      </c>
      <c r="AF116" s="239"/>
      <c r="AG116" s="46">
        <f>AG51/AG15</f>
        <v>0.17050344688499949</v>
      </c>
      <c r="AH116" s="46">
        <f>AH51/AH15</f>
        <v>0.18252521795347862</v>
      </c>
      <c r="AI116" s="46">
        <f>AI51/AI15</f>
        <v>0.17494914016478894</v>
      </c>
      <c r="AJ116" s="46">
        <f>AJ51/AJ15</f>
        <v>0.18016395506151311</v>
      </c>
      <c r="AK116" s="85">
        <f>AK51/AK15</f>
        <v>0.17717935790782463</v>
      </c>
      <c r="AL116" s="239"/>
      <c r="AM116" s="46">
        <f>AM51/AM15</f>
        <v>0.16363413027320048</v>
      </c>
      <c r="AN116" s="46">
        <f>AN51/AN15</f>
        <v>0.19518534929335735</v>
      </c>
      <c r="AO116" s="46">
        <f>AO51/AO15</f>
        <v>0.17754791931565861</v>
      </c>
      <c r="AP116" s="46">
        <f>AP51/AP15</f>
        <v>0.18276758287644673</v>
      </c>
      <c r="AQ116" s="85">
        <f>AQ51/AQ15</f>
        <v>0.18000063908951286</v>
      </c>
      <c r="AR116" s="239"/>
      <c r="AS116" s="46">
        <f>AS51/AS15</f>
        <v>0.17746176132452215</v>
      </c>
      <c r="AT116" s="46">
        <f>AT51/AT15</f>
        <v>0.19898256591291119</v>
      </c>
      <c r="AU116" s="46">
        <f>AU51/AU15</f>
        <v>0.19198204413953474</v>
      </c>
      <c r="AV116" s="46">
        <f>AV51/AV15</f>
        <v>0.18870919413778445</v>
      </c>
      <c r="AW116" s="85">
        <f>AW51/AW15</f>
        <v>0.18939779455206726</v>
      </c>
      <c r="AX116" s="239"/>
      <c r="AY116" s="46">
        <f>AY51/AY15</f>
        <v>0.19103610461623957</v>
      </c>
      <c r="AZ116" s="46">
        <f>AZ51/AZ15</f>
        <v>0.22864197181511908</v>
      </c>
      <c r="BA116" s="46">
        <f>BA51/BA15</f>
        <v>0.21870431224680409</v>
      </c>
      <c r="BB116" s="46">
        <f>BB51/BB15</f>
        <v>0.20801019323022074</v>
      </c>
      <c r="BC116" s="85">
        <f>BC51/BC15</f>
        <v>0.21201536657207284</v>
      </c>
      <c r="BD116" s="239"/>
      <c r="BE116" s="46">
        <f>BE51/BE15</f>
        <v>0.21844929832187654</v>
      </c>
      <c r="BF116" s="46">
        <f>BF51/BF15</f>
        <v>0.22739726027397264</v>
      </c>
      <c r="BG116" s="46">
        <f>BG51/BG15</f>
        <v>0.20485457208621052</v>
      </c>
      <c r="BH116" s="46">
        <f>BH51/BH15</f>
        <v>0.20681362725450908</v>
      </c>
      <c r="BI116" s="85">
        <f>BI51/BI15</f>
        <v>0.21450254096482738</v>
      </c>
      <c r="BJ116" s="239"/>
      <c r="BK116" s="46">
        <f>BK51/BK15</f>
        <v>0.16396895787139693</v>
      </c>
      <c r="BL116" s="46">
        <f>BL51/BL15</f>
        <v>0.19623818145242403</v>
      </c>
      <c r="BM116" s="46">
        <f>BM51/BM15</f>
        <v>0.209562462878638</v>
      </c>
      <c r="BN116" s="46">
        <f>BN51/BN15</f>
        <v>0.21714023831347384</v>
      </c>
      <c r="BO116" s="85">
        <f>BO51/BO15</f>
        <v>0.19802871866713365</v>
      </c>
      <c r="BP116" s="239"/>
      <c r="BQ116" s="46">
        <f>BQ51/BQ15</f>
        <v>0.14604000757440261</v>
      </c>
      <c r="BR116" s="46">
        <f>BR51/BR15</f>
        <v>0.17886678540163614</v>
      </c>
      <c r="BS116" s="46">
        <f>BS51/BS15</f>
        <v>0.20347998432897324</v>
      </c>
      <c r="BT116" s="46">
        <f>BT51/BT15</f>
        <v>0.21719861998273257</v>
      </c>
      <c r="BU116" s="85">
        <f>BU51/BU15</f>
        <v>0.18826790686526759</v>
      </c>
      <c r="BV116" s="239"/>
      <c r="BW116" s="46">
        <f>BW51/BW15</f>
        <v>0.19861668654383063</v>
      </c>
      <c r="BX116" s="46">
        <f>BX51/BX15</f>
        <v>0.20656178592022953</v>
      </c>
      <c r="BY116" s="46">
        <f>BY51/BY15</f>
        <v>0.20804657177367755</v>
      </c>
      <c r="BZ116" s="46">
        <f>BZ51/BZ15</f>
        <v>0.20810909373078276</v>
      </c>
      <c r="CA116" s="85">
        <f>CA51/CA15</f>
        <v>0.2055952821636064</v>
      </c>
      <c r="CB116" s="239"/>
      <c r="CC116" s="46">
        <f>CC51/CC15</f>
        <v>0.20785366464812421</v>
      </c>
      <c r="CD116" s="46">
        <f>CD51/CD15</f>
        <v>0.21570852753607106</v>
      </c>
      <c r="CE116" s="46">
        <f>CE51/CE15</f>
        <v>0.21703700246057286</v>
      </c>
      <c r="CF116" s="46">
        <f>CF51/CF15</f>
        <v>0.21665583716291834</v>
      </c>
      <c r="CG116" s="85">
        <f>CG51/CG15</f>
        <v>0.21455215311184805</v>
      </c>
      <c r="CV116" s="78"/>
      <c r="CW116" s="239"/>
    </row>
    <row r="117" spans="1:256" x14ac:dyDescent="0.2">
      <c r="B117" s="817" t="s">
        <v>343</v>
      </c>
      <c r="C117" s="813">
        <f>C51/C16</f>
        <v>0.18635604174959672</v>
      </c>
      <c r="D117" s="813">
        <f>D51/D16</f>
        <v>0.19910575543515252</v>
      </c>
      <c r="E117" s="813">
        <f>E51/E16</f>
        <v>0.19693258753911658</v>
      </c>
      <c r="F117" s="813">
        <f>F51/F16</f>
        <v>0.2118521896894191</v>
      </c>
      <c r="G117" s="814">
        <f>G51/G16</f>
        <v>0.19915385952188663</v>
      </c>
      <c r="H117" s="239"/>
      <c r="I117" s="813">
        <f>I51/I16</f>
        <v>0.20038362116301361</v>
      </c>
      <c r="J117" s="813">
        <f>J51/J16</f>
        <v>0.20042941710331116</v>
      </c>
      <c r="K117" s="813">
        <f>K51/K16</f>
        <v>0.19467740084073393</v>
      </c>
      <c r="L117" s="813">
        <f>L51/L16</f>
        <v>0.20583409290144355</v>
      </c>
      <c r="M117" s="814">
        <f>M51/M16</f>
        <v>0.2002897482234661</v>
      </c>
      <c r="N117" s="239"/>
      <c r="O117" s="813">
        <f>O51/O16</f>
        <v>0.19266227748007067</v>
      </c>
      <c r="P117" s="813">
        <f>P51/P16</f>
        <v>0.20782862670294203</v>
      </c>
      <c r="Q117" s="813">
        <f>Q51/Q16</f>
        <v>0.19979645955010752</v>
      </c>
      <c r="R117" s="813">
        <f>R51/R16</f>
        <v>0.21967919057375324</v>
      </c>
      <c r="S117" s="814">
        <f>S51/S16</f>
        <v>0.20551555744349856</v>
      </c>
      <c r="T117" s="239"/>
      <c r="U117" s="813">
        <f>U51/U16</f>
        <v>0.1990059494346873</v>
      </c>
      <c r="V117" s="813">
        <f>V51/V16</f>
        <v>0.20944290211837771</v>
      </c>
      <c r="W117" s="813">
        <f>W51/W16</f>
        <v>0.18838240693341105</v>
      </c>
      <c r="X117" s="813">
        <f>X51/X16</f>
        <v>0.22303386023178171</v>
      </c>
      <c r="Y117" s="814">
        <f>Y51/Y16</f>
        <v>0.20548907874330563</v>
      </c>
      <c r="Z117" s="239"/>
      <c r="AA117" s="813">
        <f>AA51/AA16</f>
        <v>0.19670450029403877</v>
      </c>
      <c r="AB117" s="813">
        <f>AB51/AB16</f>
        <v>0.20353872794771904</v>
      </c>
      <c r="AC117" s="813">
        <f>AC51/AC16</f>
        <v>0.17828238295794213</v>
      </c>
      <c r="AD117" s="813">
        <f>AD51/AD16</f>
        <v>0.18335573114216722</v>
      </c>
      <c r="AE117" s="814">
        <f>AE51/AE16</f>
        <v>0.19016316847949083</v>
      </c>
      <c r="AF117" s="239"/>
      <c r="AG117" s="813">
        <f>AG51/AG16</f>
        <v>0.18016350837928846</v>
      </c>
      <c r="AH117" s="813">
        <f>AH51/AH16</f>
        <v>0.19506063537300056</v>
      </c>
      <c r="AI117" s="813">
        <f>AI51/AI16</f>
        <v>0.18446866659319669</v>
      </c>
      <c r="AJ117" s="813">
        <f>AJ51/AJ16</f>
        <v>0.18937158191476361</v>
      </c>
      <c r="AK117" s="814">
        <f>AK51/AK16</f>
        <v>0.18740324861657631</v>
      </c>
      <c r="AL117" s="239"/>
      <c r="AM117" s="813">
        <f>AM51/AM16</f>
        <v>0.17399305334635731</v>
      </c>
      <c r="AN117" s="813">
        <f>AN51/AN16</f>
        <v>0.20399747558242609</v>
      </c>
      <c r="AO117" s="813">
        <f>AO51/AO16</f>
        <v>0.18403421799346426</v>
      </c>
      <c r="AP117" s="813">
        <f>AP51/AP16</f>
        <v>0.18999535533845754</v>
      </c>
      <c r="AQ117" s="814">
        <f>AQ51/AQ16</f>
        <v>0.18827632112911319</v>
      </c>
      <c r="AR117" s="239"/>
      <c r="AS117" s="813">
        <f>AS51/AS16</f>
        <v>0.18494668434382597</v>
      </c>
      <c r="AT117" s="813">
        <f>AT51/AT16</f>
        <v>0.2056211101262205</v>
      </c>
      <c r="AU117" s="813">
        <f>AU51/AU16</f>
        <v>0.19725369338751683</v>
      </c>
      <c r="AV117" s="813">
        <f>AV51/AV16</f>
        <v>0.19408879448814362</v>
      </c>
      <c r="AW117" s="814">
        <f>AW51/AW16</f>
        <v>0.19562316533678037</v>
      </c>
      <c r="AX117" s="239"/>
      <c r="AY117" s="813">
        <f>AY51/AY16</f>
        <v>0.19636373877098245</v>
      </c>
      <c r="AZ117" s="813">
        <f>AZ51/AZ16</f>
        <v>0.23407936297833387</v>
      </c>
      <c r="BA117" s="813">
        <f>BA51/BA16</f>
        <v>0.22329529920196886</v>
      </c>
      <c r="BB117" s="813">
        <f>BB51/BB16</f>
        <v>0.21353026154256444</v>
      </c>
      <c r="BC117" s="814">
        <f>BC51/BC16</f>
        <v>0.21726424021937427</v>
      </c>
      <c r="BD117" s="239"/>
      <c r="BE117" s="813">
        <f>BE51/BE16</f>
        <v>0.22273029907937542</v>
      </c>
      <c r="BF117" s="813">
        <f>BF51/BF16</f>
        <v>0.23094504620888406</v>
      </c>
      <c r="BG117" s="813">
        <f>BG51/BG16</f>
        <v>0.20812074829931976</v>
      </c>
      <c r="BH117" s="813">
        <f>BH51/BH16</f>
        <v>0.20973478305050305</v>
      </c>
      <c r="BI117" s="814">
        <f>BI51/BI16</f>
        <v>0.21799151816688578</v>
      </c>
      <c r="BJ117" s="239"/>
      <c r="BK117" s="813">
        <f>BK51/BK16</f>
        <v>0.16601189808059269</v>
      </c>
      <c r="BL117" s="813">
        <f>BL51/BL16</f>
        <v>0.19817166074149312</v>
      </c>
      <c r="BM117" s="813">
        <f>BM51/BM16</f>
        <v>0.21153077537969636</v>
      </c>
      <c r="BN117" s="813">
        <f>BN51/BN16</f>
        <v>0.21920977144443413</v>
      </c>
      <c r="BO117" s="814">
        <f>BO51/BO16</f>
        <v>0.20005559908008796</v>
      </c>
      <c r="BP117" s="239"/>
      <c r="BQ117" s="813">
        <f>BQ51/BQ16</f>
        <v>0.14776549543891759</v>
      </c>
      <c r="BR117" s="813">
        <f>BR51/BR16</f>
        <v>0.18051860117064183</v>
      </c>
      <c r="BS117" s="813">
        <f>BS51/BS16</f>
        <v>0.20526281351015793</v>
      </c>
      <c r="BT117" s="813">
        <f>BT51/BT16</f>
        <v>0.21913960284022682</v>
      </c>
      <c r="BU117" s="814">
        <f>BU51/BU16</f>
        <v>0.1900767708830039</v>
      </c>
      <c r="BV117" s="239"/>
      <c r="BW117" s="813">
        <f>BW51/BW16</f>
        <v>0.2008858078011995</v>
      </c>
      <c r="BX117" s="813">
        <f>BX51/BX16</f>
        <v>0.20838455133173492</v>
      </c>
      <c r="BY117" s="813">
        <f>BY51/BY16</f>
        <v>0.20979589656190797</v>
      </c>
      <c r="BZ117" s="813">
        <f>BZ51/BZ16</f>
        <v>0.20990724111451523</v>
      </c>
      <c r="CA117" s="814">
        <f>CA51/CA16</f>
        <v>0.2074959727435246</v>
      </c>
      <c r="CB117" s="239"/>
      <c r="CC117" s="813">
        <f>CC51/CC16</f>
        <v>0.21014862250869534</v>
      </c>
      <c r="CD117" s="813">
        <f>CD51/CD16</f>
        <v>0.21756612186326174</v>
      </c>
      <c r="CE117" s="813">
        <f>CE51/CE16</f>
        <v>0.21881293100364524</v>
      </c>
      <c r="CF117" s="813">
        <f>CF51/CF16</f>
        <v>0.21846475329889431</v>
      </c>
      <c r="CG117" s="814">
        <f>CG51/CG16</f>
        <v>0.21647707720636264</v>
      </c>
      <c r="CV117" s="331"/>
      <c r="CW117" s="239"/>
    </row>
    <row r="118" spans="1:256" x14ac:dyDescent="0.2">
      <c r="B118" s="817" t="s">
        <v>129</v>
      </c>
      <c r="C118" s="813"/>
      <c r="D118" s="813"/>
      <c r="E118" s="813"/>
      <c r="F118" s="813"/>
      <c r="G118" s="814"/>
      <c r="H118" s="239"/>
      <c r="I118" s="813"/>
      <c r="J118" s="813"/>
      <c r="K118" s="813"/>
      <c r="L118" s="813"/>
      <c r="M118" s="814"/>
      <c r="N118" s="239"/>
      <c r="O118" s="813"/>
      <c r="P118" s="813"/>
      <c r="Q118" s="813"/>
      <c r="R118" s="813"/>
      <c r="S118" s="814"/>
      <c r="T118" s="239"/>
      <c r="U118" s="813"/>
      <c r="V118" s="813"/>
      <c r="W118" s="813"/>
      <c r="X118" s="813"/>
      <c r="Y118" s="814"/>
      <c r="Z118" s="239"/>
      <c r="AA118" s="813"/>
      <c r="AB118" s="813"/>
      <c r="AC118" s="813"/>
      <c r="AD118" s="813"/>
      <c r="AE118" s="814"/>
      <c r="AF118" s="239"/>
      <c r="AG118" s="813"/>
      <c r="AH118" s="813"/>
      <c r="AI118" s="813"/>
      <c r="AJ118" s="813"/>
      <c r="AK118" s="814"/>
      <c r="AL118" s="239"/>
      <c r="AM118" s="813">
        <f>AM117+AM110-AM109</f>
        <v>0.17849305334635723</v>
      </c>
      <c r="AN118" s="813">
        <f>AN117+AN110-AN109</f>
        <v>0.20849747558242604</v>
      </c>
      <c r="AO118" s="813">
        <f>AO117+AO110-AO109</f>
        <v>0.18853421799346426</v>
      </c>
      <c r="AP118" s="813">
        <f>AP117+AP110-AP109</f>
        <v>0.19449535533845752</v>
      </c>
      <c r="AQ118" s="814">
        <f>AQ117+AQ110-AQ109</f>
        <v>0.19277632112911314</v>
      </c>
      <c r="AR118" s="239"/>
      <c r="AS118" s="813">
        <f>AS117+AS110-AS109</f>
        <v>0.18944668434382594</v>
      </c>
      <c r="AT118" s="813">
        <f>AT117+AT110-AT109</f>
        <v>0.21012111012622048</v>
      </c>
      <c r="AU118" s="813">
        <f>AU117+AU110-AU109</f>
        <v>0.20175369338751681</v>
      </c>
      <c r="AV118" s="813">
        <f>AV117+AV110-AV109</f>
        <v>0.19858879448814359</v>
      </c>
      <c r="AW118" s="814">
        <f>AW117+AW110-AW109</f>
        <v>0.20012316533678032</v>
      </c>
      <c r="AX118" s="239"/>
      <c r="AY118" s="813">
        <f>AY117+AY110-AY109</f>
        <v>0.2008637387709824</v>
      </c>
      <c r="AZ118" s="813">
        <f>AZ117+AZ110-AZ109</f>
        <v>0.23857936297833382</v>
      </c>
      <c r="BA118" s="813">
        <f>BA117+BA110-BA109</f>
        <v>0.22779529920196884</v>
      </c>
      <c r="BB118" s="813">
        <f>BB117+BB110-BB109</f>
        <v>0.21803026154256444</v>
      </c>
      <c r="BC118" s="814">
        <f>BC117+BC110-BC109</f>
        <v>0.22176424021937424</v>
      </c>
      <c r="BD118" s="239"/>
      <c r="BE118" s="813">
        <f>BE117+BE110-BE109</f>
        <v>0.22723029907937542</v>
      </c>
      <c r="BF118" s="813">
        <f>BF117+BF110-BF109</f>
        <v>0.23544504620888396</v>
      </c>
      <c r="BG118" s="813">
        <f>BG117+BG110-BG109</f>
        <v>0.21262074829931976</v>
      </c>
      <c r="BH118" s="813">
        <f>BH117+BH110-BH109</f>
        <v>0.21423478305050303</v>
      </c>
      <c r="BI118" s="814">
        <f>BI117+BI110-BI109</f>
        <v>0.22249151816688573</v>
      </c>
      <c r="BJ118" s="239"/>
      <c r="BK118" s="813">
        <f>BK117+BK110-BK109</f>
        <v>0.17051189808059264</v>
      </c>
      <c r="BL118" s="813">
        <f>BL117+BL110-BL109</f>
        <v>0.20267166074149301</v>
      </c>
      <c r="BM118" s="813">
        <f>BM117+BM110-BM109</f>
        <v>0.21603077537969628</v>
      </c>
      <c r="BN118" s="813">
        <f>BN117+BN110-BN109</f>
        <v>0.22370977144443405</v>
      </c>
      <c r="BO118" s="814">
        <f>BO117+BO110-BO109</f>
        <v>0.20455559908008791</v>
      </c>
      <c r="BP118" s="239"/>
      <c r="BQ118" s="813">
        <f>BQ117+BQ110-BQ109</f>
        <v>0.15226549543891754</v>
      </c>
      <c r="BR118" s="813">
        <f>BR117+BR110-BR109</f>
        <v>0.18501860117064173</v>
      </c>
      <c r="BS118" s="813">
        <f>BS117+BS110-BS109</f>
        <v>0.20976281351015791</v>
      </c>
      <c r="BT118" s="813">
        <f>BT117+BT110-BT109</f>
        <v>0.22363960284022677</v>
      </c>
      <c r="BU118" s="814">
        <f>BU117+BU110-BU109</f>
        <v>0.19457677088300385</v>
      </c>
      <c r="BV118" s="239"/>
      <c r="BW118" s="813">
        <f>BW117+BW110-BW109</f>
        <v>0.20538580780119942</v>
      </c>
      <c r="BX118" s="813">
        <f>BX117+BX110-BX109</f>
        <v>0.21288455133173489</v>
      </c>
      <c r="BY118" s="813">
        <f>BY117+BY110-BY109</f>
        <v>0.21429589656190795</v>
      </c>
      <c r="BZ118" s="813">
        <f>BZ117+BZ110-BZ109</f>
        <v>0.21440724111451515</v>
      </c>
      <c r="CA118" s="814">
        <f>CA117+CA110-CA109</f>
        <v>0.21199597274352455</v>
      </c>
      <c r="CB118" s="239"/>
      <c r="CC118" s="813">
        <f>CC117+CC110-CC109</f>
        <v>0.21464862250869532</v>
      </c>
      <c r="CD118" s="813">
        <f>CD117+CD110-CD109</f>
        <v>0.22206612186326169</v>
      </c>
      <c r="CE118" s="813">
        <f>CE117+CE110-CE109</f>
        <v>0.22331293100364513</v>
      </c>
      <c r="CF118" s="813">
        <f>CF117+CF110-CF109</f>
        <v>0.22296475329889431</v>
      </c>
      <c r="CG118" s="814">
        <f>CG117+CG110-CG109</f>
        <v>0.22097707720636262</v>
      </c>
      <c r="CV118" s="239"/>
      <c r="CW118" s="239"/>
      <c r="EC118" s="239"/>
      <c r="ED118" s="239"/>
      <c r="EE118" s="239"/>
      <c r="EF118" s="239"/>
      <c r="EG118" s="239"/>
      <c r="EH118" s="239"/>
      <c r="EI118" s="239"/>
      <c r="EJ118" s="239"/>
      <c r="EK118" s="239"/>
      <c r="EL118" s="239"/>
      <c r="EM118" s="239"/>
      <c r="EN118" s="239"/>
      <c r="EO118" s="239"/>
      <c r="EP118" s="239"/>
      <c r="EQ118" s="239"/>
      <c r="ER118" s="239"/>
      <c r="ES118" s="239"/>
      <c r="ET118" s="239"/>
      <c r="EU118" s="239"/>
      <c r="EV118" s="239"/>
      <c r="EW118" s="239"/>
      <c r="EX118" s="239"/>
      <c r="EY118" s="239"/>
      <c r="EZ118" s="239"/>
      <c r="FA118" s="239"/>
      <c r="FB118" s="239"/>
      <c r="FC118" s="239"/>
      <c r="FD118" s="239"/>
      <c r="FE118" s="239"/>
      <c r="FF118" s="239"/>
      <c r="FG118" s="239"/>
      <c r="FH118" s="239"/>
      <c r="FI118" s="239"/>
      <c r="FJ118" s="239"/>
      <c r="FK118" s="239"/>
      <c r="FL118" s="239"/>
      <c r="FM118" s="239"/>
      <c r="FN118" s="239"/>
      <c r="FO118" s="239"/>
      <c r="FP118" s="239"/>
      <c r="FQ118" s="239"/>
      <c r="FR118" s="239"/>
      <c r="FS118" s="239"/>
      <c r="FT118" s="239"/>
      <c r="FU118" s="239"/>
      <c r="FV118" s="239"/>
      <c r="FW118" s="239"/>
      <c r="FX118" s="239"/>
      <c r="FY118" s="239"/>
      <c r="FZ118" s="239"/>
      <c r="GA118" s="239"/>
      <c r="GB118" s="239"/>
      <c r="GC118" s="239"/>
      <c r="GD118" s="239"/>
      <c r="GE118" s="239"/>
      <c r="GF118" s="239"/>
      <c r="GG118" s="239"/>
      <c r="GH118" s="239"/>
      <c r="GI118" s="239"/>
      <c r="GJ118" s="239"/>
      <c r="GK118" s="239"/>
      <c r="GL118" s="239"/>
      <c r="GM118" s="239"/>
      <c r="GN118" s="239"/>
      <c r="GO118" s="239"/>
      <c r="GP118" s="239"/>
      <c r="GQ118" s="239"/>
      <c r="GR118" s="239"/>
      <c r="GS118" s="239"/>
      <c r="GT118" s="239"/>
      <c r="GU118" s="239"/>
      <c r="GV118" s="239"/>
      <c r="GW118" s="239"/>
      <c r="GX118" s="239"/>
      <c r="GY118" s="239"/>
      <c r="GZ118" s="239"/>
      <c r="HA118" s="239"/>
      <c r="HB118" s="239"/>
      <c r="HC118" s="239"/>
      <c r="HD118" s="239"/>
      <c r="HE118" s="239"/>
      <c r="HF118" s="239"/>
      <c r="HG118" s="239"/>
      <c r="HH118" s="239"/>
      <c r="HI118" s="239"/>
      <c r="HJ118" s="239"/>
      <c r="HK118" s="239"/>
      <c r="HL118" s="239"/>
      <c r="HM118" s="239"/>
      <c r="HN118" s="239"/>
      <c r="HO118" s="239"/>
      <c r="HP118" s="239"/>
      <c r="HQ118" s="239"/>
      <c r="HR118" s="239"/>
      <c r="HS118" s="239"/>
      <c r="HT118" s="239"/>
      <c r="HU118" s="239"/>
      <c r="HV118" s="239"/>
      <c r="HW118" s="239"/>
      <c r="HX118" s="239"/>
      <c r="HY118" s="239"/>
      <c r="HZ118" s="239"/>
      <c r="IA118" s="239"/>
      <c r="IB118" s="239"/>
      <c r="IC118" s="239"/>
      <c r="ID118" s="239"/>
      <c r="IE118" s="239"/>
      <c r="IF118" s="239"/>
      <c r="IG118" s="239"/>
      <c r="IH118" s="239"/>
      <c r="II118" s="239"/>
      <c r="IJ118" s="239"/>
      <c r="IK118" s="239"/>
      <c r="IL118" s="239"/>
      <c r="IM118" s="239"/>
      <c r="IN118" s="239"/>
      <c r="IO118" s="239"/>
      <c r="IP118" s="239"/>
      <c r="IQ118" s="239"/>
      <c r="IR118" s="239"/>
      <c r="IS118" s="239"/>
      <c r="IT118" s="239"/>
      <c r="IU118" s="239"/>
      <c r="IV118" s="239"/>
    </row>
    <row r="119" spans="1:256" x14ac:dyDescent="0.2">
      <c r="B119" s="817" t="s">
        <v>503</v>
      </c>
      <c r="C119" s="813"/>
      <c r="D119" s="813"/>
      <c r="E119" s="813"/>
      <c r="F119" s="813"/>
      <c r="G119" s="814"/>
      <c r="H119" s="239"/>
      <c r="I119" s="813"/>
      <c r="J119" s="813"/>
      <c r="K119" s="813"/>
      <c r="L119" s="813"/>
      <c r="M119" s="814"/>
      <c r="N119" s="239"/>
      <c r="O119" s="813"/>
      <c r="P119" s="813"/>
      <c r="Q119" s="813"/>
      <c r="R119" s="813"/>
      <c r="S119" s="814"/>
      <c r="T119" s="239"/>
      <c r="U119" s="813"/>
      <c r="V119" s="813"/>
      <c r="W119" s="813"/>
      <c r="X119" s="813"/>
      <c r="Y119" s="814"/>
      <c r="Z119" s="239"/>
      <c r="AA119" s="813"/>
      <c r="AB119" s="813"/>
      <c r="AC119" s="813"/>
      <c r="AD119" s="813"/>
      <c r="AE119" s="814"/>
      <c r="AF119" s="239"/>
      <c r="AG119" s="813"/>
      <c r="AH119" s="813"/>
      <c r="AI119" s="813"/>
      <c r="AJ119" s="813"/>
      <c r="AK119" s="814"/>
      <c r="AL119" s="239"/>
      <c r="AM119" s="813"/>
      <c r="AN119" s="813"/>
      <c r="AO119" s="813"/>
      <c r="AP119" s="813"/>
      <c r="AQ119" s="814"/>
      <c r="AR119" s="239"/>
      <c r="AS119" s="813"/>
      <c r="AT119" s="813"/>
      <c r="AU119" s="813"/>
      <c r="AV119" s="813"/>
      <c r="AW119" s="814"/>
      <c r="AX119" s="239"/>
      <c r="AY119" s="813"/>
      <c r="AZ119" s="813"/>
      <c r="BA119" s="813"/>
      <c r="BB119" s="813"/>
      <c r="BC119" s="814"/>
      <c r="BD119" s="239"/>
      <c r="BE119" s="813"/>
      <c r="BF119" s="813"/>
      <c r="BG119" s="813"/>
      <c r="BH119" s="813"/>
      <c r="BI119" s="814"/>
      <c r="BJ119" s="239"/>
      <c r="BK119" s="813">
        <f>BK118</f>
        <v>0.17051189808059264</v>
      </c>
      <c r="BL119" s="813">
        <f>BL118</f>
        <v>0.20267166074149301</v>
      </c>
      <c r="BM119" s="813">
        <f>BM118</f>
        <v>0.21603077537969628</v>
      </c>
      <c r="BN119" s="813">
        <f>BN118</f>
        <v>0.22370977144443405</v>
      </c>
      <c r="BO119" s="814">
        <f>BO118</f>
        <v>0.20455559908008791</v>
      </c>
      <c r="BP119" s="239"/>
      <c r="BQ119" s="813">
        <f>BQ118</f>
        <v>0.15226549543891754</v>
      </c>
      <c r="BR119" s="813">
        <f>BR118</f>
        <v>0.18501860117064173</v>
      </c>
      <c r="BS119" s="813">
        <f>BS118</f>
        <v>0.20976281351015791</v>
      </c>
      <c r="BT119" s="813">
        <f>BT118</f>
        <v>0.22363960284022677</v>
      </c>
      <c r="BU119" s="814">
        <f>BU118</f>
        <v>0.19457677088300385</v>
      </c>
      <c r="BV119" s="239"/>
      <c r="BW119" s="813">
        <f>BW118</f>
        <v>0.20538580780119942</v>
      </c>
      <c r="BX119" s="813">
        <f>BX118</f>
        <v>0.21288455133173489</v>
      </c>
      <c r="BY119" s="813">
        <f>BY118</f>
        <v>0.21429589656190795</v>
      </c>
      <c r="BZ119" s="813">
        <f>BZ118</f>
        <v>0.21440724111451515</v>
      </c>
      <c r="CA119" s="814">
        <f>CA118</f>
        <v>0.21199597274352455</v>
      </c>
      <c r="CB119" s="239"/>
      <c r="CC119" s="813">
        <f>CC118</f>
        <v>0.21464862250869532</v>
      </c>
      <c r="CD119" s="813">
        <f>CD118</f>
        <v>0.22206612186326169</v>
      </c>
      <c r="CE119" s="813">
        <f>CE118</f>
        <v>0.22331293100364513</v>
      </c>
      <c r="CF119" s="813">
        <f>CF118</f>
        <v>0.22296475329889431</v>
      </c>
      <c r="CG119" s="814">
        <f>CG118</f>
        <v>0.22097707720636262</v>
      </c>
      <c r="CV119" s="239"/>
      <c r="CW119" s="239"/>
      <c r="EC119" s="239"/>
      <c r="ED119" s="239"/>
      <c r="EE119" s="239"/>
      <c r="EF119" s="239"/>
      <c r="EG119" s="239"/>
      <c r="EH119" s="239"/>
      <c r="EI119" s="239"/>
      <c r="EJ119" s="239"/>
      <c r="EK119" s="239"/>
      <c r="EL119" s="239"/>
      <c r="EM119" s="239"/>
      <c r="EN119" s="239"/>
      <c r="EO119" s="239"/>
      <c r="EP119" s="239"/>
      <c r="EQ119" s="239"/>
      <c r="ER119" s="239"/>
      <c r="ES119" s="239"/>
      <c r="ET119" s="239"/>
      <c r="EU119" s="239"/>
      <c r="EV119" s="239"/>
      <c r="EW119" s="239"/>
      <c r="EX119" s="239"/>
      <c r="EY119" s="239"/>
      <c r="EZ119" s="239"/>
      <c r="FA119" s="239"/>
      <c r="FB119" s="239"/>
      <c r="FC119" s="239"/>
      <c r="FD119" s="239"/>
      <c r="FE119" s="239"/>
      <c r="FF119" s="239"/>
      <c r="FG119" s="239"/>
      <c r="FH119" s="239"/>
      <c r="FI119" s="239"/>
      <c r="FJ119" s="239"/>
      <c r="FK119" s="239"/>
      <c r="FL119" s="239"/>
      <c r="FM119" s="239"/>
      <c r="FN119" s="239"/>
      <c r="FO119" s="239"/>
      <c r="FP119" s="239"/>
      <c r="FQ119" s="239"/>
      <c r="FR119" s="239"/>
      <c r="FS119" s="239"/>
      <c r="FT119" s="239"/>
      <c r="FU119" s="239"/>
      <c r="FV119" s="239"/>
      <c r="FW119" s="239"/>
      <c r="FX119" s="239"/>
      <c r="FY119" s="239"/>
      <c r="FZ119" s="239"/>
      <c r="GA119" s="239"/>
      <c r="GB119" s="239"/>
      <c r="GC119" s="239"/>
      <c r="GD119" s="239"/>
      <c r="GE119" s="239"/>
      <c r="GF119" s="239"/>
      <c r="GG119" s="239"/>
      <c r="GH119" s="239"/>
      <c r="GI119" s="239"/>
      <c r="GJ119" s="239"/>
      <c r="GK119" s="239"/>
      <c r="GL119" s="239"/>
      <c r="GM119" s="239"/>
      <c r="GN119" s="239"/>
      <c r="GO119" s="239"/>
      <c r="GP119" s="239"/>
      <c r="GQ119" s="239"/>
      <c r="GR119" s="239"/>
      <c r="GS119" s="239"/>
      <c r="GT119" s="239"/>
      <c r="GU119" s="239"/>
      <c r="GV119" s="239"/>
      <c r="GW119" s="239"/>
      <c r="GX119" s="239"/>
      <c r="GY119" s="239"/>
      <c r="GZ119" s="239"/>
      <c r="HA119" s="239"/>
      <c r="HB119" s="239"/>
      <c r="HC119" s="239"/>
      <c r="HD119" s="239"/>
      <c r="HE119" s="239"/>
      <c r="HF119" s="239"/>
      <c r="HG119" s="239"/>
      <c r="HH119" s="239"/>
      <c r="HI119" s="239"/>
      <c r="HJ119" s="239"/>
      <c r="HK119" s="239"/>
      <c r="HL119" s="239"/>
      <c r="HM119" s="239"/>
      <c r="HN119" s="239"/>
      <c r="HO119" s="239"/>
      <c r="HP119" s="239"/>
      <c r="HQ119" s="239"/>
      <c r="HR119" s="239"/>
      <c r="HS119" s="239"/>
      <c r="HT119" s="239"/>
      <c r="HU119" s="239"/>
      <c r="HV119" s="239"/>
      <c r="HW119" s="239"/>
      <c r="HX119" s="239"/>
      <c r="HY119" s="239"/>
      <c r="HZ119" s="239"/>
      <c r="IA119" s="239"/>
      <c r="IB119" s="239"/>
      <c r="IC119" s="239"/>
      <c r="ID119" s="239"/>
      <c r="IE119" s="239"/>
      <c r="IF119" s="239"/>
      <c r="IG119" s="239"/>
      <c r="IH119" s="239"/>
      <c r="II119" s="239"/>
      <c r="IJ119" s="239"/>
      <c r="IK119" s="239"/>
      <c r="IL119" s="239"/>
      <c r="IM119" s="239"/>
      <c r="IN119" s="239"/>
      <c r="IO119" s="239"/>
      <c r="IP119" s="239"/>
      <c r="IQ119" s="239"/>
      <c r="IR119" s="239"/>
      <c r="IS119" s="239"/>
      <c r="IT119" s="239"/>
      <c r="IU119" s="239"/>
      <c r="IV119" s="239"/>
    </row>
    <row r="120" spans="1:256" x14ac:dyDescent="0.2">
      <c r="B120" s="666" t="s">
        <v>24</v>
      </c>
      <c r="C120" s="46"/>
      <c r="D120" s="46"/>
      <c r="E120" s="46"/>
      <c r="F120" s="46"/>
      <c r="G120" s="85"/>
      <c r="H120" s="239"/>
      <c r="I120" s="46">
        <f>+(I51-C51)/(I15-C15)</f>
        <v>0.24005557545450457</v>
      </c>
      <c r="J120" s="46">
        <f>+(J51-D51)/(J15-D15)</f>
        <v>0.19489797709459206</v>
      </c>
      <c r="K120" s="46">
        <f>+(K51-E51)/(K15-E15)</f>
        <v>0.16705908110380482</v>
      </c>
      <c r="L120" s="46">
        <f>+(L51-F51)/(L15-F15)</f>
        <v>0.23943810816466574</v>
      </c>
      <c r="M120" s="85">
        <f>+(M51-G51)/(M15-G15)</f>
        <v>0.2038692341756228</v>
      </c>
      <c r="N120" s="239"/>
      <c r="O120" s="46">
        <f>+(O51-I51)/(O15-I15)</f>
        <v>0.20301619429595283</v>
      </c>
      <c r="P120" s="46">
        <f>+(P51-J51)/(P15-J15)</f>
        <v>4.7858283068851044E-2</v>
      </c>
      <c r="Q120" s="46">
        <f>+(Q51-K51)/(Q15-K15)</f>
        <v>0.69012313842184736</v>
      </c>
      <c r="R120" s="46">
        <f>+(R51-L51)/(R15-L15)</f>
        <v>0.29566739783532492</v>
      </c>
      <c r="S120" s="85">
        <f>+(S51-M51)/(S15-M15)</f>
        <v>-0.70550713832901601</v>
      </c>
      <c r="T120" s="239"/>
      <c r="U120" s="46">
        <f>+(U51-O51)/(U15-O15)</f>
        <v>0.2390127084103589</v>
      </c>
      <c r="V120" s="46">
        <f>+(V51-P51)/(V15-P15)</f>
        <v>0.2217452817064817</v>
      </c>
      <c r="W120" s="46">
        <f>+(W51-Q51)/(W15-Q15)</f>
        <v>-1.6214518987309836</v>
      </c>
      <c r="X120" s="46">
        <f>+(X51-R51)/(X15-R15)</f>
        <v>0.35566363382960287</v>
      </c>
      <c r="Y120" s="85">
        <f>+(Y51-S51)/(Y15-S15)</f>
        <v>0.16429352356364163</v>
      </c>
      <c r="Z120" s="239"/>
      <c r="AA120" s="46">
        <f>+(AA51-U51)/(AA15-U15)</f>
        <v>0.18438171473599801</v>
      </c>
      <c r="AB120" s="46">
        <f>+(AB51-V51)/(AB15-V15)</f>
        <v>0.16535791847474532</v>
      </c>
      <c r="AC120" s="46">
        <f>+(AC51-W51)/(AC15-W15)</f>
        <v>0.10481560035311709</v>
      </c>
      <c r="AD120" s="46">
        <f>+(AD51-X51)/(AD15-X15)</f>
        <v>1.5219028531385273E-2</v>
      </c>
      <c r="AE120" s="85">
        <f>+(AE51-Y51)/(AE15-Y15)</f>
        <v>8.9953439523856316E-2</v>
      </c>
      <c r="AF120" s="239"/>
      <c r="AG120" s="46">
        <f>+(AG51-AA51)/(AG15-AA15)</f>
        <v>9.6848814641453201E-2</v>
      </c>
      <c r="AH120" s="46">
        <f>+(AH51-AB51)/(AH15-AB15)</f>
        <v>0.12495547697786527</v>
      </c>
      <c r="AI120" s="46">
        <f>+(AI51-AC51)/(AI15-AC15)</f>
        <v>0.24384349652624945</v>
      </c>
      <c r="AJ120" s="46">
        <f>+(AJ51-AD51)/(AJ15-AD15)</f>
        <v>0.44661625284940804</v>
      </c>
      <c r="AK120" s="85">
        <f>+(AK51-AE51)/(AK15-AE15)</f>
        <v>0.16368189561581528</v>
      </c>
      <c r="AL120" s="239"/>
      <c r="AM120" s="46">
        <f>+(AM51-AG51)/(AM15-AG15)</f>
        <v>3.6258023604906278E-2</v>
      </c>
      <c r="AN120" s="46">
        <f>+(AN51-AH51)/(AN15-AH15)</f>
        <v>0.52026106956637852</v>
      </c>
      <c r="AO120" s="46">
        <f>+(AO51-AI51)/(AO15-AI15)</f>
        <v>0.23958832214098705</v>
      </c>
      <c r="AP120" s="46">
        <f>+(AP51-AJ51)/(AP15-AJ15)</f>
        <v>0.28286650833939886</v>
      </c>
      <c r="AQ120" s="85">
        <f>+(AQ51-AK51)/(AQ15-AK15)</f>
        <v>0.2507215206886238</v>
      </c>
      <c r="AR120" s="239"/>
      <c r="AS120" s="46">
        <f>+(AS51-AM51)/(AS15-AM15)</f>
        <v>1.2310748697152829</v>
      </c>
      <c r="AT120" s="46">
        <f>+(AT51-AN51)/(AT15-AN15)</f>
        <v>0.39451114673131304</v>
      </c>
      <c r="AU120" s="46">
        <f>+(AU51-AO51)/(AU15-AO15)</f>
        <v>1.0823906448029776</v>
      </c>
      <c r="AV120" s="46">
        <f>+(AV51-AP51)/(AV15-AP15)</f>
        <v>3.217380615190054E-2</v>
      </c>
      <c r="AW120" s="85">
        <f>+(AW51-AQ51)/(AW15-AQ15)</f>
        <v>4.2762026919160929</v>
      </c>
      <c r="AX120" s="239"/>
      <c r="AY120" s="46">
        <f>+(AY51-AS51)/(AY15-AS15)</f>
        <v>5.1406934028473572E-2</v>
      </c>
      <c r="AZ120" s="46">
        <f>+(AZ51-AT51)/(AZ15-AT15)</f>
        <v>-0.29843064272693448</v>
      </c>
      <c r="BA120" s="46">
        <f>+(BA51-AU51)/(BA15-AU15)</f>
        <v>-0.38553943493973403</v>
      </c>
      <c r="BB120" s="46">
        <f>+(BB51-AV51)/(BB15-AV15)</f>
        <v>-0.32697221028809487</v>
      </c>
      <c r="BC120" s="85">
        <f>+(BC51-AW51)/(BC15-AW15)</f>
        <v>-0.17481133309981645</v>
      </c>
      <c r="BD120" s="239"/>
      <c r="BE120" s="46">
        <f>+(BE51-AY51)/(BE15-AY15)</f>
        <v>1.0928073175480266</v>
      </c>
      <c r="BF120" s="46">
        <f>+(BF51-AZ51)/(BF15-AZ15)</f>
        <v>0.16022032836354425</v>
      </c>
      <c r="BG120" s="46">
        <f>+(BG51-BA51)/(BG15-BA15)</f>
        <v>-5.0763283459515645</v>
      </c>
      <c r="BH120" s="46">
        <f>+(BH51-BB51)/(BH15-BB15)</f>
        <v>0.15653722582676108</v>
      </c>
      <c r="BI120" s="85">
        <f>+(BI51-BC51)/(BI15-BC15)</f>
        <v>0.34563631150570923</v>
      </c>
      <c r="BJ120" s="239"/>
      <c r="BK120" s="46">
        <f>+(BK51-BE51)/(BK15-BE15)</f>
        <v>1.4562645901690439</v>
      </c>
      <c r="BL120" s="46">
        <f>+(BL51-BF51)/(BL15-BF15)</f>
        <v>1.3417266187050407</v>
      </c>
      <c r="BM120" s="46">
        <f>+(BM51-BG51)/(BM15-BG15)</f>
        <v>0.29227941176470768</v>
      </c>
      <c r="BN120" s="46">
        <f>+(BN51-BH51)/(BN15-BH15)</f>
        <v>0.32795698924731082</v>
      </c>
      <c r="BO120" s="85">
        <f>+(BO51-BI51)/(BO15-BI15)</f>
        <v>-0.60968340713030211</v>
      </c>
      <c r="BP120" s="239"/>
      <c r="BQ120" s="46">
        <f>+(BQ51-BK51)/(BQ15-BK15)</f>
        <v>-0.18692093885114511</v>
      </c>
      <c r="BR120" s="46">
        <f>+(BR51-BL51)/(BR15-BL15)</f>
        <v>-8.334993319567488E-2</v>
      </c>
      <c r="BS120" s="46">
        <f>+(BS51-BM51)/(BS15-BM15)</f>
        <v>0.11820102148448129</v>
      </c>
      <c r="BT120" s="46">
        <f>+(BT51-BN51)/(BT15-BN15)</f>
        <v>0.21808469200378403</v>
      </c>
      <c r="BU120" s="85">
        <f>+(BU51-BO51)/(BU15-BO15)</f>
        <v>3.7252428687540633E-2</v>
      </c>
      <c r="BV120" s="239"/>
      <c r="BW120" s="46">
        <f>+(BW51-BQ51)/(BW15-BQ15)</f>
        <v>1.7548084312041603</v>
      </c>
      <c r="BX120" s="46">
        <f>+(BX51-BR51)/(BX15-BR15)</f>
        <v>0.80728377487467939</v>
      </c>
      <c r="BY120" s="46">
        <f>+(BY51-BS51)/(BY15-BS15)</f>
        <v>0.3176621562396334</v>
      </c>
      <c r="BZ120" s="46">
        <f>+(BZ51-BT51)/(BZ15-BT15)</f>
        <v>-5.9559309586876066E-2</v>
      </c>
      <c r="CA120" s="85">
        <f>+(CA51-BU51)/(CA15-BU15)</f>
        <v>0.65099135606475356</v>
      </c>
      <c r="CB120" s="239"/>
      <c r="CC120" s="46">
        <f>+(CC51-BW51)/(CC15-BW15)</f>
        <v>0.47689634467353997</v>
      </c>
      <c r="CD120" s="46">
        <f>+(CD51-BX51)/(CD15-BX15)</f>
        <v>0.58927183613645551</v>
      </c>
      <c r="CE120" s="46">
        <f>+(CE51-BY51)/(CE15-BY15)</f>
        <v>0.54568279755271465</v>
      </c>
      <c r="CF120" s="46">
        <f>+(CF51-BZ51)/(CF15-BZ15)</f>
        <v>0.46387006188996055</v>
      </c>
      <c r="CG120" s="85">
        <f>+(CG51-CA51)/(CG15-CA15)</f>
        <v>0.51163870660282651</v>
      </c>
      <c r="CW120" s="239"/>
    </row>
    <row r="121" spans="1:256" x14ac:dyDescent="0.2">
      <c r="B121" s="666" t="s">
        <v>239</v>
      </c>
      <c r="C121" s="46">
        <f>C74/C15</f>
        <v>0.16515442051330984</v>
      </c>
      <c r="D121" s="46">
        <f>D74/D15</f>
        <v>0.18005059276916865</v>
      </c>
      <c r="E121" s="46">
        <f>E74/E15</f>
        <v>0.17228376255689939</v>
      </c>
      <c r="F121" s="46">
        <f>F74/F15</f>
        <v>0.1872472218591901</v>
      </c>
      <c r="G121" s="85">
        <f>G74/G15</f>
        <v>0.17666784277885739</v>
      </c>
      <c r="H121" s="239"/>
      <c r="I121" s="46">
        <f>I74/I15</f>
        <v>0.16643044137624094</v>
      </c>
      <c r="J121" s="46">
        <f>J74/J15</f>
        <v>0.17437381000223592</v>
      </c>
      <c r="K121" s="46">
        <f>K74/K15</f>
        <v>0.16573189936898991</v>
      </c>
      <c r="L121" s="46">
        <f>L74/L15</f>
        <v>0.1693493722563762</v>
      </c>
      <c r="M121" s="85">
        <f>M74/M15</f>
        <v>0.16906534489026445</v>
      </c>
      <c r="N121" s="239"/>
      <c r="O121" s="46">
        <f>O74/O15</f>
        <v>0.16484843674123262</v>
      </c>
      <c r="P121" s="46">
        <f>P74/P15</f>
        <v>0.18377518688899155</v>
      </c>
      <c r="Q121" s="46">
        <f>Q74/Q15</f>
        <v>0.1752164111335644</v>
      </c>
      <c r="R121" s="46">
        <f>R74/R15</f>
        <v>0.19475236085897277</v>
      </c>
      <c r="S121" s="85">
        <f>S74/S15</f>
        <v>0.18024194854507758</v>
      </c>
      <c r="T121" s="239"/>
      <c r="U121" s="46">
        <f>U74/U15</f>
        <v>0.17281346384303653</v>
      </c>
      <c r="V121" s="46">
        <f>V74/V15</f>
        <v>0.18821708325915473</v>
      </c>
      <c r="W121" s="46">
        <f>W74/W15</f>
        <v>0.16752306300558975</v>
      </c>
      <c r="X121" s="46">
        <f>X74/X15</f>
        <v>0.20154046130439887</v>
      </c>
      <c r="Y121" s="85">
        <f>Y74/Y15</f>
        <v>0.18302931435571831</v>
      </c>
      <c r="Z121" s="239"/>
      <c r="AA121" s="46">
        <f>AA74/AA15</f>
        <v>0.18047823911980967</v>
      </c>
      <c r="AB121" s="46">
        <f>AB74/AB15</f>
        <v>0.18571176896310004</v>
      </c>
      <c r="AC121" s="46">
        <f>AC74/AC15</f>
        <v>0.15421774450114209</v>
      </c>
      <c r="AD121" s="46">
        <f>AD74/AD15</f>
        <v>0.15691868538044823</v>
      </c>
      <c r="AE121" s="85">
        <f>AE74/AE15</f>
        <v>0.16867087746973236</v>
      </c>
      <c r="AF121" s="239"/>
      <c r="AG121" s="46">
        <f>AG74/AG15</f>
        <v>0.15521439716833935</v>
      </c>
      <c r="AH121" s="46">
        <f>AH74/AH15</f>
        <v>0.16808136035619706</v>
      </c>
      <c r="AI121" s="46">
        <f>AI74/AI15</f>
        <v>0.15923534390728389</v>
      </c>
      <c r="AJ121" s="46">
        <f>AJ74/AJ15</f>
        <v>0.16868461242118993</v>
      </c>
      <c r="AK121" s="85">
        <f>AK74/AK15</f>
        <v>0.16300105157589739</v>
      </c>
      <c r="AL121" s="239"/>
      <c r="AM121" s="46">
        <f>AM74/AM15</f>
        <v>0.15167676144709319</v>
      </c>
      <c r="AN121" s="46">
        <f>AN74/AN15</f>
        <v>0.1824449750891346</v>
      </c>
      <c r="AO121" s="46">
        <f>AO74/AO15</f>
        <v>0.16357541407609846</v>
      </c>
      <c r="AP121" s="46">
        <f>AP74/AP15</f>
        <v>0.17232222596841368</v>
      </c>
      <c r="AQ121" s="85">
        <f>AQ74/AQ15</f>
        <v>0.16774746199351381</v>
      </c>
      <c r="AR121" s="239"/>
      <c r="AS121" s="46">
        <f>AS74/AS15</f>
        <v>0.16638897122240903</v>
      </c>
      <c r="AT121" s="46">
        <f>AT74/AT15</f>
        <v>0.1885361797895192</v>
      </c>
      <c r="AU121" s="46">
        <f>AU74/AU15</f>
        <v>0.18085121269853535</v>
      </c>
      <c r="AV121" s="46">
        <f>AV74/AV15</f>
        <v>0.17443725238809585</v>
      </c>
      <c r="AW121" s="85">
        <f>AW74/AW15</f>
        <v>0.17768162583990973</v>
      </c>
      <c r="AX121" s="239"/>
      <c r="AY121" s="46">
        <f>AY74/AY15</f>
        <v>0.17979056346016553</v>
      </c>
      <c r="AZ121" s="46">
        <f>AZ74/AZ15</f>
        <v>0.2196914751078973</v>
      </c>
      <c r="BA121" s="46">
        <f>BA74/BA15</f>
        <v>0.19919314052751319</v>
      </c>
      <c r="BB121" s="46">
        <f>BB74/BB15</f>
        <v>0.19908528555685187</v>
      </c>
      <c r="BC121" s="85">
        <f>BC74/BC15</f>
        <v>0.19990767525278474</v>
      </c>
      <c r="BD121" s="239"/>
      <c r="BE121" s="46">
        <f>BE74/BE15</f>
        <v>0.20761782332984083</v>
      </c>
      <c r="BF121" s="46">
        <f>BF74/BF15</f>
        <v>0.23062622309197653</v>
      </c>
      <c r="BG121" s="46">
        <f>BG74/BG15</f>
        <v>0.19444247990009797</v>
      </c>
      <c r="BH121" s="46">
        <f>BH74/BH15</f>
        <v>0.19814297793335633</v>
      </c>
      <c r="BI121" s="85">
        <f>BI74/BI15</f>
        <v>0.20799196387893154</v>
      </c>
      <c r="BJ121" s="239"/>
      <c r="BK121" s="46">
        <f>BK74/BK15</f>
        <v>0.15370365853658541</v>
      </c>
      <c r="BL121" s="46">
        <f>BL74/BL15</f>
        <v>0.18670267551800437</v>
      </c>
      <c r="BM121" s="46">
        <f>BM74/BM15</f>
        <v>0.19960616709562473</v>
      </c>
      <c r="BN121" s="46">
        <f>BN74/BN15</f>
        <v>0.20784266727772682</v>
      </c>
      <c r="BO121" s="85">
        <f>BO74/BO15</f>
        <v>0.18828713663881522</v>
      </c>
      <c r="BP121" s="239"/>
      <c r="BQ121" s="46">
        <f>BQ74/BQ15</f>
        <v>0.13997490979096741</v>
      </c>
      <c r="BR121" s="46">
        <f>BR74/BR15</f>
        <v>0.17368494659729714</v>
      </c>
      <c r="BS121" s="46">
        <f>BS74/BS15</f>
        <v>0.19820474789073311</v>
      </c>
      <c r="BT121" s="46">
        <f>BT74/BT15</f>
        <v>0.21208355243778756</v>
      </c>
      <c r="BU121" s="85">
        <f>BU74/BU15</f>
        <v>0.18288327701850027</v>
      </c>
      <c r="BV121" s="239"/>
      <c r="BW121" s="46">
        <f>BW74/BW15</f>
        <v>0.19282833339299199</v>
      </c>
      <c r="BX121" s="46">
        <f>BX74/BX15</f>
        <v>0.20199300003310536</v>
      </c>
      <c r="BY121" s="46">
        <f>BY74/BY15</f>
        <v>0.2033239632844438</v>
      </c>
      <c r="BZ121" s="46">
        <f>BZ74/BZ15</f>
        <v>0.20343373191692365</v>
      </c>
      <c r="CA121" s="85">
        <f>CA74/CA15</f>
        <v>0.20068723092887172</v>
      </c>
      <c r="CB121" s="239"/>
      <c r="CC121" s="46">
        <f>CC74/CC15</f>
        <v>0.20513898029485608</v>
      </c>
      <c r="CD121" s="46">
        <f>CD74/CD15</f>
        <v>0.21595715175949615</v>
      </c>
      <c r="CE121" s="46">
        <f>CE74/CE15</f>
        <v>0.21647242477846418</v>
      </c>
      <c r="CF121" s="46">
        <f>CF74/CF15</f>
        <v>0.21530486781751593</v>
      </c>
      <c r="CG121" s="85">
        <f>CG74/CG15</f>
        <v>0.21349581763775233</v>
      </c>
      <c r="CW121" s="239"/>
    </row>
    <row r="122" spans="1:256" x14ac:dyDescent="0.2">
      <c r="B122" s="672" t="s">
        <v>108</v>
      </c>
      <c r="C122" s="493">
        <f>C95/C15</f>
        <v>0.11702449552872179</v>
      </c>
      <c r="D122" s="493">
        <f>D95/D15</f>
        <v>0.12448052294413317</v>
      </c>
      <c r="E122" s="493">
        <f>E95/E15</f>
        <v>0.18594007091438894</v>
      </c>
      <c r="F122" s="493">
        <f>F95/F15</f>
        <v>0.13657449770412677</v>
      </c>
      <c r="G122" s="384">
        <f>G95/G15</f>
        <v>0.14127331854736008</v>
      </c>
      <c r="H122" s="239"/>
      <c r="I122" s="493">
        <f>I95/I15</f>
        <v>0.12893070283592259</v>
      </c>
      <c r="J122" s="493">
        <f>J95/J15</f>
        <v>0.11713617239492821</v>
      </c>
      <c r="K122" s="493">
        <f>K95/K15</f>
        <v>0.12296454078865139</v>
      </c>
      <c r="L122" s="493">
        <f>L95/L15</f>
        <v>0.13170870547606978</v>
      </c>
      <c r="M122" s="384">
        <f>M95/M15</f>
        <v>0.1249896081587976</v>
      </c>
      <c r="N122" s="239"/>
      <c r="O122" s="493">
        <f>O95/O15</f>
        <v>0.12204382834749658</v>
      </c>
      <c r="P122" s="493">
        <f>P95/P15</f>
        <v>0.1373637541243867</v>
      </c>
      <c r="Q122" s="493">
        <f>Q95/Q15</f>
        <v>0.14362024358249426</v>
      </c>
      <c r="R122" s="493">
        <f>R95/R15</f>
        <v>0.14212775457321289</v>
      </c>
      <c r="S122" s="384">
        <f>S95/S15</f>
        <v>0.1366554680495764</v>
      </c>
      <c r="T122" s="239"/>
      <c r="U122" s="493">
        <f>U95/U15</f>
        <v>0.12213876181447979</v>
      </c>
      <c r="V122" s="493">
        <f>V95/V15</f>
        <v>0.13848886831865864</v>
      </c>
      <c r="W122" s="493">
        <f>W95/W15</f>
        <v>0.13335284327397884</v>
      </c>
      <c r="X122" s="493">
        <f>X95/X15</f>
        <v>0.15395663374751553</v>
      </c>
      <c r="Y122" s="384">
        <f>Y95/Y15</f>
        <v>0.13738531640393761</v>
      </c>
      <c r="Z122" s="239"/>
      <c r="AA122" s="493">
        <f>AA95/AA15</f>
        <v>0.14077000674447532</v>
      </c>
      <c r="AB122" s="493">
        <f>AB95/AB15</f>
        <v>0.14614283382171742</v>
      </c>
      <c r="AC122" s="493">
        <f>AC95/AC15</f>
        <v>9.3761218537376442E-2</v>
      </c>
      <c r="AD122" s="493">
        <f>AD95/AD15</f>
        <v>0.11434847155359007</v>
      </c>
      <c r="AE122" s="384">
        <f>AE95/AE15</f>
        <v>0.12316806157438251</v>
      </c>
      <c r="AF122" s="239"/>
      <c r="AG122" s="493">
        <f>AG95/AG15</f>
        <v>0.11774257519592063</v>
      </c>
      <c r="AH122" s="493">
        <f>AH95/AH15</f>
        <v>0.12228177750311114</v>
      </c>
      <c r="AI122" s="493">
        <f>AI95/AI15</f>
        <v>0.11854706970280646</v>
      </c>
      <c r="AJ122" s="493">
        <f>AJ95/AJ15</f>
        <v>0.11465355517230487</v>
      </c>
      <c r="AK122" s="384">
        <f>AK95/AK15</f>
        <v>0.11829134410533987</v>
      </c>
      <c r="AL122" s="239"/>
      <c r="AM122" s="493">
        <f>AM95/AM15</f>
        <v>0.11488104605696157</v>
      </c>
      <c r="AN122" s="493">
        <f>AN95/AN15</f>
        <v>0.14267222972731763</v>
      </c>
      <c r="AO122" s="493">
        <f>AO95/AO15</f>
        <v>0.12276528565448017</v>
      </c>
      <c r="AP122" s="493">
        <f>AP95/AP15</f>
        <v>0.13295735366149011</v>
      </c>
      <c r="AQ122" s="384">
        <f>AQ95/AQ15</f>
        <v>0.12855953239089704</v>
      </c>
      <c r="AR122" s="239"/>
      <c r="AS122" s="493">
        <f>AS95/AS15</f>
        <v>0.12593951300942094</v>
      </c>
      <c r="AT122" s="493">
        <f>AT95/AT15</f>
        <v>0.14365104206716831</v>
      </c>
      <c r="AU122" s="493">
        <f>AU95/AU15</f>
        <v>0.14242100436787436</v>
      </c>
      <c r="AV122" s="493">
        <f>AV95/AV15</f>
        <v>0.1345523084509479</v>
      </c>
      <c r="AW122" s="384">
        <f>AW95/AW15</f>
        <v>0.13671022103790187</v>
      </c>
      <c r="AX122" s="239"/>
      <c r="AY122" s="493">
        <f>AY95/AY15</f>
        <v>0.13957510864759398</v>
      </c>
      <c r="AZ122" s="493">
        <f>AZ95/AZ15</f>
        <v>0.17215958718857716</v>
      </c>
      <c r="BA122" s="493">
        <f>BA95/BA15</f>
        <v>0.16493558621156801</v>
      </c>
      <c r="BB122" s="493">
        <f>BB95/BB15</f>
        <v>0.15019894173592757</v>
      </c>
      <c r="BC122" s="384">
        <f>BC95/BC15</f>
        <v>0.15706148289750446</v>
      </c>
      <c r="BD122" s="239"/>
      <c r="BE122" s="493">
        <f>BE95/BE15</f>
        <v>0.15936904632557228</v>
      </c>
      <c r="BF122" s="493">
        <f>BF95/BF15</f>
        <v>0.17688741701326122</v>
      </c>
      <c r="BG122" s="493">
        <f>BG95/BG15</f>
        <v>0.16129035626503435</v>
      </c>
      <c r="BH122" s="493">
        <f>BH95/BH15</f>
        <v>0.15753572817615949</v>
      </c>
      <c r="BI122" s="384">
        <f>BI95/BI15</f>
        <v>0.16394097009579356</v>
      </c>
      <c r="BJ122" s="239"/>
      <c r="BK122" s="493">
        <f>BK95/BK15</f>
        <v>0.1242981734914983</v>
      </c>
      <c r="BL122" s="493">
        <f>BL95/BL15</f>
        <v>0.15682394857845514</v>
      </c>
      <c r="BM122" s="493">
        <f>BM95/BM15</f>
        <v>0.16299825787897843</v>
      </c>
      <c r="BN122" s="493">
        <f>BN95/BN15</f>
        <v>0.17343074615534571</v>
      </c>
      <c r="BO122" s="384">
        <f>BO95/BO15</f>
        <v>0.15557740189394548</v>
      </c>
      <c r="BP122" s="239"/>
      <c r="BQ122" s="493">
        <f>BQ95/BQ15</f>
        <v>0.10906532111862359</v>
      </c>
      <c r="BR122" s="493">
        <f>BR95/BR15</f>
        <v>0.1353314283423642</v>
      </c>
      <c r="BS122" s="493">
        <f>BS95/BS15</f>
        <v>0.1544367094661532</v>
      </c>
      <c r="BT122" s="493">
        <f>BT95/BT15</f>
        <v>0.16525076376293821</v>
      </c>
      <c r="BU122" s="384">
        <f>BU95/BU15</f>
        <v>0.14249856181394058</v>
      </c>
      <c r="BV122" s="239"/>
      <c r="BW122" s="493">
        <f>BW95/BW15</f>
        <v>0.15024752745818737</v>
      </c>
      <c r="BX122" s="493">
        <f>BX95/BX15</f>
        <v>0.15738843086396045</v>
      </c>
      <c r="BY122" s="493">
        <f>BY95/BY15</f>
        <v>0.15842548768093642</v>
      </c>
      <c r="BZ122" s="493">
        <f>BZ95/BZ15</f>
        <v>0.15851101694591715</v>
      </c>
      <c r="CA122" s="384">
        <f>CA95/CA15</f>
        <v>0.15637100476329222</v>
      </c>
      <c r="CB122" s="239"/>
      <c r="CC122" s="493">
        <f>CC95/CC15</f>
        <v>0.15983970836785807</v>
      </c>
      <c r="CD122" s="493">
        <f>CD95/CD15</f>
        <v>0.16826898577528268</v>
      </c>
      <c r="CE122" s="493">
        <f>CE95/CE15</f>
        <v>0.16867047499475379</v>
      </c>
      <c r="CF122" s="493">
        <f>CF95/CF15</f>
        <v>0.16776074070694269</v>
      </c>
      <c r="CG122" s="384">
        <f>CG95/CG15</f>
        <v>0.16635116924109736</v>
      </c>
      <c r="CW122" s="239"/>
    </row>
    <row r="124" spans="1:256" x14ac:dyDescent="0.2">
      <c r="A124" s="1104"/>
      <c r="B124" s="44" t="s">
        <v>209</v>
      </c>
      <c r="C124" s="122"/>
      <c r="D124" s="134"/>
      <c r="E124" s="134"/>
      <c r="F124" s="134"/>
      <c r="G124" s="562"/>
      <c r="H124" s="239"/>
      <c r="I124" s="134"/>
      <c r="J124" s="134"/>
      <c r="K124" s="134"/>
      <c r="L124" s="134"/>
      <c r="M124" s="562"/>
      <c r="N124" s="239"/>
      <c r="O124" s="122"/>
      <c r="P124" s="122"/>
      <c r="Q124" s="122"/>
      <c r="R124" s="122"/>
      <c r="S124" s="562"/>
      <c r="T124" s="239"/>
      <c r="U124" s="122"/>
      <c r="V124" s="122"/>
      <c r="W124" s="122"/>
      <c r="X124" s="122"/>
      <c r="Y124" s="562"/>
      <c r="Z124" s="239"/>
      <c r="AA124" s="136"/>
      <c r="AB124" s="136"/>
      <c r="AC124" s="136"/>
      <c r="AD124" s="165"/>
      <c r="AE124" s="562"/>
      <c r="AF124" s="239"/>
      <c r="AG124" s="136"/>
      <c r="AH124" s="136"/>
      <c r="AI124" s="136"/>
      <c r="AJ124" s="136"/>
      <c r="AK124" s="562"/>
      <c r="AL124" s="239"/>
      <c r="AM124" s="499"/>
      <c r="AN124" s="496"/>
      <c r="AO124" s="496"/>
      <c r="AP124" s="496"/>
      <c r="AQ124" s="562"/>
      <c r="AR124" s="717"/>
      <c r="AS124" s="496"/>
      <c r="AT124" s="496"/>
      <c r="AU124" s="496"/>
      <c r="AV124" s="496"/>
      <c r="AW124" s="562"/>
      <c r="AX124" s="717"/>
      <c r="AY124" s="496"/>
      <c r="AZ124" s="557"/>
      <c r="BA124" s="557"/>
      <c r="BB124" s="496"/>
      <c r="BC124" s="582"/>
      <c r="BD124" s="717"/>
      <c r="BE124" s="496"/>
      <c r="BF124" s="496"/>
      <c r="BG124" s="496"/>
      <c r="BH124" s="496"/>
      <c r="BI124" s="580"/>
      <c r="BJ124" s="717"/>
      <c r="BK124" s="496"/>
      <c r="BL124" s="496"/>
      <c r="BM124" s="496"/>
      <c r="BN124" s="496"/>
      <c r="BO124" s="580"/>
      <c r="BP124" s="717"/>
      <c r="BQ124" s="496"/>
      <c r="BR124" s="496"/>
      <c r="BS124" s="496"/>
      <c r="BT124" s="496"/>
      <c r="BU124" s="580"/>
      <c r="BV124" s="717"/>
      <c r="BW124" s="496"/>
      <c r="BX124" s="496"/>
      <c r="BY124" s="496"/>
      <c r="BZ124" s="496"/>
      <c r="CA124" s="562"/>
      <c r="CB124" s="717"/>
      <c r="CC124" s="496"/>
      <c r="CD124" s="496"/>
      <c r="CE124" s="496"/>
      <c r="CF124" s="496"/>
      <c r="CG124" s="562"/>
    </row>
    <row r="125" spans="1:256" x14ac:dyDescent="0.2">
      <c r="B125" s="674" t="s">
        <v>182</v>
      </c>
      <c r="C125" s="397"/>
      <c r="D125" s="397"/>
      <c r="E125" s="397"/>
      <c r="F125" s="397"/>
      <c r="G125" s="85"/>
      <c r="H125" s="239"/>
      <c r="I125" s="397">
        <f t="shared" ref="I125:M126" si="26">I15/C15-1</f>
        <v>0.20418967696048473</v>
      </c>
      <c r="J125" s="397">
        <f t="shared" si="26"/>
        <v>0.17667168775062136</v>
      </c>
      <c r="K125" s="397">
        <f t="shared" si="26"/>
        <v>6.6828224628304511E-2</v>
      </c>
      <c r="L125" s="397">
        <f t="shared" si="26"/>
        <v>-7.24868584326267E-2</v>
      </c>
      <c r="M125" s="85">
        <f t="shared" si="26"/>
        <v>8.7326309421126957E-2</v>
      </c>
      <c r="N125" s="239"/>
      <c r="O125" s="397">
        <f t="shared" ref="O125:S126" si="27">O15/I15-1</f>
        <v>-0.10462150080634258</v>
      </c>
      <c r="P125" s="397">
        <f t="shared" si="27"/>
        <v>-6.1887227162930158E-2</v>
      </c>
      <c r="Q125" s="397">
        <f t="shared" si="27"/>
        <v>1.2397378622620803E-2</v>
      </c>
      <c r="R125" s="397">
        <f t="shared" si="27"/>
        <v>0.1386288073113815</v>
      </c>
      <c r="S125" s="85">
        <f t="shared" si="27"/>
        <v>-7.7497262649702803E-3</v>
      </c>
      <c r="T125" s="239"/>
      <c r="U125" s="397">
        <f t="shared" ref="U125:Y126" si="28">U15/O15-1</f>
        <v>9.5736197653053745E-2</v>
      </c>
      <c r="V125" s="397">
        <f t="shared" si="28"/>
        <v>1.9220297030049238E-2</v>
      </c>
      <c r="W125" s="397">
        <f t="shared" si="28"/>
        <v>7.439286659074007E-3</v>
      </c>
      <c r="X125" s="397">
        <f t="shared" si="28"/>
        <v>2.6295469307557884E-2</v>
      </c>
      <c r="Y125" s="85">
        <f t="shared" si="28"/>
        <v>3.5888684870696519E-2</v>
      </c>
      <c r="Z125" s="239"/>
      <c r="AA125" s="397">
        <f t="shared" ref="AA125:AE126" si="29">AA15/U15-1</f>
        <v>6.6773014114245077E-2</v>
      </c>
      <c r="AB125" s="397">
        <f t="shared" si="29"/>
        <v>0.14263045157700649</v>
      </c>
      <c r="AC125" s="397">
        <f t="shared" si="29"/>
        <v>0.1570871867817949</v>
      </c>
      <c r="AD125" s="397">
        <f t="shared" si="29"/>
        <v>0.23925351473494061</v>
      </c>
      <c r="AE125" s="85">
        <f t="shared" si="29"/>
        <v>0.15335595098811039</v>
      </c>
      <c r="AF125" s="239"/>
      <c r="AG125" s="397">
        <f t="shared" ref="AG125:AK126" si="30">AG15/AA15-1</f>
        <v>0.20762433772084665</v>
      </c>
      <c r="AH125" s="397">
        <f t="shared" si="30"/>
        <v>0.17665374083425589</v>
      </c>
      <c r="AI125" s="397">
        <f t="shared" si="30"/>
        <v>0.12464874309238327</v>
      </c>
      <c r="AJ125" s="397">
        <f t="shared" si="30"/>
        <v>2.9663377031380334E-2</v>
      </c>
      <c r="AK125" s="85">
        <f t="shared" si="30"/>
        <v>0.12895388868293156</v>
      </c>
      <c r="AL125" s="239"/>
      <c r="AM125" s="397">
        <f t="shared" ref="AM125:AQ126" si="31">AM15/AG15-1</f>
        <v>5.392939689770615E-2</v>
      </c>
      <c r="AN125" s="397">
        <f t="shared" si="31"/>
        <v>3.8945176616838273E-2</v>
      </c>
      <c r="AO125" s="397">
        <f t="shared" si="31"/>
        <v>4.1888495762775868E-2</v>
      </c>
      <c r="AP125" s="397">
        <f t="shared" si="31"/>
        <v>2.6010547095205894E-2</v>
      </c>
      <c r="AQ125" s="85">
        <f t="shared" si="31"/>
        <v>3.9893184557299177E-2</v>
      </c>
      <c r="AR125" s="239"/>
      <c r="AS125" s="397">
        <f t="shared" ref="AS125:AW126" si="32">AS15/AM15-1</f>
        <v>1.3124011974795291E-2</v>
      </c>
      <c r="AT125" s="397">
        <f t="shared" si="32"/>
        <v>1.9420263798060944E-2</v>
      </c>
      <c r="AU125" s="397">
        <f t="shared" si="32"/>
        <v>1.6210675428248722E-2</v>
      </c>
      <c r="AV125" s="397">
        <f t="shared" si="32"/>
        <v>-3.7956984281876993E-2</v>
      </c>
      <c r="AW125" s="85">
        <f t="shared" si="32"/>
        <v>2.299389302536925E-3</v>
      </c>
      <c r="AX125" s="239"/>
      <c r="AY125" s="397">
        <f t="shared" ref="AY125:BC126" si="33">AY15/AS15-1</f>
        <v>-9.7217101803129813E-2</v>
      </c>
      <c r="AZ125" s="397">
        <f t="shared" si="33"/>
        <v>-5.6271953965920662E-2</v>
      </c>
      <c r="BA125" s="397">
        <f t="shared" si="33"/>
        <v>-4.4224318797989715E-2</v>
      </c>
      <c r="BB125" s="397">
        <f t="shared" si="33"/>
        <v>-3.6077820439519459E-2</v>
      </c>
      <c r="BC125" s="85">
        <f t="shared" si="33"/>
        <v>-5.8469521465788321E-2</v>
      </c>
      <c r="BD125" s="239"/>
      <c r="BE125" s="397">
        <f t="shared" ref="BE125:BI126" si="34">BE15/AY15-1</f>
        <v>3.1352367225840672E-2</v>
      </c>
      <c r="BF125" s="397">
        <f t="shared" si="34"/>
        <v>1.8528853666703871E-2</v>
      </c>
      <c r="BG125" s="397">
        <f t="shared" si="34"/>
        <v>2.6224693171088553E-3</v>
      </c>
      <c r="BH125" s="397">
        <f t="shared" si="34"/>
        <v>2.3799753795650247E-2</v>
      </c>
      <c r="BI125" s="85">
        <f t="shared" si="34"/>
        <v>1.8966696240760639E-2</v>
      </c>
      <c r="BJ125" s="239"/>
      <c r="BK125" s="397">
        <f t="shared" ref="BK125:BO126" si="35">BK15/BE15-1</f>
        <v>-4.2157799723903655E-2</v>
      </c>
      <c r="BL125" s="397">
        <f t="shared" si="35"/>
        <v>-2.7201565557729901E-2</v>
      </c>
      <c r="BM125" s="397">
        <f t="shared" si="35"/>
        <v>5.691567273488185E-2</v>
      </c>
      <c r="BN125" s="397">
        <f t="shared" si="35"/>
        <v>9.3186372745491131E-2</v>
      </c>
      <c r="BO125" s="85">
        <f t="shared" si="35"/>
        <v>2.0395660497766421E-2</v>
      </c>
      <c r="BP125" s="239"/>
      <c r="BQ125" s="397">
        <f t="shared" ref="BQ125:BU126" si="36">BQ15/BK15-1</f>
        <v>5.3847006651884799E-2</v>
      </c>
      <c r="BR125" s="397">
        <f t="shared" si="36"/>
        <v>6.6248239790786645E-2</v>
      </c>
      <c r="BS125" s="397">
        <f t="shared" si="36"/>
        <v>7.1324490199960566E-2</v>
      </c>
      <c r="BT125" s="397">
        <f t="shared" si="36"/>
        <v>6.5888175985334474E-2</v>
      </c>
      <c r="BU125" s="85">
        <f t="shared" si="36"/>
        <v>6.4634512433081603E-2</v>
      </c>
      <c r="BV125" s="239"/>
      <c r="BW125" s="397">
        <f t="shared" ref="BW125:CA126" si="37">BW15/BQ15-1</f>
        <v>3.3785476082771382E-2</v>
      </c>
      <c r="BX125" s="397">
        <f t="shared" si="37"/>
        <v>4.610285794065283E-2</v>
      </c>
      <c r="BY125" s="397">
        <f t="shared" si="37"/>
        <v>4.1660020032302958E-2</v>
      </c>
      <c r="BZ125" s="397">
        <f t="shared" si="37"/>
        <v>3.3958159197306159E-2</v>
      </c>
      <c r="CA125" s="85">
        <f t="shared" si="37"/>
        <v>3.8903295995789344E-2</v>
      </c>
      <c r="CB125" s="239"/>
      <c r="CC125" s="397">
        <f t="shared" ref="CC125:CG126" si="38">CC15/BW15-1</f>
        <v>3.4332761268290213E-2</v>
      </c>
      <c r="CD125" s="397">
        <f t="shared" si="38"/>
        <v>2.4485117797332201E-2</v>
      </c>
      <c r="CE125" s="397">
        <f t="shared" si="38"/>
        <v>2.735598879144252E-2</v>
      </c>
      <c r="CF125" s="397">
        <f t="shared" si="38"/>
        <v>3.457221541993527E-2</v>
      </c>
      <c r="CG125" s="85">
        <f t="shared" si="38"/>
        <v>3.01490284329331E-2</v>
      </c>
      <c r="CW125" s="239"/>
    </row>
    <row r="126" spans="1:256" x14ac:dyDescent="0.2">
      <c r="B126" s="1235" t="s">
        <v>5</v>
      </c>
      <c r="C126" s="825"/>
      <c r="D126" s="825"/>
      <c r="E126" s="825"/>
      <c r="F126" s="825"/>
      <c r="G126" s="814"/>
      <c r="H126" s="239"/>
      <c r="I126" s="825">
        <f t="shared" si="26"/>
        <v>0.19579411056895846</v>
      </c>
      <c r="J126" s="825">
        <f t="shared" si="26"/>
        <v>0.17776334937147609</v>
      </c>
      <c r="K126" s="825">
        <f t="shared" si="26"/>
        <v>7.2871759245146217E-2</v>
      </c>
      <c r="L126" s="825">
        <f t="shared" si="26"/>
        <v>-6.1490006513864381E-2</v>
      </c>
      <c r="M126" s="814">
        <f t="shared" si="26"/>
        <v>8.9962896507401524E-2</v>
      </c>
      <c r="N126" s="239"/>
      <c r="O126" s="825">
        <f t="shared" si="27"/>
        <v>-8.0554579274882077E-2</v>
      </c>
      <c r="P126" s="825">
        <f t="shared" si="27"/>
        <v>-5.0882392064848236E-2</v>
      </c>
      <c r="Q126" s="825">
        <f t="shared" si="27"/>
        <v>1.9885089099316078E-2</v>
      </c>
      <c r="R126" s="825">
        <f t="shared" si="27"/>
        <v>0.13538120986715452</v>
      </c>
      <c r="S126" s="814">
        <f t="shared" si="27"/>
        <v>3.1261376013267395E-3</v>
      </c>
      <c r="T126" s="239"/>
      <c r="U126" s="825">
        <f t="shared" si="28"/>
        <v>9.064637287619437E-2</v>
      </c>
      <c r="V126" s="825">
        <f t="shared" si="28"/>
        <v>1.385768385524222E-2</v>
      </c>
      <c r="W126" s="825">
        <f t="shared" si="28"/>
        <v>-6.9561239257522889E-3</v>
      </c>
      <c r="X126" s="825">
        <f t="shared" si="28"/>
        <v>2.9676212467358187E-2</v>
      </c>
      <c r="Y126" s="814">
        <f t="shared" si="28"/>
        <v>3.0592224637485455E-2</v>
      </c>
      <c r="Z126" s="239"/>
      <c r="AA126" s="825">
        <f t="shared" si="29"/>
        <v>7.8706033256643826E-2</v>
      </c>
      <c r="AB126" s="825">
        <f t="shared" si="29"/>
        <v>0.1524558998315515</v>
      </c>
      <c r="AC126" s="825">
        <f t="shared" si="29"/>
        <v>0.15548730518497744</v>
      </c>
      <c r="AD126" s="825">
        <f t="shared" si="29"/>
        <v>0.23750778470192047</v>
      </c>
      <c r="AE126" s="814">
        <f t="shared" si="29"/>
        <v>0.15800522591304667</v>
      </c>
      <c r="AF126" s="239"/>
      <c r="AG126" s="825">
        <f t="shared" si="30"/>
        <v>0.20997462729628369</v>
      </c>
      <c r="AH126" s="825">
        <f t="shared" si="30"/>
        <v>0.16299605775366155</v>
      </c>
      <c r="AI126" s="825">
        <f t="shared" si="30"/>
        <v>0.14304042691310936</v>
      </c>
      <c r="AJ126" s="825">
        <f t="shared" si="30"/>
        <v>4.2697207869082154E-2</v>
      </c>
      <c r="AK126" s="814">
        <f t="shared" si="30"/>
        <v>0.13443587134683965</v>
      </c>
      <c r="AL126" s="239"/>
      <c r="AM126" s="825">
        <f t="shared" si="31"/>
        <v>4.7338741756166369E-2</v>
      </c>
      <c r="AN126" s="825">
        <f t="shared" si="31"/>
        <v>6.2335789862060675E-2</v>
      </c>
      <c r="AO126" s="825">
        <f t="shared" si="31"/>
        <v>5.98613278717115E-2</v>
      </c>
      <c r="AP126" s="825">
        <f t="shared" si="31"/>
        <v>3.7420699534880031E-2</v>
      </c>
      <c r="AQ126" s="814">
        <f t="shared" si="31"/>
        <v>5.1552758015250388E-2</v>
      </c>
      <c r="AR126" s="239"/>
      <c r="AS126" s="825">
        <f t="shared" si="32"/>
        <v>3.3662743943363438E-2</v>
      </c>
      <c r="AT126" s="825">
        <f t="shared" si="32"/>
        <v>3.1046296135107676E-2</v>
      </c>
      <c r="AU126" s="825">
        <f t="shared" si="32"/>
        <v>2.5184930363570723E-2</v>
      </c>
      <c r="AV126" s="825">
        <f t="shared" si="32"/>
        <v>-2.7631448353897858E-2</v>
      </c>
      <c r="AW126" s="814">
        <f t="shared" si="32"/>
        <v>1.5018033025671063E-2</v>
      </c>
      <c r="AX126" s="239"/>
      <c r="AY126" s="825">
        <f t="shared" si="33"/>
        <v>-8.4666732130958211E-2</v>
      </c>
      <c r="AZ126" s="825">
        <f t="shared" si="33"/>
        <v>-4.7439947945939531E-2</v>
      </c>
      <c r="BA126" s="825">
        <f t="shared" si="33"/>
        <v>-3.8170099123864265E-2</v>
      </c>
      <c r="BB126" s="825">
        <f t="shared" si="33"/>
        <v>-3.4228108236233679E-2</v>
      </c>
      <c r="BC126" s="814">
        <f t="shared" si="33"/>
        <v>-5.1016119548805694E-2</v>
      </c>
      <c r="BD126" s="239"/>
      <c r="BE126" s="825">
        <f t="shared" si="34"/>
        <v>3.9738826972869568E-2</v>
      </c>
      <c r="BF126" s="825">
        <f t="shared" si="34"/>
        <v>2.673196612590556E-2</v>
      </c>
      <c r="BG126" s="825">
        <f t="shared" si="34"/>
        <v>7.6041555103352199E-3</v>
      </c>
      <c r="BH126" s="825">
        <f t="shared" si="34"/>
        <v>3.6331086773378152E-2</v>
      </c>
      <c r="BI126" s="814">
        <f t="shared" si="34"/>
        <v>2.7480875336513888E-2</v>
      </c>
      <c r="BJ126" s="239"/>
      <c r="BK126" s="825">
        <f t="shared" si="35"/>
        <v>-3.5404937202252129E-2</v>
      </c>
      <c r="BL126" s="825">
        <f t="shared" si="35"/>
        <v>-2.166351982510184E-2</v>
      </c>
      <c r="BM126" s="825">
        <f t="shared" si="35"/>
        <v>6.3775510204081565E-2</v>
      </c>
      <c r="BN126" s="825">
        <f t="shared" si="35"/>
        <v>9.8160756020729822E-2</v>
      </c>
      <c r="BO126" s="814">
        <f t="shared" si="35"/>
        <v>2.6486458441423721E-2</v>
      </c>
      <c r="BP126" s="239"/>
      <c r="BQ126" s="825">
        <f t="shared" si="36"/>
        <v>5.4517903243910704E-2</v>
      </c>
      <c r="BR126" s="825">
        <f t="shared" si="36"/>
        <v>6.6900964956830844E-2</v>
      </c>
      <c r="BS126" s="825">
        <f t="shared" si="36"/>
        <v>7.1994404476418916E-2</v>
      </c>
      <c r="BT126" s="825">
        <f t="shared" si="36"/>
        <v>6.6516146941796972E-2</v>
      </c>
      <c r="BU126" s="814">
        <f t="shared" si="36"/>
        <v>6.5296065101468459E-2</v>
      </c>
      <c r="BV126" s="239"/>
      <c r="BW126" s="825">
        <f t="shared" si="37"/>
        <v>3.4184657306779442E-2</v>
      </c>
      <c r="BX126" s="825">
        <f t="shared" si="37"/>
        <v>4.6528612937991154E-2</v>
      </c>
      <c r="BY126" s="825">
        <f t="shared" si="37"/>
        <v>4.2025032343697033E-2</v>
      </c>
      <c r="BZ126" s="825">
        <f t="shared" si="37"/>
        <v>3.4261624315451433E-2</v>
      </c>
      <c r="CA126" s="814">
        <f t="shared" si="37"/>
        <v>3.9277075964291752E-2</v>
      </c>
      <c r="CB126" s="239"/>
      <c r="CC126" s="825">
        <f t="shared" si="38"/>
        <v>3.4725000207392887E-2</v>
      </c>
      <c r="CD126" s="825">
        <f t="shared" si="38"/>
        <v>2.4701182088308293E-2</v>
      </c>
      <c r="CE126" s="825">
        <f t="shared" si="38"/>
        <v>2.7586007045968142E-2</v>
      </c>
      <c r="CF126" s="825">
        <f t="shared" si="38"/>
        <v>3.4870933450909858E-2</v>
      </c>
      <c r="CG126" s="814">
        <f t="shared" si="38"/>
        <v>3.0427750657165076E-2</v>
      </c>
      <c r="CW126" s="239"/>
    </row>
    <row r="127" spans="1:256" x14ac:dyDescent="0.2">
      <c r="B127" s="1235" t="s">
        <v>4</v>
      </c>
      <c r="C127" s="825"/>
      <c r="D127" s="825"/>
      <c r="E127" s="825"/>
      <c r="F127" s="825"/>
      <c r="G127" s="814"/>
      <c r="H127" s="239"/>
      <c r="I127" s="825"/>
      <c r="J127" s="825"/>
      <c r="K127" s="825"/>
      <c r="L127" s="825"/>
      <c r="M127" s="814"/>
      <c r="N127" s="239"/>
      <c r="O127" s="825">
        <f>O126-O129</f>
        <v>-7.230227644798895E-2</v>
      </c>
      <c r="P127" s="825">
        <f>P126-P129</f>
        <v>-4.7908260227950805E-2</v>
      </c>
      <c r="Q127" s="825">
        <f>Q126-Q129</f>
        <v>-1.8255671338690223E-2</v>
      </c>
      <c r="R127" s="825">
        <f>R126-R129</f>
        <v>-8.0216589910963032E-3</v>
      </c>
      <c r="S127" s="814">
        <f>+SUMPRODUCT(O127:R127,I$15:L$15)/M$15</f>
        <v>-3.7601290256685217E-2</v>
      </c>
      <c r="T127" s="239"/>
      <c r="U127" s="825">
        <f>U126-U129</f>
        <v>4.5375204598474182E-2</v>
      </c>
      <c r="V127" s="825">
        <f>V126-V129</f>
        <v>3.2428504611920428E-2</v>
      </c>
      <c r="W127" s="825">
        <f>W126-W129</f>
        <v>2.6228448408902691E-2</v>
      </c>
      <c r="X127" s="825">
        <f>X126-X129</f>
        <v>5.8244714733697106E-2</v>
      </c>
      <c r="Y127" s="814">
        <f>+SUMPRODUCT(U127:X127,O$15:R$15)/S$15</f>
        <v>4.0839378733645681E-2</v>
      </c>
      <c r="Z127" s="239"/>
      <c r="AA127" s="825">
        <f>AA126-AA129</f>
        <v>5.9711456328110618E-2</v>
      </c>
      <c r="AB127" s="825">
        <f>AB126-AB129</f>
        <v>0.10459373407497867</v>
      </c>
      <c r="AC127" s="825">
        <f>AC126-AC129</f>
        <v>1.7128114759689173E-2</v>
      </c>
      <c r="AD127" s="825">
        <f>AD126-AD129</f>
        <v>-0.11459627521889404</v>
      </c>
      <c r="AE127" s="814">
        <f>+SUMPRODUCT(AA127:AD127,U$15:X$15)/Y$15</f>
        <v>1.4088408954459326E-2</v>
      </c>
      <c r="AF127" s="239"/>
      <c r="AG127" s="825">
        <f>AG126-AG129</f>
        <v>-0.10579160658057352</v>
      </c>
      <c r="AH127" s="825">
        <f>AH126-AH129</f>
        <v>-0.13407265677762376</v>
      </c>
      <c r="AI127" s="825">
        <f>AI126-AI129</f>
        <v>-4.0984724502076908E-2</v>
      </c>
      <c r="AJ127" s="825">
        <f>AJ126-AJ129</f>
        <v>3.0465885956312479E-2</v>
      </c>
      <c r="AK127" s="814">
        <f>+SUMPRODUCT(AG127:AJ127,AA$15:AD$15)/AE$15</f>
        <v>-5.8031996717952443E-2</v>
      </c>
      <c r="AL127" s="239"/>
      <c r="AM127" s="825">
        <f>AM126-AM129</f>
        <v>4.7825971821511985E-2</v>
      </c>
      <c r="AN127" s="825">
        <f>AN126-AN129</f>
        <v>7.4786498753411382E-2</v>
      </c>
      <c r="AO127" s="825">
        <f>AO126-AO129</f>
        <v>4.108275095037129E-2</v>
      </c>
      <c r="AP127" s="825">
        <f>AP126-AP129</f>
        <v>3.0975733130114397E-2</v>
      </c>
      <c r="AQ127" s="814">
        <f>+SUMPRODUCT(AM127:AP127,AG$15:AJ$15)/AK$15</f>
        <v>4.8706410082669266E-2</v>
      </c>
      <c r="AR127" s="239"/>
      <c r="AS127" s="825">
        <f>AS126-AS129</f>
        <v>3.9681057319955457E-2</v>
      </c>
      <c r="AT127" s="825">
        <f>AT126-AT129</f>
        <v>3.3607229239155906E-2</v>
      </c>
      <c r="AU127" s="825">
        <f>AU126-AU129</f>
        <v>2.9288303456572427E-2</v>
      </c>
      <c r="AV127" s="825">
        <f>AV126-AV129</f>
        <v>4.0944616968351902E-2</v>
      </c>
      <c r="AW127" s="814">
        <f>+SUMPRODUCT(AS127:AV127,AM$15:AP$15)/AQ$15</f>
        <v>3.5948293335513394E-2</v>
      </c>
      <c r="AX127" s="239"/>
      <c r="AY127" s="825">
        <f>AY126-AY129</f>
        <v>1.5546415395170557E-2</v>
      </c>
      <c r="AZ127" s="825">
        <f>AZ126-AZ129</f>
        <v>6.7453269517407183E-2</v>
      </c>
      <c r="BA127" s="825">
        <f>BA126-BA129</f>
        <v>6.3620067314534137E-2</v>
      </c>
      <c r="BB127" s="825">
        <f>BB126-BB129</f>
        <v>4.5432975009049525E-2</v>
      </c>
      <c r="BC127" s="814">
        <f>+SUMPRODUCT(AY127:BB127,AS$15:AV$15)/AW$15</f>
        <v>4.8206591630678655E-2</v>
      </c>
      <c r="BD127" s="239"/>
      <c r="BE127" s="825">
        <f>BE126-BE129</f>
        <v>6.5738826972869563E-2</v>
      </c>
      <c r="BF127" s="825">
        <f>BF126-BF129</f>
        <v>3.3338230792776244E-2</v>
      </c>
      <c r="BG127" s="825">
        <f>BG126-BG129</f>
        <v>4.2697868694441454E-3</v>
      </c>
      <c r="BH127" s="825">
        <f>BH126-BH129</f>
        <v>4.3075400168491991E-2</v>
      </c>
      <c r="BI127" s="814">
        <f>+SUMPRODUCT(BE127:BH127,AY$15:BB$15)/BC$15</f>
        <v>3.6294327873649709E-2</v>
      </c>
      <c r="BJ127" s="239"/>
      <c r="BK127" s="825">
        <f>BK126-BK129</f>
        <v>-2.2673235166738852E-2</v>
      </c>
      <c r="BL127" s="825">
        <f>BL126-BL129</f>
        <v>-1.0019179171221306E-2</v>
      </c>
      <c r="BM127" s="825">
        <f>BM126-BM129</f>
        <v>4.2857461734693882E-2</v>
      </c>
      <c r="BN127" s="825">
        <f>BN126-BN129</f>
        <v>5.2660095518748097E-2</v>
      </c>
      <c r="BO127" s="814">
        <f>+SUMPRODUCT(BK127:BN127,BE$15:BH$15)/BI$15</f>
        <v>1.5807772963426895E-2</v>
      </c>
      <c r="BP127" s="239"/>
      <c r="BQ127" s="825">
        <f>BQ126-BQ129</f>
        <v>-3.8017734874845679E-3</v>
      </c>
      <c r="BR127" s="825">
        <f>BR126-BR129</f>
        <v>2.7110208227526661E-2</v>
      </c>
      <c r="BS127" s="825">
        <f>BS126-BS129</f>
        <v>4.6514788169464423E-2</v>
      </c>
      <c r="BT127" s="825">
        <f>BT126-BT129</f>
        <v>0.04</v>
      </c>
      <c r="BU127" s="814">
        <f>+SUMPRODUCT(BQ127:BT127,BK$15:BN$15)/BO$15</f>
        <v>2.8556814014831861E-2</v>
      </c>
      <c r="BV127" s="239"/>
      <c r="BW127" s="825">
        <f>BW126-BW129</f>
        <v>3.4184657306779359E-2</v>
      </c>
      <c r="BX127" s="825">
        <f>BX126-BX129</f>
        <v>4.6528612937991029E-2</v>
      </c>
      <c r="BY127" s="825">
        <f>BY126-BY129</f>
        <v>4.2025032343697033E-2</v>
      </c>
      <c r="BZ127" s="825">
        <f>BZ126-BZ129</f>
        <v>3.4261624315451197E-2</v>
      </c>
      <c r="CA127" s="814">
        <f>+SUMPRODUCT(BW127:BZ127,BQ$15:BT$15)/BU$15</f>
        <v>3.927425290278462E-2</v>
      </c>
      <c r="CB127" s="239"/>
      <c r="CC127" s="825">
        <f>CC126-CC129</f>
        <v>3.4725000207392977E-2</v>
      </c>
      <c r="CD127" s="825">
        <f>CD126-CD129</f>
        <v>2.4701182088308293E-2</v>
      </c>
      <c r="CE127" s="825">
        <f>CE126-CE129</f>
        <v>2.7586007045968107E-2</v>
      </c>
      <c r="CF127" s="825">
        <f>CF126-CF129</f>
        <v>3.4870933450909983E-2</v>
      </c>
      <c r="CG127" s="814">
        <f>+SUMPRODUCT(CC127:CF127,BW$15:BZ$15)/CA$15</f>
        <v>3.0430284767693008E-2</v>
      </c>
      <c r="CW127" s="239"/>
    </row>
    <row r="128" spans="1:256" x14ac:dyDescent="0.2">
      <c r="B128" s="1236" t="s">
        <v>363</v>
      </c>
      <c r="C128" s="825"/>
      <c r="D128" s="825"/>
      <c r="E128" s="825"/>
      <c r="F128" s="825"/>
      <c r="G128" s="814"/>
      <c r="H128" s="239"/>
      <c r="I128" s="825"/>
      <c r="J128" s="825"/>
      <c r="K128" s="825"/>
      <c r="L128" s="825"/>
      <c r="M128" s="814"/>
      <c r="N128" s="239"/>
      <c r="O128" s="825">
        <f>O126-O129-O130</f>
        <v>-3.9235724892046034E-2</v>
      </c>
      <c r="P128" s="825">
        <f>P126-P129-P130</f>
        <v>-1.3963180684328683E-2</v>
      </c>
      <c r="Q128" s="825">
        <f>Q126-Q129-Q130</f>
        <v>1.2161377426378659E-2</v>
      </c>
      <c r="R128" s="825">
        <f>R126-R129-R130</f>
        <v>3.0762573600200349E-2</v>
      </c>
      <c r="S128" s="814">
        <f>S126-S129-S130</f>
        <v>-2.8756208531197092E-3</v>
      </c>
      <c r="T128" s="239"/>
      <c r="U128" s="825">
        <f>U126-U129-U130</f>
        <v>4.7630410390945191E-2</v>
      </c>
      <c r="V128" s="825">
        <f>V126-V129-V130</f>
        <v>3.4982658139565123E-2</v>
      </c>
      <c r="W128" s="825">
        <f>W126-W129-W130</f>
        <v>2.9157174863524201E-2</v>
      </c>
      <c r="X128" s="825">
        <f>X126-X129-X130</f>
        <v>5.3543506921771997E-2</v>
      </c>
      <c r="Y128" s="814">
        <f>Y126-Y129-Y130</f>
        <v>4.1345615072111895E-2</v>
      </c>
      <c r="Z128" s="239"/>
      <c r="AA128" s="825">
        <f>AA126-AA129-AA130</f>
        <v>6.6448078714758982E-2</v>
      </c>
      <c r="AB128" s="825">
        <f>AB126-AB129-AB130</f>
        <v>8.7405100199801078E-2</v>
      </c>
      <c r="AC128" s="825">
        <f>AC126-AC129-AC130</f>
        <v>6.0152514230448387E-2</v>
      </c>
      <c r="AD128" s="825">
        <f>AD126-AD129-AD130</f>
        <v>6.0433268279009023E-2</v>
      </c>
      <c r="AE128" s="814">
        <f>AE126-AE129-AE130</f>
        <v>6.8674675119964834E-2</v>
      </c>
      <c r="AF128" s="239"/>
      <c r="AG128" s="825">
        <f>AG126-AG129-AG130</f>
        <v>6.4399963949729161E-2</v>
      </c>
      <c r="AH128" s="825">
        <f>AH126-AH129-AH130</f>
        <v>4.8868054696813074E-2</v>
      </c>
      <c r="AI128" s="825">
        <f>AI126-AI129-AI130</f>
        <v>8.5279721576184492E-2</v>
      </c>
      <c r="AJ128" s="825">
        <f>AJ126-AJ129-AJ130</f>
        <v>4.9065275088790009E-2</v>
      </c>
      <c r="AK128" s="814">
        <f>AK126-AK129-AK130</f>
        <v>6.1356259751869369E-2</v>
      </c>
      <c r="AL128" s="239"/>
      <c r="AM128" s="825">
        <f>AM126-AM129-AM130</f>
        <v>4.9799017592416166E-2</v>
      </c>
      <c r="AN128" s="825">
        <f>AN126-AN129-AN130</f>
        <v>6.449189643238025E-2</v>
      </c>
      <c r="AO128" s="825">
        <f>AO126-AO129-AO130</f>
        <v>4.2385168655895457E-2</v>
      </c>
      <c r="AP128" s="825">
        <f>AP126-AP129-AP130</f>
        <v>3.3997842064112591E-2</v>
      </c>
      <c r="AQ128" s="814">
        <f>AQ126-AQ129-AQ130</f>
        <v>4.760267059594022E-2</v>
      </c>
      <c r="AR128" s="239"/>
      <c r="AS128" s="825">
        <f>AS126-AS129-AS130</f>
        <v>3.7041166690603471E-2</v>
      </c>
      <c r="AT128" s="825">
        <f>AT126-AT129-AT130</f>
        <v>2.4842277820426709E-2</v>
      </c>
      <c r="AU128" s="825">
        <f>AU126-AU129-AU130</f>
        <v>3.2001299538305265E-2</v>
      </c>
      <c r="AV128" s="825">
        <f>AV126-AV129-AV130</f>
        <v>3.4068597718281898E-2</v>
      </c>
      <c r="AW128" s="814">
        <f>AW126-AW129-AW130</f>
        <v>3.1819946356589413E-2</v>
      </c>
      <c r="AX128" s="239"/>
      <c r="AY128" s="825">
        <f>AY126-AY129-AY130</f>
        <v>3.0097883981800258E-2</v>
      </c>
      <c r="AZ128" s="825">
        <f>AZ126-AZ129-AZ130</f>
        <v>7.194431578947369E-2</v>
      </c>
      <c r="BA128" s="825">
        <f>BA126-BA129-BA130</f>
        <v>6.3931194585336928E-2</v>
      </c>
      <c r="BB128" s="825">
        <f>BB126-BB129-BB130</f>
        <v>3.9587567256870099E-2</v>
      </c>
      <c r="BC128" s="814">
        <f>BC126-BC129-BC130</f>
        <v>5.1716707656562722E-2</v>
      </c>
      <c r="BD128" s="239"/>
      <c r="BE128" s="825">
        <f>BE126-BE129-BE130</f>
        <v>7.8462260697423541E-2</v>
      </c>
      <c r="BF128" s="825">
        <f>BF126-BF129-BF130</f>
        <v>3.7303234363840476E-2</v>
      </c>
      <c r="BG128" s="825">
        <f>BG126-BG129-BG130</f>
        <v>-7.1427653421869903E-3</v>
      </c>
      <c r="BH128" s="825">
        <f>BH126-BH129-BH130</f>
        <v>1.7730518112889646E-2</v>
      </c>
      <c r="BI128" s="814">
        <f>BI126-BI129-BI130</f>
        <v>3.1063721670695908E-2</v>
      </c>
      <c r="BJ128" s="239"/>
      <c r="BK128" s="825">
        <f>BK126-BK129-BK130</f>
        <v>0.17224329478998276</v>
      </c>
      <c r="BL128" s="825">
        <f>BL126-BL129-BL130</f>
        <v>-3.636674560896392E-2</v>
      </c>
      <c r="BM128" s="825">
        <f>BM126-BM129-BM130</f>
        <v>2.3694302721088439E-2</v>
      </c>
      <c r="BN128" s="825">
        <f>BN126-BN129-BN130</f>
        <v>4.9854579540730595E-2</v>
      </c>
      <c r="BO128" s="814">
        <f>BO126-BO129-BO130</f>
        <v>5.0480449781997172E-2</v>
      </c>
      <c r="BP128" s="239"/>
      <c r="BQ128" s="825">
        <f>BQ126-BQ129-BQ130</f>
        <v>3.3705865339125986E-2</v>
      </c>
      <c r="BR128" s="825">
        <f>BR126-BR129-BR130</f>
        <v>2.7110208227526661E-2</v>
      </c>
      <c r="BS128" s="825">
        <f>BS126-BS129-BS130</f>
        <v>4.6514788169464423E-2</v>
      </c>
      <c r="BT128" s="825">
        <f>BT126-BT129-BT130</f>
        <v>0.04</v>
      </c>
      <c r="BU128" s="814">
        <f>BU126-BU129-BU130</f>
        <v>3.7027427177523914E-2</v>
      </c>
      <c r="BV128" s="239"/>
      <c r="BW128" s="825">
        <f>BW126-BW129-BW130</f>
        <v>3.4184657306779359E-2</v>
      </c>
      <c r="BX128" s="825">
        <f>BX126-BX129-BX130</f>
        <v>4.6528612937991029E-2</v>
      </c>
      <c r="BY128" s="825">
        <f>BY126-BY129-BY130</f>
        <v>4.2025032343697033E-2</v>
      </c>
      <c r="BZ128" s="825">
        <f>BZ126-BZ129-BZ130</f>
        <v>3.4261624315451197E-2</v>
      </c>
      <c r="CA128" s="814">
        <f>CA126-CA129-CA130</f>
        <v>3.9277075964291641E-2</v>
      </c>
      <c r="CB128" s="239"/>
      <c r="CC128" s="825">
        <f>CC126-CC129-CC130</f>
        <v>3.4725000207392977E-2</v>
      </c>
      <c r="CD128" s="825">
        <f>CD126-CD129-CD130</f>
        <v>2.4701182088308293E-2</v>
      </c>
      <c r="CE128" s="825">
        <f>CE126-CE129-CE130</f>
        <v>2.7586007045968107E-2</v>
      </c>
      <c r="CF128" s="825">
        <f>CF126-CF129-CF130</f>
        <v>3.4870933450909983E-2</v>
      </c>
      <c r="CG128" s="814">
        <f>CG126-CG129-CG130</f>
        <v>3.0427750657165121E-2</v>
      </c>
      <c r="CW128" s="239"/>
    </row>
    <row r="129" spans="1:132" s="25" customFormat="1" x14ac:dyDescent="0.2">
      <c r="B129" s="1204" t="s">
        <v>342</v>
      </c>
      <c r="C129" s="409"/>
      <c r="D129" s="409"/>
      <c r="E129" s="409"/>
      <c r="F129" s="409"/>
      <c r="G129" s="1205"/>
      <c r="H129" s="1206"/>
      <c r="I129" s="1207">
        <f>+RevBuild!I131</f>
        <v>0.1332128708424882</v>
      </c>
      <c r="J129" s="1207">
        <f>+RevBuild!J131</f>
        <v>0.13618964516250937</v>
      </c>
      <c r="K129" s="1207">
        <f>+RevBuild!K131</f>
        <v>5.6249716697979943E-2</v>
      </c>
      <c r="L129" s="1207">
        <f>+RevBuild!L131</f>
        <v>-2.5145409849084071E-2</v>
      </c>
      <c r="M129" s="1205">
        <f>+SUMPRODUCT(I129:L129,C$15:F$15)/G$15</f>
        <v>7.1351170649483875E-2</v>
      </c>
      <c r="N129" s="1206"/>
      <c r="O129" s="1207">
        <f>+RevBuild!O131</f>
        <v>-8.2523028268931195E-3</v>
      </c>
      <c r="P129" s="1207">
        <f>+RevBuild!P131</f>
        <v>-2.9741318368974295E-3</v>
      </c>
      <c r="Q129" s="1207">
        <f>+RevBuild!Q131</f>
        <v>3.8140760438006301E-2</v>
      </c>
      <c r="R129" s="1207">
        <f>+RevBuild!R131</f>
        <v>0.14340286885825082</v>
      </c>
      <c r="S129" s="1205">
        <f>+SUMPRODUCT(O129:R129,I$15:L$15)/M$15</f>
        <v>4.0002346702017882E-2</v>
      </c>
      <c r="T129" s="1206"/>
      <c r="U129" s="1207">
        <f>+RevBuild!U131</f>
        <v>4.5271168277720188E-2</v>
      </c>
      <c r="V129" s="1207">
        <f>+RevBuild!V131</f>
        <v>-1.8570820756678205E-2</v>
      </c>
      <c r="W129" s="1207">
        <f>+RevBuild!W131</f>
        <v>-3.318457233465498E-2</v>
      </c>
      <c r="X129" s="1207">
        <f>+RevBuild!X131</f>
        <v>-2.8568502266338919E-2</v>
      </c>
      <c r="Y129" s="1205">
        <f>+SUMPRODUCT(U129:X129,O$15:R$15)/S$15</f>
        <v>-1.0129895793958595E-2</v>
      </c>
      <c r="Z129" s="1206"/>
      <c r="AA129" s="1207">
        <f>+RevBuild!AA131</f>
        <v>1.8994576928533208E-2</v>
      </c>
      <c r="AB129" s="1207">
        <f>+RevBuild!AB131</f>
        <v>4.786216575657283E-2</v>
      </c>
      <c r="AC129" s="1207">
        <f>+RevBuild!AC131</f>
        <v>0.13835919042528827</v>
      </c>
      <c r="AD129" s="1207">
        <f>+RevBuild!AD131</f>
        <v>0.3521040599208145</v>
      </c>
      <c r="AE129" s="1205">
        <f>+SUMPRODUCT(AA129:AD129,U$15:X$15)/Y$15</f>
        <v>0.14377120383270459</v>
      </c>
      <c r="AF129" s="1206"/>
      <c r="AG129" s="1207">
        <f>+RevBuild!AG131</f>
        <v>0.31576623387685721</v>
      </c>
      <c r="AH129" s="1207">
        <f>+RevBuild!AH131</f>
        <v>0.29706871453128531</v>
      </c>
      <c r="AI129" s="1207">
        <f>+RevBuild!AI131</f>
        <v>0.18402515141518627</v>
      </c>
      <c r="AJ129" s="1207">
        <f>+RevBuild!AJ131</f>
        <v>1.2231321912769676E-2</v>
      </c>
      <c r="AK129" s="1205">
        <f>+SUMPRODUCT(AG129:AJ129,AA$15:AD$15)/AE$15</f>
        <v>0.19233588499874166</v>
      </c>
      <c r="AL129" s="1206"/>
      <c r="AM129" s="1207">
        <f>+RevBuild!AM131</f>
        <v>-4.8723006534561603E-4</v>
      </c>
      <c r="AN129" s="1207">
        <f>+RevBuild!AN131</f>
        <v>-1.2450708891350706E-2</v>
      </c>
      <c r="AO129" s="1207">
        <f>+RevBuild!AO131</f>
        <v>1.8778576921340211E-2</v>
      </c>
      <c r="AP129" s="1207">
        <f>+RevBuild!AP131</f>
        <v>6.4449664047656341E-3</v>
      </c>
      <c r="AQ129" s="1205">
        <f>+SUMPRODUCT(AM129:AP129,AG$15:AJ$15)/AK$15</f>
        <v>2.8926915849701983E-3</v>
      </c>
      <c r="AR129" s="1206"/>
      <c r="AS129" s="1207">
        <f>+RevBuild!AS131</f>
        <v>-6.0183133765920153E-3</v>
      </c>
      <c r="AT129" s="1207">
        <f>+RevBuild!AT131</f>
        <v>-2.5609331040482332E-3</v>
      </c>
      <c r="AU129" s="1207">
        <f>+RevBuild!AU131</f>
        <v>-4.103373093001704E-3</v>
      </c>
      <c r="AV129" s="1207">
        <f>+RevBuild!AV131</f>
        <v>-6.857606532224976E-2</v>
      </c>
      <c r="AW129" s="1205">
        <f>+SUMPRODUCT(AS129:AV129,AM$15:AP$15)/AQ$15</f>
        <v>-2.0813303176467002E-2</v>
      </c>
      <c r="AX129" s="1206"/>
      <c r="AY129" s="1207">
        <f>+RevBuild!AY131</f>
        <v>-0.10021314752612877</v>
      </c>
      <c r="AZ129" s="1207">
        <f>+RevBuild!AZ131</f>
        <v>-0.11489321746334671</v>
      </c>
      <c r="BA129" s="1207">
        <f>+RevBuild!BA131</f>
        <v>-0.1017901664383984</v>
      </c>
      <c r="BB129" s="1207">
        <f>+RevBuild!BB131</f>
        <v>-7.9661083245283204E-2</v>
      </c>
      <c r="BC129" s="1205">
        <f>+SUMPRODUCT(AY129:BB129,AS$15:AV$15)/AW$15</f>
        <v>-9.9330867022597719E-2</v>
      </c>
      <c r="BD129" s="1206"/>
      <c r="BE129" s="1207">
        <f>+RevBuild!BE131</f>
        <v>-2.5999999999999999E-2</v>
      </c>
      <c r="BF129" s="1207">
        <f>+RevBuild!BF131</f>
        <v>-6.6062646668706843E-3</v>
      </c>
      <c r="BG129" s="1207">
        <f>+RevBuild!BG131</f>
        <v>3.3343686408910745E-3</v>
      </c>
      <c r="BH129" s="1207">
        <f>+RevBuild!BH131</f>
        <v>-6.7443133951138393E-3</v>
      </c>
      <c r="BI129" s="1205">
        <f>+SUMPRODUCT(BE129:BH129,AY$15:BB$15)/BC$15</f>
        <v>-8.7823302172722814E-3</v>
      </c>
      <c r="BJ129" s="1206"/>
      <c r="BK129" s="1207">
        <f>+RevBuild!BK131</f>
        <v>-1.2731702035513277E-2</v>
      </c>
      <c r="BL129" s="1207">
        <f>+RevBuild!BL131</f>
        <v>-1.1644340653880534E-2</v>
      </c>
      <c r="BM129" s="1207">
        <f>+RevBuild!BM131</f>
        <v>2.0918048469387683E-2</v>
      </c>
      <c r="BN129" s="1207">
        <f>+RevBuild!BN131</f>
        <v>4.5500660501981725E-2</v>
      </c>
      <c r="BO129" s="1205">
        <f>+SUMPRODUCT(BK129:BN129,BE$15:BH$15)/BI$15</f>
        <v>1.0596852572535991E-2</v>
      </c>
      <c r="BP129" s="1206"/>
      <c r="BQ129" s="1207">
        <f>+RevBuild!BQ69</f>
        <v>5.8319676731395272E-2</v>
      </c>
      <c r="BR129" s="1207">
        <f>+RevBuild!BR69</f>
        <v>3.9790756729304183E-2</v>
      </c>
      <c r="BS129" s="1207">
        <f>+RevBuild!BS69</f>
        <v>2.5479616306954493E-2</v>
      </c>
      <c r="BT129" s="1207">
        <f>+RevBuild!BT69</f>
        <v>2.6516146941796971E-2</v>
      </c>
      <c r="BU129" s="1205">
        <f>+SUMPRODUCT(BQ129:BT129,BK$15:BN$15)/BO$15</f>
        <v>3.6732111737323922E-2</v>
      </c>
      <c r="BV129" s="1206"/>
      <c r="BW129" s="1207">
        <f>+RevBuild!BW69</f>
        <v>8.3266726846886741E-17</v>
      </c>
      <c r="BX129" s="1207">
        <f>+RevBuild!BX69</f>
        <v>1.2490009027033011E-16</v>
      </c>
      <c r="BY129" s="1207">
        <f>+RevBuild!BY69</f>
        <v>0</v>
      </c>
      <c r="BZ129" s="1207">
        <f>+RevBuild!BZ69</f>
        <v>2.3592239273284576E-16</v>
      </c>
      <c r="CA129" s="1205">
        <f>+SUMPRODUCT(BW129:BZ129,BQ$15:BT$15)/BU$15</f>
        <v>1.1417518277113541E-16</v>
      </c>
      <c r="CB129" s="1206"/>
      <c r="CC129" s="1207">
        <f>+RevBuild!CC69</f>
        <v>-9.0205620750793969E-17</v>
      </c>
      <c r="CD129" s="1207">
        <f>+RevBuild!CD69</f>
        <v>0</v>
      </c>
      <c r="CE129" s="1207">
        <f>+RevBuild!CE69</f>
        <v>3.4694469519536142E-17</v>
      </c>
      <c r="CF129" s="1207">
        <f>+RevBuild!CF69</f>
        <v>-1.2490009027033011E-16</v>
      </c>
      <c r="CG129" s="1205">
        <f>+SUMPRODUCT(CC129:CF129,BW$15:BZ$15)/CA$15</f>
        <v>-4.5169151555844172E-17</v>
      </c>
      <c r="CW129" s="480"/>
    </row>
    <row r="130" spans="1:132" x14ac:dyDescent="0.2">
      <c r="B130" s="1204" t="s">
        <v>2</v>
      </c>
      <c r="C130" s="409"/>
      <c r="D130" s="409"/>
      <c r="E130" s="409"/>
      <c r="F130" s="409"/>
      <c r="G130" s="1205"/>
      <c r="H130" s="239"/>
      <c r="I130" s="1207">
        <f>+RevBuild!I132</f>
        <v>-2.4833975750812226E-2</v>
      </c>
      <c r="J130" s="1207">
        <f>+RevBuild!J132</f>
        <v>-2.4350559126676219E-2</v>
      </c>
      <c r="K130" s="1207">
        <f>+RevBuild!K132</f>
        <v>-8.339490707121977E-3</v>
      </c>
      <c r="L130" s="1207">
        <f>+RevBuild!L132</f>
        <v>-9.0018802282266636E-3</v>
      </c>
      <c r="M130" s="1205">
        <f>+SUMPRODUCT(I130:L130,C$15:F$15)/G$15</f>
        <v>-1.6281978000362563E-2</v>
      </c>
      <c r="N130" s="1206"/>
      <c r="O130" s="1207">
        <f>+RevBuild!O132</f>
        <v>-3.3066551555942916E-2</v>
      </c>
      <c r="P130" s="1207">
        <f>+RevBuild!P132</f>
        <v>-3.3945079543622123E-2</v>
      </c>
      <c r="Q130" s="1207">
        <f>+RevBuild!Q132</f>
        <v>-3.0417048765068882E-2</v>
      </c>
      <c r="R130" s="1207">
        <f>+RevBuild!R132</f>
        <v>-3.8784232591296652E-2</v>
      </c>
      <c r="S130" s="1205">
        <f>+SUMPRODUCT(O130:R130,I$15:L$15)/M$15</f>
        <v>-3.4000588247571434E-2</v>
      </c>
      <c r="T130" s="1206"/>
      <c r="U130" s="1207">
        <f>+RevBuild!U132</f>
        <v>-2.2552057924710108E-3</v>
      </c>
      <c r="V130" s="1207">
        <f>+RevBuild!V132</f>
        <v>-2.5541535276446979E-3</v>
      </c>
      <c r="W130" s="1207">
        <f>+RevBuild!W132</f>
        <v>-2.9287264546215101E-3</v>
      </c>
      <c r="X130" s="1207">
        <f>+RevBuild!X132</f>
        <v>4.7012078119251077E-3</v>
      </c>
      <c r="Y130" s="1205">
        <f>+SUMPRODUCT(U130:X130,O$15:R$15)/S$15</f>
        <v>-6.2349464066784597E-4</v>
      </c>
      <c r="Z130" s="1206"/>
      <c r="AA130" s="1207">
        <f>+RevBuild!AA132</f>
        <v>-6.7366223866483612E-3</v>
      </c>
      <c r="AB130" s="1207">
        <f>+RevBuild!AB132</f>
        <v>1.7188633875177592E-2</v>
      </c>
      <c r="AC130" s="1207">
        <f>+RevBuild!AC132</f>
        <v>-4.3024399470759214E-2</v>
      </c>
      <c r="AD130" s="1207">
        <f>+RevBuild!AD132</f>
        <v>-0.17502954349790306</v>
      </c>
      <c r="AE130" s="1205">
        <f>+SUMPRODUCT(AA130:AD130,U$15:X$15)/Y$15</f>
        <v>-5.4440653039622755E-2</v>
      </c>
      <c r="AF130" s="1206"/>
      <c r="AG130" s="1207">
        <f>+RevBuild!AG132</f>
        <v>-0.17019157053030268</v>
      </c>
      <c r="AH130" s="1207">
        <f>+RevBuild!AH132</f>
        <v>-0.18294071147443683</v>
      </c>
      <c r="AI130" s="1207">
        <f>+RevBuild!AI132</f>
        <v>-0.1262644460782614</v>
      </c>
      <c r="AJ130" s="1207">
        <f>+RevBuild!AJ132</f>
        <v>-1.8599389132477533E-2</v>
      </c>
      <c r="AK130" s="1205">
        <f>+SUMPRODUCT(AG130:AJ130,AA$15:AD$15)/AE$15</f>
        <v>-0.11925627340377137</v>
      </c>
      <c r="AL130" s="1206"/>
      <c r="AM130" s="1207">
        <f>+RevBuild!AM132</f>
        <v>-1.9730457709041791E-3</v>
      </c>
      <c r="AN130" s="1207">
        <f>+RevBuild!AN132</f>
        <v>1.0294602321031132E-2</v>
      </c>
      <c r="AO130" s="1207">
        <f>+RevBuild!AO132</f>
        <v>-1.302417705524169E-3</v>
      </c>
      <c r="AP130" s="1207">
        <f>+RevBuild!AP132</f>
        <v>-3.0221089339981947E-3</v>
      </c>
      <c r="AQ130" s="1205">
        <f>+SUMPRODUCT(AM130:AP130,AG$15:AJ$15)/AK$15</f>
        <v>1.05739583433997E-3</v>
      </c>
      <c r="AR130" s="1206"/>
      <c r="AS130" s="1207">
        <f>+RevBuild!AS132</f>
        <v>2.6398906293519835E-3</v>
      </c>
      <c r="AT130" s="1207">
        <f>+RevBuild!AT132</f>
        <v>8.7649514187291954E-3</v>
      </c>
      <c r="AU130" s="1207">
        <f>+RevBuild!AU132</f>
        <v>-2.7129960817328376E-3</v>
      </c>
      <c r="AV130" s="1207">
        <f>+RevBuild!AV132</f>
        <v>6.8760192500700052E-3</v>
      </c>
      <c r="AW130" s="1205">
        <f>+SUMPRODUCT(AS130:AV130,AM$15:AP$15)/AQ$15</f>
        <v>4.0113898455486517E-3</v>
      </c>
      <c r="AX130" s="1206"/>
      <c r="AY130" s="1207">
        <f>+RevBuild!AY132</f>
        <v>-1.4551468586629701E-2</v>
      </c>
      <c r="AZ130" s="1207">
        <f>+RevBuild!AZ132</f>
        <v>-4.4910462720665068E-3</v>
      </c>
      <c r="BA130" s="1207">
        <f>+RevBuild!BA132</f>
        <v>-3.1112727080279123E-4</v>
      </c>
      <c r="BB130" s="1207">
        <f>+RevBuild!BB132</f>
        <v>5.8454077521794268E-3</v>
      </c>
      <c r="BC130" s="1205">
        <f>+SUMPRODUCT(AY130:BB130,AS$15:AV$15)/AW$15</f>
        <v>-3.4019601827706934E-3</v>
      </c>
      <c r="BD130" s="239"/>
      <c r="BE130" s="1207">
        <f>+RevBuild!BE132</f>
        <v>-1.2723433724553979E-2</v>
      </c>
      <c r="BF130" s="1207">
        <f>+RevBuild!BF132</f>
        <v>-3.9650035710642306E-3</v>
      </c>
      <c r="BG130" s="1207">
        <f>+RevBuild!BG132</f>
        <v>1.1412552211631136E-2</v>
      </c>
      <c r="BH130" s="1207">
        <f>+RevBuild!BH132</f>
        <v>2.5344882055602345E-2</v>
      </c>
      <c r="BI130" s="1205">
        <f>+SUMPRODUCT(BE130:BH130,AY$15:BB$15)/BC$15</f>
        <v>5.199483883090261E-3</v>
      </c>
      <c r="BJ130" s="239"/>
      <c r="BK130" s="1207">
        <f>+RevBuild!BK132</f>
        <v>-0.19491652995672162</v>
      </c>
      <c r="BL130" s="1207">
        <f>+RevBuild!BL132</f>
        <v>2.6347566437742612E-2</v>
      </c>
      <c r="BM130" s="1207">
        <f>+RevBuild!BM132</f>
        <v>1.9163159013605442E-2</v>
      </c>
      <c r="BN130" s="1207">
        <f>+RevBuild!BN132</f>
        <v>2.8055159780175048E-3</v>
      </c>
      <c r="BO130" s="1205">
        <f>+SUMPRODUCT(BK130:BN130,BE$15:BH$15)/BI$15</f>
        <v>-3.4590843913109438E-2</v>
      </c>
      <c r="BP130" s="239"/>
      <c r="BQ130" s="1207">
        <f>+RevBuild!BQ132</f>
        <v>-3.7507638826610554E-2</v>
      </c>
      <c r="BR130" s="1207">
        <f>+RevBuild!BR70</f>
        <v>0</v>
      </c>
      <c r="BS130" s="1207">
        <f>+RevBuild!BS70</f>
        <v>0</v>
      </c>
      <c r="BT130" s="1207">
        <f>+RevBuild!BT70</f>
        <v>0</v>
      </c>
      <c r="BU130" s="1205">
        <f>+SUMPRODUCT(BQ130:BT130,BK$15:BN$15)/BO$15</f>
        <v>-8.4634738133793769E-3</v>
      </c>
      <c r="BV130" s="239"/>
      <c r="BW130" s="1207">
        <f>+RevBuild!BW132</f>
        <v>0</v>
      </c>
      <c r="BX130" s="1207">
        <f>+RevBuild!BX70</f>
        <v>0</v>
      </c>
      <c r="BY130" s="1207">
        <f>+RevBuild!BY70</f>
        <v>0</v>
      </c>
      <c r="BZ130" s="1207">
        <f>+RevBuild!BZ70</f>
        <v>0</v>
      </c>
      <c r="CA130" s="1205">
        <f>+SUMPRODUCT(BW130:BZ130,BQ$15:BT$15)/BU$15</f>
        <v>0</v>
      </c>
      <c r="CB130" s="239"/>
      <c r="CC130" s="1207">
        <f>+RevBuild!CC132</f>
        <v>0</v>
      </c>
      <c r="CD130" s="1207">
        <f>+RevBuild!CD70</f>
        <v>0</v>
      </c>
      <c r="CE130" s="1207">
        <f>+RevBuild!CE70</f>
        <v>0</v>
      </c>
      <c r="CF130" s="1207">
        <f>+RevBuild!CF70</f>
        <v>0</v>
      </c>
      <c r="CG130" s="1205">
        <f>+SUMPRODUCT(CC130:CF130,BW$15:BZ$15)/CA$15</f>
        <v>0</v>
      </c>
      <c r="CW130" s="239"/>
    </row>
    <row r="131" spans="1:132" x14ac:dyDescent="0.2">
      <c r="B131" s="674" t="s">
        <v>178</v>
      </c>
      <c r="C131" s="397"/>
      <c r="D131" s="397"/>
      <c r="E131" s="397"/>
      <c r="F131" s="397"/>
      <c r="G131" s="85"/>
      <c r="H131" s="239"/>
      <c r="I131" s="397">
        <f t="shared" ref="I131:M132" si="39">I26/C26-1</f>
        <v>0.23518765517528539</v>
      </c>
      <c r="J131" s="397">
        <f t="shared" si="39"/>
        <v>0.16437485403343355</v>
      </c>
      <c r="K131" s="397">
        <f t="shared" si="39"/>
        <v>4.8201406321733309E-2</v>
      </c>
      <c r="L131" s="397">
        <f t="shared" si="39"/>
        <v>-0.11491550445867638</v>
      </c>
      <c r="M131" s="85">
        <f t="shared" si="39"/>
        <v>7.3681479089749979E-2</v>
      </c>
      <c r="N131" s="239"/>
      <c r="O131" s="397">
        <f t="shared" ref="O131:S132" si="40">O26/I26-1</f>
        <v>-0.13405450160057197</v>
      </c>
      <c r="P131" s="397">
        <f t="shared" si="40"/>
        <v>-4.730133114603885E-2</v>
      </c>
      <c r="Q131" s="397">
        <f t="shared" si="40"/>
        <v>3.0636054333173179E-2</v>
      </c>
      <c r="R131" s="397">
        <f t="shared" si="40"/>
        <v>0.18648756992386017</v>
      </c>
      <c r="S131" s="85">
        <f t="shared" si="40"/>
        <v>2.6364352515517719E-3</v>
      </c>
      <c r="T131" s="239"/>
      <c r="U131" s="397">
        <f t="shared" ref="U131:Y132" si="41">U26/O26-1</f>
        <v>0.10051541607661973</v>
      </c>
      <c r="V131" s="397">
        <f t="shared" si="41"/>
        <v>2.4804389045107733E-2</v>
      </c>
      <c r="W131" s="397">
        <f t="shared" si="41"/>
        <v>2.1817788314936859E-2</v>
      </c>
      <c r="X131" s="397">
        <f t="shared" si="41"/>
        <v>3.5139645707171763E-3</v>
      </c>
      <c r="Y131" s="85">
        <f t="shared" si="41"/>
        <v>3.5436883347705672E-2</v>
      </c>
      <c r="Z131" s="239"/>
      <c r="AA131" s="397">
        <f t="shared" ref="AA131:AE132" si="42">AA26/U26-1</f>
        <v>4.5982601575523807E-2</v>
      </c>
      <c r="AB131" s="397">
        <f t="shared" si="42"/>
        <v>0.13100072522900219</v>
      </c>
      <c r="AC131" s="397">
        <f t="shared" si="42"/>
        <v>0.15922835572401417</v>
      </c>
      <c r="AD131" s="397">
        <f t="shared" si="42"/>
        <v>0.23677224280652753</v>
      </c>
      <c r="AE131" s="85">
        <f t="shared" si="42"/>
        <v>0.14538559929748573</v>
      </c>
      <c r="AF131" s="239"/>
      <c r="AG131" s="397">
        <f t="shared" ref="AG131:AK132" si="43">AG26/AA26-1</f>
        <v>0.16886275903474024</v>
      </c>
      <c r="AH131" s="397">
        <f t="shared" si="43"/>
        <v>0.13697061037935665</v>
      </c>
      <c r="AI131" s="397">
        <f t="shared" si="43"/>
        <v>7.6909948856596522E-2</v>
      </c>
      <c r="AJ131" s="397">
        <f t="shared" si="43"/>
        <v>1.1275802201518248E-2</v>
      </c>
      <c r="AK131" s="85">
        <f t="shared" si="43"/>
        <v>9.3211468890753268E-2</v>
      </c>
      <c r="AL131" s="239"/>
      <c r="AM131" s="397">
        <f t="shared" ref="AM131:AQ132" si="44">AM26/AG26-1</f>
        <v>8.9730729295921963E-2</v>
      </c>
      <c r="AN131" s="397">
        <f t="shared" si="44"/>
        <v>2.6364760191224246E-2</v>
      </c>
      <c r="AO131" s="397">
        <f t="shared" si="44"/>
        <v>4.5495324954887506E-2</v>
      </c>
      <c r="AP131" s="397">
        <f t="shared" si="44"/>
        <v>2.0625573899893057E-2</v>
      </c>
      <c r="AQ131" s="85">
        <f t="shared" si="44"/>
        <v>4.4438783629557221E-2</v>
      </c>
      <c r="AR131" s="239"/>
      <c r="AS131" s="397">
        <f t="shared" ref="AS131:AW132" si="45">AS26/AM26-1</f>
        <v>1.5545604685525127E-3</v>
      </c>
      <c r="AT131" s="397">
        <f t="shared" si="45"/>
        <v>-6.0984021848592418E-3</v>
      </c>
      <c r="AU131" s="397">
        <f t="shared" si="45"/>
        <v>-2.4945592097769809E-2</v>
      </c>
      <c r="AV131" s="397">
        <f t="shared" si="45"/>
        <v>-6.5363525066860606E-2</v>
      </c>
      <c r="AW131" s="85">
        <f t="shared" si="45"/>
        <v>-2.4127558259447235E-2</v>
      </c>
      <c r="AX131" s="239"/>
      <c r="AY131" s="397">
        <f t="shared" ref="AY131:BC132" si="46">AY26/AS26-1</f>
        <v>-0.14917542478565082</v>
      </c>
      <c r="AZ131" s="397">
        <f t="shared" si="46"/>
        <v>-9.6995619675048772E-2</v>
      </c>
      <c r="BA131" s="397">
        <f t="shared" si="46"/>
        <v>-8.2987771410473532E-2</v>
      </c>
      <c r="BB131" s="397">
        <f t="shared" si="46"/>
        <v>-6.5892859699061446E-2</v>
      </c>
      <c r="BC131" s="85">
        <f t="shared" si="46"/>
        <v>-9.9047717618384379E-2</v>
      </c>
      <c r="BD131" s="239"/>
      <c r="BE131" s="397">
        <f t="shared" ref="BE131:BI132" si="47">BE26/AY26-1</f>
        <v>-8.0998338046738838E-2</v>
      </c>
      <c r="BF131" s="397">
        <f t="shared" si="47"/>
        <v>-1.2768661588460684E-2</v>
      </c>
      <c r="BG131" s="397">
        <f t="shared" si="47"/>
        <v>1.1156098558986471E-2</v>
      </c>
      <c r="BH131" s="397">
        <f t="shared" si="47"/>
        <v>9.4687600584251186E-3</v>
      </c>
      <c r="BI131" s="85">
        <f t="shared" si="47"/>
        <v>-1.7381251784953311E-2</v>
      </c>
      <c r="BJ131" s="239"/>
      <c r="BK131" s="397">
        <f t="shared" ref="BK131:BO132" si="48">BK26/BE26-1</f>
        <v>4.9234861735212743E-2</v>
      </c>
      <c r="BL131" s="397">
        <f t="shared" si="48"/>
        <v>-2.4015369836692946E-3</v>
      </c>
      <c r="BM131" s="397">
        <f t="shared" si="48"/>
        <v>1.7974253096914916E-2</v>
      </c>
      <c r="BN131" s="397">
        <f t="shared" si="48"/>
        <v>8.9903506707460945E-2</v>
      </c>
      <c r="BO131" s="85">
        <f t="shared" si="48"/>
        <v>3.863373790483271E-2</v>
      </c>
      <c r="BP131" s="239"/>
      <c r="BQ131" s="397">
        <f>BQ26/BK26-1</f>
        <v>8.4492172990183301E-2</v>
      </c>
      <c r="BR131" s="397">
        <f t="shared" ref="BR131:BT132" si="49">BR26/BL26-1</f>
        <v>7.1802792489166878E-2</v>
      </c>
      <c r="BS131" s="397">
        <f t="shared" si="49"/>
        <v>8.457609162491142E-2</v>
      </c>
      <c r="BT131" s="397">
        <f t="shared" si="49"/>
        <v>5.4656186568775578E-2</v>
      </c>
      <c r="BU131" s="85">
        <f>BU26/BO26-1</f>
        <v>7.3113825022394829E-2</v>
      </c>
      <c r="BV131" s="239"/>
      <c r="BW131" s="397">
        <f t="shared" ref="BW131:CA132" si="50">BW26/BQ26-1</f>
        <v>2.6573019272891463E-2</v>
      </c>
      <c r="BX131" s="397">
        <f t="shared" si="50"/>
        <v>3.8630694669648191E-2</v>
      </c>
      <c r="BY131" s="397">
        <f t="shared" si="50"/>
        <v>3.4219591317786513E-2</v>
      </c>
      <c r="BZ131" s="397">
        <f t="shared" si="50"/>
        <v>2.6572743774468277E-2</v>
      </c>
      <c r="CA131" s="85">
        <f t="shared" si="50"/>
        <v>3.1494740532612031E-2</v>
      </c>
      <c r="CB131" s="239"/>
      <c r="CC131" s="397">
        <f t="shared" ref="CC131:CG132" si="51">CC26/BW26-1</f>
        <v>2.7065786364766087E-2</v>
      </c>
      <c r="CD131" s="397">
        <f t="shared" si="51"/>
        <v>1.7114721266416E-2</v>
      </c>
      <c r="CE131" s="397">
        <f t="shared" si="51"/>
        <v>1.9964938512367247E-2</v>
      </c>
      <c r="CF131" s="397">
        <f t="shared" si="51"/>
        <v>2.7129249841374659E-2</v>
      </c>
      <c r="CG131" s="85">
        <f t="shared" si="51"/>
        <v>2.2799357103644224E-2</v>
      </c>
      <c r="CW131" s="239"/>
    </row>
    <row r="132" spans="1:132" x14ac:dyDescent="0.2">
      <c r="B132" s="674" t="s">
        <v>181</v>
      </c>
      <c r="C132" s="397"/>
      <c r="D132" s="397"/>
      <c r="E132" s="397"/>
      <c r="F132" s="397"/>
      <c r="G132" s="85"/>
      <c r="H132" s="239"/>
      <c r="I132" s="397">
        <f t="shared" si="39"/>
        <v>0.17670553481952411</v>
      </c>
      <c r="J132" s="397">
        <f t="shared" si="39"/>
        <v>0.18766246271427178</v>
      </c>
      <c r="K132" s="397">
        <f t="shared" si="39"/>
        <v>8.3684743536013073E-2</v>
      </c>
      <c r="L132" s="397">
        <f t="shared" si="39"/>
        <v>-3.2722320236846181E-2</v>
      </c>
      <c r="M132" s="85">
        <f t="shared" si="39"/>
        <v>9.9697287759962228E-2</v>
      </c>
      <c r="N132" s="239"/>
      <c r="O132" s="397">
        <f t="shared" si="40"/>
        <v>-7.7227938918965289E-2</v>
      </c>
      <c r="P132" s="397">
        <f t="shared" si="40"/>
        <v>-7.4668317838825882E-2</v>
      </c>
      <c r="Q132" s="397">
        <f t="shared" si="40"/>
        <v>-3.5674512177085171E-3</v>
      </c>
      <c r="R132" s="397">
        <f t="shared" si="40"/>
        <v>9.7586496713258697E-2</v>
      </c>
      <c r="S132" s="85">
        <f t="shared" si="40"/>
        <v>-1.6943488891083658E-2</v>
      </c>
      <c r="T132" s="239"/>
      <c r="U132" s="397">
        <f t="shared" si="41"/>
        <v>9.156205809631035E-2</v>
      </c>
      <c r="V132" s="397">
        <f t="shared" si="41"/>
        <v>1.4182443982322157E-2</v>
      </c>
      <c r="W132" s="397">
        <f t="shared" si="41"/>
        <v>-5.5786468788447952E-3</v>
      </c>
      <c r="X132" s="397">
        <f t="shared" si="41"/>
        <v>4.741465556901292E-2</v>
      </c>
      <c r="Y132" s="85">
        <f t="shared" si="41"/>
        <v>3.6296582239222053E-2</v>
      </c>
      <c r="Z132" s="239"/>
      <c r="AA132" s="397">
        <f t="shared" si="42"/>
        <v>8.508017050862593E-2</v>
      </c>
      <c r="AB132" s="397">
        <f t="shared" si="42"/>
        <v>0.15323243969561706</v>
      </c>
      <c r="AC132" s="397">
        <f t="shared" si="42"/>
        <v>0.15509521871947518</v>
      </c>
      <c r="AD132" s="397">
        <f t="shared" si="42"/>
        <v>0.24145732352308058</v>
      </c>
      <c r="AE132" s="85">
        <f t="shared" si="42"/>
        <v>0.16054580815994934</v>
      </c>
      <c r="AF132" s="239"/>
      <c r="AG132" s="397">
        <f t="shared" si="43"/>
        <v>0.24052630568256794</v>
      </c>
      <c r="AH132" s="397">
        <f t="shared" si="43"/>
        <v>0.2121326105186716</v>
      </c>
      <c r="AI132" s="397">
        <f t="shared" si="43"/>
        <v>0.16921991888118448</v>
      </c>
      <c r="AJ132" s="397">
        <f t="shared" si="43"/>
        <v>4.5933166619681387E-2</v>
      </c>
      <c r="AK132" s="85">
        <f t="shared" si="43"/>
        <v>0.16077505992096164</v>
      </c>
      <c r="AL132" s="239"/>
      <c r="AM132" s="397">
        <f t="shared" si="44"/>
        <v>2.5295717890673419E-2</v>
      </c>
      <c r="AN132" s="397">
        <f t="shared" si="44"/>
        <v>4.949531049774003E-2</v>
      </c>
      <c r="AO132" s="397">
        <f t="shared" si="44"/>
        <v>3.8786855647060747E-2</v>
      </c>
      <c r="AP132" s="397">
        <f t="shared" si="44"/>
        <v>3.0617425080319949E-2</v>
      </c>
      <c r="AQ132" s="85">
        <f t="shared" si="44"/>
        <v>3.6081829154487099E-2</v>
      </c>
      <c r="AR132" s="239"/>
      <c r="AS132" s="397">
        <f t="shared" si="45"/>
        <v>2.2958704497795468E-2</v>
      </c>
      <c r="AT132" s="397">
        <f t="shared" si="45"/>
        <v>4.0348958909450117E-2</v>
      </c>
      <c r="AU132" s="397">
        <f t="shared" si="45"/>
        <v>5.1830966188799898E-2</v>
      </c>
      <c r="AV132" s="397">
        <f t="shared" si="45"/>
        <v>-1.4737832400560147E-2</v>
      </c>
      <c r="AW132" s="85">
        <f t="shared" si="45"/>
        <v>2.4636359067511382E-2</v>
      </c>
      <c r="AX132" s="239"/>
      <c r="AY132" s="397">
        <f t="shared" si="46"/>
        <v>-5.3973719787784424E-2</v>
      </c>
      <c r="AZ132" s="397">
        <f t="shared" si="46"/>
        <v>-2.4364261358971073E-2</v>
      </c>
      <c r="BA132" s="397">
        <f t="shared" si="46"/>
        <v>-1.3123857674663397E-2</v>
      </c>
      <c r="BB132" s="397">
        <f t="shared" si="46"/>
        <v>-1.2116075902813161E-2</v>
      </c>
      <c r="BC132" s="85">
        <f t="shared" si="46"/>
        <v>-2.5803722742528623E-2</v>
      </c>
      <c r="BD132" s="239"/>
      <c r="BE132" s="397">
        <f t="shared" si="47"/>
        <v>8.0787582318992524E-2</v>
      </c>
      <c r="BF132" s="397">
        <f t="shared" si="47"/>
        <v>4.1225440500806121E-2</v>
      </c>
      <c r="BG132" s="397">
        <f t="shared" si="47"/>
        <v>-3.7394861311667027E-3</v>
      </c>
      <c r="BH132" s="397">
        <f t="shared" si="47"/>
        <v>3.4690311688651443E-2</v>
      </c>
      <c r="BI132" s="85">
        <f t="shared" si="47"/>
        <v>3.7814288818883046E-2</v>
      </c>
      <c r="BJ132" s="239"/>
      <c r="BK132" s="397">
        <f t="shared" si="48"/>
        <v>-6.960815546352328E-2</v>
      </c>
      <c r="BL132" s="397">
        <f t="shared" si="48"/>
        <v>-4.4253632760898443E-2</v>
      </c>
      <c r="BM132" s="397">
        <f t="shared" si="48"/>
        <v>8.6381179930160146E-2</v>
      </c>
      <c r="BN132" s="397">
        <f t="shared" si="48"/>
        <v>9.5620310591519653E-2</v>
      </c>
      <c r="BO132" s="85">
        <f t="shared" si="48"/>
        <v>1.5614883801451596E-2</v>
      </c>
      <c r="BP132" s="239"/>
      <c r="BQ132" s="397">
        <f>BQ27/BK27-1</f>
        <v>3.185088554561033E-2</v>
      </c>
      <c r="BR132" s="397">
        <f t="shared" si="49"/>
        <v>6.2261782999309068E-2</v>
      </c>
      <c r="BS132" s="397">
        <f t="shared" si="49"/>
        <v>6.1928878362375039E-2</v>
      </c>
      <c r="BT132" s="397">
        <f t="shared" si="49"/>
        <v>7.4172193024366839E-2</v>
      </c>
      <c r="BU132" s="85">
        <f>BU27/BO27-1</f>
        <v>5.8522062938568098E-2</v>
      </c>
      <c r="BV132" s="239"/>
      <c r="BW132" s="397">
        <f t="shared" si="50"/>
        <v>3.9226452272681067E-2</v>
      </c>
      <c r="BX132" s="397">
        <f t="shared" si="50"/>
        <v>5.1513734792069776E-2</v>
      </c>
      <c r="BY132" s="397">
        <f t="shared" si="50"/>
        <v>4.7047916687642521E-2</v>
      </c>
      <c r="BZ132" s="397">
        <f t="shared" si="50"/>
        <v>3.9306218641430135E-2</v>
      </c>
      <c r="CA132" s="85">
        <f t="shared" si="50"/>
        <v>4.4317492945558312E-2</v>
      </c>
      <c r="CB132" s="239"/>
      <c r="CC132" s="397">
        <f t="shared" si="51"/>
        <v>3.9748116039328263E-2</v>
      </c>
      <c r="CD132" s="397">
        <f t="shared" si="51"/>
        <v>2.9756910856323593E-2</v>
      </c>
      <c r="CE132" s="397">
        <f t="shared" si="51"/>
        <v>3.2642554771501242E-2</v>
      </c>
      <c r="CF132" s="397">
        <f t="shared" si="51"/>
        <v>3.9895914641649988E-2</v>
      </c>
      <c r="CG132" s="85">
        <f t="shared" si="51"/>
        <v>3.5454242307296102E-2</v>
      </c>
      <c r="CW132" s="239"/>
    </row>
    <row r="133" spans="1:132" x14ac:dyDescent="0.2">
      <c r="B133" s="674" t="s">
        <v>179</v>
      </c>
      <c r="C133" s="397"/>
      <c r="D133" s="397"/>
      <c r="E133" s="397"/>
      <c r="F133" s="397"/>
      <c r="G133" s="85"/>
      <c r="H133" s="239"/>
      <c r="I133" s="397">
        <f>I40/C40-1</f>
        <v>0.12451831451229545</v>
      </c>
      <c r="J133" s="397">
        <f>J40/D40-1</f>
        <v>0.18878334456988899</v>
      </c>
      <c r="K133" s="397">
        <f>K40/E40-1</f>
        <v>9.6179158179259705E-2</v>
      </c>
      <c r="L133" s="397">
        <f>L40/F40-1</f>
        <v>1.4551371464959217E-3</v>
      </c>
      <c r="M133" s="85">
        <f>M40/G40-1</f>
        <v>0.10161590615803706</v>
      </c>
      <c r="N133" s="239"/>
      <c r="O133" s="397">
        <f>O40/I40-1</f>
        <v>-5.6030543975939984E-2</v>
      </c>
      <c r="P133" s="397">
        <f>P40/J40-1</f>
        <v>-0.10644622952138971</v>
      </c>
      <c r="Q133" s="397">
        <f>Q40/K40-1</f>
        <v>-2.9876147336442505E-2</v>
      </c>
      <c r="R133" s="397">
        <f>R40/L40-1</f>
        <v>3.3490239829232049E-2</v>
      </c>
      <c r="S133" s="85">
        <f>S40/M40-1</f>
        <v>-4.2040447686393034E-2</v>
      </c>
      <c r="T133" s="239"/>
      <c r="U133" s="397">
        <f>U40/O40-1</f>
        <v>7.363691870150979E-2</v>
      </c>
      <c r="V133" s="397">
        <f>V40/P40-1</f>
        <v>9.6901181173654205E-3</v>
      </c>
      <c r="W133" s="397">
        <f>W40/Q40-1</f>
        <v>2.7232541295559409E-2</v>
      </c>
      <c r="X133" s="397">
        <f>X40/R40-1</f>
        <v>4.8740755111238432E-2</v>
      </c>
      <c r="Y133" s="85">
        <f>Y40/S40-1</f>
        <v>3.9700466646186205E-2</v>
      </c>
      <c r="Z133" s="239"/>
      <c r="AA133" s="397">
        <f>AA40/U40-1</f>
        <v>9.5210838922131558E-2</v>
      </c>
      <c r="AB133" s="397">
        <f>AB40/V40-1</f>
        <v>0.1732604369016546</v>
      </c>
      <c r="AC133" s="397">
        <f>AC40/W40-1</f>
        <v>0.18677808523858674</v>
      </c>
      <c r="AD133" s="397">
        <f>AD40/X40-1</f>
        <v>0.38851040949258797</v>
      </c>
      <c r="AE133" s="85">
        <f>AE40/Y40-1</f>
        <v>0.21193081380637624</v>
      </c>
      <c r="AF133" s="239"/>
      <c r="AG133" s="397">
        <f>AG40/AA40-1</f>
        <v>0.30975061168545914</v>
      </c>
      <c r="AH133" s="397">
        <f>AH40/AB40-1</f>
        <v>0.26821549106337916</v>
      </c>
      <c r="AI133" s="397">
        <f>AI40/AC40-1</f>
        <v>0.16282560882880603</v>
      </c>
      <c r="AJ133" s="397">
        <f>AJ40/AD40-1</f>
        <v>3.1041181905434367E-2</v>
      </c>
      <c r="AK133" s="85">
        <f>AK40/AE40-1</f>
        <v>0.18265013284489484</v>
      </c>
      <c r="AL133" s="239"/>
      <c r="AM133" s="397">
        <f>AM40/AG40-1</f>
        <v>3.1417600598929951E-2</v>
      </c>
      <c r="AN133" s="397">
        <f>AN40/AH40-1</f>
        <v>1.8425333148774703E-2</v>
      </c>
      <c r="AO133" s="397">
        <f>AO40/AI40-1</f>
        <v>2.9825642365984173E-2</v>
      </c>
      <c r="AP133" s="397">
        <f>AP40/AJ40-1</f>
        <v>2.5485047137247641E-2</v>
      </c>
      <c r="AQ133" s="85">
        <f>AQ40/AK40-1</f>
        <v>2.6241018559193474E-2</v>
      </c>
      <c r="AR133" s="239"/>
      <c r="AS133" s="397">
        <f>AS40/AM40-1</f>
        <v>-9.9416672621631674E-3</v>
      </c>
      <c r="AT133" s="397">
        <f>AT40/AN40-1</f>
        <v>4.0953137132959005E-2</v>
      </c>
      <c r="AU133" s="397">
        <f>AU40/AO40-1</f>
        <v>2.8557057801582131E-2</v>
      </c>
      <c r="AV133" s="397">
        <f>AV40/AP40-1</f>
        <v>-1.8843865376717894E-2</v>
      </c>
      <c r="AW133" s="85">
        <f>AW40/AQ40-1</f>
        <v>9.7218544210302404E-3</v>
      </c>
      <c r="AX133" s="239"/>
      <c r="AY133" s="397">
        <f>AY40/AS40-1</f>
        <v>-6.6410657669082829E-2</v>
      </c>
      <c r="AZ133" s="397">
        <f>AZ40/AT40-1</f>
        <v>-8.4195343917682242E-2</v>
      </c>
      <c r="BA133" s="397">
        <f>BA40/AU40-1</f>
        <v>-6.7055819385397841E-2</v>
      </c>
      <c r="BB133" s="397">
        <f>BB40/AV40-1</f>
        <v>-5.0624036810028805E-2</v>
      </c>
      <c r="BC133" s="85">
        <f>BC40/AW40-1</f>
        <v>-6.7239907743932181E-2</v>
      </c>
      <c r="BD133" s="239"/>
      <c r="BE133" s="397">
        <f>BE40/AY40-1</f>
        <v>3.1352367225840672E-2</v>
      </c>
      <c r="BF133" s="397">
        <f>BF40/AZ40-1</f>
        <v>5.9621668029903097E-2</v>
      </c>
      <c r="BG133" s="397">
        <f>BG40/BA40-1</f>
        <v>3.1537044157591732E-2</v>
      </c>
      <c r="BH133" s="397">
        <f>BH40/BB40-1</f>
        <v>4.4380617755803708E-2</v>
      </c>
      <c r="BI133" s="85">
        <f>BI40/BC40-1</f>
        <v>4.186066593543325E-2</v>
      </c>
      <c r="BJ133" s="239"/>
      <c r="BK133" s="397">
        <f>BK40/BE40-1</f>
        <v>5.1656771842553573E-2</v>
      </c>
      <c r="BL133" s="397">
        <f>BL40/BF40-1</f>
        <v>2.813504823151125E-2</v>
      </c>
      <c r="BM133" s="397">
        <f>BM40/BG40-1</f>
        <v>8.9290841228825801E-2</v>
      </c>
      <c r="BN133" s="397">
        <f>BN40/BH40-1</f>
        <v>6.6266703026997664E-2</v>
      </c>
      <c r="BO133" s="85">
        <f>BO40/BI40-1</f>
        <v>5.8351973524172651E-2</v>
      </c>
      <c r="BP133" s="239"/>
      <c r="BQ133" s="397">
        <f>BQ40/BK40-1</f>
        <v>6.8408404029692615E-2</v>
      </c>
      <c r="BR133" s="397">
        <f>BR40/BL40-1</f>
        <v>0.10822746937711747</v>
      </c>
      <c r="BS133" s="397">
        <f>BS40/BM40-1</f>
        <v>7.4036742224565355E-2</v>
      </c>
      <c r="BT133" s="397">
        <f>BT40/BN40-1</f>
        <v>7.9017698209718601E-2</v>
      </c>
      <c r="BU133" s="85">
        <f>BU40/BO40-1</f>
        <v>8.2489381571213993E-2</v>
      </c>
      <c r="BV133" s="239"/>
      <c r="BW133" s="397">
        <f>BW40/BQ40-1</f>
        <v>-8.7102465200997514E-2</v>
      </c>
      <c r="BX133" s="397">
        <f>BX40/BR40-1</f>
        <v>-1.8298467302913513E-2</v>
      </c>
      <c r="BY133" s="397">
        <f>BY40/BS40-1</f>
        <v>3.7325983484140179E-2</v>
      </c>
      <c r="BZ133" s="397">
        <f>BZ40/BT40-1</f>
        <v>6.841245016069375E-2</v>
      </c>
      <c r="CA133" s="85">
        <f>CA40/BU40-1</f>
        <v>7.174580163167299E-4</v>
      </c>
      <c r="CB133" s="239"/>
      <c r="CC133" s="397">
        <f>CC40/BW40-1</f>
        <v>1.7101462348929619E-2</v>
      </c>
      <c r="CD133" s="397">
        <f>CD40/BX40-1</f>
        <v>7.756621399140462E-3</v>
      </c>
      <c r="CE133" s="397">
        <f>CE40/BY40-1</f>
        <v>1.0942470796063031E-2</v>
      </c>
      <c r="CF133" s="397">
        <f>CF40/BZ40-1</f>
        <v>1.9265077943440678E-2</v>
      </c>
      <c r="CG133" s="85">
        <f>CG40/CA40-1</f>
        <v>1.3768280826075951E-2</v>
      </c>
      <c r="CW133" s="239"/>
    </row>
    <row r="134" spans="1:132" x14ac:dyDescent="0.2">
      <c r="B134" s="674" t="s">
        <v>241</v>
      </c>
      <c r="C134" s="397"/>
      <c r="D134" s="397"/>
      <c r="E134" s="397"/>
      <c r="F134" s="397"/>
      <c r="G134" s="85"/>
      <c r="H134" s="239"/>
      <c r="I134" s="397">
        <f>I51/C51-1</f>
        <v>0.2858051276018343</v>
      </c>
      <c r="J134" s="397">
        <f>J51/D51-1</f>
        <v>0.18559315919449193</v>
      </c>
      <c r="K134" s="397">
        <f>K51/E51-1</f>
        <v>6.0585696533257627E-2</v>
      </c>
      <c r="L134" s="397">
        <f>L51/F51-1</f>
        <v>-8.8150311444212481E-2</v>
      </c>
      <c r="M134" s="85">
        <f>M51/G51-1</f>
        <v>9.6179580142134347E-2</v>
      </c>
      <c r="N134" s="239"/>
      <c r="O134" s="397">
        <f>O51/I51-1</f>
        <v>-0.11598339351589904</v>
      </c>
      <c r="P134" s="397">
        <f>P51/J51-1</f>
        <v>-1.5844021862970181E-2</v>
      </c>
      <c r="Q134" s="397">
        <f>Q51/K51-1</f>
        <v>4.6703053718564869E-2</v>
      </c>
      <c r="R134" s="397">
        <f>R51/L51-1</f>
        <v>0.21175079240002748</v>
      </c>
      <c r="S134" s="85">
        <f>S51/M51-1</f>
        <v>2.9298949066863367E-2</v>
      </c>
      <c r="T134" s="239"/>
      <c r="U134" s="397">
        <f>U51/O51-1</f>
        <v>0.12655741316136249</v>
      </c>
      <c r="V134" s="397">
        <f>V51/P51-1</f>
        <v>2.1732660270966875E-2</v>
      </c>
      <c r="W134" s="397">
        <f>W51/Q51-1</f>
        <v>-6.3687134463789485E-2</v>
      </c>
      <c r="X134" s="397">
        <f>X51/R51-1</f>
        <v>4.5400157637295768E-2</v>
      </c>
      <c r="Y134" s="85">
        <f>Y51/S51-1</f>
        <v>3.0459442755292221E-2</v>
      </c>
      <c r="Z134" s="239"/>
      <c r="AA134" s="397">
        <f>AA51/U51-1</f>
        <v>6.6231094289727954E-2</v>
      </c>
      <c r="AB134" s="397">
        <f>AB51/V51-1</f>
        <v>0.11996828488834921</v>
      </c>
      <c r="AC134" s="397">
        <f>AC51/W51-1</f>
        <v>9.3536459160149299E-2</v>
      </c>
      <c r="AD134" s="397">
        <f>AD51/X51-1</f>
        <v>1.7352900686651296E-2</v>
      </c>
      <c r="AE134" s="85">
        <f>AE51/Y51-1</f>
        <v>7.1638182535807893E-2</v>
      </c>
      <c r="AF134" s="239"/>
      <c r="AG134" s="397">
        <f>AG51/AA51-1</f>
        <v>0.10822718126813924</v>
      </c>
      <c r="AH134" s="397">
        <f>AH51/AB51-1</f>
        <v>0.11455324620086049</v>
      </c>
      <c r="AI134" s="397">
        <f>AI51/AC51-1</f>
        <v>0.18270319207322672</v>
      </c>
      <c r="AJ134" s="397">
        <f>AJ51/AD51-1</f>
        <v>7.6907814564979082E-2</v>
      </c>
      <c r="AK134" s="85">
        <f>AK51/AE51-1</f>
        <v>0.11797131556788742</v>
      </c>
      <c r="AL134" s="239"/>
      <c r="AM134" s="397">
        <f>AM51/AG51-1</f>
        <v>1.146823352512194E-2</v>
      </c>
      <c r="AN134" s="397">
        <f>AN51/AH51-1</f>
        <v>0.11100745128978318</v>
      </c>
      <c r="AO134" s="397">
        <f>AO51/AI51-1</f>
        <v>5.736521144008E-2</v>
      </c>
      <c r="AP134" s="397">
        <f>AP51/AJ51-1</f>
        <v>4.0837872560614663E-2</v>
      </c>
      <c r="AQ134" s="85">
        <f>AQ51/AK51-1</f>
        <v>5.6451722228959778E-2</v>
      </c>
      <c r="AR134" s="239"/>
      <c r="AS134" s="397">
        <f>AS51/AM51-1</f>
        <v>9.8736377949014242E-2</v>
      </c>
      <c r="AT134" s="397">
        <f>AT51/AN51-1</f>
        <v>3.9252487794473767E-2</v>
      </c>
      <c r="AU134" s="397">
        <f>AU51/AO51-1</f>
        <v>9.8825621258217478E-2</v>
      </c>
      <c r="AV134" s="397">
        <f>AV51/AP51-1</f>
        <v>-6.6818230846845683E-3</v>
      </c>
      <c r="AW134" s="85">
        <f>AW51/AQ51-1</f>
        <v>5.4625665636563792E-2</v>
      </c>
      <c r="AX134" s="239"/>
      <c r="AY134" s="397">
        <f>AY51/AS51-1</f>
        <v>-2.8161746516725872E-2</v>
      </c>
      <c r="AZ134" s="397">
        <f>AZ51/AT51-1</f>
        <v>8.4395712320345151E-2</v>
      </c>
      <c r="BA134" s="397">
        <f>BA51/AU51-1</f>
        <v>8.8811528996843636E-2</v>
      </c>
      <c r="BB134" s="397">
        <f>BB51/AV51-1</f>
        <v>6.2511234523494386E-2</v>
      </c>
      <c r="BC134" s="85">
        <f>BC51/AW51-1</f>
        <v>5.3966494263125719E-2</v>
      </c>
      <c r="BD134" s="239"/>
      <c r="BE134" s="397">
        <f>BE51/AY51-1</f>
        <v>0.17934880108489781</v>
      </c>
      <c r="BF134" s="397">
        <f>BF51/AZ51-1</f>
        <v>1.2984050982029816E-2</v>
      </c>
      <c r="BG134" s="397">
        <f>BG51/BA51-1</f>
        <v>-6.0869926130240448E-2</v>
      </c>
      <c r="BH134" s="397">
        <f>BH51/BB51-1</f>
        <v>1.7910408027012714E-2</v>
      </c>
      <c r="BI134" s="85">
        <f>BI51/BC51-1</f>
        <v>3.0920300901289721E-2</v>
      </c>
      <c r="BJ134" s="239"/>
      <c r="BK134" s="397">
        <f>BK51/BE51-1</f>
        <v>-0.28103963440934965</v>
      </c>
      <c r="BL134" s="397">
        <f>BL51/BF51-1</f>
        <v>-0.16049913941480232</v>
      </c>
      <c r="BM134" s="397">
        <f>BM51/BG51-1</f>
        <v>8.1205311542390746E-2</v>
      </c>
      <c r="BN134" s="397">
        <f>BN51/BH51-1</f>
        <v>0.14777131782945707</v>
      </c>
      <c r="BO134" s="85">
        <f>BO51/BI51-1</f>
        <v>-5.7970855389494647E-2</v>
      </c>
      <c r="BP134" s="239"/>
      <c r="BQ134" s="397">
        <f>BQ51/BK51-1</f>
        <v>-6.1384381338743244E-2</v>
      </c>
      <c r="BR134" s="397">
        <f>BR51/BL51-1</f>
        <v>-2.8138185545873551E-2</v>
      </c>
      <c r="BS134" s="397">
        <f>BS51/BM51-1</f>
        <v>4.0229664619744421E-2</v>
      </c>
      <c r="BT134" s="397">
        <f>BT51/BN51-1</f>
        <v>6.617475728155342E-2</v>
      </c>
      <c r="BU134" s="85">
        <f>BU51/BO51-1</f>
        <v>1.2158804951995839E-2</v>
      </c>
      <c r="BV134" s="239"/>
      <c r="BW134" s="397">
        <f>BW51/BQ51-1</f>
        <v>0.40596436049956441</v>
      </c>
      <c r="BX134" s="397">
        <f>BX51/BR51-1</f>
        <v>0.20807714024305812</v>
      </c>
      <c r="BY134" s="397">
        <f>BY51/BS51-1</f>
        <v>6.5037413070821337E-2</v>
      </c>
      <c r="BZ134" s="397">
        <f>BZ51/BT51-1</f>
        <v>-9.3118663313495054E-3</v>
      </c>
      <c r="CA134" s="85">
        <f>CA51/BU51-1</f>
        <v>0.13451952506069764</v>
      </c>
      <c r="CB134" s="239"/>
      <c r="CC134" s="397">
        <f>CC51/BW51-1</f>
        <v>8.2436016008069268E-2</v>
      </c>
      <c r="CD134" s="397">
        <f>CD51/BX51-1</f>
        <v>6.985024000529938E-2</v>
      </c>
      <c r="CE134" s="397">
        <f>CE51/BY51-1</f>
        <v>7.1751686972155504E-2</v>
      </c>
      <c r="CF134" s="397">
        <f>CF51/BZ51-1</f>
        <v>7.7060619596299063E-2</v>
      </c>
      <c r="CG134" s="85">
        <f>CG51/CA51-1</f>
        <v>7.502803444916939E-2</v>
      </c>
      <c r="CW134" s="239"/>
    </row>
    <row r="135" spans="1:132" x14ac:dyDescent="0.2">
      <c r="B135" s="54" t="s">
        <v>25</v>
      </c>
      <c r="C135" s="397"/>
      <c r="D135" s="397"/>
      <c r="E135" s="397"/>
      <c r="F135" s="397"/>
      <c r="G135" s="85"/>
      <c r="H135" s="239"/>
      <c r="I135" s="397">
        <f>I95/C95-1</f>
        <v>0.32670532521263906</v>
      </c>
      <c r="J135" s="397">
        <f>J95/D95-1</f>
        <v>0.10724806105165841</v>
      </c>
      <c r="K135" s="397">
        <f>K95/E95-1</f>
        <v>-0.2944928863548143</v>
      </c>
      <c r="L135" s="397">
        <f>L95/F95-1</f>
        <v>-0.10553172633641617</v>
      </c>
      <c r="M135" s="85">
        <f>M95/G95-1</f>
        <v>-3.800313638319508E-2</v>
      </c>
      <c r="N135" s="239"/>
      <c r="O135" s="397">
        <f>O95/I95-1</f>
        <v>-0.15244842804670122</v>
      </c>
      <c r="P135" s="397">
        <f>P95/J95-1</f>
        <v>0.10011015072674012</v>
      </c>
      <c r="Q135" s="397">
        <f>Q95/K95-1</f>
        <v>0.18246087195145888</v>
      </c>
      <c r="R135" s="397">
        <f>R95/L95-1</f>
        <v>0.228702044337876</v>
      </c>
      <c r="S135" s="85">
        <f>S95/M95-1</f>
        <v>8.4861594311963495E-2</v>
      </c>
      <c r="T135" s="239"/>
      <c r="U135" s="397">
        <f>U95/O95-1</f>
        <v>9.6588531093840357E-2</v>
      </c>
      <c r="V135" s="397">
        <f>V95/P95-1</f>
        <v>2.7568490704489523E-2</v>
      </c>
      <c r="W135" s="397">
        <f>W95/Q95-1</f>
        <v>-6.4582471448532575E-2</v>
      </c>
      <c r="X135" s="397">
        <f>X95/R95-1</f>
        <v>0.11171105291420536</v>
      </c>
      <c r="Y135" s="85">
        <f>Y95/S95-1</f>
        <v>4.1421150294473241E-2</v>
      </c>
      <c r="Z135" s="239"/>
      <c r="AA135" s="397">
        <f>AA95/U95-1</f>
        <v>0.22950030081182349</v>
      </c>
      <c r="AB135" s="397">
        <f>AB95/V95-1</f>
        <v>0.20578104386137275</v>
      </c>
      <c r="AC135" s="397">
        <f>AC95/W95-1</f>
        <v>-0.18644475870867594</v>
      </c>
      <c r="AD135" s="397">
        <f>AD95/X95-1</f>
        <v>-7.9567136355099266E-2</v>
      </c>
      <c r="AE135" s="85">
        <f>AE95/Y95-1</f>
        <v>3.4001453043293273E-2</v>
      </c>
      <c r="AF135" s="239"/>
      <c r="AG135" s="397">
        <f>AG95/AA95-1</f>
        <v>1.0078799318527398E-2</v>
      </c>
      <c r="AH135" s="397">
        <f>AH95/AB95-1</f>
        <v>-1.5461058388781423E-2</v>
      </c>
      <c r="AI135" s="397">
        <f>AI95/AC95-1</f>
        <v>0.42195051449122301</v>
      </c>
      <c r="AJ135" s="397">
        <f>AJ95/AD95-1</f>
        <v>3.2410535999531476E-2</v>
      </c>
      <c r="AK135" s="85">
        <f>AK95/AE95-1</f>
        <v>8.4254077057181576E-2</v>
      </c>
      <c r="AL135" s="239"/>
      <c r="AM135" s="397">
        <f>AM95/AG95-1</f>
        <v>2.831547029035919E-2</v>
      </c>
      <c r="AN135" s="397">
        <f>AN95/AH95-1</f>
        <v>0.21218899446072315</v>
      </c>
      <c r="AO135" s="397">
        <f>AO95/AI95-1</f>
        <v>7.8961623624221433E-2</v>
      </c>
      <c r="AP135" s="397">
        <f>AP95/AJ95-1</f>
        <v>0.18980738944855768</v>
      </c>
      <c r="AQ135" s="85">
        <f>AQ95/AK95-1</f>
        <v>0.13016030508636578</v>
      </c>
      <c r="AR135" s="239"/>
      <c r="AS135" s="397">
        <f>AS95/AM95-1</f>
        <v>0.1106474833367399</v>
      </c>
      <c r="AT135" s="397">
        <f>AT95/AN95-1</f>
        <v>2.6414064452935593E-2</v>
      </c>
      <c r="AU135" s="397">
        <f>AU95/AO95-1</f>
        <v>0.17891425309908371</v>
      </c>
      <c r="AV135" s="397">
        <f>AV95/AP95-1</f>
        <v>-2.6416328023851077E-2</v>
      </c>
      <c r="AW135" s="85">
        <f>AW95/AQ95-1</f>
        <v>6.5845282021313789E-2</v>
      </c>
      <c r="AX135" s="239"/>
      <c r="AY135" s="397">
        <f>AY95/AS95-1</f>
        <v>5.2809551194643589E-4</v>
      </c>
      <c r="AZ135" s="397">
        <f>AZ95/AT95-1</f>
        <v>0.13101741891674634</v>
      </c>
      <c r="BA135" s="397">
        <f>BA95/AU95-1</f>
        <v>0.10686919366630465</v>
      </c>
      <c r="BB135" s="397">
        <f>BB95/AV95-1</f>
        <v>7.6013432638754264E-2</v>
      </c>
      <c r="BC135" s="85">
        <f>BC95/AW95-1</f>
        <v>8.1690688736302697E-2</v>
      </c>
      <c r="BD135" s="239"/>
      <c r="BE135" s="397">
        <f>BE95/AY95-1</f>
        <v>0.17761429514915883</v>
      </c>
      <c r="BF135" s="397">
        <f>BF95/AZ95-1</f>
        <v>4.6499593898510216E-2</v>
      </c>
      <c r="BG135" s="397">
        <f>BG95/BA95-1</f>
        <v>-1.953642030865177E-2</v>
      </c>
      <c r="BH135" s="397">
        <f>BH95/BB95-1</f>
        <v>7.3809428060645166E-2</v>
      </c>
      <c r="BI135" s="85">
        <f>BI95/BC95-1</f>
        <v>6.3598697753479261E-2</v>
      </c>
      <c r="BJ135" s="239"/>
      <c r="BK135" s="397">
        <f>BK95/BE95-1</f>
        <v>-0.25294127854555215</v>
      </c>
      <c r="BL135" s="397">
        <f>BL95/BF95-1</f>
        <v>-0.13754130035864021</v>
      </c>
      <c r="BM135" s="397">
        <f>BM95/BG95-1</f>
        <v>6.8107339893831664E-2</v>
      </c>
      <c r="BN135" s="397">
        <f>BN95/BH95-1</f>
        <v>0.20348653925730931</v>
      </c>
      <c r="BO135" s="85">
        <f>BO95/BI95-1</f>
        <v>-3.1660568609919393E-2</v>
      </c>
      <c r="BP135" s="239"/>
      <c r="BQ135" s="397">
        <f>BQ95/BK95-1</f>
        <v>-7.530288690646314E-2</v>
      </c>
      <c r="BR135" s="397">
        <f>BR95/BL95-1</f>
        <v>-7.9879708638820324E-2</v>
      </c>
      <c r="BS135" s="397">
        <f>BS95/BM95-1</f>
        <v>1.5052744673070606E-2</v>
      </c>
      <c r="BT135" s="397">
        <f>BT95/BN95-1</f>
        <v>1.5614814974561853E-2</v>
      </c>
      <c r="BU135" s="85">
        <f>BU95/BO95-1</f>
        <v>-2.4865532960774206E-2</v>
      </c>
      <c r="BV135" s="239"/>
      <c r="BW135" s="397">
        <f>BW95/BQ95-1</f>
        <v>0.42413473055001161</v>
      </c>
      <c r="BX135" s="397">
        <f>BX95/BR95-1</f>
        <v>0.21660200701542065</v>
      </c>
      <c r="BY135" s="397">
        <f>BY95/BS95-1</f>
        <v>6.8563926554774612E-2</v>
      </c>
      <c r="BZ135" s="397">
        <f>BZ95/BT95-1</f>
        <v>-8.2117893929458674E-3</v>
      </c>
      <c r="CA135" s="85">
        <f>CA95/BU95-1</f>
        <v>0.14004204799535547</v>
      </c>
      <c r="CB135" s="239"/>
      <c r="CC135" s="397">
        <f>CC95/BW95-1</f>
        <v>0.10036717218161306</v>
      </c>
      <c r="CD135" s="397">
        <f>CD95/BX95-1</f>
        <v>9.5309679163352756E-2</v>
      </c>
      <c r="CE135" s="397">
        <f>CE95/BY95-1</f>
        <v>9.3792578168652607E-2</v>
      </c>
      <c r="CF135" s="397">
        <f>CF95/BZ95-1</f>
        <v>9.4943458932502223E-2</v>
      </c>
      <c r="CG135" s="85">
        <f>CG95/CA95-1</f>
        <v>9.5896874435297264E-2</v>
      </c>
      <c r="CW135" s="239"/>
    </row>
    <row r="136" spans="1:132" x14ac:dyDescent="0.2">
      <c r="B136" s="675" t="s">
        <v>257</v>
      </c>
      <c r="C136" s="493"/>
      <c r="D136" s="493"/>
      <c r="E136" s="493"/>
      <c r="F136" s="493"/>
      <c r="G136" s="384"/>
      <c r="H136" s="239"/>
      <c r="I136" s="493">
        <f>I104/C104-1</f>
        <v>0.32386071643865066</v>
      </c>
      <c r="J136" s="493">
        <f>J104/D104-1</f>
        <v>0.11754327702885381</v>
      </c>
      <c r="K136" s="493">
        <f>K104/E104-1</f>
        <v>-0.28486398698461879</v>
      </c>
      <c r="L136" s="493">
        <f>L104/F104-1</f>
        <v>-8.8161408898976501E-2</v>
      </c>
      <c r="M136" s="384">
        <f>M104/G104-1</f>
        <v>-2.7681880113911261E-2</v>
      </c>
      <c r="N136" s="239"/>
      <c r="O136" s="493">
        <f>O104/I104-1</f>
        <v>-0.14041961771970002</v>
      </c>
      <c r="P136" s="493">
        <f>P104/J104-1</f>
        <v>0.10557052378762344</v>
      </c>
      <c r="Q136" s="493">
        <f>Q104/K104-1</f>
        <v>0.1805796730124638</v>
      </c>
      <c r="R136" s="493">
        <f>R104/L104-1</f>
        <v>0.21795560441771888</v>
      </c>
      <c r="S136" s="384">
        <f>S104/M104-1</f>
        <v>8.6782356912166403E-2</v>
      </c>
      <c r="T136" s="239"/>
      <c r="U136" s="493">
        <f>U104/O104-1</f>
        <v>8.6013823265969735E-2</v>
      </c>
      <c r="V136" s="493">
        <f>V104/P104-1</f>
        <v>3.1568602685069447E-2</v>
      </c>
      <c r="W136" s="493">
        <f>W104/Q104-1</f>
        <v>-4.3608069363611945E-2</v>
      </c>
      <c r="X136" s="493">
        <f>X104/R104-1</f>
        <v>0.13592040025127106</v>
      </c>
      <c r="Y136" s="384">
        <f>Y104/S104-1</f>
        <v>5.2531301247517703E-2</v>
      </c>
      <c r="Z136" s="239"/>
      <c r="AA136" s="493">
        <f>AA104/U104-1</f>
        <v>0.25004415221539511</v>
      </c>
      <c r="AB136" s="493">
        <f>AB104/V104-1</f>
        <v>0.21573278330863288</v>
      </c>
      <c r="AC136" s="493">
        <f>AC104/W104-1</f>
        <v>-0.18894856639332369</v>
      </c>
      <c r="AD136" s="493">
        <f>AD104/X104-1</f>
        <v>-8.0043331593773415E-2</v>
      </c>
      <c r="AE136" s="384">
        <f>AE104/Y104-1</f>
        <v>3.8794951869247418E-2</v>
      </c>
      <c r="AF136" s="239"/>
      <c r="AG136" s="493">
        <f>AG104/AA104-1</f>
        <v>1.2585710862580202E-2</v>
      </c>
      <c r="AH136" s="493">
        <f>AH104/AB104-1</f>
        <v>-1.1187326672807085E-2</v>
      </c>
      <c r="AI136" s="493">
        <f>AI104/AC104-1</f>
        <v>0.43041457769518598</v>
      </c>
      <c r="AJ136" s="493">
        <f>AJ104/AD104-1</f>
        <v>3.5425386832946604E-2</v>
      </c>
      <c r="AK136" s="384">
        <f>AK104/AE104-1</f>
        <v>8.8518285535673868E-2</v>
      </c>
      <c r="AL136" s="239"/>
      <c r="AM136" s="493">
        <f>AM104/AG104-1</f>
        <v>2.906383937944268E-2</v>
      </c>
      <c r="AN136" s="493">
        <f>AN104/AH104-1</f>
        <v>0.21037422420651275</v>
      </c>
      <c r="AO136" s="493">
        <f>AO104/AI104-1</f>
        <v>7.7764422276914491E-2</v>
      </c>
      <c r="AP136" s="493">
        <f>AP104/AJ104-1</f>
        <v>0.18739425020585676</v>
      </c>
      <c r="AQ136" s="384">
        <f>AQ104/AK104-1</f>
        <v>0.12899392529720233</v>
      </c>
      <c r="AR136" s="239"/>
      <c r="AS136" s="493">
        <f>AS104/AM104-1</f>
        <v>0.11358415309046532</v>
      </c>
      <c r="AT136" s="493">
        <f>AT104/AN104-1</f>
        <v>3.0324088992060627E-2</v>
      </c>
      <c r="AU136" s="493">
        <f>AU104/AO104-1</f>
        <v>0.17966379990480053</v>
      </c>
      <c r="AV136" s="493">
        <f>AV104/AP104-1</f>
        <v>-2.2973145056445543E-2</v>
      </c>
      <c r="AW136" s="384">
        <f>AW104/AQ104-1</f>
        <v>6.8748698027116584E-2</v>
      </c>
      <c r="AX136" s="239"/>
      <c r="AY136" s="493">
        <f>AY104/AS104-1</f>
        <v>6.0581736325000524E-3</v>
      </c>
      <c r="AZ136" s="493">
        <f>AZ104/AT104-1</f>
        <v>0.13848119838637429</v>
      </c>
      <c r="BA136" s="493">
        <f>BA104/AU104-1</f>
        <v>0.11365827794749794</v>
      </c>
      <c r="BB136" s="493">
        <f>BB104/AV104-1</f>
        <v>7.9040927315463749E-2</v>
      </c>
      <c r="BC136" s="384">
        <f>BC104/AW104-1</f>
        <v>8.7473084664625667E-2</v>
      </c>
      <c r="BD136" s="239"/>
      <c r="BE136" s="493">
        <f>BE104/AY104-1</f>
        <v>0.20801062569023032</v>
      </c>
      <c r="BF136" s="493">
        <f>BF104/AZ104-1</f>
        <v>7.6966565096231454E-2</v>
      </c>
      <c r="BG136" s="493">
        <f>BG104/BA104-1</f>
        <v>1.5911237009137658E-2</v>
      </c>
      <c r="BH136" s="493">
        <f>BH104/BB104-1</f>
        <v>0.12261052387361548</v>
      </c>
      <c r="BI136" s="384">
        <f>BI104/BC104-1</f>
        <v>9.9749298376427875E-2</v>
      </c>
      <c r="BJ136" s="239"/>
      <c r="BK136" s="493">
        <f>BK104/BE104-1</f>
        <v>-0.23733267050963958</v>
      </c>
      <c r="BL136" s="493">
        <f>BL104/BF104-1</f>
        <v>-0.12129847365885793</v>
      </c>
      <c r="BM136" s="493">
        <f>BM104/BG104-1</f>
        <v>8.2578421747594444E-2</v>
      </c>
      <c r="BN136" s="493">
        <f>BN104/BH104-1</f>
        <v>0.21838755591833348</v>
      </c>
      <c r="BO136" s="384">
        <f>BO104/BI104-1</f>
        <v>-1.5206753678766005E-2</v>
      </c>
      <c r="BP136" s="239"/>
      <c r="BQ136" s="493">
        <f>BQ104/BK104-1</f>
        <v>-4.8525188604717551E-2</v>
      </c>
      <c r="BR136" s="493">
        <f>BR104/BL104-1</f>
        <v>-4.8248406136731425E-2</v>
      </c>
      <c r="BS136" s="493">
        <f>BS104/BM104-1</f>
        <v>5.7390032467140806E-2</v>
      </c>
      <c r="BT136" s="493">
        <f>BT104/BN104-1</f>
        <v>6.096341749062506E-2</v>
      </c>
      <c r="BU136" s="384">
        <f>BU104/BO104-1</f>
        <v>1.3028656899003677E-2</v>
      </c>
      <c r="BV136" s="239"/>
      <c r="BW136" s="493">
        <f>BW104/BQ104-1</f>
        <v>0.47332250596532388</v>
      </c>
      <c r="BX136" s="493">
        <f>BX104/BR104-1</f>
        <v>0.2584006456616148</v>
      </c>
      <c r="BY136" s="493">
        <f>BY104/BS104-1</f>
        <v>0.10662594414856086</v>
      </c>
      <c r="BZ136" s="493">
        <f>BZ104/BT104-1</f>
        <v>2.8525064899654007E-2</v>
      </c>
      <c r="CA136" s="384">
        <f>CA104/BU104-1</f>
        <v>0.17913312503966705</v>
      </c>
      <c r="CB136" s="239"/>
      <c r="CC136" s="493">
        <f>CC104/BW104-1</f>
        <v>0.1415360525246272</v>
      </c>
      <c r="CD136" s="493">
        <f>CD104/BX104-1</f>
        <v>0.13578731751247464</v>
      </c>
      <c r="CE136" s="493">
        <f>CE104/BY104-1</f>
        <v>0.13372668638654006</v>
      </c>
      <c r="CF136" s="493">
        <f>CF104/BZ104-1</f>
        <v>0.13443182075411908</v>
      </c>
      <c r="CG136" s="384">
        <f>CG104/CA104-1</f>
        <v>0.13608550815788467</v>
      </c>
      <c r="CW136" s="239"/>
    </row>
    <row r="137" spans="1:132" ht="12.75" customHeight="1" x14ac:dyDescent="0.2">
      <c r="AY137" s="301"/>
    </row>
    <row r="138" spans="1:132" ht="12.75" hidden="1" customHeight="1" outlineLevel="1" x14ac:dyDescent="0.2">
      <c r="B138" s="738" t="s">
        <v>243</v>
      </c>
      <c r="AS138" s="301"/>
      <c r="AU138" s="301"/>
      <c r="AV138" s="301"/>
      <c r="AW138" s="301"/>
      <c r="AY138" s="301"/>
      <c r="AZ138" s="301"/>
      <c r="BA138" s="301"/>
    </row>
    <row r="139" spans="1:132" ht="12.75" hidden="1" customHeight="1" outlineLevel="1" x14ac:dyDescent="0.2">
      <c r="A139" s="293"/>
      <c r="B139" s="176" t="s">
        <v>256</v>
      </c>
      <c r="C139" s="678">
        <f>-C95+C140</f>
        <v>-12.019832410030531</v>
      </c>
      <c r="D139" s="678">
        <f>-D95+D140</f>
        <v>-19.633638955770245</v>
      </c>
      <c r="E139" s="678">
        <f>-E95+E140</f>
        <v>-11.409625716193531</v>
      </c>
      <c r="F139" s="678">
        <f>-F95+F140</f>
        <v>-9.9724461307917238</v>
      </c>
      <c r="G139" s="679">
        <f>SUM(C139:F139)</f>
        <v>-53.035543212786031</v>
      </c>
      <c r="H139" s="57"/>
      <c r="I139" s="678">
        <f>-I95+I140</f>
        <v>-10.009657890245691</v>
      </c>
      <c r="J139" s="678">
        <f>-J95+J140</f>
        <v>-20.955324468579946</v>
      </c>
      <c r="K139" s="678">
        <f>-K95+K140</f>
        <v>-17.979337962776285</v>
      </c>
      <c r="L139" s="678">
        <f>-L95+L140</f>
        <v>-6.3771152911290159</v>
      </c>
      <c r="M139" s="679">
        <f>SUM(I139:L139)</f>
        <v>-55.321435612730937</v>
      </c>
      <c r="N139" s="57"/>
      <c r="O139" s="678">
        <f>-O95+O140</f>
        <v>-21.125289531402672</v>
      </c>
      <c r="P139" s="678">
        <f>-P95+P140</f>
        <v>-18.545694206247418</v>
      </c>
      <c r="Q139" s="678">
        <f>-Q95+Q140</f>
        <v>-14.738801035632633</v>
      </c>
      <c r="R139" s="678">
        <f>-R95+R140</f>
        <v>-10.364201995888763</v>
      </c>
      <c r="S139" s="679">
        <f>SUM(O139:R139)</f>
        <v>-64.773986769171486</v>
      </c>
      <c r="T139" s="57"/>
      <c r="U139" s="678">
        <f>-U95+U140</f>
        <v>-19.446511846115683</v>
      </c>
      <c r="V139" s="678">
        <f>-V95+V140</f>
        <v>-17.167393732854805</v>
      </c>
      <c r="W139" s="678">
        <f>-W95+W140</f>
        <v>-27.930045097327195</v>
      </c>
      <c r="X139" s="678">
        <f>-X95+X140</f>
        <v>-18.709444715695497</v>
      </c>
      <c r="Y139" s="679">
        <f>SUM(U139:X139)</f>
        <v>-83.25339539199318</v>
      </c>
      <c r="Z139" s="57"/>
      <c r="AA139" s="678">
        <f>-AA95+AA140</f>
        <v>-23.703222622321704</v>
      </c>
      <c r="AB139" s="678">
        <f>-AB95+AB140</f>
        <v>-20.333480244617775</v>
      </c>
      <c r="AC139" s="678">
        <f>-AC95+AC140</f>
        <v>-19.169799651009292</v>
      </c>
      <c r="AD139" s="678">
        <f>-AD95+AD140</f>
        <v>-50.782699672886466</v>
      </c>
      <c r="AE139" s="679">
        <f>SUM(AA139:AD139)</f>
        <v>-113.98920219083524</v>
      </c>
      <c r="AF139" s="57"/>
      <c r="AG139" s="678">
        <f>-AG95+AG140</f>
        <v>-49.904831081303847</v>
      </c>
      <c r="AH139" s="678">
        <f>-AH95+AH140</f>
        <v>-23.097164643727879</v>
      </c>
      <c r="AI139" s="678">
        <f>-AI95+AI140</f>
        <v>-40.78943997302666</v>
      </c>
      <c r="AJ139" s="678">
        <f>-AJ95+AJ140</f>
        <v>13.548445878879676</v>
      </c>
      <c r="AK139" s="679">
        <f>SUM(AG139:AJ139)</f>
        <v>-100.2429898191787</v>
      </c>
      <c r="AL139" s="57"/>
      <c r="AM139" s="678">
        <f>-AM95+AM140</f>
        <v>-22.592373908833849</v>
      </c>
      <c r="AN139" s="678">
        <f>-AN95+AN140</f>
        <v>-32.422374360410288</v>
      </c>
      <c r="AO139" s="678">
        <f>-AO95+AO140</f>
        <v>-21.217574235489181</v>
      </c>
      <c r="AP139" s="678">
        <f>-AP95+AP140</f>
        <v>-39.186374767766722</v>
      </c>
      <c r="AQ139" s="679">
        <f>SUM(AM139:AP139)</f>
        <v>-115.41869727250004</v>
      </c>
      <c r="AR139" s="57"/>
      <c r="AS139" s="678">
        <f>-AS95+AS140</f>
        <v>-28.509317757635642</v>
      </c>
      <c r="AT139" s="678">
        <f>-AT95+AT140</f>
        <v>-24.846605232400535</v>
      </c>
      <c r="AU139" s="678">
        <f>-AU95+AU140</f>
        <v>-35.210439435515866</v>
      </c>
      <c r="AV139" s="678">
        <f>-AV95+AV140</f>
        <v>-25.685307535960504</v>
      </c>
      <c r="AW139" s="679">
        <f>SUM(AS139:AV139)</f>
        <v>-114.25166996151255</v>
      </c>
      <c r="AX139" s="57"/>
      <c r="AY139" s="678">
        <f>-AY95+AY140</f>
        <v>-34.890372778811482</v>
      </c>
      <c r="AZ139" s="678">
        <f>-AZ95+AZ140</f>
        <v>-88.788239070785636</v>
      </c>
      <c r="BA139" s="678">
        <f>-BA95+BA140</f>
        <v>-48.386505085318205</v>
      </c>
      <c r="BB139" s="678">
        <f>-BB95+BB140</f>
        <v>-52.993276538289322</v>
      </c>
      <c r="BC139" s="679">
        <f>SUM(AY139:BB139)</f>
        <v>-225.05839347320466</v>
      </c>
      <c r="BD139" s="57"/>
      <c r="BJ139"/>
      <c r="BP139"/>
      <c r="BV139"/>
      <c r="CB139"/>
      <c r="CH139"/>
      <c r="CI139"/>
      <c r="CJ139"/>
      <c r="CK139"/>
      <c r="CL139"/>
      <c r="CM139"/>
      <c r="CN139"/>
      <c r="CO139"/>
      <c r="CP139"/>
      <c r="CW139" s="57"/>
    </row>
    <row r="140" spans="1:132" s="25" customFormat="1" ht="12.75" hidden="1" customHeight="1" outlineLevel="1" x14ac:dyDescent="0.2">
      <c r="A140" s="291"/>
      <c r="B140" s="176" t="s">
        <v>631</v>
      </c>
      <c r="C140" s="1005">
        <v>60.810682421409538</v>
      </c>
      <c r="D140" s="1005">
        <v>62.980297771607887</v>
      </c>
      <c r="E140" s="1005">
        <v>112.29736288903617</v>
      </c>
      <c r="F140" s="1005">
        <v>91.201052138633216</v>
      </c>
      <c r="G140" s="289">
        <f>SUM(C140:F140)</f>
        <v>327.2893952206868</v>
      </c>
      <c r="H140" s="1005"/>
      <c r="I140" s="1005">
        <v>86.614973974603942</v>
      </c>
      <c r="J140" s="1005">
        <v>70.518796788653873</v>
      </c>
      <c r="K140" s="1005">
        <v>69.296822505837198</v>
      </c>
      <c r="L140" s="1005">
        <v>84.1193690464291</v>
      </c>
      <c r="M140" s="289">
        <f>SUM(I140:L140)</f>
        <v>310.54996231552411</v>
      </c>
      <c r="N140" s="1005"/>
      <c r="O140" s="1005">
        <v>60.769069095059436</v>
      </c>
      <c r="P140" s="1005">
        <v>82.085915117644177</v>
      </c>
      <c r="Q140" s="1005">
        <v>88.46184377265952</v>
      </c>
      <c r="R140" s="1005">
        <v>100.82901331505947</v>
      </c>
      <c r="S140" s="289">
        <f>SUM(O140:R140)</f>
        <v>332.1458413004226</v>
      </c>
      <c r="T140" s="1005"/>
      <c r="U140" s="1005">
        <v>70.357902584948576</v>
      </c>
      <c r="V140" s="1005">
        <v>86.238477177260307</v>
      </c>
      <c r="W140" s="1005">
        <v>68.605647014163281</v>
      </c>
      <c r="X140" s="1005">
        <v>104.90528175455469</v>
      </c>
      <c r="Y140" s="289">
        <f>SUM(U140:X140)</f>
        <v>330.10730853092684</v>
      </c>
      <c r="Z140" s="1005"/>
      <c r="AA140" s="1005">
        <v>86.711331934901466</v>
      </c>
      <c r="AB140" s="1005">
        <v>104.35135872277517</v>
      </c>
      <c r="AC140" s="1005">
        <v>59.367318637979317</v>
      </c>
      <c r="AD140" s="1005">
        <v>62.996357000807023</v>
      </c>
      <c r="AE140" s="289">
        <f>SUM(AA140:AD140)</f>
        <v>313.42636629646296</v>
      </c>
      <c r="AF140" s="1005"/>
      <c r="AG140" s="1005">
        <v>61.622569613146162</v>
      </c>
      <c r="AH140" s="1005">
        <v>99.659914748194396</v>
      </c>
      <c r="AI140" s="1005">
        <v>70.886455784658736</v>
      </c>
      <c r="AJ140" s="1005">
        <v>131.01514276488865</v>
      </c>
      <c r="AK140" s="289">
        <f>SUM(AG140:AJ140)</f>
        <v>363.18408291088792</v>
      </c>
      <c r="AL140" s="1005"/>
      <c r="AM140" s="1005">
        <v>92.092977586540854</v>
      </c>
      <c r="AN140" s="1005">
        <v>116.38240627061913</v>
      </c>
      <c r="AO140" s="1005">
        <v>99.276431570912365</v>
      </c>
      <c r="AP140" s="1005">
        <v>100.57636920132063</v>
      </c>
      <c r="AQ140" s="289">
        <f>SUM(AM140:AP140)</f>
        <v>408.32818462939298</v>
      </c>
      <c r="AR140" s="1005"/>
      <c r="AS140" s="1005">
        <v>98.865679256291685</v>
      </c>
      <c r="AT140" s="1005">
        <v>127.88871446512185</v>
      </c>
      <c r="AU140" s="1005">
        <v>106.84166142265468</v>
      </c>
      <c r="AV140" s="1187">
        <v>110.38541794292593</v>
      </c>
      <c r="AW140" s="289">
        <f>SUM(AS140:AV140)</f>
        <v>443.98147308699413</v>
      </c>
      <c r="AX140" s="1005"/>
      <c r="AY140" s="1005">
        <v>92.551890399373093</v>
      </c>
      <c r="AZ140" s="1005">
        <v>83.958067990930203</v>
      </c>
      <c r="BA140" s="1005">
        <v>108.8465892501696</v>
      </c>
      <c r="BB140" s="1187">
        <v>93.420651865892879</v>
      </c>
      <c r="BC140" s="289">
        <f>SUM(AY140:BB140)</f>
        <v>378.77719950636578</v>
      </c>
      <c r="BD140" s="288"/>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s="751"/>
      <c r="CR140" s="750"/>
      <c r="CS140" s="750"/>
      <c r="CX140"/>
      <c r="CY140"/>
      <c r="CZ140"/>
      <c r="DA140"/>
      <c r="DB140"/>
      <c r="DC140"/>
      <c r="DD140"/>
      <c r="DE140"/>
      <c r="DF140"/>
      <c r="DG140"/>
      <c r="DH140"/>
      <c r="DI140"/>
      <c r="DJ140"/>
      <c r="DK140"/>
      <c r="DL140"/>
      <c r="DM140"/>
      <c r="DN140"/>
      <c r="DO140"/>
      <c r="DP140"/>
      <c r="DQ140"/>
      <c r="DR140"/>
      <c r="DS140"/>
      <c r="DT140"/>
      <c r="DU140"/>
      <c r="DV140"/>
      <c r="DW140"/>
      <c r="DX140"/>
      <c r="DY140"/>
      <c r="DZ140"/>
      <c r="EA140"/>
      <c r="EB140"/>
    </row>
    <row r="141" spans="1:132" ht="12.75" hidden="1" customHeight="1" outlineLevel="1" x14ac:dyDescent="0.2">
      <c r="A141" s="62"/>
      <c r="B141" s="680" t="s">
        <v>244</v>
      </c>
      <c r="C141" s="668">
        <f>C140/C98</f>
        <v>0.24077216748878288</v>
      </c>
      <c r="D141" s="668">
        <f>D140/D98</f>
        <v>0.24752775424814527</v>
      </c>
      <c r="E141" s="668">
        <f>E140/E98</f>
        <v>0.43958617274608824</v>
      </c>
      <c r="F141" s="668">
        <f>F140/F98</f>
        <v>0.35749509896120163</v>
      </c>
      <c r="G141" s="669">
        <f>G140/G98</f>
        <v>1.2865459606006433</v>
      </c>
      <c r="H141" s="715"/>
      <c r="I141" s="668">
        <f>I140/I98</f>
        <v>0.3422056750515951</v>
      </c>
      <c r="J141" s="668">
        <f>J140/J98</f>
        <v>0.27973287404158936</v>
      </c>
      <c r="K141" s="668">
        <f>K140/K98</f>
        <v>0.2749634943989232</v>
      </c>
      <c r="L141" s="668">
        <f>L140/L98</f>
        <v>0.33613928954355959</v>
      </c>
      <c r="M141" s="669">
        <f>M140/M98</f>
        <v>1.2329836502735623</v>
      </c>
      <c r="N141" s="715"/>
      <c r="O141" s="668">
        <f>O140/O98</f>
        <v>0.24349899517975582</v>
      </c>
      <c r="P141" s="668">
        <f>P140/P98</f>
        <v>0.32723333406149085</v>
      </c>
      <c r="Q141" s="668">
        <f>Q140/Q98</f>
        <v>0.35045013115091672</v>
      </c>
      <c r="R141" s="668">
        <f>R140/R98</f>
        <v>0.39938676218110891</v>
      </c>
      <c r="S141" s="669">
        <f>S140/S98</f>
        <v>1.3215825103136862</v>
      </c>
      <c r="T141" s="715"/>
      <c r="U141" s="668">
        <f>U140/U98</f>
        <v>0.27920238769727379</v>
      </c>
      <c r="V141" s="668">
        <f>V140/V98</f>
        <v>0.34512570653071206</v>
      </c>
      <c r="W141" s="668">
        <f>W140/W98</f>
        <v>0.27788205619944156</v>
      </c>
      <c r="X141" s="668">
        <f>X140/X98</f>
        <v>0.42458190255973283</v>
      </c>
      <c r="Y141" s="669">
        <f>Y140/Y98</f>
        <v>1.3259474457787337</v>
      </c>
      <c r="Z141" s="106"/>
      <c r="AA141" s="668">
        <f>AA140/AA98</f>
        <v>0.34984753185925277</v>
      </c>
      <c r="AB141" s="668">
        <f>AB140/AB98</f>
        <v>0.42106002693665073</v>
      </c>
      <c r="AC141" s="668">
        <f>AC140/AC98</f>
        <v>0.23972284457627821</v>
      </c>
      <c r="AD141" s="668">
        <f>AD140/AD98</f>
        <v>0.25483250007526292</v>
      </c>
      <c r="AE141" s="669">
        <f>AE140/AE98</f>
        <v>1.2656768782936723</v>
      </c>
      <c r="AF141" s="106"/>
      <c r="AG141" s="668">
        <f>AG140/AG98</f>
        <v>0.24924089377818293</v>
      </c>
      <c r="AH141" s="668">
        <f>AH140/AH98</f>
        <v>0.40387553143058325</v>
      </c>
      <c r="AI141" s="668">
        <f>AI140/AI98</f>
        <v>0.28794046113865918</v>
      </c>
      <c r="AJ141" s="668">
        <f>AJ140/AJ98</f>
        <v>0.53152935545025626</v>
      </c>
      <c r="AK141" s="669">
        <f>AK140/AK98</f>
        <v>1.4723606388415582</v>
      </c>
      <c r="AL141" s="106"/>
      <c r="AM141" s="668">
        <f>AM140/AM98</f>
        <v>0.3727536965435207</v>
      </c>
      <c r="AN141" s="668">
        <f>AN140/AN98</f>
        <v>0.4709379545507888</v>
      </c>
      <c r="AO141" s="668">
        <f>AO140/AO98</f>
        <v>0.40281296137124889</v>
      </c>
      <c r="AP141" s="668">
        <f>AP140/AP98</f>
        <v>0.40721146193130481</v>
      </c>
      <c r="AQ141" s="669">
        <f>AQ140/AQ98</f>
        <v>1.653759637212181</v>
      </c>
      <c r="AR141" s="106"/>
      <c r="AS141" s="668">
        <f>AS140/AS98</f>
        <v>0.4012248318681968</v>
      </c>
      <c r="AT141" s="668">
        <f>AT140/AT98</f>
        <v>0.51946924720355447</v>
      </c>
      <c r="AU141" s="668">
        <f>AU140/AU98</f>
        <v>0.43378441548125068</v>
      </c>
      <c r="AV141" s="668">
        <f>AV140/AV98</f>
        <v>0.4485067317424789</v>
      </c>
      <c r="AW141" s="669">
        <f>AW140/AW98</f>
        <v>1.8029343548963581</v>
      </c>
      <c r="AX141" s="106"/>
      <c r="AY141" s="668">
        <f>AY140/AY98</f>
        <v>0.37767770496255604</v>
      </c>
      <c r="AZ141" s="668">
        <f>AZ140/AZ98</f>
        <v>0.34327851736085657</v>
      </c>
      <c r="BA141" s="668">
        <f>BA140/BA98</f>
        <v>0.44463514392624431</v>
      </c>
      <c r="BB141" s="668">
        <f>BB140/BB98</f>
        <v>0.38064521734763329</v>
      </c>
      <c r="BC141" s="669">
        <f>BC140/BC98</f>
        <v>1.546251521349651</v>
      </c>
      <c r="BD141" s="106"/>
      <c r="BJ141"/>
      <c r="BP141"/>
      <c r="BV141"/>
      <c r="CB141"/>
      <c r="CH141"/>
      <c r="CI141"/>
      <c r="CJ141"/>
      <c r="CK141"/>
      <c r="CL141"/>
      <c r="CM141"/>
      <c r="CN141"/>
      <c r="CO141"/>
      <c r="CP141"/>
      <c r="CQ141" s="78"/>
      <c r="CR141" s="78"/>
      <c r="CS141" s="78"/>
      <c r="CT141" s="78"/>
      <c r="CU141" s="78"/>
      <c r="CW141" s="106"/>
    </row>
    <row r="142" spans="1:132" ht="12.75" hidden="1" customHeight="1" outlineLevel="1" x14ac:dyDescent="0.2">
      <c r="A142" s="293"/>
      <c r="B142" s="766" t="s">
        <v>559</v>
      </c>
      <c r="C142" s="1168">
        <v>0.35000000000000342</v>
      </c>
      <c r="D142" s="1168">
        <v>1.9809999999999928</v>
      </c>
      <c r="E142" s="1168">
        <v>51.820000000000007</v>
      </c>
      <c r="F142" s="1168">
        <v>16.984999999999999</v>
      </c>
      <c r="G142" s="470">
        <f>+SUM(C142:F142)</f>
        <v>71.135999999999996</v>
      </c>
      <c r="H142" s="57"/>
      <c r="I142" s="1168">
        <v>10.929000000000011</v>
      </c>
      <c r="J142" s="1168">
        <v>6.7099999999999955</v>
      </c>
      <c r="K142" s="1168">
        <v>-5.1850000000000067</v>
      </c>
      <c r="L142" s="1168">
        <v>5.5590000000000108</v>
      </c>
      <c r="M142" s="470">
        <f>+SUM(I142:L142)</f>
        <v>18.013000000000012</v>
      </c>
      <c r="N142" s="57"/>
      <c r="O142" s="1168">
        <v>0.59499999999999731</v>
      </c>
      <c r="P142" s="1168">
        <v>20.468000000000021</v>
      </c>
      <c r="Q142" s="1168">
        <v>26.732999999999961</v>
      </c>
      <c r="R142" s="1168">
        <v>31.175000000000015</v>
      </c>
      <c r="S142" s="470">
        <f>+SUM(O142:R142)</f>
        <v>78.970999999999989</v>
      </c>
      <c r="T142" s="57"/>
      <c r="U142" s="1168">
        <v>17.539000000000001</v>
      </c>
      <c r="V142" s="1168">
        <v>16.577000000000016</v>
      </c>
      <c r="W142" s="1168">
        <v>24.698000000000011</v>
      </c>
      <c r="X142" s="1168">
        <v>42.391999999999982</v>
      </c>
      <c r="Y142" s="470">
        <f>+SUM(U142:X142)</f>
        <v>101.206</v>
      </c>
      <c r="Z142" s="57"/>
      <c r="AA142" s="1168">
        <v>29.311999999999987</v>
      </c>
      <c r="AB142" s="1168">
        <v>36.330999999999996</v>
      </c>
      <c r="AC142" s="1168">
        <v>13.757999999999996</v>
      </c>
      <c r="AD142" s="1168">
        <v>38.276999999999987</v>
      </c>
      <c r="AE142" s="470">
        <f>+SUM(AA142:AD142)</f>
        <v>117.67799999999997</v>
      </c>
      <c r="AF142" s="57"/>
      <c r="AG142" s="1168">
        <v>30.520999999999994</v>
      </c>
      <c r="AH142" s="1168">
        <v>30.298000000000005</v>
      </c>
      <c r="AI142" s="1168">
        <v>34.735999999999997</v>
      </c>
      <c r="AJ142" s="1168">
        <v>38.301999999999992</v>
      </c>
      <c r="AK142" s="470">
        <f>+SUM(AG142:AJ142)</f>
        <v>133.857</v>
      </c>
      <c r="AL142" s="57"/>
      <c r="AM142" s="1168">
        <v>31.826000000000036</v>
      </c>
      <c r="AN142" s="1168">
        <v>40.557000000000002</v>
      </c>
      <c r="AO142" s="1168">
        <v>36.203999999999994</v>
      </c>
      <c r="AP142" s="1168">
        <v>44.235999999999997</v>
      </c>
      <c r="AQ142" s="470">
        <f>+SUM(AM142:AP142)</f>
        <v>152.82300000000004</v>
      </c>
      <c r="AR142" s="57"/>
      <c r="AS142" s="1168">
        <v>37.300000000000004</v>
      </c>
      <c r="AT142" s="1168">
        <v>51.500000000000007</v>
      </c>
      <c r="AU142" s="1168">
        <v>42.70000000000001</v>
      </c>
      <c r="AV142" s="1168">
        <v>46.000000000000014</v>
      </c>
      <c r="AW142" s="470">
        <f>+SUM(AS142:AV142)</f>
        <v>177.50000000000006</v>
      </c>
      <c r="AX142" s="57"/>
      <c r="AY142" s="1168">
        <v>36.000000000000007</v>
      </c>
      <c r="AZ142" s="1168">
        <v>58.800000000000033</v>
      </c>
      <c r="BA142" s="1168">
        <v>45.399999999999984</v>
      </c>
      <c r="BB142" s="1168">
        <v>51.3</v>
      </c>
      <c r="BC142" s="470">
        <f>+SUM(AY142:BB142)</f>
        <v>191.5</v>
      </c>
      <c r="BD142" s="57"/>
      <c r="BJ142"/>
      <c r="BP142"/>
      <c r="BV142"/>
      <c r="CB142"/>
      <c r="CH142"/>
      <c r="CI142"/>
      <c r="CJ142"/>
      <c r="CK142"/>
      <c r="CL142"/>
      <c r="CM142"/>
      <c r="CN142"/>
      <c r="CO142"/>
      <c r="CP142"/>
      <c r="CW142" s="57"/>
    </row>
    <row r="143" spans="1:132" ht="12.75" hidden="1" customHeight="1" outlineLevel="1" x14ac:dyDescent="0.2">
      <c r="A143" s="293"/>
      <c r="B143" s="766" t="s">
        <v>381</v>
      </c>
      <c r="C143" s="1059">
        <f>+'P&amp;L'!C75</f>
        <v>58.471999999999959</v>
      </c>
      <c r="D143" s="1059">
        <f>+'P&amp;L'!D75</f>
        <v>65.432999999999979</v>
      </c>
      <c r="E143" s="1059">
        <f>+'P&amp;L'!E75</f>
        <v>65.719000000000065</v>
      </c>
      <c r="F143" s="1059">
        <f>+'P&amp;L'!F75</f>
        <v>70.030000000000101</v>
      </c>
      <c r="G143" s="470">
        <f>+SUM(C143:F143)</f>
        <v>259.65400000000011</v>
      </c>
      <c r="H143" s="57"/>
      <c r="I143" s="1059">
        <f>+'P&amp;L'!I75</f>
        <v>68.179999999999936</v>
      </c>
      <c r="J143" s="1059">
        <f>+'P&amp;L'!J75</f>
        <v>78.648000000000124</v>
      </c>
      <c r="K143" s="1059">
        <f>+'P&amp;L'!K75</f>
        <v>66.047000000000082</v>
      </c>
      <c r="L143" s="1059">
        <f>+'P&amp;L'!L75</f>
        <v>70.994999999999948</v>
      </c>
      <c r="M143" s="470">
        <f>+SUM(I143:L143)</f>
        <v>283.87000000000012</v>
      </c>
      <c r="N143" s="57"/>
      <c r="O143" s="1059">
        <f>+'P&amp;L'!O75</f>
        <v>61.742999999999974</v>
      </c>
      <c r="P143" s="1059">
        <f>+'P&amp;L'!P75</f>
        <v>70.198999999999884</v>
      </c>
      <c r="Q143" s="1059">
        <f>+'P&amp;L'!Q75</f>
        <v>67.482999999999947</v>
      </c>
      <c r="R143" s="1059">
        <f>+'P&amp;L'!R75</f>
        <v>74.833999999999889</v>
      </c>
      <c r="S143" s="470">
        <f>+SUM(O143:R143)</f>
        <v>274.25899999999967</v>
      </c>
      <c r="T143" s="57"/>
      <c r="U143" s="1059">
        <f>+'P&amp;L'!U75</f>
        <v>61.843000000000096</v>
      </c>
      <c r="V143" s="1059">
        <f>+'P&amp;L'!V75</f>
        <v>72.385999999999996</v>
      </c>
      <c r="W143" s="1059">
        <f>+'P&amp;L'!W75</f>
        <v>63.653000000000091</v>
      </c>
      <c r="X143" s="1059">
        <f>+'P&amp;L'!X75</f>
        <v>67.82699999999997</v>
      </c>
      <c r="Y143" s="470">
        <f>+SUM(U143:X143)</f>
        <v>265.70900000000017</v>
      </c>
      <c r="Z143" s="57"/>
      <c r="AA143" s="1059">
        <f>+'P&amp;L'!AA75</f>
        <v>71.73100000000008</v>
      </c>
      <c r="AB143" s="1059">
        <f>+'P&amp;L'!AB75</f>
        <v>75.783000000000001</v>
      </c>
      <c r="AC143" s="1059">
        <f>+'P&amp;L'!AC75</f>
        <v>60.597000000000001</v>
      </c>
      <c r="AD143" s="1059">
        <f>+'P&amp;L'!AD75</f>
        <v>40.603999999999999</v>
      </c>
      <c r="AE143" s="470">
        <f>+SUM(AA143:AD143)</f>
        <v>248.71500000000009</v>
      </c>
      <c r="AF143" s="57"/>
      <c r="AG143" s="1059">
        <f>+'P&amp;L'!AG75</f>
        <v>53.283999999999999</v>
      </c>
      <c r="AH143" s="1059">
        <f>+'P&amp;L'!AH75</f>
        <v>80.763999999999996</v>
      </c>
      <c r="AI143" s="1059">
        <f>+'P&amp;L'!AI75</f>
        <v>53.365000000000016</v>
      </c>
      <c r="AJ143" s="1059">
        <f>+'P&amp;L'!AJ75</f>
        <v>126.8</v>
      </c>
      <c r="AK143" s="470">
        <f>+SUM(AG143:AJ143)</f>
        <v>314.21300000000002</v>
      </c>
      <c r="AL143" s="57"/>
      <c r="AM143" s="1059">
        <f>+'P&amp;L'!AM75</f>
        <v>71.685000000000002</v>
      </c>
      <c r="AN143" s="1059">
        <f>+'P&amp;L'!AN75</f>
        <v>87.227999999999994</v>
      </c>
      <c r="AO143" s="1059">
        <f>+'P&amp;L'!AO75</f>
        <v>79.850999999999999</v>
      </c>
      <c r="AP143" s="1059">
        <f>+'P&amp;L'!AP75</f>
        <v>74.427999999999997</v>
      </c>
      <c r="AQ143" s="470">
        <f>+SUM(AM143:AP143)</f>
        <v>313.19200000000001</v>
      </c>
      <c r="AR143" s="57"/>
      <c r="AS143" s="1059">
        <f>+'P&amp;L'!AS75</f>
        <v>72.878</v>
      </c>
      <c r="AT143" s="1059">
        <f>+'P&amp;L'!AT75</f>
        <v>89.992999999999995</v>
      </c>
      <c r="AU143" s="1059">
        <f>+'P&amp;L'!AU75</f>
        <v>75.272999999999996</v>
      </c>
      <c r="AV143" s="1059">
        <f>+'P&amp;L'!AV75</f>
        <v>84.71</v>
      </c>
      <c r="AW143" s="470">
        <f>+SUM(AS143:AV143)</f>
        <v>322.85399999999998</v>
      </c>
      <c r="AX143" s="57"/>
      <c r="AY143" s="1059">
        <f>+'P&amp;L'!AY75</f>
        <v>63.960999999999999</v>
      </c>
      <c r="AZ143" s="1059">
        <f>+'P&amp;L'!AZ75</f>
        <v>44.098999999999997</v>
      </c>
      <c r="BA143" s="1059">
        <f>+'P&amp;L'!BA75</f>
        <v>84.5</v>
      </c>
      <c r="BB143" s="1059">
        <f>+'P&amp;L'!BB75</f>
        <v>58.6</v>
      </c>
      <c r="BC143" s="470">
        <f>+SUM(AY143:BB143)</f>
        <v>251.16</v>
      </c>
      <c r="BD143" s="57"/>
      <c r="BJ143"/>
      <c r="BP143"/>
      <c r="BV143"/>
      <c r="CB143"/>
      <c r="CH143"/>
      <c r="CI143"/>
      <c r="CJ143"/>
      <c r="CK143"/>
      <c r="CL143"/>
      <c r="CM143"/>
      <c r="CN143"/>
      <c r="CO143"/>
      <c r="CP143"/>
      <c r="CW143" s="57"/>
    </row>
    <row r="144" spans="1:132" ht="11.25" hidden="1" customHeight="1" outlineLevel="1" x14ac:dyDescent="0.2">
      <c r="A144" s="310"/>
      <c r="B144" s="681" t="s">
        <v>630</v>
      </c>
      <c r="C144" s="676">
        <f>+C143+C142</f>
        <v>58.82199999999996</v>
      </c>
      <c r="D144" s="676">
        <f>+D143+D142</f>
        <v>67.413999999999973</v>
      </c>
      <c r="E144" s="676">
        <f>+E143+E142</f>
        <v>117.53900000000007</v>
      </c>
      <c r="F144" s="676">
        <f>+F143+F142</f>
        <v>87.0150000000001</v>
      </c>
      <c r="G144" s="677">
        <f>+G143+G142</f>
        <v>330.79000000000008</v>
      </c>
      <c r="H144" s="464"/>
      <c r="I144" s="676">
        <f>+I143+I142</f>
        <v>79.108999999999952</v>
      </c>
      <c r="J144" s="676">
        <f>+J143+J142</f>
        <v>85.358000000000118</v>
      </c>
      <c r="K144" s="676">
        <f>+K143+K142</f>
        <v>60.862000000000073</v>
      </c>
      <c r="L144" s="676">
        <f>+L143+L142</f>
        <v>76.553999999999959</v>
      </c>
      <c r="M144" s="677">
        <f>+M143+M142</f>
        <v>301.88300000000015</v>
      </c>
      <c r="N144" s="464"/>
      <c r="O144" s="676">
        <f>+O143+O142</f>
        <v>62.337999999999973</v>
      </c>
      <c r="P144" s="676">
        <f>+P143+P142</f>
        <v>90.666999999999902</v>
      </c>
      <c r="Q144" s="676">
        <f>+Q143+Q142</f>
        <v>94.215999999999909</v>
      </c>
      <c r="R144" s="676">
        <f>+R143+R142</f>
        <v>106.0089999999999</v>
      </c>
      <c r="S144" s="677">
        <f>+S143+S142</f>
        <v>353.22999999999968</v>
      </c>
      <c r="T144" s="464"/>
      <c r="U144" s="676">
        <f>+U143+U142</f>
        <v>79.38200000000009</v>
      </c>
      <c r="V144" s="676">
        <f>+V143+V142</f>
        <v>88.963000000000008</v>
      </c>
      <c r="W144" s="676">
        <f>+W143+W142</f>
        <v>88.351000000000099</v>
      </c>
      <c r="X144" s="676">
        <f>+X143+X142</f>
        <v>110.21899999999995</v>
      </c>
      <c r="Y144" s="677">
        <f>+Y143+Y142</f>
        <v>366.91500000000019</v>
      </c>
      <c r="Z144" s="464"/>
      <c r="AA144" s="676">
        <f>+AA143+AA142</f>
        <v>101.04300000000006</v>
      </c>
      <c r="AB144" s="676">
        <f>+AB143+AB142</f>
        <v>112.114</v>
      </c>
      <c r="AC144" s="676">
        <f>+AC143+AC142</f>
        <v>74.35499999999999</v>
      </c>
      <c r="AD144" s="676">
        <f>+AD143+AD142</f>
        <v>78.880999999999986</v>
      </c>
      <c r="AE144" s="677">
        <f>+AE143+AE142</f>
        <v>366.39300000000003</v>
      </c>
      <c r="AF144" s="464"/>
      <c r="AG144" s="676">
        <f>+AG143+AG142</f>
        <v>83.804999999999993</v>
      </c>
      <c r="AH144" s="676">
        <f>+AH143+AH142</f>
        <v>111.062</v>
      </c>
      <c r="AI144" s="676">
        <f>+AI143+AI142</f>
        <v>88.101000000000013</v>
      </c>
      <c r="AJ144" s="676">
        <f>+AJ143+AJ142</f>
        <v>165.10199999999998</v>
      </c>
      <c r="AK144" s="677">
        <f>+AK143+AK142</f>
        <v>448.07000000000005</v>
      </c>
      <c r="AL144" s="464"/>
      <c r="AM144" s="676">
        <f>+AM143+AM142</f>
        <v>103.51100000000004</v>
      </c>
      <c r="AN144" s="676">
        <f>+AN143+AN142</f>
        <v>127.785</v>
      </c>
      <c r="AO144" s="676">
        <f>+AO143+AO142</f>
        <v>116.05499999999999</v>
      </c>
      <c r="AP144" s="676">
        <f>+AP143+AP142</f>
        <v>118.66399999999999</v>
      </c>
      <c r="AQ144" s="677">
        <f>+AQ143+AQ142</f>
        <v>466.01500000000004</v>
      </c>
      <c r="AR144" s="464"/>
      <c r="AS144" s="676">
        <f>+AS143+AS142</f>
        <v>110.178</v>
      </c>
      <c r="AT144" s="676">
        <f>+AT143+AT142</f>
        <v>141.49299999999999</v>
      </c>
      <c r="AU144" s="676">
        <f>+AU143+AU142</f>
        <v>117.97300000000001</v>
      </c>
      <c r="AV144" s="676">
        <f>+AV143+AV142</f>
        <v>130.71</v>
      </c>
      <c r="AW144" s="677">
        <f>+AW143+AW142</f>
        <v>500.35400000000004</v>
      </c>
      <c r="AX144" s="464"/>
      <c r="AY144" s="676">
        <f>+AY143+AY142</f>
        <v>99.961000000000013</v>
      </c>
      <c r="AZ144" s="676">
        <f>+AZ143+AZ142</f>
        <v>102.89900000000003</v>
      </c>
      <c r="BA144" s="676">
        <f>+BA143+BA142</f>
        <v>129.89999999999998</v>
      </c>
      <c r="BB144" s="676">
        <f>+BB143+BB142</f>
        <v>109.9</v>
      </c>
      <c r="BC144" s="677">
        <f>+BC143+BC142</f>
        <v>442.65999999999997</v>
      </c>
      <c r="BD144" s="464"/>
      <c r="BJ144"/>
      <c r="BP144"/>
      <c r="BV144"/>
      <c r="CB144"/>
      <c r="CH144"/>
      <c r="CI144"/>
      <c r="CJ144"/>
      <c r="CK144"/>
      <c r="CL144"/>
      <c r="CM144"/>
      <c r="CN144"/>
      <c r="CO144"/>
      <c r="CP144"/>
      <c r="CW144" s="464"/>
    </row>
    <row r="145" spans="1:101" hidden="1" outlineLevel="1" x14ac:dyDescent="0.2"/>
    <row r="146" spans="1:101" collapsed="1" x14ac:dyDescent="0.2">
      <c r="C146" s="659"/>
      <c r="D146" s="659"/>
      <c r="E146" s="659"/>
      <c r="F146" s="659"/>
      <c r="G146" s="659"/>
      <c r="H146" s="730"/>
      <c r="I146" s="659"/>
      <c r="J146" s="659"/>
      <c r="K146" s="659"/>
      <c r="L146" s="659"/>
      <c r="M146" s="659"/>
      <c r="N146" s="730"/>
      <c r="O146" s="659"/>
      <c r="P146" s="659"/>
      <c r="Q146" s="659"/>
      <c r="R146" s="659"/>
      <c r="S146" s="659"/>
      <c r="T146" s="730"/>
      <c r="U146" s="659"/>
      <c r="V146" s="659"/>
      <c r="W146" s="659"/>
      <c r="X146" s="659"/>
      <c r="Y146" s="659"/>
      <c r="Z146" s="730"/>
      <c r="AA146" s="659"/>
      <c r="AB146" s="659"/>
      <c r="AC146" s="659"/>
      <c r="AD146" s="659"/>
      <c r="AE146" s="659"/>
      <c r="AF146" s="730"/>
      <c r="AG146" s="659"/>
      <c r="AH146" s="659"/>
      <c r="AI146" s="659"/>
      <c r="AJ146" s="659"/>
      <c r="AK146" s="659"/>
      <c r="AL146" s="730"/>
      <c r="AM146" s="659"/>
      <c r="AN146" s="659"/>
      <c r="AO146" s="659"/>
      <c r="AP146" s="659"/>
      <c r="AQ146" s="659"/>
      <c r="AR146" s="730"/>
      <c r="AS146" s="659"/>
      <c r="AT146" s="659"/>
      <c r="AU146" s="659"/>
      <c r="AV146" s="659"/>
      <c r="AW146" s="659"/>
      <c r="AX146" s="730"/>
      <c r="AY146" s="659"/>
      <c r="AZ146" s="659"/>
      <c r="BA146" s="659"/>
    </row>
    <row r="147" spans="1:101" ht="12.75" hidden="1" customHeight="1" outlineLevel="1" x14ac:dyDescent="0.2">
      <c r="A147" s="332"/>
      <c r="B147" s="411" t="s">
        <v>341</v>
      </c>
      <c r="C147" s="335">
        <f t="shared" ref="C147:G148" si="52">C108</f>
        <v>0.53004196883136623</v>
      </c>
      <c r="D147" s="335">
        <f t="shared" si="52"/>
        <v>0.52804192503054093</v>
      </c>
      <c r="E147" s="335">
        <f t="shared" si="52"/>
        <v>0.52494550312689103</v>
      </c>
      <c r="F147" s="335">
        <f t="shared" si="52"/>
        <v>0.5162063792484235</v>
      </c>
      <c r="G147" s="335">
        <f t="shared" si="52"/>
        <v>0.52448226785278318</v>
      </c>
      <c r="H147" s="410"/>
      <c r="I147" s="335">
        <f t="shared" ref="I147:M148" si="53">I108</f>
        <v>0.51794441552165293</v>
      </c>
      <c r="J147" s="335">
        <f t="shared" si="53"/>
        <v>0.53297413341950783</v>
      </c>
      <c r="K147" s="335">
        <f t="shared" si="53"/>
        <v>0.53323995353108611</v>
      </c>
      <c r="L147" s="335">
        <f t="shared" si="53"/>
        <v>0.53833728754999444</v>
      </c>
      <c r="M147" s="335">
        <f t="shared" si="53"/>
        <v>0.53044952783581834</v>
      </c>
      <c r="N147" s="410"/>
      <c r="O147" s="335">
        <f t="shared" ref="O147:S148" si="54">O108</f>
        <v>0.53379061063756361</v>
      </c>
      <c r="P147" s="335">
        <f t="shared" si="54"/>
        <v>0.52571275619026425</v>
      </c>
      <c r="Q147" s="335">
        <f t="shared" si="54"/>
        <v>0.5248311159521396</v>
      </c>
      <c r="R147" s="335">
        <f t="shared" si="54"/>
        <v>0.51893271424190346</v>
      </c>
      <c r="S147" s="335">
        <f t="shared" si="54"/>
        <v>0.52553461153582171</v>
      </c>
      <c r="T147" s="410"/>
      <c r="U147" s="335">
        <f t="shared" ref="U147:Y148" si="55">U108</f>
        <v>0.5317571681833918</v>
      </c>
      <c r="V147" s="335">
        <f t="shared" si="55"/>
        <v>0.52311423689201297</v>
      </c>
      <c r="W147" s="335">
        <f t="shared" si="55"/>
        <v>0.51804935086061321</v>
      </c>
      <c r="X147" s="335">
        <f t="shared" si="55"/>
        <v>0.52961135112279267</v>
      </c>
      <c r="Y147" s="335">
        <f t="shared" si="55"/>
        <v>0.52574154900723657</v>
      </c>
      <c r="Z147" s="410"/>
      <c r="AA147" s="335">
        <f t="shared" ref="AA147:AE148" si="56">AA108</f>
        <v>0.54088278489188113</v>
      </c>
      <c r="AB147" s="335">
        <f t="shared" si="56"/>
        <v>0.52796799421709628</v>
      </c>
      <c r="AC147" s="335">
        <f t="shared" si="56"/>
        <v>0.51715750988837861</v>
      </c>
      <c r="AD147" s="335">
        <f t="shared" si="56"/>
        <v>0.53055317790482348</v>
      </c>
      <c r="AE147" s="335">
        <f t="shared" si="56"/>
        <v>0.52901894714562125</v>
      </c>
      <c r="AF147" s="410"/>
      <c r="AG147" s="335">
        <f t="shared" ref="AG147:AK148" si="57">AG108</f>
        <v>0.55561924514999905</v>
      </c>
      <c r="AH147" s="335">
        <f t="shared" si="57"/>
        <v>0.54388746739285809</v>
      </c>
      <c r="AI147" s="335">
        <f t="shared" si="57"/>
        <v>0.53765308099474329</v>
      </c>
      <c r="AJ147" s="335">
        <f t="shared" si="57"/>
        <v>0.53893648915243031</v>
      </c>
      <c r="AK147" s="335">
        <f t="shared" si="57"/>
        <v>0.54393009867628495</v>
      </c>
      <c r="AL147" s="410"/>
      <c r="AM147" s="335">
        <f t="shared" ref="AM147:AQ148" si="58">AM108</f>
        <v>0.54052390464371358</v>
      </c>
      <c r="AN147" s="335">
        <f t="shared" si="58"/>
        <v>0.54941045910241526</v>
      </c>
      <c r="AO147" s="335">
        <f t="shared" si="58"/>
        <v>0.53605251973398171</v>
      </c>
      <c r="AP147" s="335">
        <f t="shared" si="58"/>
        <v>0.54135636159358624</v>
      </c>
      <c r="AQ147" s="335">
        <f t="shared" si="58"/>
        <v>0.54193651803634224</v>
      </c>
      <c r="AR147" s="410"/>
      <c r="AS147" s="335">
        <f t="shared" ref="AS147:AW148" si="59">AS108</f>
        <v>0.54577092903625612</v>
      </c>
      <c r="AT147" s="335">
        <f t="shared" si="59"/>
        <v>0.56068985426248685</v>
      </c>
      <c r="AU147" s="335">
        <f t="shared" si="59"/>
        <v>0.55484227177806822</v>
      </c>
      <c r="AV147" s="335">
        <f t="shared" si="59"/>
        <v>0.55442213451266487</v>
      </c>
      <c r="AW147" s="335">
        <f t="shared" si="59"/>
        <v>0.55401396689754223</v>
      </c>
      <c r="AX147" s="410"/>
      <c r="AY147" s="335">
        <f t="shared" ref="AY147:BC148" si="60">AY108</f>
        <v>0.57191340562096227</v>
      </c>
      <c r="AZ147" s="335">
        <f t="shared" si="60"/>
        <v>0.57964692520344818</v>
      </c>
      <c r="BA147" s="335">
        <f t="shared" si="60"/>
        <v>0.57289656091975305</v>
      </c>
      <c r="BB147" s="335">
        <f t="shared" si="60"/>
        <v>0.5682042860539287</v>
      </c>
      <c r="BC147" s="335">
        <f t="shared" si="60"/>
        <v>0.57323512770449125</v>
      </c>
      <c r="BD147" s="410"/>
      <c r="BE147" s="335">
        <f t="shared" ref="BE147:BI148" si="61">BE108</f>
        <v>0.59932659932659915</v>
      </c>
      <c r="BF147" s="335">
        <f t="shared" si="61"/>
        <v>0.59256360078277892</v>
      </c>
      <c r="BG147" s="335">
        <f t="shared" si="61"/>
        <v>0.56926135174722747</v>
      </c>
      <c r="BH147" s="335">
        <f t="shared" si="61"/>
        <v>0.57424849699398806</v>
      </c>
      <c r="BI147" s="335">
        <f t="shared" si="61"/>
        <v>0.58383812599511387</v>
      </c>
      <c r="BJ147" s="410"/>
      <c r="BK147" s="335">
        <f>BK108</f>
        <v>0.58215077605321508</v>
      </c>
      <c r="BL147" s="335">
        <f t="shared" ref="BL147:BN148" si="62">BL108</f>
        <v>0.58217662442164542</v>
      </c>
      <c r="BM147" s="335">
        <f t="shared" si="62"/>
        <v>0.58513165709760462</v>
      </c>
      <c r="BN147" s="335">
        <f t="shared" si="62"/>
        <v>0.57552703941338224</v>
      </c>
      <c r="BO147" s="335">
        <f>BO108</f>
        <v>0.58110271676589786</v>
      </c>
      <c r="BP147" s="410"/>
      <c r="BQ147" s="335">
        <f t="shared" ref="BQ147:BU148" si="63">BQ108</f>
        <v>0.56999999999999995</v>
      </c>
      <c r="BR147" s="335">
        <f t="shared" si="63"/>
        <v>0.57999999999999996</v>
      </c>
      <c r="BS147" s="335">
        <f t="shared" si="63"/>
        <v>0.57999999999999996</v>
      </c>
      <c r="BT147" s="335">
        <f t="shared" si="63"/>
        <v>0.57999999999999996</v>
      </c>
      <c r="BU147" s="335">
        <f t="shared" si="63"/>
        <v>0.57776639715022193</v>
      </c>
      <c r="BV147" s="410"/>
      <c r="BW147" s="335">
        <f t="shared" ref="BW147:CA148" si="64">BW108</f>
        <v>0.57299999999999995</v>
      </c>
      <c r="BX147" s="335">
        <f t="shared" si="64"/>
        <v>0.58299999999999996</v>
      </c>
      <c r="BY147" s="335">
        <f t="shared" si="64"/>
        <v>0.58299999999999996</v>
      </c>
      <c r="BZ147" s="335">
        <f t="shared" si="64"/>
        <v>0.58299999999999996</v>
      </c>
      <c r="CA147" s="335">
        <f t="shared" si="64"/>
        <v>0.58077740026974845</v>
      </c>
      <c r="CB147" s="410"/>
      <c r="CC147" s="335">
        <f t="shared" ref="CC147:CG148" si="65">CC108</f>
        <v>0.57599999999999996</v>
      </c>
      <c r="CD147" s="335">
        <f t="shared" si="65"/>
        <v>0.58599999999999997</v>
      </c>
      <c r="CE147" s="335">
        <f t="shared" si="65"/>
        <v>0.58599999999999997</v>
      </c>
      <c r="CF147" s="335">
        <f t="shared" si="65"/>
        <v>0.58599999999999997</v>
      </c>
      <c r="CG147" s="335">
        <f t="shared" si="65"/>
        <v>0.58376837365008982</v>
      </c>
      <c r="CH147" s="138"/>
      <c r="CI147" s="138"/>
      <c r="CJ147" s="138"/>
      <c r="CK147" s="138"/>
      <c r="CL147" s="138"/>
      <c r="CM147" s="330"/>
      <c r="CN147" s="330"/>
      <c r="CO147" s="330"/>
      <c r="CP147" s="330"/>
      <c r="CQ147" s="330"/>
      <c r="CR147" s="330"/>
      <c r="CS147" s="330"/>
      <c r="CT147" s="330"/>
      <c r="CU147" s="330"/>
      <c r="CW147" s="410"/>
    </row>
    <row r="148" spans="1:101" ht="12.75" hidden="1" customHeight="1" outlineLevel="1" x14ac:dyDescent="0.2">
      <c r="A148" s="332"/>
      <c r="B148" s="442" t="s">
        <v>346</v>
      </c>
      <c r="C148" s="144">
        <f t="shared" si="52"/>
        <v>0.57594123421074772</v>
      </c>
      <c r="D148" s="144">
        <f t="shared" si="52"/>
        <v>0.56668262222587984</v>
      </c>
      <c r="E148" s="144">
        <f t="shared" si="52"/>
        <v>0.56101167614204062</v>
      </c>
      <c r="F148" s="144">
        <f t="shared" si="52"/>
        <v>0.55542781544938724</v>
      </c>
      <c r="G148" s="144">
        <f t="shared" si="52"/>
        <v>0.56429423838144221</v>
      </c>
      <c r="H148" s="410"/>
      <c r="I148" s="144">
        <f t="shared" si="53"/>
        <v>0.56674742920762433</v>
      </c>
      <c r="J148" s="144">
        <f t="shared" si="53"/>
        <v>0.57144559562779473</v>
      </c>
      <c r="K148" s="144">
        <f t="shared" si="53"/>
        <v>0.56666585651247448</v>
      </c>
      <c r="L148" s="144">
        <f t="shared" si="53"/>
        <v>0.57245307171226967</v>
      </c>
      <c r="M148" s="144">
        <f t="shared" si="53"/>
        <v>0.56933391534253175</v>
      </c>
      <c r="N148" s="410"/>
      <c r="O148" s="144">
        <f t="shared" si="54"/>
        <v>0.5687979749247668</v>
      </c>
      <c r="P148" s="144">
        <f t="shared" si="54"/>
        <v>0.55712454372882103</v>
      </c>
      <c r="Q148" s="144">
        <f t="shared" si="54"/>
        <v>0.55363521807272975</v>
      </c>
      <c r="R148" s="144">
        <f t="shared" si="54"/>
        <v>0.55339718153952033</v>
      </c>
      <c r="S148" s="144">
        <f t="shared" si="54"/>
        <v>0.55794320523930496</v>
      </c>
      <c r="T148" s="410"/>
      <c r="U148" s="144">
        <f t="shared" si="55"/>
        <v>0.56927552650502555</v>
      </c>
      <c r="V148" s="144">
        <f t="shared" si="55"/>
        <v>0.55730300254064635</v>
      </c>
      <c r="W148" s="144">
        <f t="shared" si="55"/>
        <v>0.55440317991573473</v>
      </c>
      <c r="X148" s="144">
        <f t="shared" si="55"/>
        <v>0.56293066818172632</v>
      </c>
      <c r="Y148" s="144">
        <f t="shared" si="55"/>
        <v>0.56103143692595836</v>
      </c>
      <c r="Z148" s="410"/>
      <c r="AA148" s="144">
        <f t="shared" si="56"/>
        <v>0.57263940899781407</v>
      </c>
      <c r="AB148" s="144">
        <f t="shared" si="56"/>
        <v>0.55767852059552325</v>
      </c>
      <c r="AC148" s="144">
        <f t="shared" si="56"/>
        <v>0.55421505670373505</v>
      </c>
      <c r="AD148" s="144">
        <f t="shared" si="56"/>
        <v>0.56472727629610753</v>
      </c>
      <c r="AE148" s="144">
        <f t="shared" si="56"/>
        <v>0.56226230054963888</v>
      </c>
      <c r="AF148" s="410"/>
      <c r="AG148" s="144">
        <f t="shared" si="57"/>
        <v>0.58709846843619773</v>
      </c>
      <c r="AH148" s="144">
        <f t="shared" si="57"/>
        <v>0.58124042338140436</v>
      </c>
      <c r="AI148" s="144">
        <f t="shared" si="57"/>
        <v>0.56690845606559725</v>
      </c>
      <c r="AJ148" s="144">
        <f t="shared" si="57"/>
        <v>0.5664798792163428</v>
      </c>
      <c r="AK148" s="144">
        <f t="shared" si="57"/>
        <v>0.57531683552719937</v>
      </c>
      <c r="AL148" s="410"/>
      <c r="AM148" s="144">
        <f t="shared" si="58"/>
        <v>0.57474198334195448</v>
      </c>
      <c r="AN148" s="144">
        <f t="shared" si="58"/>
        <v>0.57421495579068427</v>
      </c>
      <c r="AO148" s="144">
        <f t="shared" si="58"/>
        <v>0.55563594692021201</v>
      </c>
      <c r="AP148" s="144">
        <f t="shared" si="58"/>
        <v>0.56276497542367443</v>
      </c>
      <c r="AQ148" s="144">
        <f t="shared" si="58"/>
        <v>0.56685250906616635</v>
      </c>
      <c r="AR148" s="410"/>
      <c r="AS148" s="144">
        <f t="shared" si="59"/>
        <v>0.56879027337004773</v>
      </c>
      <c r="AT148" s="144">
        <f t="shared" si="59"/>
        <v>0.57939583672079209</v>
      </c>
      <c r="AU148" s="144">
        <f t="shared" si="59"/>
        <v>0.57007772704096593</v>
      </c>
      <c r="AV148" s="144">
        <f t="shared" si="59"/>
        <v>0.57022724418259174</v>
      </c>
      <c r="AW148" s="144">
        <f t="shared" si="59"/>
        <v>0.57222401190891026</v>
      </c>
      <c r="AX148" s="410"/>
      <c r="AY148" s="144">
        <f t="shared" si="60"/>
        <v>0.58786298436400863</v>
      </c>
      <c r="AZ148" s="144">
        <f t="shared" si="60"/>
        <v>0.59343165179526736</v>
      </c>
      <c r="BA148" s="144">
        <f t="shared" si="60"/>
        <v>0.5849226641585098</v>
      </c>
      <c r="BB148" s="144">
        <f t="shared" si="60"/>
        <v>0.5832830013114676</v>
      </c>
      <c r="BC148" s="144">
        <f t="shared" si="60"/>
        <v>0.5874267346816805</v>
      </c>
      <c r="BD148" s="410"/>
      <c r="BE148" s="144">
        <f t="shared" si="61"/>
        <v>0.61107173948230675</v>
      </c>
      <c r="BF148" s="144">
        <f t="shared" si="61"/>
        <v>0.60180860578356365</v>
      </c>
      <c r="BG148" s="144">
        <f t="shared" si="61"/>
        <v>0.57833758503401367</v>
      </c>
      <c r="BH148" s="144">
        <f t="shared" si="61"/>
        <v>0.58235951630931826</v>
      </c>
      <c r="BI148" s="144">
        <f t="shared" si="61"/>
        <v>0.59333450726000281</v>
      </c>
      <c r="BJ148" s="410"/>
      <c r="BK148" s="144">
        <f>BK109</f>
        <v>0.58940397350993379</v>
      </c>
      <c r="BL148" s="144">
        <f t="shared" si="62"/>
        <v>0.58791264601320459</v>
      </c>
      <c r="BM148" s="144">
        <f t="shared" si="62"/>
        <v>0.59062749800159886</v>
      </c>
      <c r="BN148" s="144">
        <f t="shared" si="62"/>
        <v>0.58101230683816041</v>
      </c>
      <c r="BO148" s="144">
        <f>BO109</f>
        <v>0.58705046880133449</v>
      </c>
      <c r="BP148" s="410"/>
      <c r="BQ148" s="144">
        <f t="shared" si="63"/>
        <v>0.57673464825912479</v>
      </c>
      <c r="BR148" s="144">
        <f t="shared" si="63"/>
        <v>0.58535623840878015</v>
      </c>
      <c r="BS148" s="144">
        <f t="shared" si="63"/>
        <v>0.5850817820165316</v>
      </c>
      <c r="BT148" s="144">
        <f t="shared" si="63"/>
        <v>0.58518313632672325</v>
      </c>
      <c r="BU148" s="144">
        <f t="shared" si="63"/>
        <v>0.58331753363366989</v>
      </c>
      <c r="BV148" s="410"/>
      <c r="BW148" s="144">
        <f t="shared" si="64"/>
        <v>0.57954631039867555</v>
      </c>
      <c r="BX148" s="144">
        <f t="shared" si="64"/>
        <v>0.58814457323349256</v>
      </c>
      <c r="BY148" s="144">
        <f t="shared" si="64"/>
        <v>0.58790205795194628</v>
      </c>
      <c r="BZ148" s="144">
        <f t="shared" si="64"/>
        <v>0.58803735759895315</v>
      </c>
      <c r="CA148" s="144">
        <f t="shared" si="64"/>
        <v>0.58614658054521629</v>
      </c>
      <c r="CB148" s="410"/>
      <c r="CC148" s="144">
        <f t="shared" si="65"/>
        <v>0.5823597422250254</v>
      </c>
      <c r="CD148" s="144">
        <f t="shared" si="65"/>
        <v>0.59104639426251571</v>
      </c>
      <c r="CE148" s="144">
        <f t="shared" si="65"/>
        <v>0.59079500783019456</v>
      </c>
      <c r="CF148" s="144">
        <f t="shared" si="65"/>
        <v>0.59089266695770948</v>
      </c>
      <c r="CG148" s="144">
        <f t="shared" si="65"/>
        <v>0.58900584058648009</v>
      </c>
      <c r="CH148" s="138"/>
      <c r="CI148" s="138"/>
      <c r="CJ148" s="138"/>
      <c r="CK148" s="138"/>
      <c r="CL148" s="138"/>
      <c r="CM148" s="330"/>
      <c r="CN148" s="330"/>
      <c r="CO148" s="330"/>
      <c r="CP148" s="330"/>
      <c r="CQ148" s="330"/>
      <c r="CR148" s="330"/>
      <c r="CS148" s="330"/>
      <c r="CT148" s="330"/>
      <c r="CU148" s="330"/>
      <c r="CW148" s="410"/>
    </row>
    <row r="149" spans="1:101" ht="12.75" hidden="1" customHeight="1" outlineLevel="1" x14ac:dyDescent="0.2">
      <c r="A149" s="332"/>
      <c r="B149" s="487" t="s">
        <v>201</v>
      </c>
      <c r="C149" s="144">
        <f>C148</f>
        <v>0.57594123421074772</v>
      </c>
      <c r="D149" s="144">
        <f>D148</f>
        <v>0.56668262222587984</v>
      </c>
      <c r="E149" s="144">
        <f>E148</f>
        <v>0.56101167614204062</v>
      </c>
      <c r="F149" s="144">
        <f>F148</f>
        <v>0.55542781544938724</v>
      </c>
      <c r="G149" s="144">
        <f>G148</f>
        <v>0.56429423838144221</v>
      </c>
      <c r="H149" s="410"/>
      <c r="I149" s="144">
        <f>I148</f>
        <v>0.56674742920762433</v>
      </c>
      <c r="J149" s="144">
        <f>J148</f>
        <v>0.57144559562779473</v>
      </c>
      <c r="K149" s="144">
        <f>K148</f>
        <v>0.56666585651247448</v>
      </c>
      <c r="L149" s="144">
        <f>L148</f>
        <v>0.57245307171226967</v>
      </c>
      <c r="M149" s="144">
        <f>M148</f>
        <v>0.56933391534253175</v>
      </c>
      <c r="N149" s="410"/>
      <c r="O149" s="144">
        <f>O148</f>
        <v>0.5687979749247668</v>
      </c>
      <c r="P149" s="144">
        <f>P148</f>
        <v>0.55712454372882103</v>
      </c>
      <c r="Q149" s="144">
        <f>Q148</f>
        <v>0.55363521807272975</v>
      </c>
      <c r="R149" s="144">
        <f>R148</f>
        <v>0.55339718153952033</v>
      </c>
      <c r="S149" s="144">
        <f>S148</f>
        <v>0.55794320523930496</v>
      </c>
      <c r="T149" s="410"/>
      <c r="U149" s="144">
        <f>U148</f>
        <v>0.56927552650502555</v>
      </c>
      <c r="V149" s="144">
        <f>V148</f>
        <v>0.55730300254064635</v>
      </c>
      <c r="W149" s="144">
        <f>W148</f>
        <v>0.55440317991573473</v>
      </c>
      <c r="X149" s="144">
        <f>X148</f>
        <v>0.56293066818172632</v>
      </c>
      <c r="Y149" s="144">
        <f>Y148</f>
        <v>0.56103143692595836</v>
      </c>
      <c r="Z149" s="410"/>
      <c r="AA149" s="144">
        <f>AA148</f>
        <v>0.57263940899781407</v>
      </c>
      <c r="AB149" s="144">
        <f>AB148</f>
        <v>0.55767852059552325</v>
      </c>
      <c r="AC149" s="144">
        <f>AC148</f>
        <v>0.55421505670373505</v>
      </c>
      <c r="AD149" s="144">
        <f>AD148</f>
        <v>0.56472727629610753</v>
      </c>
      <c r="AE149" s="144">
        <f>AE148</f>
        <v>0.56226230054963888</v>
      </c>
      <c r="AF149" s="410"/>
      <c r="AG149" s="144">
        <f>AG148</f>
        <v>0.58709846843619773</v>
      </c>
      <c r="AH149" s="144">
        <f>AH148</f>
        <v>0.58124042338140436</v>
      </c>
      <c r="AI149" s="144">
        <f>AI148</f>
        <v>0.56690845606559725</v>
      </c>
      <c r="AJ149" s="144">
        <f>AJ148</f>
        <v>0.5664798792163428</v>
      </c>
      <c r="AK149" s="144">
        <f>AK148</f>
        <v>0.57531683552719937</v>
      </c>
      <c r="AL149" s="410"/>
      <c r="AM149" s="516">
        <f>AM148+0.0045</f>
        <v>0.57924198334195443</v>
      </c>
      <c r="AN149" s="516">
        <f>AN148+0.0045</f>
        <v>0.57871495579068422</v>
      </c>
      <c r="AO149" s="516">
        <f>AO148+0.0045</f>
        <v>0.56013594692021196</v>
      </c>
      <c r="AP149" s="516">
        <f>AP148+0.0045</f>
        <v>0.56726497542367438</v>
      </c>
      <c r="AQ149" s="516">
        <f>AQ148+0.0045</f>
        <v>0.5713525090661663</v>
      </c>
      <c r="AR149" s="144"/>
      <c r="AS149" s="516">
        <f>AS148+0.0045</f>
        <v>0.57329027337004768</v>
      </c>
      <c r="AT149" s="526">
        <f>AT148+0.0045</f>
        <v>0.58389583672079204</v>
      </c>
      <c r="AU149" s="526">
        <f>AU148+0.0045</f>
        <v>0.57457772704096588</v>
      </c>
      <c r="AV149" s="526">
        <f>AV148+0.0045</f>
        <v>0.57472724418259169</v>
      </c>
      <c r="AW149" s="144">
        <f>AW148+0.0045</f>
        <v>0.57672401190891021</v>
      </c>
      <c r="AX149" s="410"/>
      <c r="AY149" s="516">
        <f>AY148+0.0045</f>
        <v>0.59236298436400858</v>
      </c>
      <c r="AZ149" s="526">
        <f>AZ148</f>
        <v>0.59343165179526736</v>
      </c>
      <c r="BA149" s="526">
        <f>BA148</f>
        <v>0.5849226641585098</v>
      </c>
      <c r="BB149" s="526">
        <f>BB148</f>
        <v>0.5832830013114676</v>
      </c>
      <c r="BC149" s="144">
        <f>BC148+0.001</f>
        <v>0.5884267346816805</v>
      </c>
      <c r="BD149" s="410"/>
      <c r="BE149" s="144">
        <f>BE148+0.0045</f>
        <v>0.6155717394823067</v>
      </c>
      <c r="BF149" s="144">
        <f>BF148+0.0045</f>
        <v>0.6063086057835636</v>
      </c>
      <c r="BG149" s="144">
        <f>BG148+0.0045</f>
        <v>0.58283758503401362</v>
      </c>
      <c r="BH149" s="144">
        <f>BH148+0.0045</f>
        <v>0.58685951630931821</v>
      </c>
      <c r="BI149" s="144">
        <f>BI148+0.0045</f>
        <v>0.59783450726000276</v>
      </c>
      <c r="BJ149" s="410"/>
      <c r="BK149" s="144">
        <f>BK148+0.0045</f>
        <v>0.59390397350993374</v>
      </c>
      <c r="BL149" s="144">
        <f>BL148+0.0045</f>
        <v>0.59241264601320454</v>
      </c>
      <c r="BM149" s="144">
        <f>BM148+0.0045</f>
        <v>0.59512749800159881</v>
      </c>
      <c r="BN149" s="144">
        <f>BN148+0.0045</f>
        <v>0.58551230683816036</v>
      </c>
      <c r="BO149" s="144">
        <f>BO148+0.0045</f>
        <v>0.59155046880133444</v>
      </c>
      <c r="BP149" s="410"/>
      <c r="BQ149" s="144">
        <f>BQ148+0.0045</f>
        <v>0.58123464825912474</v>
      </c>
      <c r="BR149" s="144">
        <f>BR148+0.0045</f>
        <v>0.5898562384087801</v>
      </c>
      <c r="BS149" s="144">
        <f>BS148+0.0045</f>
        <v>0.58958178201653155</v>
      </c>
      <c r="BT149" s="144">
        <f>BT148+0.0045</f>
        <v>0.5896831363267232</v>
      </c>
      <c r="BU149" s="144">
        <f>BU148+0.0045</f>
        <v>0.58781753363366984</v>
      </c>
      <c r="BV149" s="410"/>
      <c r="BW149" s="144">
        <f>BW148+0.0045</f>
        <v>0.58404631039867549</v>
      </c>
      <c r="BX149" s="144">
        <f>BX148+0.0045</f>
        <v>0.59264457323349251</v>
      </c>
      <c r="BY149" s="144">
        <f>BY148+0.0045</f>
        <v>0.59240205795194623</v>
      </c>
      <c r="BZ149" s="144">
        <f>BZ148+0.0045</f>
        <v>0.5925373575989531</v>
      </c>
      <c r="CA149" s="144">
        <f>CA148+0.0045</f>
        <v>0.59064658054521624</v>
      </c>
      <c r="CB149" s="410"/>
      <c r="CC149" s="144">
        <f>CC148+0.0045</f>
        <v>0.58685974222502535</v>
      </c>
      <c r="CD149" s="144">
        <f>CD148+0.0045</f>
        <v>0.59554639426251565</v>
      </c>
      <c r="CE149" s="144">
        <f>CE148+0.0045</f>
        <v>0.59529500783019451</v>
      </c>
      <c r="CF149" s="144">
        <f>CF148+0.0045</f>
        <v>0.59539266695770943</v>
      </c>
      <c r="CG149" s="144">
        <f>CG148+0.0045</f>
        <v>0.59350584058648004</v>
      </c>
      <c r="CH149" s="138"/>
      <c r="CI149" s="138"/>
      <c r="CJ149" s="138"/>
      <c r="CK149" s="138"/>
      <c r="CL149" s="138"/>
      <c r="CM149" s="138"/>
      <c r="CN149" s="138"/>
      <c r="CO149" s="138"/>
      <c r="CP149" s="138"/>
      <c r="CQ149" s="138"/>
      <c r="CR149" s="138"/>
      <c r="CS149" s="138"/>
      <c r="CT149" s="138"/>
      <c r="CU149" s="138"/>
      <c r="CW149" s="410"/>
    </row>
    <row r="150" spans="1:101" ht="12.75" hidden="1" customHeight="1" outlineLevel="1" x14ac:dyDescent="0.2">
      <c r="A150" s="423"/>
      <c r="B150" s="411" t="s">
        <v>179</v>
      </c>
      <c r="C150" s="143">
        <f>C113</f>
        <v>0.3585374516944107</v>
      </c>
      <c r="D150" s="143">
        <f>D113</f>
        <v>0.34251270239146958</v>
      </c>
      <c r="E150" s="143">
        <f>E113</f>
        <v>0.34067326665809439</v>
      </c>
      <c r="F150" s="143">
        <f>F113</f>
        <v>0.31931409417814061</v>
      </c>
      <c r="G150" s="144">
        <f>G113</f>
        <v>0.33937907028466002</v>
      </c>
      <c r="H150" s="406"/>
      <c r="I150" s="143">
        <f>I113</f>
        <v>0.33481596677245273</v>
      </c>
      <c r="J150" s="143">
        <f>J113</f>
        <v>0.3460382366171938</v>
      </c>
      <c r="K150" s="143">
        <f>K113</f>
        <v>0.35004598307244722</v>
      </c>
      <c r="L150" s="143">
        <f>L113</f>
        <v>0.34477003682944651</v>
      </c>
      <c r="M150" s="144">
        <f>M113</f>
        <v>0.34383917578684092</v>
      </c>
      <c r="N150" s="406"/>
      <c r="O150" s="143">
        <f>O113</f>
        <v>0.3529859677298367</v>
      </c>
      <c r="P150" s="143">
        <f>P113</f>
        <v>0.32960191995250138</v>
      </c>
      <c r="Q150" s="143">
        <f>Q113</f>
        <v>0.33542951105786006</v>
      </c>
      <c r="R150" s="143">
        <f>R113</f>
        <v>0.31293470335618845</v>
      </c>
      <c r="S150" s="144">
        <f>S113</f>
        <v>0.33195659565280244</v>
      </c>
      <c r="T150" s="406"/>
      <c r="U150" s="143">
        <f>U113</f>
        <v>0.3458667949001441</v>
      </c>
      <c r="V150" s="143">
        <f>V113</f>
        <v>0.32651999028894912</v>
      </c>
      <c r="W150" s="143">
        <f>W113</f>
        <v>0.34201972628261812</v>
      </c>
      <c r="X150" s="143">
        <f>X113</f>
        <v>0.31977864748804619</v>
      </c>
      <c r="Y150" s="144">
        <f>Y113</f>
        <v>0.33317810344610449</v>
      </c>
      <c r="Z150" s="406"/>
      <c r="AA150" s="143">
        <f>AA113</f>
        <v>0.35508684376724281</v>
      </c>
      <c r="AB150" s="143">
        <f>AB113</f>
        <v>0.33527286616141638</v>
      </c>
      <c r="AC150" s="143">
        <f>AC113</f>
        <v>0.35079596465020452</v>
      </c>
      <c r="AD150" s="143">
        <f>AD113</f>
        <v>0.35829309781347024</v>
      </c>
      <c r="AE150" s="144">
        <f>AE113</f>
        <v>0.3500990389878908</v>
      </c>
      <c r="AF150" s="406"/>
      <c r="AG150" s="143">
        <f>AG113</f>
        <v>0.38511579826499959</v>
      </c>
      <c r="AH150" s="143">
        <f>AH113</f>
        <v>0.36136224943937945</v>
      </c>
      <c r="AI150" s="143">
        <f>AI113</f>
        <v>0.36270394082995433</v>
      </c>
      <c r="AJ150" s="143">
        <f>AJ113</f>
        <v>0.35877253409091719</v>
      </c>
      <c r="AK150" s="144">
        <f>AK113</f>
        <v>0.36675074076846037</v>
      </c>
      <c r="AL150" s="406"/>
      <c r="AM150" s="143">
        <f>AM113</f>
        <v>0.37688977437051308</v>
      </c>
      <c r="AN150" s="143">
        <f>AN113</f>
        <v>0.35422510980905791</v>
      </c>
      <c r="AO150" s="143">
        <f>AO113</f>
        <v>0.35850460041832305</v>
      </c>
      <c r="AP150" s="143">
        <f>AP113</f>
        <v>0.35858877871713946</v>
      </c>
      <c r="AQ150" s="144">
        <f>AQ113</f>
        <v>0.36193587894682938</v>
      </c>
      <c r="AR150" s="406"/>
      <c r="AS150" s="143">
        <f>AS113</f>
        <v>0.368309167711734</v>
      </c>
      <c r="AT150" s="143">
        <f>AT113</f>
        <v>0.36170728834957572</v>
      </c>
      <c r="AU150" s="143">
        <f>AU113</f>
        <v>0.36286022763853348</v>
      </c>
      <c r="AV150" s="143">
        <f>AV113</f>
        <v>0.36571294037488039</v>
      </c>
      <c r="AW150" s="144">
        <f>AW113</f>
        <v>0.36461617234547494</v>
      </c>
      <c r="AX150" s="406"/>
      <c r="AY150" s="143">
        <f>AY113</f>
        <v>0.38087730100472267</v>
      </c>
      <c r="AZ150" s="143">
        <f>AZ113</f>
        <v>0.3510049533883291</v>
      </c>
      <c r="BA150" s="143">
        <f>BA113</f>
        <v>0.35419224867294896</v>
      </c>
      <c r="BB150" s="143">
        <f>BB113</f>
        <v>0.3601940928237079</v>
      </c>
      <c r="BC150" s="144">
        <f>BC113</f>
        <v>0.36121976113241838</v>
      </c>
      <c r="BD150" s="406"/>
      <c r="BE150" s="144">
        <f>+BE40/BE15</f>
        <v>0.38087730100472267</v>
      </c>
      <c r="BF150" s="144">
        <f>+BF40/BF15</f>
        <v>0.36516634050880625</v>
      </c>
      <c r="BG150" s="144">
        <f>+BG40/BG15</f>
        <v>0.36440677966101698</v>
      </c>
      <c r="BH150" s="144">
        <f>+BH40/BH15</f>
        <v>0.36743486973947898</v>
      </c>
      <c r="BI150" s="144">
        <f>+BI40/BI15</f>
        <v>0.36933558503028652</v>
      </c>
      <c r="BJ150" s="406"/>
      <c r="BK150" s="144">
        <f>+BK40/BK15</f>
        <v>0.41818181818181815</v>
      </c>
      <c r="BL150" s="144">
        <f>+BL40/BL15</f>
        <v>0.38593844296922147</v>
      </c>
      <c r="BM150" s="144">
        <f>+BM40/BM15</f>
        <v>0.37556919421896662</v>
      </c>
      <c r="BN150" s="144">
        <f>+BN40/BN15</f>
        <v>0.35838680109990834</v>
      </c>
      <c r="BO150" s="144">
        <f>+BO40/BO15</f>
        <v>0.38307399809876419</v>
      </c>
      <c r="BP150" s="406"/>
      <c r="BQ150" s="144">
        <f>+BQ40/BQ15</f>
        <v>0.42395999242559729</v>
      </c>
      <c r="BR150" s="144">
        <f>+BR40/BR15</f>
        <v>0.40113321459836382</v>
      </c>
      <c r="BS150" s="144">
        <f>+BS40/BS15</f>
        <v>0.37652001567102672</v>
      </c>
      <c r="BT150" s="144">
        <f>+BT40/BT15</f>
        <v>0.36280138001726742</v>
      </c>
      <c r="BU150" s="144">
        <f>+BU40/BU15</f>
        <v>0.38949849028495426</v>
      </c>
      <c r="BV150" s="406"/>
      <c r="BW150" s="443">
        <f>+BQ150-0.003</f>
        <v>0.42095999242559728</v>
      </c>
      <c r="BX150" s="443">
        <f>+BR150-0.003</f>
        <v>0.39813321459836382</v>
      </c>
      <c r="BY150" s="443">
        <f>+BS150-0.003</f>
        <v>0.37352001567102672</v>
      </c>
      <c r="BZ150" s="443">
        <f>+BT150-0.003</f>
        <v>0.35980138001726741</v>
      </c>
      <c r="CA150" s="144">
        <f>CA113</f>
        <v>0.37518211810614199</v>
      </c>
      <c r="CB150" s="406"/>
      <c r="CC150" s="443">
        <f>+BW150-0.003</f>
        <v>0.41795999242559728</v>
      </c>
      <c r="CD150" s="443">
        <f>+BX150-0.003</f>
        <v>0.39513321459836381</v>
      </c>
      <c r="CE150" s="443">
        <f>+BY150-0.003</f>
        <v>0.37052001567102671</v>
      </c>
      <c r="CF150" s="443">
        <f>+BZ150-0.003</f>
        <v>0.35680138001726741</v>
      </c>
      <c r="CG150" s="144">
        <f>CG113</f>
        <v>0.36921622053824177</v>
      </c>
      <c r="CH150" s="138"/>
      <c r="CI150" s="138"/>
      <c r="CJ150" s="138"/>
      <c r="CK150" s="138"/>
      <c r="CL150" s="138"/>
      <c r="CM150" s="330"/>
      <c r="CN150" s="330"/>
      <c r="CO150" s="330"/>
      <c r="CP150" s="330"/>
      <c r="CQ150" s="330"/>
      <c r="CR150" s="330"/>
      <c r="CS150" s="330"/>
      <c r="CT150" s="330"/>
      <c r="CU150" s="330"/>
      <c r="CV150" s="980"/>
      <c r="CW150" s="406"/>
    </row>
    <row r="151" spans="1:101" ht="12.75" hidden="1" customHeight="1" outlineLevel="1" x14ac:dyDescent="0.2">
      <c r="A151" s="423"/>
      <c r="B151" s="120" t="s">
        <v>525</v>
      </c>
      <c r="C151" s="143"/>
      <c r="D151" s="143"/>
      <c r="E151" s="143"/>
      <c r="F151" s="143"/>
      <c r="G151" s="144"/>
      <c r="H151" s="406"/>
      <c r="I151" s="143"/>
      <c r="J151" s="143"/>
      <c r="K151" s="143"/>
      <c r="L151" s="143"/>
      <c r="M151" s="144"/>
      <c r="N151" s="406"/>
      <c r="O151" s="143"/>
      <c r="P151" s="143"/>
      <c r="Q151" s="143"/>
      <c r="R151" s="143"/>
      <c r="S151" s="144"/>
      <c r="T151" s="406"/>
      <c r="U151" s="143"/>
      <c r="V151" s="143"/>
      <c r="W151" s="143"/>
      <c r="X151" s="143"/>
      <c r="Y151" s="144"/>
      <c r="Z151" s="406"/>
      <c r="AA151" s="143"/>
      <c r="AB151" s="143"/>
      <c r="AC151" s="143"/>
      <c r="AD151" s="143"/>
      <c r="AE151" s="144"/>
      <c r="AF151" s="406"/>
      <c r="AG151" s="143"/>
      <c r="AH151" s="143"/>
      <c r="AI151" s="143"/>
      <c r="AJ151" s="143"/>
      <c r="AK151" s="144"/>
      <c r="AL151" s="406"/>
      <c r="AM151" s="143"/>
      <c r="AN151" s="143"/>
      <c r="AO151" s="143"/>
      <c r="AP151" s="143"/>
      <c r="AQ151" s="144"/>
      <c r="AR151" s="406"/>
      <c r="AS151" s="143"/>
      <c r="AT151" s="143"/>
      <c r="AU151" s="143"/>
      <c r="AV151" s="143"/>
      <c r="AW151" s="144"/>
      <c r="AX151" s="406"/>
      <c r="AY151" s="143"/>
      <c r="AZ151" s="143"/>
      <c r="BA151" s="143"/>
      <c r="BB151" s="443"/>
      <c r="BC151" s="144"/>
      <c r="BD151" s="406"/>
      <c r="BE151" s="443">
        <f>+AY150-0.003</f>
        <v>0.37787730100472267</v>
      </c>
      <c r="BF151" s="443">
        <f>+AZ150-0.003</f>
        <v>0.3480049533883291</v>
      </c>
      <c r="BG151" s="443">
        <f>+BA150-0.003</f>
        <v>0.35119224867294896</v>
      </c>
      <c r="BH151" s="443">
        <f>+BB150-0.003</f>
        <v>0.3571940928237079</v>
      </c>
      <c r="BI151" s="144">
        <f>+(BI40+RevBuild!BI97)/BI15</f>
        <v>0.37061190921662984</v>
      </c>
      <c r="BJ151" s="406"/>
      <c r="BK151" s="443">
        <f>+BE150-0.003</f>
        <v>0.37787730100472267</v>
      </c>
      <c r="BL151" s="443">
        <f>+BF150-0.003</f>
        <v>0.36216634050880625</v>
      </c>
      <c r="BM151" s="443">
        <f>+BG150-0.003</f>
        <v>0.36140677966101697</v>
      </c>
      <c r="BN151" s="443">
        <f>+BH150-0.003</f>
        <v>0.36443486973947897</v>
      </c>
      <c r="BO151" s="144">
        <f>+(BO40+RevBuild!BO97)/BO15</f>
        <v>0.39182968929804368</v>
      </c>
      <c r="BP151" s="406"/>
      <c r="BQ151" s="443">
        <f>+BK150-0.003</f>
        <v>0.41518181818181815</v>
      </c>
      <c r="BR151" s="443">
        <f>+BL150-0.003</f>
        <v>0.38293844296922147</v>
      </c>
      <c r="BS151" s="443">
        <f>+BM150-0.003</f>
        <v>0.37256919421896662</v>
      </c>
      <c r="BT151" s="443">
        <f>+BN150-0.003</f>
        <v>0.35538680109990833</v>
      </c>
      <c r="BU151" s="144">
        <f>+(BU40+RevBuild!BU97)/BU15</f>
        <v>0.40829649863596951</v>
      </c>
      <c r="BV151" s="406"/>
      <c r="BW151" s="144" t="e">
        <f>+(BW40+#REF!)/BW15</f>
        <v>#REF!</v>
      </c>
      <c r="BX151" s="144" t="e">
        <f>+(BX40+#REF!)/BX15</f>
        <v>#REF!</v>
      </c>
      <c r="BY151" s="144" t="e">
        <f>+(BY40+#REF!)/BY15</f>
        <v>#REF!</v>
      </c>
      <c r="BZ151" s="144" t="e">
        <f>+(BZ40+#REF!)/BZ15</f>
        <v>#REF!</v>
      </c>
      <c r="CA151" s="144" t="e">
        <f>+(CA40+#REF!)/CA15</f>
        <v>#REF!</v>
      </c>
      <c r="CB151" s="406"/>
      <c r="CC151" s="144" t="e">
        <f>+(CC40+#REF!)/CC15</f>
        <v>#REF!</v>
      </c>
      <c r="CD151" s="144" t="e">
        <f>+(CD40+#REF!)/CD15</f>
        <v>#REF!</v>
      </c>
      <c r="CE151" s="144" t="e">
        <f>+(CE40+#REF!)/CE15</f>
        <v>#REF!</v>
      </c>
      <c r="CF151" s="144" t="e">
        <f>+(CF40+#REF!)/CF15</f>
        <v>#REF!</v>
      </c>
      <c r="CG151" s="144" t="e">
        <f>+(CG40+#REF!)/CG15</f>
        <v>#REF!</v>
      </c>
      <c r="CH151" s="138"/>
      <c r="CI151" s="138"/>
      <c r="CJ151" s="138"/>
      <c r="CK151" s="138"/>
      <c r="CL151" s="138"/>
      <c r="CM151" s="330"/>
      <c r="CN151" s="330"/>
      <c r="CO151" s="330"/>
      <c r="CP151" s="330"/>
      <c r="CQ151" s="330"/>
      <c r="CR151" s="330"/>
      <c r="CS151" s="330"/>
      <c r="CT151" s="330"/>
      <c r="CU151" s="330"/>
      <c r="CV151" s="980"/>
      <c r="CW151" s="406"/>
    </row>
    <row r="152" spans="1:101" ht="12.75" hidden="1" customHeight="1" outlineLevel="1" x14ac:dyDescent="0.2">
      <c r="A152" s="423"/>
      <c r="B152" s="120" t="s">
        <v>0</v>
      </c>
      <c r="C152" s="143"/>
      <c r="D152" s="143"/>
      <c r="E152" s="143"/>
      <c r="F152" s="143"/>
      <c r="G152" s="143"/>
      <c r="H152" s="138"/>
      <c r="I152" s="144">
        <f>I150-C150</f>
        <v>-2.3721484921957969E-2</v>
      </c>
      <c r="J152" s="144">
        <f>J150-D150</f>
        <v>3.5255342257242139E-3</v>
      </c>
      <c r="K152" s="144">
        <f>K150-E150</f>
        <v>9.372716414352833E-3</v>
      </c>
      <c r="L152" s="144">
        <f>L150-F150</f>
        <v>2.5455942651305907E-2</v>
      </c>
      <c r="M152" s="144">
        <f>M150-G150</f>
        <v>4.4601055021809E-3</v>
      </c>
      <c r="N152" s="410"/>
      <c r="O152" s="144">
        <f>O150-I150</f>
        <v>1.8170000957383969E-2</v>
      </c>
      <c r="P152" s="144">
        <f>P150-J150</f>
        <v>-1.6436316664692419E-2</v>
      </c>
      <c r="Q152" s="144">
        <f>Q150-K150</f>
        <v>-1.4616472014587156E-2</v>
      </c>
      <c r="R152" s="144">
        <f>R150-L150</f>
        <v>-3.1835333473258065E-2</v>
      </c>
      <c r="S152" s="144">
        <f>S150-M150</f>
        <v>-1.1882580134038478E-2</v>
      </c>
      <c r="T152" s="410"/>
      <c r="U152" s="144">
        <f>U150-O150</f>
        <v>-7.1191728296925993E-3</v>
      </c>
      <c r="V152" s="144">
        <f>V150-P150</f>
        <v>-3.081929663552252E-3</v>
      </c>
      <c r="W152" s="144">
        <f>W150-Q150</f>
        <v>6.5902152247580559E-3</v>
      </c>
      <c r="X152" s="144">
        <f>X150-R150</f>
        <v>6.8439441318577376E-3</v>
      </c>
      <c r="Y152" s="144">
        <f>Y150-S150</f>
        <v>1.2215077933020457E-3</v>
      </c>
      <c r="Z152" s="410"/>
      <c r="AA152" s="144">
        <f>AA150-U150</f>
        <v>9.2200488670987069E-3</v>
      </c>
      <c r="AB152" s="144">
        <f>AB150-V150</f>
        <v>8.7528758724672584E-3</v>
      </c>
      <c r="AC152" s="144">
        <f>AC150-W150</f>
        <v>8.7762383675863975E-3</v>
      </c>
      <c r="AD152" s="144">
        <f>AD150-X150</f>
        <v>3.8514450325424054E-2</v>
      </c>
      <c r="AE152" s="144">
        <f>AE150-Y150</f>
        <v>1.6920935541786308E-2</v>
      </c>
      <c r="AF152" s="410"/>
      <c r="AG152" s="144">
        <f>AG150-AA150</f>
        <v>3.0028954497756777E-2</v>
      </c>
      <c r="AH152" s="144">
        <f>AH150-AB150</f>
        <v>2.6089383277963063E-2</v>
      </c>
      <c r="AI152" s="144">
        <f>AI150-AC150</f>
        <v>1.1907976179749813E-2</v>
      </c>
      <c r="AJ152" s="144">
        <f>AJ150-AD150</f>
        <v>4.7943627744695405E-4</v>
      </c>
      <c r="AK152" s="144">
        <f>AK150-AE150</f>
        <v>1.6651701780569572E-2</v>
      </c>
      <c r="AL152" s="410"/>
      <c r="AM152" s="144">
        <f>AM150-AG150</f>
        <v>-8.2260238944865116E-3</v>
      </c>
      <c r="AN152" s="144">
        <f>AN150-AH150</f>
        <v>-7.1371396303215318E-3</v>
      </c>
      <c r="AO152" s="144">
        <f>AO150-AI150</f>
        <v>-4.1993404116312805E-3</v>
      </c>
      <c r="AP152" s="144">
        <f>AP150-AJ150</f>
        <v>-1.8375537377773865E-4</v>
      </c>
      <c r="AQ152" s="144">
        <f>AQ150-AK150</f>
        <v>-4.8148618216309891E-3</v>
      </c>
      <c r="AR152" s="410"/>
      <c r="AS152" s="144">
        <f>AS150-AM150</f>
        <v>-8.5806066587790775E-3</v>
      </c>
      <c r="AT152" s="144">
        <f>AT150-AN150</f>
        <v>7.4821785405178032E-3</v>
      </c>
      <c r="AU152" s="144">
        <f>AU150-AO150</f>
        <v>4.355627220210434E-3</v>
      </c>
      <c r="AV152" s="144">
        <f>AV150-AP150</f>
        <v>7.124161657740935E-3</v>
      </c>
      <c r="AW152" s="144">
        <f>AW150-AQ150</f>
        <v>2.6802933986455613E-3</v>
      </c>
      <c r="AX152" s="410"/>
      <c r="AY152" s="144">
        <f>AY150-AS150</f>
        <v>1.256813329298867E-2</v>
      </c>
      <c r="AZ152" s="144">
        <f>AZ150-AT150</f>
        <v>-1.0702334961246618E-2</v>
      </c>
      <c r="BA152" s="144">
        <f>BA150-AU150</f>
        <v>-8.6679789655845219E-3</v>
      </c>
      <c r="BB152" s="144">
        <f>BB150-AV150</f>
        <v>-5.5188475511724899E-3</v>
      </c>
      <c r="BC152" s="144">
        <f>BC150-AW150</f>
        <v>-3.3964112130565605E-3</v>
      </c>
      <c r="BD152" s="410"/>
      <c r="BE152" s="144">
        <f>BE150-AY150</f>
        <v>0</v>
      </c>
      <c r="BF152" s="144">
        <f>BF150-AZ150</f>
        <v>1.4161387120477154E-2</v>
      </c>
      <c r="BG152" s="144">
        <f>BG150-BA150</f>
        <v>1.0214530988068016E-2</v>
      </c>
      <c r="BH152" s="144">
        <f>BH150-BB150</f>
        <v>7.2407769157710744E-3</v>
      </c>
      <c r="BI152" s="144">
        <f>BI150-BC150</f>
        <v>8.1158238978681352E-3</v>
      </c>
      <c r="BJ152" s="410"/>
      <c r="BK152" s="144">
        <f>BK150-BE150</f>
        <v>3.7304517177095486E-2</v>
      </c>
      <c r="BL152" s="144">
        <f>BL150-BF150</f>
        <v>2.077210246041522E-2</v>
      </c>
      <c r="BM152" s="144">
        <f>BM150-BG150</f>
        <v>1.116241455794964E-2</v>
      </c>
      <c r="BN152" s="144">
        <f>BN150-BH150</f>
        <v>-9.0480686395706389E-3</v>
      </c>
      <c r="BO152" s="144">
        <f>BO150-BI150</f>
        <v>1.3738413068477673E-2</v>
      </c>
      <c r="BP152" s="410"/>
      <c r="BQ152" s="144">
        <f>BQ150-BK150</f>
        <v>5.7781742437791328E-3</v>
      </c>
      <c r="BR152" s="144">
        <f>BR150-BL150</f>
        <v>1.5194771629142345E-2</v>
      </c>
      <c r="BS152" s="144">
        <f>BS150-BM150</f>
        <v>9.5082145206010216E-4</v>
      </c>
      <c r="BT152" s="144">
        <f>BT150-BN150</f>
        <v>4.4145789173590799E-3</v>
      </c>
      <c r="BU152" s="144">
        <f>BU150-BO150</f>
        <v>6.4244921861900672E-3</v>
      </c>
      <c r="BV152" s="410"/>
      <c r="BW152" s="144">
        <f>BW150-BQ150</f>
        <v>-3.0000000000000027E-3</v>
      </c>
      <c r="BX152" s="144">
        <f>BX150-BR150</f>
        <v>-3.0000000000000027E-3</v>
      </c>
      <c r="BY152" s="144">
        <f>BY150-BS150</f>
        <v>-3.0000000000000027E-3</v>
      </c>
      <c r="BZ152" s="144">
        <f>BZ150-BT150</f>
        <v>-3.0000000000000027E-3</v>
      </c>
      <c r="CA152" s="144">
        <f>CA150-BU150</f>
        <v>-1.4316372178812264E-2</v>
      </c>
      <c r="CB152" s="410"/>
      <c r="CC152" s="144">
        <f>CC150-BW150</f>
        <v>-3.0000000000000027E-3</v>
      </c>
      <c r="CD152" s="144">
        <f>CD150-BX150</f>
        <v>-3.0000000000000027E-3</v>
      </c>
      <c r="CE152" s="144">
        <f>CE150-BY150</f>
        <v>-3.0000000000000027E-3</v>
      </c>
      <c r="CF152" s="144">
        <f>CF150-BZ150</f>
        <v>-3.0000000000000027E-3</v>
      </c>
      <c r="CG152" s="144">
        <f>CG150-CA150</f>
        <v>-5.9658975679002246E-3</v>
      </c>
      <c r="CH152" s="138"/>
      <c r="CI152" s="138"/>
      <c r="CJ152" s="138"/>
      <c r="CK152" s="138"/>
      <c r="CL152" s="138"/>
      <c r="CM152" s="330"/>
      <c r="CN152" s="330"/>
      <c r="CO152" s="330"/>
      <c r="CP152" s="330"/>
      <c r="CQ152" s="330"/>
      <c r="CR152" s="330"/>
      <c r="CS152" s="330"/>
      <c r="CT152" s="330"/>
      <c r="CU152" s="330"/>
      <c r="CW152" s="410"/>
    </row>
    <row r="153" spans="1:101" ht="12.75" hidden="1" customHeight="1" outlineLevel="1" x14ac:dyDescent="0.2">
      <c r="A153" s="423"/>
      <c r="B153" s="120" t="s">
        <v>19</v>
      </c>
      <c r="C153" s="143"/>
      <c r="D153" s="143"/>
      <c r="E153" s="143"/>
      <c r="F153" s="143"/>
      <c r="G153" s="143"/>
      <c r="H153" s="138"/>
      <c r="I153" s="143"/>
      <c r="J153" s="143"/>
      <c r="K153" s="143"/>
      <c r="L153" s="143"/>
      <c r="M153" s="143"/>
      <c r="N153" s="138"/>
      <c r="O153" s="143">
        <f>+O152+I152</f>
        <v>-5.551483964574E-3</v>
      </c>
      <c r="P153" s="143">
        <f>+P152+J152</f>
        <v>-1.2910782438968205E-2</v>
      </c>
      <c r="Q153" s="143">
        <f>+Q152+K152</f>
        <v>-5.2437556002343233E-3</v>
      </c>
      <c r="R153" s="143">
        <f>+R152+L152</f>
        <v>-6.3793908219521578E-3</v>
      </c>
      <c r="S153" s="143">
        <f>+S152+M152</f>
        <v>-7.4224746318575785E-3</v>
      </c>
      <c r="T153" s="138"/>
      <c r="U153" s="143">
        <f>+U152+O152</f>
        <v>1.105082812769137E-2</v>
      </c>
      <c r="V153" s="143">
        <f>+V152+P152</f>
        <v>-1.9518246328244671E-2</v>
      </c>
      <c r="W153" s="143">
        <f>+W152+Q152</f>
        <v>-8.0262567898291004E-3</v>
      </c>
      <c r="X153" s="143">
        <f>+X152+R152</f>
        <v>-2.4991389341400327E-2</v>
      </c>
      <c r="Y153" s="143">
        <f>+Y152+S152</f>
        <v>-1.0661072340736433E-2</v>
      </c>
      <c r="Z153" s="138"/>
      <c r="AA153" s="143">
        <f>+AA152+U152</f>
        <v>2.1008760374061075E-3</v>
      </c>
      <c r="AB153" s="143">
        <f>+AB152+V152</f>
        <v>5.6709462089150064E-3</v>
      </c>
      <c r="AC153" s="143">
        <f>+AC152+W152</f>
        <v>1.5366453592344453E-2</v>
      </c>
      <c r="AD153" s="143">
        <f>+AD152+X152</f>
        <v>4.5358394457281792E-2</v>
      </c>
      <c r="AE153" s="143">
        <f>+AE152+Y152</f>
        <v>1.8142443335088354E-2</v>
      </c>
      <c r="AF153" s="406"/>
      <c r="AG153" s="143">
        <f>+AG152+AA152</f>
        <v>3.9249003364855484E-2</v>
      </c>
      <c r="AH153" s="143">
        <f>+AH152+AB152</f>
        <v>3.4842259150430321E-2</v>
      </c>
      <c r="AI153" s="143">
        <f>+AI152+AC152</f>
        <v>2.068421454733621E-2</v>
      </c>
      <c r="AJ153" s="143">
        <f>+AJ152+AD152</f>
        <v>3.8993886602871008E-2</v>
      </c>
      <c r="AK153" s="143">
        <f>+AK152+AE152</f>
        <v>3.357263732235588E-2</v>
      </c>
      <c r="AL153" s="138"/>
      <c r="AM153" s="143">
        <f>+AM152+AG152</f>
        <v>2.1802930603270265E-2</v>
      </c>
      <c r="AN153" s="143">
        <f>+AN152+AH152</f>
        <v>1.8952243647641531E-2</v>
      </c>
      <c r="AO153" s="143">
        <f>+AO152+AI152</f>
        <v>7.7086357681185325E-3</v>
      </c>
      <c r="AP153" s="143">
        <f>+AP152+AJ152</f>
        <v>2.956809036692154E-4</v>
      </c>
      <c r="AQ153" s="143">
        <f>+AQ152+AK152</f>
        <v>1.1836839958938583E-2</v>
      </c>
      <c r="AR153" s="138"/>
      <c r="AS153" s="143">
        <f>+AS152+AM152</f>
        <v>-1.6806630553265589E-2</v>
      </c>
      <c r="AT153" s="143">
        <f>+AT152+AN152</f>
        <v>3.4503891019627142E-4</v>
      </c>
      <c r="AU153" s="143">
        <f>+AU152+AO152</f>
        <v>1.5628680857915356E-4</v>
      </c>
      <c r="AV153" s="143">
        <f>+AV152+AP152</f>
        <v>6.9404062839631964E-3</v>
      </c>
      <c r="AW153" s="143">
        <f>+AW152+AQ152</f>
        <v>-2.1345684229854278E-3</v>
      </c>
      <c r="AX153" s="138"/>
      <c r="AY153" s="143">
        <f>+AY152+AS152</f>
        <v>3.9875266342095927E-3</v>
      </c>
      <c r="AZ153" s="143">
        <f>+AZ152+AT152</f>
        <v>-3.2201564207288147E-3</v>
      </c>
      <c r="BA153" s="143">
        <f>+BA152+AU152</f>
        <v>-4.3123517453740878E-3</v>
      </c>
      <c r="BB153" s="143">
        <f>+BB152+AV152</f>
        <v>1.6053141065684451E-3</v>
      </c>
      <c r="BC153" s="143">
        <f>+BC152+AW152</f>
        <v>-7.161178144109992E-4</v>
      </c>
      <c r="BD153" s="138"/>
      <c r="BE153" s="143">
        <f>+BE152+AY152</f>
        <v>1.256813329298867E-2</v>
      </c>
      <c r="BF153" s="143">
        <f>+BF152+AZ152</f>
        <v>3.4590521592305357E-3</v>
      </c>
      <c r="BG153" s="143">
        <f>+BG152+BA152</f>
        <v>1.5465520224834939E-3</v>
      </c>
      <c r="BH153" s="143">
        <f>+BH152+BB152</f>
        <v>1.7219293645985845E-3</v>
      </c>
      <c r="BI153" s="143">
        <f>+BI152+BC152</f>
        <v>4.7194126848115747E-3</v>
      </c>
      <c r="BJ153" s="138"/>
      <c r="BK153" s="143">
        <f>+BK152+BE152</f>
        <v>3.7304517177095486E-2</v>
      </c>
      <c r="BL153" s="143">
        <f>+BL152+BF152</f>
        <v>3.4933489580892374E-2</v>
      </c>
      <c r="BM153" s="143">
        <f>+BM152+BG152</f>
        <v>2.1376945546017656E-2</v>
      </c>
      <c r="BN153" s="143">
        <f>+BN152+BH152</f>
        <v>-1.8072917237995645E-3</v>
      </c>
      <c r="BO153" s="143">
        <f>+BO152+BI152</f>
        <v>2.1854236966345808E-2</v>
      </c>
      <c r="BP153" s="138"/>
      <c r="BQ153" s="143">
        <f>+BQ152+BK152</f>
        <v>4.3082691420874619E-2</v>
      </c>
      <c r="BR153" s="143">
        <f>+BR152+BL152</f>
        <v>3.5966874089557566E-2</v>
      </c>
      <c r="BS153" s="143">
        <f>+BS152+BM152</f>
        <v>1.2113236010009742E-2</v>
      </c>
      <c r="BT153" s="143">
        <f>+BT152+BN152</f>
        <v>-4.633489722211559E-3</v>
      </c>
      <c r="BU153" s="143">
        <f>+BU152+BO152</f>
        <v>2.016290525466774E-2</v>
      </c>
      <c r="BV153" s="138"/>
      <c r="BW153" s="143">
        <f>+BW152+BQ152</f>
        <v>2.7781742437791301E-3</v>
      </c>
      <c r="BX153" s="143">
        <f>+BX152+BR152</f>
        <v>1.2194771629142342E-2</v>
      </c>
      <c r="BY153" s="143">
        <f>+BY152+BS152</f>
        <v>-2.0491785479399005E-3</v>
      </c>
      <c r="BZ153" s="143">
        <f>+BZ152+BT152</f>
        <v>1.4145789173590773E-3</v>
      </c>
      <c r="CA153" s="143">
        <f>+CA152+BU152</f>
        <v>-7.8918799926221972E-3</v>
      </c>
      <c r="CB153" s="138"/>
      <c r="CC153" s="143">
        <f>+CC152+BW152</f>
        <v>-6.0000000000000053E-3</v>
      </c>
      <c r="CD153" s="143">
        <f>+CD152+BX152</f>
        <v>-6.0000000000000053E-3</v>
      </c>
      <c r="CE153" s="143">
        <f>+CE152+BY152</f>
        <v>-6.0000000000000053E-3</v>
      </c>
      <c r="CF153" s="143">
        <f>+CF152+BZ152</f>
        <v>-6.0000000000000053E-3</v>
      </c>
      <c r="CG153" s="143">
        <f>+CG152+CA152</f>
        <v>-2.0282269746712489E-2</v>
      </c>
      <c r="CH153" s="138"/>
      <c r="CI153" s="138"/>
      <c r="CJ153" s="138"/>
      <c r="CK153" s="138"/>
      <c r="CL153" s="138"/>
      <c r="CM153" s="330"/>
      <c r="CN153" s="330"/>
      <c r="CO153" s="330"/>
      <c r="CP153" s="330"/>
      <c r="CQ153" s="330"/>
      <c r="CR153" s="330"/>
      <c r="CS153" s="330"/>
      <c r="CT153" s="330"/>
      <c r="CU153" s="330"/>
      <c r="CW153" s="138"/>
    </row>
    <row r="154" spans="1:101" ht="12.75" hidden="1" customHeight="1" outlineLevel="1" x14ac:dyDescent="0.2">
      <c r="A154" s="423"/>
      <c r="B154" s="411" t="s">
        <v>20</v>
      </c>
      <c r="C154" s="143">
        <f>C115</f>
        <v>0</v>
      </c>
      <c r="D154" s="143">
        <f>D115</f>
        <v>0</v>
      </c>
      <c r="E154" s="143">
        <f>E115</f>
        <v>0</v>
      </c>
      <c r="F154" s="143">
        <f>F115</f>
        <v>0</v>
      </c>
      <c r="G154" s="143">
        <f>G115</f>
        <v>0</v>
      </c>
      <c r="H154" s="138"/>
      <c r="I154" s="143">
        <f>I115</f>
        <v>0</v>
      </c>
      <c r="J154" s="143">
        <f>J115</f>
        <v>0</v>
      </c>
      <c r="K154" s="143">
        <f>K115</f>
        <v>0</v>
      </c>
      <c r="L154" s="143">
        <f>L115</f>
        <v>0</v>
      </c>
      <c r="M154" s="143">
        <f>M115</f>
        <v>0</v>
      </c>
      <c r="N154" s="138"/>
      <c r="O154" s="143">
        <f>O115</f>
        <v>0</v>
      </c>
      <c r="P154" s="143">
        <f>P115</f>
        <v>0</v>
      </c>
      <c r="Q154" s="143">
        <f>Q115</f>
        <v>0</v>
      </c>
      <c r="R154" s="143">
        <f>R115</f>
        <v>0</v>
      </c>
      <c r="S154" s="143">
        <f>S115</f>
        <v>0</v>
      </c>
      <c r="T154" s="138"/>
      <c r="U154" s="143">
        <f>U115</f>
        <v>0</v>
      </c>
      <c r="V154" s="143">
        <f>V115</f>
        <v>0</v>
      </c>
      <c r="W154" s="143">
        <f>W115</f>
        <v>0</v>
      </c>
      <c r="X154" s="143">
        <f>X115</f>
        <v>0</v>
      </c>
      <c r="Y154" s="143">
        <f>Y115</f>
        <v>0</v>
      </c>
      <c r="Z154" s="138"/>
      <c r="AA154" s="143">
        <f>AA115</f>
        <v>0</v>
      </c>
      <c r="AB154" s="143">
        <f>AB115</f>
        <v>0</v>
      </c>
      <c r="AC154" s="143">
        <f>AC115</f>
        <v>0</v>
      </c>
      <c r="AD154" s="143">
        <f>AD115</f>
        <v>0</v>
      </c>
      <c r="AE154" s="143">
        <f>AE115</f>
        <v>0</v>
      </c>
      <c r="AF154" s="406"/>
      <c r="AG154" s="143">
        <f>AG115</f>
        <v>0</v>
      </c>
      <c r="AH154" s="143">
        <f>AH115</f>
        <v>0</v>
      </c>
      <c r="AI154" s="143">
        <f>AI115</f>
        <v>0</v>
      </c>
      <c r="AJ154" s="143">
        <f>AJ115</f>
        <v>0</v>
      </c>
      <c r="AK154" s="143">
        <f>AK115</f>
        <v>0</v>
      </c>
      <c r="AL154" s="138"/>
      <c r="AM154" s="143">
        <f>AM115</f>
        <v>0</v>
      </c>
      <c r="AN154" s="143">
        <f>AN115</f>
        <v>0</v>
      </c>
      <c r="AO154" s="143">
        <f>AO115</f>
        <v>0</v>
      </c>
      <c r="AP154" s="143">
        <f>AP115</f>
        <v>0</v>
      </c>
      <c r="AQ154" s="143">
        <f>AQ115</f>
        <v>0</v>
      </c>
      <c r="AR154" s="138"/>
      <c r="AS154" s="143">
        <f>AS115</f>
        <v>0</v>
      </c>
      <c r="AT154" s="143">
        <f>AT115</f>
        <v>0</v>
      </c>
      <c r="AU154" s="143">
        <f>AU115</f>
        <v>0</v>
      </c>
      <c r="AV154" s="143">
        <f>AV115</f>
        <v>0</v>
      </c>
      <c r="AW154" s="143">
        <f>AW115</f>
        <v>0</v>
      </c>
      <c r="AX154" s="138"/>
      <c r="AY154" s="143">
        <f>AY115</f>
        <v>0</v>
      </c>
      <c r="AZ154" s="143">
        <f>AZ115</f>
        <v>0</v>
      </c>
      <c r="BA154" s="143">
        <f>BA115</f>
        <v>0</v>
      </c>
      <c r="BB154" s="143">
        <f>BB115</f>
        <v>0</v>
      </c>
      <c r="BC154" s="143">
        <f>BC115</f>
        <v>0</v>
      </c>
      <c r="BD154" s="138"/>
      <c r="BE154" s="443">
        <v>0</v>
      </c>
      <c r="BF154" s="443">
        <v>0</v>
      </c>
      <c r="BG154" s="443">
        <v>0</v>
      </c>
      <c r="BH154" s="443">
        <v>0</v>
      </c>
      <c r="BI154" s="143">
        <f>BI115</f>
        <v>0</v>
      </c>
      <c r="BJ154" s="138"/>
      <c r="BK154" s="443">
        <v>0</v>
      </c>
      <c r="BL154" s="443">
        <v>0</v>
      </c>
      <c r="BM154" s="443">
        <v>0</v>
      </c>
      <c r="BN154" s="443">
        <v>0</v>
      </c>
      <c r="BO154" s="143">
        <f>BO115</f>
        <v>0</v>
      </c>
      <c r="BP154" s="138"/>
      <c r="BQ154" s="443">
        <v>0</v>
      </c>
      <c r="BR154" s="443">
        <v>0</v>
      </c>
      <c r="BS154" s="443">
        <v>0</v>
      </c>
      <c r="BT154" s="443">
        <v>0</v>
      </c>
      <c r="BU154" s="143">
        <f>BU115</f>
        <v>0</v>
      </c>
      <c r="BV154" s="138"/>
      <c r="BW154" s="443">
        <v>0</v>
      </c>
      <c r="BX154" s="443">
        <v>0</v>
      </c>
      <c r="BY154" s="443">
        <v>0</v>
      </c>
      <c r="BZ154" s="443">
        <v>0</v>
      </c>
      <c r="CA154" s="143">
        <f>CA115</f>
        <v>0</v>
      </c>
      <c r="CB154" s="138"/>
      <c r="CC154" s="443">
        <v>0</v>
      </c>
      <c r="CD154" s="443">
        <v>0</v>
      </c>
      <c r="CE154" s="443">
        <v>0</v>
      </c>
      <c r="CF154" s="443">
        <v>0</v>
      </c>
      <c r="CG154" s="143">
        <f>CG115</f>
        <v>0</v>
      </c>
      <c r="CH154" s="138"/>
      <c r="CI154" s="138"/>
      <c r="CJ154" s="138"/>
      <c r="CK154" s="138"/>
      <c r="CL154" s="138"/>
      <c r="CM154" s="330"/>
      <c r="CN154" s="330"/>
      <c r="CO154" s="330"/>
      <c r="CP154" s="330"/>
      <c r="CQ154" s="330"/>
      <c r="CR154" s="330"/>
      <c r="CS154" s="330"/>
      <c r="CT154" s="330"/>
      <c r="CU154" s="330"/>
      <c r="CW154" s="138"/>
    </row>
    <row r="155" spans="1:101" ht="12.75" hidden="1" customHeight="1" outlineLevel="1" x14ac:dyDescent="0.2">
      <c r="A155" s="423"/>
      <c r="B155" s="411"/>
      <c r="C155" s="143"/>
      <c r="D155" s="143"/>
      <c r="E155" s="143"/>
      <c r="F155" s="143"/>
      <c r="G155" s="143"/>
      <c r="H155" s="138"/>
      <c r="I155" s="143"/>
      <c r="J155" s="143"/>
      <c r="K155" s="143"/>
      <c r="L155" s="143"/>
      <c r="M155" s="143"/>
      <c r="N155" s="138"/>
      <c r="O155" s="143"/>
      <c r="P155" s="143"/>
      <c r="Q155" s="143"/>
      <c r="R155" s="143"/>
      <c r="S155" s="143"/>
      <c r="T155" s="138"/>
      <c r="U155" s="143"/>
      <c r="V155" s="143"/>
      <c r="W155" s="143"/>
      <c r="X155" s="143"/>
      <c r="Y155" s="143"/>
      <c r="Z155" s="138"/>
      <c r="AA155" s="143"/>
      <c r="AB155" s="143"/>
      <c r="AC155" s="143"/>
      <c r="AD155" s="143"/>
      <c r="AE155" s="143"/>
      <c r="AF155" s="406"/>
      <c r="AG155" s="143"/>
      <c r="AH155" s="143"/>
      <c r="AI155" s="143"/>
      <c r="AJ155" s="143"/>
      <c r="AK155" s="143"/>
      <c r="AL155" s="138"/>
      <c r="AM155" s="143"/>
      <c r="AN155" s="143"/>
      <c r="AO155" s="143"/>
      <c r="AP155" s="143"/>
      <c r="AQ155" s="143"/>
      <c r="AR155" s="138"/>
      <c r="AS155" s="143"/>
      <c r="AT155" s="143"/>
      <c r="AU155" s="143"/>
      <c r="AV155" s="143"/>
      <c r="AW155" s="143"/>
      <c r="AX155" s="138"/>
      <c r="AY155" s="143"/>
      <c r="AZ155" s="143"/>
      <c r="BA155" s="143"/>
      <c r="BB155" s="443"/>
      <c r="BC155" s="143"/>
      <c r="BD155" s="138"/>
      <c r="BE155" s="443"/>
      <c r="BF155" s="443"/>
      <c r="BG155" s="443"/>
      <c r="BH155" s="443"/>
      <c r="BI155" s="143"/>
      <c r="BJ155" s="138"/>
      <c r="BK155" s="443"/>
      <c r="BL155" s="443"/>
      <c r="BM155" s="443"/>
      <c r="BN155" s="443"/>
      <c r="BO155" s="143"/>
      <c r="BP155" s="138"/>
      <c r="BQ155" s="443"/>
      <c r="BR155" s="443"/>
      <c r="BS155" s="443"/>
      <c r="BT155" s="443"/>
      <c r="BU155" s="143"/>
      <c r="BV155" s="138"/>
      <c r="BW155" s="443"/>
      <c r="BX155" s="443"/>
      <c r="BY155" s="443"/>
      <c r="BZ155" s="443"/>
      <c r="CA155" s="143"/>
      <c r="CB155" s="138"/>
      <c r="CC155" s="443"/>
      <c r="CD155" s="443"/>
      <c r="CE155" s="443"/>
      <c r="CF155" s="443"/>
      <c r="CG155" s="143"/>
      <c r="CH155" s="138"/>
      <c r="CI155" s="138"/>
      <c r="CJ155" s="138"/>
      <c r="CK155" s="138"/>
      <c r="CL155" s="138"/>
      <c r="CM155" s="330"/>
      <c r="CN155" s="330"/>
      <c r="CO155" s="330"/>
      <c r="CP155" s="330"/>
      <c r="CQ155" s="330"/>
      <c r="CR155" s="330"/>
      <c r="CS155" s="330"/>
      <c r="CT155" s="330"/>
      <c r="CU155" s="330"/>
      <c r="CW155" s="138"/>
    </row>
    <row r="156" spans="1:101" ht="12.75" hidden="1" customHeight="1" outlineLevel="1" x14ac:dyDescent="0.2">
      <c r="A156" s="423"/>
      <c r="B156" s="411" t="s">
        <v>353</v>
      </c>
      <c r="C156" s="143"/>
      <c r="D156" s="143"/>
      <c r="E156" s="143"/>
      <c r="F156" s="143"/>
      <c r="G156" s="143"/>
      <c r="H156" s="138"/>
      <c r="I156" s="143"/>
      <c r="J156" s="143"/>
      <c r="K156" s="143"/>
      <c r="L156" s="143"/>
      <c r="M156" s="143"/>
      <c r="N156" s="138"/>
      <c r="O156" s="143"/>
      <c r="P156" s="143"/>
      <c r="Q156" s="143"/>
      <c r="R156" s="143"/>
      <c r="S156" s="143"/>
      <c r="T156" s="138"/>
      <c r="U156" s="143"/>
      <c r="V156" s="143"/>
      <c r="W156" s="143"/>
      <c r="X156" s="143"/>
      <c r="Y156" s="143"/>
      <c r="Z156" s="138"/>
      <c r="AA156" s="143"/>
      <c r="AB156" s="143"/>
      <c r="AC156" s="143"/>
      <c r="AD156" s="143"/>
      <c r="AE156" s="143"/>
      <c r="AF156" s="406"/>
      <c r="AG156" s="143"/>
      <c r="AH156" s="143"/>
      <c r="AI156" s="143"/>
      <c r="AJ156" s="143"/>
      <c r="AK156" s="143"/>
      <c r="AL156" s="138"/>
      <c r="AM156" s="143"/>
      <c r="AN156" s="143"/>
      <c r="AO156" s="143"/>
      <c r="AP156" s="143"/>
      <c r="AQ156" s="143"/>
      <c r="AR156" s="138"/>
      <c r="AS156" s="143"/>
      <c r="AT156" s="143"/>
      <c r="AU156" s="143"/>
      <c r="AV156" s="143"/>
      <c r="AW156" s="143"/>
      <c r="AX156" s="138"/>
      <c r="AY156" s="143"/>
      <c r="AZ156" s="143"/>
      <c r="BA156" s="143"/>
      <c r="BB156" s="443"/>
      <c r="BC156" s="143"/>
      <c r="BD156" s="138"/>
      <c r="BE156" s="443"/>
      <c r="BF156" s="443"/>
      <c r="BG156" s="443"/>
      <c r="BH156" s="443"/>
      <c r="BI156" s="143"/>
      <c r="BJ156" s="138"/>
      <c r="BK156" s="443"/>
      <c r="BL156" s="443"/>
      <c r="BM156" s="443"/>
      <c r="BN156" s="443"/>
      <c r="BO156" s="143"/>
      <c r="BP156" s="138"/>
      <c r="BQ156" s="443"/>
      <c r="BR156" s="443"/>
      <c r="BS156" s="443"/>
      <c r="BT156" s="443"/>
      <c r="BU156" s="143"/>
      <c r="BV156" s="138"/>
      <c r="BW156" s="443"/>
      <c r="BX156" s="443"/>
      <c r="BY156" s="443"/>
      <c r="BZ156" s="443"/>
      <c r="CA156" s="143"/>
      <c r="CB156" s="138"/>
      <c r="CC156" s="443"/>
      <c r="CD156" s="443"/>
      <c r="CE156" s="443"/>
      <c r="CF156" s="443"/>
      <c r="CG156" s="143"/>
      <c r="CH156" s="138"/>
      <c r="CI156" s="138"/>
      <c r="CJ156" s="138"/>
      <c r="CK156" s="138"/>
      <c r="CL156" s="138"/>
      <c r="CM156" s="330"/>
      <c r="CN156" s="330"/>
      <c r="CO156" s="330"/>
      <c r="CP156" s="330"/>
      <c r="CQ156" s="330"/>
      <c r="CR156" s="330"/>
      <c r="CS156" s="330"/>
      <c r="CT156" s="330"/>
      <c r="CU156" s="330"/>
      <c r="CW156" s="138"/>
    </row>
    <row r="157" spans="1:101" ht="12.75" hidden="1" customHeight="1" outlineLevel="1" x14ac:dyDescent="0.2">
      <c r="A157" s="423"/>
      <c r="B157" s="120" t="s">
        <v>181</v>
      </c>
      <c r="C157" s="143"/>
      <c r="D157" s="143"/>
      <c r="E157" s="143"/>
      <c r="F157" s="143"/>
      <c r="G157" s="143"/>
      <c r="H157" s="138"/>
      <c r="I157" s="472">
        <f>I27-C27</f>
        <v>58.290397056076642</v>
      </c>
      <c r="J157" s="472">
        <f>J27-D27</f>
        <v>65.765440069827036</v>
      </c>
      <c r="K157" s="472">
        <f>K27-E27</f>
        <v>29.226832594059317</v>
      </c>
      <c r="L157" s="472">
        <f>L27-F27</f>
        <v>-12.513091280412141</v>
      </c>
      <c r="M157" s="501">
        <f>M27-G27</f>
        <v>140.76957843955142</v>
      </c>
      <c r="N157" s="138"/>
      <c r="O157" s="472">
        <f>O27-I27</f>
        <v>-29.977064436608373</v>
      </c>
      <c r="P157" s="472">
        <f>P27-J27</f>
        <v>-31.077760612122916</v>
      </c>
      <c r="Q157" s="472">
        <f>Q27-K27</f>
        <v>-1.3501949053530211</v>
      </c>
      <c r="R157" s="472">
        <f>R27-L27</f>
        <v>36.096194319010124</v>
      </c>
      <c r="S157" s="501">
        <f>S27-M27</f>
        <v>-26.308825635074982</v>
      </c>
      <c r="T157" s="138"/>
      <c r="U157" s="472">
        <f>U27-O27</f>
        <v>32.79628410188883</v>
      </c>
      <c r="V157" s="472">
        <f>V27-P27</f>
        <v>5.4621278156977269</v>
      </c>
      <c r="W157" s="472">
        <f>W27-Q27</f>
        <v>-2.1038520681357795</v>
      </c>
      <c r="X157" s="472">
        <f>X27-R27</f>
        <v>19.249659153094967</v>
      </c>
      <c r="Y157" s="501">
        <f>Y27-S27</f>
        <v>55.404219002546824</v>
      </c>
      <c r="Z157" s="138"/>
      <c r="AA157" s="472">
        <f>AA27-U27</f>
        <v>33.264873555477322</v>
      </c>
      <c r="AB157" s="472">
        <f>AB27-V27</f>
        <v>59.85185103962533</v>
      </c>
      <c r="AC157" s="472">
        <f>AC27-W27</f>
        <v>58.164122188474607</v>
      </c>
      <c r="AD157" s="472">
        <f>AD27-X27</f>
        <v>102.67612559673216</v>
      </c>
      <c r="AE157" s="501">
        <f>AE27-Y27</f>
        <v>253.95697238030925</v>
      </c>
      <c r="AF157" s="406"/>
      <c r="AG157" s="472">
        <f>AG27-AA27</f>
        <v>102.04269809486345</v>
      </c>
      <c r="AH157" s="472">
        <f>AH27-AB27</f>
        <v>95.554502760340597</v>
      </c>
      <c r="AI157" s="472">
        <f>AI27-AC27</f>
        <v>73.303723810988004</v>
      </c>
      <c r="AJ157" s="472">
        <f>AJ27-AD27</f>
        <v>24.248633616621078</v>
      </c>
      <c r="AK157" s="501">
        <f>AK27-AE27</f>
        <v>295.14955828281245</v>
      </c>
      <c r="AL157" s="138"/>
      <c r="AM157" s="472">
        <f>AM27-AG27</f>
        <v>13.312889875630617</v>
      </c>
      <c r="AN157" s="472">
        <f>AN27-AH27</f>
        <v>27.024515019646174</v>
      </c>
      <c r="AO157" s="472">
        <f>AO27-AI27</f>
        <v>19.64514931220674</v>
      </c>
      <c r="AP157" s="472">
        <f>AP27-AJ27</f>
        <v>16.905712675817199</v>
      </c>
      <c r="AQ157" s="501">
        <f>AQ27-AK27</f>
        <v>76.888266883301185</v>
      </c>
      <c r="AR157" s="138"/>
      <c r="AS157" s="472">
        <f>AS27-AM27</f>
        <v>12.388589200597153</v>
      </c>
      <c r="AT157" s="472">
        <f>AT27-AN27</f>
        <v>23.121004148937345</v>
      </c>
      <c r="AU157" s="472">
        <f>AU27-AO27</f>
        <v>27.270086179990585</v>
      </c>
      <c r="AV157" s="472">
        <f>AV27-AP27</f>
        <v>-8.3867928087437349</v>
      </c>
      <c r="AW157" s="501">
        <f>AW27-AQ27</f>
        <v>54.392886720781462</v>
      </c>
      <c r="AX157" s="138"/>
      <c r="AY157" s="472">
        <f>AY27-AS27</f>
        <v>-29.793047300843682</v>
      </c>
      <c r="AZ157" s="472">
        <f>AZ27-AT27</f>
        <v>-14.524682396208846</v>
      </c>
      <c r="BA157" s="472">
        <f>BA27-AU27</f>
        <v>-7.2628097860360867</v>
      </c>
      <c r="BB157" s="472">
        <f>BB27-AV27</f>
        <v>-6.7932264679387799</v>
      </c>
      <c r="BC157" s="501">
        <f>BC27-AW27</f>
        <v>-58.373765951027508</v>
      </c>
      <c r="BD157" s="138"/>
      <c r="BE157" s="472">
        <f>BE27-AY27</f>
        <v>42.187169575309667</v>
      </c>
      <c r="BF157" s="472">
        <f>BF27-AZ27</f>
        <v>23.977638075458458</v>
      </c>
      <c r="BG157" s="472">
        <f>BG27-BA27</f>
        <v>-2.0422915248005893</v>
      </c>
      <c r="BH157" s="472">
        <f>BH27-BB27</f>
        <v>19.214461954630337</v>
      </c>
      <c r="BI157" s="501">
        <f>BI27-BC27</f>
        <v>83.336978080597873</v>
      </c>
      <c r="BJ157" s="138"/>
      <c r="BK157" s="472">
        <f>BK27-BE27</f>
        <v>-39.285858585858477</v>
      </c>
      <c r="BL157" s="472">
        <f>BL27-BF27</f>
        <v>-26.800000000000068</v>
      </c>
      <c r="BM157" s="472">
        <f>BM27-BG27</f>
        <v>47.000000000000114</v>
      </c>
      <c r="BN157" s="472">
        <f>BN27-BH27</f>
        <v>54.799999999999955</v>
      </c>
      <c r="BO157" s="501">
        <f>BO27-BI27</f>
        <v>35.714141414141523</v>
      </c>
      <c r="BP157" s="138"/>
      <c r="BQ157" s="472">
        <f>BQ27-BK27</f>
        <v>16.724899999999934</v>
      </c>
      <c r="BR157" s="472">
        <f>BR27-BL27</f>
        <v>36.037120000000073</v>
      </c>
      <c r="BS157" s="472">
        <f>BS27-BM27</f>
        <v>36.606159999999932</v>
      </c>
      <c r="BT157" s="472">
        <f>BT27-BN27</f>
        <v>46.572720000000004</v>
      </c>
      <c r="BU157" s="501">
        <f>BU27-BO27</f>
        <v>135.94090000000006</v>
      </c>
      <c r="BV157" s="138"/>
      <c r="BW157" s="472">
        <f>BW27-BQ27</f>
        <v>21.25386858000013</v>
      </c>
      <c r="BX157" s="472">
        <f>BX27-BR27</f>
        <v>31.672556340000028</v>
      </c>
      <c r="BY157" s="472">
        <f>BY27-BS27</f>
        <v>29.532267120000029</v>
      </c>
      <c r="BZ157" s="472">
        <f>BZ27-BT27</f>
        <v>26.510972200000083</v>
      </c>
      <c r="CA157" s="501">
        <f>CA27-BU27</f>
        <v>108.96966424000038</v>
      </c>
      <c r="CB157" s="138"/>
      <c r="CC157" s="472">
        <f>CC27-BW27</f>
        <v>22.381320232799908</v>
      </c>
      <c r="CD157" s="472">
        <f>CD27-BX27</f>
        <v>19.238130806599997</v>
      </c>
      <c r="CE157" s="472">
        <f>CE27-BY27</f>
        <v>21.453941355199959</v>
      </c>
      <c r="CF157" s="472">
        <f>CF27-BZ27</f>
        <v>27.966385549199913</v>
      </c>
      <c r="CG157" s="501">
        <f>CG27-CA27</f>
        <v>91.039777943799436</v>
      </c>
      <c r="CH157" s="138"/>
      <c r="CI157" s="138"/>
      <c r="CJ157" s="138"/>
      <c r="CK157" s="138"/>
      <c r="CL157" s="138"/>
      <c r="CM157" s="330"/>
      <c r="CN157" s="330"/>
      <c r="CO157" s="330"/>
      <c r="CP157" s="330"/>
      <c r="CQ157" s="330"/>
      <c r="CR157" s="330"/>
      <c r="CS157" s="330"/>
      <c r="CT157" s="330"/>
      <c r="CU157" s="330"/>
      <c r="CW157" s="138"/>
    </row>
    <row r="158" spans="1:101" ht="12.75" hidden="1" customHeight="1" outlineLevel="1" x14ac:dyDescent="0.2">
      <c r="A158" s="423"/>
      <c r="B158" s="120" t="s">
        <v>179</v>
      </c>
      <c r="C158" s="143"/>
      <c r="D158" s="143"/>
      <c r="E158" s="143"/>
      <c r="F158" s="143"/>
      <c r="G158" s="143"/>
      <c r="H158" s="138"/>
      <c r="I158" s="472">
        <f>I40-C40</f>
        <v>27.784613708194854</v>
      </c>
      <c r="J158" s="472">
        <f>J40-D40</f>
        <v>42.913335487873809</v>
      </c>
      <c r="K158" s="472">
        <f>K40-E40</f>
        <v>21.799185609391799</v>
      </c>
      <c r="L158" s="472">
        <f>L40-F40</f>
        <v>0.34420658187357844</v>
      </c>
      <c r="M158" s="501">
        <f>M40-G40</f>
        <v>92.84134138733441</v>
      </c>
      <c r="N158" s="138"/>
      <c r="O158" s="472">
        <f>O40-I40</f>
        <v>-14.059261265317701</v>
      </c>
      <c r="P158" s="472">
        <f>P40-J40</f>
        <v>-28.764815342862846</v>
      </c>
      <c r="Q158" s="472">
        <f>Q40-K40</f>
        <v>-7.4227602044406069</v>
      </c>
      <c r="R158" s="472">
        <f>R40-L40</f>
        <v>7.9335031668545923</v>
      </c>
      <c r="S158" s="501">
        <f>S40-M40</f>
        <v>-42.313333645766761</v>
      </c>
      <c r="T158" s="138"/>
      <c r="U158" s="472">
        <f>U40-O40</f>
        <v>17.441796381922188</v>
      </c>
      <c r="V158" s="472">
        <f>V40-P40</f>
        <v>2.3398125729116828</v>
      </c>
      <c r="W158" s="472">
        <f>W40-Q40</f>
        <v>6.5638128814587162</v>
      </c>
      <c r="X158" s="472">
        <f>X40-R40</f>
        <v>11.932882782570402</v>
      </c>
      <c r="Y158" s="501">
        <f>Y40-S40</f>
        <v>38.278304618862876</v>
      </c>
      <c r="Z158" s="138"/>
      <c r="AA158" s="472">
        <f>AA40-U40</f>
        <v>24.212488842376473</v>
      </c>
      <c r="AB158" s="472">
        <f>AB40-V40</f>
        <v>42.24151739017168</v>
      </c>
      <c r="AC158" s="472">
        <f>AC40-W40</f>
        <v>46.244779037926435</v>
      </c>
      <c r="AD158" s="472">
        <f>AD40-X40</f>
        <v>99.752531588237787</v>
      </c>
      <c r="AE158" s="501">
        <f>AE40-Y40</f>
        <v>212.45131685871263</v>
      </c>
      <c r="AF158" s="406"/>
      <c r="AG158" s="472">
        <f>AG40-AA40</f>
        <v>86.270625654438788</v>
      </c>
      <c r="AH158" s="472">
        <f>AH40-AB40</f>
        <v>76.72173028953523</v>
      </c>
      <c r="AI158" s="472">
        <f>AI40-AC40</f>
        <v>47.844169318264107</v>
      </c>
      <c r="AJ158" s="472">
        <f>AJ40-AD40</f>
        <v>11.066458395350878</v>
      </c>
      <c r="AK158" s="501">
        <f>AK40-AE40</f>
        <v>221.90298365758872</v>
      </c>
      <c r="AL158" s="138"/>
      <c r="AM158" s="472">
        <f>AM40-AG40</f>
        <v>11.460733115240657</v>
      </c>
      <c r="AN158" s="472">
        <f>AN40-AH40</f>
        <v>6.6840999319449566</v>
      </c>
      <c r="AO158" s="472">
        <f>AO40-AI40</f>
        <v>10.1908568600482</v>
      </c>
      <c r="AP158" s="472">
        <f>AP40-AJ40</f>
        <v>9.3676759752082717</v>
      </c>
      <c r="AQ158" s="501">
        <f>AQ40-AK40</f>
        <v>37.703365882442085</v>
      </c>
      <c r="AR158" s="138"/>
      <c r="AS158" s="472">
        <f>AS40-AM40</f>
        <v>-3.7405300383403528</v>
      </c>
      <c r="AT158" s="472">
        <f>AT40-AN40</f>
        <v>15.130175117214321</v>
      </c>
      <c r="AU158" s="472">
        <f>AU40-AO40</f>
        <v>10.048426439938225</v>
      </c>
      <c r="AV158" s="472">
        <f>AV40-AP40</f>
        <v>-7.1030642676008142</v>
      </c>
      <c r="AW158" s="501">
        <f>AW40-AQ40</f>
        <v>14.335007251211209</v>
      </c>
      <c r="AX158" s="138"/>
      <c r="AY158" s="472">
        <f>AY40-AS40</f>
        <v>-24.738450130153296</v>
      </c>
      <c r="AZ158" s="472">
        <f>AZ40-AT40</f>
        <v>-32.379939472535341</v>
      </c>
      <c r="BA158" s="472">
        <f>BA40-AU40</f>
        <v>-24.268864635470493</v>
      </c>
      <c r="BB158" s="472">
        <f>BB40-AV40</f>
        <v>-18.722793531645607</v>
      </c>
      <c r="BC158" s="501">
        <f>BC40-AW40</f>
        <v>-100.11004776980462</v>
      </c>
      <c r="BD158" s="138"/>
      <c r="BE158" s="472">
        <f>BE40-AY40</f>
        <v>10.903374495862238</v>
      </c>
      <c r="BF158" s="472">
        <f>BF40-AZ40</f>
        <v>20.998821730523446</v>
      </c>
      <c r="BG158" s="472">
        <f>BG40-BA40</f>
        <v>10.648529340077744</v>
      </c>
      <c r="BH158" s="472">
        <f>BH40-BB40</f>
        <v>15.582798315449509</v>
      </c>
      <c r="BI158" s="501">
        <f>BI40-BC40</f>
        <v>58.133523881913106</v>
      </c>
      <c r="BJ158" s="138"/>
      <c r="BK158" s="472">
        <f>BK40-BE40</f>
        <v>18.527845643852629</v>
      </c>
      <c r="BL158" s="472">
        <f>BL40-BF40</f>
        <v>10.5</v>
      </c>
      <c r="BM158" s="472">
        <f>BM40-BG40</f>
        <v>31.100000000000023</v>
      </c>
      <c r="BN158" s="472">
        <f>BN40-BH40</f>
        <v>24.300000000000011</v>
      </c>
      <c r="BO158" s="501">
        <f>BO40-BI40</f>
        <v>84.427845643852606</v>
      </c>
      <c r="BP158" s="138"/>
      <c r="BQ158" s="472">
        <f>BQ40-BK40</f>
        <v>25.803650000000061</v>
      </c>
      <c r="BR158" s="472">
        <f>BR40-BL40</f>
        <v>41.526880000000006</v>
      </c>
      <c r="BS158" s="472">
        <f>BS40-BM40</f>
        <v>28.089540000000056</v>
      </c>
      <c r="BT158" s="472">
        <f>BT40-BN40</f>
        <v>30.89591999999999</v>
      </c>
      <c r="BU158" s="501">
        <f>BU40-BO40</f>
        <v>126.31599000000006</v>
      </c>
      <c r="BV158" s="138"/>
      <c r="BW158" s="472">
        <f>BW40-BQ40</f>
        <v>-35.102611400000001</v>
      </c>
      <c r="BX158" s="472">
        <f>BX40-BR40</f>
        <v>-7.7810001599999055</v>
      </c>
      <c r="BY158" s="472">
        <f>BY40-BS40</f>
        <v>15.209947839999927</v>
      </c>
      <c r="BZ158" s="472">
        <f>BZ40-BT40</f>
        <v>28.862933600000076</v>
      </c>
      <c r="CA158" s="501">
        <f>CA40-BU40</f>
        <v>1.1892698800002108</v>
      </c>
      <c r="CB158" s="138"/>
      <c r="CC158" s="472">
        <f>CC40-BW40</f>
        <v>6.2916457597499971</v>
      </c>
      <c r="CD158" s="472">
        <f>CD40-BX40</f>
        <v>3.2379696445499349</v>
      </c>
      <c r="CE158" s="472">
        <f>CE40-BY40</f>
        <v>4.625376801199991</v>
      </c>
      <c r="CF158" s="472">
        <f>CF40-BZ40</f>
        <v>8.6839044482999839</v>
      </c>
      <c r="CG158" s="501">
        <f>CG40-CA40</f>
        <v>22.838896653799793</v>
      </c>
      <c r="CH158" s="138"/>
      <c r="CI158" s="138"/>
      <c r="CJ158" s="138"/>
      <c r="CK158" s="138"/>
      <c r="CL158" s="138"/>
      <c r="CM158" s="330"/>
      <c r="CN158" s="330"/>
      <c r="CO158" s="330"/>
      <c r="CP158" s="330"/>
      <c r="CQ158" s="330"/>
      <c r="CR158" s="330"/>
      <c r="CS158" s="330"/>
      <c r="CT158" s="330"/>
      <c r="CU158" s="330"/>
      <c r="CW158" s="138"/>
    </row>
    <row r="159" spans="1:101" ht="12.75" hidden="1" customHeight="1" outlineLevel="1" x14ac:dyDescent="0.2">
      <c r="A159" s="423"/>
      <c r="B159" s="120" t="s">
        <v>241</v>
      </c>
      <c r="C159" s="143"/>
      <c r="D159" s="143"/>
      <c r="E159" s="143"/>
      <c r="F159" s="143"/>
      <c r="G159" s="143"/>
      <c r="H159" s="138"/>
      <c r="I159" s="472">
        <f>I51-C51</f>
        <v>30.505783347881788</v>
      </c>
      <c r="J159" s="472">
        <f>J51-D51</f>
        <v>22.852104581953228</v>
      </c>
      <c r="K159" s="472">
        <f>K51-E51</f>
        <v>7.4276469846675184</v>
      </c>
      <c r="L159" s="472">
        <f>L51-F51</f>
        <v>-12.857297862285719</v>
      </c>
      <c r="M159" s="501">
        <f>M51-G51</f>
        <v>47.928237052217014</v>
      </c>
      <c r="N159" s="138"/>
      <c r="O159" s="472">
        <f>O51-I51</f>
        <v>-15.917803171290672</v>
      </c>
      <c r="P159" s="472">
        <f>P51-J51</f>
        <v>-2.3129452692600694</v>
      </c>
      <c r="Q159" s="472">
        <f>Q51-K51</f>
        <v>6.0725652990875858</v>
      </c>
      <c r="R159" s="472">
        <f>R51-L51</f>
        <v>28.162691152155531</v>
      </c>
      <c r="S159" s="501">
        <f>S51-M51</f>
        <v>16.004508010691779</v>
      </c>
      <c r="T159" s="138"/>
      <c r="U159" s="472">
        <f>U51-O51</f>
        <v>15.354487719966642</v>
      </c>
      <c r="V159" s="472">
        <f>V51-P51</f>
        <v>3.1223152427860441</v>
      </c>
      <c r="W159" s="472">
        <f>W51-Q51</f>
        <v>-8.6676649495944957</v>
      </c>
      <c r="X159" s="472">
        <f>X51-R51</f>
        <v>7.3167763705245648</v>
      </c>
      <c r="Y159" s="501">
        <f>Y51-S51</f>
        <v>17.125914383683948</v>
      </c>
      <c r="Z159" s="138"/>
      <c r="AA159" s="472">
        <f>AA51-U51</f>
        <v>9.0523847131008495</v>
      </c>
      <c r="AB159" s="472">
        <f>AB51-V51</f>
        <v>17.610333649453651</v>
      </c>
      <c r="AC159" s="472">
        <f>AC51-W51</f>
        <v>11.919343150548173</v>
      </c>
      <c r="AD159" s="472">
        <f>AD51-X51</f>
        <v>2.9235940084943763</v>
      </c>
      <c r="AE159" s="501">
        <f>AE51-Y51</f>
        <v>41.505655521596623</v>
      </c>
      <c r="AF159" s="406"/>
      <c r="AG159" s="472">
        <f>AG51-AA51</f>
        <v>15.772072440424665</v>
      </c>
      <c r="AH159" s="472">
        <f>AH51-AB51</f>
        <v>18.832772470805367</v>
      </c>
      <c r="AI159" s="472">
        <f>AI51-AC51</f>
        <v>25.459554492723896</v>
      </c>
      <c r="AJ159" s="472">
        <f>AJ51-AD51</f>
        <v>13.182175221270199</v>
      </c>
      <c r="AK159" s="501">
        <f>AK51-AE51</f>
        <v>73.24657462522373</v>
      </c>
      <c r="AL159" s="138"/>
      <c r="AM159" s="472">
        <f>AM51-AG51</f>
        <v>1.8521567603899598</v>
      </c>
      <c r="AN159" s="472">
        <f>AN51-AH51</f>
        <v>20.340415087701217</v>
      </c>
      <c r="AO159" s="472">
        <f>AO51-AI51</f>
        <v>9.4542924521585405</v>
      </c>
      <c r="AP159" s="472">
        <f>AP51-AJ51</f>
        <v>7.5380367006089273</v>
      </c>
      <c r="AQ159" s="501">
        <f>AQ51-AK51</f>
        <v>39.184901000859099</v>
      </c>
      <c r="AR159" s="138"/>
      <c r="AS159" s="472">
        <f>AS51-AM51</f>
        <v>16.129119238937506</v>
      </c>
      <c r="AT159" s="472">
        <f>AT51-AN51</f>
        <v>7.9908290317230239</v>
      </c>
      <c r="AU159" s="472">
        <f>AU51-AO51</f>
        <v>17.22165974005236</v>
      </c>
      <c r="AV159" s="472">
        <f>AV51-AP51</f>
        <v>-1.2837285411429207</v>
      </c>
      <c r="AW159" s="501">
        <f>AW51-AQ51</f>
        <v>40.057879469570253</v>
      </c>
      <c r="AX159" s="138"/>
      <c r="AY159" s="472">
        <f>AY51-AS51</f>
        <v>-5.0545971706903856</v>
      </c>
      <c r="AZ159" s="472">
        <f>AZ51-AT51</f>
        <v>17.855257076326495</v>
      </c>
      <c r="BA159" s="472">
        <f>BA51-AU51</f>
        <v>17.006054849434406</v>
      </c>
      <c r="BB159" s="472">
        <f>BB51-AV51</f>
        <v>11.929567063706827</v>
      </c>
      <c r="BC159" s="501">
        <f>BC51-AW51</f>
        <v>41.736281818777115</v>
      </c>
      <c r="BD159" s="138"/>
      <c r="BE159" s="472">
        <f>BE51-AY51</f>
        <v>31.28379507944743</v>
      </c>
      <c r="BF159" s="472">
        <f>BF51-AZ51</f>
        <v>2.9788163449350122</v>
      </c>
      <c r="BG159" s="472">
        <f>BG51-BA51</f>
        <v>-12.690820864878333</v>
      </c>
      <c r="BH159" s="472">
        <f>BH51-BB51</f>
        <v>3.6316636391808288</v>
      </c>
      <c r="BI159" s="501">
        <f>BI51-BC51</f>
        <v>25.203454198684767</v>
      </c>
      <c r="BJ159" s="138"/>
      <c r="BK159" s="472">
        <f>BK51-BE51</f>
        <v>-57.813704229711107</v>
      </c>
      <c r="BL159" s="472">
        <f>BL51-BF51</f>
        <v>-37.300000000000068</v>
      </c>
      <c r="BM159" s="472">
        <f>BM51-BG51</f>
        <v>15.900000000000091</v>
      </c>
      <c r="BN159" s="472">
        <f>BN51-BH51</f>
        <v>30.499999999999943</v>
      </c>
      <c r="BO159" s="501">
        <f>BO51-BI51</f>
        <v>-48.713704229711198</v>
      </c>
      <c r="BP159" s="138"/>
      <c r="BQ159" s="472">
        <f>BQ51-BK51</f>
        <v>-9.0787500000001273</v>
      </c>
      <c r="BR159" s="472">
        <f>BR51-BL51</f>
        <v>-5.4897599999999329</v>
      </c>
      <c r="BS159" s="472">
        <f>BS51-BM51</f>
        <v>8.5166199999998753</v>
      </c>
      <c r="BT159" s="472">
        <f>BT51-BN51</f>
        <v>15.676800000000014</v>
      </c>
      <c r="BU159" s="501">
        <f>BU51-BO51</f>
        <v>9.6249099999998862</v>
      </c>
      <c r="BV159" s="138"/>
      <c r="BW159" s="472">
        <f>BW51-BQ51</f>
        <v>56.356479980000131</v>
      </c>
      <c r="BX159" s="472">
        <f>BX51-BR51</f>
        <v>39.453556499999934</v>
      </c>
      <c r="BY159" s="472">
        <f>BY51-BS51</f>
        <v>14.322319280000102</v>
      </c>
      <c r="BZ159" s="472">
        <f>BZ51-BT51</f>
        <v>-2.3519613999999933</v>
      </c>
      <c r="CA159" s="501">
        <f>CA51-BU51</f>
        <v>107.78039436000017</v>
      </c>
      <c r="CB159" s="138"/>
      <c r="CC159" s="472">
        <f>CC51-BW51</f>
        <v>16.089674473049911</v>
      </c>
      <c r="CD159" s="472">
        <f>CD51-BX51</f>
        <v>16.000161162050063</v>
      </c>
      <c r="CE159" s="472">
        <f>CE51-BY51</f>
        <v>16.828564553999968</v>
      </c>
      <c r="CF159" s="472">
        <f>CF51-BZ51</f>
        <v>19.282481100899929</v>
      </c>
      <c r="CG159" s="501">
        <f>CG51-CA51</f>
        <v>68.20088128999987</v>
      </c>
      <c r="CH159" s="138"/>
      <c r="CI159" s="138"/>
      <c r="CJ159" s="138"/>
      <c r="CK159" s="138"/>
      <c r="CL159" s="138"/>
      <c r="CM159" s="330"/>
      <c r="CN159" s="330"/>
      <c r="CO159" s="330"/>
      <c r="CP159" s="330"/>
      <c r="CQ159" s="330"/>
      <c r="CR159" s="330"/>
      <c r="CS159" s="330"/>
      <c r="CT159" s="330"/>
      <c r="CU159" s="330"/>
      <c r="CW159" s="138"/>
    </row>
    <row r="160" spans="1:101" ht="12.75" hidden="1" customHeight="1" outlineLevel="1" x14ac:dyDescent="0.2">
      <c r="A160" s="423"/>
      <c r="B160" s="699" t="s">
        <v>181</v>
      </c>
      <c r="C160" s="698"/>
      <c r="D160" s="698"/>
      <c r="E160" s="698"/>
      <c r="F160" s="698"/>
      <c r="G160" s="698"/>
      <c r="H160" s="138"/>
      <c r="I160" s="718">
        <f t="shared" ref="I160:M162" si="66">C157+I157</f>
        <v>58.290397056076642</v>
      </c>
      <c r="J160" s="718">
        <f t="shared" si="66"/>
        <v>65.765440069827036</v>
      </c>
      <c r="K160" s="718">
        <f t="shared" si="66"/>
        <v>29.226832594059317</v>
      </c>
      <c r="L160" s="718">
        <f t="shared" si="66"/>
        <v>-12.513091280412141</v>
      </c>
      <c r="M160" s="719">
        <f t="shared" si="66"/>
        <v>140.76957843955142</v>
      </c>
      <c r="N160" s="138"/>
      <c r="O160" s="718">
        <f t="shared" ref="O160:S162" si="67">I157+O157</f>
        <v>28.31333261946827</v>
      </c>
      <c r="P160" s="718">
        <f t="shared" si="67"/>
        <v>34.687679457704121</v>
      </c>
      <c r="Q160" s="718">
        <f t="shared" si="67"/>
        <v>27.876637688706296</v>
      </c>
      <c r="R160" s="718">
        <f t="shared" si="67"/>
        <v>23.583103038597983</v>
      </c>
      <c r="S160" s="719">
        <f t="shared" si="67"/>
        <v>114.46075280447644</v>
      </c>
      <c r="T160" s="138"/>
      <c r="U160" s="718">
        <f t="shared" ref="U160:Y162" si="68">O157+U157</f>
        <v>2.8192196652804569</v>
      </c>
      <c r="V160" s="718">
        <f t="shared" si="68"/>
        <v>-25.615632796425189</v>
      </c>
      <c r="W160" s="718">
        <f t="shared" si="68"/>
        <v>-3.4540469734888006</v>
      </c>
      <c r="X160" s="718">
        <f t="shared" si="68"/>
        <v>55.345853472105091</v>
      </c>
      <c r="Y160" s="719">
        <f t="shared" si="68"/>
        <v>29.095393367471843</v>
      </c>
      <c r="Z160" s="138"/>
      <c r="AA160" s="718">
        <f t="shared" ref="AA160:AE162" si="69">U157+AA157</f>
        <v>66.061157657366152</v>
      </c>
      <c r="AB160" s="718">
        <f t="shared" si="69"/>
        <v>65.313978855323057</v>
      </c>
      <c r="AC160" s="718">
        <f t="shared" si="69"/>
        <v>56.060270120338828</v>
      </c>
      <c r="AD160" s="718">
        <f t="shared" si="69"/>
        <v>121.92578474982713</v>
      </c>
      <c r="AE160" s="719">
        <f t="shared" si="69"/>
        <v>309.36119138285608</v>
      </c>
      <c r="AF160" s="406"/>
      <c r="AG160" s="718">
        <f t="shared" ref="AG160:AK162" si="70">AA157+AG157</f>
        <v>135.30757165034078</v>
      </c>
      <c r="AH160" s="718">
        <f t="shared" si="70"/>
        <v>155.40635379996593</v>
      </c>
      <c r="AI160" s="718">
        <f t="shared" si="70"/>
        <v>131.46784599946261</v>
      </c>
      <c r="AJ160" s="718">
        <f t="shared" si="70"/>
        <v>126.92475921335324</v>
      </c>
      <c r="AK160" s="719">
        <f t="shared" si="70"/>
        <v>549.1065306631217</v>
      </c>
      <c r="AL160" s="138"/>
      <c r="AM160" s="718">
        <f t="shared" ref="AM160:AQ162" si="71">AG157+AM157</f>
        <v>115.35558797049407</v>
      </c>
      <c r="AN160" s="718">
        <f t="shared" si="71"/>
        <v>122.57901777998677</v>
      </c>
      <c r="AO160" s="718">
        <f t="shared" si="71"/>
        <v>92.948873123194744</v>
      </c>
      <c r="AP160" s="718">
        <f t="shared" si="71"/>
        <v>41.154346292438277</v>
      </c>
      <c r="AQ160" s="719">
        <f t="shared" si="71"/>
        <v>372.03782516611363</v>
      </c>
      <c r="AR160" s="138"/>
      <c r="AS160" s="718">
        <f t="shared" ref="AS160:AW162" si="72">AM157+AS157</f>
        <v>25.70147907622777</v>
      </c>
      <c r="AT160" s="718">
        <f t="shared" si="72"/>
        <v>50.145519168583519</v>
      </c>
      <c r="AU160" s="718">
        <f t="shared" si="72"/>
        <v>46.915235492197326</v>
      </c>
      <c r="AV160" s="718">
        <f t="shared" si="72"/>
        <v>8.518919867073464</v>
      </c>
      <c r="AW160" s="719">
        <f t="shared" si="72"/>
        <v>131.28115360408265</v>
      </c>
      <c r="AX160" s="138"/>
      <c r="AY160" s="718">
        <f t="shared" ref="AY160:BC162" si="73">AS157+AY157</f>
        <v>-17.404458100246529</v>
      </c>
      <c r="AZ160" s="718">
        <f t="shared" si="73"/>
        <v>8.5963217527284996</v>
      </c>
      <c r="BA160" s="718">
        <f t="shared" si="73"/>
        <v>20.007276393954498</v>
      </c>
      <c r="BB160" s="718">
        <f t="shared" si="73"/>
        <v>-15.180019276682515</v>
      </c>
      <c r="BC160" s="719">
        <f t="shared" si="73"/>
        <v>-3.9808792302460461</v>
      </c>
      <c r="BD160" s="138"/>
      <c r="BE160" s="718">
        <f t="shared" ref="BE160:BI162" si="74">AY157+BE157</f>
        <v>12.394122274465985</v>
      </c>
      <c r="BF160" s="718">
        <f t="shared" si="74"/>
        <v>9.4529556792496123</v>
      </c>
      <c r="BG160" s="718">
        <f t="shared" si="74"/>
        <v>-9.305101310836676</v>
      </c>
      <c r="BH160" s="718">
        <f t="shared" si="74"/>
        <v>12.421235486691558</v>
      </c>
      <c r="BI160" s="719">
        <f t="shared" si="74"/>
        <v>24.963212129570366</v>
      </c>
      <c r="BJ160" s="138"/>
      <c r="BK160" s="718">
        <f t="shared" ref="BK160:BO162" si="75">BE157+BK157</f>
        <v>2.9013109894511899</v>
      </c>
      <c r="BL160" s="718">
        <f t="shared" si="75"/>
        <v>-2.8223619245416103</v>
      </c>
      <c r="BM160" s="718">
        <f t="shared" si="75"/>
        <v>44.957708475199524</v>
      </c>
      <c r="BN160" s="718">
        <f t="shared" si="75"/>
        <v>74.014461954630292</v>
      </c>
      <c r="BO160" s="719">
        <f t="shared" si="75"/>
        <v>119.0511194947394</v>
      </c>
      <c r="BP160" s="138"/>
      <c r="BQ160" s="718">
        <f t="shared" ref="BQ160:BU162" si="76">BK157+BQ157</f>
        <v>-22.560958585858543</v>
      </c>
      <c r="BR160" s="718">
        <f t="shared" si="76"/>
        <v>9.2371200000000044</v>
      </c>
      <c r="BS160" s="718">
        <f t="shared" si="76"/>
        <v>83.606160000000045</v>
      </c>
      <c r="BT160" s="718">
        <f t="shared" si="76"/>
        <v>101.37271999999996</v>
      </c>
      <c r="BU160" s="719">
        <f t="shared" si="76"/>
        <v>171.65504141414158</v>
      </c>
      <c r="BV160" s="138"/>
      <c r="BW160" s="718">
        <f>BQ157+BW157</f>
        <v>37.978768580000065</v>
      </c>
      <c r="BX160" s="718">
        <f t="shared" ref="BX160:BZ162" si="77">BR157+BX157</f>
        <v>67.709676340000101</v>
      </c>
      <c r="BY160" s="718">
        <f t="shared" si="77"/>
        <v>66.13842711999996</v>
      </c>
      <c r="BZ160" s="718">
        <f t="shared" si="77"/>
        <v>73.083692200000087</v>
      </c>
      <c r="CA160" s="719">
        <f>BU157+CA157</f>
        <v>244.91056424000044</v>
      </c>
      <c r="CB160" s="138"/>
      <c r="CC160" s="718">
        <f t="shared" ref="CC160:CG162" si="78">BW157+CC157</f>
        <v>43.635188812800038</v>
      </c>
      <c r="CD160" s="718">
        <f t="shared" si="78"/>
        <v>50.910687146600026</v>
      </c>
      <c r="CE160" s="718">
        <f t="shared" si="78"/>
        <v>50.986208475199987</v>
      </c>
      <c r="CF160" s="718">
        <f t="shared" si="78"/>
        <v>54.477357749199996</v>
      </c>
      <c r="CG160" s="719">
        <f t="shared" si="78"/>
        <v>200.00944218379982</v>
      </c>
      <c r="CH160" s="138"/>
      <c r="CI160" s="138"/>
      <c r="CJ160" s="138"/>
      <c r="CK160" s="138"/>
      <c r="CL160" s="138"/>
      <c r="CM160" s="330"/>
      <c r="CN160" s="330"/>
      <c r="CO160" s="330"/>
      <c r="CP160" s="330"/>
      <c r="CQ160" s="330"/>
      <c r="CR160" s="330"/>
      <c r="CS160" s="330"/>
      <c r="CT160" s="330"/>
      <c r="CU160" s="330"/>
      <c r="CW160" s="138"/>
    </row>
    <row r="161" spans="1:132" ht="12.75" hidden="1" customHeight="1" outlineLevel="1" x14ac:dyDescent="0.2">
      <c r="A161" s="423"/>
      <c r="B161" s="699" t="s">
        <v>179</v>
      </c>
      <c r="C161" s="698"/>
      <c r="D161" s="698"/>
      <c r="E161" s="698"/>
      <c r="F161" s="698"/>
      <c r="G161" s="698"/>
      <c r="H161" s="138"/>
      <c r="I161" s="718">
        <f t="shared" si="66"/>
        <v>27.784613708194854</v>
      </c>
      <c r="J161" s="718">
        <f t="shared" si="66"/>
        <v>42.913335487873809</v>
      </c>
      <c r="K161" s="718">
        <f t="shared" si="66"/>
        <v>21.799185609391799</v>
      </c>
      <c r="L161" s="718">
        <f t="shared" si="66"/>
        <v>0.34420658187357844</v>
      </c>
      <c r="M161" s="719">
        <f t="shared" si="66"/>
        <v>92.84134138733441</v>
      </c>
      <c r="N161" s="138"/>
      <c r="O161" s="718">
        <f t="shared" si="67"/>
        <v>13.725352442877153</v>
      </c>
      <c r="P161" s="718">
        <f t="shared" si="67"/>
        <v>14.148520145010963</v>
      </c>
      <c r="Q161" s="718">
        <f t="shared" si="67"/>
        <v>14.376425404951192</v>
      </c>
      <c r="R161" s="718">
        <f t="shared" si="67"/>
        <v>8.2777097487281708</v>
      </c>
      <c r="S161" s="719">
        <f t="shared" si="67"/>
        <v>50.528007741567649</v>
      </c>
      <c r="T161" s="138"/>
      <c r="U161" s="718">
        <f t="shared" si="68"/>
        <v>3.3825351166044868</v>
      </c>
      <c r="V161" s="718">
        <f t="shared" si="68"/>
        <v>-26.425002769951163</v>
      </c>
      <c r="W161" s="718">
        <f t="shared" si="68"/>
        <v>-0.85894732298189069</v>
      </c>
      <c r="X161" s="718">
        <f t="shared" si="68"/>
        <v>19.866385949424995</v>
      </c>
      <c r="Y161" s="719">
        <f t="shared" si="68"/>
        <v>-4.0350290269038851</v>
      </c>
      <c r="Z161" s="138"/>
      <c r="AA161" s="718">
        <f t="shared" si="69"/>
        <v>41.654285224298661</v>
      </c>
      <c r="AB161" s="718">
        <f t="shared" si="69"/>
        <v>44.581329963083363</v>
      </c>
      <c r="AC161" s="718">
        <f t="shared" si="69"/>
        <v>52.808591919385151</v>
      </c>
      <c r="AD161" s="718">
        <f t="shared" si="69"/>
        <v>111.68541437080819</v>
      </c>
      <c r="AE161" s="719">
        <f t="shared" si="69"/>
        <v>250.72962147757551</v>
      </c>
      <c r="AF161" s="406"/>
      <c r="AG161" s="718">
        <f t="shared" si="70"/>
        <v>110.48311449681526</v>
      </c>
      <c r="AH161" s="718">
        <f t="shared" si="70"/>
        <v>118.96324767970691</v>
      </c>
      <c r="AI161" s="718">
        <f t="shared" si="70"/>
        <v>94.088948356190542</v>
      </c>
      <c r="AJ161" s="718">
        <f t="shared" si="70"/>
        <v>110.81898998358866</v>
      </c>
      <c r="AK161" s="719">
        <f t="shared" si="70"/>
        <v>434.35430051630135</v>
      </c>
      <c r="AL161" s="138"/>
      <c r="AM161" s="718">
        <f t="shared" si="71"/>
        <v>97.731358769679446</v>
      </c>
      <c r="AN161" s="718">
        <f t="shared" si="71"/>
        <v>83.405830221480187</v>
      </c>
      <c r="AO161" s="718">
        <f t="shared" si="71"/>
        <v>58.035026178312307</v>
      </c>
      <c r="AP161" s="718">
        <f t="shared" si="71"/>
        <v>20.43413437055915</v>
      </c>
      <c r="AQ161" s="719">
        <f t="shared" si="71"/>
        <v>259.60634954003081</v>
      </c>
      <c r="AR161" s="138"/>
      <c r="AS161" s="718">
        <f t="shared" si="72"/>
        <v>7.7202030769003045</v>
      </c>
      <c r="AT161" s="718">
        <f t="shared" si="72"/>
        <v>21.814275049159278</v>
      </c>
      <c r="AU161" s="718">
        <f t="shared" si="72"/>
        <v>20.239283299986425</v>
      </c>
      <c r="AV161" s="718">
        <f t="shared" si="72"/>
        <v>2.2646117076074574</v>
      </c>
      <c r="AW161" s="719">
        <f t="shared" si="72"/>
        <v>52.038373133653295</v>
      </c>
      <c r="AX161" s="138"/>
      <c r="AY161" s="718">
        <f t="shared" si="73"/>
        <v>-28.478980168493649</v>
      </c>
      <c r="AZ161" s="718">
        <f t="shared" si="73"/>
        <v>-17.24976435532102</v>
      </c>
      <c r="BA161" s="718">
        <f t="shared" si="73"/>
        <v>-14.220438195532267</v>
      </c>
      <c r="BB161" s="718">
        <f t="shared" si="73"/>
        <v>-25.825857799246421</v>
      </c>
      <c r="BC161" s="719">
        <f t="shared" si="73"/>
        <v>-85.775040518593414</v>
      </c>
      <c r="BD161" s="138"/>
      <c r="BE161" s="718">
        <f t="shared" si="74"/>
        <v>-13.835075634291059</v>
      </c>
      <c r="BF161" s="718">
        <f t="shared" si="74"/>
        <v>-11.381117742011895</v>
      </c>
      <c r="BG161" s="718">
        <f t="shared" si="74"/>
        <v>-13.620335295392749</v>
      </c>
      <c r="BH161" s="718">
        <f t="shared" si="74"/>
        <v>-3.1399952161960982</v>
      </c>
      <c r="BI161" s="719">
        <f t="shared" si="74"/>
        <v>-41.976523887891517</v>
      </c>
      <c r="BJ161" s="138"/>
      <c r="BK161" s="718">
        <f t="shared" si="75"/>
        <v>29.431220139714867</v>
      </c>
      <c r="BL161" s="718">
        <f t="shared" si="75"/>
        <v>31.498821730523446</v>
      </c>
      <c r="BM161" s="718">
        <f t="shared" si="75"/>
        <v>41.748529340077766</v>
      </c>
      <c r="BN161" s="718">
        <f t="shared" si="75"/>
        <v>39.88279831544952</v>
      </c>
      <c r="BO161" s="719">
        <f t="shared" si="75"/>
        <v>142.56136952576571</v>
      </c>
      <c r="BP161" s="138"/>
      <c r="BQ161" s="718">
        <f t="shared" si="76"/>
        <v>44.331495643852691</v>
      </c>
      <c r="BR161" s="718">
        <f t="shared" si="76"/>
        <v>52.026880000000006</v>
      </c>
      <c r="BS161" s="718">
        <f t="shared" si="76"/>
        <v>59.189540000000079</v>
      </c>
      <c r="BT161" s="718">
        <f t="shared" si="76"/>
        <v>55.195920000000001</v>
      </c>
      <c r="BU161" s="719">
        <f t="shared" si="76"/>
        <v>210.74383564385266</v>
      </c>
      <c r="BV161" s="138"/>
      <c r="BW161" s="718">
        <f>BQ158+BW158</f>
        <v>-9.2989613999999392</v>
      </c>
      <c r="BX161" s="718">
        <f t="shared" si="77"/>
        <v>33.7458798400001</v>
      </c>
      <c r="BY161" s="718">
        <f t="shared" si="77"/>
        <v>43.299487839999983</v>
      </c>
      <c r="BZ161" s="718">
        <f t="shared" si="77"/>
        <v>59.758853600000066</v>
      </c>
      <c r="CA161" s="719">
        <f>BU158+CA158</f>
        <v>127.50525988000027</v>
      </c>
      <c r="CB161" s="138"/>
      <c r="CC161" s="718">
        <f>BW158+CC158</f>
        <v>-28.810965640250004</v>
      </c>
      <c r="CD161" s="718">
        <f t="shared" si="78"/>
        <v>-4.5430305154499706</v>
      </c>
      <c r="CE161" s="718">
        <f t="shared" si="78"/>
        <v>19.835324641199918</v>
      </c>
      <c r="CF161" s="718">
        <f t="shared" si="78"/>
        <v>37.54683804830006</v>
      </c>
      <c r="CG161" s="719">
        <f>CA158+CG158</f>
        <v>24.028166533800004</v>
      </c>
      <c r="CH161" s="138"/>
      <c r="CI161" s="138"/>
      <c r="CJ161" s="138"/>
      <c r="CK161" s="138"/>
      <c r="CL161" s="138"/>
      <c r="CM161" s="330"/>
      <c r="CN161" s="330"/>
      <c r="CO161" s="330"/>
      <c r="CP161" s="330"/>
      <c r="CQ161" s="330"/>
      <c r="CR161" s="330"/>
      <c r="CS161" s="330"/>
      <c r="CT161" s="330"/>
      <c r="CU161" s="330"/>
      <c r="CW161" s="138"/>
    </row>
    <row r="162" spans="1:132" ht="12.75" hidden="1" customHeight="1" outlineLevel="1" x14ac:dyDescent="0.2">
      <c r="A162" s="423"/>
      <c r="B162" s="699" t="s">
        <v>241</v>
      </c>
      <c r="C162" s="698"/>
      <c r="D162" s="698"/>
      <c r="E162" s="698"/>
      <c r="F162" s="698"/>
      <c r="G162" s="698"/>
      <c r="H162" s="138"/>
      <c r="I162" s="718">
        <f t="shared" si="66"/>
        <v>30.505783347881788</v>
      </c>
      <c r="J162" s="718">
        <f t="shared" si="66"/>
        <v>22.852104581953228</v>
      </c>
      <c r="K162" s="718">
        <f t="shared" si="66"/>
        <v>7.4276469846675184</v>
      </c>
      <c r="L162" s="718">
        <f t="shared" si="66"/>
        <v>-12.857297862285719</v>
      </c>
      <c r="M162" s="719">
        <f t="shared" si="66"/>
        <v>47.928237052217014</v>
      </c>
      <c r="N162" s="138"/>
      <c r="O162" s="718">
        <f t="shared" si="67"/>
        <v>14.587980176591117</v>
      </c>
      <c r="P162" s="718">
        <f t="shared" si="67"/>
        <v>20.539159312693158</v>
      </c>
      <c r="Q162" s="718">
        <f t="shared" si="67"/>
        <v>13.500212283755104</v>
      </c>
      <c r="R162" s="718">
        <f t="shared" si="67"/>
        <v>15.305393289869812</v>
      </c>
      <c r="S162" s="719">
        <f t="shared" si="67"/>
        <v>63.932745062908793</v>
      </c>
      <c r="T162" s="138"/>
      <c r="U162" s="718">
        <f t="shared" si="68"/>
        <v>-0.56331545132402994</v>
      </c>
      <c r="V162" s="718">
        <f t="shared" si="68"/>
        <v>0.80936997352597473</v>
      </c>
      <c r="W162" s="718">
        <f t="shared" si="68"/>
        <v>-2.5950996505069099</v>
      </c>
      <c r="X162" s="718">
        <f t="shared" si="68"/>
        <v>35.479467522680096</v>
      </c>
      <c r="Y162" s="719">
        <f t="shared" si="68"/>
        <v>33.130422394375728</v>
      </c>
      <c r="Z162" s="138"/>
      <c r="AA162" s="718">
        <f t="shared" si="69"/>
        <v>24.406872433067491</v>
      </c>
      <c r="AB162" s="718">
        <f t="shared" si="69"/>
        <v>20.732648892239695</v>
      </c>
      <c r="AC162" s="718">
        <f t="shared" si="69"/>
        <v>3.2516782009536769</v>
      </c>
      <c r="AD162" s="718">
        <f t="shared" si="69"/>
        <v>10.240370379018941</v>
      </c>
      <c r="AE162" s="719">
        <f t="shared" si="69"/>
        <v>58.631569905280571</v>
      </c>
      <c r="AF162" s="406"/>
      <c r="AG162" s="718">
        <f t="shared" si="70"/>
        <v>24.824457153525515</v>
      </c>
      <c r="AH162" s="718">
        <f t="shared" si="70"/>
        <v>36.443106120259017</v>
      </c>
      <c r="AI162" s="718">
        <f t="shared" si="70"/>
        <v>37.378897643272069</v>
      </c>
      <c r="AJ162" s="718">
        <f t="shared" si="70"/>
        <v>16.105769229764576</v>
      </c>
      <c r="AK162" s="719">
        <f t="shared" si="70"/>
        <v>114.75223014682035</v>
      </c>
      <c r="AL162" s="138"/>
      <c r="AM162" s="718">
        <f t="shared" si="71"/>
        <v>17.624229200814625</v>
      </c>
      <c r="AN162" s="718">
        <f t="shared" si="71"/>
        <v>39.173187558506584</v>
      </c>
      <c r="AO162" s="718">
        <f t="shared" si="71"/>
        <v>34.913846944882437</v>
      </c>
      <c r="AP162" s="718">
        <f t="shared" si="71"/>
        <v>20.720211921879127</v>
      </c>
      <c r="AQ162" s="719">
        <f t="shared" si="71"/>
        <v>112.43147562608283</v>
      </c>
      <c r="AR162" s="138"/>
      <c r="AS162" s="718">
        <f t="shared" si="72"/>
        <v>17.981275999327465</v>
      </c>
      <c r="AT162" s="718">
        <f t="shared" si="72"/>
        <v>28.331244119424241</v>
      </c>
      <c r="AU162" s="718">
        <f t="shared" si="72"/>
        <v>26.6759521922109</v>
      </c>
      <c r="AV162" s="718">
        <f t="shared" si="72"/>
        <v>6.2543081594660066</v>
      </c>
      <c r="AW162" s="719">
        <f t="shared" si="72"/>
        <v>79.242780470429352</v>
      </c>
      <c r="AX162" s="138"/>
      <c r="AY162" s="718">
        <f t="shared" si="73"/>
        <v>11.07452206824712</v>
      </c>
      <c r="AZ162" s="718">
        <f t="shared" si="73"/>
        <v>25.846086108049519</v>
      </c>
      <c r="BA162" s="718">
        <f t="shared" si="73"/>
        <v>34.227714589486766</v>
      </c>
      <c r="BB162" s="718">
        <f t="shared" si="73"/>
        <v>10.645838522563906</v>
      </c>
      <c r="BC162" s="719">
        <f t="shared" si="73"/>
        <v>81.794161288347368</v>
      </c>
      <c r="BD162" s="138"/>
      <c r="BE162" s="718">
        <f t="shared" si="74"/>
        <v>26.229197908757044</v>
      </c>
      <c r="BF162" s="718">
        <f t="shared" si="74"/>
        <v>20.834073421261508</v>
      </c>
      <c r="BG162" s="718">
        <f t="shared" si="74"/>
        <v>4.3152339845560732</v>
      </c>
      <c r="BH162" s="718">
        <f t="shared" si="74"/>
        <v>15.561230702887656</v>
      </c>
      <c r="BI162" s="719">
        <f t="shared" si="74"/>
        <v>66.939736017461883</v>
      </c>
      <c r="BJ162" s="138"/>
      <c r="BK162" s="718">
        <f t="shared" si="75"/>
        <v>-26.529909150263677</v>
      </c>
      <c r="BL162" s="718">
        <f t="shared" si="75"/>
        <v>-34.321183655065056</v>
      </c>
      <c r="BM162" s="718">
        <f t="shared" si="75"/>
        <v>3.209179135121758</v>
      </c>
      <c r="BN162" s="718">
        <f t="shared" si="75"/>
        <v>34.131663639180772</v>
      </c>
      <c r="BO162" s="719">
        <f t="shared" si="75"/>
        <v>-23.51025003102643</v>
      </c>
      <c r="BP162" s="138"/>
      <c r="BQ162" s="718">
        <f t="shared" si="76"/>
        <v>-66.892454229711234</v>
      </c>
      <c r="BR162" s="718">
        <f t="shared" si="76"/>
        <v>-42.789760000000001</v>
      </c>
      <c r="BS162" s="718">
        <f t="shared" si="76"/>
        <v>24.416619999999966</v>
      </c>
      <c r="BT162" s="718">
        <f t="shared" si="76"/>
        <v>46.176799999999957</v>
      </c>
      <c r="BU162" s="719">
        <f t="shared" si="76"/>
        <v>-39.088794229711311</v>
      </c>
      <c r="BV162" s="138"/>
      <c r="BW162" s="718">
        <f>BQ159+BW159</f>
        <v>47.277729980000004</v>
      </c>
      <c r="BX162" s="718">
        <f t="shared" si="77"/>
        <v>33.963796500000001</v>
      </c>
      <c r="BY162" s="718">
        <f t="shared" si="77"/>
        <v>22.838939279999977</v>
      </c>
      <c r="BZ162" s="718">
        <f t="shared" si="77"/>
        <v>13.324838600000021</v>
      </c>
      <c r="CA162" s="719">
        <f>BU159+CA159</f>
        <v>117.40530436000006</v>
      </c>
      <c r="CB162" s="138"/>
      <c r="CC162" s="718">
        <f>BW159+CC159</f>
        <v>72.446154453050042</v>
      </c>
      <c r="CD162" s="718">
        <f t="shared" si="78"/>
        <v>55.453717662049996</v>
      </c>
      <c r="CE162" s="718">
        <f t="shared" si="78"/>
        <v>31.150883834000069</v>
      </c>
      <c r="CF162" s="718">
        <f t="shared" si="78"/>
        <v>16.930519700899936</v>
      </c>
      <c r="CG162" s="719">
        <f>CA159+CG159</f>
        <v>175.98127565000004</v>
      </c>
      <c r="CH162" s="138"/>
      <c r="CI162" s="138"/>
      <c r="CJ162" s="138"/>
      <c r="CK162" s="138"/>
      <c r="CL162" s="138"/>
      <c r="CM162" s="330"/>
      <c r="CN162" s="330"/>
      <c r="CO162" s="330"/>
      <c r="CP162" s="330"/>
      <c r="CQ162" s="330"/>
      <c r="CR162" s="330"/>
      <c r="CS162" s="330"/>
      <c r="CT162" s="330"/>
      <c r="CU162" s="330"/>
      <c r="CW162" s="138"/>
    </row>
    <row r="163" spans="1:132" ht="12.75" hidden="1" customHeight="1" outlineLevel="1" x14ac:dyDescent="0.2">
      <c r="A163" s="423"/>
      <c r="B163" s="476" t="s">
        <v>192</v>
      </c>
      <c r="C163" s="389"/>
      <c r="D163" s="389"/>
      <c r="E163" s="389"/>
      <c r="F163" s="389"/>
      <c r="G163" s="389"/>
      <c r="H163" s="138"/>
      <c r="I163" s="389"/>
      <c r="J163" s="389"/>
      <c r="K163" s="389"/>
      <c r="L163" s="389"/>
      <c r="M163" s="389"/>
      <c r="N163" s="138"/>
      <c r="O163" s="507">
        <f>(O16-I16)-(O26-I26)</f>
        <v>-6.742064436608473</v>
      </c>
      <c r="P163" s="507">
        <f>(P16-J16)-(P26-J26)</f>
        <v>-19.808760612122683</v>
      </c>
      <c r="Q163" s="507">
        <f>(Q16-K16)-(Q26-K26)</f>
        <v>3.1318050946470635</v>
      </c>
      <c r="R163" s="507">
        <f>(R16-L16)-(R26-L26)</f>
        <v>28.321194319010488</v>
      </c>
      <c r="S163" s="508">
        <f>(S16-M16)-(S26-M26)</f>
        <v>4.9021743649266227</v>
      </c>
      <c r="T163" s="138"/>
      <c r="U163" s="507">
        <f>(U16-O16)-(U26-O26)</f>
        <v>25.637284101888838</v>
      </c>
      <c r="V163" s="507">
        <f>(V16-P16)-(V26-P26)</f>
        <v>0.96112781569752315</v>
      </c>
      <c r="W163" s="507">
        <f>(W16-Q16)-(W26-Q26)</f>
        <v>-12.18785206813584</v>
      </c>
      <c r="X163" s="507">
        <f>(X16-R16)-(X26-R26)</f>
        <v>20.448659153094809</v>
      </c>
      <c r="Y163" s="508">
        <f>(Y16-S16)-(Y26-S26)</f>
        <v>34.859219002545842</v>
      </c>
      <c r="Z163" s="138"/>
      <c r="AA163" s="507">
        <f>(AA16-U16)-(AA26-U26)</f>
        <v>38.224873555477359</v>
      </c>
      <c r="AB163" s="507">
        <f>(AB16-V16)-(AB26-V26)</f>
        <v>60.204851039625396</v>
      </c>
      <c r="AC163" s="507">
        <f>(AC16-W16)-(AC26-W26)</f>
        <v>49.62512218847462</v>
      </c>
      <c r="AD163" s="507">
        <f>(AD16-X16)-(AD26-X26)</f>
        <v>89.987125596732142</v>
      </c>
      <c r="AE163" s="508">
        <f>(AE16-Y16)-(AE26-Y26)</f>
        <v>238.04197238030883</v>
      </c>
      <c r="AF163" s="406"/>
      <c r="AG163" s="507">
        <f>(AG16-AA16)-(AG26-AA26)</f>
        <v>94.752698094863547</v>
      </c>
      <c r="AH163" s="507">
        <f>(AH16-AB16)-(AH26-AB26)</f>
        <v>76.493502760340562</v>
      </c>
      <c r="AI163" s="507">
        <f>(AI16-AC16)-(AI26-AC26)</f>
        <v>80.697723810988009</v>
      </c>
      <c r="AJ163" s="507">
        <f>(AJ16-AD16)-(AJ26-AD26)</f>
        <v>34.646633616621045</v>
      </c>
      <c r="AK163" s="508">
        <f>(AK16-AE16)-(AK26-AE26)</f>
        <v>286.59055828281339</v>
      </c>
      <c r="AL163" s="138"/>
      <c r="AM163" s="507">
        <f>(AM16-AG16)-(AM26-AG26)</f>
        <v>4.6658898756306826</v>
      </c>
      <c r="AN163" s="507">
        <f>(AN16-AH16)-(AN26-AH26)</f>
        <v>46.484515019646267</v>
      </c>
      <c r="AO163" s="507">
        <f>(AO16-AI16)-(AO26-AI26)</f>
        <v>33.666149312206755</v>
      </c>
      <c r="AP163" s="507">
        <f>(AP16-AJ16)-(AP26-AJ26)</f>
        <v>26.731712675817278</v>
      </c>
      <c r="AQ163" s="508">
        <f>(AQ16-AK16)-(AQ26-AK26)</f>
        <v>111.54826688330058</v>
      </c>
      <c r="AR163" s="138"/>
      <c r="AS163" s="507">
        <f>(AS16-AM16)-(AS26-AM26)</f>
        <v>30.891589200597082</v>
      </c>
      <c r="AT163" s="507">
        <f>(AT16-AN16)-(AT26-AN26)</f>
        <v>33.848004148937321</v>
      </c>
      <c r="AU163" s="507">
        <f>(AU16-AO16)-(AU26-AO26)</f>
        <v>35.207086179990483</v>
      </c>
      <c r="AV163" s="507">
        <f>(AV16-AP16)-(AV26-AP26)</f>
        <v>3.5722071912561546</v>
      </c>
      <c r="AW163" s="508">
        <f>(AW16-AQ16)-(AW26-AQ26)</f>
        <v>103.51888672078167</v>
      </c>
      <c r="AX163" s="138"/>
      <c r="AY163" s="507">
        <f>(AY16-AS16)-(AY26-AS26)</f>
        <v>-13.634047300843804</v>
      </c>
      <c r="AZ163" s="507">
        <f>(AZ16-AT16)-(AZ26-AT26)</f>
        <v>-3.505682396208897</v>
      </c>
      <c r="BA163" s="507">
        <f>(BA16-AU16)-(BA26-AU26)</f>
        <v>-0.20680978603604672</v>
      </c>
      <c r="BB163" s="507">
        <f>(BB16-AV16)-(BB26-AV26)</f>
        <v>-3.963226467938739</v>
      </c>
      <c r="BC163" s="508">
        <f>(BC16-AW16)-(BC26-AW26)</f>
        <v>-21.30976595102743</v>
      </c>
      <c r="BD163" s="138"/>
      <c r="BE163" s="507">
        <f>(BE16-AY16)-(BE26-AY26)</f>
        <v>66.960169575309749</v>
      </c>
      <c r="BF163" s="507">
        <f>(BF16-AZ16)-(BF26-AZ26)</f>
        <v>31.585638075458405</v>
      </c>
      <c r="BG163" s="507">
        <f>(BG16-BA16)-(BG26-BA26)</f>
        <v>2.5577084751994903</v>
      </c>
      <c r="BH163" s="507">
        <f>(BH16-BB16)-(BH26-BB26)</f>
        <v>30.514461954630406</v>
      </c>
      <c r="BI163" s="508">
        <f>(BI16-BC16)-(BI26-BC26)</f>
        <v>131.6179780805976</v>
      </c>
      <c r="BJ163" s="138"/>
      <c r="BK163" s="507">
        <f>(BK16-BE16)-(BK26-BE26)</f>
        <v>-50.3858585858585</v>
      </c>
      <c r="BL163" s="507">
        <f>(BL16-BF16)-(BL26-BF26)</f>
        <v>-20.800000000000068</v>
      </c>
      <c r="BM163" s="507">
        <f>(BM16-BG16)-(BM26-BG26)</f>
        <v>52.600000000000136</v>
      </c>
      <c r="BN163" s="507">
        <f>(BN16-BH16)-(BN26-BH26)</f>
        <v>58.399999999999977</v>
      </c>
      <c r="BO163" s="508">
        <f>(BO16-BI16)-(BO26-BI26)</f>
        <v>39.814141414141204</v>
      </c>
      <c r="BP163" s="138"/>
      <c r="BQ163" s="507">
        <f>(BQ16-BK16)-(BQ26-BK26)</f>
        <v>16.724899999999934</v>
      </c>
      <c r="BR163" s="507">
        <f>(BR16-BL16)-(BR26-BL26)</f>
        <v>36.037120000000073</v>
      </c>
      <c r="BS163" s="507">
        <f>(BS16-BM16)-(BS26-BM26)</f>
        <v>36.606159999999818</v>
      </c>
      <c r="BT163" s="507">
        <f>(BT16-BN16)-(BT26-BN26)</f>
        <v>46.572720000000004</v>
      </c>
      <c r="BU163" s="508">
        <f>(BU16-BO16)-(BU26-BO26)</f>
        <v>135.94090000000051</v>
      </c>
      <c r="BV163" s="138"/>
      <c r="BW163" s="507">
        <f>(BW16-BQ16)-(BW26-BQ26)</f>
        <v>21.25386858000013</v>
      </c>
      <c r="BX163" s="507">
        <f>(BX16-BR16)-(BX26-BR26)</f>
        <v>31.672556340000028</v>
      </c>
      <c r="BY163" s="507">
        <f>(BY16-BS16)-(BY26-BS26)</f>
        <v>29.532267120000029</v>
      </c>
      <c r="BZ163" s="507">
        <f>(BZ16-BT16)-(BZ26-BT26)</f>
        <v>26.510972200000083</v>
      </c>
      <c r="CA163" s="508">
        <f>(CA16-BU16)-(CA26-BU26)</f>
        <v>108.96966423999993</v>
      </c>
      <c r="CB163" s="138"/>
      <c r="CC163" s="507">
        <f>(CC16-BW16)-(CC26-BW26)</f>
        <v>22.381320232799908</v>
      </c>
      <c r="CD163" s="507">
        <f>(CD16-BX16)-(CD26-BX26)</f>
        <v>19.238130806599997</v>
      </c>
      <c r="CE163" s="507">
        <f>(CE16-BY16)-(CE26-BY26)</f>
        <v>21.453941355199959</v>
      </c>
      <c r="CF163" s="507">
        <f>(CF16-BZ16)-(CF26-BZ26)</f>
        <v>27.966385549199913</v>
      </c>
      <c r="CG163" s="508">
        <f>(CG16-CA16)-(CG26-CA26)</f>
        <v>91.039777943800345</v>
      </c>
      <c r="CH163" s="138"/>
      <c r="CI163" s="138"/>
      <c r="CJ163" s="138"/>
      <c r="CK163" s="138"/>
      <c r="CL163" s="138"/>
      <c r="CM163" s="330"/>
      <c r="CN163" s="330"/>
      <c r="CO163" s="330"/>
      <c r="CP163" s="330"/>
      <c r="CQ163" s="330"/>
      <c r="CR163" s="330"/>
      <c r="CS163" s="330"/>
      <c r="CT163" s="330"/>
      <c r="CU163" s="330"/>
      <c r="CW163" s="138"/>
    </row>
    <row r="164" spans="1:132" ht="12.75" hidden="1" customHeight="1" outlineLevel="1" x14ac:dyDescent="0.2">
      <c r="A164" s="423"/>
      <c r="B164" s="509" t="s">
        <v>231</v>
      </c>
      <c r="C164" s="389"/>
      <c r="D164" s="389"/>
      <c r="E164" s="389"/>
      <c r="F164" s="389"/>
      <c r="G164" s="389"/>
      <c r="H164" s="138"/>
      <c r="I164" s="389"/>
      <c r="J164" s="389"/>
      <c r="K164" s="389"/>
      <c r="L164" s="389"/>
      <c r="M164" s="389"/>
      <c r="N164" s="138"/>
      <c r="O164" s="507">
        <f>I163+O163</f>
        <v>-6.742064436608473</v>
      </c>
      <c r="P164" s="507">
        <f>J163+P163</f>
        <v>-19.808760612122683</v>
      </c>
      <c r="Q164" s="507">
        <f>K163+Q163</f>
        <v>3.1318050946470635</v>
      </c>
      <c r="R164" s="507">
        <f>L163+R163</f>
        <v>28.321194319010488</v>
      </c>
      <c r="S164" s="508">
        <f>M163+S163</f>
        <v>4.9021743649266227</v>
      </c>
      <c r="T164" s="138"/>
      <c r="U164" s="507">
        <f>O163+U163</f>
        <v>18.895219665280365</v>
      </c>
      <c r="V164" s="507">
        <f>P163+V163</f>
        <v>-18.84763279642516</v>
      </c>
      <c r="W164" s="507">
        <f>Q163+W163</f>
        <v>-9.0560469734887761</v>
      </c>
      <c r="X164" s="507">
        <f>R163+X163</f>
        <v>48.769853472105297</v>
      </c>
      <c r="Y164" s="508">
        <f>S163+Y163</f>
        <v>39.761393367472465</v>
      </c>
      <c r="Z164" s="138"/>
      <c r="AA164" s="507">
        <f>U163+AA163</f>
        <v>63.862157657366197</v>
      </c>
      <c r="AB164" s="507">
        <f>V163+AB163</f>
        <v>61.165978855322919</v>
      </c>
      <c r="AC164" s="507">
        <f>W163+AC163</f>
        <v>37.437270120338781</v>
      </c>
      <c r="AD164" s="507">
        <f>X163+AD163</f>
        <v>110.43578474982695</v>
      </c>
      <c r="AE164" s="508">
        <f>Y163+AE163</f>
        <v>272.90119138285468</v>
      </c>
      <c r="AF164" s="406"/>
      <c r="AG164" s="507">
        <f>AA163+AG163</f>
        <v>132.97757165034091</v>
      </c>
      <c r="AH164" s="507">
        <f>AB163+AH163</f>
        <v>136.69835379996596</v>
      </c>
      <c r="AI164" s="507">
        <f>AC163+AI163</f>
        <v>130.32284599946263</v>
      </c>
      <c r="AJ164" s="507">
        <f>AD163+AJ163</f>
        <v>124.63375921335319</v>
      </c>
      <c r="AK164" s="508">
        <f>AE163+AK163</f>
        <v>524.63253066312222</v>
      </c>
      <c r="AL164" s="138"/>
      <c r="AM164" s="507">
        <f>AG163+AM163</f>
        <v>99.418587970494229</v>
      </c>
      <c r="AN164" s="507">
        <f>AH163+AN163</f>
        <v>122.97801777998683</v>
      </c>
      <c r="AO164" s="507">
        <f>AI163+AO163</f>
        <v>114.36387312319476</v>
      </c>
      <c r="AP164" s="507">
        <f>AJ163+AP163</f>
        <v>61.378346292438323</v>
      </c>
      <c r="AQ164" s="508">
        <f>AK163+AQ163</f>
        <v>398.13882516611397</v>
      </c>
      <c r="AR164" s="138"/>
      <c r="AS164" s="507">
        <f>AM163+AS163</f>
        <v>35.557479076227764</v>
      </c>
      <c r="AT164" s="507">
        <f>AN163+AT163</f>
        <v>80.332519168583588</v>
      </c>
      <c r="AU164" s="507">
        <f>AO163+AU163</f>
        <v>68.873235492197239</v>
      </c>
      <c r="AV164" s="507">
        <f>AP163+AV163</f>
        <v>30.303919867073432</v>
      </c>
      <c r="AW164" s="508">
        <f>AQ163+AW163</f>
        <v>215.06715360408225</v>
      </c>
      <c r="AX164" s="138"/>
      <c r="AY164" s="507">
        <f>AS163+AY163</f>
        <v>17.257541899753278</v>
      </c>
      <c r="AZ164" s="507">
        <f>AT163+AZ163</f>
        <v>30.342321752728424</v>
      </c>
      <c r="BA164" s="507">
        <f>AU163+BA163</f>
        <v>35.000276393954437</v>
      </c>
      <c r="BB164" s="507">
        <f>AV163+BB163</f>
        <v>-0.3910192766825844</v>
      </c>
      <c r="BC164" s="508">
        <f>AW163+BC163</f>
        <v>82.209120769754236</v>
      </c>
      <c r="BD164" s="138"/>
      <c r="BE164" s="507">
        <f>AY163+BE163</f>
        <v>53.326122274465945</v>
      </c>
      <c r="BF164" s="507">
        <f>AZ163+BF163</f>
        <v>28.079955679249508</v>
      </c>
      <c r="BG164" s="507">
        <f>BA163+BG163</f>
        <v>2.3508986891634436</v>
      </c>
      <c r="BH164" s="507">
        <f>BB163+BH163</f>
        <v>26.551235486691667</v>
      </c>
      <c r="BI164" s="508">
        <f>BC163+BI163</f>
        <v>110.30821212957017</v>
      </c>
      <c r="BJ164" s="138"/>
      <c r="BK164" s="507">
        <f>BE163+BK163</f>
        <v>16.574310989451249</v>
      </c>
      <c r="BL164" s="507">
        <f>BF163+BL163</f>
        <v>10.785638075458337</v>
      </c>
      <c r="BM164" s="507">
        <f>BG163+BM163</f>
        <v>55.157708475199627</v>
      </c>
      <c r="BN164" s="507">
        <f>BH163+BN163</f>
        <v>88.914461954630383</v>
      </c>
      <c r="BO164" s="508">
        <f>BI163+BO163</f>
        <v>171.4321194947388</v>
      </c>
      <c r="BP164" s="138"/>
      <c r="BQ164" s="507">
        <f>BK163+BQ163</f>
        <v>-33.660958585858566</v>
      </c>
      <c r="BR164" s="507">
        <f>BL163+BR163</f>
        <v>15.237120000000004</v>
      </c>
      <c r="BS164" s="507">
        <f>BM163+BS163</f>
        <v>89.206159999999954</v>
      </c>
      <c r="BT164" s="507">
        <f>BN163+BT163</f>
        <v>104.97271999999998</v>
      </c>
      <c r="BU164" s="508">
        <f>BO163+BU163</f>
        <v>175.75504141414171</v>
      </c>
      <c r="BV164" s="138"/>
      <c r="BW164" s="507">
        <f>BQ163+BW163</f>
        <v>37.978768580000065</v>
      </c>
      <c r="BX164" s="507">
        <f>BR163+BX163</f>
        <v>67.709676340000101</v>
      </c>
      <c r="BY164" s="507">
        <f>BS163+BY163</f>
        <v>66.138427119999847</v>
      </c>
      <c r="BZ164" s="507">
        <f>BT163+BZ163</f>
        <v>73.083692200000087</v>
      </c>
      <c r="CA164" s="508">
        <f>BU163+CA163</f>
        <v>244.91056424000044</v>
      </c>
      <c r="CB164" s="138"/>
      <c r="CC164" s="507">
        <f>BW163+CC163</f>
        <v>43.635188812800038</v>
      </c>
      <c r="CD164" s="507">
        <f>BX163+CD163</f>
        <v>50.910687146600026</v>
      </c>
      <c r="CE164" s="507">
        <f>BY163+CE163</f>
        <v>50.986208475199987</v>
      </c>
      <c r="CF164" s="507">
        <f>BZ163+CF163</f>
        <v>54.477357749199996</v>
      </c>
      <c r="CG164" s="508">
        <f>CA163+CG163</f>
        <v>200.00944218380027</v>
      </c>
      <c r="CH164" s="138"/>
      <c r="CI164" s="138"/>
      <c r="CJ164" s="138"/>
      <c r="CK164" s="138"/>
      <c r="CL164" s="138"/>
      <c r="CM164" s="330"/>
      <c r="CN164" s="330"/>
      <c r="CO164" s="330"/>
      <c r="CP164" s="330"/>
      <c r="CQ164" s="330"/>
      <c r="CR164" s="330"/>
      <c r="CS164" s="330"/>
      <c r="CT164" s="330"/>
      <c r="CU164" s="330"/>
      <c r="CW164" s="138"/>
    </row>
    <row r="165" spans="1:132" collapsed="1" x14ac:dyDescent="0.2"/>
    <row r="166" spans="1:132" ht="12.75" hidden="1" customHeight="1" outlineLevel="1" x14ac:dyDescent="0.2">
      <c r="A166" s="62"/>
      <c r="B166" s="691" t="s">
        <v>500</v>
      </c>
      <c r="C166" s="692"/>
      <c r="D166" s="692"/>
      <c r="E166" s="692"/>
      <c r="F166" s="692"/>
      <c r="G166" s="693"/>
      <c r="H166" s="715"/>
      <c r="I166" s="692"/>
      <c r="J166" s="692"/>
      <c r="K166" s="692"/>
      <c r="L166" s="692"/>
      <c r="M166" s="693"/>
      <c r="N166" s="715"/>
      <c r="O166" s="692"/>
      <c r="P166" s="692"/>
      <c r="Q166" s="692"/>
      <c r="R166" s="692"/>
      <c r="S166" s="693"/>
      <c r="T166" s="715"/>
      <c r="U166" s="692"/>
      <c r="V166" s="692"/>
      <c r="W166" s="692"/>
      <c r="X166" s="692"/>
      <c r="Y166" s="693"/>
      <c r="Z166" s="106"/>
      <c r="AA166" s="692"/>
      <c r="AB166" s="692"/>
      <c r="AC166" s="692"/>
      <c r="AD166" s="692"/>
      <c r="AE166" s="693"/>
      <c r="AF166" s="106"/>
      <c r="AG166" s="692"/>
      <c r="AH166" s="692"/>
      <c r="AI166" s="692"/>
      <c r="AJ166" s="692"/>
      <c r="AK166" s="693"/>
      <c r="AL166" s="106"/>
      <c r="AM166" s="692"/>
      <c r="AN166" s="692"/>
      <c r="AO166" s="692"/>
      <c r="AP166" s="692"/>
      <c r="AQ166" s="693"/>
      <c r="AR166" s="106"/>
      <c r="AS166" s="692"/>
      <c r="AT166" s="692"/>
      <c r="AU166" s="692"/>
      <c r="AV166" s="692"/>
      <c r="AW166" s="693"/>
      <c r="AX166" s="106"/>
      <c r="AY166" s="692"/>
      <c r="AZ166" s="692"/>
      <c r="BA166" s="692"/>
      <c r="BB166" s="692"/>
      <c r="BC166" s="693"/>
      <c r="BD166" s="106"/>
      <c r="BE166" s="692"/>
      <c r="BF166" s="692"/>
      <c r="BG166" s="692"/>
      <c r="BH166" s="692"/>
      <c r="BI166" s="693"/>
      <c r="BJ166" s="106"/>
      <c r="BK166" s="692"/>
      <c r="BL166" s="692"/>
      <c r="BM166" s="692"/>
      <c r="BN166" s="692"/>
      <c r="BO166" s="693"/>
      <c r="BP166" s="106"/>
      <c r="BQ166" s="692"/>
      <c r="BR166" s="692"/>
      <c r="BS166" s="692"/>
      <c r="BT166" s="692"/>
      <c r="BU166" s="693"/>
      <c r="BV166" s="106"/>
      <c r="BW166" s="692"/>
      <c r="BX166" s="692"/>
      <c r="BY166" s="692"/>
      <c r="BZ166" s="692"/>
      <c r="CA166" s="693"/>
      <c r="CB166" s="106"/>
      <c r="CC166" s="692"/>
      <c r="CD166" s="692"/>
      <c r="CE166" s="692"/>
      <c r="CF166" s="692"/>
      <c r="CG166" s="693"/>
      <c r="CH166" s="976"/>
      <c r="CI166" s="976"/>
      <c r="CJ166" s="976"/>
      <c r="CK166" s="976"/>
      <c r="CL166" s="976"/>
      <c r="CM166" s="977"/>
      <c r="CN166" s="78"/>
      <c r="CO166" s="78"/>
      <c r="CP166" s="78"/>
      <c r="CQ166" s="78"/>
      <c r="CR166" s="78"/>
      <c r="CS166" s="78"/>
      <c r="CT166" s="78"/>
      <c r="CU166" s="78"/>
      <c r="CW166" s="106"/>
    </row>
    <row r="167" spans="1:132" ht="12.75" hidden="1" customHeight="1" outlineLevel="1" x14ac:dyDescent="0.2">
      <c r="A167" s="327"/>
      <c r="B167" s="326" t="s">
        <v>296</v>
      </c>
      <c r="C167" s="329">
        <f>+SUM(C168:C170)</f>
        <v>0</v>
      </c>
      <c r="D167" s="329">
        <f>+SUM(D168:D170)</f>
        <v>0</v>
      </c>
      <c r="E167" s="329">
        <f>+SUM(E168:E170)</f>
        <v>0</v>
      </c>
      <c r="F167" s="329">
        <f>+SUM(F168:F170)</f>
        <v>0</v>
      </c>
      <c r="G167" s="756">
        <f>+SUM(G168:G170)</f>
        <v>0.33599999999999997</v>
      </c>
      <c r="H167" s="257"/>
      <c r="I167" s="329">
        <f>+SUM(I168:I170)</f>
        <v>0.2038692341756228</v>
      </c>
      <c r="J167" s="329">
        <f>+SUM(J168:J170)</f>
        <v>0.2038692341756228</v>
      </c>
      <c r="K167" s="329">
        <f>+SUM(K168:K170)</f>
        <v>0.2038692341756228</v>
      </c>
      <c r="L167" s="329">
        <f>+SUM(L168:L170)</f>
        <v>0.2038692341756228</v>
      </c>
      <c r="M167" s="756">
        <f>+SUM(M168:M170)</f>
        <v>0.41299999999999998</v>
      </c>
      <c r="N167" s="257"/>
      <c r="O167" s="329">
        <f>+SUM(O168:O170)</f>
        <v>-0.70550713832901601</v>
      </c>
      <c r="P167" s="329">
        <f>+SUM(P168:P170)</f>
        <v>-0.70550713832901601</v>
      </c>
      <c r="Q167" s="329">
        <f>+SUM(Q168:Q170)</f>
        <v>-0.70550713832901601</v>
      </c>
      <c r="R167" s="329">
        <f>+SUM(R168:R170)</f>
        <v>-0.70550713832901601</v>
      </c>
      <c r="S167" s="756">
        <f>+SUM(S168:S170)</f>
        <v>0.36699999999999999</v>
      </c>
      <c r="T167" s="257"/>
      <c r="U167" s="329">
        <f>+SUM(U168:U170)</f>
        <v>0.16429352356364163</v>
      </c>
      <c r="V167" s="329">
        <f>+SUM(V168:V170)</f>
        <v>0.16429352356364163</v>
      </c>
      <c r="W167" s="329">
        <f>+SUM(W168:W170)</f>
        <v>0.16429352356364163</v>
      </c>
      <c r="X167" s="329">
        <f>+SUM(X168:X170)</f>
        <v>0.16429352356364163</v>
      </c>
      <c r="Y167" s="756">
        <f>+SUM(Y168:Y170)</f>
        <v>0.312</v>
      </c>
      <c r="Z167" s="257"/>
      <c r="AA167" s="329">
        <f>+SUM(AA168:AA170)</f>
        <v>-4.7E-2</v>
      </c>
      <c r="AB167" s="329">
        <f>+SUM(AB168:AB170)</f>
        <v>0</v>
      </c>
      <c r="AC167" s="329">
        <f>+SUM(AC168:AC170)</f>
        <v>-4.7E-2</v>
      </c>
      <c r="AD167" s="329">
        <f>+SUM(AD168:AD170)</f>
        <v>-4.7E-2</v>
      </c>
      <c r="AE167" s="756">
        <f>+SUM(AE168:AE170)</f>
        <v>0.312</v>
      </c>
      <c r="AF167" s="257"/>
      <c r="AG167" s="329">
        <f>+SUM(AG168:AG170)</f>
        <v>0.312</v>
      </c>
      <c r="AH167" s="329">
        <f>+SUM(AH168:AH170)</f>
        <v>0.312</v>
      </c>
      <c r="AI167" s="329">
        <f>+SUM(AI168:AI170)</f>
        <v>0.312</v>
      </c>
      <c r="AJ167" s="329">
        <f>AJ79</f>
        <v>5.5686979865771811</v>
      </c>
      <c r="AK167" s="756">
        <f>AK79</f>
        <v>-12.608067114093959</v>
      </c>
      <c r="AL167" s="257"/>
      <c r="AM167" s="329">
        <f>AM79</f>
        <v>-3.1357583892617451</v>
      </c>
      <c r="AN167" s="329">
        <f>AN79</f>
        <v>-8.1622818791946319</v>
      </c>
      <c r="AO167" s="329">
        <f>AO79</f>
        <v>-5.4507248322147657</v>
      </c>
      <c r="AP167" s="329">
        <f>AP79</f>
        <v>-6.012979865771813</v>
      </c>
      <c r="AQ167" s="756">
        <f>AQ79</f>
        <v>-22.761744966442954</v>
      </c>
      <c r="AR167" s="257"/>
      <c r="AS167" s="329">
        <f>AS79</f>
        <v>-7.7930738255033569</v>
      </c>
      <c r="AT167" s="329">
        <f>AT79</f>
        <v>-9.5829798657718133</v>
      </c>
      <c r="AU167" s="329">
        <f>AU79</f>
        <v>-7.4845637583892621</v>
      </c>
      <c r="AV167" s="329">
        <f>AV79</f>
        <v>-5.7895838926174497</v>
      </c>
      <c r="AW167" s="756">
        <f>AW79</f>
        <v>-30.650201342281882</v>
      </c>
      <c r="AX167" s="257"/>
      <c r="AY167" s="329">
        <f>AY79</f>
        <v>-5.9698383742911147</v>
      </c>
      <c r="AZ167" s="329">
        <f>AZ79</f>
        <v>-8.5713374291115301</v>
      </c>
      <c r="BA167" s="329">
        <f>BA79</f>
        <v>-6.4020793950850656</v>
      </c>
      <c r="BB167" s="329">
        <f>BB79</f>
        <v>-5.8931342155009441</v>
      </c>
      <c r="BC167" s="756">
        <f>BC79</f>
        <v>-26.836389413988655</v>
      </c>
      <c r="BD167" s="257"/>
      <c r="BE167" s="329">
        <f>BE79</f>
        <v>0</v>
      </c>
      <c r="BF167" s="329">
        <f>BF79</f>
        <v>0</v>
      </c>
      <c r="BG167" s="329">
        <f>BG79</f>
        <v>0</v>
      </c>
      <c r="BH167" s="329">
        <f>BH79</f>
        <v>0</v>
      </c>
      <c r="BI167" s="756">
        <f>BI79</f>
        <v>0</v>
      </c>
      <c r="BJ167" s="274"/>
      <c r="BK167" s="688">
        <f>BK75</f>
        <v>0.19203413940256045</v>
      </c>
      <c r="BL167" s="688">
        <f>BL75</f>
        <v>0.1616499442586399</v>
      </c>
      <c r="BM167" s="688">
        <f>BM75</f>
        <v>0.18389662027833001</v>
      </c>
      <c r="BN167" s="688">
        <f>BN75</f>
        <v>0.16468516072214884</v>
      </c>
      <c r="BO167" s="694">
        <f>BO75</f>
        <v>0.1741212071723614</v>
      </c>
      <c r="BP167" s="274"/>
      <c r="BQ167" s="688">
        <f>BQ75</f>
        <v>0.22</v>
      </c>
      <c r="BR167" s="688">
        <f>BR75</f>
        <v>0.22</v>
      </c>
      <c r="BS167" s="688">
        <f>BS75</f>
        <v>0.22</v>
      </c>
      <c r="BT167" s="688">
        <f>BT75</f>
        <v>0.22</v>
      </c>
      <c r="BU167" s="694">
        <f>BU75</f>
        <v>0.22000000000000003</v>
      </c>
      <c r="BV167" s="274"/>
      <c r="BW167" s="688">
        <f>BW75</f>
        <v>0.22</v>
      </c>
      <c r="BX167" s="688">
        <f>BX75</f>
        <v>0.22</v>
      </c>
      <c r="BY167" s="688">
        <f>BY75</f>
        <v>0.22</v>
      </c>
      <c r="BZ167" s="688">
        <f>BZ75</f>
        <v>0.22</v>
      </c>
      <c r="CA167" s="694">
        <f>CA75</f>
        <v>0.22000000000000003</v>
      </c>
      <c r="CB167" s="274"/>
      <c r="CC167" s="688">
        <f>CC75</f>
        <v>0.22</v>
      </c>
      <c r="CD167" s="688">
        <f>CD75</f>
        <v>0.22</v>
      </c>
      <c r="CE167" s="688">
        <f>CE75</f>
        <v>0.22</v>
      </c>
      <c r="CF167" s="688">
        <f>CF75</f>
        <v>0.22</v>
      </c>
      <c r="CG167" s="694">
        <f>CG75</f>
        <v>0.22000000000000003</v>
      </c>
      <c r="CH167" s="274"/>
      <c r="CI167" s="274"/>
      <c r="CJ167" s="274"/>
      <c r="CK167" s="274"/>
      <c r="CL167" s="274"/>
      <c r="CM167" s="327"/>
      <c r="CN167" s="327"/>
      <c r="CO167" s="327"/>
      <c r="CP167" s="327"/>
      <c r="CQ167" s="327"/>
      <c r="CR167" s="327"/>
      <c r="CS167" s="327"/>
      <c r="CT167" s="327"/>
      <c r="CU167" s="327"/>
      <c r="CW167" s="274"/>
    </row>
    <row r="168" spans="1:132" ht="12.75" hidden="1" customHeight="1" outlineLevel="1" x14ac:dyDescent="0.2">
      <c r="A168" s="327"/>
      <c r="B168" s="326"/>
      <c r="C168" s="329">
        <f>+$G$118</f>
        <v>0</v>
      </c>
      <c r="D168" s="329">
        <f>+$G$118</f>
        <v>0</v>
      </c>
      <c r="E168" s="329">
        <f>+$G$118</f>
        <v>0</v>
      </c>
      <c r="F168" s="329">
        <f>+$G$118</f>
        <v>0</v>
      </c>
      <c r="G168" s="695">
        <v>0.35</v>
      </c>
      <c r="H168" s="329"/>
      <c r="I168" s="329">
        <f>$M$118</f>
        <v>0</v>
      </c>
      <c r="J168" s="329">
        <f>$M$118</f>
        <v>0</v>
      </c>
      <c r="K168" s="329">
        <f>$M$118</f>
        <v>0</v>
      </c>
      <c r="L168" s="329">
        <f>$M$118</f>
        <v>0</v>
      </c>
      <c r="M168" s="695">
        <v>0.35</v>
      </c>
      <c r="N168" s="329"/>
      <c r="O168" s="329">
        <f>$S$118</f>
        <v>0</v>
      </c>
      <c r="P168" s="329">
        <f>$S$118</f>
        <v>0</v>
      </c>
      <c r="Q168" s="329">
        <f>$S$118</f>
        <v>0</v>
      </c>
      <c r="R168" s="329">
        <f>$S$118</f>
        <v>0</v>
      </c>
      <c r="S168" s="695">
        <v>0.35</v>
      </c>
      <c r="T168" s="149"/>
      <c r="U168" s="329">
        <f>$Y$118</f>
        <v>0</v>
      </c>
      <c r="V168" s="329">
        <f>$Y$118</f>
        <v>0</v>
      </c>
      <c r="W168" s="329">
        <f>$Y$118</f>
        <v>0</v>
      </c>
      <c r="X168" s="329">
        <f>$Y$118</f>
        <v>0</v>
      </c>
      <c r="Y168" s="695">
        <v>0.35</v>
      </c>
      <c r="Z168" s="147"/>
      <c r="AA168" s="329">
        <f>$AE$118</f>
        <v>0</v>
      </c>
      <c r="AB168" s="329">
        <f>$AE$118</f>
        <v>0</v>
      </c>
      <c r="AC168" s="329">
        <f>$AE$118</f>
        <v>0</v>
      </c>
      <c r="AD168" s="329">
        <f>$AE$118</f>
        <v>0</v>
      </c>
      <c r="AE168" s="695">
        <f>Y168</f>
        <v>0.35</v>
      </c>
      <c r="AF168" s="147"/>
      <c r="AG168" s="329">
        <f>AE168</f>
        <v>0.35</v>
      </c>
      <c r="AH168" s="329">
        <f>AG168</f>
        <v>0.35</v>
      </c>
      <c r="AI168" s="329">
        <f>AG168</f>
        <v>0.35</v>
      </c>
      <c r="AJ168" s="329"/>
      <c r="AK168" s="695"/>
      <c r="AL168" s="147"/>
      <c r="AM168" s="329"/>
      <c r="AN168" s="329"/>
      <c r="AO168" s="329"/>
      <c r="AP168" s="329"/>
      <c r="AQ168" s="695"/>
      <c r="AR168" s="147"/>
      <c r="AS168" s="329"/>
      <c r="AT168" s="329"/>
      <c r="AU168" s="329"/>
      <c r="AV168" s="329"/>
      <c r="AW168" s="695"/>
      <c r="AX168" s="147"/>
      <c r="AY168" s="329"/>
      <c r="AZ168" s="329"/>
      <c r="BA168" s="329"/>
      <c r="BB168" s="329"/>
      <c r="BC168" s="695"/>
      <c r="BD168" s="147"/>
      <c r="BE168" s="329"/>
      <c r="BF168" s="329"/>
      <c r="BG168" s="329"/>
      <c r="BH168" s="329"/>
      <c r="BI168" s="695"/>
      <c r="BJ168" s="274"/>
      <c r="BK168" s="688"/>
      <c r="BL168" s="688"/>
      <c r="BM168" s="688"/>
      <c r="BN168" s="688"/>
      <c r="BO168" s="694"/>
      <c r="BP168" s="274"/>
      <c r="BQ168" s="688"/>
      <c r="BR168" s="688"/>
      <c r="BS168" s="688"/>
      <c r="BT168" s="688"/>
      <c r="BU168" s="694"/>
      <c r="BV168" s="274"/>
      <c r="BW168" s="688"/>
      <c r="BX168" s="688"/>
      <c r="BY168" s="688"/>
      <c r="BZ168" s="688"/>
      <c r="CA168" s="694"/>
      <c r="CB168" s="274"/>
      <c r="CC168" s="688"/>
      <c r="CD168" s="688"/>
      <c r="CE168" s="688"/>
      <c r="CF168" s="688"/>
      <c r="CG168" s="694"/>
      <c r="CH168" s="274"/>
      <c r="CI168" s="274"/>
      <c r="CJ168" s="274"/>
      <c r="CK168" s="274"/>
      <c r="CL168" s="274"/>
      <c r="CM168" s="327"/>
      <c r="CN168" s="327"/>
      <c r="CO168" s="327"/>
      <c r="CP168" s="327"/>
      <c r="CQ168" s="327"/>
      <c r="CR168" s="327"/>
      <c r="CS168" s="327"/>
      <c r="CT168" s="327"/>
      <c r="CU168" s="327"/>
      <c r="CW168" s="274"/>
      <c r="CX168" s="1104"/>
      <c r="CY168" s="1104"/>
      <c r="CZ168" s="1104"/>
      <c r="DA168" s="1104"/>
      <c r="DB168" s="1104"/>
      <c r="DC168" s="1104"/>
      <c r="DD168" s="1104"/>
      <c r="DE168" s="1104"/>
      <c r="DF168" s="1104"/>
      <c r="DG168" s="1104"/>
      <c r="DH168" s="1104"/>
      <c r="DI168" s="1104"/>
      <c r="DJ168" s="1104"/>
      <c r="DK168" s="1104"/>
      <c r="DL168" s="1104"/>
      <c r="DM168" s="1104"/>
      <c r="DN168" s="1104"/>
      <c r="DO168" s="1104"/>
      <c r="DP168" s="1104"/>
      <c r="DQ168" s="1104"/>
      <c r="DR168" s="1104"/>
      <c r="DS168" s="1104"/>
      <c r="DT168" s="1104"/>
      <c r="DU168" s="1104"/>
      <c r="DV168" s="1104"/>
      <c r="DW168" s="1104"/>
      <c r="DX168" s="1104"/>
      <c r="DY168" s="1104"/>
      <c r="DZ168" s="1104"/>
      <c r="EA168" s="1104"/>
      <c r="EB168" s="1104"/>
    </row>
    <row r="169" spans="1:132" ht="12.75" hidden="1" customHeight="1" outlineLevel="1" x14ac:dyDescent="0.2">
      <c r="A169" s="327"/>
      <c r="B169" s="326"/>
      <c r="C169" s="329">
        <f>+$G$119</f>
        <v>0</v>
      </c>
      <c r="D169" s="329">
        <f>+$G$119</f>
        <v>0</v>
      </c>
      <c r="E169" s="329">
        <f>+$G$119</f>
        <v>0</v>
      </c>
      <c r="F169" s="329">
        <f>+$G$119</f>
        <v>0</v>
      </c>
      <c r="G169" s="695">
        <v>0.01</v>
      </c>
      <c r="H169" s="329"/>
      <c r="I169" s="329">
        <f>$M$119</f>
        <v>0</v>
      </c>
      <c r="J169" s="329">
        <f>$M$119</f>
        <v>0</v>
      </c>
      <c r="K169" s="329">
        <f>$M$119</f>
        <v>0</v>
      </c>
      <c r="L169" s="329">
        <f>$M$119</f>
        <v>0</v>
      </c>
      <c r="M169" s="695">
        <v>0.01</v>
      </c>
      <c r="N169" s="329"/>
      <c r="O169" s="329">
        <f>$S$119</f>
        <v>0</v>
      </c>
      <c r="P169" s="329">
        <f>$S$119</f>
        <v>0</v>
      </c>
      <c r="Q169" s="329">
        <f>$S$119</f>
        <v>0</v>
      </c>
      <c r="R169" s="329">
        <f>$S$119</f>
        <v>0</v>
      </c>
      <c r="S169" s="695">
        <v>0.01</v>
      </c>
      <c r="T169" s="149"/>
      <c r="U169" s="329">
        <f>$Y$119</f>
        <v>0</v>
      </c>
      <c r="V169" s="329">
        <f>$Y$119</f>
        <v>0</v>
      </c>
      <c r="W169" s="329">
        <f>$Y$119</f>
        <v>0</v>
      </c>
      <c r="X169" s="329">
        <f>$Y$119</f>
        <v>0</v>
      </c>
      <c r="Y169" s="695">
        <v>8.9999999999999993E-3</v>
      </c>
      <c r="Z169" s="147"/>
      <c r="AA169" s="329">
        <f>$AE$119</f>
        <v>0</v>
      </c>
      <c r="AB169" s="329">
        <f>$AE$119</f>
        <v>0</v>
      </c>
      <c r="AC169" s="329">
        <f>$AE$119</f>
        <v>0</v>
      </c>
      <c r="AD169" s="329">
        <f>$AE$119</f>
        <v>0</v>
      </c>
      <c r="AE169" s="695">
        <f>Y169</f>
        <v>8.9999999999999993E-3</v>
      </c>
      <c r="AF169" s="147"/>
      <c r="AG169" s="329">
        <f>AE169</f>
        <v>8.9999999999999993E-3</v>
      </c>
      <c r="AH169" s="329">
        <f>AG169</f>
        <v>8.9999999999999993E-3</v>
      </c>
      <c r="AI169" s="329">
        <f>AG169</f>
        <v>8.9999999999999993E-3</v>
      </c>
      <c r="AJ169" s="329"/>
      <c r="AK169" s="695"/>
      <c r="AL169" s="147"/>
      <c r="AM169" s="329"/>
      <c r="AN169" s="329"/>
      <c r="AO169" s="329"/>
      <c r="AP169" s="329"/>
      <c r="AQ169" s="695"/>
      <c r="AR169" s="147"/>
      <c r="AS169" s="329"/>
      <c r="AT169" s="329"/>
      <c r="AU169" s="329"/>
      <c r="AV169" s="329"/>
      <c r="AW169" s="695"/>
      <c r="AX169" s="147"/>
      <c r="AY169" s="329"/>
      <c r="AZ169" s="329"/>
      <c r="BA169" s="329"/>
      <c r="BB169" s="329"/>
      <c r="BC169" s="695"/>
      <c r="BD169" s="147"/>
      <c r="BE169" s="329"/>
      <c r="BF169" s="329"/>
      <c r="BG169" s="329"/>
      <c r="BH169" s="329"/>
      <c r="BI169" s="695"/>
      <c r="BJ169" s="274"/>
      <c r="BK169" s="688"/>
      <c r="BL169" s="688"/>
      <c r="BM169" s="688"/>
      <c r="BN169" s="688"/>
      <c r="BO169" s="694"/>
      <c r="BP169" s="274"/>
      <c r="BQ169" s="688"/>
      <c r="BR169" s="688"/>
      <c r="BS169" s="688"/>
      <c r="BT169" s="688"/>
      <c r="BU169" s="694"/>
      <c r="BV169" s="274"/>
      <c r="BW169" s="688"/>
      <c r="BX169" s="688"/>
      <c r="BY169" s="688"/>
      <c r="BZ169" s="688"/>
      <c r="CA169" s="694"/>
      <c r="CB169" s="274"/>
      <c r="CC169" s="688"/>
      <c r="CD169" s="688"/>
      <c r="CE169" s="688"/>
      <c r="CF169" s="688"/>
      <c r="CG169" s="694"/>
      <c r="CH169" s="274"/>
      <c r="CI169" s="274"/>
      <c r="CJ169" s="274"/>
      <c r="CK169" s="274"/>
      <c r="CL169" s="274"/>
      <c r="CM169" s="327"/>
      <c r="CN169" s="327"/>
      <c r="CO169" s="327"/>
      <c r="CP169" s="327"/>
      <c r="CQ169" s="327"/>
      <c r="CR169" s="327"/>
      <c r="CS169" s="327"/>
      <c r="CT169" s="327"/>
      <c r="CU169" s="327"/>
      <c r="CW169" s="274"/>
      <c r="CX169" s="1104"/>
      <c r="CY169" s="1104"/>
      <c r="CZ169" s="1104"/>
      <c r="DA169" s="1104"/>
      <c r="DB169" s="1104"/>
      <c r="DC169" s="1104"/>
      <c r="DD169" s="1104"/>
      <c r="DE169" s="1104"/>
      <c r="DF169" s="1104"/>
      <c r="DG169" s="1104"/>
      <c r="DH169" s="1104"/>
      <c r="DI169" s="1104"/>
      <c r="DJ169" s="1104"/>
      <c r="DK169" s="1104"/>
      <c r="DL169" s="1104"/>
      <c r="DM169" s="1104"/>
      <c r="DN169" s="1104"/>
      <c r="DO169" s="1104"/>
      <c r="DP169" s="1104"/>
      <c r="DQ169" s="1104"/>
      <c r="DR169" s="1104"/>
      <c r="DS169" s="1104"/>
      <c r="DT169" s="1104"/>
      <c r="DU169" s="1104"/>
      <c r="DV169" s="1104"/>
      <c r="DW169" s="1104"/>
      <c r="DX169" s="1104"/>
      <c r="DY169" s="1104"/>
      <c r="DZ169" s="1104"/>
      <c r="EA169" s="1104"/>
      <c r="EB169" s="1104"/>
    </row>
    <row r="170" spans="1:132" ht="12.75" hidden="1" customHeight="1" outlineLevel="1" x14ac:dyDescent="0.2">
      <c r="A170" s="327"/>
      <c r="B170" s="326"/>
      <c r="C170" s="329">
        <f>+$G$120</f>
        <v>0</v>
      </c>
      <c r="D170" s="329">
        <f>+$G$120</f>
        <v>0</v>
      </c>
      <c r="E170" s="329">
        <f>+$G$120</f>
        <v>0</v>
      </c>
      <c r="F170" s="329">
        <f>+$G$120</f>
        <v>0</v>
      </c>
      <c r="G170" s="695">
        <v>-2.4E-2</v>
      </c>
      <c r="H170" s="329"/>
      <c r="I170" s="329">
        <f>$M$120</f>
        <v>0.2038692341756228</v>
      </c>
      <c r="J170" s="329">
        <f>$M$120</f>
        <v>0.2038692341756228</v>
      </c>
      <c r="K170" s="329">
        <f>$M$120</f>
        <v>0.2038692341756228</v>
      </c>
      <c r="L170" s="329">
        <f>$M$120</f>
        <v>0.2038692341756228</v>
      </c>
      <c r="M170" s="695">
        <v>5.2999999999999999E-2</v>
      </c>
      <c r="N170" s="329"/>
      <c r="O170" s="329">
        <f>$S$120</f>
        <v>-0.70550713832901601</v>
      </c>
      <c r="P170" s="329">
        <f>$S$120</f>
        <v>-0.70550713832901601</v>
      </c>
      <c r="Q170" s="329">
        <f>$S$120</f>
        <v>-0.70550713832901601</v>
      </c>
      <c r="R170" s="329">
        <f>$S$120</f>
        <v>-0.70550713832901601</v>
      </c>
      <c r="S170" s="695">
        <v>7.0000000000000001E-3</v>
      </c>
      <c r="T170" s="147"/>
      <c r="U170" s="329">
        <f>$Y$120</f>
        <v>0.16429352356364163</v>
      </c>
      <c r="V170" s="329">
        <f>$Y$120</f>
        <v>0.16429352356364163</v>
      </c>
      <c r="W170" s="329">
        <f>$Y$120</f>
        <v>0.16429352356364163</v>
      </c>
      <c r="X170" s="329">
        <f>$Y$120</f>
        <v>0.16429352356364163</v>
      </c>
      <c r="Y170" s="695">
        <v>-4.7E-2</v>
      </c>
      <c r="Z170" s="147"/>
      <c r="AA170" s="329">
        <f>AE170</f>
        <v>-4.7E-2</v>
      </c>
      <c r="AB170" s="329">
        <f>AF170</f>
        <v>0</v>
      </c>
      <c r="AC170" s="329">
        <f>AG170</f>
        <v>-4.7E-2</v>
      </c>
      <c r="AD170" s="329">
        <f>AH170</f>
        <v>-4.7E-2</v>
      </c>
      <c r="AE170" s="695">
        <f>Y170</f>
        <v>-4.7E-2</v>
      </c>
      <c r="AF170" s="147"/>
      <c r="AG170" s="329">
        <f>AE170</f>
        <v>-4.7E-2</v>
      </c>
      <c r="AH170" s="329">
        <f>AG170</f>
        <v>-4.7E-2</v>
      </c>
      <c r="AI170" s="329">
        <f>AG170</f>
        <v>-4.7E-2</v>
      </c>
      <c r="AJ170" s="329"/>
      <c r="AK170" s="695"/>
      <c r="AL170" s="147"/>
      <c r="AM170" s="329"/>
      <c r="AN170" s="329"/>
      <c r="AO170" s="329"/>
      <c r="AP170" s="329"/>
      <c r="AQ170" s="695"/>
      <c r="AR170" s="147"/>
      <c r="AS170" s="329"/>
      <c r="AT170" s="329"/>
      <c r="AU170" s="329"/>
      <c r="AV170" s="329"/>
      <c r="AW170" s="695"/>
      <c r="AX170" s="147"/>
      <c r="AY170" s="329"/>
      <c r="AZ170" s="329"/>
      <c r="BA170" s="329"/>
      <c r="BB170" s="329"/>
      <c r="BC170" s="695"/>
      <c r="BD170" s="147"/>
      <c r="BE170" s="329"/>
      <c r="BF170" s="329"/>
      <c r="BG170" s="329"/>
      <c r="BH170" s="329"/>
      <c r="BI170" s="695"/>
      <c r="BJ170" s="274"/>
      <c r="BK170" s="688"/>
      <c r="BL170" s="688"/>
      <c r="BM170" s="688"/>
      <c r="BN170" s="688"/>
      <c r="BO170" s="694"/>
      <c r="BP170" s="274"/>
      <c r="BQ170" s="688"/>
      <c r="BR170" s="688"/>
      <c r="BS170" s="688"/>
      <c r="BT170" s="688"/>
      <c r="BU170" s="694"/>
      <c r="BV170" s="274"/>
      <c r="BW170" s="688"/>
      <c r="BX170" s="688"/>
      <c r="BY170" s="688"/>
      <c r="BZ170" s="688"/>
      <c r="CA170" s="694"/>
      <c r="CB170" s="274"/>
      <c r="CC170" s="688"/>
      <c r="CD170" s="688"/>
      <c r="CE170" s="688"/>
      <c r="CF170" s="688"/>
      <c r="CG170" s="694"/>
      <c r="CH170" s="274"/>
      <c r="CI170" s="274"/>
      <c r="CJ170" s="274"/>
      <c r="CK170" s="274"/>
      <c r="CL170" s="274"/>
      <c r="CM170" s="327"/>
      <c r="CN170" s="327"/>
      <c r="CO170" s="327"/>
      <c r="CP170" s="327"/>
      <c r="CQ170" s="327"/>
      <c r="CR170" s="327"/>
      <c r="CS170" s="327"/>
      <c r="CT170" s="327"/>
      <c r="CU170" s="327"/>
      <c r="CW170" s="274"/>
      <c r="CX170" s="1104"/>
      <c r="CY170" s="1104"/>
      <c r="CZ170" s="1104"/>
      <c r="DA170" s="1104"/>
      <c r="DB170" s="1104"/>
      <c r="DC170" s="1104"/>
      <c r="DD170" s="1104"/>
      <c r="DE170" s="1104"/>
      <c r="DF170" s="1104"/>
      <c r="DG170" s="1104"/>
      <c r="DH170" s="1104"/>
      <c r="DI170" s="1104"/>
      <c r="DJ170" s="1104"/>
      <c r="DK170" s="1104"/>
      <c r="DL170" s="1104"/>
      <c r="DM170" s="1104"/>
      <c r="DN170" s="1104"/>
      <c r="DO170" s="1104"/>
      <c r="DP170" s="1104"/>
      <c r="DQ170" s="1104"/>
      <c r="DR170" s="1104"/>
      <c r="DS170" s="1104"/>
      <c r="DT170" s="1104"/>
      <c r="DU170" s="1104"/>
      <c r="DV170" s="1104"/>
      <c r="DW170" s="1104"/>
      <c r="DX170" s="1104"/>
      <c r="DY170" s="1104"/>
      <c r="DZ170" s="1104"/>
      <c r="EA170" s="1104"/>
      <c r="EB170" s="1104"/>
    </row>
    <row r="171" spans="1:132" ht="11.25" hidden="1" customHeight="1" outlineLevel="1" x14ac:dyDescent="0.2">
      <c r="A171" s="310"/>
      <c r="B171" s="308" t="s">
        <v>293</v>
      </c>
      <c r="C171" s="288">
        <f>C144+C94</f>
        <v>58.678999999999959</v>
      </c>
      <c r="D171" s="288">
        <f>D144+D94</f>
        <v>67.513999999999967</v>
      </c>
      <c r="E171" s="288">
        <f>E144+E94</f>
        <v>117.74100000000007</v>
      </c>
      <c r="F171" s="288">
        <f>F144+F94</f>
        <v>86.928000000000097</v>
      </c>
      <c r="G171" s="289">
        <f>G144+G94</f>
        <v>330.86200000000008</v>
      </c>
      <c r="H171" s="464"/>
      <c r="I171" s="288">
        <f>I144+I94</f>
        <v>78.837999999999951</v>
      </c>
      <c r="J171" s="288">
        <f>J144+J94</f>
        <v>85.725000000000122</v>
      </c>
      <c r="K171" s="288">
        <f>K144+K94</f>
        <v>61.058000000000071</v>
      </c>
      <c r="L171" s="288">
        <f>L144+L94</f>
        <v>76.148999999999958</v>
      </c>
      <c r="M171" s="289">
        <f>M144+M94</f>
        <v>301.77000000000015</v>
      </c>
      <c r="N171" s="464"/>
      <c r="O171" s="288">
        <f>O144+O94</f>
        <v>61.614999999999974</v>
      </c>
      <c r="P171" s="288">
        <f>P144+P94</f>
        <v>92.085999999999899</v>
      </c>
      <c r="Q171" s="288">
        <f>Q144+Q94</f>
        <v>94.564999999999912</v>
      </c>
      <c r="R171" s="288">
        <f>R144+R94</f>
        <v>107.41199999999991</v>
      </c>
      <c r="S171" s="289">
        <f>S144+S94</f>
        <v>355.67799999999966</v>
      </c>
      <c r="T171" s="464"/>
      <c r="U171" s="288">
        <f>U144+U94</f>
        <v>80.532000000000096</v>
      </c>
      <c r="V171" s="288">
        <f>V144+V94</f>
        <v>90.344000000000008</v>
      </c>
      <c r="W171" s="288">
        <f>W144+W94</f>
        <v>88.380000000000095</v>
      </c>
      <c r="X171" s="288">
        <f>X144+X94</f>
        <v>111.28299999999996</v>
      </c>
      <c r="Y171" s="289">
        <f>Y144+Y94</f>
        <v>370.53900000000021</v>
      </c>
      <c r="Z171" s="464"/>
      <c r="AA171" s="288">
        <f>AA144+AA94</f>
        <v>101.85000000000007</v>
      </c>
      <c r="AB171" s="288">
        <f>AB144+AB94</f>
        <v>113.89</v>
      </c>
      <c r="AC171" s="288">
        <f>AC144+AC94</f>
        <v>75.34899999999999</v>
      </c>
      <c r="AD171" s="288">
        <f>AD144+AD94</f>
        <v>80.304999999999993</v>
      </c>
      <c r="AE171" s="289">
        <f>AE144+AE94</f>
        <v>371.39400000000001</v>
      </c>
      <c r="AF171" s="464"/>
      <c r="AG171" s="288">
        <f>AG144+AG94</f>
        <v>85.382999999999996</v>
      </c>
      <c r="AH171" s="288">
        <f>AH144+AH94</f>
        <v>112.76899999999999</v>
      </c>
      <c r="AI171" s="288">
        <f>AI144+AI94</f>
        <v>89.14400000000002</v>
      </c>
      <c r="AJ171" s="288">
        <f>AJ144+AJ94</f>
        <v>166.79399999999998</v>
      </c>
      <c r="AK171" s="289">
        <f>AK144+AK94</f>
        <v>454.09000000000003</v>
      </c>
      <c r="AL171" s="464"/>
      <c r="AM171" s="288">
        <f>AM144+AM94</f>
        <v>105.03000000000004</v>
      </c>
      <c r="AN171" s="288">
        <f>AN144+AN94</f>
        <v>129.548</v>
      </c>
      <c r="AO171" s="288">
        <f>AO144+AO94</f>
        <v>117.31099999999999</v>
      </c>
      <c r="AP171" s="288">
        <f>AP144+AP94</f>
        <v>121.05699999999999</v>
      </c>
      <c r="AQ171" s="289">
        <f>AQ144+AQ94</f>
        <v>472.94600000000003</v>
      </c>
      <c r="AR171" s="464"/>
      <c r="AS171" s="288">
        <f>AS144+AS94</f>
        <v>110.82</v>
      </c>
      <c r="AT171" s="288">
        <f>AT144+AT94</f>
        <v>141.81399999999999</v>
      </c>
      <c r="AU171" s="288">
        <f>AU144+AU94</f>
        <v>117.96600000000001</v>
      </c>
      <c r="AV171" s="288">
        <f>AV144+AV94</f>
        <v>131.51300000000001</v>
      </c>
      <c r="AW171" s="289">
        <f>AW144+AW94</f>
        <v>502.11300000000006</v>
      </c>
      <c r="AX171" s="464"/>
      <c r="AY171" s="288">
        <f>AY144+AY94</f>
        <v>100.35400000000001</v>
      </c>
      <c r="AZ171" s="288">
        <f>AZ144+AZ94</f>
        <v>103.46400000000003</v>
      </c>
      <c r="BA171" s="288">
        <f>BA144+BA94</f>
        <v>129.89999999999998</v>
      </c>
      <c r="BB171" s="288">
        <f>BB144+BB94</f>
        <v>110.40300000000001</v>
      </c>
      <c r="BC171" s="289">
        <f>BC144+BC94</f>
        <v>444.12099999999998</v>
      </c>
      <c r="BD171" s="464"/>
      <c r="BE171" s="288">
        <f>BE144+BE94</f>
        <v>0.51558721071112112</v>
      </c>
      <c r="BF171" s="288">
        <f>BF144+BF94</f>
        <v>0.62105981244706332</v>
      </c>
      <c r="BG171" s="288">
        <f>BG144+BG94</f>
        <v>0.52961590520645652</v>
      </c>
      <c r="BH171" s="288">
        <f>BH144+BH94</f>
        <v>0.54012614231450451</v>
      </c>
      <c r="BI171" s="289">
        <f>BI144+BI94</f>
        <v>2.2063890706791454</v>
      </c>
      <c r="BJ171" s="464"/>
      <c r="BK171" s="288">
        <f>BK144+BK94</f>
        <v>-0.1</v>
      </c>
      <c r="BL171" s="288">
        <f>BL144+BL94</f>
        <v>-0.3</v>
      </c>
      <c r="BM171" s="288">
        <f>BM144+BM94</f>
        <v>-0.1</v>
      </c>
      <c r="BN171" s="288">
        <f>BN144+BN94</f>
        <v>0.2</v>
      </c>
      <c r="BO171" s="289">
        <f>BO144+BO94</f>
        <v>-0.3</v>
      </c>
      <c r="BP171" s="464"/>
      <c r="BQ171" s="288">
        <f>BQ144+BQ94</f>
        <v>0.10941870426989977</v>
      </c>
      <c r="BR171" s="288">
        <f>BR144+BR94</f>
        <v>0.15140894485944062</v>
      </c>
      <c r="BS171" s="288">
        <f>BS144+BS94</f>
        <v>0.17640046194529108</v>
      </c>
      <c r="BT171" s="288">
        <f>BT144+BT94</f>
        <v>0.20281527088939383</v>
      </c>
      <c r="BU171" s="289">
        <f>BU144+BU94</f>
        <v>0.64004338196402533</v>
      </c>
      <c r="BV171" s="464"/>
      <c r="BW171" s="288">
        <f>BW144+BW94</f>
        <v>0.15582697692254516</v>
      </c>
      <c r="BX171" s="288">
        <f>BX144+BX94</f>
        <v>0.18420442619608263</v>
      </c>
      <c r="BY171" s="288">
        <f>BY144+BY94</f>
        <v>0.18849517026233631</v>
      </c>
      <c r="BZ171" s="288">
        <f>BZ144+BZ94</f>
        <v>0.20114979459917687</v>
      </c>
      <c r="CA171" s="289">
        <f>CA144+CA94</f>
        <v>0.72967636798014102</v>
      </c>
      <c r="CB171" s="464"/>
      <c r="CC171" s="288">
        <f>CC144+CC94</f>
        <v>0.17146688994587045</v>
      </c>
      <c r="CD171" s="288">
        <f>CD144+CD94</f>
        <v>0.20176089095730076</v>
      </c>
      <c r="CE171" s="288">
        <f>CE144+CE94</f>
        <v>0.20617461825357997</v>
      </c>
      <c r="CF171" s="288">
        <f>CF144+CF94</f>
        <v>0.22024765186198506</v>
      </c>
      <c r="CG171" s="289">
        <f>CG144+CG94</f>
        <v>0.79965005101873621</v>
      </c>
      <c r="CW171" s="464"/>
    </row>
    <row r="172" spans="1:132" s="981" customFormat="1" ht="12.75" hidden="1" customHeight="1" outlineLevel="1" x14ac:dyDescent="0.2">
      <c r="A172" s="687"/>
      <c r="B172" s="726" t="s">
        <v>499</v>
      </c>
      <c r="C172" s="686">
        <f>CashFlow!C16+CashFlow!C14+CashFlow!C44+CashFlow!C50+CashFlow!C51</f>
        <v>6.2670000000000012</v>
      </c>
      <c r="D172" s="686">
        <f>CashFlow!D16+CashFlow!D14+CashFlow!D44+CashFlow!D50+CashFlow!D51</f>
        <v>-17.052999999999997</v>
      </c>
      <c r="E172" s="686">
        <f>CashFlow!E16+CashFlow!E14+CashFlow!E44+CashFlow!E50+CashFlow!E51</f>
        <v>-27.118999999999996</v>
      </c>
      <c r="F172" s="686">
        <f>CashFlow!F16+CashFlow!F14+CashFlow!F44+CashFlow!F50+CashFlow!F51</f>
        <v>-27.834999999999997</v>
      </c>
      <c r="G172" s="727">
        <f>CashFlow!G16+CashFlow!G14+CashFlow!G44+CashFlow!G50+CashFlow!G51</f>
        <v>-65.739999999999995</v>
      </c>
      <c r="H172" s="684"/>
      <c r="I172" s="686">
        <f>CashFlow!I16+CashFlow!I14+CashFlow!I44+CashFlow!I50+CashFlow!I51</f>
        <v>-80.715000000000003</v>
      </c>
      <c r="J172" s="686">
        <f>CashFlow!J16+CashFlow!J14+CashFlow!J44+CashFlow!J50+CashFlow!J51</f>
        <v>-0.60700000000000087</v>
      </c>
      <c r="K172" s="686">
        <f>CashFlow!K16+CashFlow!K14+CashFlow!K44+CashFlow!K50+CashFlow!K51</f>
        <v>6.2889999999999979</v>
      </c>
      <c r="L172" s="686">
        <f>CashFlow!L16+CashFlow!L14+CashFlow!L44+CashFlow!L50+CashFlow!L51</f>
        <v>-7.5849999999999982</v>
      </c>
      <c r="M172" s="727">
        <f>CashFlow!M16+CashFlow!M14+CashFlow!M44+CashFlow!M50+CashFlow!M51</f>
        <v>-82.618000000000009</v>
      </c>
      <c r="N172" s="685"/>
      <c r="O172" s="686">
        <f>CashFlow!O16+CashFlow!O14+CashFlow!O44+CashFlow!O50+CashFlow!O51</f>
        <v>1.4850000000000003</v>
      </c>
      <c r="P172" s="686">
        <f>CashFlow!P16+CashFlow!P14+CashFlow!P44+CashFlow!P50+CashFlow!P51</f>
        <v>4.3099999999999996</v>
      </c>
      <c r="Q172" s="686">
        <f>CashFlow!Q16+CashFlow!Q14+CashFlow!Q44+CashFlow!Q50+CashFlow!Q51</f>
        <v>-2.8189999999999986</v>
      </c>
      <c r="R172" s="686">
        <f>CashFlow!R16+CashFlow!R14+CashFlow!R44+CashFlow!R50+CashFlow!R51</f>
        <v>-52.012</v>
      </c>
      <c r="S172" s="727">
        <f>CashFlow!S16+CashFlow!S14+CashFlow!S44+CashFlow!S50+CashFlow!S51</f>
        <v>-49.036000000000001</v>
      </c>
      <c r="T172" s="685"/>
      <c r="U172" s="686">
        <f>CashFlow!U16+CashFlow!U14+CashFlow!U44+CashFlow!U50+CashFlow!U51</f>
        <v>-28.797000000000001</v>
      </c>
      <c r="V172" s="686">
        <f>CashFlow!V16+CashFlow!V14+CashFlow!V44+CashFlow!V50+CashFlow!V51</f>
        <v>-111.75</v>
      </c>
      <c r="W172" s="686">
        <f>CashFlow!W16+CashFlow!W14+CashFlow!W44+CashFlow!W50+CashFlow!W51</f>
        <v>-26.287000000000003</v>
      </c>
      <c r="X172" s="686">
        <f>CashFlow!X16+CashFlow!X14+CashFlow!X44+CashFlow!X50+CashFlow!X51</f>
        <v>-8.1669999999999945</v>
      </c>
      <c r="Y172" s="727">
        <f>CashFlow!Y16+CashFlow!Y14+CashFlow!Y44+CashFlow!Y50+CashFlow!Y51</f>
        <v>-175.001</v>
      </c>
      <c r="Z172" s="685"/>
      <c r="AA172" s="686">
        <f>CashFlow!AA16+CashFlow!AA14+CashFlow!AA44+CashFlow!AA50+CashFlow!AA51</f>
        <v>-46.84</v>
      </c>
      <c r="AB172" s="686">
        <f>CashFlow!AB16+CashFlow!AB14+CashFlow!AB44+CashFlow!AB50+CashFlow!AB51</f>
        <v>11.649000000000004</v>
      </c>
      <c r="AC172" s="686">
        <f>CashFlow!AC16+CashFlow!AC14+CashFlow!AC44+CashFlow!AC50+CashFlow!AC51</f>
        <v>7.6429999999999989</v>
      </c>
      <c r="AD172" s="686">
        <f>CashFlow!AD16+CashFlow!AD14+CashFlow!AD44+CashFlow!AD50+CashFlow!AD51</f>
        <v>11.27</v>
      </c>
      <c r="AE172" s="727">
        <f>CashFlow!AE16+CashFlow!AE14+CashFlow!AE44+CashFlow!AE50+CashFlow!AE51</f>
        <v>-16.277999999999999</v>
      </c>
      <c r="AF172" s="685"/>
      <c r="AG172" s="686">
        <f>CashFlow!AG16+CashFlow!AG14+CashFlow!AG44+CashFlow!AG50+CashFlow!AG51</f>
        <v>-12.164</v>
      </c>
      <c r="AH172" s="686">
        <f>CashFlow!AH16+CashFlow!AH14+CashFlow!AH44+CashFlow!AH50+CashFlow!AH51</f>
        <v>4.4189999999999952</v>
      </c>
      <c r="AI172" s="686">
        <f>CashFlow!AI16+CashFlow!AI14+CashFlow!AI44+CashFlow!AI50+CashFlow!AI51</f>
        <v>10.984000000000005</v>
      </c>
      <c r="AJ172" s="686">
        <f>CashFlow!AJ16+CashFlow!AJ14+CashFlow!AJ44+CashFlow!AJ50+CashFlow!AJ51</f>
        <v>14.293999999999999</v>
      </c>
      <c r="AK172" s="727">
        <f>CashFlow!AK16+CashFlow!AK14+CashFlow!AK44+CashFlow!AK50+CashFlow!AK51</f>
        <v>17.532999999999998</v>
      </c>
      <c r="AL172" s="685"/>
      <c r="AM172" s="686">
        <f>CashFlow!AM16+CashFlow!AM14+CashFlow!AM44+CashFlow!AM50+CashFlow!AM51</f>
        <v>19.012</v>
      </c>
      <c r="AN172" s="686">
        <f>CashFlow!AN16+CashFlow!AN14+CashFlow!AN44+CashFlow!AN50+CashFlow!AN51</f>
        <v>-38.053999999999995</v>
      </c>
      <c r="AO172" s="686">
        <f>CashFlow!AO16+CashFlow!AO14+CashFlow!AO44+CashFlow!AO50+CashFlow!AO51</f>
        <v>13.038000000000002</v>
      </c>
      <c r="AP172" s="686">
        <f>CashFlow!AP16+CashFlow!AP14+CashFlow!AP44+CashFlow!AP50+CashFlow!AP51</f>
        <v>-20.008000000000003</v>
      </c>
      <c r="AQ172" s="727">
        <f>CashFlow!AQ16+CashFlow!AQ14+CashFlow!AQ44+CashFlow!AQ50+CashFlow!AQ51</f>
        <v>-26.012000000000008</v>
      </c>
      <c r="AR172" s="685"/>
      <c r="AS172" s="686">
        <f>CashFlow!AS16+CashFlow!AS14+CashFlow!AS44+CashFlow!AS50+CashFlow!AS51</f>
        <v>-30.460000000000004</v>
      </c>
      <c r="AT172" s="686">
        <f>CashFlow!AT16+CashFlow!AT14+CashFlow!AT44+CashFlow!AT50+CashFlow!AT51</f>
        <v>1.9680000000000051</v>
      </c>
      <c r="AU172" s="686">
        <f>CashFlow!AU16+CashFlow!AU14+CashFlow!AU44+CashFlow!AU50+CashFlow!AU51</f>
        <v>-3.6310000000000064</v>
      </c>
      <c r="AV172" s="686">
        <f>CashFlow!AV16+CashFlow!AV14+CashFlow!AV44+CashFlow!AV50+CashFlow!AV51</f>
        <v>-56.616999999999997</v>
      </c>
      <c r="AW172" s="727">
        <f>CashFlow!AW16+CashFlow!AW14+CashFlow!AW44+CashFlow!AW50+CashFlow!AW51</f>
        <v>-88.74</v>
      </c>
      <c r="AX172" s="685"/>
      <c r="AY172" s="686">
        <f>CashFlow!AY16+CashFlow!AY14+CashFlow!AY44+CashFlow!AY50+CashFlow!AY51</f>
        <v>-66.004000000000005</v>
      </c>
      <c r="AZ172" s="686">
        <f>CashFlow!AZ16+CashFlow!AZ14+CashFlow!AZ44+CashFlow!AZ50+CashFlow!AZ51</f>
        <v>-2.4989999999999917</v>
      </c>
      <c r="BA172" s="686">
        <f>CashFlow!BA16+CashFlow!BA14+CashFlow!BA44+CashFlow!BA50+CashFlow!BA51</f>
        <v>2.5479999999999912</v>
      </c>
      <c r="BB172" s="686">
        <f>CashFlow!BB16+CashFlow!BB14+CashFlow!BB44+CashFlow!BB50+CashFlow!BB51</f>
        <v>14.399999999999995</v>
      </c>
      <c r="BC172" s="727">
        <f>CashFlow!BC16+CashFlow!BC14+CashFlow!BC44+CashFlow!BC50+CashFlow!BC51</f>
        <v>-51.555</v>
      </c>
      <c r="BD172" s="685"/>
      <c r="BE172" s="686">
        <f>CashFlow!BE16+CashFlow!BE14+CashFlow!BE44+CashFlow!BE50+CashFlow!BE51</f>
        <v>-416.6</v>
      </c>
      <c r="BF172" s="686">
        <f>CashFlow!BF16+CashFlow!BF14+CashFlow!BF44+CashFlow!BF50+CashFlow!BF51</f>
        <v>-145.6</v>
      </c>
      <c r="BG172" s="686">
        <f>CashFlow!BG16+CashFlow!BG14+CashFlow!BG44+CashFlow!BG50+CashFlow!BG51</f>
        <v>-76.30000000000004</v>
      </c>
      <c r="BH172" s="686">
        <f>CashFlow!BH16+CashFlow!BH14+CashFlow!BH44+CashFlow!BH50+CashFlow!BH51</f>
        <v>-93.099999999999923</v>
      </c>
      <c r="BI172" s="727">
        <f>CashFlow!BI16+CashFlow!BI14+CashFlow!BI44+CashFlow!BI50+CashFlow!BI51</f>
        <v>-731.6</v>
      </c>
      <c r="BJ172" s="685"/>
      <c r="BK172" s="686">
        <f>CashFlow!BK16+CashFlow!BK14+CashFlow!BK44+CashFlow!BK50+CashFlow!BK51</f>
        <v>-37.70000000000001</v>
      </c>
      <c r="BL172" s="686">
        <f>CashFlow!BL16+CashFlow!BL14+CashFlow!BL44+CashFlow!BL50+CashFlow!BL51</f>
        <v>-46.5</v>
      </c>
      <c r="BM172" s="686">
        <f>CashFlow!BM16+CashFlow!BM14+CashFlow!BM44+CashFlow!BM50+CashFlow!BM51</f>
        <v>26.499999999999993</v>
      </c>
      <c r="BN172" s="686">
        <f>CashFlow!BN16+CashFlow!BN14+CashFlow!BN44+CashFlow!BN50+CashFlow!BN51</f>
        <v>-213.39999999999995</v>
      </c>
      <c r="BO172" s="727">
        <f>CashFlow!BO16+CashFlow!BO14+CashFlow!BO44+CashFlow!BO50+CashFlow!BO51</f>
        <v>-271.09999999999997</v>
      </c>
      <c r="BP172" s="685"/>
      <c r="BQ172" s="686">
        <f>CashFlow!BQ16+CashFlow!BQ14+CashFlow!BQ44+CashFlow!BQ50+CashFlow!BQ51</f>
        <v>-104.64859510768243</v>
      </c>
      <c r="BR172" s="686">
        <f>CashFlow!BR16+CashFlow!BR14+CashFlow!BR44+CashFlow!BR50+CashFlow!BR51</f>
        <v>-101.0617752730498</v>
      </c>
      <c r="BS172" s="686">
        <f>CashFlow!BS16+CashFlow!BS14+CashFlow!BS44+CashFlow!BS50+CashFlow!BS51</f>
        <v>-101.75979675298106</v>
      </c>
      <c r="BT172" s="686">
        <f>CashFlow!BT16+CashFlow!BT14+CashFlow!BT44+CashFlow!BT50+CashFlow!BT51</f>
        <v>-101.70653128474029</v>
      </c>
      <c r="BU172" s="727">
        <f>CashFlow!BU16+CashFlow!BU14+CashFlow!BU44+CashFlow!BU50+CashFlow!BU51</f>
        <v>-409.17669841845361</v>
      </c>
      <c r="BV172" s="685"/>
      <c r="BW172" s="686">
        <f>CashFlow!BW16+CashFlow!BW14+CashFlow!BW44+CashFlow!BW50+CashFlow!BW51</f>
        <v>-126.86669960672238</v>
      </c>
      <c r="BX172" s="686">
        <f>CashFlow!BX16+CashFlow!BX14+CashFlow!BX44+CashFlow!BX50+CashFlow!BX51</f>
        <v>-121.81366399902983</v>
      </c>
      <c r="BY172" s="686">
        <f>CashFlow!BY16+CashFlow!BY14+CashFlow!BY44+CashFlow!BY50+CashFlow!BY51</f>
        <v>-122.51423260086898</v>
      </c>
      <c r="BZ172" s="686">
        <f>CashFlow!BZ16+CashFlow!BZ14+CashFlow!BZ44+CashFlow!BZ50+CashFlow!BZ51</f>
        <v>-122.54409778596475</v>
      </c>
      <c r="CA172" s="727">
        <f>CashFlow!CA16+CashFlow!CA14+CashFlow!CA44+CashFlow!CA50+CashFlow!CA51</f>
        <v>-493.73869399258598</v>
      </c>
      <c r="CB172" s="685"/>
      <c r="CC172" s="686">
        <f>CashFlow!CC16+CashFlow!CC14+CashFlow!CC44+CashFlow!CC50+CashFlow!CC51</f>
        <v>-122.59568838224951</v>
      </c>
      <c r="CD172" s="686">
        <f>CashFlow!CD16+CashFlow!CD14+CashFlow!CD44+CashFlow!CD50+CashFlow!CD51</f>
        <v>-116.37979881746588</v>
      </c>
      <c r="CE172" s="686">
        <f>CashFlow!CE16+CashFlow!CE14+CashFlow!CE44+CashFlow!CE50+CashFlow!CE51</f>
        <v>-117.46237567467367</v>
      </c>
      <c r="CF172" s="686">
        <f>CashFlow!CF16+CashFlow!CF14+CashFlow!CF44+CashFlow!CF50+CashFlow!CF51</f>
        <v>-117.6863751256101</v>
      </c>
      <c r="CG172" s="727">
        <f>CashFlow!CG16+CashFlow!CG14+CashFlow!CG44+CashFlow!CG50+CashFlow!CG51</f>
        <v>-474.12423799999908</v>
      </c>
      <c r="CH172" s="684"/>
      <c r="CI172" s="684"/>
      <c r="CJ172" s="684"/>
      <c r="CK172" s="684"/>
      <c r="CL172" s="684"/>
      <c r="CM172" s="683"/>
      <c r="CN172" s="687"/>
      <c r="CO172" s="687"/>
      <c r="CP172" s="687"/>
      <c r="CQ172" s="687"/>
      <c r="CR172" s="687"/>
      <c r="CS172" s="687"/>
      <c r="CT172" s="687"/>
      <c r="CU172" s="687"/>
      <c r="CW172" s="685"/>
      <c r="CX172"/>
      <c r="CY172"/>
      <c r="CZ172"/>
      <c r="DA172"/>
      <c r="DB172"/>
      <c r="DC172"/>
      <c r="DD172"/>
      <c r="DE172"/>
      <c r="DF172"/>
      <c r="DG172"/>
      <c r="DH172"/>
      <c r="DI172"/>
      <c r="DJ172"/>
      <c r="DK172"/>
      <c r="DL172"/>
      <c r="DM172"/>
      <c r="DN172"/>
      <c r="DO172"/>
      <c r="DP172"/>
      <c r="DQ172"/>
      <c r="DR172"/>
      <c r="DS172"/>
      <c r="DT172"/>
      <c r="DU172"/>
      <c r="DV172"/>
      <c r="DW172"/>
      <c r="DX172"/>
      <c r="DY172"/>
      <c r="DZ172"/>
      <c r="EA172"/>
      <c r="EB172"/>
    </row>
    <row r="173" spans="1:132" s="981" customFormat="1" ht="12.75" hidden="1" customHeight="1" outlineLevel="1" x14ac:dyDescent="0.2">
      <c r="A173" s="687"/>
      <c r="B173" s="726" t="s">
        <v>184</v>
      </c>
      <c r="C173" s="686">
        <f>(162.8-11)+(54.650283*1.8142)</f>
        <v>250.94654341860002</v>
      </c>
      <c r="D173" s="686">
        <f>C174</f>
        <v>251.49749392960001</v>
      </c>
      <c r="E173" s="686">
        <f>D174</f>
        <v>251.33818462139999</v>
      </c>
      <c r="F173" s="686">
        <f>E174</f>
        <v>250.75518004700001</v>
      </c>
      <c r="G173" s="727">
        <f>C173</f>
        <v>250.94654341860002</v>
      </c>
      <c r="H173" s="684"/>
      <c r="I173" s="686">
        <f>G174</f>
        <v>250.1783999928</v>
      </c>
      <c r="J173" s="686">
        <f>I174</f>
        <v>248.21983450660002</v>
      </c>
      <c r="K173" s="686">
        <f>J174</f>
        <v>248.2475881382</v>
      </c>
      <c r="L173" s="686">
        <f>K174</f>
        <v>248.43788812899999</v>
      </c>
      <c r="M173" s="727">
        <f>I173</f>
        <v>250.1783999928</v>
      </c>
      <c r="N173" s="685"/>
      <c r="O173" s="686">
        <f>M174</f>
        <v>248.13788812900003</v>
      </c>
      <c r="P173" s="686">
        <f>O174</f>
        <v>248.020235963</v>
      </c>
      <c r="Q173" s="686">
        <f>P174</f>
        <v>248.28113736100002</v>
      </c>
      <c r="R173" s="686">
        <f>Q174</f>
        <v>248.18127524020002</v>
      </c>
      <c r="S173" s="727">
        <f>O173</f>
        <v>248.13788812900003</v>
      </c>
      <c r="T173" s="685"/>
      <c r="U173" s="686">
        <f>S174</f>
        <v>246.85627115800003</v>
      </c>
      <c r="V173" s="686">
        <f>U174</f>
        <v>246.46809948240002</v>
      </c>
      <c r="W173" s="686">
        <f>V174</f>
        <v>243.43374268100001</v>
      </c>
      <c r="X173" s="686">
        <f>W174</f>
        <v>242.43538505020001</v>
      </c>
      <c r="Y173" s="727">
        <f>U173</f>
        <v>246.85627115800003</v>
      </c>
      <c r="Z173" s="685"/>
      <c r="AA173" s="686">
        <f>Y174</f>
        <v>242.3762708978</v>
      </c>
      <c r="AB173" s="686">
        <f>AA174</f>
        <v>242.02546915020002</v>
      </c>
      <c r="AC173" s="686">
        <f>AB174</f>
        <v>242.88233913620002</v>
      </c>
      <c r="AD173" s="686">
        <f>AC174</f>
        <v>242.65957300000002</v>
      </c>
      <c r="AE173" s="727">
        <f>AA173</f>
        <v>242.3762708978</v>
      </c>
      <c r="AF173" s="685"/>
      <c r="AG173" s="686">
        <f>AE174</f>
        <v>242.76363940000002</v>
      </c>
      <c r="AH173" s="686">
        <f>AG174</f>
        <v>242.58040519999997</v>
      </c>
      <c r="AI173" s="686">
        <f>AH174</f>
        <v>242.50136543040003</v>
      </c>
      <c r="AJ173" s="686">
        <f>AI174</f>
        <v>241.87352420000002</v>
      </c>
      <c r="AK173" s="727">
        <f>AG173</f>
        <v>242.76363940000002</v>
      </c>
      <c r="AL173" s="685"/>
      <c r="AM173" s="686">
        <f>AK174</f>
        <v>242.0891112882</v>
      </c>
      <c r="AN173" s="686">
        <f>AM174</f>
        <v>242.75097991440003</v>
      </c>
      <c r="AO173" s="686">
        <f>AN174</f>
        <v>241.98505655120005</v>
      </c>
      <c r="AP173" s="686">
        <f>AO174</f>
        <v>241.9452366754</v>
      </c>
      <c r="AQ173" s="727">
        <f>AM173</f>
        <v>242.0891112882</v>
      </c>
      <c r="AR173" s="685"/>
      <c r="AS173" s="686">
        <f>AQ174</f>
        <v>242.17903936800002</v>
      </c>
      <c r="AT173" s="686">
        <f>AS174</f>
        <v>242.14235157820002</v>
      </c>
      <c r="AU173" s="686">
        <f>AT174</f>
        <v>242.23886520400001</v>
      </c>
      <c r="AV173" s="686">
        <f>AU174</f>
        <v>242.12344994660003</v>
      </c>
      <c r="AW173" s="727">
        <f>AS173</f>
        <v>242.17903936800002</v>
      </c>
      <c r="AX173" s="685"/>
      <c r="AY173" s="686">
        <f>AW174</f>
        <v>241.56898196040001</v>
      </c>
      <c r="AZ173" s="686">
        <f>AY174</f>
        <v>240.68558785120001</v>
      </c>
      <c r="BA173" s="686">
        <f>AZ174</f>
        <v>241.12719186240003</v>
      </c>
      <c r="BB173" s="686">
        <f>BA174</f>
        <v>241.20646695980003</v>
      </c>
      <c r="BC173" s="727">
        <f>AY173</f>
        <v>241.56898196040001</v>
      </c>
      <c r="BD173" s="685"/>
      <c r="BE173" s="686">
        <f>BC174</f>
        <v>240.7689819604</v>
      </c>
      <c r="BF173" s="686">
        <f>BE174</f>
        <v>234.230941</v>
      </c>
      <c r="BG173" s="686">
        <f>BF174</f>
        <v>233</v>
      </c>
      <c r="BH173" s="686">
        <f>BG174</f>
        <v>231.6</v>
      </c>
      <c r="BI173" s="727">
        <f>BE173</f>
        <v>240.7689819604</v>
      </c>
      <c r="BJ173" s="685"/>
      <c r="BK173" s="686">
        <f>+BI102</f>
        <v>230.1</v>
      </c>
      <c r="BL173" s="686">
        <f>BK174</f>
        <v>230.1</v>
      </c>
      <c r="BM173" s="686">
        <f>BL174</f>
        <v>229.22328767123287</v>
      </c>
      <c r="BN173" s="686">
        <f>BM174</f>
        <v>229.33896499238963</v>
      </c>
      <c r="BO173" s="727">
        <f>BK173</f>
        <v>230.1</v>
      </c>
      <c r="BP173" s="685"/>
      <c r="BQ173" s="686">
        <f>BO174</f>
        <v>225.91349915388031</v>
      </c>
      <c r="BR173" s="686">
        <f>BQ174</f>
        <v>223.96641871458561</v>
      </c>
      <c r="BS173" s="686">
        <f>BR174</f>
        <v>222.06444235336812</v>
      </c>
      <c r="BT173" s="686">
        <f>BS174</f>
        <v>220.31877526884787</v>
      </c>
      <c r="BU173" s="727">
        <f>BQ173</f>
        <v>225.91349915388031</v>
      </c>
      <c r="BV173" s="685"/>
      <c r="BW173" s="686">
        <f>BU174</f>
        <v>218.52745323026494</v>
      </c>
      <c r="BX173" s="686">
        <f>BW174</f>
        <v>216.37404770919315</v>
      </c>
      <c r="BY173" s="686">
        <f>BX174</f>
        <v>214.57389108583942</v>
      </c>
      <c r="BZ173" s="686">
        <f>BY174</f>
        <v>212.62239302272135</v>
      </c>
      <c r="CA173" s="727">
        <f>BW173</f>
        <v>218.52745323026494</v>
      </c>
      <c r="CB173" s="685"/>
      <c r="CC173" s="686">
        <f>CA174</f>
        <v>210.59893359937081</v>
      </c>
      <c r="CD173" s="686">
        <f>CC174</f>
        <v>208.60731819276103</v>
      </c>
      <c r="CE173" s="686">
        <f>CD174</f>
        <v>206.96497432473527</v>
      </c>
      <c r="CF173" s="686">
        <f>CE174</f>
        <v>205.17261674816115</v>
      </c>
      <c r="CG173" s="727">
        <f>CC173</f>
        <v>210.59893359937081</v>
      </c>
      <c r="CH173" s="684"/>
      <c r="CI173" s="684"/>
      <c r="CJ173" s="684"/>
      <c r="CK173" s="684"/>
      <c r="CL173" s="684"/>
      <c r="CM173" s="683"/>
      <c r="CN173" s="687"/>
      <c r="CO173" s="687"/>
      <c r="CP173" s="687"/>
      <c r="CQ173" s="687"/>
      <c r="CR173" s="687"/>
      <c r="CS173" s="687"/>
      <c r="CT173" s="687"/>
      <c r="CU173" s="687"/>
      <c r="CW173" s="685"/>
      <c r="CX173"/>
      <c r="CY173"/>
      <c r="CZ173"/>
      <c r="DA173"/>
      <c r="DB173"/>
      <c r="DC173"/>
      <c r="DD173"/>
      <c r="DE173"/>
      <c r="DF173"/>
      <c r="DG173"/>
      <c r="DH173"/>
      <c r="DI173"/>
      <c r="DJ173"/>
      <c r="DK173"/>
      <c r="DL173"/>
      <c r="DM173"/>
      <c r="DN173"/>
      <c r="DO173"/>
      <c r="DP173"/>
      <c r="DQ173"/>
      <c r="DR173"/>
      <c r="DS173"/>
      <c r="DT173"/>
      <c r="DU173"/>
      <c r="DV173"/>
      <c r="DW173"/>
      <c r="DX173"/>
      <c r="DY173"/>
      <c r="DZ173"/>
      <c r="EA173"/>
      <c r="EB173"/>
    </row>
    <row r="174" spans="1:132" s="981" customFormat="1" ht="12.75" hidden="1" customHeight="1" outlineLevel="1" x14ac:dyDescent="0.2">
      <c r="A174" s="687"/>
      <c r="B174" s="689" t="s">
        <v>185</v>
      </c>
      <c r="C174" s="690">
        <f>C102</f>
        <v>251.49749392960001</v>
      </c>
      <c r="D174" s="690">
        <f>D102</f>
        <v>251.33818462139999</v>
      </c>
      <c r="E174" s="690">
        <f>E102</f>
        <v>250.75518004700001</v>
      </c>
      <c r="F174" s="690">
        <f>F102</f>
        <v>250.1783999928</v>
      </c>
      <c r="G174" s="697">
        <f>F174</f>
        <v>250.1783999928</v>
      </c>
      <c r="H174" s="684"/>
      <c r="I174" s="690">
        <f>I102</f>
        <v>248.21983450660002</v>
      </c>
      <c r="J174" s="690">
        <f>J102</f>
        <v>248.2475881382</v>
      </c>
      <c r="K174" s="690">
        <f>K102</f>
        <v>248.43788812899999</v>
      </c>
      <c r="L174" s="690">
        <f>L102</f>
        <v>248.13788812900003</v>
      </c>
      <c r="M174" s="697">
        <f>L174</f>
        <v>248.13788812900003</v>
      </c>
      <c r="N174" s="685"/>
      <c r="O174" s="690">
        <f>O102</f>
        <v>248.020235963</v>
      </c>
      <c r="P174" s="690">
        <f>P102</f>
        <v>248.28113736100002</v>
      </c>
      <c r="Q174" s="690">
        <f>Q102</f>
        <v>248.18127524020002</v>
      </c>
      <c r="R174" s="690">
        <f>R102</f>
        <v>246.85627115800003</v>
      </c>
      <c r="S174" s="697">
        <f>R174</f>
        <v>246.85627115800003</v>
      </c>
      <c r="T174" s="685"/>
      <c r="U174" s="690">
        <f>U102</f>
        <v>246.46809948240002</v>
      </c>
      <c r="V174" s="690">
        <f>V102</f>
        <v>243.43374268100001</v>
      </c>
      <c r="W174" s="690">
        <f>W102</f>
        <v>242.43538505020001</v>
      </c>
      <c r="X174" s="690">
        <f>X102</f>
        <v>242.3762708978</v>
      </c>
      <c r="Y174" s="697">
        <f>X174</f>
        <v>242.3762708978</v>
      </c>
      <c r="Z174" s="685"/>
      <c r="AA174" s="690">
        <f>AA102</f>
        <v>242.02546915020002</v>
      </c>
      <c r="AB174" s="690">
        <f>AB102</f>
        <v>242.88233913620002</v>
      </c>
      <c r="AC174" s="690">
        <f>AC102</f>
        <v>242.65957300000002</v>
      </c>
      <c r="AD174" s="690">
        <f>AD102</f>
        <v>242.76363940000002</v>
      </c>
      <c r="AE174" s="697">
        <f>AD174</f>
        <v>242.76363940000002</v>
      </c>
      <c r="AF174" s="685"/>
      <c r="AG174" s="690">
        <f>AG102</f>
        <v>242.58040519999997</v>
      </c>
      <c r="AH174" s="690">
        <f>AH102</f>
        <v>242.50136543040003</v>
      </c>
      <c r="AI174" s="690">
        <f>AI102</f>
        <v>241.87352420000002</v>
      </c>
      <c r="AJ174" s="690">
        <f>AJ102</f>
        <v>242.0891112882</v>
      </c>
      <c r="AK174" s="697">
        <f>AJ174</f>
        <v>242.0891112882</v>
      </c>
      <c r="AL174" s="685"/>
      <c r="AM174" s="690">
        <f>AM102</f>
        <v>242.75097991440003</v>
      </c>
      <c r="AN174" s="690">
        <f>AN102</f>
        <v>241.98505655120005</v>
      </c>
      <c r="AO174" s="690">
        <f>AO102</f>
        <v>241.9452366754</v>
      </c>
      <c r="AP174" s="690">
        <f>AP102</f>
        <v>242.17903936800002</v>
      </c>
      <c r="AQ174" s="697">
        <f>AP174</f>
        <v>242.17903936800002</v>
      </c>
      <c r="AR174" s="685"/>
      <c r="AS174" s="690">
        <f>AS102</f>
        <v>242.14235157820002</v>
      </c>
      <c r="AT174" s="690">
        <f>AT102</f>
        <v>242.23886520400001</v>
      </c>
      <c r="AU174" s="690">
        <f>AU102</f>
        <v>242.12344994660003</v>
      </c>
      <c r="AV174" s="690">
        <f>AV102</f>
        <v>241.56898196040001</v>
      </c>
      <c r="AW174" s="697">
        <f>AV174</f>
        <v>241.56898196040001</v>
      </c>
      <c r="AX174" s="685"/>
      <c r="AY174" s="690">
        <f>AY102</f>
        <v>240.68558785120001</v>
      </c>
      <c r="AZ174" s="690">
        <f>AZ102</f>
        <v>241.12719186240003</v>
      </c>
      <c r="BA174" s="690">
        <f>BA102</f>
        <v>241.20646695980003</v>
      </c>
      <c r="BB174" s="690">
        <f>BB102</f>
        <v>240.7689819604</v>
      </c>
      <c r="BC174" s="697">
        <f>BB174</f>
        <v>240.7689819604</v>
      </c>
      <c r="BD174" s="685"/>
      <c r="BE174" s="690">
        <f>BE102</f>
        <v>234.230941</v>
      </c>
      <c r="BF174" s="690">
        <f>BF102</f>
        <v>233</v>
      </c>
      <c r="BG174" s="690">
        <f>BG102</f>
        <v>231.6</v>
      </c>
      <c r="BH174" s="690">
        <f>BH173+(CashFlow!BH44+CashFlow!BH50)/CashFlow!BH148</f>
        <v>229.87245804540967</v>
      </c>
      <c r="BI174" s="697">
        <f>BH174</f>
        <v>229.87245804540967</v>
      </c>
      <c r="BJ174" s="685"/>
      <c r="BK174" s="690">
        <f>+BK173</f>
        <v>230.1</v>
      </c>
      <c r="BL174" s="690">
        <f>BL173+(CashFlow!BL44+CashFlow!BL50)/CashFlow!BL148</f>
        <v>229.22328767123287</v>
      </c>
      <c r="BM174" s="690">
        <f>BM173+(CashFlow!BM44+CashFlow!BM50)/CashFlow!BM148</f>
        <v>229.33896499238963</v>
      </c>
      <c r="BN174" s="690">
        <f>BN173+(CashFlow!BN44+CashFlow!BN50)/CashFlow!BN148</f>
        <v>225.91349915388031</v>
      </c>
      <c r="BO174" s="697">
        <f>BN174</f>
        <v>225.91349915388031</v>
      </c>
      <c r="BP174" s="685"/>
      <c r="BQ174" s="690">
        <f>BQ173+(CashFlow!BQ44+CashFlow!BQ50)/CashFlow!BQ148</f>
        <v>223.96641871458561</v>
      </c>
      <c r="BR174" s="690">
        <f>BR173+(CashFlow!BR44+CashFlow!BR50)/CashFlow!BR148</f>
        <v>222.06444235336812</v>
      </c>
      <c r="BS174" s="690">
        <f>BS173+(CashFlow!BS44+CashFlow!BS50)/CashFlow!BS148</f>
        <v>220.31877526884787</v>
      </c>
      <c r="BT174" s="690">
        <f>BT173+(CashFlow!BT44+CashFlow!BT50)/CashFlow!BT148</f>
        <v>218.52745323026494</v>
      </c>
      <c r="BU174" s="697">
        <f>BT174</f>
        <v>218.52745323026494</v>
      </c>
      <c r="BV174" s="685"/>
      <c r="BW174" s="690">
        <f>BW173+(CashFlow!BW44+CashFlow!BW50)/CashFlow!BW148</f>
        <v>216.37404770919315</v>
      </c>
      <c r="BX174" s="690">
        <f>BX173+(CashFlow!BX44+CashFlow!BX50)/CashFlow!BX148</f>
        <v>214.57389108583942</v>
      </c>
      <c r="BY174" s="690">
        <f>BY173+(CashFlow!BY44+CashFlow!BY50)/CashFlow!BY148</f>
        <v>212.62239302272135</v>
      </c>
      <c r="BZ174" s="690">
        <f>BZ173+(CashFlow!BZ44+CashFlow!BZ50)/CashFlow!BZ148</f>
        <v>210.59893359937081</v>
      </c>
      <c r="CA174" s="697">
        <f>BZ174</f>
        <v>210.59893359937081</v>
      </c>
      <c r="CB174" s="685"/>
      <c r="CC174" s="690">
        <f>CC173+(CashFlow!CC44+CashFlow!CC50)/CashFlow!CC148</f>
        <v>208.60731819276103</v>
      </c>
      <c r="CD174" s="690">
        <f>CD173+(CashFlow!CD44+CashFlow!CD50)/CashFlow!CD148</f>
        <v>206.96497432473527</v>
      </c>
      <c r="CE174" s="690">
        <f>CE173+(CashFlow!CE44+CashFlow!CE50)/CashFlow!CE148</f>
        <v>205.17261674816115</v>
      </c>
      <c r="CF174" s="690">
        <f>CF173+(CashFlow!CF44+CashFlow!CF50)/CashFlow!CF148</f>
        <v>203.30922190846738</v>
      </c>
      <c r="CG174" s="697">
        <f>CF174</f>
        <v>203.30922190846738</v>
      </c>
      <c r="CH174" s="684"/>
      <c r="CI174" s="684"/>
      <c r="CJ174" s="684"/>
      <c r="CK174" s="684"/>
      <c r="CL174" s="684"/>
      <c r="CM174" s="683"/>
      <c r="CN174" s="687"/>
      <c r="CO174" s="687"/>
      <c r="CP174" s="687"/>
      <c r="CQ174" s="687"/>
      <c r="CR174" s="687"/>
      <c r="CS174" s="687"/>
      <c r="CT174" s="687"/>
      <c r="CU174" s="687"/>
      <c r="CW174" s="685"/>
      <c r="CX174"/>
      <c r="CY174"/>
      <c r="CZ174"/>
      <c r="DA174"/>
      <c r="DB174"/>
      <c r="DC174"/>
      <c r="DD174"/>
      <c r="DE174"/>
      <c r="DF174"/>
      <c r="DG174"/>
      <c r="DH174"/>
      <c r="DI174"/>
      <c r="DJ174"/>
      <c r="DK174"/>
      <c r="DL174"/>
      <c r="DM174"/>
      <c r="DN174"/>
      <c r="DO174"/>
      <c r="DP174"/>
      <c r="DQ174"/>
      <c r="DR174"/>
      <c r="DS174"/>
      <c r="DT174"/>
      <c r="DU174"/>
      <c r="DV174"/>
      <c r="DW174"/>
      <c r="DX174"/>
      <c r="DY174"/>
      <c r="DZ174"/>
      <c r="EA174"/>
      <c r="EB174"/>
    </row>
    <row r="175" spans="1:132" collapsed="1" x14ac:dyDescent="0.2"/>
    <row r="176" spans="1:132" customFormat="1" x14ac:dyDescent="0.2"/>
    <row r="177" customFormat="1" x14ac:dyDescent="0.2"/>
    <row r="178" customFormat="1" x14ac:dyDescent="0.2"/>
    <row r="179" customFormat="1" x14ac:dyDescent="0.2"/>
    <row r="180" customFormat="1" x14ac:dyDescent="0.2"/>
    <row r="181" customFormat="1" ht="11.25" customHeight="1" x14ac:dyDescent="0.2"/>
    <row r="182" customFormat="1" x14ac:dyDescent="0.2"/>
  </sheetData>
  <mergeCells count="14">
    <mergeCell ref="BW5:CA5"/>
    <mergeCell ref="CC5:CG5"/>
    <mergeCell ref="BQ5:BU5"/>
    <mergeCell ref="AG5:AK5"/>
    <mergeCell ref="C5:G5"/>
    <mergeCell ref="I5:M5"/>
    <mergeCell ref="O5:S5"/>
    <mergeCell ref="U5:Y5"/>
    <mergeCell ref="AA5:AE5"/>
    <mergeCell ref="AM5:AQ5"/>
    <mergeCell ref="AS5:AW5"/>
    <mergeCell ref="AY5:BC5"/>
    <mergeCell ref="BE5:BI5"/>
    <mergeCell ref="BK5:BO5"/>
  </mergeCells>
  <pageMargins left="0.7" right="0.7" top="0.75" bottom="0.75" header="0.3" footer="0.3"/>
  <pageSetup paperSize="9" orientation="portrait" r:id="rId1"/>
  <ignoredErrors>
    <ignoredError sqref="AK89 G10 G11 BC19:BC20 AW19 AQ19 AK19 AE19 Y19 S19 M19 G19 B19 B21:G21 C14:G14 B30 B31:G32 B29 C33:G33 B18:G18 B17:G17 C19:F19 B41:G44 B33:B39 C30:G30 B12:B14 B23:G23 I19:L19 O19:R19 U19:X19 AA19:AD19 AG19:AJ19 AM19:AP19 AS19:AV19 AY19:BB19 C13:G13 B20:G20 B26:G27 B25 AW25 B15 B16 B24 BC24 BC25 AW24 AQ25 AQ24 AK25 AK24 AE25 AE24 Y25 Y24 S25 S24 M25 M24 G25 G24 G38:G39 M38:M39 S38:S39 Y38:Y39 AE38:AE39 C37:G37 C34:G34 B22:G22 B28 C35:G36 B40 I40:M40 B46:G46 B45:G45 AY89:BC89 AY21:BC21 AY18:BC18 AY17:BC17 AY23:BC23 AY20:AZ20 AY26:BC26 AY22:AZ22 BE89:BG89 BK89:BO89 BQ89:BU89 BW89:CA89 CC89:CG89 AS89:AW89 AS21:AW21 AS18:AW18 AS17:AW17 AS23:AW23 AS20:AV20 AS26:AW26 AM89:AQ89 AM21:AQ21 AM18:AQ18 AM17:AQ17 AM23:AQ23 AM20:AQ20 AM26:AQ26 AM22:AQ22 I21:M21 I31:M32 I33:M33 I18:M18 I17:M17 I41:M44 I30:M30 I23:M23 I20:M20 I26:M27 I37:M37 I34:M34 I22:M22 I35:M36 I46:M46 I45:M45 O40:S40 O21:S21 O31:S32 O33:S33 O18:S18 O17:S17 O41:S44 O30:S30 O23:S23 O20:S20 O26:S27 O37:S37 O34:S34 O22:S22 O35:S36 O46:S46 O45:S45 U40:Y40 U21:Y21 U31:Y32 U33:Y33 U18:Y18 U17:Y17 U41:Y44 U30:Y30 U23:Y23 U20:Y20 U26:Y27 U37:Y37 U34:Y34 U22:Y22 U35:Y36 U46:Y46 U45:Y45 AA40:AE40 AA21:AE21 AA31:AE32 AA33:AE33 AA18:AE18 AA17:AE17 AA41:AE44 AA30:AE30 AA23:AE23 AA20:AE20 AA26:AE27 AA37:AE37 AA34:AE34 AA22:AE22 AA35:AE36 AA46:AE46 AA45:AE45 AG40:AJ40 AG21:AK21 AG31:AJ32 AG33:AJ33 AG18:AK18 AG17:AK17 AG41:AJ44 AG30:AJ30 AG23:AK23 AG20:AK20 AG26:AK26 AG37:AJ37 AG34:AJ34 AG22:AK22 AG35:AJ36 AG46:AJ46 AG45:AJ45 BI89 AG27:AJ27 AK45 AK46 AK35:AK36 AK34 AK37 AK27 AK30 AK41:AK44 AK33 AK31:AK32 AK40 AM45:AQ45 AM46:AQ46 AM40:AQ40 AM35:AQ36 AM34:AQ34 AM37:AQ37 AM27:AQ27 AM30:AQ30 AM41:AQ44 AM33:AQ33 AM31:AQ32 AS45:AW45 AS46:AW46 AS35:AW36 AS37:AW37 AS27:AW27 AS30:AW30 AS41:AW44 AS33:AW33 AS31:AW31 AY46:BC46 AY34:AZ34 AY37:BC37 AY27:BC27 AY30:BC30 AY41:BC44 AY33:BC33 AY31:BC31 AZ45:BC45 BC38:BC39 AW38:AW39 AQ38:AQ39 AK38:AK39 BE33:BG39 AK28:CG29 AL40 AL33 BH33:CG39 AL38:AP39 AR38:AV39 AX38:BB39 BD38:BD39 AL35:AL36 AL34 AX34 AK47:CG49 AL45 BD45:CG45 AL31:AL32 BD31:CG32 BD33 AL41:AL44 BD41:CG44 AL30 BD30:CG30 AL27 BD27:CG27 AL37 BD37 BD34 AL46 BD46:CG46 AX31:AX32 AX33 AX41:AX44 AX30 AX27 AX37 AX35:BD36 AX46 AX45:AY45 AR31:AR32 AR33 AR41:AR44 AR30 AR27 AR37 AR34:AV34 AR35:AR36 AR40:CG40 AR46 AR45 BO12:CG12 AK51:CG79 AL50 AR50 AX50 BD50 BI50:BJ50 BO50:BP50 BU50:BV50 CA50:CB50 CG50 BB20 BB22:BC22 AY32:AZ32 BB32:BC32 BB34:BC34 AS32:AV32 AK81:CG81 AK80:AV80 BB80:CG80 AX80:AZ80 AK83:CG85 AK82:BB82 BD82:CG82" formula="1"/>
  </ignoredErrors>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43"/>
  <sheetViews>
    <sheetView workbookViewId="0">
      <selection activeCell="B42" sqref="B42"/>
    </sheetView>
  </sheetViews>
  <sheetFormatPr defaultRowHeight="12.75" x14ac:dyDescent="0.2"/>
  <cols>
    <col min="1" max="1" width="29.5703125" style="781" bestFit="1" customWidth="1"/>
    <col min="2" max="2" width="19.85546875" style="1735" customWidth="1"/>
    <col min="3" max="3" width="12" style="781" bestFit="1" customWidth="1"/>
    <col min="4" max="256" width="9.140625" style="781"/>
    <col min="257" max="257" width="29.5703125" style="781" bestFit="1" customWidth="1"/>
    <col min="258" max="258" width="19.85546875" style="781" customWidth="1"/>
    <col min="259" max="259" width="12" style="781" bestFit="1" customWidth="1"/>
    <col min="260" max="512" width="9.140625" style="781"/>
    <col min="513" max="513" width="29.5703125" style="781" bestFit="1" customWidth="1"/>
    <col min="514" max="514" width="19.85546875" style="781" customWidth="1"/>
    <col min="515" max="515" width="12" style="781" bestFit="1" customWidth="1"/>
    <col min="516" max="768" width="9.140625" style="781"/>
    <col min="769" max="769" width="29.5703125" style="781" bestFit="1" customWidth="1"/>
    <col min="770" max="770" width="19.85546875" style="781" customWidth="1"/>
    <col min="771" max="771" width="12" style="781" bestFit="1" customWidth="1"/>
    <col min="772" max="1024" width="9.140625" style="781"/>
    <col min="1025" max="1025" width="29.5703125" style="781" bestFit="1" customWidth="1"/>
    <col min="1026" max="1026" width="19.85546875" style="781" customWidth="1"/>
    <col min="1027" max="1027" width="12" style="781" bestFit="1" customWidth="1"/>
    <col min="1028" max="1280" width="9.140625" style="781"/>
    <col min="1281" max="1281" width="29.5703125" style="781" bestFit="1" customWidth="1"/>
    <col min="1282" max="1282" width="19.85546875" style="781" customWidth="1"/>
    <col min="1283" max="1283" width="12" style="781" bestFit="1" customWidth="1"/>
    <col min="1284" max="1536" width="9.140625" style="781"/>
    <col min="1537" max="1537" width="29.5703125" style="781" bestFit="1" customWidth="1"/>
    <col min="1538" max="1538" width="19.85546875" style="781" customWidth="1"/>
    <col min="1539" max="1539" width="12" style="781" bestFit="1" customWidth="1"/>
    <col min="1540" max="1792" width="9.140625" style="781"/>
    <col min="1793" max="1793" width="29.5703125" style="781" bestFit="1" customWidth="1"/>
    <col min="1794" max="1794" width="19.85546875" style="781" customWidth="1"/>
    <col min="1795" max="1795" width="12" style="781" bestFit="1" customWidth="1"/>
    <col min="1796" max="2048" width="9.140625" style="781"/>
    <col min="2049" max="2049" width="29.5703125" style="781" bestFit="1" customWidth="1"/>
    <col min="2050" max="2050" width="19.85546875" style="781" customWidth="1"/>
    <col min="2051" max="2051" width="12" style="781" bestFit="1" customWidth="1"/>
    <col min="2052" max="2304" width="9.140625" style="781"/>
    <col min="2305" max="2305" width="29.5703125" style="781" bestFit="1" customWidth="1"/>
    <col min="2306" max="2306" width="19.85546875" style="781" customWidth="1"/>
    <col min="2307" max="2307" width="12" style="781" bestFit="1" customWidth="1"/>
    <col min="2308" max="2560" width="9.140625" style="781"/>
    <col min="2561" max="2561" width="29.5703125" style="781" bestFit="1" customWidth="1"/>
    <col min="2562" max="2562" width="19.85546875" style="781" customWidth="1"/>
    <col min="2563" max="2563" width="12" style="781" bestFit="1" customWidth="1"/>
    <col min="2564" max="2816" width="9.140625" style="781"/>
    <col min="2817" max="2817" width="29.5703125" style="781" bestFit="1" customWidth="1"/>
    <col min="2818" max="2818" width="19.85546875" style="781" customWidth="1"/>
    <col min="2819" max="2819" width="12" style="781" bestFit="1" customWidth="1"/>
    <col min="2820" max="3072" width="9.140625" style="781"/>
    <col min="3073" max="3073" width="29.5703125" style="781" bestFit="1" customWidth="1"/>
    <col min="3074" max="3074" width="19.85546875" style="781" customWidth="1"/>
    <col min="3075" max="3075" width="12" style="781" bestFit="1" customWidth="1"/>
    <col min="3076" max="3328" width="9.140625" style="781"/>
    <col min="3329" max="3329" width="29.5703125" style="781" bestFit="1" customWidth="1"/>
    <col min="3330" max="3330" width="19.85546875" style="781" customWidth="1"/>
    <col min="3331" max="3331" width="12" style="781" bestFit="1" customWidth="1"/>
    <col min="3332" max="3584" width="9.140625" style="781"/>
    <col min="3585" max="3585" width="29.5703125" style="781" bestFit="1" customWidth="1"/>
    <col min="3586" max="3586" width="19.85546875" style="781" customWidth="1"/>
    <col min="3587" max="3587" width="12" style="781" bestFit="1" customWidth="1"/>
    <col min="3588" max="3840" width="9.140625" style="781"/>
    <col min="3841" max="3841" width="29.5703125" style="781" bestFit="1" customWidth="1"/>
    <col min="3842" max="3842" width="19.85546875" style="781" customWidth="1"/>
    <col min="3843" max="3843" width="12" style="781" bestFit="1" customWidth="1"/>
    <col min="3844" max="4096" width="9.140625" style="781"/>
    <col min="4097" max="4097" width="29.5703125" style="781" bestFit="1" customWidth="1"/>
    <col min="4098" max="4098" width="19.85546875" style="781" customWidth="1"/>
    <col min="4099" max="4099" width="12" style="781" bestFit="1" customWidth="1"/>
    <col min="4100" max="4352" width="9.140625" style="781"/>
    <col min="4353" max="4353" width="29.5703125" style="781" bestFit="1" customWidth="1"/>
    <col min="4354" max="4354" width="19.85546875" style="781" customWidth="1"/>
    <col min="4355" max="4355" width="12" style="781" bestFit="1" customWidth="1"/>
    <col min="4356" max="4608" width="9.140625" style="781"/>
    <col min="4609" max="4609" width="29.5703125" style="781" bestFit="1" customWidth="1"/>
    <col min="4610" max="4610" width="19.85546875" style="781" customWidth="1"/>
    <col min="4611" max="4611" width="12" style="781" bestFit="1" customWidth="1"/>
    <col min="4612" max="4864" width="9.140625" style="781"/>
    <col min="4865" max="4865" width="29.5703125" style="781" bestFit="1" customWidth="1"/>
    <col min="4866" max="4866" width="19.85546875" style="781" customWidth="1"/>
    <col min="4867" max="4867" width="12" style="781" bestFit="1" customWidth="1"/>
    <col min="4868" max="5120" width="9.140625" style="781"/>
    <col min="5121" max="5121" width="29.5703125" style="781" bestFit="1" customWidth="1"/>
    <col min="5122" max="5122" width="19.85546875" style="781" customWidth="1"/>
    <col min="5123" max="5123" width="12" style="781" bestFit="1" customWidth="1"/>
    <col min="5124" max="5376" width="9.140625" style="781"/>
    <col min="5377" max="5377" width="29.5703125" style="781" bestFit="1" customWidth="1"/>
    <col min="5378" max="5378" width="19.85546875" style="781" customWidth="1"/>
    <col min="5379" max="5379" width="12" style="781" bestFit="1" customWidth="1"/>
    <col min="5380" max="5632" width="9.140625" style="781"/>
    <col min="5633" max="5633" width="29.5703125" style="781" bestFit="1" customWidth="1"/>
    <col min="5634" max="5634" width="19.85546875" style="781" customWidth="1"/>
    <col min="5635" max="5635" width="12" style="781" bestFit="1" customWidth="1"/>
    <col min="5636" max="5888" width="9.140625" style="781"/>
    <col min="5889" max="5889" width="29.5703125" style="781" bestFit="1" customWidth="1"/>
    <col min="5890" max="5890" width="19.85546875" style="781" customWidth="1"/>
    <col min="5891" max="5891" width="12" style="781" bestFit="1" customWidth="1"/>
    <col min="5892" max="6144" width="9.140625" style="781"/>
    <col min="6145" max="6145" width="29.5703125" style="781" bestFit="1" customWidth="1"/>
    <col min="6146" max="6146" width="19.85546875" style="781" customWidth="1"/>
    <col min="6147" max="6147" width="12" style="781" bestFit="1" customWidth="1"/>
    <col min="6148" max="6400" width="9.140625" style="781"/>
    <col min="6401" max="6401" width="29.5703125" style="781" bestFit="1" customWidth="1"/>
    <col min="6402" max="6402" width="19.85546875" style="781" customWidth="1"/>
    <col min="6403" max="6403" width="12" style="781" bestFit="1" customWidth="1"/>
    <col min="6404" max="6656" width="9.140625" style="781"/>
    <col min="6657" max="6657" width="29.5703125" style="781" bestFit="1" customWidth="1"/>
    <col min="6658" max="6658" width="19.85546875" style="781" customWidth="1"/>
    <col min="6659" max="6659" width="12" style="781" bestFit="1" customWidth="1"/>
    <col min="6660" max="6912" width="9.140625" style="781"/>
    <col min="6913" max="6913" width="29.5703125" style="781" bestFit="1" customWidth="1"/>
    <col min="6914" max="6914" width="19.85546875" style="781" customWidth="1"/>
    <col min="6915" max="6915" width="12" style="781" bestFit="1" customWidth="1"/>
    <col min="6916" max="7168" width="9.140625" style="781"/>
    <col min="7169" max="7169" width="29.5703125" style="781" bestFit="1" customWidth="1"/>
    <col min="7170" max="7170" width="19.85546875" style="781" customWidth="1"/>
    <col min="7171" max="7171" width="12" style="781" bestFit="1" customWidth="1"/>
    <col min="7172" max="7424" width="9.140625" style="781"/>
    <col min="7425" max="7425" width="29.5703125" style="781" bestFit="1" customWidth="1"/>
    <col min="7426" max="7426" width="19.85546875" style="781" customWidth="1"/>
    <col min="7427" max="7427" width="12" style="781" bestFit="1" customWidth="1"/>
    <col min="7428" max="7680" width="9.140625" style="781"/>
    <col min="7681" max="7681" width="29.5703125" style="781" bestFit="1" customWidth="1"/>
    <col min="7682" max="7682" width="19.85546875" style="781" customWidth="1"/>
    <col min="7683" max="7683" width="12" style="781" bestFit="1" customWidth="1"/>
    <col min="7684" max="7936" width="9.140625" style="781"/>
    <col min="7937" max="7937" width="29.5703125" style="781" bestFit="1" customWidth="1"/>
    <col min="7938" max="7938" width="19.85546875" style="781" customWidth="1"/>
    <col min="7939" max="7939" width="12" style="781" bestFit="1" customWidth="1"/>
    <col min="7940" max="8192" width="9.140625" style="781"/>
    <col min="8193" max="8193" width="29.5703125" style="781" bestFit="1" customWidth="1"/>
    <col min="8194" max="8194" width="19.85546875" style="781" customWidth="1"/>
    <col min="8195" max="8195" width="12" style="781" bestFit="1" customWidth="1"/>
    <col min="8196" max="8448" width="9.140625" style="781"/>
    <col min="8449" max="8449" width="29.5703125" style="781" bestFit="1" customWidth="1"/>
    <col min="8450" max="8450" width="19.85546875" style="781" customWidth="1"/>
    <col min="8451" max="8451" width="12" style="781" bestFit="1" customWidth="1"/>
    <col min="8452" max="8704" width="9.140625" style="781"/>
    <col min="8705" max="8705" width="29.5703125" style="781" bestFit="1" customWidth="1"/>
    <col min="8706" max="8706" width="19.85546875" style="781" customWidth="1"/>
    <col min="8707" max="8707" width="12" style="781" bestFit="1" customWidth="1"/>
    <col min="8708" max="8960" width="9.140625" style="781"/>
    <col min="8961" max="8961" width="29.5703125" style="781" bestFit="1" customWidth="1"/>
    <col min="8962" max="8962" width="19.85546875" style="781" customWidth="1"/>
    <col min="8963" max="8963" width="12" style="781" bestFit="1" customWidth="1"/>
    <col min="8964" max="9216" width="9.140625" style="781"/>
    <col min="9217" max="9217" width="29.5703125" style="781" bestFit="1" customWidth="1"/>
    <col min="9218" max="9218" width="19.85546875" style="781" customWidth="1"/>
    <col min="9219" max="9219" width="12" style="781" bestFit="1" customWidth="1"/>
    <col min="9220" max="9472" width="9.140625" style="781"/>
    <col min="9473" max="9473" width="29.5703125" style="781" bestFit="1" customWidth="1"/>
    <col min="9474" max="9474" width="19.85546875" style="781" customWidth="1"/>
    <col min="9475" max="9475" width="12" style="781" bestFit="1" customWidth="1"/>
    <col min="9476" max="9728" width="9.140625" style="781"/>
    <col min="9729" max="9729" width="29.5703125" style="781" bestFit="1" customWidth="1"/>
    <col min="9730" max="9730" width="19.85546875" style="781" customWidth="1"/>
    <col min="9731" max="9731" width="12" style="781" bestFit="1" customWidth="1"/>
    <col min="9732" max="9984" width="9.140625" style="781"/>
    <col min="9985" max="9985" width="29.5703125" style="781" bestFit="1" customWidth="1"/>
    <col min="9986" max="9986" width="19.85546875" style="781" customWidth="1"/>
    <col min="9987" max="9987" width="12" style="781" bestFit="1" customWidth="1"/>
    <col min="9988" max="10240" width="9.140625" style="781"/>
    <col min="10241" max="10241" width="29.5703125" style="781" bestFit="1" customWidth="1"/>
    <col min="10242" max="10242" width="19.85546875" style="781" customWidth="1"/>
    <col min="10243" max="10243" width="12" style="781" bestFit="1" customWidth="1"/>
    <col min="10244" max="10496" width="9.140625" style="781"/>
    <col min="10497" max="10497" width="29.5703125" style="781" bestFit="1" customWidth="1"/>
    <col min="10498" max="10498" width="19.85546875" style="781" customWidth="1"/>
    <col min="10499" max="10499" width="12" style="781" bestFit="1" customWidth="1"/>
    <col min="10500" max="10752" width="9.140625" style="781"/>
    <col min="10753" max="10753" width="29.5703125" style="781" bestFit="1" customWidth="1"/>
    <col min="10754" max="10754" width="19.85546875" style="781" customWidth="1"/>
    <col min="10755" max="10755" width="12" style="781" bestFit="1" customWidth="1"/>
    <col min="10756" max="11008" width="9.140625" style="781"/>
    <col min="11009" max="11009" width="29.5703125" style="781" bestFit="1" customWidth="1"/>
    <col min="11010" max="11010" width="19.85546875" style="781" customWidth="1"/>
    <col min="11011" max="11011" width="12" style="781" bestFit="1" customWidth="1"/>
    <col min="11012" max="11264" width="9.140625" style="781"/>
    <col min="11265" max="11265" width="29.5703125" style="781" bestFit="1" customWidth="1"/>
    <col min="11266" max="11266" width="19.85546875" style="781" customWidth="1"/>
    <col min="11267" max="11267" width="12" style="781" bestFit="1" customWidth="1"/>
    <col min="11268" max="11520" width="9.140625" style="781"/>
    <col min="11521" max="11521" width="29.5703125" style="781" bestFit="1" customWidth="1"/>
    <col min="11522" max="11522" width="19.85546875" style="781" customWidth="1"/>
    <col min="11523" max="11523" width="12" style="781" bestFit="1" customWidth="1"/>
    <col min="11524" max="11776" width="9.140625" style="781"/>
    <col min="11777" max="11777" width="29.5703125" style="781" bestFit="1" customWidth="1"/>
    <col min="11778" max="11778" width="19.85546875" style="781" customWidth="1"/>
    <col min="11779" max="11779" width="12" style="781" bestFit="1" customWidth="1"/>
    <col min="11780" max="12032" width="9.140625" style="781"/>
    <col min="12033" max="12033" width="29.5703125" style="781" bestFit="1" customWidth="1"/>
    <col min="12034" max="12034" width="19.85546875" style="781" customWidth="1"/>
    <col min="12035" max="12035" width="12" style="781" bestFit="1" customWidth="1"/>
    <col min="12036" max="12288" width="9.140625" style="781"/>
    <col min="12289" max="12289" width="29.5703125" style="781" bestFit="1" customWidth="1"/>
    <col min="12290" max="12290" width="19.85546875" style="781" customWidth="1"/>
    <col min="12291" max="12291" width="12" style="781" bestFit="1" customWidth="1"/>
    <col min="12292" max="12544" width="9.140625" style="781"/>
    <col min="12545" max="12545" width="29.5703125" style="781" bestFit="1" customWidth="1"/>
    <col min="12546" max="12546" width="19.85546875" style="781" customWidth="1"/>
    <col min="12547" max="12547" width="12" style="781" bestFit="1" customWidth="1"/>
    <col min="12548" max="12800" width="9.140625" style="781"/>
    <col min="12801" max="12801" width="29.5703125" style="781" bestFit="1" customWidth="1"/>
    <col min="12802" max="12802" width="19.85546875" style="781" customWidth="1"/>
    <col min="12803" max="12803" width="12" style="781" bestFit="1" customWidth="1"/>
    <col min="12804" max="13056" width="9.140625" style="781"/>
    <col min="13057" max="13057" width="29.5703125" style="781" bestFit="1" customWidth="1"/>
    <col min="13058" max="13058" width="19.85546875" style="781" customWidth="1"/>
    <col min="13059" max="13059" width="12" style="781" bestFit="1" customWidth="1"/>
    <col min="13060" max="13312" width="9.140625" style="781"/>
    <col min="13313" max="13313" width="29.5703125" style="781" bestFit="1" customWidth="1"/>
    <col min="13314" max="13314" width="19.85546875" style="781" customWidth="1"/>
    <col min="13315" max="13315" width="12" style="781" bestFit="1" customWidth="1"/>
    <col min="13316" max="13568" width="9.140625" style="781"/>
    <col min="13569" max="13569" width="29.5703125" style="781" bestFit="1" customWidth="1"/>
    <col min="13570" max="13570" width="19.85546875" style="781" customWidth="1"/>
    <col min="13571" max="13571" width="12" style="781" bestFit="1" customWidth="1"/>
    <col min="13572" max="13824" width="9.140625" style="781"/>
    <col min="13825" max="13825" width="29.5703125" style="781" bestFit="1" customWidth="1"/>
    <col min="13826" max="13826" width="19.85546875" style="781" customWidth="1"/>
    <col min="13827" max="13827" width="12" style="781" bestFit="1" customWidth="1"/>
    <col min="13828" max="14080" width="9.140625" style="781"/>
    <col min="14081" max="14081" width="29.5703125" style="781" bestFit="1" customWidth="1"/>
    <col min="14082" max="14082" width="19.85546875" style="781" customWidth="1"/>
    <col min="14083" max="14083" width="12" style="781" bestFit="1" customWidth="1"/>
    <col min="14084" max="14336" width="9.140625" style="781"/>
    <col min="14337" max="14337" width="29.5703125" style="781" bestFit="1" customWidth="1"/>
    <col min="14338" max="14338" width="19.85546875" style="781" customWidth="1"/>
    <col min="14339" max="14339" width="12" style="781" bestFit="1" customWidth="1"/>
    <col min="14340" max="14592" width="9.140625" style="781"/>
    <col min="14593" max="14593" width="29.5703125" style="781" bestFit="1" customWidth="1"/>
    <col min="14594" max="14594" width="19.85546875" style="781" customWidth="1"/>
    <col min="14595" max="14595" width="12" style="781" bestFit="1" customWidth="1"/>
    <col min="14596" max="14848" width="9.140625" style="781"/>
    <col min="14849" max="14849" width="29.5703125" style="781" bestFit="1" customWidth="1"/>
    <col min="14850" max="14850" width="19.85546875" style="781" customWidth="1"/>
    <col min="14851" max="14851" width="12" style="781" bestFit="1" customWidth="1"/>
    <col min="14852" max="15104" width="9.140625" style="781"/>
    <col min="15105" max="15105" width="29.5703125" style="781" bestFit="1" customWidth="1"/>
    <col min="15106" max="15106" width="19.85546875" style="781" customWidth="1"/>
    <col min="15107" max="15107" width="12" style="781" bestFit="1" customWidth="1"/>
    <col min="15108" max="15360" width="9.140625" style="781"/>
    <col min="15361" max="15361" width="29.5703125" style="781" bestFit="1" customWidth="1"/>
    <col min="15362" max="15362" width="19.85546875" style="781" customWidth="1"/>
    <col min="15363" max="15363" width="12" style="781" bestFit="1" customWidth="1"/>
    <col min="15364" max="15616" width="9.140625" style="781"/>
    <col min="15617" max="15617" width="29.5703125" style="781" bestFit="1" customWidth="1"/>
    <col min="15618" max="15618" width="19.85546875" style="781" customWidth="1"/>
    <col min="15619" max="15619" width="12" style="781" bestFit="1" customWidth="1"/>
    <col min="15620" max="15872" width="9.140625" style="781"/>
    <col min="15873" max="15873" width="29.5703125" style="781" bestFit="1" customWidth="1"/>
    <col min="15874" max="15874" width="19.85546875" style="781" customWidth="1"/>
    <col min="15875" max="15875" width="12" style="781" bestFit="1" customWidth="1"/>
    <col min="15876" max="16128" width="9.140625" style="781"/>
    <col min="16129" max="16129" width="29.5703125" style="781" bestFit="1" customWidth="1"/>
    <col min="16130" max="16130" width="19.85546875" style="781" customWidth="1"/>
    <col min="16131" max="16131" width="12" style="781" bestFit="1" customWidth="1"/>
    <col min="16132" max="16384" width="9.140625" style="781"/>
  </cols>
  <sheetData>
    <row r="1" spans="1:2" x14ac:dyDescent="0.2">
      <c r="A1" s="781" t="s">
        <v>1079</v>
      </c>
      <c r="B1" s="1734">
        <v>6.1</v>
      </c>
    </row>
    <row r="2" spans="1:2" x14ac:dyDescent="0.2">
      <c r="A2" s="781" t="s">
        <v>1080</v>
      </c>
      <c r="B2" s="1738">
        <v>43216.749050925922</v>
      </c>
    </row>
    <row r="3" spans="1:2" x14ac:dyDescent="0.2">
      <c r="A3" s="781" t="s">
        <v>1081</v>
      </c>
      <c r="B3" s="1735" t="s">
        <v>784</v>
      </c>
    </row>
    <row r="4" spans="1:2" x14ac:dyDescent="0.2">
      <c r="A4" s="781" t="s">
        <v>1082</v>
      </c>
      <c r="B4" s="1735" t="s">
        <v>1083</v>
      </c>
    </row>
    <row r="5" spans="1:2" x14ac:dyDescent="0.2">
      <c r="A5" s="781" t="s">
        <v>1084</v>
      </c>
      <c r="B5" s="1735" t="s">
        <v>1085</v>
      </c>
    </row>
    <row r="6" spans="1:2" x14ac:dyDescent="0.2">
      <c r="A6" s="781" t="s">
        <v>1086</v>
      </c>
    </row>
    <row r="7" spans="1:2" x14ac:dyDescent="0.2">
      <c r="A7" s="781" t="s">
        <v>1087</v>
      </c>
      <c r="B7" s="1735" t="s">
        <v>1131</v>
      </c>
    </row>
    <row r="8" spans="1:2" x14ac:dyDescent="0.2">
      <c r="A8" s="781" t="s">
        <v>1088</v>
      </c>
      <c r="B8" s="1735" t="s">
        <v>1089</v>
      </c>
    </row>
    <row r="9" spans="1:2" x14ac:dyDescent="0.2">
      <c r="A9" s="781" t="s">
        <v>1090</v>
      </c>
      <c r="B9" s="1735" t="s">
        <v>1127</v>
      </c>
    </row>
    <row r="10" spans="1:2" x14ac:dyDescent="0.2">
      <c r="A10" s="781" t="s">
        <v>1091</v>
      </c>
    </row>
    <row r="11" spans="1:2" x14ac:dyDescent="0.2">
      <c r="A11" s="781" t="s">
        <v>1092</v>
      </c>
    </row>
    <row r="12" spans="1:2" x14ac:dyDescent="0.2">
      <c r="A12" s="781" t="s">
        <v>1093</v>
      </c>
    </row>
    <row r="13" spans="1:2" x14ac:dyDescent="0.2">
      <c r="A13" s="781" t="s">
        <v>1094</v>
      </c>
    </row>
    <row r="14" spans="1:2" x14ac:dyDescent="0.2">
      <c r="A14" s="781" t="s">
        <v>1095</v>
      </c>
    </row>
    <row r="15" spans="1:2" x14ac:dyDescent="0.2">
      <c r="A15" s="781" t="s">
        <v>1096</v>
      </c>
    </row>
    <row r="16" spans="1:2" x14ac:dyDescent="0.2">
      <c r="A16" s="781" t="s">
        <v>1097</v>
      </c>
    </row>
    <row r="17" spans="1:4" x14ac:dyDescent="0.2">
      <c r="A17" s="781" t="s">
        <v>1098</v>
      </c>
      <c r="B17" s="1735" t="s">
        <v>1128</v>
      </c>
    </row>
    <row r="18" spans="1:4" x14ac:dyDescent="0.2">
      <c r="A18" s="781" t="s">
        <v>1099</v>
      </c>
      <c r="B18" s="1735" t="s">
        <v>785</v>
      </c>
    </row>
    <row r="19" spans="1:4" x14ac:dyDescent="0.2">
      <c r="A19" s="781" t="s">
        <v>1100</v>
      </c>
      <c r="B19" s="1735" t="s">
        <v>335</v>
      </c>
    </row>
    <row r="20" spans="1:4" x14ac:dyDescent="0.2">
      <c r="A20" s="781" t="s">
        <v>1101</v>
      </c>
      <c r="B20" s="1736" t="s">
        <v>1132</v>
      </c>
    </row>
    <row r="21" spans="1:4" x14ac:dyDescent="0.2">
      <c r="A21" s="781" t="s">
        <v>1102</v>
      </c>
      <c r="B21" s="1735" t="s">
        <v>335</v>
      </c>
    </row>
    <row r="22" spans="1:4" x14ac:dyDescent="0.2">
      <c r="A22" s="781" t="s">
        <v>1103</v>
      </c>
      <c r="B22" s="1736" t="s">
        <v>538</v>
      </c>
    </row>
    <row r="23" spans="1:4" x14ac:dyDescent="0.2">
      <c r="A23" s="781" t="s">
        <v>220</v>
      </c>
      <c r="B23" s="1734">
        <v>49.66</v>
      </c>
    </row>
    <row r="24" spans="1:4" x14ac:dyDescent="0.2">
      <c r="A24" s="781" t="s">
        <v>219</v>
      </c>
      <c r="B24" s="1735" t="s">
        <v>189</v>
      </c>
      <c r="D24" s="781" t="s">
        <v>158</v>
      </c>
    </row>
    <row r="25" spans="1:4" x14ac:dyDescent="0.2">
      <c r="A25" s="781" t="s">
        <v>1104</v>
      </c>
      <c r="B25" s="1735" t="s">
        <v>1133</v>
      </c>
    </row>
    <row r="26" spans="1:4" x14ac:dyDescent="0.2">
      <c r="A26" s="781" t="s">
        <v>1105</v>
      </c>
      <c r="B26" s="1735">
        <v>0</v>
      </c>
    </row>
    <row r="27" spans="1:4" x14ac:dyDescent="0.2">
      <c r="A27" s="781" t="s">
        <v>1106</v>
      </c>
      <c r="B27" s="1735" t="s">
        <v>1107</v>
      </c>
    </row>
    <row r="28" spans="1:4" x14ac:dyDescent="0.2">
      <c r="A28" s="781" t="s">
        <v>1108</v>
      </c>
      <c r="B28" s="1735" t="s">
        <v>1109</v>
      </c>
    </row>
    <row r="29" spans="1:4" x14ac:dyDescent="0.2">
      <c r="A29" s="781" t="s">
        <v>1110</v>
      </c>
    </row>
    <row r="30" spans="1:4" x14ac:dyDescent="0.2">
      <c r="A30" s="781" t="s">
        <v>1111</v>
      </c>
    </row>
    <row r="31" spans="1:4" x14ac:dyDescent="0.2">
      <c r="A31" s="781" t="s">
        <v>1112</v>
      </c>
    </row>
    <row r="32" spans="1:4" x14ac:dyDescent="0.2">
      <c r="A32" s="781" t="s">
        <v>1113</v>
      </c>
      <c r="B32" s="1734"/>
    </row>
    <row r="33" spans="1:2" x14ac:dyDescent="0.2">
      <c r="A33" s="781" t="s">
        <v>1114</v>
      </c>
      <c r="B33" s="1734"/>
    </row>
    <row r="34" spans="1:2" x14ac:dyDescent="0.2">
      <c r="A34" s="781" t="s">
        <v>1115</v>
      </c>
      <c r="B34" s="1734"/>
    </row>
    <row r="35" spans="1:2" x14ac:dyDescent="0.2">
      <c r="A35" s="781" t="s">
        <v>1116</v>
      </c>
      <c r="B35" s="1735">
        <v>1000000</v>
      </c>
    </row>
    <row r="36" spans="1:2" x14ac:dyDescent="0.2">
      <c r="A36" s="781" t="s">
        <v>1117</v>
      </c>
      <c r="B36" s="1735" t="s">
        <v>1129</v>
      </c>
    </row>
    <row r="37" spans="1:2" x14ac:dyDescent="0.2">
      <c r="A37" s="781" t="s">
        <v>1118</v>
      </c>
      <c r="B37" s="1735" t="s">
        <v>1119</v>
      </c>
    </row>
    <row r="38" spans="1:2" x14ac:dyDescent="0.2">
      <c r="A38" s="781" t="s">
        <v>1120</v>
      </c>
      <c r="B38" s="1735" t="s">
        <v>1121</v>
      </c>
    </row>
    <row r="39" spans="1:2" x14ac:dyDescent="0.2">
      <c r="A39" s="781" t="s">
        <v>1122</v>
      </c>
      <c r="B39" s="1735" t="s">
        <v>1130</v>
      </c>
    </row>
    <row r="40" spans="1:2" x14ac:dyDescent="0.2">
      <c r="A40" s="781" t="s">
        <v>1123</v>
      </c>
      <c r="B40" s="1735">
        <v>1500005486</v>
      </c>
    </row>
    <row r="41" spans="1:2" x14ac:dyDescent="0.2">
      <c r="A41" s="781" t="s">
        <v>1124</v>
      </c>
      <c r="B41" s="1735">
        <v>1</v>
      </c>
    </row>
    <row r="42" spans="1:2" x14ac:dyDescent="0.2">
      <c r="A42" s="1737" t="s">
        <v>1125</v>
      </c>
    </row>
    <row r="43" spans="1:2" x14ac:dyDescent="0.2">
      <c r="A43" s="781" t="s">
        <v>1126</v>
      </c>
    </row>
  </sheetData>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13"/>
  <sheetViews>
    <sheetView workbookViewId="0">
      <selection activeCell="E11" sqref="E11"/>
    </sheetView>
  </sheetViews>
  <sheetFormatPr defaultRowHeight="12.75" x14ac:dyDescent="0.2"/>
  <cols>
    <col min="1" max="1" width="28.5703125" style="781" bestFit="1" customWidth="1"/>
    <col min="2" max="256" width="9.140625" style="781"/>
    <col min="257" max="257" width="28.5703125" style="781" bestFit="1" customWidth="1"/>
    <col min="258" max="512" width="9.140625" style="781"/>
    <col min="513" max="513" width="28.5703125" style="781" bestFit="1" customWidth="1"/>
    <col min="514" max="768" width="9.140625" style="781"/>
    <col min="769" max="769" width="28.5703125" style="781" bestFit="1" customWidth="1"/>
    <col min="770" max="1024" width="9.140625" style="781"/>
    <col min="1025" max="1025" width="28.5703125" style="781" bestFit="1" customWidth="1"/>
    <col min="1026" max="1280" width="9.140625" style="781"/>
    <col min="1281" max="1281" width="28.5703125" style="781" bestFit="1" customWidth="1"/>
    <col min="1282" max="1536" width="9.140625" style="781"/>
    <col min="1537" max="1537" width="28.5703125" style="781" bestFit="1" customWidth="1"/>
    <col min="1538" max="1792" width="9.140625" style="781"/>
    <col min="1793" max="1793" width="28.5703125" style="781" bestFit="1" customWidth="1"/>
    <col min="1794" max="2048" width="9.140625" style="781"/>
    <col min="2049" max="2049" width="28.5703125" style="781" bestFit="1" customWidth="1"/>
    <col min="2050" max="2304" width="9.140625" style="781"/>
    <col min="2305" max="2305" width="28.5703125" style="781" bestFit="1" customWidth="1"/>
    <col min="2306" max="2560" width="9.140625" style="781"/>
    <col min="2561" max="2561" width="28.5703125" style="781" bestFit="1" customWidth="1"/>
    <col min="2562" max="2816" width="9.140625" style="781"/>
    <col min="2817" max="2817" width="28.5703125" style="781" bestFit="1" customWidth="1"/>
    <col min="2818" max="3072" width="9.140625" style="781"/>
    <col min="3073" max="3073" width="28.5703125" style="781" bestFit="1" customWidth="1"/>
    <col min="3074" max="3328" width="9.140625" style="781"/>
    <col min="3329" max="3329" width="28.5703125" style="781" bestFit="1" customWidth="1"/>
    <col min="3330" max="3584" width="9.140625" style="781"/>
    <col min="3585" max="3585" width="28.5703125" style="781" bestFit="1" customWidth="1"/>
    <col min="3586" max="3840" width="9.140625" style="781"/>
    <col min="3841" max="3841" width="28.5703125" style="781" bestFit="1" customWidth="1"/>
    <col min="3842" max="4096" width="9.140625" style="781"/>
    <col min="4097" max="4097" width="28.5703125" style="781" bestFit="1" customWidth="1"/>
    <col min="4098" max="4352" width="9.140625" style="781"/>
    <col min="4353" max="4353" width="28.5703125" style="781" bestFit="1" customWidth="1"/>
    <col min="4354" max="4608" width="9.140625" style="781"/>
    <col min="4609" max="4609" width="28.5703125" style="781" bestFit="1" customWidth="1"/>
    <col min="4610" max="4864" width="9.140625" style="781"/>
    <col min="4865" max="4865" width="28.5703125" style="781" bestFit="1" customWidth="1"/>
    <col min="4866" max="5120" width="9.140625" style="781"/>
    <col min="5121" max="5121" width="28.5703125" style="781" bestFit="1" customWidth="1"/>
    <col min="5122" max="5376" width="9.140625" style="781"/>
    <col min="5377" max="5377" width="28.5703125" style="781" bestFit="1" customWidth="1"/>
    <col min="5378" max="5632" width="9.140625" style="781"/>
    <col min="5633" max="5633" width="28.5703125" style="781" bestFit="1" customWidth="1"/>
    <col min="5634" max="5888" width="9.140625" style="781"/>
    <col min="5889" max="5889" width="28.5703125" style="781" bestFit="1" customWidth="1"/>
    <col min="5890" max="6144" width="9.140625" style="781"/>
    <col min="6145" max="6145" width="28.5703125" style="781" bestFit="1" customWidth="1"/>
    <col min="6146" max="6400" width="9.140625" style="781"/>
    <col min="6401" max="6401" width="28.5703125" style="781" bestFit="1" customWidth="1"/>
    <col min="6402" max="6656" width="9.140625" style="781"/>
    <col min="6657" max="6657" width="28.5703125" style="781" bestFit="1" customWidth="1"/>
    <col min="6658" max="6912" width="9.140625" style="781"/>
    <col min="6913" max="6913" width="28.5703125" style="781" bestFit="1" customWidth="1"/>
    <col min="6914" max="7168" width="9.140625" style="781"/>
    <col min="7169" max="7169" width="28.5703125" style="781" bestFit="1" customWidth="1"/>
    <col min="7170" max="7424" width="9.140625" style="781"/>
    <col min="7425" max="7425" width="28.5703125" style="781" bestFit="1" customWidth="1"/>
    <col min="7426" max="7680" width="9.140625" style="781"/>
    <col min="7681" max="7681" width="28.5703125" style="781" bestFit="1" customWidth="1"/>
    <col min="7682" max="7936" width="9.140625" style="781"/>
    <col min="7937" max="7937" width="28.5703125" style="781" bestFit="1" customWidth="1"/>
    <col min="7938" max="8192" width="9.140625" style="781"/>
    <col min="8193" max="8193" width="28.5703125" style="781" bestFit="1" customWidth="1"/>
    <col min="8194" max="8448" width="9.140625" style="781"/>
    <col min="8449" max="8449" width="28.5703125" style="781" bestFit="1" customWidth="1"/>
    <col min="8450" max="8704" width="9.140625" style="781"/>
    <col min="8705" max="8705" width="28.5703125" style="781" bestFit="1" customWidth="1"/>
    <col min="8706" max="8960" width="9.140625" style="781"/>
    <col min="8961" max="8961" width="28.5703125" style="781" bestFit="1" customWidth="1"/>
    <col min="8962" max="9216" width="9.140625" style="781"/>
    <col min="9217" max="9217" width="28.5703125" style="781" bestFit="1" customWidth="1"/>
    <col min="9218" max="9472" width="9.140625" style="781"/>
    <col min="9473" max="9473" width="28.5703125" style="781" bestFit="1" customWidth="1"/>
    <col min="9474" max="9728" width="9.140625" style="781"/>
    <col min="9729" max="9729" width="28.5703125" style="781" bestFit="1" customWidth="1"/>
    <col min="9730" max="9984" width="9.140625" style="781"/>
    <col min="9985" max="9985" width="28.5703125" style="781" bestFit="1" customWidth="1"/>
    <col min="9986" max="10240" width="9.140625" style="781"/>
    <col min="10241" max="10241" width="28.5703125" style="781" bestFit="1" customWidth="1"/>
    <col min="10242" max="10496" width="9.140625" style="781"/>
    <col min="10497" max="10497" width="28.5703125" style="781" bestFit="1" customWidth="1"/>
    <col min="10498" max="10752" width="9.140625" style="781"/>
    <col min="10753" max="10753" width="28.5703125" style="781" bestFit="1" customWidth="1"/>
    <col min="10754" max="11008" width="9.140625" style="781"/>
    <col min="11009" max="11009" width="28.5703125" style="781" bestFit="1" customWidth="1"/>
    <col min="11010" max="11264" width="9.140625" style="781"/>
    <col min="11265" max="11265" width="28.5703125" style="781" bestFit="1" customWidth="1"/>
    <col min="11266" max="11520" width="9.140625" style="781"/>
    <col min="11521" max="11521" width="28.5703125" style="781" bestFit="1" customWidth="1"/>
    <col min="11522" max="11776" width="9.140625" style="781"/>
    <col min="11777" max="11777" width="28.5703125" style="781" bestFit="1" customWidth="1"/>
    <col min="11778" max="12032" width="9.140625" style="781"/>
    <col min="12033" max="12033" width="28.5703125" style="781" bestFit="1" customWidth="1"/>
    <col min="12034" max="12288" width="9.140625" style="781"/>
    <col min="12289" max="12289" width="28.5703125" style="781" bestFit="1" customWidth="1"/>
    <col min="12290" max="12544" width="9.140625" style="781"/>
    <col min="12545" max="12545" width="28.5703125" style="781" bestFit="1" customWidth="1"/>
    <col min="12546" max="12800" width="9.140625" style="781"/>
    <col min="12801" max="12801" width="28.5703125" style="781" bestFit="1" customWidth="1"/>
    <col min="12802" max="13056" width="9.140625" style="781"/>
    <col min="13057" max="13057" width="28.5703125" style="781" bestFit="1" customWidth="1"/>
    <col min="13058" max="13312" width="9.140625" style="781"/>
    <col min="13313" max="13313" width="28.5703125" style="781" bestFit="1" customWidth="1"/>
    <col min="13314" max="13568" width="9.140625" style="781"/>
    <col min="13569" max="13569" width="28.5703125" style="781" bestFit="1" customWidth="1"/>
    <col min="13570" max="13824" width="9.140625" style="781"/>
    <col min="13825" max="13825" width="28.5703125" style="781" bestFit="1" customWidth="1"/>
    <col min="13826" max="14080" width="9.140625" style="781"/>
    <col min="14081" max="14081" width="28.5703125" style="781" bestFit="1" customWidth="1"/>
    <col min="14082" max="14336" width="9.140625" style="781"/>
    <col min="14337" max="14337" width="28.5703125" style="781" bestFit="1" customWidth="1"/>
    <col min="14338" max="14592" width="9.140625" style="781"/>
    <col min="14593" max="14593" width="28.5703125" style="781" bestFit="1" customWidth="1"/>
    <col min="14594" max="14848" width="9.140625" style="781"/>
    <col min="14849" max="14849" width="28.5703125" style="781" bestFit="1" customWidth="1"/>
    <col min="14850" max="15104" width="9.140625" style="781"/>
    <col min="15105" max="15105" width="28.5703125" style="781" bestFit="1" customWidth="1"/>
    <col min="15106" max="15360" width="9.140625" style="781"/>
    <col min="15361" max="15361" width="28.5703125" style="781" bestFit="1" customWidth="1"/>
    <col min="15362" max="15616" width="9.140625" style="781"/>
    <col min="15617" max="15617" width="28.5703125" style="781" bestFit="1" customWidth="1"/>
    <col min="15618" max="15872" width="9.140625" style="781"/>
    <col min="15873" max="15873" width="28.5703125" style="781" bestFit="1" customWidth="1"/>
    <col min="15874" max="16128" width="9.140625" style="781"/>
    <col min="16129" max="16129" width="28.5703125" style="781" bestFit="1" customWidth="1"/>
    <col min="16130" max="16384" width="9.140625" style="781"/>
  </cols>
  <sheetData>
    <row r="1" spans="1:1" x14ac:dyDescent="0.2">
      <c r="A1" s="1739" t="s">
        <v>1134</v>
      </c>
    </row>
    <row r="2" spans="1:1" x14ac:dyDescent="0.2">
      <c r="A2" s="1739" t="s">
        <v>1139</v>
      </c>
    </row>
    <row r="3" spans="1:1" x14ac:dyDescent="0.2">
      <c r="A3" s="1739" t="s">
        <v>1140</v>
      </c>
    </row>
    <row r="4" spans="1:1" x14ac:dyDescent="0.2">
      <c r="A4" s="1739" t="s">
        <v>1141</v>
      </c>
    </row>
    <row r="5" spans="1:1" x14ac:dyDescent="0.2">
      <c r="A5" s="1739" t="s">
        <v>1142</v>
      </c>
    </row>
    <row r="6" spans="1:1" x14ac:dyDescent="0.2">
      <c r="A6" s="1739" t="s">
        <v>1135</v>
      </c>
    </row>
    <row r="7" spans="1:1" x14ac:dyDescent="0.2">
      <c r="A7" s="1739" t="s">
        <v>1143</v>
      </c>
    </row>
    <row r="8" spans="1:1" x14ac:dyDescent="0.2">
      <c r="A8" s="1739" t="s">
        <v>1144</v>
      </c>
    </row>
    <row r="9" spans="1:1" x14ac:dyDescent="0.2">
      <c r="A9" s="1739" t="s">
        <v>1145</v>
      </c>
    </row>
    <row r="10" spans="1:1" x14ac:dyDescent="0.2">
      <c r="A10" s="1739" t="s">
        <v>1136</v>
      </c>
    </row>
    <row r="11" spans="1:1" x14ac:dyDescent="0.2">
      <c r="A11" s="1739" t="s">
        <v>1146</v>
      </c>
    </row>
    <row r="12" spans="1:1" x14ac:dyDescent="0.2">
      <c r="A12" s="1739" t="s">
        <v>1137</v>
      </c>
    </row>
    <row r="13" spans="1:1" x14ac:dyDescent="0.2">
      <c r="A13" s="1739" t="s">
        <v>1138</v>
      </c>
    </row>
  </sheetData>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B1"/>
  <sheetViews>
    <sheetView workbookViewId="0"/>
  </sheetViews>
  <sheetFormatPr defaultRowHeight="12.75" x14ac:dyDescent="0.2"/>
  <sheetData>
    <row r="1" spans="1:2" x14ac:dyDescent="0.2">
      <c r="B1" t="s">
        <v>172</v>
      </c>
    </row>
  </sheetData>
  <phoneticPr fontId="12" type="noConversion"/>
  <pageMargins left="0.75" right="0.75" top="1" bottom="1" header="0.5" footer="0.5"/>
  <pageSetup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V2"/>
  <sheetViews>
    <sheetView workbookViewId="0"/>
  </sheetViews>
  <sheetFormatPr defaultRowHeight="12.75" x14ac:dyDescent="0.2"/>
  <sheetData>
    <row r="1" spans="1:74" x14ac:dyDescent="0.2">
      <c r="A1" t="s">
        <v>536</v>
      </c>
    </row>
    <row r="2" spans="1:74" x14ac:dyDescent="0.2">
      <c r="A2" s="71" t="s">
        <v>13</v>
      </c>
      <c r="B2" s="71" t="s">
        <v>215</v>
      </c>
      <c r="C2" s="71" t="s">
        <v>222</v>
      </c>
      <c r="D2" s="71" t="s">
        <v>206</v>
      </c>
      <c r="E2" s="71" t="s">
        <v>10</v>
      </c>
      <c r="F2" s="71" t="s">
        <v>215</v>
      </c>
      <c r="G2" s="71" t="s">
        <v>338</v>
      </c>
      <c r="H2" s="71" t="s">
        <v>783</v>
      </c>
      <c r="I2" s="71" t="s">
        <v>15</v>
      </c>
      <c r="J2" s="71" t="s">
        <v>157</v>
      </c>
      <c r="K2" s="71" t="s">
        <v>35</v>
      </c>
      <c r="L2" s="71" t="s">
        <v>215</v>
      </c>
      <c r="M2" s="71" t="s">
        <v>39</v>
      </c>
      <c r="N2" s="71" t="s">
        <v>215</v>
      </c>
      <c r="O2" s="71" t="s">
        <v>11</v>
      </c>
      <c r="P2" s="71" t="s">
        <v>207</v>
      </c>
      <c r="Q2" s="71" t="s">
        <v>38</v>
      </c>
      <c r="R2" s="71" t="s">
        <v>215</v>
      </c>
      <c r="S2" s="71" t="s">
        <v>224</v>
      </c>
      <c r="T2" s="71" t="s">
        <v>155</v>
      </c>
      <c r="U2" s="71" t="s">
        <v>223</v>
      </c>
      <c r="V2" s="71" t="s">
        <v>229</v>
      </c>
      <c r="W2" s="71" t="s">
        <v>12</v>
      </c>
      <c r="X2" s="71" t="s">
        <v>215</v>
      </c>
      <c r="Y2" s="71" t="s">
        <v>33</v>
      </c>
      <c r="Z2" s="71" t="s">
        <v>215</v>
      </c>
      <c r="AA2" s="71" t="s">
        <v>359</v>
      </c>
      <c r="AB2" s="71" t="s">
        <v>367</v>
      </c>
      <c r="AC2" s="71" t="s">
        <v>32</v>
      </c>
      <c r="AD2" s="71" t="s">
        <v>40</v>
      </c>
      <c r="AE2" s="71" t="s">
        <v>31</v>
      </c>
      <c r="AF2" s="71" t="s">
        <v>215</v>
      </c>
      <c r="AG2" s="71" t="s">
        <v>221</v>
      </c>
      <c r="AH2" s="71" t="s">
        <v>208</v>
      </c>
      <c r="AI2" s="71" t="s">
        <v>18</v>
      </c>
      <c r="AJ2" s="71" t="s">
        <v>156</v>
      </c>
      <c r="AK2" s="71" t="s">
        <v>361</v>
      </c>
      <c r="AL2" s="71" t="s">
        <v>61</v>
      </c>
      <c r="AM2" s="71" t="s">
        <v>358</v>
      </c>
      <c r="AN2" s="71" t="s">
        <v>8</v>
      </c>
      <c r="AO2" s="71" t="s">
        <v>16</v>
      </c>
      <c r="AP2" s="71" t="s">
        <v>371</v>
      </c>
      <c r="AQ2" s="71" t="s">
        <v>17</v>
      </c>
      <c r="AR2" s="71" t="s">
        <v>372</v>
      </c>
      <c r="AS2" s="71" t="s">
        <v>34</v>
      </c>
      <c r="AT2" s="71" t="s">
        <v>212</v>
      </c>
      <c r="AU2" s="71" t="s">
        <v>354</v>
      </c>
      <c r="AV2" s="71" t="s">
        <v>210</v>
      </c>
      <c r="AW2" s="71" t="s">
        <v>339</v>
      </c>
      <c r="AX2" s="71" t="s">
        <v>538</v>
      </c>
      <c r="AY2" s="71" t="s">
        <v>337</v>
      </c>
      <c r="AZ2" s="71" t="s">
        <v>189</v>
      </c>
      <c r="BA2" s="71" t="s">
        <v>36</v>
      </c>
      <c r="BB2" s="71" t="s">
        <v>215</v>
      </c>
      <c r="BC2" s="71" t="s">
        <v>352</v>
      </c>
      <c r="BD2" s="71" t="s">
        <v>355</v>
      </c>
      <c r="BE2" s="71" t="s">
        <v>9</v>
      </c>
      <c r="BF2" s="71" t="s">
        <v>373</v>
      </c>
      <c r="BG2" s="71" t="s">
        <v>41</v>
      </c>
      <c r="BH2" s="71" t="s">
        <v>215</v>
      </c>
      <c r="BI2" s="71" t="s">
        <v>357</v>
      </c>
      <c r="BJ2" s="71" t="s">
        <v>230</v>
      </c>
      <c r="BK2" s="71" t="s">
        <v>14</v>
      </c>
      <c r="BL2" s="71" t="s">
        <v>374</v>
      </c>
      <c r="BM2" s="71" t="s">
        <v>225</v>
      </c>
      <c r="BN2" s="71" t="s">
        <v>369</v>
      </c>
      <c r="BO2" s="71" t="s">
        <v>226</v>
      </c>
      <c r="BP2" s="71" t="s">
        <v>370</v>
      </c>
      <c r="BQ2" s="71" t="s">
        <v>360</v>
      </c>
      <c r="BR2" s="71" t="s">
        <v>228</v>
      </c>
      <c r="BS2" s="71" t="s">
        <v>37</v>
      </c>
      <c r="BT2" s="71" t="s">
        <v>215</v>
      </c>
      <c r="BU2" s="71" t="s">
        <v>356</v>
      </c>
      <c r="BV2" s="71" t="s">
        <v>211</v>
      </c>
    </row>
  </sheetData>
  <phoneticPr fontId="12" type="noConversion"/>
  <pageMargins left="0.75" right="0.75" top="1" bottom="1" header="0.5" footer="0.5"/>
  <pageSetup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
  <sheetViews>
    <sheetView workbookViewId="0"/>
  </sheetViews>
  <sheetFormatPr defaultRowHeight="12.75" x14ac:dyDescent="0.2"/>
  <sheetData/>
  <phoneticPr fontId="12" type="noConversion"/>
  <pageMargins left="0.75" right="0.75" top="1" bottom="1" header="0.5" footer="0.5"/>
  <pageSetup orientation="portrait" r:id="rId1"/>
  <headerFooter alignWithMargins="0"/>
</worksheet>
</file>

<file path=customXml/_rels/item1.xml.rels><?xml version="1.0" encoding="UTF-8" standalone="yes"?>
<Relationships xmlns="http://schemas.openxmlformats.org/package/2006/relationships">
<Relationship Id="rId1" Target="itemProps1.xml" Type="http://schemas.openxmlformats.org/officeDocument/2006/relationships/customXmlProps"/>
</Relationships>

</file>

<file path=customXml/_rels/item2.xml.rels><?xml version="1.0" encoding="UTF-8" standalone="yes"?>
<Relationships xmlns="http://schemas.openxmlformats.org/package/2006/relationships">
<Relationship Id="rId1" Target="itemProps2.xml" Type="http://schemas.openxmlformats.org/officeDocument/2006/relationships/customXmlProps"/>
</Relationships>

</file>

<file path=customXml/item1.xml><?xml version="1.0" encoding="utf-8"?>
<lk:Links xmlns:lk="thomsonreuters.linking.metadata">
  <Link>
    <GUID>e9dff103-7423-4098-999c-4d8d17374545</GUID>
    <SOURCE_ALTADDRESS>$B$4:$K$35</SOURCE_ALTADDRESS>
    <SOURCETYPE>Table</SOURCETYPE>
    <SOURCE_OBJECTNAME>Linking_Range_35</SOURCE_OBJECTNAME>
    <OBJECTTYPE>Native</OBJECTTYPE>
    <SOURCE_SHEETCODE>Sheet9</SOURCE_SHEETCODE>
    <SOURCE_SHEETNAME>Variance</SOURCE_SHEETNAME>
    <SOURCEAPPLICATION>EXCEL_SOURCE</SOURCEAPPLICATION>
    <UPDATEDAT>5/6/2015 9:56:18 AM</UPDATEDAT>
    <SOURCE_ISOUTOFDATE>False</SOURCE_ISOUTOFDATE>
    <SOURCE_WORKBOOKNAME>XRAY.xls</SOURCE_WORKBOOKNAME>
    <SOURCE_WORKBOOKPATH>\\MSAD\ROOT\NA\NY\LIB\ER\HEALTH\Tools\Models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/MSResearch/Content/ExternalAssets/2015-04/Images/_0PvITTleEaKfme4tNcyDg--.png</TARGET_BINARYFULLNAME>
    <TARGET_STORYFULLNAME>/MSResearch/Content/ExternalAssets/2015-04/Sections/20150416_044127_Linking_Range_35.xml</TARGET_STORYFULLNAME>
    <TARGET_UUID>f44e4746-e478-11e4-8428-e799a3b9280a</TARGET_UUID>
    <LINKSTATUS>Unknown</LINKSTATUS>
  </Link>
  <Link>
    <GUID>952bd6f4-4a4c-437e-b0a0-0ec51c4dd140</GUID>
    <SOURCETYPE>Chart</SOURCETYPE>
    <SOURCE_OBJECTNAME>XRAY EBIT Trend</SOURCE_OBJECTNAME>
    <SOURCE_SHEETCODE>Sheet25</SOURCE_SHEETCODE>
    <SOURCE_SHEETNAME>Graphs</SOURCE_SHEETNAME>
    <OBJECTTYPE>Native</OBJECTTYPE>
    <SOURCEAPPLICATION>EXCEL_SOURCE</SOURCEAPPLICATION>
    <UPDATEDAT>5/6/2015 10:39:06 AM</UPDATEDAT>
    <SOURCE_ISOUTOFDATE>False</SOURCE_ISOUTOFDATE>
    <SOURCE_WORKBOOKNAME>XRAY.xls</SOURCE_WORKBOOKNAME>
    <SOURCE_WORKBOOKPATH>\\MSAD\ROOT\NA\NY\LIB\ER\HEALTH\Tools\Models</SOURCE_WORKBOOKPATH>
    <TRANSPARENTBACKGROUND>False</TRANSPARENTBACKGROUND>
    <TRANSPARENTPLOTAREA>False</TRANSPARENTPLOTAREA>
    <TARGETTYPE>Picture</TARGETTYPE>
    <TARGETAPPLICATION>METHODE_TARGET</TARGETAPPLICATION>
    <TABLEBACKGROUND>Existing</TABLEBACKGROUND>
    <EXTRACTSOURCEMODE>CopyToClipboard</EXTRACTSOURCEMODE>
    <TARGET_BINARYFULLNAME>/MSResearch/Content/ExternalAssets/2015-04/Images/dhWYlD6xKk6ThTkevhh_gg--.png</TARGET_BINARYFULLNAME>
    <TARGET_STORYFULLNAME>/MSResearch/Content/ExternalAssets/2015-04/Sections/20150416_043208_XRAYEBITTrend.xml</TARGET_STORYFULLNAME>
    <TARGET_UUID>a702cc60-e477-11e4-8428-e799a3b9280a</TARGET_UUID>
    <LINKSTATUS>Unknown</LINKSTATUS>
  </Link>
  <Link>
    <GUID>ebf011fd-7d84-4764-b2d2-3fb82a30be35</GUID>
    <SOURCE_ALTADDRESS>$B$18:$AL$30</SOURCE_ALTADDRESS>
    <SOURCETYPE>Table</SOURCETYPE>
    <SOURCE_OBJECTNAME>Linking_Range_41</SOURCE_OBJECTNAME>
    <OBJECTTYPE>Native</OBJECTTYPE>
    <SOURCE_SHEETCODE>Sheet15</SOURCE_SHEETCODE>
    <SOURCE_SHEETNAME>ccGro</SOURCE_SHEETNAME>
    <SOURCEAPPLICATION>EXCEL_SOURCE</SOURCEAPPLICATION>
    <UPDATEDAT>5/6/2015 4:57:59 PM</UPDATEDAT>
    <SOURCE_ISOUTOFDATE>False</SOURCE_ISOUTOFDATE>
    <SOURCE_WORKBOOKNAME>XRAY.xls</SOURCE_WORKBOOKNAME>
    <SOURCE_WORKBOOKPATH>\\MSAD\ROOT\NA\NY\LIB\ER\HEALTH\Tools\Models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/MSResearch/Content/ExternalAssets/2015-04/Images/wQZVndbaNUSpP_f6sBXEoA--.png</TARGET_BINARYFULLNAME>
    <TARGET_STORYFULLNAME>/MSResearch/Content/ExternalAssets/2015-04/Sections/20150416_042059_Linking_Range_41.xml</TARGET_STORYFULLNAME>
    <TARGET_UUID>189fa444-e476-11e4-8428-e799a3b9280a</TARGET_UUID>
    <LINKSTATUS>Unknown</LINKSTATUS>
  </Link>
  <Link>
    <GUID>ed7e6996-7393-4e57-9214-87d3711d76df</GUID>
    <SOURCE_ALTADDRESS>$B$4:$O$15</SOURCE_ALTADDRESS>
    <SOURCETYPE>Table</SOURCETYPE>
    <SOURCE_OBJECTNAME>Linking_Range_36</SOURCE_OBJECTNAME>
    <OBJECTTYPE>Native</OBJECTTYPE>
    <SOURCE_SHEETCODE>Sheet12</SOURCE_SHEETCODE>
    <SOURCE_SHEETNAME>Guidance</SOURCE_SHEETNAME>
    <SOURCEAPPLICATION>EXCEL_SOURCE</SOURCEAPPLICATION>
    <UPDATEDAT>5/6/2015 4:59:20 PM</UPDATEDAT>
    <SOURCE_ISOUTOFDATE>False</SOURCE_ISOUTOFDATE>
    <SOURCE_WORKBOOKNAME>XRAY.xls</SOURCE_WORKBOOKNAME>
    <SOURCE_WORKBOOKPATH>\\MSAD\ROOT\NA\NY\LIB\ER\HEALTH\Tools\Models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/MSResearch/Content/ExternalAssets/2015-04/Images/m2YWruCisUKb1DkDuHyABg--.png</TARGET_BINARYFULLNAME>
    <TARGET_STORYFULLNAME>/MSResearch/Content/ExternalAssets/2015-04/Sections/20150416_042905_Linking_Range_36.xml</TARGET_STORYFULLNAME>
    <TARGET_UUID>3a0a0e70-e477-11e4-8428-e799a3b9280a</TARGET_UUID>
    <TRANSPARENTBACKGROUND>False</TRANSPARENTBACKGROUND>
    <TRANSPARENTPLOTAREA>False</TRANSPARENTPLOTAREA>
  </Link>
  <Link>
    <GUID>b8f47e53-c6fb-4cca-b09d-985cc21b6bdd</GUID>
    <SOURCE_ALTADDRESS>$B$4:$J$31</SOURCE_ALTADDRESS>
    <SOURCETYPE>Table</SOURCETYPE>
    <SOURCE_OBJECTNAME>Linking_Range_45</SOURCE_OBJECTNAME>
    <OBJECTTYPE>Native</OBJECTTYPE>
    <SOURCE_SHEETCODE>Sheet27</SOURCE_SHEETCODE>
    <SOURCE_SHEETNAME>Model Chgs</SOURCE_SHEETNAME>
    <SOURCEAPPLICATION>EXCEL_SOURCE</SOURCEAPPLICATION>
    <UPDATEDAT>5/6/2015 4:59:48 PM</UPDATEDAT>
    <SOURCE_ISOUTOFDATE>False</SOURCE_ISOUTOFDATE>
    <SOURCE_WORKBOOKNAME>XRAY.xls</SOURCE_WORKBOOKNAME>
    <SOURCE_WORKBOOKPATH>\\MSAD\ROOT\NA\NY\LIB\ER\HEALTH\Tools\Models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/MSResearch/Content/ExternalAssets/2015-04/Images/eD0I1aWBt0iRHdUNKARV6g--.png</TARGET_BINARYFULLNAME>
    <TARGET_STORYFULLNAME>/MSResearch/Content/ExternalAssets/2015-04/Sections/20150416_043131_Linking_Range_45.xml</TARGET_STORYFULLNAME>
    <TARGET_UUID>9156468a-e477-11e4-8428-e799a3b9280a</TARGET_UUID>
    <LINKSTATUS>Unknown</LINKSTATUS>
  </Link>
  <Link>
    <GUID>bbc765fd-5447-4d29-a870-9228d7682a4e</GUID>
    <SOURCETYPE>Chart</SOURCETYPE>
    <SOURCE_OBJECTNAME>Chart 2</SOURCE_OBJECTNAME>
    <SOURCE_SHEETCODE>Sheet18</SOURCE_SHEETCODE>
    <SOURCE_SHEETNAME>HSIC+PDCO</SOURCE_SHEETNAME>
    <OBJECTTYPE>Native</OBJECTTYPE>
    <SOURCEAPPLICATION>EXCEL_SOURCE</SOURCEAPPLICATION>
    <UPDATEDAT>5/6/2015 5:01:35 PM</UPDATEDAT>
    <SOURCE_ISOUTOFDATE>False</SOURCE_ISOUTOFDATE>
    <SOURCE_WORKBOOKNAME>XRAY.xls</SOURCE_WORKBOOKNAME>
    <SOURCE_WORKBOOKPATH>\\MSAD\ROOT\NA\NY\LIB\ER\HEALTH\Tools\Models</SOURCE_WORKBOOKPATH>
    <TRANSPARENTBACKGROUND>False</TRANSPARENTBACKGROUND>
    <TRANSPARENTPLOTAREA>False</TRANSPARENTPLOTAREA>
    <TARGETTYPE>Picture</TARGETTYPE>
    <TARGETAPPLICATION>METHODE_TARGET</TARGETAPPLICATION>
    <TABLEBACKGROUND>Existing</TABLEBACKGROUND>
    <EXTRACTSOURCEMODE>CopyToClipboard</EXTRACTSOURCEMODE>
    <TARGET_BINARYFULLNAME>/MSResearch/Content/ExternalAssets/2015-04/Images/eSckybNG30Gyf6Y8jZ2dJg--.png</TARGET_BINARYFULLNAME>
    <TARGET_STORYFULLNAME>/MSResearch/Content/ExternalAssets/2015-04/Sections/20150416_044301_Chart2.xml</TARGET_STORYFULLNAME>
    <TARGET_UUID>2c44a410-e479-11e4-8428-e799a3b9280a</TARGET_UUID>
    <LINKSTATUS>Unknown</LINKSTATUS>
    <HIDEGRIDLINES>False</HIDEGRIDLINES>
  </Link>
  <Link>
    <GUID>8d9f8fec-5d5f-4426-bb3d-e741fbfbd880</GUID>
    <SOURCETYPE>Chart</SOURCETYPE>
    <SOURCE_OBJECTNAME>Chart 22</SOURCE_OBJECTNAME>
    <SOURCE_SHEETCODE>Sheet18</SOURCE_SHEETCODE>
    <SOURCE_SHEETNAME>HSIC+PDCO</SOURCE_SHEETNAME>
    <OBJECTTYPE>Native</OBJECTTYPE>
    <SOURCEAPPLICATION>EXCEL_SOURCE</SOURCEAPPLICATION>
    <UPDATEDAT>5/6/2015 5:02:33 PM</UPDATEDAT>
    <SOURCE_ISOUTOFDATE>False</SOURCE_ISOUTOFDATE>
    <SOURCE_WORKBOOKNAME>XRAY.xls</SOURCE_WORKBOOKNAME>
    <SOURCE_WORKBOOKPATH>\\MSAD\ROOT\NA\NY\LIB\ER\HEALTH\Tools\Models</SOURCE_WORKBOOKPATH>
    <TRANSPARENTBACKGROUND>False</TRANSPARENTBACKGROUND>
    <TRANSPARENTPLOTAREA>False</TRANSPARENTPLOTAREA>
    <TARGETTYPE>Picture</TARGETTYPE>
    <TARGETAPPLICATION>METHODE_TARGET</TARGETAPPLICATION>
    <TABLEBACKGROUND>Existing</TABLEBACKGROUND>
    <EXTRACTSOURCEMODE>CopyToClipboard</EXTRACTSOURCEMODE>
    <TARGET_BINARYFULLNAME>/MSResearch/Content/ExternalAssets/2015-05/Images/TN5OiwaDh0uQBf624Y4qGw--.png</TARGET_BINARYFULLNAME>
    <TARGET_STORYFULLNAME>/MSResearch/Content/ExternalAssets/2015-05/Sections/20150506_050213_Chart22.xml</TARGET_STORYFULLNAME>
    <TARGET_UUID>2b4b6d2c-f433-11e4-96ae-7c07ebc02301</TARGET_UUID>
    <LINKSTATUS>Unknown</LINKSTATUS>
  </Link>
  <Link>
    <GUID>f95cec36-e70a-45de-b2a9-950779a76031</GUID>
    <SOURCETYPE>Chart</SOURCETYPE>
    <SOURCE_OBJECTNAME>MWA_Risk_Reward</SOURCE_OBJECTNAME>
    <SOURCE_SHEETCODE>MWRSSData</SOURCE_SHEETCODE>
    <SOURCE_SHEETNAME>MWA RR</SOURCE_SHEETNAME>
    <OBJECTTYPE>Native</OBJECTTYPE>
    <SOURCEAPPLICATION>EXCEL_SOURCE</SOURCEAPPLICATION>
    <UPDATEDAT>5/6/2015 7:16:57 PM</UPDATEDAT>
    <SOURCE_ISOUTOFDATE>False</SOURCE_ISOUTOFDATE>
    <SOURCE_WORKBOOKNAME>XRAY.xls</SOURCE_WORKBOOKNAME>
    <SOURCE_WORKBOOKPATH>\\MSAD\ROOT\NA\NY\LIB\ER\HEALTH\Tools\Models</SOURCE_WORKBOOKPATH>
    <TRANSPARENTBACKGROUND>False</TRANSPARENTBACKGROUND>
    <TRANSPARENTPLOTAREA>False</TRANSPARENTPLOTAREA>
    <TARGETTYPE>Picture</TARGETTYPE>
    <TARGETAPPLICATION>METHODE_TARGET</TARGETAPPLICATION>
    <TABLEBACKGROUND>Existing</TABLEBACKGROUND>
    <EXTRACTSOURCEMODE>CopyToClipboard</EXTRACTSOURCEMODE>
    <TARGET_BINARYFULLNAME>/MSResearch/Content/ExternalAssets/2015-04/Images/yNdxz3sfhEGVuYBDUBb23Q--.png</TARGET_BINARYFULLNAME>
    <TARGET_STORYFULLNAME>/MSResearch/Content/ExternalAssets/2015-04/Sections/20150416_041854_MWA_Risk_Reward.xml</TARGET_STORYFULLNAME>
    <TARGET_UUID>cddf65ca-e475-11e4-8428-e799a3b9280a</TARGET_UUID>
    <LINKSTATUS>Unknown</LINKSTATUS>
  </Link>
  <Link>
    <GUID>403cdfdb-d12f-4c25-984e-f69df2761aa7</GUID>
    <SOURCE_ALTADDRESS>$B$5:$BO$68</SOURCE_ALTADDRESS>
    <SOURCETYPE>Table</SOURCETYPE>
    <SOURCE_OBJECTNAME>Linking_Range_51</SOURCE_OBJECTNAME>
    <OBJECTTYPE>Native</OBJECTTYPE>
    <SOURCE_SHEETCODE>Sheet1</SOURCE_SHEETCODE>
    <SOURCE_SHEETNAME>P&amp;L</SOURCE_SHEETNAME>
    <SOURCEAPPLICATION>EXCEL_SOURCE</SOURCEAPPLICATION>
    <UPDATEDAT>5/6/2015 7:19:34 PM</UPDATEDAT>
    <SOURCE_ISOUTOFDATE>False</SOURCE_ISOUTOFDATE>
    <SOURCE_WORKBOOKNAME>XRAY.xls</SOURCE_WORKBOOKNAME>
    <SOURCE_WORKBOOKPATH>\\MSAD\ROOT\NA\NY\LIB\ER\HEALTH\Tools\Models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/MSResearch/Content/ExternalAssets/2015-04/Images/IQe3lJ1lm0_VPTkXVsaDuw--.png</TARGET_BINARYFULLNAME>
    <TARGET_STORYFULLNAME>/MSResearch/Content/ExternalAssets/2015-04/Sections/20150416_044657_Linking_Range_51.xml</TARGET_STORYFULLNAME>
    <TARGET_UUID>b8e115e8-e479-11e4-8428-e799a3b9280a</TARGET_UUID>
    <TRANSPARENTBACKGROUND>False</TRANSPARENTBACKGROUND>
    <TRANSPARENTPLOTAREA>False</TRANSPARENTPLOTAREA>
  </Link>
  <Link>
    <GUID>028df768-1c4d-4546-9ab8-89c82a6c7016</GUID>
    <SOURCETYPE>Chart</SOURCETYPE>
    <SOURCE_OBJECTNAME>Org Equip</SOURCE_OBJECTNAME>
    <SOURCE_SHEETCODE>Sheet18</SOURCE_SHEETCODE>
    <SOURCE_SHEETNAME>HSIC+PDCO</SOURCE_SHEETNAME>
    <OBJECTTYPE>Native</OBJECTTYPE>
    <SOURCEAPPLICATION>EXCEL_SOURCE</SOURCEAPPLICATION>
    <UPDATEDAT>5/21/2015 10:03:03 AM</UPDATEDAT>
    <SOURCE_ISOUTOFDATE>False</SOURCE_ISOUTOFDATE>
    <SOURCE_WORKBOOKNAME>XRAY.xls</SOURCE_WORKBOOKNAME>
    <SOURCE_WORKBOOKPATH>\\MSAD\ROOT\NA\NY\LIB\ER\HEALTH\Tools\Models</SOURCE_WORKBOOKPATH>
    <TRANSPARENTBACKGROUND>False</TRANSPARENTBACKGROUND>
    <TRANSPARENTPLOTAREA>False</TRANSPARENTPLOTAREA>
    <TARGETTYPE>Picture</TARGETTYPE>
    <TARGETAPPLICATION>METHODE_TARGET</TARGETAPPLICATION>
    <TABLEBACKGROUND>Existing</TABLEBACKGROUND>
    <EXTRACTSOURCEMODE>CopyToClipboard</EXTRACTSOURCEMODE>
    <TARGET_BINARYFULLNAME>/MSResearch/Content/ExternalAssets/2015-05/Images/CgUt8YBZ1UKjr9tiaozVlQ--.png</TARGET_BINARYFULLNAME>
    <TARGET_STORYFULLNAME>/MSResearch/Content/ExternalAssets/2015-05/Sections/20150521_100300_OrgEquip.xml</TARGET_STORYFULLNAME>
    <TARGET_UUID>176342b8-ffc2-11e4-816b-9b441484c75b</TARGET_UUID>
  </Link>
  <Link>
    <GUID>659a75ce-da73-4928-887b-f11c9784e989</GUID>
    <SOURCETYPE>Chart</SOURCETYPE>
    <SOURCE_OBJECTNAME>Org Consum</SOURCE_OBJECTNAME>
    <SOURCE_SHEETCODE>Sheet18</SOURCE_SHEETCODE>
    <SOURCE_SHEETNAME>HSIC+PDCO</SOURCE_SHEETNAME>
    <OBJECTTYPE>Native</OBJECTTYPE>
    <SOURCEAPPLICATION>EXCEL_SOURCE</SOURCEAPPLICATION>
    <UPDATEDAT>5/21/2015 10:04:10 AM</UPDATEDAT>
    <SOURCE_ISOUTOFDATE>False</SOURCE_ISOUTOFDATE>
    <SOURCE_WORKBOOKNAME>XRAY.xls</SOURCE_WORKBOOKNAME>
    <SOURCE_WORKBOOKPATH>\\MSAD\ROOT\NA\NY\LIB\ER\HEALTH\Tools\Models</SOURCE_WORKBOOKPATH>
    <TRANSPARENTBACKGROUND>False</TRANSPARENTBACKGROUND>
    <TRANSPARENTPLOTAREA>False</TRANSPARENTPLOTAREA>
    <TARGETTYPE>Picture</TARGETTYPE>
    <TARGETAPPLICATION>METHODE_TARGET</TARGETAPPLICATION>
    <TABLEBACKGROUND>Existing</TABLEBACKGROUND>
    <EXTRACTSOURCEMODE>CopyToClipboard</EXTRACTSOURCEMODE>
    <TARGET_BINARYFULLNAME>/MSResearch/Content/ExternalAssets/2015-05/Images/nE7QAhD6QUS1C9ox5-1N6g--.png</TARGET_BINARYFULLNAME>
    <TARGET_STORYFULLNAME>/MSResearch/Content/ExternalAssets/2015-05/Sections/20150521_100406_OrgConsum.xml</TARGET_STORYFULLNAME>
    <TARGET_UUID>3e694254-ffc2-11e4-816b-9b441484c75b</TARGET_UUID>
  </Link>
</lk:Links>
</file>

<file path=customXml/item2.xml><?xml version="1.0" encoding="utf-8"?>
<lkmtd:Metadata xmlns:lkmtd="thomsonreuters.linking.metadatachange">
  <MetadataChanged>0</MetadataChanged>
</lkmtd:Metadata>
</file>

<file path=customXml/itemProps1.xml><?xml version="1.0" encoding="utf-8"?>
<ds:datastoreItem xmlns:ds="http://schemas.openxmlformats.org/officeDocument/2006/customXml" ds:itemID="{327C2432-E33B-45A6-A406-6F92885B8321}">
  <ds:schemaRefs>
    <ds:schemaRef ds:uri="thomsonreuters.linking.metadata"/>
  </ds:schemaRefs>
</ds:datastoreItem>
</file>

<file path=customXml/itemProps2.xml><?xml version="1.0" encoding="utf-8"?>
<ds:datastoreItem xmlns:ds="http://schemas.openxmlformats.org/officeDocument/2006/customXml" ds:itemID="{C435C6E5-E1CB-4D41-A9C3-91056F6D02DD}">
  <ds:schemaRefs>
    <ds:schemaRef ds:uri="thomsonreuters.linking.metadatachang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123</vt:i4>
      </vt:variant>
    </vt:vector>
  </HeadingPairs>
  <TitlesOfParts>
    <vt:vector size="133" baseType="lpstr">
      <vt:lpstr>ImportantDisclosures</vt:lpstr>
      <vt:lpstr>P&amp;L</vt:lpstr>
      <vt:lpstr>RevBuild</vt:lpstr>
      <vt:lpstr>CC_gro</vt:lpstr>
      <vt:lpstr>BalSht </vt:lpstr>
      <vt:lpstr>CashFlow</vt:lpstr>
      <vt:lpstr>Debt</vt:lpstr>
      <vt:lpstr>Pro Forma P&amp;L</vt:lpstr>
      <vt:lpstr>IndexInformation</vt:lpstr>
      <vt:lpstr>ModPubIndex</vt:lpstr>
      <vt:lpstr>AdditionalInstructions</vt:lpstr>
      <vt:lpstr>ImportantDisclosures!Address</vt:lpstr>
      <vt:lpstr>ModPubIndex!ANA</vt:lpstr>
      <vt:lpstr>ImportantDisclosures!Authors</vt:lpstr>
      <vt:lpstr>IndexInformation!Authors</vt:lpstr>
      <vt:lpstr>ModPubIndex!BRO</vt:lpstr>
      <vt:lpstr>CopyrightStamp</vt:lpstr>
      <vt:lpstr>ModPubIndex!COU</vt:lpstr>
      <vt:lpstr>IndexInformation!CQEnd</vt:lpstr>
      <vt:lpstr>IndexInformation!Currency</vt:lpstr>
      <vt:lpstr>IndexInformation!CurrentStockPrice</vt:lpstr>
      <vt:lpstr>IndexInformation!CurrQtrEPS</vt:lpstr>
      <vt:lpstr>IndexInformation!CurrYearEPS</vt:lpstr>
      <vt:lpstr>IndexInformation!CurrYearTotalRevenue</vt:lpstr>
      <vt:lpstr>IndexInformation!CurrYearTotalRevenueActual</vt:lpstr>
      <vt:lpstr>IndexInformation!CUSIP</vt:lpstr>
      <vt:lpstr>IndexInformation!CYEnd</vt:lpstr>
      <vt:lpstr>ImportantDisclosures!Date</vt:lpstr>
      <vt:lpstr>IndexInformation!Deleted</vt:lpstr>
      <vt:lpstr>IndexInformation!Description</vt:lpstr>
      <vt:lpstr>IndexInformation!Discipline</vt:lpstr>
      <vt:lpstr>ModPubIndex!DISCIPLINE</vt:lpstr>
      <vt:lpstr>DisclosuresText</vt:lpstr>
      <vt:lpstr>IndexInformation!Distribution</vt:lpstr>
      <vt:lpstr>ModPubIndex!DOCDAT</vt:lpstr>
      <vt:lpstr>ModPubIndex!DOCTIME</vt:lpstr>
      <vt:lpstr>IndexInformation!DocType</vt:lpstr>
      <vt:lpstr>ModPubIndex!EMAIL_ALERT</vt:lpstr>
      <vt:lpstr>IndexInformation!EmailAlert</vt:lpstr>
      <vt:lpstr>IndexInformation!FiveYearGrowthRate</vt:lpstr>
      <vt:lpstr>IndexInformation!FollowingYearEPS</vt:lpstr>
      <vt:lpstr>IndexInformation!FollowingYearTotalRevenue</vt:lpstr>
      <vt:lpstr>IndexInformation!FollowingYearTotalRevenueActual</vt:lpstr>
      <vt:lpstr>ModPubIndex!HL</vt:lpstr>
      <vt:lpstr>ModPubIndex!IND</vt:lpstr>
      <vt:lpstr>ImportantDisclosures!Industry</vt:lpstr>
      <vt:lpstr>IndustryId</vt:lpstr>
      <vt:lpstr>ImportantDisclosures!IndustryRating</vt:lpstr>
      <vt:lpstr>IndexInformation!KeepVersions</vt:lpstr>
      <vt:lpstr>LanguageCode</vt:lpstr>
      <vt:lpstr>ImportantDisclosures!LastCell</vt:lpstr>
      <vt:lpstr>Linking_12</vt:lpstr>
      <vt:lpstr>Linking_13</vt:lpstr>
      <vt:lpstr>Linking_14</vt:lpstr>
      <vt:lpstr>Linking_15</vt:lpstr>
      <vt:lpstr>Linking_16</vt:lpstr>
      <vt:lpstr>Linking_17</vt:lpstr>
      <vt:lpstr>Linking_18</vt:lpstr>
      <vt:lpstr>Linking_19</vt:lpstr>
      <vt:lpstr>Linking_2</vt:lpstr>
      <vt:lpstr>Linking_23</vt:lpstr>
      <vt:lpstr>Linking_26</vt:lpstr>
      <vt:lpstr>Linking_27</vt:lpstr>
      <vt:lpstr>Linking_28</vt:lpstr>
      <vt:lpstr>Linking_29</vt:lpstr>
      <vt:lpstr>Linking_30</vt:lpstr>
      <vt:lpstr>Linking_32</vt:lpstr>
      <vt:lpstr>Linking_33</vt:lpstr>
      <vt:lpstr>Linking_35</vt:lpstr>
      <vt:lpstr>Linking_36</vt:lpstr>
      <vt:lpstr>Linking_37</vt:lpstr>
      <vt:lpstr>Linking_38</vt:lpstr>
      <vt:lpstr>Linking_39</vt:lpstr>
      <vt:lpstr>Linking_40</vt:lpstr>
      <vt:lpstr>Linking_41</vt:lpstr>
      <vt:lpstr>Linking_42</vt:lpstr>
      <vt:lpstr>Linking_45</vt:lpstr>
      <vt:lpstr>Linking_46</vt:lpstr>
      <vt:lpstr>Linking_50</vt:lpstr>
      <vt:lpstr>Linking_51</vt:lpstr>
      <vt:lpstr>Linking_52</vt:lpstr>
      <vt:lpstr>Linking_59</vt:lpstr>
      <vt:lpstr>Linking_60</vt:lpstr>
      <vt:lpstr>Linking_62</vt:lpstr>
      <vt:lpstr>Linking_63</vt:lpstr>
      <vt:lpstr>Linking_66</vt:lpstr>
      <vt:lpstr>Linking_67</vt:lpstr>
      <vt:lpstr>Linking_68</vt:lpstr>
      <vt:lpstr>Linking_Range_1</vt:lpstr>
      <vt:lpstr>Linking_Range_21</vt:lpstr>
      <vt:lpstr>Linking_Range_28</vt:lpstr>
      <vt:lpstr>Linking_Range_33</vt:lpstr>
      <vt:lpstr>Linking_Range_43</vt:lpstr>
      <vt:lpstr>Linking_Range_46</vt:lpstr>
      <vt:lpstr>Linking_Range_51</vt:lpstr>
      <vt:lpstr>Linking_Range_52</vt:lpstr>
      <vt:lpstr>Linking_Range_55</vt:lpstr>
      <vt:lpstr>'BalSht '!Linking_Range_60</vt:lpstr>
      <vt:lpstr>Linking_Range_61</vt:lpstr>
      <vt:lpstr>Linking_Range_63</vt:lpstr>
      <vt:lpstr>Linking_Range_64</vt:lpstr>
      <vt:lpstr>Linking_Range_65</vt:lpstr>
      <vt:lpstr>Linking_Range_66</vt:lpstr>
      <vt:lpstr>Linking_Range_67</vt:lpstr>
      <vt:lpstr>IndexInformation!MacroVersion</vt:lpstr>
      <vt:lpstr>ImportantDisclosures!ModelPrice</vt:lpstr>
      <vt:lpstr>IndexInformation!Multiplier</vt:lpstr>
      <vt:lpstr>IndexInformation!NextYearEPS</vt:lpstr>
      <vt:lpstr>IndexInformation!NextYearTotalRevenue</vt:lpstr>
      <vt:lpstr>IndexInformation!NextYearTotalRevenueActual</vt:lpstr>
      <vt:lpstr>ObjectType</vt:lpstr>
      <vt:lpstr>ModPubIndex!PANA</vt:lpstr>
      <vt:lpstr>IndexInformation!PathName</vt:lpstr>
      <vt:lpstr>RevBuild!Print_Area</vt:lpstr>
      <vt:lpstr>ModPubIndex!PRODUCT</vt:lpstr>
      <vt:lpstr>ModPubIndex!PSYM</vt:lpstr>
      <vt:lpstr>IndexInformation!PublishDate</vt:lpstr>
      <vt:lpstr>IndexInformation!Rating</vt:lpstr>
      <vt:lpstr>ImportantDisclosures!RatingsDefined</vt:lpstr>
      <vt:lpstr>IndexInformation!ResearchTopic</vt:lpstr>
      <vt:lpstr>IndexInformation!RIC</vt:lpstr>
      <vt:lpstr>IndexInformation!SEDOL</vt:lpstr>
      <vt:lpstr>ImportantDisclosures!SourceDefined</vt:lpstr>
      <vt:lpstr>ImportantDisclosures!StockRating</vt:lpstr>
      <vt:lpstr>IndexInformation!SubjectCode</vt:lpstr>
      <vt:lpstr>SubmitterUserId</vt:lpstr>
      <vt:lpstr>ModPubIndex!SUPPRESSED</vt:lpstr>
      <vt:lpstr>ImportantDisclosures!TargetPrice</vt:lpstr>
      <vt:lpstr>TemplateRegion</vt:lpstr>
      <vt:lpstr>ImportantDisclosures!Ticker</vt:lpstr>
      <vt:lpstr>TickerRegion</vt:lpstr>
      <vt:lpstr>IndexInformation!Tickers</vt:lpstr>
      <vt:lpstr>IndexInformation!UpdateReason</vt:lpstr>
    </vt:vector>
  </TitlesOfParts>
  <Company>Morgan Stanley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2011-02-01T06:20:47Z</dcterms:created>
  <dc:creator>meneclar</dc:creator>
  <cp:lastModifiedBy>Wachter, Zachary (Research)</cp:lastModifiedBy>
  <cp:lastPrinted>2018-04-25T14:46:11Z</cp:lastPrinted>
  <dcterms:modified xsi:type="dcterms:W3CDTF">2018-04-26T21:58:40Z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name="LinkingAutoNameNumberLinking_Range_" pid="2">
    <vt:lpwstr>67</vt:lpwstr>
  </property>
  <property fmtid="{D5CDD505-2E9C-101B-9397-08002B2CF9AE}" name="{A44787D4-0540-4523-9961-78E4036D8C6D}" pid="3">
    <vt:lpwstr>{07809636-28A1-4445-BFC2-BEA9C4BDB00A}</vt:lpwstr>
  </property>
  <property fmtid="{D5CDD505-2E9C-101B-9397-08002B2CF9AE}" name="ERModPubTicket" pid="4">
    <vt:lpwstr>NA</vt:lpwstr>
  </property>
  <property fmtid="{D5CDD505-2E9C-101B-9397-08002B2CF9AE}" name="ERCompanyUploadState" pid="5">
    <vt:lpwstr>P</vt:lpwstr>
  </property>
  <property fmtid="{D5CDD505-2E9C-101B-9397-08002B2CF9AE}" name="ModelId" pid="6">
    <vt:lpwstr>764447</vt:lpwstr>
  </property>
  <property fmtid="{D5CDD505-2E9C-101B-9397-08002B2CF9AE}" name="ERModPubCompanyName" pid="7">
    <vt:lpwstr>Dentsply Sirona Inc</vt:lpwstr>
  </property>
  <property fmtid="{D5CDD505-2E9C-101B-9397-08002B2CF9AE}" name="MSDH34TAG" pid="8">
    <vt:lpwstr>.TEZUF76X5TAHATHESADREYAK-00-INB160+*94600-06=fe606552/-499c/-11e8/-adef/-6a0a1ce82510,MD=20180426180550/-0400,ZZ=000Z-5c5f.</vt:lpwstr>
  </property>
</Properties>
</file>